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comments11.xml" ContentType="application/vnd.openxmlformats-officedocument.spreadsheetml.comments+xml"/>
  <Override PartName="/xl/comments38.xml" ContentType="application/vnd.openxmlformats-officedocument.spreadsheetml.comments+xml"/>
  <Override PartName="/xl/comments3.xml" ContentType="application/vnd.openxmlformats-officedocument.spreadsheetml.comments+xml"/>
  <Override PartName="/xl/styles.xml" ContentType="application/vnd.openxmlformats-officedocument.spreadsheetml.styles+xml"/>
  <Override PartName="/xl/comments21.xml" ContentType="application/vnd.openxmlformats-officedocument.spreadsheetml.comments+xml"/>
  <Override PartName="/xl/worksheets/_rels/sheet39.xml.rels" ContentType="application/vnd.openxmlformats-package.relationships+xml"/>
  <Override PartName="/xl/worksheets/_rels/sheet38.xml.rels" ContentType="application/vnd.openxmlformats-package.relationships+xml"/>
  <Override PartName="/xl/worksheets/_rels/sheet37.xml.rels" ContentType="application/vnd.openxmlformats-package.relationships+xml"/>
  <Override PartName="/xl/worksheets/_rels/sheet11.xml.rels" ContentType="application/vnd.openxmlformats-package.relationships+xml"/>
  <Override PartName="/xl/worksheets/_rels/sheet10.xml.rels" ContentType="application/vnd.openxmlformats-package.relationships+xml"/>
  <Override PartName="/xl/worksheets/_rels/sheet3.xml.rels" ContentType="application/vnd.openxmlformats-package.relationships+xml"/>
  <Override PartName="/xl/worksheets/_rels/sheet21.xml.rels" ContentType="application/vnd.openxmlformats-package.relationships+xml"/>
  <Override PartName="/xl/worksheets/_rels/sheet1.xml.rels" ContentType="application/vnd.openxmlformats-package.relationships+xml"/>
  <Override PartName="/xl/worksheets/_rels/sheet20.xml.rels" ContentType="application/vnd.openxmlformats-package.relationships+xml"/>
  <Override PartName="/xl/worksheets/_rels/sheet2.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3.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31.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30.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mments20.xml" ContentType="application/vnd.openxmlformats-officedocument.spreadsheetml.comments+xml"/>
  <Override PartName="/xl/sharedStrings.xml" ContentType="application/vnd.openxmlformats-officedocument.spreadsheetml.sharedStrings+xml"/>
  <Override PartName="/xl/comments10.xml" ContentType="application/vnd.openxmlformats-officedocument.spreadsheetml.comments+xml"/>
  <Override PartName="/xl/workbook.xml" ContentType="application/vnd.openxmlformats-officedocument.spreadsheetml.sheet.main+xml"/>
  <Override PartName="/xl/drawings/drawing1.xml" ContentType="application/vnd.openxmlformats-officedocument.drawing+xml"/>
  <Override PartName="/xl/drawings/vmlDrawing3.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1.vml" ContentType="application/vnd.openxmlformats-officedocument.vmlDrawing"/>
  <Override PartName="/xl/drawings/vmlDrawing2.vml" ContentType="application/vnd.openxmlformats-officedocument.vmlDrawing"/>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vmlDrawing5.vml" ContentType="application/vnd.openxmlformats-officedocument.vmlDrawing"/>
  <Override PartName="/xl/drawings/drawing3.xml" ContentType="application/vnd.openxmlformats-officedocument.drawing+xml"/>
  <Override PartName="/xl/drawings/vmlDrawing6.vml" ContentType="application/vnd.openxmlformats-officedocument.vmlDrawing"/>
  <Override PartName="/xl/drawings/vmlDrawing7.vml" ContentType="application/vnd.openxmlformats-officedocument.vmlDrawing"/>
  <Override PartName="/xl/comments37.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3"/>
  </bookViews>
  <sheets>
    <sheet name="INICIO" sheetId="1" state="visible" r:id="rId3"/>
    <sheet name="RESUMEN_EJECUTIVO" sheetId="2" state="visible" r:id="rId4"/>
    <sheet name="PUNTO_EQUILIBRIO" sheetId="3" state="visible" r:id="rId5"/>
    <sheet name="SENS_POLLO" sheetId="4" state="visible" r:id="rId6"/>
    <sheet name="LEEME" sheetId="5" state="visible" r:id="rId7"/>
    <sheet name="SUP_CONTROL" sheetId="6" state="visible" r:id="rId8"/>
    <sheet name="SUP_POLLO" sheetId="7" state="visible" r:id="rId9"/>
    <sheet name="SUP_MENU" sheetId="8" state="visible" r:id="rId10"/>
    <sheet name="SUP_PRECIOS" sheetId="9" state="visible" r:id="rId11"/>
    <sheet name="SUP_COSTOS" sheetId="10" state="visible" r:id="rId12"/>
    <sheet name="SUP_INSUMOS" sheetId="11" state="visible" r:id="rId13"/>
    <sheet name="SUP_VOLUMEN" sheetId="12" state="visible" r:id="rId14"/>
    <sheet name="SUP_OPEX" sheetId="13" state="visible" r:id="rId15"/>
    <sheet name="SUP_OVERHEAD" sheetId="14" state="visible" r:id="rId16"/>
    <sheet name="SUP_TECNOLOGIA" sheetId="15" state="visible" r:id="rId17"/>
    <sheet name="SUP_CAPEX_PLANTA" sheetId="16" state="visible" r:id="rId18"/>
    <sheet name="SUP_CAPEX_VENTANA" sheetId="17" state="visible" r:id="rId19"/>
    <sheet name="SUP_CAPEX_DINEIN" sheetId="18" state="visible" r:id="rId20"/>
    <sheet name="SUP_CAPEX_FLAGSHIP" sheetId="19" state="visible" r:id="rId21"/>
    <sheet name="SUP_PRODUCCION" sheetId="20" state="visible" r:id="rId22"/>
    <sheet name="SUP_LOGISTICA" sheetId="21" state="visible" r:id="rId23"/>
    <sheet name="SUP_PLANTA_OPEX" sheetId="22" state="visible" r:id="rId24"/>
    <sheet name="FC_SUPUESTOS" sheetId="23" state="visible" r:id="rId25"/>
    <sheet name="FC_CRONOGRAMA" sheetId="24" state="visible" r:id="rId26"/>
    <sheet name="FC_GANTT" sheetId="25" state="visible" r:id="rId27"/>
    <sheet name="FC_FLUJO_CAJA" sheetId="26" state="visible" r:id="rId28"/>
    <sheet name="FC_DESEMBOLSOS" sheetId="27" state="visible" r:id="rId29"/>
    <sheet name="FC_PAGOS_SEMANALES" sheetId="28" state="visible" r:id="rId30"/>
    <sheet name="FC_CHEQUEO" sheetId="29" state="visible" r:id="rId31"/>
    <sheet name="CAPA1_PILOTO" sheetId="30" state="visible" r:id="rId32"/>
    <sheet name="CAPA2_FLAGSHIP" sheetId="31" state="visible" r:id="rId33"/>
    <sheet name="SUP_C3_EXPANSION" sheetId="32" state="visible" r:id="rId34"/>
    <sheet name="CAPA3_EXPANSION" sheetId="33" state="visible" r:id="rId35"/>
    <sheet name="CAPA3_PDV_DETALLE" sheetId="34" state="visible" r:id="rId36"/>
    <sheet name="SUP_C4_RETAIL" sheetId="35" state="visible" r:id="rId37"/>
    <sheet name="CAPA4_RETAIL" sheetId="36" state="visible" r:id="rId38"/>
    <sheet name="CONSOLIDADO" sheetId="37" state="visible" r:id="rId39"/>
    <sheet name="PL" sheetId="38" state="visible" r:id="rId40"/>
    <sheet name="CAPA3_DASHBOARD" sheetId="39" state="visible" r:id="rId41"/>
    <sheet name="PROD_DEMANDA" sheetId="40" state="visible" r:id="rId42"/>
    <sheet name="POR_VALIDAR" sheetId="41" state="visible" r:id="rId43"/>
    <sheet name="CHECKLIST_V2" sheetId="42" state="visible" r:id="rId44"/>
    <sheet name="AUDITORIA_V12" sheetId="43" state="visible" r:id="rId45"/>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C6" authorId="0">
      <text>
        <r>
          <rPr>
            <sz val="10"/>
            <rFont val="Arial"/>
            <family val="2"/>
          </rPr>
          <t xml:space="preserve">Hallado por bisección sobre SUP_VOLUMEN!E16 recalculando el modelo completo (21-ago-2026, WACC 20%, volúmenes 3.500/4.200/5.000, pollo $1,70/kg, hallaquita de fábrica, sartén volcable, economía vigente: ingreso $13,10 / margen $6,12 por pollo). Residuo: VPN = +$1. Configuración: switches vivos (proyecto COMPLETO: piloto + flagship + expansión + retail).</t>
        </r>
      </text>
    </comment>
  </commentList>
</comments>
</file>

<file path=xl/comments10.xml><?xml version="1.0" encoding="utf-8"?>
<comments xmlns="http://schemas.openxmlformats.org/spreadsheetml/2006/main" xmlns:xdr="http://schemas.openxmlformats.org/drawingml/2006/spreadsheetDrawing">
  <authors>
    <author>Unknown Author</author>
  </authors>
  <commentList>
    <comment ref="C319" authorId="0">
      <text>
        <r>
          <rPr>
            <sz val="10"/>
            <rFont val="Arial"/>
            <family val="2"/>
          </rPr>
          <t xml:space="preserve">Jose Barriga:
Input editable. Fuente: Receta hallacas — Edgar Urrea, 19-ago-2026: merma estimada 2–3%.</t>
        </r>
      </text>
    </comment>
  </commentList>
</comments>
</file>

<file path=xl/comments11.xml><?xml version="1.0" encoding="utf-8"?>
<comments xmlns="http://schemas.openxmlformats.org/spreadsheetml/2006/main" xmlns:xdr="http://schemas.openxmlformats.org/drawingml/2006/spreadsheetDrawing">
  <authors>
    <author>Unknown Author</author>
  </authors>
  <commentList>
    <comment ref="D120" authorId="0">
      <text>
        <r>
          <rPr>
            <sz val="10"/>
            <rFont val="Arial"/>
            <family val="2"/>
          </rPr>
          <t xml:space="preserve">Jose Barriga:
Corrección de la dirección, 21-ago-2026: el costo real del kilo de pollo crudo beneficiado (transferencia JHS) es $1,70/kg (antes se usaba $1,25/kg por error). Este es el precio maestro: SUP_COSTOS!E19 lo toma por VLOOKUP (columna E) y cascadea a todas las fichas de SKU.</t>
        </r>
      </text>
    </comment>
    <comment ref="D244" authorId="0">
      <text>
        <r>
          <rPr>
            <sz val="10"/>
            <rFont val="Arial"/>
            <family val="2"/>
          </rPr>
          <t xml:space="preserve">Jose Barriga:
Fuente: Receta estándar industrial hallacas — Edgar Urrea, 19-ago-2026 (archivo 'Hallacas en planta.xlsx', Biblia Costos Fuente Nelson): $3,85 por 3.500 g.</t>
        </r>
      </text>
    </comment>
    <comment ref="D245" authorId="0">
      <text>
        <r>
          <rPr>
            <sz val="10"/>
            <rFont val="Arial"/>
            <family val="2"/>
          </rPr>
          <t xml:space="preserve">Jose Barriga:
Fuente: Receta hallacas — Edgar Urrea, 19-ago-2026: $0,0175 por 5 g.</t>
        </r>
      </text>
    </comment>
    <comment ref="D246" authorId="0">
      <text>
        <r>
          <rPr>
            <sz val="10"/>
            <rFont val="Arial"/>
            <family val="2"/>
          </rPr>
          <t xml:space="preserve">Jose Barriga:
Fuente: Receta hallacas — Edgar Urrea, 19-ago-2026: 1.000 hojas US$ 85–105 → $0,095/hoja promedio (clasificada, cortada y sanitizada).</t>
        </r>
      </text>
    </comment>
    <comment ref="D247" authorId="0">
      <text>
        <r>
          <rPr>
            <sz val="10"/>
            <rFont val="Arial"/>
            <family val="2"/>
          </rPr>
          <t xml:space="preserve">Jose Barriga:
Fuente: Receta hallacas — Edgar Urrea, 19-ago-2026: $1,80 por 60 m.</t>
        </r>
      </text>
    </comment>
    <comment ref="D248" authorId="0">
      <text>
        <r>
          <rPr>
            <sz val="10"/>
            <rFont val="Arial"/>
            <family val="2"/>
          </rPr>
          <t xml:space="preserve">Jose Barriga:
Fuente: Receta hallacas — Edgar Urrea, 19-ago-2026: $0,0053 por 5,3 kg.</t>
        </r>
      </text>
    </comment>
    <comment ref="E138" authorId="0">
      <text>
        <r>
          <rPr>
            <sz val="10"/>
            <rFont val="Arial"/>
            <family val="2"/>
          </rPr>
          <t xml:space="preserve">Jose Barriga:
Corrección 21-ago-2026: decía 0,00003 $/g pero el precio es $0,50/kg → 0,0005 $/g. Afecta levemente las fichas que usan Sal.</t>
        </r>
      </text>
    </comment>
  </commentList>
</comments>
</file>

<file path=xl/comments20.xml><?xml version="1.0" encoding="utf-8"?>
<comments xmlns="http://schemas.openxmlformats.org/spreadsheetml/2006/main" xmlns:xdr="http://schemas.openxmlformats.org/drawingml/2006/spreadsheetDrawing">
  <authors>
    <author>Unknown Author</author>
  </authors>
  <commentList>
    <comment ref="C91" authorId="0">
      <text>
        <r>
          <rPr>
            <sz val="10"/>
            <rFont val="Arial"/>
            <family val="2"/>
          </rPr>
          <t xml:space="preserve">Jose Barriga:
CAPEX total Fase 2. Si en SUP_LOGISTICA!C21 se fija un mes manual de compra de camiones, la flota inicial (C88) se excluye de aquí y se carga al waterfall en ese mes (no se paga dos veces).</t>
        </r>
      </text>
    </comment>
  </commentList>
</comments>
</file>

<file path=xl/comments21.xml><?xml version="1.0" encoding="utf-8"?>
<comments xmlns="http://schemas.openxmlformats.org/spreadsheetml/2006/main" xmlns:xdr="http://schemas.openxmlformats.org/drawingml/2006/spreadsheetDrawing">
  <authors>
    <author>Unknown Author</author>
  </authors>
  <commentList>
    <comment ref="C21" authorId="0">
      <text>
        <r>
          <rPr>
            <sz val="10"/>
            <rFont val="Arial"/>
            <family val="2"/>
          </rPr>
          <t xml:space="preserve">Jose Barriga:
Palanca editable: escriba el mes del proyecto (1-120) en que se compran los primeros camiones. Con 0, el modelo decide solo (flota propia al invertir la Fase 2 de planta). Requiere Capa 3 encendida (SUP_CONTROL!C13=1), porque el CAPEX de flota se paga desde el pool del waterfall.</t>
        </r>
      </text>
    </comment>
  </commentList>
</comments>
</file>

<file path=xl/comments37.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Esta hoja responde: como vale el proyecto y cuando se recupera la inversion (flujo de caja, VPN, TIR, payback) a nivel mensual y consolidado, a 120 meses. Para margenes y rentabilidad por capa/formato/producto, ver PL.</t>
        </r>
      </text>
    </comment>
  </commentList>
</comments>
</file>

<file path=xl/comments38.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Esta hoja responde: de donde sale la rentabilidad, y que margen deja cada capa/formato/producto. Para flujo de caja, VPN, TIR y payback, ver CONSOLIDADO. Ver CONTROL DE CUADRE al final de esta pestana. Nota: el Ano 1 incluye los meses de arranque de construccion (sin ventas) dentro de sus primeros meses.</t>
        </r>
      </text>
    </comment>
  </commentList>
</comments>
</file>

<file path=xl/sharedStrings.xml><?xml version="1.0" encoding="utf-8"?>
<sst xmlns="http://schemas.openxmlformats.org/spreadsheetml/2006/main" count="6116" uniqueCount="4053">
  <si>
    <t xml:space="preserve">PROYECTO MOY'S — MODELO FINANCIERO</t>
  </si>
  <si>
    <t xml:space="preserve">Cómo leer este modelo: una guía en orden de lectura, capítulo por capítulo. Clic en cualquier nombre de pestaña para ir directo a ella.</t>
  </si>
  <si>
    <t xml:space="preserve">PRÓLOGO — DÓNDE ESTÁS PARADO</t>
  </si>
  <si>
    <t xml:space="preserve">Antes de cualquier detalle, la premisa completa del proyecto en un solo panel.</t>
  </si>
  <si>
    <t xml:space="preserve">LEEME</t>
  </si>
  <si>
    <t xml:space="preserve">El manifiesto del libro: propósito del modelo y la leyenda de colores que aplica a todas las pestañas (azul = editable, negro = fórmula, verde = vínculo a otra hoja).</t>
  </si>
  <si>
    <t xml:space="preserve">SUP_CONTROL</t>
  </si>
  <si>
    <t xml:space="preserve">El panel de control: escenario de consumo, qué capas están encendidas, tasa de descuento, tope de expansión. Sin esto, nada de lo que sigue tiene contexto.</t>
  </si>
  <si>
    <t xml:space="preserve">RESUMEN_EJECUTIVO</t>
  </si>
  <si>
    <t xml:space="preserve">El proyecto en una página: KPIs en vivo del escenario activo, comparación de escenarios, toneladas y ventas por año, unit economics por formato y el análisis del efecto flagship (12 corridas).</t>
  </si>
  <si>
    <t xml:space="preserve">PUNTO_EQUILIBRIO</t>
  </si>
  <si>
    <t xml:space="preserve">ACTO 1 — EL PRODUCTO: ¿QUÉ VENDE MOY'S?</t>
  </si>
  <si>
    <t xml:space="preserve">Antes de hablar de plata, hay que entender el negocio.</t>
  </si>
  <si>
    <t xml:space="preserve">SUP_MENU</t>
  </si>
  <si>
    <t xml:space="preserve">El catálogo: 17 productos, agrupados en 7 plataformas (Asado, Broaster, Value meal, Crudo marinado, Familiar, Porkbelly, Adicionales).</t>
  </si>
  <si>
    <t xml:space="preserve">SUP_PRECIOS</t>
  </si>
  <si>
    <t xml:space="preserve">A qué precio se vende cada producto, y qué margen deja.</t>
  </si>
  <si>
    <t xml:space="preserve">SUP_COSTOS</t>
  </si>
  <si>
    <t xml:space="preserve">Cuánto cuesta hacer cada producto — fichas técnicas v2 del Chef, receta por receta, alimentadas por SUP_INSUMOS.</t>
  </si>
  <si>
    <t xml:space="preserve">SUP_INSUMOS</t>
  </si>
  <si>
    <t xml:space="preserve">La despensa: 243 insumos con precios del Chef Urrea (anexo ago-2026) — la fuente de datos de todas las fichas de costo.</t>
  </si>
  <si>
    <t xml:space="preserve">SUP_VOLUMEN</t>
  </si>
  <si>
    <t xml:space="preserve">Cuánto pollo vende una tienda al mes, según el escenario y el formato.</t>
  </si>
  <si>
    <t xml:space="preserve">ACTO 2 — EL COSTO DE OPERAR</t>
  </si>
  <si>
    <t xml:space="preserve">Ya sabes cuánto vende una tienda. Ahora, cuánto cuesta tenerla abierta.</t>
  </si>
  <si>
    <t xml:space="preserve">SUP_OPEX</t>
  </si>
  <si>
    <t xml:space="preserve">Nómina, renta y gastos variables de una tienda, por formato.</t>
  </si>
  <si>
    <t xml:space="preserve">SUP_OVERHEAD</t>
  </si>
  <si>
    <t xml:space="preserve">Un nivel más arriba: cuánto cuesta la oficina central que sostiene a todas las tiendas.</t>
  </si>
  <si>
    <t xml:space="preserve">SUP_PLANTA_OPEX</t>
  </si>
  <si>
    <t xml:space="preserve">La fábrica por dentro: nómina de planta por fase, renta de nave, CIF y la tarifa de transformación por kilo que paga cada capa.</t>
  </si>
  <si>
    <t xml:space="preserve">SUP_TECNOLOGIA</t>
  </si>
  <si>
    <t xml:space="preserve">Sistemas de punto de venta y el fondo tecnológico central.</t>
  </si>
  <si>
    <t xml:space="preserve">ACTO 3 — LA INVERSIÓN: CONSTRUIR EL ESCENARIO</t>
  </si>
  <si>
    <t xml:space="preserve">Antes de que exista una sola tienda, hay que construirla.</t>
  </si>
  <si>
    <t xml:space="preserve">SUP_CAPEX_PLANTA</t>
  </si>
  <si>
    <t xml:space="preserve">La inversión del centro de producción (CAPEX v3 verificado): línea batch F1 con IQF, adecuación de nave, capital de trabajo y kit de continuidad de red. Sin costos de know-how (los asume JHS aparte).</t>
  </si>
  <si>
    <t xml:space="preserve">SUP_CAPEX_VENTANA</t>
  </si>
  <si>
    <t xml:space="preserve">La inversión del formato más barato y replicable (~40 m²).</t>
  </si>
  <si>
    <t xml:space="preserve">SUP_CAPEX_DINEIN</t>
  </si>
  <si>
    <t xml:space="preserve">La inversión del formato con salón (~80 m²).</t>
  </si>
  <si>
    <t xml:space="preserve">SUP_CAPEX_FLAGSHIP</t>
  </si>
  <si>
    <t xml:space="preserve">La inversión del restaurante bandera (400 m² interiores): equipamiento + adecuación. El terreno y la obra civil mayor van en el presupuesto inmobiliario JHS, aparte.</t>
  </si>
  <si>
    <t xml:space="preserve">SUP_PRODUCCION</t>
  </si>
  <si>
    <t xml:space="preserve">Cómo se dimensiona la capacidad de planta (Fases 1-4), cuándo amplía el waterfall, y los parámetros base de la logística planta→PDV (§8, explicados en SUP_LOGISTICA).</t>
  </si>
  <si>
    <t xml:space="preserve">SUP_LOGISTICA</t>
  </si>
  <si>
    <t xml:space="preserve">Los supuestos logísticos explicados: por qué la logística es costo de ventas, tarifa tercerizada vs. flota propia, y la palanca manual del mes de compra de camiones.</t>
  </si>
  <si>
    <t xml:space="preserve">ACTO 4 — LOS PROTAGONISTAS: LAS CUATRO CAPAS</t>
  </si>
  <si>
    <t xml:space="preserve">Aquí es donde la historia se mueve. Cuatro apuestas, cada una con su propia lógica.</t>
  </si>
  <si>
    <t xml:space="preserve">CAPA1_PILOTO</t>
  </si>
  <si>
    <t xml:space="preserve">El arranque: 10 tiendas, la apuesta inicial que valida si el concepto funciona.</t>
  </si>
  <si>
    <t xml:space="preserve">CAPA2_FLAGSHIP</t>
  </si>
  <si>
    <t xml:space="preserve">La apuesta grande y arriesgada: un solo local, mucho más caro, que no se paga solo. Hoy fuera del alcance aprobado (apagada).</t>
  </si>
  <si>
    <t xml:space="preserve">SUP_C3_EXPANSION</t>
  </si>
  <si>
    <t xml:space="preserve">Los supuestos de cómo madura y se canibaliza una tienda nueva de expansión.</t>
  </si>
  <si>
    <t xml:space="preserve">CAPA3_EXPANSION</t>
  </si>
  <si>
    <t xml:space="preserve">El clímax de crecimiento: el motor que decide, mes a mes, si hay caja suficiente para abrir la siguiente tienda.</t>
  </si>
  <si>
    <t xml:space="preserve">CAPA3_PDV_DETALLE</t>
  </si>
  <si>
    <t xml:space="preserve">Las 39 tiendas de la expansión, una por una — formato y mes de apertura de cada una.</t>
  </si>
  <si>
    <t xml:space="preserve">SUP_C4_RETAIL</t>
  </si>
  <si>
    <t xml:space="preserve">Los supuestos de una subtrama opcional: una línea de venta al detalle.</t>
  </si>
  <si>
    <t xml:space="preserve">CAPA4_RETAIL</t>
  </si>
  <si>
    <t xml:space="preserve">El canal retail — existe en el modelo, pero hoy está apagado: fuera del alcance aprobado.</t>
  </si>
  <si>
    <t xml:space="preserve">ACTO 5 — EL DESENLACE: ¿VALIÓ LA PENA?</t>
  </si>
  <si>
    <t xml:space="preserve">Aquí se junta todo. Dos ángulos del mismo final, que se validan entre sí.</t>
  </si>
  <si>
    <t xml:space="preserve">CONSOLIDADO</t>
  </si>
  <si>
    <t xml:space="preserve">El mismo desenlace visto con otro lente: de dónde sale exactamente la rentabilidad — margen bruto con el producto puesto en puerta del PDV (insumo + transformación + logística), por capa, por formato y por tipo de producto.</t>
  </si>
  <si>
    <t xml:space="preserve">PL</t>
  </si>
  <si>
    <t xml:space="preserve">El mismo desenlace visto con otro lente: de dónde sale exactamente la rentabilidad — margen por capa, por formato, por tipo de producto.</t>
  </si>
  <si>
    <t xml:space="preserve">CAPA3_DASHBOARD</t>
  </si>
  <si>
    <t xml:space="preserve">La cadena entera año a año: PDV, ingresos, EBITDA, FCF y toneladas, con gráficas.</t>
  </si>
  <si>
    <t xml:space="preserve">PROD_DEMANDA</t>
  </si>
  <si>
    <t xml:space="preserve">El chequeo final: ¿la planta alcanza para toda la demanda que generó la historia?</t>
  </si>
  <si>
    <t xml:space="preserve">APÉNDICE</t>
  </si>
  <si>
    <t xml:space="preserve">Consulta puntual, no lectura corrida.</t>
  </si>
  <si>
    <t xml:space="preserve">CHECKLIST_V2</t>
  </si>
  <si>
    <t xml:space="preserve">La lista de requisitos que el modelo debía cumplir.</t>
  </si>
  <si>
    <t xml:space="preserve">POR_VALIDAR</t>
  </si>
  <si>
    <t xml:space="preserve">Los supuestos que el modelo marca como no confirmados, en una sola lista (v12: incluye los del ave y el tumbler).</t>
  </si>
  <si>
    <t xml:space="preserve">ACTO 6 — LA TESORERÍA: ¿CUÁNTA PLATA HAY QUE PONER, CUÁNDO Y PARA QUÉ?</t>
  </si>
  <si>
    <t xml:space="preserve">El desenlace visto desde la caja del proyecto aprobado — piloto de 10 PDV y planta Fase 1: cuánto hay que desembolsar, cuándo, para qué y en qué semana se paga cada compromiso.</t>
  </si>
  <si>
    <t xml:space="preserve">FC_SUPUESTOS</t>
  </si>
  <si>
    <t xml:space="preserve">Las palancas del flujo de caja: lead time de importación de equipos de planta y de PDV, condiciones de pago a proveedores, días de capital de trabajo, política de caja mínima e interruptor del flagship con su mes de apertura. Incluye la lista de supuestos aún POR VALIDAR y su responsable.</t>
  </si>
  <si>
    <t xml:space="preserve">FC_CRONOGRAMA</t>
  </si>
  <si>
    <t xml:space="preserve">El calendario mes a mes: cuándo se ordena, se embarca, se nacionaliza y se monta cada equipo; cuándo abre cada tienda. Amarrado al plan de CAPA1_PILOTO y desplazado cuando la importación lo exige.</t>
  </si>
  <si>
    <t xml:space="preserve">FC_FLUJO_CAJA</t>
  </si>
  <si>
    <t xml:space="preserve">El flujo de caja mensualizado del piloto, cuenta por cuenta: cobros, pagos de operación, capital de trabajo de planta y de PDV, ISLR, las tres capas de inversión, el saldo de caja y el desembolso requerido cada mes.</t>
  </si>
  <si>
    <t xml:space="preserve">FC_DESEMBOLSOS</t>
  </si>
  <si>
    <t xml:space="preserve">La hoja de lectura para la dirección: cuánto suma el fondeo, en cuántos tramos, en qué meses y qué paga cada uno.</t>
  </si>
  <si>
    <t xml:space="preserve">FC_CHEQUEO</t>
  </si>
  <si>
    <t xml:space="preserve">La verificación: cada rubro del flujo confrontado contra la celda del modelo de la que proviene, más las diferencias deliberadas frente a CAPA1_PILOTO y su justificación.</t>
  </si>
  <si>
    <t xml:space="preserve">FC_GANTT</t>
  </si>
  <si>
    <t xml:space="preserve">El cronograma maestro semana a semana: ingeniería y construcción de la planta, permisología venezolana de planta y de PDV, importación de equipos, desarrollo de producto, proveeduría, locales, marca y mercadeo, talento y salida en vivo. Cada actividad cuelga de un hito ancla calculado en FC_SUPUESTOS: la planta marca el ritmo de todo el programa.</t>
  </si>
  <si>
    <t xml:space="preserve">FC_PAGOS_SEMANALES</t>
  </si>
  <si>
    <t xml:space="preserve">La programación de pagos del primer año, semana por semana: qué se paga, a quién y en qué semana, con el desembolso que debe estar en cuenta y el saldo de caja semanal. Cuadra mes a mes con FC_FLUJO_CAJA.</t>
  </si>
  <si>
    <t xml:space="preserve">ACTO 7 — v12 · EL AVE: COSTO DEL KG, PESO Y TUMBLER (septiembre 2026)</t>
  </si>
  <si>
    <t xml:space="preserve">JHS informó un costo del kg más alto (cédula de agosto, por kg beneficiado). Aquí se mide cómo el peso del pollo, el tumbler y una banda de costo protegen el plan.</t>
  </si>
  <si>
    <t xml:space="preserve">SUP_POLLO</t>
  </si>
  <si>
    <t xml:space="preserve">El panel del ave: escenario de costo del kg (1,70 a 2,60), peso crudo (base 1,65 kg), tumbler, capacidad y banda de control con semáforo. Todo el libro corre desde aquí.</t>
  </si>
  <si>
    <t xml:space="preserve">SENS_POLLO</t>
  </si>
  <si>
    <t xml:space="preserve">El mapa: margen y VPN por peso y costo, costo de ruptura por peso, puente v11→v12, precio como palanca y la tabla de peso y percepción del tumbler.</t>
  </si>
  <si>
    <t xml:space="preserve">AUDITORIA_V12</t>
  </si>
  <si>
    <t xml:space="preserve">La línea de verificación: 29 controles vivos de la cascada, pruebas de regresión y perturbación, y el registro de cambios v12.</t>
  </si>
  <si>
    <t xml:space="preserve">RESUMEN EJECUTIVO — PROYECTO MOY'S · LA CADENA EN UNA PÁGINA</t>
  </si>
  <si>
    <t xml:space="preserve">Escenarios de volumen, toneladas de pollo, ventas, EBITDA, retorno e inversión — todo cae del modelo por capas (SUP_CONTROL → capas → CONSOLIDADO).</t>
  </si>
  <si>
    <t xml:space="preserve">Azul = valor de snapshot (recalculado por escenario el 27-sep-2026, v12) · Negro = fórmula · Verde = vínculo en vivo a otra hoja · Fondo ámbar = escenario activo</t>
  </si>
  <si>
    <t xml:space="preserve">1. INDICADORES DEL PROYECTO — ESCENARIO ACTIVO (en vivo, capas activas)</t>
  </si>
  <si>
    <t xml:space="preserve">Escenario activo (se cambia en SUP_CONTROL!C6)</t>
  </si>
  <si>
    <t xml:space="preserve">El aporte al inversionista cubre piloto (10 PDV + planta F1 + kit de red), tecnología y flagship; la expansión se autofinancia con el waterfall. SIN costos de know-how ni honorarios del Módulo 1 (los asume JHS aparte).</t>
  </si>
  <si>
    <t xml:space="preserve">Pollos/mes por PDV ventana (con elasticidad)</t>
  </si>
  <si>
    <t xml:space="preserve">Inversión total del proyecto — 120 meses</t>
  </si>
  <si>
    <t xml:space="preserve">Aporte de capital solicitado al inversionista</t>
  </si>
  <si>
    <t xml:space="preserve">Inversión autofinanciada por el waterfall (expansión)</t>
  </si>
  <si>
    <t xml:space="preserve">TIR anual del proyecto (120 m)</t>
  </si>
  <si>
    <t xml:space="preserve">Payback simple / descontado (mes)</t>
  </si>
  <si>
    <t xml:space="preserve">Índice de rentabilidad (VPN ÷ aporte de capital)</t>
  </si>
  <si>
    <t xml:space="preserve">Valor total del proyecto (VPN + valor terminal, g=3%)</t>
  </si>
  <si>
    <t xml:space="preserve">PDV totales al año 10 · Toneladas/mes en régimen</t>
  </si>
  <si>
    <t xml:space="preserve">Margen bruto ponderado del menú</t>
  </si>
  <si>
    <t xml:space="preserve">2. COMPARACIÓN DE ESCENARIOS DE VOLUMEN (snapshot de la configuración aprobada: piloto + expansión — 21-sep-2026)</t>
  </si>
  <si>
    <t xml:space="preserve">Indicador</t>
  </si>
  <si>
    <t xml:space="preserve">AMARRADO EN CASCADA: la columna del escenario activo (SUP_CONTROL!C6) se calcula EN VIVO desde CONSOLIDADO y CAPA3_DASHBOARD — cualquier cambio del modelo se refleja al instante. Las otras dos columnas muestran el último snapshot guardado (19-ago-2026, con Fase 4, logística y transformación de planta).</t>
  </si>
  <si>
    <t xml:space="preserve">Pollos/mes por PDV ventana</t>
  </si>
  <si>
    <t xml:space="preserve">PDV totales al año 10</t>
  </si>
  <si>
    <t xml:space="preserve">Toneladas de pollo/mes en régimen (año 10)</t>
  </si>
  <si>
    <t xml:space="preserve">Toneladas de pollo/año — año 10</t>
  </si>
  <si>
    <t xml:space="preserve">Ingresos año 1 (USD)</t>
  </si>
  <si>
    <t xml:space="preserve">Ingresos año 5 (USD)</t>
  </si>
  <si>
    <t xml:space="preserve">Ingresos año 10 (USD)</t>
  </si>
  <si>
    <t xml:space="preserve">EBITDA año 10 (USD)</t>
  </si>
  <si>
    <t xml:space="preserve">Inversión total 120 m (USD)</t>
  </si>
  <si>
    <t xml:space="preserve">Aporte solicitado al inversionista (USD)</t>
  </si>
  <si>
    <t xml:space="preserve">El aporte es idéntico en los 3 escenarios: piloto + planta + flagship se financian con capital; lo que cambia es cuánta expansión paga el waterfall (43 vs 50 PDV en BÁSICO).</t>
  </si>
  <si>
    <t xml:space="preserve">Autofinanciada por el waterfall (USD)</t>
  </si>
  <si>
    <t xml:space="preserve">VPN a 120 meses (USD)</t>
  </si>
  <si>
    <t xml:space="preserve">BÁSICO destruye valor (VPN negativo): el punto de equilibrio (ver PUNTO_EQUILIBRIO) queda por encima de su volumen. Los valores de los escenarios NO activos son snapshot (WACC 20%, config piloto + expansión, 21-ago-2026); el del escenario activo es cálculo vivo de CONSOLIDADO. La celda F32 avisa si el snapshot queda desactualizado.</t>
  </si>
  <si>
    <t xml:space="preserve">TIR anual (120 m)</t>
  </si>
  <si>
    <t xml:space="preserve">Valor total del proyecto (VPN + terminal, USD)</t>
  </si>
  <si>
    <t xml:space="preserve">3. TONELADAS DE POLLO POR AÑO (cierre de cada año, por escenario — snapshot)</t>
  </si>
  <si>
    <t xml:space="preserve">Toneladas promedio/mes · Año →</t>
  </si>
  <si>
    <t xml:space="preserve">BÁSICO — ton/mes</t>
  </si>
  <si>
    <t xml:space="preserve">Filas del escenario activo en vivo (dashboard fila 22); las demás, snapshot. Toneladas/año = promedio mensual × 12.</t>
  </si>
  <si>
    <t xml:space="preserve">MEDIO — ton/mes</t>
  </si>
  <si>
    <t xml:space="preserve">ALTO — ton/mes</t>
  </si>
  <si>
    <t xml:space="preserve">BÁSICO — toneladas/año</t>
  </si>
  <si>
    <t xml:space="preserve">MEDIO — toneladas/año</t>
  </si>
  <si>
    <t xml:space="preserve">ALTO — toneladas/año</t>
  </si>
  <si>
    <t xml:space="preserve">4. VENTAS, EBITDA Y FLUJO DE CAJA LIBRE POR AÑO (USD — snapshot por escenario)</t>
  </si>
  <si>
    <t xml:space="preserve">Concepto · Año →</t>
  </si>
  <si>
    <t xml:space="preserve">Ventas — BÁSICO</t>
  </si>
  <si>
    <t xml:space="preserve">Escenario activo en vivo (dashboard filas 18-20); las demás, snapshot 19-ago-2026.</t>
  </si>
  <si>
    <t xml:space="preserve">Ventas — MEDIO</t>
  </si>
  <si>
    <t xml:space="preserve">Ventas — ALTO</t>
  </si>
  <si>
    <t xml:space="preserve">EBITDA — BÁSICO</t>
  </si>
  <si>
    <t xml:space="preserve">EBITDA — MEDIO</t>
  </si>
  <si>
    <t xml:space="preserve">EBITDA — ALTO</t>
  </si>
  <si>
    <t xml:space="preserve">FCF — BÁSICO</t>
  </si>
  <si>
    <t xml:space="preserve">FCF = EBITDA − ISLR − CAPEX − capital de trabajo. El año 1 es negativo por la inversión del piloto ($2,34M de aporte); desde el año 2 el proyecto es autofinanciado en los 3 escenarios.</t>
  </si>
  <si>
    <t xml:space="preserve">FCF — MEDIO</t>
  </si>
  <si>
    <t xml:space="preserve">FCF — ALTO</t>
  </si>
  <si>
    <t xml:space="preserve">5. ECONOMÍA POR FORMATO DE PDV — UNIDAD MADURA, ESCENARIO ACTIVO (en vivo)</t>
  </si>
  <si>
    <t xml:space="preserve">Concepto (por PDV, mes maduro)</t>
  </si>
  <si>
    <t xml:space="preserve">VENTANA</t>
  </si>
  <si>
    <t xml:space="preserve">DINE-IN</t>
  </si>
  <si>
    <t xml:space="preserve">FLAGSHIP</t>
  </si>
  <si>
    <t xml:space="preserve">Pollos vendidos/mes</t>
  </si>
  <si>
    <t xml:space="preserve">Unidad madura (mes 3+ según curva de maduración), mezcla de menú idéntica entre formatos (solo escala el volumen). El flagship suma +5% de ingreso por menú ampliado (50% de margen). EBITDA antes de overhead corporativo (SUP_OVERHEAD) e ISLR.</t>
  </si>
  <si>
    <t xml:space="preserve">Ingreso neto/mes (mezcla de menú constante)</t>
  </si>
  <si>
    <t xml:space="preserve">Margen de contribución/mes (tras costo de fichas)</t>
  </si>
  <si>
    <t xml:space="preserve">(−) Gastos variables + logística + transformación de planta</t>
  </si>
  <si>
    <t xml:space="preserve">Incluye logística (tarifa tercerizada) y transformación de planta (tarifa de referencia en régimen). Conservador.</t>
  </si>
  <si>
    <t xml:space="preserve">Gastos fijos/mes (nómina cargada + renta + HCM)</t>
  </si>
  <si>
    <t xml:space="preserve">EBITDA/mes por PDV (antes de overhead corporativo)</t>
  </si>
  <si>
    <t xml:space="preserve">Margen EBITDA (% del ingreso)</t>
  </si>
  <si>
    <t xml:space="preserve">CAPEX por PDV (v3, puesto en Venezuela)</t>
  </si>
  <si>
    <t xml:space="preserve">Capital de trabajo de apertura (meses de fijos, SUP_CONTROL!C19)</t>
  </si>
  <si>
    <t xml:space="preserve">Payback simple del formato (meses de EBITDA maduro)</t>
  </si>
  <si>
    <t xml:space="preserve">Payback y TIR del formato aislado: CAPEX v3 + capital de trabajo, contra EBITDA maduro constante a 120 meses. La TIR del PROYECTO (sección 1) es menor porque incluye planta, overhead, know-how, rampa y tiempos de construcción.</t>
  </si>
  <si>
    <t xml:space="preserve">TIR anual del formato (120 m de EBITDA maduro)</t>
  </si>
  <si>
    <t xml:space="preserve">TIR de anualidad constante a 120 m; cuando el payback es &lt; 12 meses la tasa converge a EBITDA mensual ÷ inversión (el valor residual del flujo descontado es despreciable).</t>
  </si>
  <si>
    <t xml:space="preserve">NOTA METODOLÓGICA</t>
  </si>
  <si>
    <t xml:space="preserve">· Secciones 1 y 5: en vivo — recalculan con cada cambio del modelo (escenario, switches de capas, precios, costos, CAPEX).</t>
  </si>
  <si>
    <t xml:space="preserve">Snapshots de las secciones 2-4 recalculados el 21-sep-2026 con la configuración aprobada (SUP_CONTROL: piloto y expansión encendidos; flagship y retail apagados), incluidos LOGÍSTICA planta→PDV, TRANSFORMACIÓN DE PLANTA y el plan de personal por escenario. La columna del escenario activo (SUP_CONTROL!C6) es 100% en vivo; las otras dos muestran el snapshot. Sección 6: corridas conmutando los switches de capa de SUP_CONTROL!C11:C14 — se conserva como análisis comparativo de configuraciones.</t>
  </si>
  <si>
    <t xml:space="preserve">· Fuentes: CONSOLIDADO (VPN, TIR, paybacks, inversión, valor terminal) · CAPA3_DASHBOARD/CONSOLIDADO filas 40-45 (serie anual) · SUP_VOLUMEN · SUP_OPEX · SUP_CAPEX v3 · SUP_PRECIOS/SUP_COSTOS (fichas del Chef).</t>
  </si>
  <si>
    <t xml:space="preserve">6. ¿QUÉ APORTA CADA CAPA? — EL EFECTO FLAGSHIP (12 corridas del modelo)</t>
  </si>
  <si>
    <t xml:space="preserve">Metodología: 4 configuraciones × 3 escenarios, conmutando SUP_CONTROL C11:C14 y C6 con recálculo completo (snapshot 21-ago-2026, WACC 20%, economía vigente: ingreso $13,10 / margen $6,12 por pollo). El modelo quedó restaurado en su estado actual (proyecto completo, escenario MEDIO). La bandera de la fila 99 avisa si el snapshot queda desactualizado. Fallbacks de filas 32-35 calculados con proyecto completo.</t>
  </si>
  <si>
    <t xml:space="preserve">Configuración</t>
  </si>
  <si>
    <t xml:space="preserve">Aporte inicial (inversionista)</t>
  </si>
  <si>
    <t xml:space="preserve">Inversión total 120 m</t>
  </si>
  <si>
    <t xml:space="preserve">VPN 120 m</t>
  </si>
  <si>
    <t xml:space="preserve">TIR anual</t>
  </si>
  <si>
    <t xml:space="preserve">Payback (simple / desc.)</t>
  </si>
  <si>
    <t xml:space="preserve">Valor total (VPN + terminal)</t>
  </si>
  <si>
    <t xml:space="preserve">Nota: la capa Retail se corre con sus supuestos actuales (pendientes de sustento comercial según bitácora). El estado real del modelo hoy es 'Piloto + Flagship + Expansión, sin Retail'.</t>
  </si>
  <si>
    <t xml:space="preserve">Solo piloto (10 PDV)</t>
  </si>
  <si>
    <t xml:space="preserve">58 / 113</t>
  </si>
  <si>
    <t xml:space="preserve">Piloto + Expansión (hasta 50 PDV)</t>
  </si>
  <si>
    <t xml:space="preserve">98 / no recupera</t>
  </si>
  <si>
    <t xml:space="preserve">Piloto + Expansión + Retail</t>
  </si>
  <si>
    <t xml:space="preserve">96 / no recupera</t>
  </si>
  <si>
    <t xml:space="preserve">Proyecto completo (+ Flagship)</t>
  </si>
  <si>
    <t xml:space="preserve">100 / no recupera</t>
  </si>
  <si>
    <t xml:space="preserve">→ Efecto del flagship (completo vs. sin flagship)</t>
  </si>
  <si>
    <t xml:space="preserve">45 / 69</t>
  </si>
  <si>
    <t xml:space="preserve">76 / 95</t>
  </si>
  <si>
    <t xml:space="preserve">79 / 94</t>
  </si>
  <si>
    <t xml:space="preserve">82 / 100</t>
  </si>
  <si>
    <t xml:space="preserve">38 / 51</t>
  </si>
  <si>
    <t xml:space="preserve">62 / 80</t>
  </si>
  <si>
    <t xml:space="preserve">65 / 80</t>
  </si>
  <si>
    <t xml:space="preserve">69 / 80</t>
  </si>
  <si>
    <t xml:space="preserve">LA EXPLICACIÓN SIMPLE — por qué el flagship arrastra los indicadores (cálculos en vivo)</t>
  </si>
  <si>
    <t xml:space="preserve">El flagship vende más que una ventana (×)</t>
  </si>
  <si>
    <t xml:space="preserve">Sí vende más: ≈ 2× la venta de una ventana. Ese es el argumento de la presidencia — y es cierto.</t>
  </si>
  <si>
    <t xml:space="preserve">…pero cuesta más equiparlo (CAPEX + capital de trabajo, ×)</t>
  </si>
  <si>
    <t xml:space="preserve">Vende 2× pero cuesta 5×: la brecha entre lo que vende y lo que cuesta es el corazón del problema.</t>
  </si>
  <si>
    <t xml:space="preserve">…y sostenerlo cada mes (gastos fijos, ×)</t>
  </si>
  <si>
    <t xml:space="preserve">Salón 150 puestos, área infantil, drive-thru, generador 40 kVA, nómina ampliada: estructura de servicio que el consumidor venezolano de valor NO paga en el precio (ticket transversal en todas las zonas, patrón Dorado).</t>
  </si>
  <si>
    <t xml:space="preserve">EBITDA anual por dólar invertido — VENTANA</t>
  </si>
  <si>
    <t xml:space="preserve">EBITDA anual por dólar invertido — FLAGSHIP</t>
  </si>
  <si>
    <t xml:space="preserve">El mismo dólar rinde ≈4× más en ventanas que en el flagship. En un modelo hard discount el capital debe ir donde el volumen paga rápido.</t>
  </si>
  <si>
    <t xml:space="preserve">Con el aporte extra que exige el flagship se equipan…</t>
  </si>
  <si>
    <t xml:space="preserve">$534.273 de aporte adicional ≈ 5,5 ventanas completas (equipo + adecuación + preoperativos + capital de trabajo), cada una con payback &lt; 7 meses.</t>
  </si>
  <si>
    <t xml:space="preserve">Payback del capital: ventana / dine-in / flagship (meses)</t>
  </si>
  <si>
    <t xml:space="preserve">VPN 120 m por configuración (USD)</t>
  </si>
  <si>
    <t xml:space="preserve">BÁSICO</t>
  </si>
  <si>
    <t xml:space="preserve">MEDIO</t>
  </si>
  <si>
    <t xml:space="preserve">ALTO</t>
  </si>
  <si>
    <t xml:space="preserve">Solo piloto</t>
  </si>
  <si>
    <t xml:space="preserve">+ Expansión</t>
  </si>
  <si>
    <t xml:space="preserve">+ Retail</t>
  </si>
  <si>
    <t xml:space="preserve">+ Flagship (completo)</t>
  </si>
  <si>
    <t xml:space="preserve">7. RESUMEN DE INVERSIÓN — ¿QUIÉN PONE QUÉ Y EN QUÉ SE GASTA?</t>
  </si>
  <si>
    <t xml:space="preserve">Dos preguntas, dos tablas: (A) ¿en qué se gasta el cheque de los socios? — composición viva desde las hojas CAPEX · (B) ¿quién financia la cadena completa? — socios vs caja del propio negocio, por escenario.</t>
  </si>
  <si>
    <t xml:space="preserve">A. EL CHEQUE DE LOS SOCIOS — COMPOSICIÓN DEL APORTE (en vivo; respeta los switches de capa)</t>
  </si>
  <si>
    <t xml:space="preserve">Categoría de inversión</t>
  </si>
  <si>
    <t xml:space="preserve">Piloto (10 PDV)</t>
  </si>
  <si>
    <t xml:space="preserve">Planta F1</t>
  </si>
  <si>
    <t xml:space="preserve">Flagship</t>
  </si>
  <si>
    <t xml:space="preserve">Retail</t>
  </si>
  <si>
    <t xml:space="preserve">TOTAL</t>
  </si>
  <si>
    <t xml:space="preserve">Equipos y tecnología de operación</t>
  </si>
  <si>
    <t xml:space="preserve">Retail: su CAPEX ($225.850, equipos instalados + contingencia) entra completo aquí cuando se enciende el switch C14.</t>
  </si>
  <si>
    <t xml:space="preserve">Adecuación de locales y nave</t>
  </si>
  <si>
    <t xml:space="preserve">Preoperativos y permisos</t>
  </si>
  <si>
    <t xml:space="preserve">Kit de continuidad de red (hornos backup + repuestos)</t>
  </si>
  <si>
    <t xml:space="preserve">Capital de trabajo de planta (inventario 7 d fresco + 14 d congelado)</t>
  </si>
  <si>
    <t xml:space="preserve">Contingencia (10%)</t>
  </si>
  <si>
    <t xml:space="preserve">SUBTOTAL CAPEX POR CAPA</t>
  </si>
  <si>
    <t xml:space="preserve">Fondo tecnológico central (POS central, dashboards — mes 2)</t>
  </si>
  <si>
    <t xml:space="preserve">Aporte adicional para ACELERAR la expansión (discrecional, SUP_CONTROL!C24)</t>
  </si>
  <si>
    <t xml:space="preserve">Palanca nueva: hoy en $0. Entra al pool del waterfall en el mes elegido (SUP_CONTROL!E24) y el modelo la invierte solo. Prueba de sensibilidad: +$500k en mes 13 ≈ +$210k de VPN en MEDIO.</t>
  </si>
  <si>
    <t xml:space="preserve">Depósitos de arriendo, capital de trabajo de tiendas y caja de arranque</t>
  </si>
  <si>
    <t xml:space="preserve">Calculado por diferencia contra el aporte del CONSOLIDADO: 6 meses de renta al abrir (3 de depósito + 3 anticipadas), 1 mes de gastos fijos por tienda y la caja que exige el flujo de los primeros meses.</t>
  </si>
  <si>
    <t xml:space="preserve">TOTAL APORTE DE LOS SOCIOS</t>
  </si>
  <si>
    <t xml:space="preserve">Control de composición</t>
  </si>
  <si>
    <t xml:space="preserve">B. ¿QUIÉN FINANCIA LA CADENA COMPLETA? — SOCIOS vs NEGOCIO, POR ESCENARIO</t>
  </si>
  <si>
    <t xml:space="preserve">Fuente de los fondos (120 meses)</t>
  </si>
  <si>
    <t xml:space="preserve">Lo que ponen los SOCIOS (cheque inicial)</t>
  </si>
  <si>
    <t xml:space="preserve">Ojo: la columna del escenario activo es EN VIVO y refleja los switches actuales (hoy: flagship apagado → cheque menor); las otras columnas muestran el snapshot base (con flagship).</t>
  </si>
  <si>
    <t xml:space="preserve">Lo que el NEGOCIO genera y reinvierte solo (waterfall)</t>
  </si>
  <si>
    <t xml:space="preserve">INVERSIÓN TOTAL DE LA CADENA</t>
  </si>
  <si>
    <t xml:space="preserve">% de la cadena que el negocio se paga solo</t>
  </si>
  <si>
    <t xml:space="preserve">La idea en una frase: el cheque de los socios es prácticamente el mismo en los tres escenarios (±1%) — el escenario no cambia lo que ponen los socios, cambia cuánta cadena construye el negocio con su propia caja (70–75% del total). Tabla A respeta los switches de capa: hoy el flagship y el retail están apagados en SUP_CONTROL y sus columnas quedan en cero.</t>
  </si>
  <si>
    <t xml:space="preserve">PUNTO DE EQUILIBRIO DEL PROYECTO — VPN = 0</t>
  </si>
  <si>
    <t xml:space="preserve">Azul = valor de equilibrio (snapshot por bisección, 27-sep-2026, v12) · Negro = fórmula · Verde = vínculo a otras hojas · La fila 4 avisa si el snapshot quedó desactualizado</t>
  </si>
  <si>
    <t xml:space="preserve">1. VOLUMEN DE EQUILIBRIO (pollos promedio/mes por PDV)</t>
  </si>
  <si>
    <t xml:space="preserve">VENTANA — pollos/mes de equilibrio</t>
  </si>
  <si>
    <t xml:space="preserve">Hallado por bisección sobre SUP_VOLUMEN!E16 (escenario ALTO como vehículo) recalculando el libro v12 completo hasta |VPN| &lt; $500 (VPN final: -463). Método validado: con los supuestos v11 reproduce 3.302 pollos (VPN +15).</t>
  </si>
  <si>
    <t xml:space="preserve">DINE-IN — pollos/mes (uplift +30%)</t>
  </si>
  <si>
    <t xml:space="preserve">FLAGSHIP — pollos/mes (uplift +100%)</t>
  </si>
  <si>
    <t xml:space="preserve">Ventana en pollos/día (mes de 30,4 días)</t>
  </si>
  <si>
    <t xml:space="preserve">Equilibrio como % del volumen de cada escenario:</t>
  </si>
  <si>
    <t xml:space="preserve">2. INGRESOS EN EQUILIBRIO (por PDV maduro, USD/mes netos de IVA)</t>
  </si>
  <si>
    <t xml:space="preserve">VENTANA — ingreso/mes</t>
  </si>
  <si>
    <t xml:space="preserve">Ingreso por pollo-equivalente (mezcla de menú constante): vínculo a SUP_CONTROL!C26.</t>
  </si>
  <si>
    <t xml:space="preserve">DINE-IN — ingreso/mes</t>
  </si>
  <si>
    <t xml:space="preserve">FLAGSHIP — ingreso/mes (incl. menú ampliado +5%)</t>
  </si>
  <si>
    <t xml:space="preserve">3. INDICADORES FINANCIEROS EN EQUILIBRIO (snapshot)</t>
  </si>
  <si>
    <t xml:space="preserve">≈ $0 por definición de equilibrio</t>
  </si>
  <si>
    <t xml:space="preserve">= WACC: el proyecto devuelve exactamente el costo del capital</t>
  </si>
  <si>
    <t xml:space="preserve">Payback simple</t>
  </si>
  <si>
    <t xml:space="preserve">Mes 94</t>
  </si>
  <si>
    <t xml:space="preserve">Payback descontado</t>
  </si>
  <si>
    <t xml:space="preserve">Mes 120 (no cruza por −$463: equilibrio exacto)</t>
  </si>
  <si>
    <t xml:space="preserve">Consistente con VPN=0: el flujo descontado cruza cero justo al final del horizonte</t>
  </si>
  <si>
    <t xml:space="preserve">Aporte de capital del inversionista</t>
  </si>
  <si>
    <t xml:space="preserve">Igual al del escenario BÁSICO: en el equilibrio la tienda opera con la dotación BÁSICA (regla SUP_OPEX 8.4); el aporte casi no depende del volumen</t>
  </si>
  <si>
    <t xml:space="preserve">Inversión total (con waterfall)</t>
  </si>
  <si>
    <t xml:space="preserve">PDV al año 10 / Toneladas/mes año 10</t>
  </si>
  <si>
    <t xml:space="preserve">50 PDV · 286 t/mes</t>
  </si>
  <si>
    <t xml:space="preserve">Valor total con perpetuidad (VPN + valor terminal)</t>
  </si>
  <si>
    <t xml:space="preserve">Positivo: el negocio maduro vale más allá del horizonte de 120 m</t>
  </si>
  <si>
    <t xml:space="preserve">4. LA CADENA AÑO A AÑO EN EQUILIBRIO (snapshot, USD)</t>
  </si>
  <si>
    <t xml:space="preserve">Año →</t>
  </si>
  <si>
    <t xml:space="preserve">PDV a fin de año</t>
  </si>
  <si>
    <t xml:space="preserve">Ingresos del año</t>
  </si>
  <si>
    <t xml:space="preserve">EBITDA del año</t>
  </si>
  <si>
    <t xml:space="preserve">Inversión del año (CAPEX + depósitos + WC)</t>
  </si>
  <si>
    <t xml:space="preserve">Flujo de caja libre (FCF) del año</t>
  </si>
  <si>
    <t xml:space="preserve">FCF acumulado</t>
  </si>
  <si>
    <t xml:space="preserve">Toneladas de pollo promedio/mes</t>
  </si>
  <si>
    <t xml:space="preserve">Toneladas de pollo del año</t>
  </si>
  <si>
    <t xml:space="preserve">VIGENCIA DEL SNAPSHOT — supuestos usados en la bisección vs. valores vivos del modelo</t>
  </si>
  <si>
    <t xml:space="preserve">Supuesto</t>
  </si>
  <si>
    <t xml:space="preserve">Snapshot</t>
  </si>
  <si>
    <t xml:space="preserve">Actual (vivo)</t>
  </si>
  <si>
    <t xml:space="preserve">Estado</t>
  </si>
  <si>
    <t xml:space="preserve">WACC anual (SUP_CONTROL C31)</t>
  </si>
  <si>
    <t xml:space="preserve">Switch CAPA 1 — Piloto</t>
  </si>
  <si>
    <t xml:space="preserve">Switch CAPA 2 — Flagship</t>
  </si>
  <si>
    <t xml:space="preserve">Switch CAPA 3 — Expansión</t>
  </si>
  <si>
    <t xml:space="preserve">Switch CAPA 4 — Retail</t>
  </si>
  <si>
    <t xml:space="preserve">Ingreso neto por pollo equivalente (USD)</t>
  </si>
  <si>
    <t xml:space="preserve">Margen de contribución por pollo (USD)</t>
  </si>
  <si>
    <t xml:space="preserve">ISLR (%)</t>
  </si>
  <si>
    <t xml:space="preserve">Aporte adicional de socios (USD)</t>
  </si>
  <si>
    <t xml:space="preserve">Uplift DINE-IN sobre ventana (%)</t>
  </si>
  <si>
    <t xml:space="preserve">Uplift FLAGSHIP sobre ventana (%)</t>
  </si>
  <si>
    <t xml:space="preserve">Si cualquier fila marca ⚠, el volumen de equilibrio (C6) y todo el snapshot deben recalcularse por bisección (Goal Seek sobre SUP_VOLUMEN!E16 → CONSOLIDADO!C25 = 0 con la configuración deseada). Residuo de la última bisección (v12, 27-sep-2026): VPN = -463 USD en 3,579.2 pollos/mes.</t>
  </si>
  <si>
    <t xml:space="preserve">Costo del kg beneficiado (SUP_POLLO C13)</t>
  </si>
  <si>
    <t xml:space="preserve">Peso crudo beneficiado por pollo (SUP_POLLO C18)</t>
  </si>
  <si>
    <t xml:space="preserve">SENS_POLLO — SENSIBILIDAD DEL PLAN AL PESO Y AL COSTO DEL POLLO · BANDA DE COSTO · TUMBLER (v12)</t>
  </si>
  <si>
    <t xml:space="preserve">Secciones 1 y 6: fórmulas vivas (responden a SUP_POLLO y SUP_COSTOS). Secciones 2 a 5: snapshot de corridas completas del modelo (cada celda = el libro entero recalculado con ese peso y costo), vigencia controlada en la sección 7.</t>
  </si>
  <si>
    <t xml:space="preserve">Azul = eje editable o valor de snapshot · Negro = fórmula · Verde = vínculo · Borde grueso = base v12 (1,65 kg × 2,20 USD/kg) · Rojo = destruye valor / fuera de meta</t>
  </si>
  <si>
    <t xml:space="preserve">1. ECONOMÍA POR AVE — EN VIVO (cambie los ejes azules: costo en la fila 6, peso en la columna B de 1.1)</t>
  </si>
  <si>
    <t xml:space="preserve">Eje de costo del kg beneficiado (USD/kg) →</t>
  </si>
  <si>
    <t xml:space="preserve">1,70 estándar (Frank) · 1,815 real ago en dólar de mercado · 2,00 · 2,20 Finanzas (base v12) · 2,42 real ago a tasa BCV · 2,60 estrés</t>
  </si>
  <si>
    <t xml:space="preserve">1.1 Costo del pollo por ave (USD) = peso crudo × costo del kg</t>
  </si>
  <si>
    <t xml:space="preserve">Peso ↓ · USD/kg →</t>
  </si>
  <si>
    <t xml:space="preserve">El costo del kg es precio de transferencia por kg BENEFICIADO; el pollo más liviano baja el costo por ave en proporción directa a su peso.</t>
  </si>
  <si>
    <t xml:space="preserve">1.2 Margen bruto del combo insignia AS-01 (%) — misma fórmula que la ficha (SUP_COSTOS filas 70-101)</t>
  </si>
  <si>
    <t xml:space="preserve">1.3 Costo del pollo ÷ precio neto del combo AS-01 (meta ≤ SUP_POLLO!C61)</t>
  </si>
  <si>
    <t xml:space="preserve">1.4 Costo máximo del kg que cumple la meta del indicador, por peso (en vivo)</t>
  </si>
  <si>
    <t xml:space="preserve">Peso</t>
  </si>
  <si>
    <t xml:space="preserve">USD/kg máximo</t>
  </si>
  <si>
    <t xml:space="preserve">Colchón vs costo activo</t>
  </si>
  <si>
    <t xml:space="preserve">2. MAPA DEL PROYECTO COMPLETO — snapshot de 48 corridas del libro v12 (27-sep-2026) · escenario MEDIO · piloto + expansión · precio 11,90</t>
  </si>
  <si>
    <t xml:space="preserve">Cada celda es el modelo completo recalculado (fichas → capas → planta → logística → waterfall de expansión → CONSOLIDADO) con ese peso y ese costo. Receta v12: marinado 150 g/kg, apanado corregido.</t>
  </si>
  <si>
    <t xml:space="preserve">2.1 VPN a 120 meses (millones de USD)</t>
  </si>
  <si>
    <t xml:space="preserve">1.700</t>
  </si>
  <si>
    <t xml:space="preserve">1.815</t>
  </si>
  <si>
    <t xml:space="preserve">2.000</t>
  </si>
  <si>
    <t xml:space="preserve">2.200</t>
  </si>
  <si>
    <t xml:space="preserve">2.420</t>
  </si>
  <si>
    <t xml:space="preserve">2.600</t>
  </si>
  <si>
    <t xml:space="preserve">Azul claro: VPN ≥ plan v11 con receta corregida (2,0 kg × 1,70 = 2.12 M). Rojo: el proyecto destruye valor.</t>
  </si>
  <si>
    <t xml:space="preserve">2.2 Margen bruto ponderado del menú (%)</t>
  </si>
  <si>
    <t xml:space="preserve">2.3 TIR anual del proyecto (120 m)</t>
  </si>
  <si>
    <t xml:space="preserve">2.4 EBITDA mensual de una tienda ventana madura (USD)</t>
  </si>
  <si>
    <t xml:space="preserve">2.5 Payback descontado (mes; 'no' = no recupera en 120 m)</t>
  </si>
  <si>
    <t xml:space="preserve">no</t>
  </si>
  <si>
    <t xml:space="preserve">3. BANDA DE COSTO POR PESO — ¿hasta qué costo del kg aguanta el plan? (C-E y H: snapshot interpolado · F-G: vivo)</t>
  </si>
  <si>
    <t xml:space="preserve">VPN a 2,20 (M USD)</t>
  </si>
  <si>
    <t xml:space="preserve">Costo de ruptura: VPN = 0 (USD/kg)</t>
  </si>
  <si>
    <t xml:space="preserve">Costo para VPN = plan v11 corregido</t>
  </si>
  <si>
    <t xml:space="preserve">Costo máx. meta indicador (vivo)</t>
  </si>
  <si>
    <t xml:space="preserve">Colchón: ruptura − costo activo (vivo)</t>
  </si>
  <si>
    <t xml:space="preserve">Pollos/mes de equilibrio a 2,20</t>
  </si>
  <si>
    <t xml:space="preserve">Lectura: con el ave de 1,65 kg el plan resiste hasta ~2,40 USD/kg antes de destruir valor; con 2,0 kg solo hasta ~1,95. El peso es la protección natural contra el costo del alimento.</t>
  </si>
  <si>
    <t xml:space="preserve">—</t>
  </si>
  <si>
    <t xml:space="preserve">Pollos de equilibrio: bisección sobre el volumen de la ventana (método de PUNTO_EQUILIBRIO) con el libro completo.</t>
  </si>
  <si>
    <t xml:space="preserve">&gt;2,60</t>
  </si>
  <si>
    <t xml:space="preserve">4. PUENTE v11 → v12 — qué explica el cambio del VPN (snapshot)</t>
  </si>
  <si>
    <t xml:space="preserve">Paso</t>
  </si>
  <si>
    <t xml:space="preserve">Peso (kg)</t>
  </si>
  <si>
    <t xml:space="preserve">USD/kg</t>
  </si>
  <si>
    <t xml:space="preserve">VPN 120 m (USD)</t>
  </si>
  <si>
    <t xml:space="preserve">Δ VPN vs paso anterior</t>
  </si>
  <si>
    <t xml:space="preserve">Margen bruto menú</t>
  </si>
  <si>
    <t xml:space="preserve">v11 — 2,0 kg × 1,70 (receta v11)</t>
  </si>
  <si>
    <t xml:space="preserve">Las correcciones de receta son ajenas al cambio de costo y peso pero se aplicaron porque escalan con el peso del ave: el marinado estaba cargado al doble y el apanado casi en cero.</t>
  </si>
  <si>
    <t xml:space="preserve">+ costo del kg a 2,20 (Finanzas)</t>
  </si>
  <si>
    <t xml:space="preserve">+ peso crudo a 1,65 kg</t>
  </si>
  <si>
    <t xml:space="preserve">+ corrección del marinado (150 g/kg, receta del Chef)</t>
  </si>
  <si>
    <t xml:space="preserve">+ corrección del apanado (error de unidad en v11) = BASE v12</t>
  </si>
  <si>
    <t xml:space="preserve">Referencia — no hacer nada: 2,0 kg × 2,20 con receta v12</t>
  </si>
  <si>
    <t xml:space="preserve">Referencia — plan v11 con la receta corregida (2,0 kg × 1,70)</t>
  </si>
  <si>
    <t xml:space="preserve">5. PRECIO DE VENTA COMO PALANCA DE RESERVA — base v12, todos los combos de pollo suben igual (elasticidad MEDIO −1,0)</t>
  </si>
  <si>
    <t xml:space="preserve">Caso</t>
  </si>
  <si>
    <t xml:space="preserve">Precio AS-01 con IVA</t>
  </si>
  <si>
    <t xml:space="preserve">Pollos/mes ventana</t>
  </si>
  <si>
    <t xml:space="preserve">EBITDA/mes ventana</t>
  </si>
  <si>
    <t xml:space="preserve">Base v12 — precio 11,90</t>
  </si>
  <si>
    <t xml:space="preserve">Subir precio mejora el VPN pero sacrifica volumen por tienda, contra la estrategia de volumen de JHS (&gt; 4.200 pollos/mes). Es la última palanca, no la primera.</t>
  </si>
  <si>
    <t xml:space="preserve">+4,2% en combos de pollo</t>
  </si>
  <si>
    <t xml:space="preserve">+8,4% en combos de pollo</t>
  </si>
  <si>
    <t xml:space="preserve">6. EL TUMBLER: PESO Y PERCEPCIÓN — en vivo desde SUP_POLLO (retención C30, rendimientos C31-C32)</t>
  </si>
  <si>
    <t xml:space="preserve">6.1 Peso cocido servido (kg) según peso crudo y retención de marinada</t>
  </si>
  <si>
    <t xml:space="preserve">Peso crudo ↓ · retención →</t>
  </si>
  <si>
    <t xml:space="preserve">6.2 'Peso percibido': kg crudos SIN marinar que darían el mismo pollo cocido</t>
  </si>
  <si>
    <t xml:space="preserve">Azul: el pollo MOY'S cocido equivale a un pollo de 2,0 kg o más sin marinar (el tamaño que el plan v11 suponía que exigía el mercado).</t>
  </si>
  <si>
    <t xml:space="preserve">6.3 Kg crudos que necesita MOY'S para igualar el cocido de un pollo de referencia SIN marinar</t>
  </si>
  <si>
    <t xml:space="preserve">Referencia ↓ · retención →</t>
  </si>
  <si>
    <t xml:space="preserve">6.4 Ahorro por ave vs comprar el pollo de referencia (USD al costo activo del kg)</t>
  </si>
  <si>
    <t xml:space="preserve">Ahorro mensual de la red piloto con la retención activa vs comprar pollos de 2,0 kg (USD/mes)</t>
  </si>
  <si>
    <t xml:space="preserve">Mismo pollo en la mesa, menos kilos comprados. Condición: que la prueba de producto confirme la retención (SUP_POLLO!C30) y el rendimiento de cocción (C31).</t>
  </si>
  <si>
    <t xml:space="preserve">6.5 Capacidad según el peso — tumbler de planta y horno del PDV (* horno = hipótesis de prueba, fuera de la base)</t>
  </si>
  <si>
    <t xml:space="preserve">Peso crudo</t>
  </si>
  <si>
    <t xml:space="preserve">Pollos por batch de tumbler</t>
  </si>
  <si>
    <t xml:space="preserve">Capacidad tumbler F1 (pollos/mes)</t>
  </si>
  <si>
    <t xml:space="preserve">Utilización por la red piloto</t>
  </si>
  <si>
    <t xml:space="preserve">Pollos por carga de horno*</t>
  </si>
  <si>
    <t xml:space="preserve">Ciclo de horno (min)*</t>
  </si>
  <si>
    <t xml:space="preserve">Pollos/hora por horno*</t>
  </si>
  <si>
    <t xml:space="preserve">Rojo: la red piloto supera el gatillo de 85% de la Fase 1 y adelanta la inversión de Fase 2.</t>
  </si>
  <si>
    <t xml:space="preserve">7. VIGENCIA DEL SNAPSHOT (secciones 2 a 5) — supuestos usados en las corridas vs valores vivos</t>
  </si>
  <si>
    <t xml:space="preserve">Vivo</t>
  </si>
  <si>
    <t xml:space="preserve">Marinada aplicada (g/kg) — SUP_POLLO C29</t>
  </si>
  <si>
    <t xml:space="preserve">Predust (g/kg) — SUP_COSTOS D26</t>
  </si>
  <si>
    <t xml:space="preserve">Batter (g/kg) — SUP_COSTOS D25</t>
  </si>
  <si>
    <t xml:space="preserve">Margen de error de fichas — SUP_COSTOS C15</t>
  </si>
  <si>
    <t xml:space="preserve">Precio AS-01 con IVA — SUP_PRECIOS D8</t>
  </si>
  <si>
    <t xml:space="preserve">Pollos/mes ventana MEDIO — SUP_VOLUMEN D16</t>
  </si>
  <si>
    <t xml:space="preserve">WACC — SUP_CONTROL C31</t>
  </si>
  <si>
    <t xml:space="preserve">Switch expansión — SUP_CONTROL C13</t>
  </si>
  <si>
    <t xml:space="preserve">Switch flagship — SUP_CONTROL C12</t>
  </si>
  <si>
    <t xml:space="preserve">Switch retail — SUP_CONTROL C14</t>
  </si>
  <si>
    <t xml:space="preserve">Retención de marinada (solo sección 6) — SUP_POLLO C30</t>
  </si>
  <si>
    <t xml:space="preserve">PROYECTO MOY'S — LIBRO DE SUPUESTOS Y PROYECCIONES (v12)</t>
  </si>
  <si>
    <t xml:space="preserve">PROYECTO MOY'S — LIBRO DE SUPUESTOS Y PROYECCIONES (v3)</t>
  </si>
  <si>
    <t xml:space="preserve">VentureMe · Fábrica de Consultoría Inteligente — Cliente: JHS Agroindustria / Agropecuaria El Dorado 2013 C.A.</t>
  </si>
  <si>
    <t xml:space="preserve">Módulo 1 — Fase B · Modelo integral del proyecto MOY'S · Agosto 2026 · Confidencial</t>
  </si>
  <si>
    <t xml:space="preserve">Propósito</t>
  </si>
  <si>
    <t xml:space="preserve">Este libro consolida TODOS los supuestos del proyecto MOY'S en hojas independientes, 100% formuladas en cascada, Y las proyecciones completas: 4 capas de negocio activables, P&amp;G (PL), consolidado con FCD (VPN/TIR/payback), resumen ejecutivo comparado por escenarios y punto de equilibrio.</t>
  </si>
  <si>
    <t xml:space="preserve">Código de colores</t>
  </si>
  <si>
    <t xml:space="preserve">Texto AZUL = celda editable (input) · Texto NEGRO = fórmula (no editar) · Texto VERDE = vínculo a otra hoja · Fondo ÁMBAR = palanca clave del negocio. Todas las hojas de supuestos comparten el mismo color de etiqueta (azul VentureMe).</t>
  </si>
  <si>
    <t xml:space="preserve">Menú propuesto MOY'S basado en la oferta de los competidores relevados (19 marcas / 696 productos), mezcla de formatos y conversión de pollos → unidades vendidas por producto.</t>
  </si>
  <si>
    <t xml:space="preserve">Política de precios: precio con IVA editable por producto, precio neto (sin IVA 16%), costo (vínculo a fichas), margen unitario y %, ingreso y margen de contribución mensual por producto y participación en ventas.</t>
  </si>
  <si>
    <t xml:space="preserve">El alma del negocio: fichas técnicas v2 del Chef (Edgar Urrea) — receta completa de los 17 productos, con supuestos generales editables y margen de error. Los precios de insumos se jalan por VLOOKUP desde SUP_INSUMOS (243 ítems, anexo ago-2026).</t>
  </si>
  <si>
    <t xml:space="preserve">CAPEX v3 (precios verificados ago-2026) del centro de producción en Tejerías: factor de nacionalización editable, línea batch Fase 1 con IQF desde el inicio, fases de ampliación 2-4 autofinanciadas, kit de continuidad de red, adecuación de nave, preoperativos y capital de trabajo, y — sección 8 de SUP_PRODUCCION — la logística de distribución planta→PDV. SIN inversión en know-how (ver nota en la hoja).</t>
  </si>
  <si>
    <t xml:space="preserve">CAPEX v3 del formato VENTANA / to-go (40 m², diseño 800 pollos/día): 2 hornos FRG8VE, 2 vitrinas, tecnología y resiliencia (CCTV, conectividad, inversor), adecuación y preoperativos.</t>
  </si>
  <si>
    <t xml:space="preserve">CAPEX v3 del formato DINE-IN / in-line (80 m²): misma capacidad de cocción que ventana + salón, filtro de aceite motorizado y generador 15 kVA.</t>
  </si>
  <si>
    <t xml:space="preserve">CAPEX v3 del FLAGSHIP (400 m² interiores, 150 puestos, drive-through, área infantil): equipamiento + adecuación interior. El terreno y la obra civil mayor van en el presupuesto inmobiliario JHS, aparte (decisión 18-ago).</t>
  </si>
  <si>
    <t xml:space="preserve">El pilar del modelo (bottom-up): pollos/mes por PDV con evidencia de campo, tres escenarios (Básico / Medio / Alto), elasticidad-precio editable que ajusta el volumen si cambia el precio, uplift por formato y salidas de red.</t>
  </si>
  <si>
    <t xml:space="preserve">Cadena de cálculo</t>
  </si>
  <si>
    <t xml:space="preserve">SUP_VOLUMEN (pollos, con elasticidad sobre el precio de SUP_PRECIOS) → SUP_MENU (unidades por producto) → SUP_PRECIOS (ingreso y margen de contribución) ← SUP_COSTOS (fichas). CAPEX alimentará el FCD en la Etapa 2.</t>
  </si>
  <si>
    <t xml:space="preserve">Reglas del modelo</t>
  </si>
  <si>
    <t xml:space="preserve">Sin totales quemados: toda cifra de salida es fórmula. Los precios se editan CON IVA; el IVA (16%) se descuenta para ingresos y márgenes. Sin montos de honorarios (Módulo 1 VentureME fuera del modelo) y sin costos de know-how / transferencia de conocimiento — los asume JHS aparte.</t>
  </si>
  <si>
    <t xml:space="preserve">Fuentes</t>
  </si>
  <si>
    <t xml:space="preserve">Estudio de Mercado Comparativo Caracas jul-2026 · Avalúo Pollo Cool jul-2026 · Anexo Supuestos_MOYS_v2_ajustada (fichas e insumos del Chef Urrea, ago-2026) · Anexo CAPEX_Piloto_MOYS_v3 (precios verificados ago-2026) · Anexo Perfiles_Cargos v2 · Referencias de elasticidad citadas en SUP_VOLUMEN.</t>
  </si>
  <si>
    <t xml:space="preserve">Nota de confidencialidad</t>
  </si>
  <si>
    <t xml:space="preserve">Documento confidencial de uso exclusivo JHS / VentureMe. Cifras de planeación: los equipos de mayor sensibilidad (horno espiral, IQF, freidoras Broaster) requieren cotización formal antes de comprometer capital.</t>
  </si>
  <si>
    <t xml:space="preserve">ACTUALIZACIÓN V2 — MODELO POR CAPAS</t>
  </si>
  <si>
    <t xml:space="preserve">• V2 convierte el libro en un modelo de proyecto por CAPAS activables desde SUP_CONTROL (segunda pestaña): escenario maestro + switches 1/0.</t>
  </si>
  <si>
    <t xml:space="preserve">• CAPA 1 (pestaña verde): piloto con mezcla editable 7 ventanas + 3 dine-in y planta Fase 1, evaluado a 36 meses.</t>
  </si>
  <si>
    <t xml:space="preserve">• CAPA 2 (naranja): flagship de 400 m² / 150 sillas con mes de apertura editable — enciéndalo/apáguelo y compare CONSOLIDADO para decidir con números.</t>
  </si>
  <si>
    <t xml:space="preserve">• CAPA 3 (morado): expansión autofinanciada con el flujo de caja libre (waterfall: gastos → impuestos → reserva de 30 días → planta → nuevos PDV), hasta el tope de cadena, con ramp-up, canibalización editable y detalle PDV por PDV.</t>
  </si>
  <si>
    <t xml:space="preserve">• PRODUCCIÓN (verde azulado): demanda de pollo de la cadena vs capacidad por fase; la planta se amplía sola desde el waterfall al superar el 85% de utilización.</t>
  </si>
  <si>
    <t xml:space="preserve">• CAPA 4 (café): línea retail de prelistos (nuggets, hamburguesas, preformados) como capítulo aparte.</t>
  </si>
  <si>
    <t xml:space="preserve">• CONSOLIDADO (dorado): FCD del proyecto completo — VPN, TIR, payback e inversión cambian al mover switches y escenario.</t>
  </si>
  <si>
    <t xml:space="preserve">• Los escenarios de volumen ventana son ahora un input directo de la dirección: 1.848 / 3.028 / 4.209 pollos/mes (SUP_VOLUMEN fila 16). El flagship vende el doble de una ventana.</t>
  </si>
  <si>
    <t xml:space="preserve">• SISTEMAS (azul marino): SUP_TECNOLOGIA (POS por formato editable + fondo tecnológico) y SUP_OVERHEAD (estructura corporativa con dilución en % de ingresos) sustituyen el fijo genérico de planta del modelo v1.</t>
  </si>
  <si>
    <t xml:space="preserve">• Regla de colores intacta: azul = editable · negro = fórmula · verde = vínculo · ámbar = palanca. Sin totales quemados.</t>
  </si>
  <si>
    <t xml:space="preserve">ACTUALIZACIÓN V3 — AGOSTO 2026</t>
  </si>
  <si>
    <t xml:space="preserve">• COSTOS REALES: nueva hoja SUP_INSUMOS (lista de precios del Chef, 243 ítems) y SUP_COSTOS reconstruida con las fichas v2 — el margen ponderado del menú y todo el P&amp;G se recalculan desde ahí. AD-03 (hallaquitas adicionales) apagado por decisión de la dirección (attach = 0 en SUP_MENU).</t>
  </si>
  <si>
    <t xml:space="preserve">• CAPEX v3 verificado en las 4 hojas de inversión: regla de capacidad de la dirección (800 pollos/día por PDV, hornos FRG8VE), flagship sin terreno ni obra civil mayor (presupuesto inmobiliario JHS aparte), planta F1 con IQF y kit de continuidad de red. El know-how / transferencia de conocimiento NO tiene costo en el proyecto: lo aportan los funcionarios de JHS (decisión de la dirección); tampoco se incluyen los honorarios del Módulo 1 con VentureME.</t>
  </si>
  <si>
    <t xml:space="preserve">• FASE 4 DE PLANTA: cuarta ampliación (549,9 t/mes) para que el escenario ALTO no desborde la capacidad; se autofinancia del waterfall con la misma lógica de las fases 2-3.</t>
  </si>
  <si>
    <t xml:space="preserve">• LOGÍSTICA DE DISTRIBUCIÓN (antes no modelada): SUP_PRODUCCION sección 8 — tarifa tercerizada en piloto, flota propia refrigerada desde la Fase 2 (camiones en el CAPEX de las fases); cada capa paga su logística por sus kilos (PROD_DEMANDA filas 16-17) y el PL la muestra como línea propia. Tarifas de planeación POR COTIZAR.</t>
  </si>
  <si>
    <t xml:space="preserve">• RESUMEN_EJECUTIVO (nueva, dorada): KPIs en vivo del escenario activo, comparación BÁSICO/MEDIO/ALTO, toneladas y ventas año a año, unit economics por formato y el análisis del efecto flagship (12 corridas del modelo: el flagship sube el aporte +$534k y resta VPN en los 3 escenarios).</t>
  </si>
  <si>
    <t xml:space="preserve">• Los snapshots de escenarios/configuraciones del resumen y el equilibrio son corridas del 19-ago-2026; la columna del escenario activo es 100% en vivo. Los controles de cuadre (PL 167-178 y CONSOLIDADO C37-C38) vigilan cualquier edición manual.</t>
  </si>
  <si>
    <t xml:space="preserve">• TRANSFORMACIÓN DE PLANTA (definición 19-ago): el ave llega ENTERA y CRUDA vendida por otra empresa del grupo ($1,25/kg) y la planta la procesa. Nueva hoja SUP_PLANTA_OPEX: nómina de planta por fase (ingeniero $2.500, calidad $1.400, operarios $250 — plantilla multiproceso que crece con el volumen), nave rentada a $5/m² (200→700 m²), túnel de congelación $0,01/kg, mantenimiento y seguros. Cae como línea de COSTO DE VENTAS en el PL vía tarifa mensual por kg (PROD_DEMANDA filas 18-19). CAPEX: adecuación obra menor (200 m² × $120), preoperativos $35k y capital de trabajo (7 d fresco + 14 d congelado).</t>
  </si>
  <si>
    <t xml:space="preserve">• VOLÚMENES v3 (dirección 19-ago): BÁSICO 2.946 · MEDIO 3.367 (−20% del alto) · ALTO 4.209 pollos/mes por ventana (SUP_VOLUMEN fila 16).</t>
  </si>
  <si>
    <t xml:space="preserve">• ACELERADOR DE EXPANSIÓN (nuevo editable): SUP_CONTROL!C24 (monto) y E24 (mes) — aporte adicional y discrecional de socios que entra al pool del waterfall de la Capa 3; el modelo lo invierte solo respetando reserva y gatillos. En $0 por defecto. Sensibilidad: +$500k en mes 13 ≈ +$210k de VPN (MEDIO).</t>
  </si>
  <si>
    <t xml:space="preserve">ACTUALIZACIÓN V6 — 21 AGOSTO 2026 (PLAN DE PERSONAL POR ESCENARIO)</t>
  </si>
  <si>
    <t xml:space="preserve">• SUP_OPEX sección 8 (nueva): manpower plan por formato y escenario — dotación titular editable, malla de 2 turnos solapados (atención 10 am – 10 pm), descansos de 2 días continuos entre semana y equipo completo sáb–dom (spec de la dirección).</t>
  </si>
  <si>
    <t xml:space="preserve">• SUPERNUMERARIOS: pool polivalente que cubre los descansos — FTE = MAX(0; requerida entre semana − 0,6 × titulares), banda de operario + prima de movilidad editable (10%).</t>
  </si>
  <si>
    <t xml:space="preserve">• REFUERZOS DE PICO (FTE editables) y RECARGO DOMINICAL LOTTT (50% editable sobre 1/7 de la nómina): incluidos en la nómina cargada de cada formato.</t>
  </si>
  <si>
    <t xml:space="preserve">• La dotación de la sección 1 ahora es CHOOSE del escenario activo (SUP_CONTROL!C6) sobre la matriz 8.1; el HCM incluye gerente/cajero a tarifa coordinador y los supernumerarios como operativos. Todo cascadea a las capas 1–4.</t>
  </si>
  <si>
    <t xml:space="preserve">• PUNTO_EQUILIBRIO re-calculado por bisección con la nómina v6 (snapshot 21-ago-2026).</t>
  </si>
  <si>
    <t xml:space="preserve">ACTUALIZACIÓN V9 — TESORERÍA DEL PROYECTO APROBADO (septiembre 2026)</t>
  </si>
  <si>
    <t xml:space="preserve">• ALCANCE APROBADO: piloto de 10 PDV (7 ventana + 3 dine-in) y planta Fase 1 de pollo a la brasa y pollo apanado; la expansión posterior se autofinancia con la caja del propio negocio. El flagship y la línea retail quedan fuera del alcance aprobado y están APAGADOS en SUP_CONTROL (C12 = 0, C14 = 0) y en el flujo de caja (FC_SUPUESTOS!C12 = 0). RESUMEN_EJECUTIVO y PUNTO_EQUILIBRIO están recalculados con esta configuración (snapshots del 21-sep-2026).</t>
  </si>
  <si>
    <t xml:space="preserve">• SIETE HOJAS DE TESORERÍA, en orden de lectura: FC_SUPUESTOS (todas las palancas editables) → FC_CRONOGRAMA (calendario mensual de importación, obra y aperturas) → FC_GANTT (cronograma maestro semanal) → FC_FLUJO_CAJA (flujo mensual a 60 meses, cuenta por cuenta) → FC_DESEMBOLSOS (cuánto aportar, cuándo y para qué) → FC_PAGOS_SEMANALES (programación semanal de pagos del primer año) → FC_CHEQUEO (cuadre rubro por rubro).</t>
  </si>
  <si>
    <t xml:space="preserve">• FECHA DE INICIO: FC_SUPUESTOS!C14 — lunes de la semana en que se paga el anticipo de los equipos (hoy: primera semana de octubre de 2026). Define el mes 1 del flujo, la semana 1 del Gantt y la semana 1 de la programación de pagos; al moverla se reprograma todo el calendario.</t>
  </si>
  <si>
    <t xml:space="preserve">• LA PLANTA MARCA EL RITMO: el mes de planta operativa resulta de la orden de compra más fabricación, tránsito, nacionalización y montaje (FC_SUPUESTOS §2). Ninguna tienda abre antes de esa fecha; si el calendario de CAPA1_PILOTO no cabe, el flujo lo desplaza y lo informa en el diagnóstico de factibilidad (FC_SUPUESTOS!C41).</t>
  </si>
  <si>
    <t xml:space="preserve">• PERFIL DE PAGO DEL CAPEX: cada rubro se paga en su hito real — anticipo a la orden de compra, saldo contra embarque, flete y seguro, arancel y nacionalización, equipo local, obra civil, preoperativos y contingencia (FC_SUPUESTOS §3 y §7). La descomposición reproduce exactamente las hojas de CAPEX.</t>
  </si>
  <si>
    <t xml:space="preserve">• PERSONAL Y ESTRUCTURA CORPORATIVA CARGO POR CARGO (FC_SUPUESTOS §11, FC_FLUJO_CAJA B.1 a B.3): cada cargo entra en su mes según el Documento Maestro, capítulo 19. El piso directivo (Gerente General, Director de Expansión, Coordinador de Mercadeo, Analista de Operaciones) entra en el mes de SUP_OVERHEAD!C27 y dirige todo el preoperativo; el Coordinador de Entrenamiento y el Analista de RRHH, un mes antes; el Jefe de Calidad en el año 2 y el Contralor en el año 3. En planta, el ingeniero de planta entra con el montaje, y el ingeniero de calidad y los operarios un mes antes de producir. En tienda, el personal cobra un mes de entrenamiento antes de abrir. Los gastos generales corporativos y los costos de contratación quedan en cero por decisión de la dirección; los directores de área pueden activarlos en FC_SUPUESTOS §11.</t>
  </si>
  <si>
    <t xml:space="preserve">• CAPITAL DE TRABAJO: de planta (21 días de ave, SUP_PLANTA_OPEX) y de los PDV (inventario a costo variable, cartera de medios de pago y crédito de proveedores, FC_SUPUESTOS §4).</t>
  </si>
  <si>
    <t xml:space="preserve">• DESEMBOLSOS: el flujo de tesorería mantiene como saldo mínimo 1 mes de gasto fijo de la red (FC_SUPUESTOS!C72, decisión de la dirección); no es una salida, y cada aporte se dimensiona para sostenerlo y se redondea al tramo mínimo (FC_SUPUESTOS §5). El modelo de evaluación conserva su caja de arranque de 3 meses (SUP_CONTROL!C18).</t>
  </si>
  <si>
    <t xml:space="preserve">• PROGRAMACIÓN SEMANAL: cada concepto del flujo mensual se reparte en las semanas de su mes según su regla de pago (FC_SUPUESTOS §9: prorrata, quincenal, semana específica o última semana). La suma de las semanas reproduce cada mes del flujo y el saldo de la última semana coincide con el saldo mensual.</t>
  </si>
  <si>
    <t xml:space="preserve">• CÓMO EDITAR: solo las celdas azules de FC_SUPUESTOS y, por actividad, el desfase y la duración en FC_GANTT. Nada del flujo, del Gantt ni de la programación de pagos se escribe a mano.</t>
  </si>
  <si>
    <t xml:space="preserve">• CONTROLES: FC_CHEQUEO!E104 debe marcar cero verificaciones fallidas; FC_GANTT y FC_PAGOS_SEMANALES tienen además sus propios cuadres contra el flujo de caja.</t>
  </si>
  <si>
    <t xml:space="preserve">• DOS CIFRAS DE APORTE, DOS PREGUNTAS DISTINTAS: RESUMEN_EJECUTIVO!C9 mide el cheque de inversión del piloto con el calendario del plan (CAPEX + capital de trabajo inicial + depósitos) y sirve para evaluar el retorno; FC_DESEMBOLSOS!F10 mide la caja que hay que transferir mes a mes con el calendario real de importación, la operación en arranque y el saldo mínimo de caja, y es la cifra para planear la tesorería.</t>
  </si>
  <si>
    <t xml:space="preserve">• DOTACIÓN POR VOLUMEN (SUP_OPEX 8.4): el personal de cada tienda depende de su volumen de venta — dotación BÁSICA hasta 3.850 pollos/mes, MEDIA hasta 4.600 y ALTA por encima (puntos medios entre escenarios, editables). Los tres escenarios no cambian; el punto de equilibrio se calcula ahora con el personal que corresponde al volumen probado.</t>
  </si>
  <si>
    <t xml:space="preserve">• EQUIPO LOCAL DE PDV EN DOS GRUPOS (FC_SUPUESTOS §10): el grupo A — cava, campana y ductería, inox, trampa de grasas, aviso, aire acondicionado, generador o inversor — se ordena con 50% de anticipo 3 meses antes de abrir y se entrega al inicio de la obra, 2 meses antes, para quedar instalado antes de las inspecciones; el grupo B — POS, cómputo, menaje, mobiliario, exhibidoras, CCTV — se paga contra entrega un mes antes. Plazos, anticipo y clasificación de cada ítem son editables.</t>
  </si>
  <si>
    <t xml:space="preserve">ACTUALIZACIÓN V12 — 27 SEPTIEMBRE 2026 (COSTO DEL KG Y PESO DEL POLLO)</t>
  </si>
  <si>
    <t xml:space="preserve">• NUEVO PANEL SUP_POLLO: el costo del kg beneficiado (5 escenarios: 1,70 estándar · 1,815 real ago USD · 2,20 Finanzas · 2,42 real ago BCV · 2,60 estrés) y el peso crudo por pollo (base 1,65 kg) se editan SOLO allí y caen en cascada por SUP_INSUMOS fila 120 y SUP_COSTOS C6.</t>
  </si>
  <si>
    <t xml:space="preserve">• BASE v12: 1,65 kg × 2,20 USD/kg (Finanzas, tasa BCV). La cédula de costo de JHS es por kg BENEFICIADO (confirmado por la dirección 27-sep).</t>
  </si>
  <si>
    <t xml:space="preserve">• CORRECCIONES DE RECETA (escalan con el peso): marinado a 150 g por kg de ave (la ficha v11 cargaba 300 g por kg, el doble de la receta) y apanado broaster corregido (v11 usaba el precio por gramo como precio por kg: 0,0005 USD por pieza).</t>
  </si>
  <si>
    <t xml:space="preserve">• REGRESIÓN: con el panel en 2,0 kg × 1,70, marinado 300 g/kg y apanado v11, el libro reproduce el VPN de v11 al centavo (2.738.917,38). La cascada es íntegra.</t>
  </si>
  <si>
    <t xml:space="preserve">• SENS_POLLO: economía por ave en vivo, mapa de 48 corridas completas, banda de costo por peso, puente v11→v12, precio como palanca de reserva y tabla de peso/percepción del tumbler.</t>
  </si>
  <si>
    <t xml:space="preserve">• SNAPSHOTS re-calculados con la base v12: RESUMEN_EJECUTIVO secciones 2-4 y 6 (12 corridas) y PUNTO_EQUILIBRIO por bisección.</t>
  </si>
  <si>
    <t xml:space="preserve">• AUDITORIA_V12: línea de verificación de 29 controles vivos + pruebas del comité. Debe marcar 0 fallidos.</t>
  </si>
  <si>
    <t xml:space="preserve">SUP_CONTROL — PANEL MAESTRO DEL MODELO POR CAPAS MOY'S</t>
  </si>
  <si>
    <t xml:space="preserve">Encienda o apague cada capa (1 = activa, 0 = apagada), elija el escenario y todo el libro cae en cascada hasta CONSOLIDADO.</t>
  </si>
  <si>
    <t xml:space="preserve">Azul = celda editable (input) · Negro = fórmula · Verde = vínculo a otra hoja · Fondo ámbar = palanca clave</t>
  </si>
  <si>
    <t xml:space="preserve">1. ESCENARIO DE CONSUMO DE POLLO (aplica a TODAS las capas)</t>
  </si>
  <si>
    <t xml:space="preserve">Escenario activo (1 = Básico · 2 = Medio · 3 = Alto)</t>
  </si>
  <si>
    <t xml:space="preserve">Palanca maestra: 1 = BÁSICO (1.848 pollos/mes/ventana) · 2 = MEDIO (3.028) · 3 = ALTO (4.209)</t>
  </si>
  <si>
    <t xml:space="preserve">Nombre del escenario activo</t>
  </si>
  <si>
    <t xml:space="preserve">Pollos/mes por PDV VENTANA — escenario activo (con elasticidad)</t>
  </si>
  <si>
    <t xml:space="preserve">Vínculo a SUP_VOLUMEN fila 23: input de dirección × ajuste por elasticidad-precio</t>
  </si>
  <si>
    <t xml:space="preserve">2. SWITCHES DE CAPAS (1 = encendida · 0 = apagada) — simule el proyecto capa por capa</t>
  </si>
  <si>
    <t xml:space="preserve">CAPA 1 — Piloto 10 PDV (mezcla editable en SUP_VOLUMEN §6)</t>
  </si>
  <si>
    <t xml:space="preserve">Piloto con planta Fase 1. Hoja CAPA1_PILOTO (pestaña VERDE).</t>
  </si>
  <si>
    <t xml:space="preserve">CAPA 2 — Flagship 400 m² / 150 sillas</t>
  </si>
  <si>
    <t xml:space="preserve">Unidad bandera independiente con CAPEX propio. Hojas NARANJAS. APAGADA: fuera del alcance aprobado (sep-2026). Encenderla solo para análisis; exige recalcular los snapshots de RESUMEN_EJECUTIVO y PUNTO_EQUILIBRIO.</t>
  </si>
  <si>
    <t xml:space="preserve">CAPA 3 — Expansión en cascada con FCL (hasta tope de cadena)</t>
  </si>
  <si>
    <t xml:space="preserve">Nuevos PDV financiados SOLO con el excedente de caja operativa (waterfall). Hojas MORADAS.</t>
  </si>
  <si>
    <t xml:space="preserve">CAPA 4 — Línea retail de prelistos (nuggets, hamburguesas, preformados)</t>
  </si>
  <si>
    <t xml:space="preserve">Canal B2C nuevo con línea de preformados en planta. Hojas CAFÉ. APAGADA: fuera del alcance aprobado (sep-2026).</t>
  </si>
  <si>
    <t xml:space="preserve">3. PARÁMETROS DE SIMULACIÓN (editables)</t>
  </si>
  <si>
    <t xml:space="preserve">Mes de apertura del FLAGSHIP (capa 2) — usar ≥ 4</t>
  </si>
  <si>
    <t xml:space="preserve">El CAPEX del flagship se despliega en los 3 meses previos a la apertura. Cambie el mes y mida el impacto en CONSOLIDADO.</t>
  </si>
  <si>
    <t xml:space="preserve">Capital de trabajo INICIAL — meses de gastos fijos de la red del piloto</t>
  </si>
  <si>
    <t xml:space="preserve">Se invierte en el mes 1 junto con la planta (spec: caja inicial de 3 meses de gastos fijos, editable).</t>
  </si>
  <si>
    <t xml:space="preserve">Capital de trabajo por PDV NUEVO — meses de gastos fijos del PDV</t>
  </si>
  <si>
    <t xml:space="preserve">Cada apertura (flagship y expansión) carga su propio capital de trabajo (default 1 mes, editable).</t>
  </si>
  <si>
    <t xml:space="preserve">Reserva mínima de caja del waterfall (días de gastos operativos)</t>
  </si>
  <si>
    <t xml:space="preserve">Antes de invertir en un PDV nuevo, la caja debe cubrir gastos operativos + esta reserva (spec: 30 días).</t>
  </si>
  <si>
    <t xml:space="preserve">Tope de PDV de la cadena (Gran Caracas)</t>
  </si>
  <si>
    <t xml:space="preserve">Techo de saturación del mercado según spec (incluye piloto + flagship + expansión).</t>
  </si>
  <si>
    <t xml:space="preserve">Horizonte de evaluación de la capa 1 (meses)</t>
  </si>
  <si>
    <t xml:space="preserve">Retorno del piloto a 36 meses; la planta se dimensiona para más capacidad y no se recupera en este plazo.</t>
  </si>
  <si>
    <t xml:space="preserve">Horizonte consolidado del proyecto (meses)</t>
  </si>
  <si>
    <t xml:space="preserve">10 años según spec de la capa 3.</t>
  </si>
  <si>
    <t xml:space="preserve">Aporte ADICIONAL de socios para ACELERAR la expansión (USD — 0 = solo waterfall)</t>
  </si>
  <si>
    <t xml:space="preserve">→ mes de la inyección:</t>
  </si>
  <si>
    <t xml:space="preserve">Entra al pool de caja de CAPA3 en el mes elegido; el modelo lo invierte solo (fases de planta y nuevos PDV) respetando la reserva mínima y los gatillos. Cuenta como aporte de socios en CONSOLIDADO y en el resumen de inversión.</t>
  </si>
  <si>
    <t xml:space="preserve">4. ECONOMÍA POR POLLO EQUIVALENTE (vínculos — mezcla de menú constante entre formatos)</t>
  </si>
  <si>
    <t xml:space="preserve">Ingreso neto por pollo equivalente (USD, sin IVA)</t>
  </si>
  <si>
    <t xml:space="preserve">Ingreso total del PDV ventana MEDIO ÷ pollos del PDV ventana MEDIO. La mezcla de menú es idéntica entre formatos: solo escala el volumen.</t>
  </si>
  <si>
    <t xml:space="preserve">Margen de contribución por pollo equivalente (USD)</t>
  </si>
  <si>
    <t xml:space="preserve">Margen (ingreso neto − costo directo de fichas técnicas) por pollo. Cae de SUP_PRECIOS/SUP_COSTOS.</t>
  </si>
  <si>
    <t xml:space="preserve">Kilos por pollo (peso crudo beneficiado — vínculo SUP_POLLO)</t>
  </si>
  <si>
    <t xml:space="preserve">Vínculo a SUP_COSTOS!C6 ← SUP_POLLO!C18. Mueve toneladas, planta, logística, transformación y capital de trabajo.</t>
  </si>
  <si>
    <t xml:space="preserve">Costo del kg beneficiado activo (USD/kg) — vínculo SUP_POLLO</t>
  </si>
  <si>
    <t xml:space="preserve">5. FINANZAS (editables)</t>
  </si>
  <si>
    <t xml:space="preserve">Tasa de descuento anual en USD (%)</t>
  </si>
  <si>
    <t xml:space="preserve">Costo de capital en USD con riesgo Venezuela (rango 20–35%). Palanca del VPN.</t>
  </si>
  <si>
    <t xml:space="preserve">Tasa de descuento mensual equivalente</t>
  </si>
  <si>
    <t xml:space="preserve">ISLR (%) sobre EBIT positivo del mes</t>
  </si>
  <si>
    <t xml:space="preserve">Tarifa 3 ISLR Venezuela. Conservador: sin arrastre de pérdidas fiscales.</t>
  </si>
  <si>
    <t xml:space="preserve">IVA (%) — solo informativo (los ingresos del modelo son netos de IVA)</t>
  </si>
  <si>
    <t xml:space="preserve">6. INGRESO ADICIONAL DEL FLAGSHIP (menú ampliado)</t>
  </si>
  <si>
    <t xml:space="preserve">Ingreso adicional por productos nuevos del menú (% sobre ingreso de pollo)</t>
  </si>
  <si>
    <t xml:space="preserve">Contornos ampliados, combos infantiles, bebidas de dispensador (equipo en comodato del proveedor) y otros nuevos productos: +5% editable.</t>
  </si>
  <si>
    <t xml:space="preserve">Margen de contribución del ingreso adicional (%)</t>
  </si>
  <si>
    <t xml:space="preserve">Mezcla de bebidas de dispensador (margen alto) y contornos/combos infantiles (margen medio).</t>
  </si>
  <si>
    <t xml:space="preserve">7. MAPA DE CAPAS Y COLORES DE PESTAÑA</t>
  </si>
  <si>
    <t xml:space="preserve">AZUL MARINO</t>
  </si>
  <si>
    <t xml:space="preserve">Este panel: escenario, switches y parámetros.</t>
  </si>
  <si>
    <t xml:space="preserve">VERDE</t>
  </si>
  <si>
    <t xml:space="preserve">Capa 1 — piloto 10 PDV + planta Fase 1, evaluación a 36 meses.</t>
  </si>
  <si>
    <t xml:space="preserve">NARANJA</t>
  </si>
  <si>
    <t xml:space="preserve">SUP_CAPEX_FLAGSHIP · CAPA2_FLAGSHIP</t>
  </si>
  <si>
    <t xml:space="preserve">Capa 2 — flagship 400 m²: CAPEX propio y proyección con mes de apertura editable.</t>
  </si>
  <si>
    <t xml:space="preserve">MORADO</t>
  </si>
  <si>
    <t xml:space="preserve">SUP_C3_EXPANSION · CAPA3_EXPANSION · CAPA3_PDV_DETALLE · CAPA3_DASHBOARD</t>
  </si>
  <si>
    <t xml:space="preserve">Capa 3 — expansión en cascada con FCL, ramp-up, canibalización y dashboard.</t>
  </si>
  <si>
    <t xml:space="preserve">VERDE AZULADO</t>
  </si>
  <si>
    <t xml:space="preserve">SUP_PRODUCCION · PROD_DEMANDA</t>
  </si>
  <si>
    <t xml:space="preserve">Modelo de producción: demanda de pollo, capacidad por fase y fases de inversión de planta.</t>
  </si>
  <si>
    <t xml:space="preserve">CAFÉ</t>
  </si>
  <si>
    <t xml:space="preserve">SUP_C4_RETAIL · CAPA4_RETAIL</t>
  </si>
  <si>
    <t xml:space="preserve">Capa 4 — línea retail de prelistos (capítulo aparte).</t>
  </si>
  <si>
    <t xml:space="preserve">DORADO</t>
  </si>
  <si>
    <t xml:space="preserve">Proyecto completo: suma de capas activas, VPN, TIR y payback del proyecto.</t>
  </si>
  <si>
    <t xml:space="preserve">SUP_POLLO — SUPUESTOS DEL AVE: COSTO DEL KG BENEFICIADO, PESO, TUMBLER Y BANDA DE CONTROL (v12)</t>
  </si>
  <si>
    <t xml:space="preserve">Panel único del ave. El costo del kg beneficiado y el peso crudo por pollo se editan SOLO aquí y caen en cascada: SUP_INSUMOS fila 120 → SUP_COSTOS (I01, C6, fichas) → SUP_PRECIOS → SUP_CONTROL (economía por pollo) → capas, PL, flujo de caja, CONSOLIDADO. Los kg también mueven planta, logística y capital de trabajo.</t>
  </si>
  <si>
    <t xml:space="preserve">Azul = celda editable (input) · Negro = fórmula · Verde = vínculo a otra hoja · Fondo ámbar = palanca clave · Filas 46-54 = hipótesis de prueba de producto que NO entran en la base del modelo</t>
  </si>
  <si>
    <t xml:space="preserve">1. COSTO DEL KG DE POLLO BENEFICIADO — precio de transferencia JHS (la cédula de costo de JHS es por kg BENEFICIADO, confirmado 27-sep-2026)</t>
  </si>
  <si>
    <t xml:space="preserve">Escenario de costo activo (1 a 5) — PALANCA MAESTRA DEL COSTO</t>
  </si>
  <si>
    <t xml:space="preserve">Elija 1-5. Base v12 = 3 (Finanzas, 2,20). Cada escenario mueve todo el libro. Regla de moneda: el costo y el precio de venta deben expresarse en el mismo dólar (ver fila 15).</t>
  </si>
  <si>
    <t xml:space="preserve">Escenario</t>
  </si>
  <si>
    <t xml:space="preserve">USD/kg benef.</t>
  </si>
  <si>
    <t xml:space="preserve">Moneda</t>
  </si>
  <si>
    <t xml:space="preserve">1 · Costo estándar con buena eficiencia de producción</t>
  </si>
  <si>
    <t xml:space="preserve">USD mercado</t>
  </si>
  <si>
    <t xml:space="preserve">Frank (producción JHS), vía Nelson Dávila, 27-sep-2026: costo estándar objetivo con buena eficiencia.</t>
  </si>
  <si>
    <t xml:space="preserve">2 · Real agosto 2026 — dólar de mercado</t>
  </si>
  <si>
    <t xml:space="preserve">Cédula de costo pollo engorde agosto 2026 (JHS Agroindustria): total costo beneficiado + gasto, columna 'DÓLAR'.</t>
  </si>
  <si>
    <t xml:space="preserve">3 · Finanzas — base de planeación v12</t>
  </si>
  <si>
    <t xml:space="preserve">USD tasa BCV</t>
  </si>
  <si>
    <t xml:space="preserve">Orlando Lozano (CFO), 27-sep-2026: 'usar 2,2 BCV'. Base del plan de negocios v12.</t>
  </si>
  <si>
    <t xml:space="preserve">4 · Real agosto 2026 — dólar BCV</t>
  </si>
  <si>
    <t xml:space="preserve">Cédula agosto 2026: total costo beneficiado + gasto a DÓLAR BCV (2,420).</t>
  </si>
  <si>
    <t xml:space="preserve">5 · Estrés (alimento ABA al alza)</t>
  </si>
  <si>
    <t xml:space="preserve">Supuesto del comité para medir la resistencia del plan (alimento = 57% del costo del ave).</t>
  </si>
  <si>
    <t xml:space="preserve">COSTO ACTIVO DEL KG BENEFICIADO (USD/kg) → SUP_INSUMOS!E120 → SUP_COSTOS!E19 (I01)</t>
  </si>
  <si>
    <t xml:space="preserve">Moneda del escenario activo</t>
  </si>
  <si>
    <t xml:space="preserve">Si el precio de menú (SUP_PRECIOS) se cobra en bolívares a tasa BCV, el costo coherente es el de tasa BCV (escenarios 3-4). Diferencial cambiario implícito en la cédula de agosto: 2,420 / 1,815 = 1,33. POR VALIDAR con Finanzas.</t>
  </si>
  <si>
    <t xml:space="preserve">Control: escenario válido</t>
  </si>
  <si>
    <t xml:space="preserve">2. PESO DEL AVE — pollo crudo beneficiado entero (sin vísceras), el que compra la planta de MOY'S</t>
  </si>
  <si>
    <t xml:space="preserve">Peso crudo beneficiado por pollo (kg) — PALANCA MAESTRA DEL PESO</t>
  </si>
  <si>
    <t xml:space="preserve">Base v12: 1,65 kg (rango de prueba 1,6-1,7). Mercado de polleras: máximo 1,8 / mínimo 1,6 kg (dueño de pollera en brasa, vía Nelson Dávila 27-sep). Perú, cuna del pollo a la brasa: Redondos vende 'Pollo Brasa' HORECA de 1,16 a 1,85 kg; Chimú 1,55-1,75 kg. v11 usaba 2,0 kg.</t>
  </si>
  <si>
    <t xml:space="preserve">Peso de referencia del plan anterior (v11, kg) — solo comparativo</t>
  </si>
  <si>
    <t xml:space="preserve">Rendimiento de canal (kg beneficiado ÷ kg vivo)</t>
  </si>
  <si>
    <t xml:space="preserve">Broiler comercial 72-75% sin vísceras (extensión universitaria EE. UU.). El estudio de campo de Edgar usa 78-80% (merma de proceso 20-22%, con menudencia). POR VALIDAR con la planta de beneficio.</t>
  </si>
  <si>
    <t xml:space="preserve">Peso vivo requerido para el peso beneficiado activo (kg)</t>
  </si>
  <si>
    <t xml:space="preserve">Peso vivo promedio actual de JHS (cédula ago-26, 40 días de engorde)</t>
  </si>
  <si>
    <t xml:space="preserve">Peso beneficiado implícito del ave que JHS ya produce (kg)</t>
  </si>
  <si>
    <t xml:space="preserve">Hallazgo del comité: el ave actual de JHS (2,19 kg vivo) rinde ~1,6 kg beneficiado. El 2,0 kg beneficiado de v11 exigía ~2,7 kg vivo (más días, más alimento).</t>
  </si>
  <si>
    <t xml:space="preserve">Cortes broaster por pollo (vínculo)</t>
  </si>
  <si>
    <t xml:space="preserve">Gramos crudos por pieza broaster</t>
  </si>
  <si>
    <t xml:space="preserve">Cambio de peso vs plan anterior (%)</t>
  </si>
  <si>
    <t xml:space="preserve">3. MARINADO EN TUMBLER — consumo, retención y cocción (la palanca de percepción de tamaño)</t>
  </si>
  <si>
    <t xml:space="preserve">Marinada aplicada en tumbler (g por kg de ave) → SUP_COSTOS!D20</t>
  </si>
  <si>
    <t xml:space="preserve">Receta del Chef: 300 g por pollo de 2 kg = 150 g/kg (SUP_COSTOS G7). Corrección v12: la ficha v11 cargaba 300 g por CADA kg (0,222 USD/kg × kg), el doble de la receta. Escribir 300 reproduce v11.</t>
  </si>
  <si>
    <t xml:space="preserve">Retención neta de marinada tras reposo (% del peso crudo)</t>
  </si>
  <si>
    <t xml:space="preserve">Evidencia: tumbling de pechuga 11-13% de absorción; canal entera sin fosfato solo 3,5-4%; en rotisería comercial la solución inyectada llega a 15%. 10% es la hipótesis central A VALIDAR en prueba.</t>
  </si>
  <si>
    <t xml:space="preserve">Rendimiento de cocción — pollo con marinado funcional (fosfato), cocido ÷ marinado</t>
  </si>
  <si>
    <t xml:space="preserve">El fosfato subió el rendimiento en cocción de 76,6% a 86,1% en pechuga (Poultry Science). Se usa 80% conservador para ave entera en horno rostizador.</t>
  </si>
  <si>
    <t xml:space="preserve">Rendimiento de cocción — pollo SIN marinado funcional (referencia competencia)</t>
  </si>
  <si>
    <t xml:space="preserve">Estudio de campo (Edgar, jul-2026): merma de cocción 25-30% (factor 0,70-0,75).</t>
  </si>
  <si>
    <t xml:space="preserve">Peso del pollo marinado al entrar al horno (kg)</t>
  </si>
  <si>
    <t xml:space="preserve">Peso cocido servido — pollo MOY'S (kg)</t>
  </si>
  <si>
    <t xml:space="preserve">Peso crudo SIN marinar que daría ese mismo cocido — 'peso percibido' (kg)</t>
  </si>
  <si>
    <t xml:space="preserve">Ganancia de percepción vs peso comprado (%)</t>
  </si>
  <si>
    <t xml:space="preserve">Control: la retención no puede superar la marinada aplicada</t>
  </si>
  <si>
    <t xml:space="preserve">Costo de la marinada por pollo (USD, vínculo a la ficha)</t>
  </si>
  <si>
    <t xml:space="preserve">4. CAPACIDAD SEGÚN EL PESO — tumbler de planta (en la base vía toneladas) y horno del PDV (hipótesis de prueba)</t>
  </si>
  <si>
    <t xml:space="preserve">Peso activo</t>
  </si>
  <si>
    <t xml:space="preserve">Peso v11</t>
  </si>
  <si>
    <t xml:space="preserve">Kg por batch del tumbler de 500 L (vínculo)</t>
  </si>
  <si>
    <t xml:space="preserve">Pollos por batch</t>
  </si>
  <si>
    <t xml:space="preserve">Capacidad del tumbler Fase 1 (pollos/mes)</t>
  </si>
  <si>
    <t xml:space="preserve">Pollos/mes de la red piloto — escenario activo (vínculo)</t>
  </si>
  <si>
    <t xml:space="preserve">Utilización del tumbler Fase 1 por la red piloto</t>
  </si>
  <si>
    <t xml:space="preserve">A 2,0 kg el piloto satura la Fase 1 (~100%); con el ave más liviana queda holgura y la Fase 2 se difiere (el modelo lo captura: la planta se dimensiona en toneladas).</t>
  </si>
  <si>
    <t xml:space="preserve">Espadas por horno FRG8VE (hipótesis de prueba)</t>
  </si>
  <si>
    <t xml:space="preserve">Carga útil por espada (kg de pollo marinado, hipótesis de prueba)</t>
  </si>
  <si>
    <t xml:space="preserve">Calibrado para reproducir la capacidad de la ficha del equipo: 40 pollos por carga (5 por espada) con el ave v11 marinada.</t>
  </si>
  <si>
    <t xml:space="preserve">Pollos por espada</t>
  </si>
  <si>
    <t xml:space="preserve">Pollos por carga del horno</t>
  </si>
  <si>
    <t xml:space="preserve">Tiempo de ciclo con el ave v11 (min, hipótesis de prueba)</t>
  </si>
  <si>
    <t xml:space="preserve">Exponente tiempo de cocción vs peso (hipótesis: espesor ∝ peso^(2/3))</t>
  </si>
  <si>
    <t xml:space="preserve">Tiempo de ciclo al peso activo (min)</t>
  </si>
  <si>
    <t xml:space="preserve">Pollos por hora por horno</t>
  </si>
  <si>
    <t xml:space="preserve">Capacidad horaria de horno vs ave v11 (%)</t>
  </si>
  <si>
    <t xml:space="preserve">UPSIDE NO INCLUIDO EN LA BASE: más pollos por carga y ciclos más cortos amplían la capacidad de pico y bajan el gas por pollo. Se mide en la prueba de producto (varillas completas, tiempos a 74 °C).</t>
  </si>
  <si>
    <t xml:space="preserve">5. BANDA DE CONTROL DEL COSTO DEL POLLO — protección de la rentabilidad de MOY'S</t>
  </si>
  <si>
    <t xml:space="preserve">Costo de referencia de la banda (USD/kg beneficiado)</t>
  </si>
  <si>
    <t xml:space="preserve">Costo del plan v12 (Finanzas). Propuesta: fijar el precio de transferencia por trimestre a costo estándar + markup, indexado al alimento ABA.</t>
  </si>
  <si>
    <t xml:space="preserve">Amplitud de la banda (± %)</t>
  </si>
  <si>
    <t xml:space="preserve">Piso de la banda (USD/kg)</t>
  </si>
  <si>
    <t xml:space="preserve">Techo de la banda (USD/kg)</t>
  </si>
  <si>
    <t xml:space="preserve">Meta: costo del pollo ÷ precio neto del combo insignia AS-01 (máximo)</t>
  </si>
  <si>
    <t xml:space="preserve">Meta calibrada con el mapa (SENS_POLLO): con el pollo ≤ 40% del precio neto del combo insignia el menú conserva ~43% de margen bruto (1,70 kg × 2,20 = 40,2% → 43,0%). v11 operaba en 34,8%.</t>
  </si>
  <si>
    <t xml:space="preserve">Costo del pollo dentro de AS-01 (USD, con margen de error de fichas)</t>
  </si>
  <si>
    <t xml:space="preserve">Costo del pollo ÷ precio neto AS-01</t>
  </si>
  <si>
    <t xml:space="preserve">Costo máximo por kg que cumple la meta, al peso activo (USD/kg)</t>
  </si>
  <si>
    <t xml:space="preserve">Semáforo: costo activo vs banda</t>
  </si>
  <si>
    <t xml:space="preserve">Sobre el techo: activar revisión de especificación de peso (1,6-1,8 kg) y, como última palanca, del precio de menú. Bajo el piso: margen adicional o revisión del precio de transferencia.</t>
  </si>
  <si>
    <t xml:space="preserve">Semáforo: meta de costo del pollo en AS-01</t>
  </si>
  <si>
    <t xml:space="preserve">Colchón del costo activo hasta el techo de la banda (USD/kg)</t>
  </si>
  <si>
    <t xml:space="preserve">6. MECANISMO DE PROTECCIÓN PROPUESTO (a acordar con la Presidencia y Finanzas)</t>
  </si>
  <si>
    <t xml:space="preserve">① Precio de transferencia a costo ESTÁNDAR + markup, fijo por trimestre: la variación del alimento dentro del trimestre la absorbe la agroindustria (misma casa matriz).</t>
  </si>
  <si>
    <t xml:space="preserve">② Indexación paramétrica trimestral al costo del alimento ABA (57% del costo del ave según la cédula de agosto).</t>
  </si>
  <si>
    <t xml:space="preserve">③ Banda ±8% sobre el costo de referencia (filas 57-60): fuera de la banda se activa la revisión del peso de compra dentro de 1,6-1,8 kg y, en último término, del precio de menú.</t>
  </si>
  <si>
    <t xml:space="preserve">④ Indicador de control: costo del pollo ≤ 35% del precio neto del combo insignia (fila 61), medido cada mes con la cédula real.</t>
  </si>
  <si>
    <t xml:space="preserve">⑤ Moneda única: transferencia y ventas en el mismo dólar (BCV o mercado) — condición para que el margen sea comparable.</t>
  </si>
  <si>
    <t xml:space="preserve">SUP_MENU — MENÚ PROPUESTO Y PARTICIPACIÓN EN VENTAS</t>
  </si>
  <si>
    <t xml:space="preserve">Construido sobre la oferta de los competidores más importantes (19 marcas / 696 productos relevados). Convierte los pollos de SUP_VOLUMEN en unidades vendidas por producto.</t>
  </si>
  <si>
    <t xml:space="preserve">1. CATÁLOGO DEL MENÚ MOY'S</t>
  </si>
  <si>
    <t xml:space="preserve">ID</t>
  </si>
  <si>
    <t xml:space="preserve">Categoría</t>
  </si>
  <si>
    <t xml:space="preserve">Producto</t>
  </si>
  <si>
    <t xml:space="preserve">Contenido</t>
  </si>
  <si>
    <t xml:space="preserve">Referencia competitiva</t>
  </si>
  <si>
    <t xml:space="preserve">AS-01</t>
  </si>
  <si>
    <t xml:space="preserve">Asado</t>
  </si>
  <si>
    <t xml:space="preserve">Pollo entero asado + 4 contornos</t>
  </si>
  <si>
    <t xml:space="preserve">1 pollo asado (Mojo, Miel o Pimienta) + 2 papas fritas + 2 hallaquitas + guasacaca</t>
  </si>
  <si>
    <t xml:space="preserve">Banda popular pollo entero 10,99–14,99; Rincón Criollo 12,00 (incl. contornos)</t>
  </si>
  <si>
    <t xml:space="preserve">AS-02</t>
  </si>
  <si>
    <t xml:space="preserve">Pollo entero asado + 4 contornos + refresco 1L</t>
  </si>
  <si>
    <t xml:space="preserve">AS-01 + refresco de 1 litro</t>
  </si>
  <si>
    <t xml:space="preserve">Combo entrada popular 12,99–15,00 (Don Brasas / Campanario)</t>
  </si>
  <si>
    <t xml:space="preserve">AS-03</t>
  </si>
  <si>
    <t xml:space="preserve">Medio pollo asado + 2 contornos</t>
  </si>
  <si>
    <t xml:space="preserve">1/2 pollo asado + 1 papa frita + 1 hallaquita + guasacaca</t>
  </si>
  <si>
    <t xml:space="preserve">Medio pollo solo 6,00–9,00 (Rincón Criollo piso 6,00)</t>
  </si>
  <si>
    <t xml:space="preserve">AS-04</t>
  </si>
  <si>
    <t xml:space="preserve">Medio pollo asado + 2 contornos + refresco 1L</t>
  </si>
  <si>
    <t xml:space="preserve">AS-03 + refresco de 1 litro</t>
  </si>
  <si>
    <t xml:space="preserve">Medio pollo con contornos zona popular ~8–10</t>
  </si>
  <si>
    <t xml:space="preserve">AS-05</t>
  </si>
  <si>
    <t xml:space="preserve">2 piezas asado + 1 contorno</t>
  </si>
  <si>
    <t xml:space="preserve">2 presas de asado + 1 papa frita (o hallaquita)</t>
  </si>
  <si>
    <t xml:space="preserve">Dorado 3 pzas + papas 4,29; MOY'S por debajo</t>
  </si>
  <si>
    <t xml:space="preserve">BR-01</t>
  </si>
  <si>
    <t xml:space="preserve">Broaster</t>
  </si>
  <si>
    <t xml:space="preserve">8 piezas broaster + 4 contornos</t>
  </si>
  <si>
    <t xml:space="preserve">8 piezas apanadas (pollo entero, corte 9 pzas en planta) + 2 papas + 2 hallaquitas</t>
  </si>
  <si>
    <t xml:space="preserve">Broaster 8 pzas 12,99–13,49 (Chiki-Riki / Broaster Express)</t>
  </si>
  <si>
    <t xml:space="preserve">BR-02</t>
  </si>
  <si>
    <t xml:space="preserve">8 piezas broaster + 4 contornos + refresco 1L</t>
  </si>
  <si>
    <t xml:space="preserve">BR-01 + refresco de 1 litro</t>
  </si>
  <si>
    <t xml:space="preserve">Combos broaster completos 13,99–18,99</t>
  </si>
  <si>
    <t xml:space="preserve">BR-03</t>
  </si>
  <si>
    <t xml:space="preserve">4 piezas broaster + 2 contornos</t>
  </si>
  <si>
    <t xml:space="preserve">4 piezas apanadas + 1 papa + 1 hallaquita</t>
  </si>
  <si>
    <t xml:space="preserve">Mitad del combo 8 pzas del mercado</t>
  </si>
  <si>
    <t xml:space="preserve">BR-04</t>
  </si>
  <si>
    <t xml:space="preserve">2 piezas broaster + 1 contorno</t>
  </si>
  <si>
    <t xml:space="preserve">2 piezas apanadas + 1 papa frita</t>
  </si>
  <si>
    <t xml:space="preserve">Dorado Mix 2 pzas + papas 3,29 (ancla de la categoría)</t>
  </si>
  <si>
    <t xml:space="preserve">VM-01</t>
  </si>
  <si>
    <t xml:space="preserve">Value meal</t>
  </si>
  <si>
    <t xml:space="preserve">Pieza frita en salsa + papas (value meal)</t>
  </si>
  <si>
    <t xml:space="preserve">1 pieza de asado aprovechada, frita y bañada en salsa (mojo o teriyaki) + papas</t>
  </si>
  <si>
    <t xml:space="preserve">Ancla de valor H3; piso Dorado 0,99–1,29</t>
  </si>
  <si>
    <t xml:space="preserve">CM-01</t>
  </si>
  <si>
    <t xml:space="preserve">Crudo marinado</t>
  </si>
  <si>
    <t xml:space="preserve">Bandeja 550 g pollo crudo marinado</t>
  </si>
  <si>
    <t xml:space="preserve">550 g piezas marinadas (3 sabores) en bandeja, para cocinar en casa</t>
  </si>
  <si>
    <t xml:space="preserve">Pollo crudo retail VE ~2,5–3,0 USD/kg; bandeja marinada competitiva</t>
  </si>
  <si>
    <t xml:space="preserve">FM-01</t>
  </si>
  <si>
    <t xml:space="preserve">Familiar</t>
  </si>
  <si>
    <t xml:space="preserve">Combo Familiar MOY'S</t>
  </si>
  <si>
    <t xml:space="preserve">1 pollo asado + 8 piezas broaster + 2 papas + 2 hallaquitas + 2 guasacacas + refresco 1L</t>
  </si>
  <si>
    <t xml:space="preserve">Familiares 2 pollos 24,99–27,49; MOY'S rompe la banda</t>
  </si>
  <si>
    <t xml:space="preserve">PB-01</t>
  </si>
  <si>
    <t xml:space="preserve">Porkbelly</t>
  </si>
  <si>
    <t xml:space="preserve">Porkbelly 250 g picado + papas</t>
  </si>
  <si>
    <t xml:space="preserve">250 g de porkbelly al horno, picado + 1 papa frita</t>
  </si>
  <si>
    <t xml:space="preserve">Premium sin comparable directo; captura ticket (bondiola/porkbelly)</t>
  </si>
  <si>
    <t xml:space="preserve">PB-02</t>
  </si>
  <si>
    <t xml:space="preserve">Porkbelly 500 g picado + papas</t>
  </si>
  <si>
    <t xml:space="preserve">500 g de porkbelly al horno, picado + 2 papas fritas</t>
  </si>
  <si>
    <t xml:space="preserve">Premium familiar</t>
  </si>
  <si>
    <t xml:space="preserve">AD-01</t>
  </si>
  <si>
    <t xml:space="preserve">Adicional</t>
  </si>
  <si>
    <t xml:space="preserve">Refresco 1 litro</t>
  </si>
  <si>
    <t xml:space="preserve">Bebida gaseosa 1L (attach)</t>
  </si>
  <si>
    <t xml:space="preserve">Refresco 1L incluido en combos competencia; venta suelta</t>
  </si>
  <si>
    <t xml:space="preserve">AD-02</t>
  </si>
  <si>
    <t xml:space="preserve">Papas fritas adicionales</t>
  </si>
  <si>
    <t xml:space="preserve">Ración 80 g papa prefrita importada</t>
  </si>
  <si>
    <t xml:space="preserve">Chiki-Riki 0,99 (piso); resto 2,99–9,00</t>
  </si>
  <si>
    <t xml:space="preserve">AD-03</t>
  </si>
  <si>
    <t xml:space="preserve">Hallaquitas adicionales (x4)</t>
  </si>
  <si>
    <t xml:space="preserve">Ración de 4 hallaquitas</t>
  </si>
  <si>
    <t xml:space="preserve">Arepitas/hallaquitas 0,90–3,99</t>
  </si>
  <si>
    <t xml:space="preserve">Los tres marinados del asado (Mojo ajo-limón, Miel, Pimienta) y los sabores de temporada (in &amp; outs) no cambian el precio: son identidad de producto, no SKU de precio.</t>
  </si>
  <si>
    <t xml:space="preserve">2. MEZCLA DE FORMATOS Y ATTACH (editables)</t>
  </si>
  <si>
    <t xml:space="preserve">Asado — % de pollos vendidos como ENTERO</t>
  </si>
  <si>
    <t xml:space="preserve">Formato ancla del volumen</t>
  </si>
  <si>
    <t xml:space="preserve">Asado — % de pollos vendidos como MEDIO pollo</t>
  </si>
  <si>
    <t xml:space="preserve">2 medios por pollo</t>
  </si>
  <si>
    <t xml:space="preserve">Asado — % de pollos vendidos en combos de 2 PIEZAS</t>
  </si>
  <si>
    <t xml:space="preserve">4 combos de 2 piezas por pollo (8 presas)</t>
  </si>
  <si>
    <t xml:space="preserve">CONTROL asado (debe ser 100%)</t>
  </si>
  <si>
    <t xml:space="preserve">Broaster — % de piezas en combos de 8 PIEZAS</t>
  </si>
  <si>
    <t xml:space="preserve">Combo pollo entero broaster</t>
  </si>
  <si>
    <t xml:space="preserve">Broaster — % de piezas en combos de 4 PIEZAS</t>
  </si>
  <si>
    <t xml:space="preserve">Broaster — % de piezas en combos de 2 PIEZAS</t>
  </si>
  <si>
    <t xml:space="preserve">Ancla vs. Dorado 2 pzas 3,29</t>
  </si>
  <si>
    <t xml:space="preserve">CONTROL broaster (debe ser 100%)</t>
  </si>
  <si>
    <t xml:space="preserve">% de combos que salen CON refresco 1L</t>
  </si>
  <si>
    <t xml:space="preserve">Attach de bebida en combos enteros y medios</t>
  </si>
  <si>
    <t xml:space="preserve">Attach refresco 1L ADICIONAL (sobre transacciones)</t>
  </si>
  <si>
    <t xml:space="preserve">Venta suelta de bebida</t>
  </si>
  <si>
    <t xml:space="preserve">Attach papas ADICIONALES (sobre transacciones)</t>
  </si>
  <si>
    <t xml:space="preserve">La palanca de ticket de la categoría</t>
  </si>
  <si>
    <t xml:space="preserve">Attach hallaquitas ADICIONALES (sobre transacciones)</t>
  </si>
  <si>
    <t xml:space="preserve">Porkbelly 250 g — unidades/mes por PDV ventana (esc. MEDIO)</t>
  </si>
  <si>
    <t xml:space="preserve">Premium de la vertical cerdo; sin base de pollos — input directo</t>
  </si>
  <si>
    <t xml:space="preserve">Porkbelly 500 g — unidades/mes por PDV ventana (esc. MEDIO)</t>
  </si>
  <si>
    <t xml:space="preserve">3. CONVERSIÓN POLLOS → PLATAFORMAS (PDV VENTANA, escenario MEDIO)</t>
  </si>
  <si>
    <t xml:space="preserve">Pollos totales/mes (SUP_VOLUMEN, ventana, MEDIO)</t>
  </si>
  <si>
    <t xml:space="preserve">Pollos destinados a ASADO</t>
  </si>
  <si>
    <t xml:space="preserve">Los % por plataforma se editan en SUP_VOLUMEN sección 5</t>
  </si>
  <si>
    <t xml:space="preserve">Pollos destinados a BROASTER</t>
  </si>
  <si>
    <t xml:space="preserve">Pollos destinados a VALUE MEAL (aprovechamiento)</t>
  </si>
  <si>
    <t xml:space="preserve">Pollos destinados a CRUDO MARINADO</t>
  </si>
  <si>
    <t xml:space="preserve">Pollos destinados a COMBO FAMILIAR</t>
  </si>
  <si>
    <t xml:space="preserve">4. UNIDADES VENDIDAS POR PRODUCTO Y FORMATO DE PDV (unidades/mes)</t>
  </si>
  <si>
    <t xml:space="preserve">Lógica de conversión</t>
  </si>
  <si>
    <t xml:space="preserve">Pollos asado × % entero × (1 − attach refresco)</t>
  </si>
  <si>
    <t xml:space="preserve">Pollos asado × % entero × attach refresco</t>
  </si>
  <si>
    <t xml:space="preserve">Pollos asado × % medio × 2 medios/pollo × (1 − attach)</t>
  </si>
  <si>
    <t xml:space="preserve">Pollos asado × % medio × 2 × attach</t>
  </si>
  <si>
    <t xml:space="preserve">Pollos asado × % piezas × 4 combos de 2 pzas por pollo</t>
  </si>
  <si>
    <t xml:space="preserve">Piezas (pollos×9) × % 8pz ÷ 8 × (1 − attach)</t>
  </si>
  <si>
    <t xml:space="preserve">Piezas × % 8pz ÷ 8 × attach</t>
  </si>
  <si>
    <t xml:space="preserve">Piezas × % 4pz ÷ 4</t>
  </si>
  <si>
    <t xml:space="preserve">Piezas × % 2pz ÷ 2</t>
  </si>
  <si>
    <t xml:space="preserve">Pollos VM × 8 presas por ave (1 pieza por value meal)</t>
  </si>
  <si>
    <t xml:space="preserve">Pollos familiar ÷ 1,89 pollos-equivalentes por combo</t>
  </si>
  <si>
    <t xml:space="preserve">Input directo (sección 2)</t>
  </si>
  <si>
    <t xml:space="preserve">Transacciones × attach refresco adicional</t>
  </si>
  <si>
    <t xml:space="preserve">Transacciones × attach papas</t>
  </si>
  <si>
    <t xml:space="preserve">Transacciones × attach hallaquitas</t>
  </si>
  <si>
    <t xml:space="preserve">Transacciones combo/mes (base del attach)</t>
  </si>
  <si>
    <t xml:space="preserve">Suma de unidades AS + BR + VM + CM + FM + PB (excluye adicionales)</t>
  </si>
  <si>
    <t xml:space="preserve">Nota: DINE-IN y FLAGSHIP escalan la misma mezcla con los uplifts de SUP_VOLUMEN. SUP_PRECIOS usa la columna VENTANA (escenario MEDIO) como PDV representativo; la Etapa 2 multiplica por la mezcla de red.</t>
  </si>
  <si>
    <t xml:space="preserve">SUP_PRECIOS — POLÍTICA DE PRECIOS, MÁRGENES Y CONTRIBUCIÓN</t>
  </si>
  <si>
    <t xml:space="preserve">Edite el precio CON IVA; el modelo descuenta el IVA (solo afecta flujo de caja), trae el costo de las fichas y calcula margen e ingreso por producto según el volumen del menú.</t>
  </si>
  <si>
    <t xml:space="preserve">IVA (%)</t>
  </si>
  <si>
    <t xml:space="preserve">Los ingresos y márgenes se calculan NETOS de IVA: el IVA es caja que no es propiedad del negocio.</t>
  </si>
  <si>
    <t xml:space="preserve">PDV representativo de esta tabla</t>
  </si>
  <si>
    <t xml:space="preserve">VENTANA · escenario MEDIO (vínculo a SUP_MENU)</t>
  </si>
  <si>
    <t xml:space="preserve">Benchmark competitivo</t>
  </si>
  <si>
    <t xml:space="preserve">Precio con IVA (USD)</t>
  </si>
  <si>
    <t xml:space="preserve">Precio neto (USD)</t>
  </si>
  <si>
    <t xml:space="preserve">Costo (USD)</t>
  </si>
  <si>
    <t xml:space="preserve">Margen (USD)</t>
  </si>
  <si>
    <t xml:space="preserve">Margen %</t>
  </si>
  <si>
    <t xml:space="preserve">Unidades /mes</t>
  </si>
  <si>
    <t xml:space="preserve">Ingreso neto /mes</t>
  </si>
  <si>
    <t xml:space="preserve">Margen contrib. /mes</t>
  </si>
  <si>
    <t xml:space="preserve">% ingreso</t>
  </si>
  <si>
    <t xml:space="preserve">% margen</t>
  </si>
  <si>
    <t xml:space="preserve">Hallaquitas adicionales (x1)</t>
  </si>
  <si>
    <t xml:space="preserve">TOTAL PDV VENTANA (escenario MEDIO)</t>
  </si>
  <si>
    <t xml:space="preserve">Margen bruto ponderado del menú (%) (sin costos de transformación de planta)</t>
  </si>
  <si>
    <t xml:space="preserve">Debe caer en la banda esperada de Venezuela (40–50%); la palanca de integración vertical (precio de transferencia I01) lo lleva a 50–60%.</t>
  </si>
  <si>
    <t xml:space="preserve">Ticket promedio neto por transacción (USD)</t>
  </si>
  <si>
    <t xml:space="preserve">Reglas de la arquitectura de precio (sección 8.7 de la estrategia): transversalidad de precio en todas las zonas (patrón Dorado) · value combo de entrada 0,99–1,29 que ancla percepción y tráfico · combo insignia 11,90 rompe la banda popular (10,99–14,99) · premium porkbelly captura ticket · crudo marinado a precio retail para el ama de casa.</t>
  </si>
  <si>
    <t xml:space="preserve">Los costos de transformación del producto en planta se trataron como fijos en el P&amp;L. Entendemos que no es el correcto mecanismo de calcular el costo de ventas pero es una forma práctica  para agregar los gastos fijos y su crecimiento, dificiles de distribuir por producto en proyecciones.</t>
  </si>
  <si>
    <t xml:space="preserve">SUP_COSTOS — FICHAS TÉCNICAS DE COSTO DE PRODUCTO</t>
  </si>
  <si>
    <t xml:space="preserve">El alma del negocio: cada producto tiene su receta completa costeada. Edite insumos y supuestos; todas las fichas recalculan en cascada.</t>
  </si>
  <si>
    <t xml:space="preserve">1. SUPUESTOS GENERALES DE PRODUCTO (editables)</t>
  </si>
  <si>
    <t xml:space="preserve">Peso promedio pollo crudo beneficiado (kg) — vínculo SUP_POLLO</t>
  </si>
  <si>
    <t xml:space="preserve">* JHS</t>
  </si>
  <si>
    <t xml:space="preserve">v12: vínculo al panel del ave (SUP_POLLO!C18). Base 1,65 kg; mercado de polleras 1,6-1,8 kg. v11 usaba 2,0 kg.</t>
  </si>
  <si>
    <t xml:space="preserve">Marinada aplicada por pollo de brasa (kg, informativo)</t>
  </si>
  <si>
    <t xml:space="preserve">Marinada aplicada = g por kg (SUP_POLLO!C29) × peso. Receta del Chef: 300 g por pollo de 2 kg = 150 g/kg.</t>
  </si>
  <si>
    <t xml:space="preserve">Marinada aplicada por pollo broaster (kg, informativo)</t>
  </si>
  <si>
    <t xml:space="preserve">Mismo criterio que el asado: la marinada escala con el peso del ave.</t>
  </si>
  <si>
    <t xml:space="preserve">Piezas por pollo — corte broaster en planta</t>
  </si>
  <si>
    <t xml:space="preserve">Corte de 9 piezas en planta: 8 al combo + beneficio de costo (la 9ª alimenta piezas sueltas/VM)</t>
  </si>
  <si>
    <t xml:space="preserve">Piezas por pollo — asado (presas)</t>
  </si>
  <si>
    <t xml:space="preserve">Despresado estándar del asado en PDV</t>
  </si>
  <si>
    <t xml:space="preserve">Porción estándar de papa frita (g)</t>
  </si>
  <si>
    <t xml:space="preserve">Porción 80 g de papa belga prefrita, fritada en PDV. Su costo por porción se calcula en la ficha AD-02 (filas 284-292) y alimenta todas las recetas vía $F$292.</t>
  </si>
  <si>
    <t xml:space="preserve">Pollo crudo por bandeja marinada (kg)</t>
  </si>
  <si>
    <t xml:space="preserve">Bandeja de 550 g (spec de la dirección)</t>
  </si>
  <si>
    <t xml:space="preserve">Merma de cocción porkbelly (%)</t>
  </si>
  <si>
    <t xml:space="preserve">Horneado: merma 25% → 250 g cocidos exigen ~333 g crudos</t>
  </si>
  <si>
    <t xml:space="preserve">Factor de costo del aprovechamiento (value meal)</t>
  </si>
  <si>
    <t xml:space="preserve">La pieza del VM proviene de merma del asado no vendida: se le asigna 60% del costo pleno (el asado ya absorbió parte). Palanca editable.</t>
  </si>
  <si>
    <t xml:space="preserve">Margen de error de las fichas (%)</t>
  </si>
  <si>
    <t xml:space="preserve">Colchón sobre el costo teórico: desperdicio, variaciones de porción y de precio de insumos</t>
  </si>
  <si>
    <t xml:space="preserve">2. TABLA DE INSUMOS (costos unitarios editables — cotizar con compras JHS)</t>
  </si>
  <si>
    <t xml:space="preserve">Código</t>
  </si>
  <si>
    <t xml:space="preserve">Insumo</t>
  </si>
  <si>
    <t xml:space="preserve">Unidad</t>
  </si>
  <si>
    <t xml:space="preserve">Gr / Und</t>
  </si>
  <si>
    <t xml:space="preserve">Item/materia prima</t>
  </si>
  <si>
    <t xml:space="preserve">Fuente / nota</t>
  </si>
  <si>
    <t xml:space="preserve">I01</t>
  </si>
  <si>
    <t xml:space="preserve">Pollo crudo beneficiado — precio de transferencia JHS</t>
  </si>
  <si>
    <t xml:space="preserve">v12: el costo sale de SUP_POLLO!C13 vía SUP_INSUMOS fila 120 (escenarios 1,70 / 1,815 / 2,20 / 2,42 / 2,60). Ref.: TIALBA facturaba pieza marinada a 0,65 USD (≈2,9 USD/kg con margen).</t>
  </si>
  <si>
    <t xml:space="preserve">I02</t>
  </si>
  <si>
    <t xml:space="preserve">Insumos de marinado pollo (g por kg de ave → USD/kg de ave)</t>
  </si>
  <si>
    <t xml:space="preserve">USD/kg pollo</t>
  </si>
  <si>
    <t xml:space="preserve">Marinado para pollo</t>
  </si>
  <si>
    <t xml:space="preserve">v12: gramos por kg desde SUP_POLLO!C29 (150). E20 queda en USD por kg de ave, como dice su unidad. v11 cargaba 300 g por kg (el doble de la receta).</t>
  </si>
  <si>
    <t xml:space="preserve">I03</t>
  </si>
  <si>
    <t xml:space="preserve">Insumos de marinado mojo ajo   (g por kg de ave)</t>
  </si>
  <si>
    <t xml:space="preserve">Mojo ajo</t>
  </si>
  <si>
    <t xml:space="preserve">I04</t>
  </si>
  <si>
    <t xml:space="preserve">Insumos de marinado mojo miel (g por kg de ave)</t>
  </si>
  <si>
    <t xml:space="preserve">Mojo miel</t>
  </si>
  <si>
    <t xml:space="preserve">I05</t>
  </si>
  <si>
    <t xml:space="preserve">Insumos de marinado mojo pimienta (g por kg de ave)</t>
  </si>
  <si>
    <t xml:space="preserve">Mojo pimienta</t>
  </si>
  <si>
    <t xml:space="preserve">I06</t>
  </si>
  <si>
    <t xml:space="preserve">Insumos de marinado mojo teriyaki (g por kg de ave)</t>
  </si>
  <si>
    <t xml:space="preserve">Mojo Teriyaki</t>
  </si>
  <si>
    <t xml:space="preserve">I07</t>
  </si>
  <si>
    <t xml:space="preserve">Batter pollo broaster (g por kg de ave; receta 200 g por ave de 2 kg)</t>
  </si>
  <si>
    <t xml:space="preserve">Batter pollo broaster</t>
  </si>
  <si>
    <t xml:space="preserve">I08</t>
  </si>
  <si>
    <t xml:space="preserve">Predust pollo broaster, capa inicial + final (g por kg de ave; receta 400 g por ave de 2 kg)</t>
  </si>
  <si>
    <t xml:space="preserve">Predust pollo broaster (primera capa seca)</t>
  </si>
  <si>
    <t xml:space="preserve">I09</t>
  </si>
  <si>
    <t xml:space="preserve">Apanado (predust + batter + breading)</t>
  </si>
  <si>
    <t xml:space="preserve">v12: batter + predust por kg de pieza (filas 25-26). Corrección: v11 tomaba el precio por GRAMO del predust (SUP_INSUMOS!E130 = 0,00223) como costo por kg de pollo, ≈0,0005 USD por pieza.</t>
  </si>
  <si>
    <t xml:space="preserve">I10</t>
  </si>
  <si>
    <t xml:space="preserve">Aceite de fritura (absorción + reposición)</t>
  </si>
  <si>
    <t xml:space="preserve">USD/pieza</t>
  </si>
  <si>
    <t xml:space="preserve">Aceite de pre-fritura por cada pieza en planta x 120 segundos</t>
  </si>
  <si>
    <t xml:space="preserve">Par-freído planta + acabado 90 s en PDV. 2 frituras × 7 g de aceite c/u (Hoja1: 0,0154 USD/pieza por fritura)</t>
  </si>
  <si>
    <t xml:space="preserve">I11</t>
  </si>
  <si>
    <t xml:space="preserve">Papa prefrita importada (Bélgica) por 2.500 gr</t>
  </si>
  <si>
    <t xml:space="preserve">Papa prefrita</t>
  </si>
  <si>
    <t xml:space="preserve">USD por gramo (bolsa 2.500 g a 6,50 USD). El costo de la PORCIÓN frita (papa + aceite + energía) se arma en la ficha AD-02 y las recetas lo toman de $F$292.</t>
  </si>
  <si>
    <t xml:space="preserve">I12</t>
  </si>
  <si>
    <t xml:space="preserve">Hallaquita 80 g preparada en fábrica (unidad)</t>
  </si>
  <si>
    <t xml:space="preserve">USD/und</t>
  </si>
  <si>
    <t xml:space="preserve">Producción propia — ver ficha fila 304</t>
  </si>
  <si>
    <t xml:space="preserve">Sustituye a 'Hallacas x 170 grs' compradas a $0,70 (SUP_INSUMOS fila 71). Ahora: hallaquita 80 g cocida en planta + IQF a costo de ficha (fila 304). Cambio 21-ago-2026 — receta Edgar Urrea.</t>
  </si>
  <si>
    <t xml:space="preserve">I13</t>
  </si>
  <si>
    <t xml:space="preserve">Porkbelly crudo (panceta con piel)</t>
  </si>
  <si>
    <t xml:space="preserve">Vertical cerdo JHS; precio de transferencia de planeación</t>
  </si>
  <si>
    <t xml:space="preserve">I14</t>
  </si>
  <si>
    <t xml:space="preserve">Refresco 1 litro (costo)</t>
  </si>
  <si>
    <t xml:space="preserve">Refresco 1 L completo por combo. Precio confirmado por Edgar/Nelson: 1,20 USD/unidad.</t>
  </si>
  <si>
    <t xml:space="preserve">I15</t>
  </si>
  <si>
    <t xml:space="preserve">Salsa value meal (mojo / teriyaki, porción)</t>
  </si>
  <si>
    <t xml:space="preserve">USD/porción</t>
  </si>
  <si>
    <t xml:space="preserve">Salsa (mojo / teriyaki)</t>
  </si>
  <si>
    <t xml:space="preserve">Baño de salsa del frito de aprovechamiento (H3)</t>
  </si>
  <si>
    <t xml:space="preserve">I16</t>
  </si>
  <si>
    <t xml:space="preserve">Bolsa / empaque de combo</t>
  </si>
  <si>
    <t xml:space="preserve">Bolsa de combo</t>
  </si>
  <si>
    <t xml:space="preserve">Bolsa impresa MOY'S + papel grado alimentario</t>
  </si>
  <si>
    <t xml:space="preserve">I17</t>
  </si>
  <si>
    <t xml:space="preserve">Caja combo familiar</t>
  </si>
  <si>
    <t xml:space="preserve">Estuche familiar impreso</t>
  </si>
  <si>
    <t xml:space="preserve">I18</t>
  </si>
  <si>
    <t xml:space="preserve">Bandeja + film (crudo marinado)</t>
  </si>
  <si>
    <t xml:space="preserve">Bandeja PET + film para bandeja de 550 g</t>
  </si>
  <si>
    <t xml:space="preserve">I19</t>
  </si>
  <si>
    <t xml:space="preserve">Etiqueta (crudo marinado)</t>
  </si>
  <si>
    <t xml:space="preserve">Etiqueta con sabor, peso, lote y fecha</t>
  </si>
  <si>
    <t xml:space="preserve">I20</t>
  </si>
  <si>
    <t xml:space="preserve">Servilleta</t>
  </si>
  <si>
    <t xml:space="preserve">Impresa</t>
  </si>
  <si>
    <t xml:space="preserve">I21</t>
  </si>
  <si>
    <t xml:space="preserve">Sachet de ketchup / salsa</t>
  </si>
  <si>
    <t xml:space="preserve">Sachet 8 g</t>
  </si>
  <si>
    <t xml:space="preserve">I22</t>
  </si>
  <si>
    <t xml:space="preserve">Gas de cocción (por pollo asado)</t>
  </si>
  <si>
    <t xml:space="preserve">USD/pollo</t>
  </si>
  <si>
    <t xml:space="preserve">Horno rostizador a gas; consumo prorrateado por ave</t>
  </si>
  <si>
    <t xml:space="preserve">I23</t>
  </si>
  <si>
    <t xml:space="preserve">Energía de acabado de fritura (por combo)</t>
  </si>
  <si>
    <t xml:space="preserve">USD/combo</t>
  </si>
  <si>
    <t xml:space="preserve">Freidora abierta de acabado (~90 s) en PDV</t>
  </si>
  <si>
    <t xml:space="preserve">I24</t>
  </si>
  <si>
    <t xml:space="preserve">Guasacaca (porción)</t>
  </si>
  <si>
    <t xml:space="preserve">Salsa Guasacaca porcion x 30 gramos</t>
  </si>
  <si>
    <t xml:space="preserve">Salsa insignia incluida en combos de asado (estándar de la categoría)</t>
  </si>
  <si>
    <t xml:space="preserve">I25</t>
  </si>
  <si>
    <t xml:space="preserve">Bolsa papel individual / pieza</t>
  </si>
  <si>
    <t xml:space="preserve">Empaques de porción individual</t>
  </si>
  <si>
    <t xml:space="preserve">I26</t>
  </si>
  <si>
    <t xml:space="preserve">Par-freído + energía de planta (por pieza)</t>
  </si>
  <si>
    <t xml:space="preserve">Costo variable de proceso en planta (par-freído + horno espiral + IQF) por pieza</t>
  </si>
  <si>
    <t xml:space="preserve">3. RESUMEN DE COSTOS FINALES (alimenta SUP_PRECIOS — no editar)</t>
  </si>
  <si>
    <t xml:space="preserve">Costo final (USD)</t>
  </si>
  <si>
    <t xml:space="preserve">Ficha (fila)</t>
  </si>
  <si>
    <t xml:space="preserve">Ver ficha en fila 90</t>
  </si>
  <si>
    <t xml:space="preserve">Ver ficha en fila 104</t>
  </si>
  <si>
    <t xml:space="preserve">Ver ficha en fila 118</t>
  </si>
  <si>
    <t xml:space="preserve">Ver ficha en fila 131</t>
  </si>
  <si>
    <t xml:space="preserve">Ver ficha en fila 145</t>
  </si>
  <si>
    <t xml:space="preserve">Ver ficha en fila 156</t>
  </si>
  <si>
    <t xml:space="preserve">Ver ficha en fila 170</t>
  </si>
  <si>
    <t xml:space="preserve">Ver ficha en fila 184</t>
  </si>
  <si>
    <t xml:space="preserve">Ver ficha en fila 197</t>
  </si>
  <si>
    <t xml:space="preserve">Ver ficha en fila 210</t>
  </si>
  <si>
    <t xml:space="preserve">Ver ficha en fila 224</t>
  </si>
  <si>
    <t xml:space="preserve">Ver ficha en fila 235</t>
  </si>
  <si>
    <t xml:space="preserve">Ver ficha en fila 252</t>
  </si>
  <si>
    <t xml:space="preserve">Ver ficha en fila 265</t>
  </si>
  <si>
    <t xml:space="preserve">Ver ficha en fila 277</t>
  </si>
  <si>
    <t xml:space="preserve">Ver ficha en fila 284</t>
  </si>
  <si>
    <t xml:space="preserve">Ver ficha en fila 294</t>
  </si>
  <si>
    <t xml:space="preserve">PL-AS</t>
  </si>
  <si>
    <t xml:space="preserve">FICHA — Pollo asado marinado (costo por ave — auxiliar)</t>
  </si>
  <si>
    <t xml:space="preserve">Componente</t>
  </si>
  <si>
    <t xml:space="preserve">Cantidad</t>
  </si>
  <si>
    <t xml:space="preserve">Costo unit.</t>
  </si>
  <si>
    <t xml:space="preserve">Costo total</t>
  </si>
  <si>
    <t xml:space="preserve">Nota</t>
  </si>
  <si>
    <t xml:space="preserve">Pollo crudo beneficiado</t>
  </si>
  <si>
    <t xml:space="preserve">kg</t>
  </si>
  <si>
    <t xml:space="preserve">Insumos de marinado</t>
  </si>
  <si>
    <t xml:space="preserve">Gas de cocción (horno rostizador)</t>
  </si>
  <si>
    <t xml:space="preserve">pollo</t>
  </si>
  <si>
    <t xml:space="preserve">Subtotal costo teórico</t>
  </si>
  <si>
    <t xml:space="preserve">Margen de error (supuesto general)</t>
  </si>
  <si>
    <t xml:space="preserve">COSTO FINAL</t>
  </si>
  <si>
    <t xml:space="preserve">Auxiliar: costo del pollo asado listo (marinado por tumbler al vacío en planta + horneado en PDV). Las fichas de asado usan fracciones de este costo.</t>
  </si>
  <si>
    <t xml:space="preserve">PZ-BR</t>
  </si>
  <si>
    <t xml:space="preserve">FICHA — Pieza broaster prefrita en planta (costo por pieza — auxiliar)</t>
  </si>
  <si>
    <t xml:space="preserve">Apanado (predust+batter+breading)</t>
  </si>
  <si>
    <t xml:space="preserve">Aceite de fritura</t>
  </si>
  <si>
    <t xml:space="preserve">pieza</t>
  </si>
  <si>
    <t xml:space="preserve">Par-freído + energía de planta</t>
  </si>
  <si>
    <t xml:space="preserve">Auxiliar Modelo A (Opción 2A): pieza apanada, par-freída y cocida en planta; acabado ~90 s en PDV.</t>
  </si>
  <si>
    <t xml:space="preserve">FICHA — Pollo entero asado + 4 contornos</t>
  </si>
  <si>
    <t xml:space="preserve">Pollo asado marinado (fracción de ave)</t>
  </si>
  <si>
    <t xml:space="preserve">Papa frita (2 porciones de 80 g)</t>
  </si>
  <si>
    <t xml:space="preserve">porción</t>
  </si>
  <si>
    <t xml:space="preserve">Hallaquitas</t>
  </si>
  <si>
    <t xml:space="preserve">und</t>
  </si>
  <si>
    <t xml:space="preserve">Guasacaca</t>
  </si>
  <si>
    <t xml:space="preserve">Servilletas</t>
  </si>
  <si>
    <t xml:space="preserve">Sachets ketchup</t>
  </si>
  <si>
    <t xml:space="preserve">El combo insignia. Con IVA a 11,90 rompe la banda popular (10,99–14,99) según la estrategia de precio disruptivo.</t>
  </si>
  <si>
    <t xml:space="preserve">FICHA — Pollo entero asado + 4 contornos + refresco 1L</t>
  </si>
  <si>
    <t xml:space="preserve">Refresco 1L</t>
  </si>
  <si>
    <t xml:space="preserve">FICHA — Medio pollo asado + 2 contornos</t>
  </si>
  <si>
    <t xml:space="preserve">Papa frita (1 porción de 80 g)</t>
  </si>
  <si>
    <t xml:space="preserve">Hallaquita</t>
  </si>
  <si>
    <t xml:space="preserve">Sachet ketchup</t>
  </si>
  <si>
    <t xml:space="preserve">FICHA — Medio pollo asado + 2 contornos + refresco 1L</t>
  </si>
  <si>
    <t xml:space="preserve">FICHA — 2 piezas asado + 1 contorno</t>
  </si>
  <si>
    <t xml:space="preserve">Pollo asado marinado (2 de 8 presas)</t>
  </si>
  <si>
    <t xml:space="preserve">Bolsa papel individual</t>
  </si>
  <si>
    <t xml:space="preserve">FICHA — 8 piezas broaster + 4 contornos</t>
  </si>
  <si>
    <t xml:space="preserve">Piezas broaster prefritas (planta)</t>
  </si>
  <si>
    <t xml:space="preserve">Empaque</t>
  </si>
  <si>
    <t xml:space="preserve">Energía de acabado (freidora abierta PDV)</t>
  </si>
  <si>
    <t xml:space="preserve">combo</t>
  </si>
  <si>
    <t xml:space="preserve">FICHA — 8 piezas broaster + 4 contornos + refresco 1L</t>
  </si>
  <si>
    <t xml:space="preserve">FICHA — 4 piezas broaster + 2 contornos</t>
  </si>
  <si>
    <t xml:space="preserve">FICHA — 2 piezas broaster + 1 contorno</t>
  </si>
  <si>
    <t xml:space="preserve">Compite contra el ancla Dorado (2 pzas + papas 3,29).</t>
  </si>
  <si>
    <t xml:space="preserve">FICHA — Pieza frita en salsa + papas (value meal)</t>
  </si>
  <si>
    <t xml:space="preserve">Pieza de asado aprovechada (factor de costo)</t>
  </si>
  <si>
    <t xml:space="preserve">Merma del asado no vendida: 60% del costo pleno (editable en supuesto general)</t>
  </si>
  <si>
    <t xml:space="preserve">Aceite de re-fritura</t>
  </si>
  <si>
    <t xml:space="preserve">Energía de acabado</t>
  </si>
  <si>
    <t xml:space="preserve">Value meal H3: genera tráfico y convierte merma en venta; margen deliberadamente delgado.</t>
  </si>
  <si>
    <t xml:space="preserve">FICHA — Bandeja 550 g pollo crudo marinado</t>
  </si>
  <si>
    <t xml:space="preserve">Pollo crudo (bandeja)</t>
  </si>
  <si>
    <t xml:space="preserve">Bandeja + film</t>
  </si>
  <si>
    <t xml:space="preserve">Etiqueta</t>
  </si>
  <si>
    <t xml:space="preserve">H4 — producto del ama de casa: sale directo de cava, sin estación de cocción. Margen retail, no QSR.</t>
  </si>
  <si>
    <t xml:space="preserve">FICHA — Combo Familiar MOY'S</t>
  </si>
  <si>
    <t xml:space="preserve">Pollo asado marinado</t>
  </si>
  <si>
    <t xml:space="preserve">Piezas broaster prefritas</t>
  </si>
  <si>
    <t xml:space="preserve">Cubre las dos ocasiones (asado + broaster) en una sola compra familiar; consume 1,89 pollos-equivalentes.</t>
  </si>
  <si>
    <t xml:space="preserve">FICHA — Porkbelly 250 g picado + papas</t>
  </si>
  <si>
    <t xml:space="preserve">Porkbelly crudo (250 g cocidos ÷ (1−merma))</t>
  </si>
  <si>
    <t xml:space="preserve">Gas de horneado (prorrateo)</t>
  </si>
  <si>
    <t xml:space="preserve">pollo-equiv</t>
  </si>
  <si>
    <t xml:space="preserve">Premium de la vertical cerdo: se hornea en la MISMA estación del asado — cero equipo adicional.</t>
  </si>
  <si>
    <t xml:space="preserve">FICHA — Porkbelly 500 g picado + papas</t>
  </si>
  <si>
    <t xml:space="preserve">Porkbelly crudo (500 g cocidos ÷ (1−merma))</t>
  </si>
  <si>
    <t xml:space="preserve">FICHA — Refresco 1 litro</t>
  </si>
  <si>
    <t xml:space="preserve">FICHA — Papas fritas adicionales</t>
  </si>
  <si>
    <t xml:space="preserve">Papa prefrita (gramos por porción)</t>
  </si>
  <si>
    <t xml:space="preserve">g</t>
  </si>
  <si>
    <t xml:space="preserve">Aceute para papa frita</t>
  </si>
  <si>
    <t xml:space="preserve">Energía de fritura (prorrateo)</t>
  </si>
  <si>
    <t xml:space="preserve">FICHA — Hallaquitas adicionales (x4)</t>
  </si>
  <si>
    <t xml:space="preserve">FICHA — Hallaquita 80 g PREPARADA EN FÁBRICA (lote 100 und, cocida + congelada IQF)</t>
  </si>
  <si>
    <t xml:space="preserve">Ingrediente</t>
  </si>
  <si>
    <t xml:space="preserve">Cant.</t>
  </si>
  <si>
    <t xml:space="preserve">Und</t>
  </si>
  <si>
    <t xml:space="preserve">Costo</t>
  </si>
  <si>
    <t xml:space="preserve">Harina de maíz precocida amarilla</t>
  </si>
  <si>
    <t xml:space="preserve">Agua de proceso</t>
  </si>
  <si>
    <t xml:space="preserve">Aceite de girasol</t>
  </si>
  <si>
    <t xml:space="preserve">Caldo de pollo en polvo</t>
  </si>
  <si>
    <t xml:space="preserve">Sal</t>
  </si>
  <si>
    <t xml:space="preserve">Achiote en polvo</t>
  </si>
  <si>
    <t xml:space="preserve">Azúcar</t>
  </si>
  <si>
    <t xml:space="preserve">Pimienta blanca</t>
  </si>
  <si>
    <t xml:space="preserve">Cebolla en polvo</t>
  </si>
  <si>
    <t xml:space="preserve">Ajo en polvo</t>
  </si>
  <si>
    <t xml:space="preserve">Hoja de mazorca sanitizada (hallaquita)</t>
  </si>
  <si>
    <t xml:space="preserve">Hilo de cocina para amarrar</t>
  </si>
  <si>
    <t xml:space="preserve">m</t>
  </si>
  <si>
    <t xml:space="preserve">Subtotal lote (100 und)</t>
  </si>
  <si>
    <t xml:space="preserve">Merma de proceso (receta: 2–3%)</t>
  </si>
  <si>
    <t xml:space="preserve">Costo lote con merma</t>
  </si>
  <si>
    <t xml:space="preserve">COSTO POR UNIDAD (80 g)</t>
  </si>
  <si>
    <t xml:space="preserve">und/lote</t>
  </si>
  <si>
    <t xml:space="preserve">Fuente: 'Hallacas en planta.xlsx' — receta estándar industrial, Edgar Urrea, 19-ago-2026. Cocida en planta y congelada IQF; regeneración en PDV. MO y energía de cocción/IQF absorbidas en SUP_PLANTA_OPEX (costo fijo). Antes: comprada 170 g a $0,70 (SUP_INSUMOS fila 71).</t>
  </si>
  <si>
    <t xml:space="preserve">SUP_INSUMOS — LISTA DE PRECIOS DE INSUMOS · Fuente: Chef Edgar Urrea, anexo Supuestos_MOYS_v2_ajustada_1 (Hoja1), ago-2026</t>
  </si>
  <si>
    <t xml:space="preserve">U/Medida</t>
  </si>
  <si>
    <t xml:space="preserve">Precio (USD)</t>
  </si>
  <si>
    <t xml:space="preserve">Precio Gr/Mg)</t>
  </si>
  <si>
    <t xml:space="preserve">Observaciones</t>
  </si>
  <si>
    <t xml:space="preserve">Litro</t>
  </si>
  <si>
    <t xml:space="preserve">Aceite vegetal común para freír</t>
  </si>
  <si>
    <t xml:space="preserve">Aceite de fritura por cada pieza </t>
  </si>
  <si>
    <t xml:space="preserve">Aceite de girasol 100% puro</t>
  </si>
  <si>
    <t xml:space="preserve">Pieza</t>
  </si>
  <si>
    <t xml:space="preserve">Consume 7 gramos por pieza</t>
  </si>
  <si>
    <t xml:space="preserve">Aceite de re-fritura por cada pieza</t>
  </si>
  <si>
    <t xml:space="preserve">Kg</t>
  </si>
  <si>
    <t xml:space="preserve">Ácido ascórbico</t>
  </si>
  <si>
    <t xml:space="preserve">Vitamina C / conservante alimenticio</t>
  </si>
  <si>
    <t xml:space="preserve">Acido citrico</t>
  </si>
  <si>
    <t xml:space="preserve">Agua</t>
  </si>
  <si>
    <t xml:space="preserve">Aguacate Hass en pasta</t>
  </si>
  <si>
    <t xml:space="preserve">Grado de madurez óptimo para procesamiento</t>
  </si>
  <si>
    <t xml:space="preserve">Deshidratado en polvo</t>
  </si>
  <si>
    <t xml:space="preserve">Ajo fresco en pasta</t>
  </si>
  <si>
    <t xml:space="preserve">Cabeza de ajo natural</t>
  </si>
  <si>
    <t xml:space="preserve">Ajonjoli tostado</t>
  </si>
  <si>
    <t xml:space="preserve">Almidón de papa</t>
  </si>
  <si>
    <t xml:space="preserve">Fécula / almidón de papa industrial/gastronómico</t>
  </si>
  <si>
    <t xml:space="preserve">Almidon modificado (Snow Flake)</t>
  </si>
  <si>
    <t xml:space="preserve">Apio en polvo</t>
  </si>
  <si>
    <t xml:space="preserve">Especia deshidratada</t>
  </si>
  <si>
    <t xml:space="preserve">Arepas</t>
  </si>
  <si>
    <t xml:space="preserve">Arepa preformada/precocida</t>
  </si>
  <si>
    <t xml:space="preserve">Azúcar refinada estándar</t>
  </si>
  <si>
    <t xml:space="preserve">Bandeja icopor 1/2  pollo crudo</t>
  </si>
  <si>
    <t xml:space="preserve">Bandeja icopor pollo crudo entero</t>
  </si>
  <si>
    <t xml:space="preserve">Benzoato de sodio </t>
  </si>
  <si>
    <t xml:space="preserve">Bicarbonato de sodio (grado alimenticio)</t>
  </si>
  <si>
    <t xml:space="preserve">Grado alimenticio USP</t>
  </si>
  <si>
    <t xml:space="preserve">Bondiola cerdo (cabeza de lomo) JHS costo total</t>
  </si>
  <si>
    <t xml:space="preserve">Materia prima Y  costo directo asignado</t>
  </si>
  <si>
    <t xml:space="preserve">Carragenina</t>
  </si>
  <si>
    <t xml:space="preserve">Cebolla cabezona blanca en pasta</t>
  </si>
  <si>
    <t xml:space="preserve">Cebolla blanca fresca</t>
  </si>
  <si>
    <t xml:space="preserve">Cebolla deshidratada en polvo</t>
  </si>
  <si>
    <t xml:space="preserve">Cilantro en polvo</t>
  </si>
  <si>
    <t xml:space="preserve">Cilantro deshidratado molido</t>
  </si>
  <si>
    <t xml:space="preserve">CMC carbocimetilcelulosa (E466)</t>
  </si>
  <si>
    <t xml:space="preserve">Cilantro fresco en pasta</t>
  </si>
  <si>
    <t xml:space="preserve">Cilantro fresco natural</t>
  </si>
  <si>
    <t xml:space="preserve">Comino en polvo</t>
  </si>
  <si>
    <t xml:space="preserve">Comino molido puro</t>
  </si>
  <si>
    <t xml:space="preserve">Costillas (baby back St Louis) JHS costo total</t>
  </si>
  <si>
    <t xml:space="preserve">Crema de leche</t>
  </si>
  <si>
    <t xml:space="preserve">Crema para batir/cocinar</t>
  </si>
  <si>
    <t xml:space="preserve">Curcuma grado alimentario </t>
  </si>
  <si>
    <t xml:space="preserve">Kg </t>
  </si>
  <si>
    <t xml:space="preserve">Dextrosa (Alimenta la levadura)</t>
  </si>
  <si>
    <t xml:space="preserve">Dextrosa monohidratada alimenticia</t>
  </si>
  <si>
    <t xml:space="preserve">Ensalada rallada kilo</t>
  </si>
  <si>
    <t xml:space="preserve">Ensalada rallada porcion x 120 grs</t>
  </si>
  <si>
    <t xml:space="preserve">Porcion</t>
  </si>
  <si>
    <t xml:space="preserve">Eritorbato de sodio</t>
  </si>
  <si>
    <t xml:space="preserve">Antioxidante / conservante alimenticio</t>
  </si>
  <si>
    <t xml:space="preserve">Extracto antioxidante natural de romero</t>
  </si>
  <si>
    <t xml:space="preserve">Extracto de levadura</t>
  </si>
  <si>
    <t xml:space="preserve">Fécula de maíz</t>
  </si>
  <si>
    <t xml:space="preserve">Maicena / almidón de maíz</t>
  </si>
  <si>
    <t xml:space="preserve">Fibra citrica</t>
  </si>
  <si>
    <t xml:space="preserve">Sustituto de gomas y almidones</t>
  </si>
  <si>
    <t xml:space="preserve">Film transparente de grado alimentario </t>
  </si>
  <si>
    <t xml:space="preserve">Rollo</t>
  </si>
  <si>
    <t xml:space="preserve">30 cm X 300 metros</t>
  </si>
  <si>
    <t xml:space="preserve">Fosfato alimentario</t>
  </si>
  <si>
    <t xml:space="preserve">Mezcla de fosfatos</t>
  </si>
  <si>
    <t xml:space="preserve">Gas de cocción (horno rostizador) x und de pollo</t>
  </si>
  <si>
    <t xml:space="preserve">Glutamato monosódico</t>
  </si>
  <si>
    <t xml:space="preserve">Acentuador de sabor (MSG)</t>
  </si>
  <si>
    <t xml:space="preserve">Gluten de trigo</t>
  </si>
  <si>
    <t xml:space="preserve">Gluten de trigo en polvo</t>
  </si>
  <si>
    <t xml:space="preserve">Goma guar</t>
  </si>
  <si>
    <t xml:space="preserve">Espesante / estabilizante hidrocoloide</t>
  </si>
  <si>
    <t xml:space="preserve">Goma xantana</t>
  </si>
  <si>
    <t xml:space="preserve">Espesante / estabilizante alimenticio</t>
  </si>
  <si>
    <t xml:space="preserve">Hallacas x 170 grs</t>
  </si>
  <si>
    <t xml:space="preserve">Ya NO se usa: sustituida por hallaquita 80 g preparada en fábrica (ficha en SUP_COSTOS, fila 304). Se conserva como referencia del precio comprado ($0,70).</t>
  </si>
  <si>
    <t xml:space="preserve">Hallaquitas adicionales (x4) $1,25 PV x unidad</t>
  </si>
  <si>
    <t xml:space="preserve">Harina de maíz fina</t>
  </si>
  <si>
    <t xml:space="preserve">Harina de maíz precocida (tipo P.A.N.)</t>
  </si>
  <si>
    <t xml:space="preserve">Harina de trigo 000</t>
  </si>
  <si>
    <t xml:space="preserve">Harina de trigo de alta fuerza/repostería</t>
  </si>
  <si>
    <t xml:space="preserve">Jarabe de papelon</t>
  </si>
  <si>
    <t xml:space="preserve">Jengibre fresco</t>
  </si>
  <si>
    <t xml:space="preserve">Jugo (zumo) de limon pasteurizado</t>
  </si>
  <si>
    <t xml:space="preserve">Jugo (zumo) de naranja pasteurizado 65 brix</t>
  </si>
  <si>
    <t xml:space="preserve">Levadura en polvo</t>
  </si>
  <si>
    <t xml:space="preserve">Levadura seca instantánea</t>
  </si>
  <si>
    <t xml:space="preserve">Lomo de cerdo sin hueso JHS costo total</t>
  </si>
  <si>
    <t xml:space="preserve">Marinado para cerdo</t>
  </si>
  <si>
    <t xml:space="preserve">Mayonesa real 76% aceite</t>
  </si>
  <si>
    <t xml:space="preserve">Mayonesa tipo emulsión real</t>
  </si>
  <si>
    <t xml:space="preserve">Miel de abejas </t>
  </si>
  <si>
    <t xml:space="preserve">Mirin </t>
  </si>
  <si>
    <t xml:space="preserve">Mostaza</t>
  </si>
  <si>
    <t xml:space="preserve">Mostaza preparada o en pasta</t>
  </si>
  <si>
    <t xml:space="preserve">Orégano en escamas</t>
  </si>
  <si>
    <t xml:space="preserve">Orégano entero/deshojado seco</t>
  </si>
  <si>
    <t xml:space="preserve">Orégano en polvo</t>
  </si>
  <si>
    <t xml:space="preserve">Orégano molido deshidratado</t>
  </si>
  <si>
    <t xml:space="preserve">Paleta deshuesada JHS costo total</t>
  </si>
  <si>
    <t xml:space="preserve">Panceta (Tocino magro) JHS costo total </t>
  </si>
  <si>
    <t xml:space="preserve">Papa frita porcion (120 grs papa / 12 grs aceite x porcion).</t>
  </si>
  <si>
    <t xml:space="preserve">Papa porcion x 120 grs </t>
  </si>
  <si>
    <t xml:space="preserve">Papa congelada corte francés/estándar</t>
  </si>
  <si>
    <t xml:space="preserve">Paprika</t>
  </si>
  <si>
    <t xml:space="preserve">Pimentón dulce molido</t>
  </si>
  <si>
    <t xml:space="preserve">Perejil en escamas</t>
  </si>
  <si>
    <t xml:space="preserve">Perejil deshidratado en hojas</t>
  </si>
  <si>
    <t xml:space="preserve">Perejil en polvo</t>
  </si>
  <si>
    <t xml:space="preserve">Perejil deshidratado molido</t>
  </si>
  <si>
    <t xml:space="preserve">Perejil fresco en pasta </t>
  </si>
  <si>
    <t xml:space="preserve">Pernil con hueso JHS costo total</t>
  </si>
  <si>
    <t xml:space="preserve">Peso promedio pollo crudo beneficiado (kg)</t>
  </si>
  <si>
    <t xml:space="preserve">Pimenton rojo en pasta</t>
  </si>
  <si>
    <t xml:space="preserve">Pimenton verde en pasta</t>
  </si>
  <si>
    <t xml:space="preserve">Pimienta blanca molida</t>
  </si>
  <si>
    <t xml:space="preserve">Pimienta negra</t>
  </si>
  <si>
    <t xml:space="preserve">Pimienta negra molida</t>
  </si>
  <si>
    <t xml:space="preserve">Pimienta negra gruesa</t>
  </si>
  <si>
    <t xml:space="preserve">Pollo crudo entero — costo por ave (peso activo × USD/kg)</t>
  </si>
  <si>
    <t xml:space="preserve">v12: vínculo a SUP_POLLO!C13 (escenario de costo activo del kg beneficiado)</t>
  </si>
  <si>
    <t xml:space="preserve">Pollo crudo beneficiado (despresado) — precio de transferencia JHS</t>
  </si>
  <si>
    <t xml:space="preserve">Polvo de hornear</t>
  </si>
  <si>
    <t xml:space="preserve">Impulsor / leudante químico</t>
  </si>
  <si>
    <t xml:space="preserve">JHS</t>
  </si>
  <si>
    <t xml:space="preserve">Proteina de soya aislada</t>
  </si>
  <si>
    <t xml:space="preserve">Proteina de soya concentrada</t>
  </si>
  <si>
    <t xml:space="preserve">Proteína funcional de trigo (vital wheat gluten)</t>
  </si>
  <si>
    <t xml:space="preserve">Gluten vital funcional de trigo</t>
  </si>
  <si>
    <t xml:space="preserve">Gaseosa/Refresco embotellado 1L</t>
  </si>
  <si>
    <t xml:space="preserve">Repollo blanco  (al vacío / atm. mod.)</t>
  </si>
  <si>
    <t xml:space="preserve">Repollo procesado y empaquetado</t>
  </si>
  <si>
    <t xml:space="preserve">Repollo morado  (al vacío / atm. mod.)</t>
  </si>
  <si>
    <t xml:space="preserve">Sal fina de mesa / industrial</t>
  </si>
  <si>
    <t xml:space="preserve">Salsa de soya generica local</t>
  </si>
  <si>
    <t xml:space="preserve">litro</t>
  </si>
  <si>
    <t xml:space="preserve">Salsa Guasacaca </t>
  </si>
  <si>
    <t xml:space="preserve">Salsa Inglesa generica local </t>
  </si>
  <si>
    <t xml:space="preserve">Servilletas de papel desechables (Pak x 100 unds)</t>
  </si>
  <si>
    <t xml:space="preserve">Sílice alimentario</t>
  </si>
  <si>
    <t xml:space="preserve">Antiaglomerante (Dióxido de silicio alimenticio)</t>
  </si>
  <si>
    <t xml:space="preserve">Sorbato de potasio</t>
  </si>
  <si>
    <t xml:space="preserve">Conservante / antimicrobiano alimenticio</t>
  </si>
  <si>
    <t xml:space="preserve">Tripolifosfato de sodio</t>
  </si>
  <si>
    <t xml:space="preserve">Vinagre blanco</t>
  </si>
  <si>
    <t xml:space="preserve">Vinagre alimenticio 5% acidez</t>
  </si>
  <si>
    <t xml:space="preserve">Vinagre de arroz</t>
  </si>
  <si>
    <t xml:space="preserve">Vinagre de manzana </t>
  </si>
  <si>
    <t xml:space="preserve">Zanahoria rallada (al vacío / atm. mod.)</t>
  </si>
  <si>
    <t xml:space="preserve">Zanahoria procesada y empaquetada</t>
  </si>
  <si>
    <t xml:space="preserve">Acido ascorbico</t>
  </si>
  <si>
    <t xml:space="preserve">Almidon de papa</t>
  </si>
  <si>
    <t xml:space="preserve">Azucar</t>
  </si>
  <si>
    <t xml:space="preserve">Cebolla en polvo </t>
  </si>
  <si>
    <t xml:space="preserve">Ensalada rallada porcion 120 grs </t>
  </si>
  <si>
    <t xml:space="preserve">Fecula de maiz</t>
  </si>
  <si>
    <t xml:space="preserve">Hallacas</t>
  </si>
  <si>
    <t xml:space="preserve">Harina de apanado</t>
  </si>
  <si>
    <t xml:space="preserve">Harina de arroz</t>
  </si>
  <si>
    <t xml:space="preserve">Harina de batido</t>
  </si>
  <si>
    <t xml:space="preserve">Repollo morado (al vacío / atm. mod.)</t>
  </si>
  <si>
    <t xml:space="preserve">Salsa de soya generica local </t>
  </si>
  <si>
    <t xml:space="preserve">Paquete (100u)</t>
  </si>
  <si>
    <t xml:space="preserve">Para masa de hallaquitas en planta</t>
  </si>
  <si>
    <t xml:space="preserve">Metro</t>
  </si>
  <si>
    <t xml:space="preserve">SUP_VOLUMEN — PROYECCIÓN DE POLLOS POR PUNTO DE VENTA</t>
  </si>
  <si>
    <t xml:space="preserve">El pilar bottom-up del proyecto: pollos/mes por PDV con evidencia de campo, tres escenarios y elasticidad-precio editable.</t>
  </si>
  <si>
    <t xml:space="preserve">1. EVIDENCIA DE CAMPO (Gran Caracas, 13–21 jul 2026)</t>
  </si>
  <si>
    <t xml:space="preserve">Pollos/semana por PDV — monoproducto (ajustado al 60% de la semana pico)</t>
  </si>
  <si>
    <t xml:space="preserve">Baseline aplicado: es equivalente al 60% del promedio de los restaurantes observados en una semana pico que incluía Día del Niño + final del Mundial</t>
  </si>
  <si>
    <t xml:space="preserve">Pollos/semana por PDV — cadena multiproducto (mixto)</t>
  </si>
  <si>
    <t xml:space="preserve">MOY'S vende asado + broaster + VM + porkbelly + crudo en todos los puntos (≈ +33% vs monoproducto)</t>
  </si>
  <si>
    <t xml:space="preserve">Semanas por mes</t>
  </si>
  <si>
    <t xml:space="preserve">Pico observado en top performers (pollos/día, fin de semana)</t>
  </si>
  <si>
    <t xml:space="preserve">Filas de 600–1.000 pollos/día en los puntos de mayor rotación — referencia de techo, NO de proyección</t>
  </si>
  <si>
    <t xml:space="preserve">Pollos/mes evidencia — monoproducto</t>
  </si>
  <si>
    <t xml:space="preserve">Pollos/mes evidencia — multiproducto (base MOY'S)</t>
  </si>
  <si>
    <t xml:space="preserve">PE</t>
  </si>
  <si>
    <t xml:space="preserve">2. ESCENARIOS DE VOLUMEN (PDV VENTANA, antes de elasticidad)</t>
  </si>
  <si>
    <t xml:space="preserve">Factor implícito sobre la evidencia multiproducto (informativo)</t>
  </si>
  <si>
    <t xml:space="preserve">Los escenarios pasan a ser un input directo de la dirección (fila 16); este factor solo informa su relación con la evidencia de campo.</t>
  </si>
  <si>
    <t xml:space="preserve">Pollos/mes por PDV VENTANA (INPUT dirección — volumen TOTAL combinado asado + broaster; techo del formato)</t>
  </si>
  <si>
    <t xml:space="preserve">Supuesto de dirección (19-ago-2026): Básico 2.946 (−30% del alto) · Medio 3.367 (−20%) · Alto 4.209 pollos/mes por ventana. No se proyecta venta mayor por ser multiproducto.</t>
  </si>
  <si>
    <t xml:space="preserve">3. ELASTICIDAD-PRECIO (ajusta el volumen si cambia el precio del combo insignia)</t>
  </si>
  <si>
    <t xml:space="preserve">Precio de referencia del combo pollo entero (con IVA)</t>
  </si>
  <si>
    <t xml:space="preserve">Precio al que se observó/valida la evidencia de volumen (precio disruptivo de la estrategia)</t>
  </si>
  <si>
    <t xml:space="preserve">Precio actual del combo AS-01 (vínculo a SUP_PRECIOS)</t>
  </si>
  <si>
    <t xml:space="preserve">Elasticidad-precio de la demanda (por escenario)</t>
  </si>
  <si>
    <t xml:space="preserve">Ver fuentes en la sección 7. Más negativo = consumidor más sensible al precio (NSE C/D)</t>
  </si>
  <si>
    <t xml:space="preserve">Factor de ajuste por elasticidad = (P actual / P ref) ^ elasticidad</t>
  </si>
  <si>
    <t xml:space="preserve">POLLOS/MES AJUSTADOS — PDV VENTANA</t>
  </si>
  <si>
    <t xml:space="preserve">Si sube el precio en SUP_PRECIOS, el volumen cae según la elasticidad — y viceversa</t>
  </si>
  <si>
    <t xml:space="preserve">4. VOLUMEN POR FORMATO DE PDV</t>
  </si>
  <si>
    <t xml:space="preserve">Uplift de venta DINE-IN sobre ventana (%)</t>
  </si>
  <si>
    <t xml:space="preserve">Spec de la dirección: salón + permanencia + ticket</t>
  </si>
  <si>
    <t xml:space="preserve">Uplift de venta FLAGSHIP sobre ventana (%)</t>
  </si>
  <si>
    <t xml:space="preserve">Spec de la dirección: el FLAGSHIP vende el DOBLE de una tienda ventana (uplift 100%).</t>
  </si>
  <si>
    <t xml:space="preserve">Pollos/mes por PDV</t>
  </si>
  <si>
    <t xml:space="preserve">VENTANA (to-go)</t>
  </si>
  <si>
    <t xml:space="preserve">DINE-IN (in-line)</t>
  </si>
  <si>
    <t xml:space="preserve">5. DISTRIBUCIÓN DEL VOLUMEN POR PLATAFORMA (% de pollos equivalentes — editable)</t>
  </si>
  <si>
    <t xml:space="preserve">Pollo asado (a la brasa)</t>
  </si>
  <si>
    <t xml:space="preserve">H1 validada: el asado lidera la categoría (relación asado:broaster ≈ 3:1 en el mercado; MOY'S balancea con broaster propio)</t>
  </si>
  <si>
    <t xml:space="preserve">Pollo broaster (prefrito en planta)</t>
  </si>
  <si>
    <t xml:space="preserve">H2: apanado con acabado 90 s (Modelo A)</t>
  </si>
  <si>
    <t xml:space="preserve">Value meal frito en salsa</t>
  </si>
  <si>
    <t xml:space="preserve">H3: aprovechamiento del asado — tráfico</t>
  </si>
  <si>
    <t xml:space="preserve">Crudo marinado (bandeja)</t>
  </si>
  <si>
    <t xml:space="preserve">H4: producto del ama de casa; sale de cava sin cocción</t>
  </si>
  <si>
    <t xml:space="preserve">Combo familiar (asado + broaster)</t>
  </si>
  <si>
    <t xml:space="preserve">Cubre la ocasión familiar; consume 1,89 pollos-equivalentes por combo</t>
  </si>
  <si>
    <t xml:space="preserve">CONTROL — la suma debe ser 100%</t>
  </si>
  <si>
    <t xml:space="preserve">Si no suma 100%, ajuste los porcentajes: el modelo reparte TODOS los pollos proyectados</t>
  </si>
  <si>
    <t xml:space="preserve">6. SALIDAS DE RED (mezcla del piloto — editable)</t>
  </si>
  <si>
    <t xml:space="preserve">N° de tiendas VENTANA en el piloto</t>
  </si>
  <si>
    <t xml:space="preserve">Mezcla base capa 1: 7 ventanas + 3 dine-in (editable; p. ej. 7-2 si se abre flagship). El flagship entra por el switch de la CAPA 2 en SUP_CONTROL.</t>
  </si>
  <si>
    <t xml:space="preserve">N° de tiendas DINE-IN en el piloto</t>
  </si>
  <si>
    <t xml:space="preserve">N° de tiendas FLAGSHIP en el piloto</t>
  </si>
  <si>
    <t xml:space="preserve">Salidas de red (10 PDV)</t>
  </si>
  <si>
    <t xml:space="preserve">Pollos/mes de la RED</t>
  </si>
  <si>
    <t xml:space="preserve">La red del piloto es la semilla del canal: escalar a N tiendas multiplica esta salida</t>
  </si>
  <si>
    <t xml:space="preserve">Kilos de pollo/mes de la RED (peso crudo beneficiado)</t>
  </si>
  <si>
    <t xml:space="preserve">Toneladas/mes de la RED</t>
  </si>
  <si>
    <t xml:space="preserve">% del mandato de 200 ton/mes que absorbe el piloto</t>
  </si>
  <si>
    <t xml:space="preserve">Venta neta estimada/mes — PDV VENTANA, escenario MEDIO (vínculo a SUP_PRECIOS)</t>
  </si>
  <si>
    <t xml:space="preserve">Margen de contribución/mes — PDV VENTANA, escenario MEDIO</t>
  </si>
  <si>
    <t xml:space="preserve">Venta neta estimada/mes de la RED (escenario MEDIO)</t>
  </si>
  <si>
    <t xml:space="preserve">Aproximación lineal: la mezcla de productos es idéntica entre formatos; solo escala el volumen</t>
  </si>
  <si>
    <t xml:space="preserve">7. FUENTES DE ELASTICIDAD-PRECIO (soporte del supuesto)</t>
  </si>
  <si>
    <t xml:space="preserve">• Andreyeva, Long &amp; Brownell (2010), American Journal of Public Health — revisión sistemática de 160 estudios EE. UU.: elasticidad promedio de aves −0,68 (IC 95%: 0,44–0,92).</t>
  </si>
  <si>
    <t xml:space="preserve">• Gallet (2010) y meta-análisis regionales de demanda de carnes: el pollo es la carne MENOS elástica del portafolio de proteínas en mercados desarrollados.</t>
  </si>
  <si>
    <t xml:space="preserve">• Estudios LatAm (p. ej. demanda avícola Perú, 2024–2025; IFPRI E-FooD): en segmentos de menor ingreso el pollo se comporta como bien elástico (|ε| ≥ 1) — consistente con el consumidor NSE C/D venezolano que 'valida el precio del producto, no el costo del servicio'.</t>
  </si>
  <si>
    <t xml:space="preserve">• Aplicación MOY'S: Básico −0,7 (mercado maduro/menos sensible) · Medio −1,0 (elasticidad unitaria, punto de partida prudente para QSR de valor) · Alto −1,3 (guerra de precios / hipersensibilidad). Forma funcional de elasticidad constante: V = V₀ × (P/P₀)^ε.</t>
  </si>
  <si>
    <t xml:space="preserve">• Límite metodológico: no existe medición econométrica propia del mercado venezolano; la elasticidad es un supuesto de planeación editable. La Fase B puede calibrarla con el test A/B de precio del piloto (11,90 vs 12,90).</t>
  </si>
  <si>
    <t xml:space="preserve">SUP_OPEX — GASTOS OPERATIVOS POR FORMATO DE PDV Y PLANTA</t>
  </si>
  <si>
    <t xml:space="preserve">Nómina, renta y gastos variables por formato (fuente: Modelo_Piloto v1 y bandas de mercado QSR Caracas jul-2026). Alimenta todas las capas.</t>
  </si>
  <si>
    <t xml:space="preserve">1. NÓMINA POR FORMATO — ESCENARIO ACTIVO (salarios editables · la dotación se toma del plan de personal de la sección 8 según el volumen de venta — regla 8.4)</t>
  </si>
  <si>
    <t xml:space="preserve">Cargo</t>
  </si>
  <si>
    <t xml:space="preserve">Salario</t>
  </si>
  <si>
    <t xml:space="preserve">Gerente / administrador de punto</t>
  </si>
  <si>
    <t xml:space="preserve">Cajero (frente de caja)</t>
  </si>
  <si>
    <t xml:space="preserve">Operario de cocina</t>
  </si>
  <si>
    <t xml:space="preserve">Ensamblador / despacho</t>
  </si>
  <si>
    <t xml:space="preserve">Aseo de salón</t>
  </si>
  <si>
    <t xml:space="preserve">Coordinador drive-thru / delivery (flagship)</t>
  </si>
  <si>
    <t xml:space="preserve">Nómina base mensual TITULAR (escenario activo)</t>
  </si>
  <si>
    <t xml:space="preserve">Factor de carga laboral patronal (%)</t>
  </si>
  <si>
    <t xml:space="preserve">IVSS + RPE + FAOV + INCES + pensiones + provisiones LOTTT (~40% validado en DD).</t>
  </si>
  <si>
    <t xml:space="preserve">Nómina cargada mensual (titular + supernumerarios + refuerzos + recargo dominical)</t>
  </si>
  <si>
    <t xml:space="preserve">2. RENTA POR FORMATO</t>
  </si>
  <si>
    <t xml:space="preserve">Superficie (m²)</t>
  </si>
  <si>
    <t xml:space="preserve">Renta (USD/m²/mes)</t>
  </si>
  <si>
    <t xml:space="preserve">Pad freestanding grande: mejor tarifa por superficie; incluye zona de estacionamiento y parque en el canon.</t>
  </si>
  <si>
    <t xml:space="preserve">Renta mensual (USD)</t>
  </si>
  <si>
    <t xml:space="preserve">HCM colectivo mensual por PDV (1 admin a tarifa coordinador + resto operativos)</t>
  </si>
  <si>
    <t xml:space="preserve">3. GASTO FIJO MENSUAL TOTAL POR FORMATO (nómina cargada + renta)</t>
  </si>
  <si>
    <t xml:space="preserve">GASTO FIJO MENSUAL POR PDV</t>
  </si>
  <si>
    <t xml:space="preserve">4. GASTOS VARIABLES (% del ingreso neto — editables)</t>
  </si>
  <si>
    <t xml:space="preserve">Servicios (electricidad, agua, gas, telecom)</t>
  </si>
  <si>
    <t xml:space="preserve">Mantenimiento</t>
  </si>
  <si>
    <t xml:space="preserve">Otros gastos (IGTF, seguridad, empaques no costeados)</t>
  </si>
  <si>
    <t xml:space="preserve">Comisiones de medios de pago</t>
  </si>
  <si>
    <t xml:space="preserve">TOTAL GASTOS VARIABLES (% del ingreso)</t>
  </si>
  <si>
    <t xml:space="preserve">Comisión ponderada canal DELIVERY (solo flagship, % del ingreso)</t>
  </si>
  <si>
    <t xml:space="preserve">Mezcla delivery directo + apps (~15% de las ventas × ~20% de comisión de app).</t>
  </si>
  <si>
    <t xml:space="preserve">5. PLANTA — GASTO FIJO (SUSTITUIDO POR EL OVERHEAD CORPORATIVO)</t>
  </si>
  <si>
    <t xml:space="preserve">Gasto fijo de planta v1 (5.000/mes) — SUSTITUIDO: la administración de planta y de cadena vive ahora en SUP_OVERHEAD</t>
  </si>
  <si>
    <t xml:space="preserve">El rubro genérico de 5.000 del modelo v1 se reemplaza por la estructura corporativa completa (SUP_OVERHEAD): piso directivo + supervisión de zona + presupuesto en % de ingresos.</t>
  </si>
  <si>
    <t xml:space="preserve">El fijo incremental de las fases 2 y 3 de planta (personal de producción) se mantiene en SUP_PRODUCCION C58.</t>
  </si>
  <si>
    <t xml:space="preserve">6. CURVA DE MADURACIÓN DEL PILOTO Y FLAGSHIP (% de venta plena)</t>
  </si>
  <si>
    <t xml:space="preserve">Mes 1 de apertura</t>
  </si>
  <si>
    <t xml:space="preserve">Mes 2</t>
  </si>
  <si>
    <t xml:space="preserve">Mes 3 en adelante</t>
  </si>
  <si>
    <t xml:space="preserve">Práctica QSR mercados emergentes (spec original del piloto). La capa 3 usa su propia curva de acreditación en SUP_C3_EXPANSION.</t>
  </si>
  <si>
    <t xml:space="preserve">7. VIDAS ÚTILES (depreciación lineal)</t>
  </si>
  <si>
    <t xml:space="preserve">CAPEX de tiendas y planta (años)</t>
  </si>
  <si>
    <t xml:space="preserve">Simplificación del modelo v2: todo el CAPEX se deprecia a 10 años (120 meses). Preoperativos incluidos por materialidad.</t>
  </si>
  <si>
    <t xml:space="preserve">HCM COLECTIVO (seguro de salud) — USD por empleado/mes</t>
  </si>
  <si>
    <t xml:space="preserve">Operativo de tienda</t>
  </si>
  <si>
    <t xml:space="preserve">Coordinador / analista / administrador de PDV</t>
  </si>
  <si>
    <t xml:space="preserve">Gerente / director</t>
  </si>
  <si>
    <t xml:space="preserve">Dotación: gerente/administrador de punto y cajero cuentan como coordinador ($35) en el HCM; operarios, ensamble y aseo como operativos ($20); supernumerarios y refuerzos como operativos. La dotación titular por escenario se edita en la sección 8.</t>
  </si>
  <si>
    <t xml:space="preserve">8. PLAN DE PERSONAL POR ESCENARIO — MANPOWER PLAN (spec de la dirección, 21-ago-2026)</t>
  </si>
  <si>
    <t xml:space="preserve">Esquema operativo: los titulares descansan 2 días CONTINUOS entre semana (LOTTT); sábado y domingo opera el equipo completo (el pico del pollo asado). En valle, 1 operario monta pollo y saca fritura; en pico, un operario al horno y otro a la freidora; gerente y cajero se apoyan al frente (caja + ensamble).</t>
  </si>
  <si>
    <t xml:space="preserve">Un pool de SUPERNUMERARIOS polivalentes (banda de operario + prima de movilidad) cubre los descansos y el ausentismo; los REFUERZOS de pico son medias jornadas y turnos de fin de semana. El domingo es feriado LOTTT: se paga con recargo (editable).</t>
  </si>
  <si>
    <t xml:space="preserve">8.1 DOTACIÓN TITULAR POR CARGO Y ESCENARIO (personas — azul editable)</t>
  </si>
  <si>
    <t xml:space="preserve">VENTANA — dotación titular</t>
  </si>
  <si>
    <t xml:space="preserve">Titulares VENTANA (personas)</t>
  </si>
  <si>
    <t xml:space="preserve">Nómina base titular VENTANA (USD/mes)</t>
  </si>
  <si>
    <t xml:space="preserve">DINE-IN — dotación titular</t>
  </si>
  <si>
    <t xml:space="preserve">Titulares DINE-IN (personas)</t>
  </si>
  <si>
    <t xml:space="preserve">Nómina base titular DINE-IN (USD/mes)</t>
  </si>
  <si>
    <t xml:space="preserve">FLAGSHIP — dotación titular</t>
  </si>
  <si>
    <t xml:space="preserve">Titulares FLAGSHIP (personas)</t>
  </si>
  <si>
    <t xml:space="preserve">Nómina base titular FLAGSHIP (USD/mes)</t>
  </si>
  <si>
    <t xml:space="preserve">8.2 COBERTURA DE DESCANSOS (SUPERNUMERARIOS), REFUERZOS DE PICO Y RECARGO DOMINICAL</t>
  </si>
  <si>
    <t xml:space="preserve">Salario de referencia del supernumerario / refuerzo (= operario de cocina)</t>
  </si>
  <si>
    <t xml:space="preserve">Prima de movilidad de supernumerarios (%)</t>
  </si>
  <si>
    <t xml:space="preserve">Cubre transporte entre PDV de la zona; el pool rota por corredor logístico.</t>
  </si>
  <si>
    <t xml:space="preserve">Recargo dominical LOTTT (%) sobre las horas del domingo (feriado)</t>
  </si>
  <si>
    <t xml:space="preserve">Art. 119–120 LOTTT: día feriado trabajado se paga con recargo del 50%. Editable.</t>
  </si>
  <si>
    <t xml:space="preserve">Fracción de la nómina trabajada en domingo (1 de 7 días de operación)</t>
  </si>
  <si>
    <t xml:space="preserve">VENTANA — cobertura y nómina total</t>
  </si>
  <si>
    <t xml:space="preserve">Dotación requerida ENTRE SEMANA (personas/día — malla de turnos)</t>
  </si>
  <si>
    <t xml:space="preserve">Supernumerarios (FTE) = MAX(0; requerida − 0,6 × titulares)</t>
  </si>
  <si>
    <t xml:space="preserve">Refuerzo de picos (FTE — medias jornadas y fin de semana)</t>
  </si>
  <si>
    <t xml:space="preserve">Costo supernumerarios + refuerzos (USD/mes)</t>
  </si>
  <si>
    <t xml:space="preserve">Recargo dominical (USD/mes)</t>
  </si>
  <si>
    <t xml:space="preserve">NÓMINA BASE TOTAL VENTANA (titular + super + refuerzos + dominical)</t>
  </si>
  <si>
    <t xml:space="preserve">Headcount total (FTE)</t>
  </si>
  <si>
    <t xml:space="preserve">HCM de supernumerarios y refuerzos (USD/mes)</t>
  </si>
  <si>
    <t xml:space="preserve">DINE-IN — cobertura y nómina total</t>
  </si>
  <si>
    <t xml:space="preserve">NÓMINA BASE TOTAL DINE-IN (titular + super + refuerzos + dominical)</t>
  </si>
  <si>
    <t xml:space="preserve">FLAGSHIP — cobertura y nómina total</t>
  </si>
  <si>
    <t xml:space="preserve">NÓMINA BASE TOTAL FLAGSHIP (titular + super + refuerzos + dominical)</t>
  </si>
  <si>
    <t xml:space="preserve">La malla diaria (2 turnos solapados de 8 h: apertura 8:30, medio día 11:30, cierre 14:00) cubre la atención 10 am – 10 pm sin horas extra. Requerida entre semana = personas/día con descansos rotados L–J; sáb–dom opera el 100% de los titulares más el refuerzo de pico.</t>
  </si>
  <si>
    <t xml:space="preserve">8.4 REGLA DE DOTACIÓN POR VOLUMEN — el personal de cada tienda depende de cuántos pollos vende, no del nombre del escenario</t>
  </si>
  <si>
    <t xml:space="preserve">Supuesto de la dirección (21-sep-2026): hasta el punto medio entre BÁSICO y MEDIO se usa la dotación BÁSICA; hasta el punto medio entre MEDIO y ALTO, la dotación MEDIA; por encima, la dotación ALTA. Aplica a titulares, supernumerarios, refuerzos y HCM de los tres formatos (secciones 1 y 8).</t>
  </si>
  <si>
    <t xml:space="preserve">Volumen de ventana del escenario activo (pollos/mes — SUP_VOLUMEN fila 16)</t>
  </si>
  <si>
    <t xml:space="preserve">Umbral BÁSICO → MEDIO (pollos/mes)</t>
  </si>
  <si>
    <t xml:space="preserve">Punto medio entre 3.500 (BÁSICO) y 4.200 (MEDIO). Editable.</t>
  </si>
  <si>
    <t xml:space="preserve">Umbral MEDIO → ALTO (pollos/mes)</t>
  </si>
  <si>
    <t xml:space="preserve">Punto medio entre 4.200 (MEDIO) y 5.000 (ALTO). Editable.</t>
  </si>
  <si>
    <t xml:space="preserve">DOTACIÓN APLICADA (1 = BÁSICA · 2 = MEDIA · 3 = ALTA)</t>
  </si>
  <si>
    <t xml:space="preserve">Control — los umbrales siguen siendo los puntos medios de los volúmenes vigentes</t>
  </si>
  <si>
    <t xml:space="preserve">Si la dirección cambia los volúmenes de SUP_VOLUMEN fila 16, actualice los umbrales. Se dejan como valores (no fórmulas) para que el cálculo del punto de equilibrio no los mueva al variar el volumen.</t>
  </si>
  <si>
    <t xml:space="preserve">SUP_OVERHEAD — ESTRUCTURA CORPORATIVA (SUSTITUYE EL FIJO GENÉRICO DE PLANTA v1)</t>
  </si>
  <si>
    <t xml:space="preserve">Piso directivo desde el día 1 + supervisión de zona por cada 10 tiendas + presupuesto de overhead en % de ingresos que SE DILUYE en porcentaje pero CRECE en valor absoluto (financia calidad, auditoría, contraloría y nuevos cargos). El overhead del mes se asigna a las capas activas por su participación en ingresos.</t>
  </si>
  <si>
    <t xml:space="preserve">1. ESTRUCTURA MÍNIMA CORPORATIVA — DESDE EL DÍA 1 (salarios USD/mes editables)</t>
  </si>
  <si>
    <t xml:space="preserve">Gerente General</t>
  </si>
  <si>
    <t xml:space="preserve">Director de Expansión</t>
  </si>
  <si>
    <t xml:space="preserve">Coordinador de Mercadeo</t>
  </si>
  <si>
    <t xml:space="preserve">Analista de Operaciones</t>
  </si>
  <si>
    <t xml:space="preserve">Subtotal salarios de estructura</t>
  </si>
  <si>
    <t xml:space="preserve">Carga laboral patronal (vínculo a SUP_OPEX)</t>
  </si>
  <si>
    <t xml:space="preserve">PISO MENSUAL CARGADO DE LA ESTRUCTURA</t>
  </si>
  <si>
    <t xml:space="preserve">Hasta la tienda 10, los PDV reportan directamente al Gerente General y al Director de Expansión.</t>
  </si>
  <si>
    <t xml:space="preserve">Coordinador de Entrenamiento (anexo Perfiles_Cargos v2 — desde mes 1)</t>
  </si>
  <si>
    <t xml:space="preserve">2. SUPERVISIÓN DE ZONA (crece con la cadena)</t>
  </si>
  <si>
    <t xml:space="preserve">Analista de RRHH y Selección (anexo Perfiles_Cargos v2 — desde mes 1)</t>
  </si>
  <si>
    <t xml:space="preserve">Salario mensual del supervisor de zona (USD)</t>
  </si>
  <si>
    <t xml:space="preserve">Tiendas por supervisor (zona)</t>
  </si>
  <si>
    <t xml:space="preserve">Un supervisor por cada 10 tiendas; se contratan al superar el umbral y crecen con la cadena.</t>
  </si>
  <si>
    <t xml:space="preserve">PDV con reporte directo a la dirección (umbral sin supervisores)</t>
  </si>
  <si>
    <t xml:space="preserve">HCM colectivo del piso corporativo (2 gerencia/dirección + 4 coordinación/análisis)</t>
  </si>
  <si>
    <t xml:space="preserve">3. PRESUPUESTO DE OVERHEAD EN % DE INGRESOS POR AÑO (editable — se diluye en % y crece en USD)</t>
  </si>
  <si>
    <t xml:space="preserve">HCM colectivo por supervisor de zona (nivel coordinación)</t>
  </si>
  <si>
    <t xml:space="preserve">Año</t>
  </si>
  <si>
    <t xml:space="preserve">% de overhead sobre ingresos de la cadena</t>
  </si>
  <si>
    <t xml:space="preserve">El overhead del mes = MAX(estructura mínima, % del año × ingresos). El excedente sobre la estructura es la partida corporativa para calidad, auditoría, contraloría, entrenamiento y nuevos cargos. Benchmark QSR: G&amp;A 3–6% de ventas en cadenas maduras; el modelo parte en 8% y se diluye hasta un piso de 4% — baja en porcentaje pero nunca en valor absoluto.</t>
  </si>
  <si>
    <t xml:space="preserve">4. TECNOLOGÍA RECURRENTE</t>
  </si>
  <si>
    <t xml:space="preserve">Mantenimiento y evolución tecnológica mensual (vínculo a SUP_TECNOLOGIA)</t>
  </si>
  <si>
    <t xml:space="preserve">Mes de arranque del piso directivo corporativo (editable — hoy: mes 2 del proyecto; el Coordinador de Entrenamiento y el Analista de RRHH ingresan un mes antes según el Documento Maestro 19.2). FC_SUPUESTOS!C69 lo toma como mes del flujo de caja.</t>
  </si>
  <si>
    <t xml:space="preserve">5. CÁLCULO MENSUAL DEL OVERHEAD Y ASIGNACIÓN POR CAPA</t>
  </si>
  <si>
    <t xml:space="preserve">Mes</t>
  </si>
  <si>
    <t xml:space="preserve">PDV totales de la cadena</t>
  </si>
  <si>
    <t xml:space="preserve">Supervisores de zona (1 por cada 10 tiendas al superar el umbral)</t>
  </si>
  <si>
    <t xml:space="preserve">Estructura mínima del mes (piso + supervisores cargados + tecnología)</t>
  </si>
  <si>
    <t xml:space="preserve">Ingresos de la cadena (capas activas)</t>
  </si>
  <si>
    <t xml:space="preserve">% de overhead objetivo del año</t>
  </si>
  <si>
    <t xml:space="preserve">Presupuesto por % de ingresos</t>
  </si>
  <si>
    <t xml:space="preserve">OVERHEAD CORPORATIVO DEL MES = MAX(estructura, presupuesto)</t>
  </si>
  <si>
    <t xml:space="preserve">Partida corporativa adicional (calidad, auditoría, contraloría, entrenamiento)</t>
  </si>
  <si>
    <t xml:space="preserve">Overhead asignado a CAPA 1 (por participación en ingresos)</t>
  </si>
  <si>
    <t xml:space="preserve">Overhead asignado a CAPA 2</t>
  </si>
  <si>
    <t xml:space="preserve">Overhead asignado a CAPA 3</t>
  </si>
  <si>
    <t xml:space="preserve">Overhead asignado a CAPA 4</t>
  </si>
  <si>
    <t xml:space="preserve">Antes de la primera venta, todo el overhead se asigna a la capa 1 (la estructura arranca con el proyecto). El overhead reduce el EBITDA de cada capa y, por lo tanto, el pool del waterfall.</t>
  </si>
  <si>
    <t xml:space="preserve">SUP_TECNOLOGIA — SISTEMAS DE INFORMACIÓN DEL PROYECTO MOY'S</t>
  </si>
  <si>
    <t xml:space="preserve">POS por punto de venta (valor y número de cajas editables por formato) + fondo tecnológico central: planeación de la demanda, página web, app de pedidos, nube y BI.</t>
  </si>
  <si>
    <t xml:space="preserve">1. PUNTO DE VENTA — SISTEMA POS (editable)</t>
  </si>
  <si>
    <t xml:space="preserve">Valor por caja POS (hardware + software + impresora fiscal), USD</t>
  </si>
  <si>
    <t xml:space="preserve">Licencia + terminal + periféricos por caja. Hallazgo de campo: la caja es el cuello de botella del servicio — POS ágil es palanca de throughput.</t>
  </si>
  <si>
    <t xml:space="preserve">Número de cajas por formato</t>
  </si>
  <si>
    <t xml:space="preserve">Cajas por PDV (editable)</t>
  </si>
  <si>
    <t xml:space="preserve">CAPEX POS por PDV (cae al CAPEX de cada formato)</t>
  </si>
  <si>
    <t xml:space="preserve">Estas cifras alimentan la fila "Sistema POS" de SUP_CAPEX_VENTANA, SUP_CAPEX_DINEIN y SUP_CAPEX_FLAGSHIP: cada apertura carga sus cajas automáticamente.</t>
  </si>
  <si>
    <t xml:space="preserve">2. FONDO TECNOLÓGICO CENTRAL (una sola vez — editable)</t>
  </si>
  <si>
    <t xml:space="preserve">Software de planeación de la demanda (forecasting + inventarios + compras)</t>
  </si>
  <si>
    <t xml:space="preserve">Planifica el pollo de la cadena contra la capacidad de planta; insumo del S&amp;OP.</t>
  </si>
  <si>
    <t xml:space="preserve">Página web corporativa + pedidos web</t>
  </si>
  <si>
    <t xml:space="preserve">App de pedidos (iOS/Android) + integración con POS y delivery</t>
  </si>
  <si>
    <t xml:space="preserve">Canal propio de pedidos: reduce dependencia de apps de terceros y su comisión.</t>
  </si>
  <si>
    <t xml:space="preserve">Infraestructura de nube, BI y ciberseguridad</t>
  </si>
  <si>
    <t xml:space="preserve">Tableros de venta diaria por PDV en línea.</t>
  </si>
  <si>
    <t xml:space="preserve">Contingencia digital (integraciones, fiscal, imprevistos)</t>
  </si>
  <si>
    <t xml:space="preserve">TOTAL FONDO TECNOLÓGICO</t>
  </si>
  <si>
    <t xml:space="preserve">Mes de inversión del fondo</t>
  </si>
  <si>
    <t xml:space="preserve">Se invierte durante la construcción de la planta para arrancar el piloto con sistemas en línea. Cae en la inversión de la capa 1.</t>
  </si>
  <si>
    <t xml:space="preserve">3. EVOLUCIÓN Y MANTENIMIENTO TECNOLÓGICO (recurrente)</t>
  </si>
  <si>
    <t xml:space="preserve">Mantenimiento y evolución anual (% del fondo)</t>
  </si>
  <si>
    <t xml:space="preserve">Licencias, soporte, releases de la app y del forecasting.</t>
  </si>
  <si>
    <t xml:space="preserve">Gasto tecnológico mensual (entra al overhead corporativo)</t>
  </si>
  <si>
    <t xml:space="preserve">SUP_CAPEX_PLANTA — CENTRO DE PRODUCCIÓN (TEJERÍAS)</t>
  </si>
  <si>
    <t xml:space="preserve">Línea Modelo A (Opción 2A): marinado, despiece 9 piezas, apanado, par-freído, horno espiral, IQF y empaque. Catálogo editable — cifras de planeación, cotización formal pendiente.</t>
  </si>
  <si>
    <t xml:space="preserve">1. SUPUESTOS DE IMPORTACIÓN Y OBRA (editables — palanca del modelo)</t>
  </si>
  <si>
    <t xml:space="preserve">Flete internacional (% sobre FOB)</t>
  </si>
  <si>
    <t xml:space="preserve">Ref.: contenedor 40' China → Pto. Cabello</t>
  </si>
  <si>
    <t xml:space="preserve">Arancel + gastos de nacionalización (% sobre CIF)</t>
  </si>
  <si>
    <t xml:space="preserve">Fijado por la investigación (45%). PALANCA: exoneración de bienes de capital puede llevarlo a 2%/0% + IVA exento</t>
  </si>
  <si>
    <t xml:space="preserve">FACTOR NACIONALIZADO (multiplica el FOB)</t>
  </si>
  <si>
    <t xml:space="preserve">Costo puesto en Venezuela = FOB × este factor (1,64x base)</t>
  </si>
  <si>
    <t xml:space="preserve">Factor con exoneración BK (informativo)</t>
  </si>
  <si>
    <t xml:space="preserve">Verificar partida por partida con agente aduanal — ahorro potencial USD 100–200k</t>
  </si>
  <si>
    <t xml:space="preserve">Instalación y puesta en marcha de planta (% del equipo)</t>
  </si>
  <si>
    <t xml:space="preserve">Montaje, eléctrico trifásico, frío, vapor</t>
  </si>
  <si>
    <t xml:space="preserve">Contingencia sobre CAPEX (%)</t>
  </si>
  <si>
    <t xml:space="preserve">Imprevistos de obra, repuestos de arranque. Aplica también a los CAPEX de PDV.</t>
  </si>
  <si>
    <t xml:space="preserve">2. CATÁLOGO DE EQUIPOS DE PLANTA (FOB / costo local editables)</t>
  </si>
  <si>
    <t xml:space="preserve">Equipo / línea</t>
  </si>
  <si>
    <t xml:space="preserve">Origen</t>
  </si>
  <si>
    <t xml:space="preserve">FOB (USD)</t>
  </si>
  <si>
    <t xml:space="preserve">Costo local (USD)</t>
  </si>
  <si>
    <t xml:space="preserve">Costo VE (USD)</t>
  </si>
  <si>
    <t xml:space="preserve">Total (USD)</t>
  </si>
  <si>
    <t xml:space="preserve">Nota / fuente</t>
  </si>
  <si>
    <t xml:space="preserve">P01</t>
  </si>
  <si>
    <t xml:space="preserve">Tumbler de marinado al vacío 500 L + bomba</t>
  </si>
  <si>
    <t xml:space="preserve">China</t>
  </si>
  <si>
    <t xml:space="preserve">AJUSTADO v3: chino gama alta (SUS304, bomba Busch, CE) FOB 4–9k; el 24k anterior era fabricante EE. UU. Resuelve el 'sabor al hueso'.</t>
  </si>
  <si>
    <t xml:space="preserve">P11</t>
  </si>
  <si>
    <t xml:space="preserve">Mesa de despiece + sierra cinta cárnica (corte 9 piezas por pollo)</t>
  </si>
  <si>
    <t xml:space="preserve">Local</t>
  </si>
  <si>
    <t xml:space="preserve">Sierra 1,5–3k + mesa local. Origen del beneficio de costo del broaster.</t>
  </si>
  <si>
    <t xml:space="preserve">P05</t>
  </si>
  <si>
    <t xml:space="preserve">Línea de apanado F1 (predust + batter + drum, 400 kg/h)</t>
  </si>
  <si>
    <t xml:space="preserve">AVAN AVN400 y equivalentes: USD 3–25k/set.</t>
  </si>
  <si>
    <t xml:space="preserve">P06</t>
  </si>
  <si>
    <t xml:space="preserve">Freidora industrial de par-freído (batch, 200–300 kg/h)</t>
  </si>
  <si>
    <t xml:space="preserve">Batch fryers gas/diésel 12–25k. Par-freído 80–120 s — fija la costra, no cocina. Cuello de F1 a 1 turno.</t>
  </si>
  <si>
    <t xml:space="preserve">P07</t>
  </si>
  <si>
    <t xml:space="preserve">Horno espiral de vapor compacto — EQUIPO CRÍTICO</t>
  </si>
  <si>
    <t xml:space="preserve">Rango chino 40–80k. Define la jugosidad (72 °C con humedad). NO bajar especificación.</t>
  </si>
  <si>
    <t xml:space="preserve">P08</t>
  </si>
  <si>
    <t xml:space="preserve">Abatidor + congelador IQF espiral compacto</t>
  </si>
  <si>
    <t xml:space="preserve">Rango verificado 45–80k. DECISIÓN DIRECCIÓN 18-ago: IQF desde el inicio; la distribución regular sigue en cadena refrigerada 0–4 °C.</t>
  </si>
  <si>
    <t xml:space="preserve">P02</t>
  </si>
  <si>
    <t xml:space="preserve">Línea de empaque manual + selladora al vacío doble campana</t>
  </si>
  <si>
    <t xml:space="preserve">Set con mesa + báscula + codificador; sin flow-pack en F1. (v3 sustituye al túnel P03: el IQF cumple esa función.)</t>
  </si>
  <si>
    <t xml:space="preserve">P04</t>
  </si>
  <si>
    <t xml:space="preserve">Mesas, básculas y utilería de planta</t>
  </si>
  <si>
    <t xml:space="preserve">Compra local.</t>
  </si>
  <si>
    <t xml:space="preserve">P09</t>
  </si>
  <si>
    <t xml:space="preserve">Cava refrigerada de planta 0–4 °C (producto terminado)</t>
  </si>
  <si>
    <t xml:space="preserve">NUEVA v3: soporta la cadena refrigerada 5–7 días — corazón del modelo de distribución.</t>
  </si>
  <si>
    <t xml:space="preserve">P10</t>
  </si>
  <si>
    <t xml:space="preserve">Cava congelada de planta (paneles)</t>
  </si>
  <si>
    <t xml:space="preserve">Materia prima y colchón de seguridad.</t>
  </si>
  <si>
    <t xml:space="preserve">PR1</t>
  </si>
  <si>
    <t xml:space="preserve">Kit de repuestos críticos de planta (2 años)</t>
  </si>
  <si>
    <t xml:space="preserve">NUEVO v3: FOB 10.000 × factor PLENO 1,5657 (partes sin marca BK — no aplica C8). Motores, termocuplas, quemadores, resistencias, juntas.</t>
  </si>
  <si>
    <t xml:space="preserve">P13</t>
  </si>
  <si>
    <t xml:space="preserve">Sartén volcable a gas 80–120 L (cocción de masa de hallaquitas — lotes de 100 und)</t>
  </si>
  <si>
    <t xml:space="preserve">Importado</t>
  </si>
  <si>
    <t xml:space="preserve">NUEVO 21-ago: cocción de masa y hallacas en planta (receta Edgar Urrea, ficha SUP_COSTOS fila 304). Ref. web: Berto's G7BR8/I €5.581 (gas) / E7BR8/I €5.882 — lahostelera.com; hasta €42k automatizados. FOB est. US$ 6.000 × factor 1,6385.</t>
  </si>
  <si>
    <t xml:space="preserve">PS1</t>
  </si>
  <si>
    <t xml:space="preserve">Supervisión de montaje y puesta en marcha (técnico en sitio)</t>
  </si>
  <si>
    <t xml:space="preserve">Servicio</t>
  </si>
  <si>
    <t xml:space="preserve">10–15 días técnico del fabricante; servicio sin tributos aduaneros. Excluido de la base de instalación.</t>
  </si>
  <si>
    <t xml:space="preserve">Subtotal equipo de planta</t>
  </si>
  <si>
    <t xml:space="preserve">Instalación y puesta en marcha</t>
  </si>
  <si>
    <t xml:space="preserve">12% sobre equipo de planta SIN la supervisión PS1 (v3): montaje, eléctrico trifásico, frío, vapor.</t>
  </si>
  <si>
    <t xml:space="preserve">Activos de red y preoperativos del piloto (v3 — decisión de la dirección 18-ago)</t>
  </si>
  <si>
    <t xml:space="preserve">PR2</t>
  </si>
  <si>
    <t xml:space="preserve">Kit de continuidad de red (2 hornos FRG8VE backup + kit repuestos hornos PDV)</t>
  </si>
  <si>
    <t xml:space="preserve">Miami</t>
  </si>
  <si>
    <t xml:space="preserve">NUEVO v3: FOB 14.020 × factor PLENO 1,5657. Mitigación posventa Metal Supreme — activo de RED, no de tienda.</t>
  </si>
  <si>
    <t xml:space="preserve">KH</t>
  </si>
  <si>
    <t xml:space="preserve">Transferencia de know-how — SIN COSTO en este proyecto</t>
  </si>
  <si>
    <t xml:space="preserve">Decisión de la dirección: el know-how / transferencia de conocimiento NO genera inversión ni gasto en este modelo — será aportado aparte por los funcionarios de JHS. Tampoco se incluyen los honorarios del Módulo 1 (VentureME).</t>
  </si>
  <si>
    <t xml:space="preserve">AD1</t>
  </si>
  <si>
    <t xml:space="preserve">Adecuación de nave Fase 1 — obra menor (200 m²: paredes y enchapes)</t>
  </si>
  <si>
    <t xml:space="preserve">Definición dirección 19-ago: obra menor, iniciar 200 m² — cálculo en SUP_PLANTA_OPEX</t>
  </si>
  <si>
    <t xml:space="preserve">PO1</t>
  </si>
  <si>
    <t xml:space="preserve">Preoperativos de planta (permisos sanitarios, registros, pruebas de arranque)</t>
  </si>
  <si>
    <t xml:space="preserve">POR VALIDAR — cálculo en SUP_PLANTA_OPEX</t>
  </si>
  <si>
    <t xml:space="preserve">WC1</t>
  </si>
  <si>
    <t xml:space="preserve">Capital de trabajo de planta (7 d ave fresca + 14 d congelado)</t>
  </si>
  <si>
    <t xml:space="preserve">Inventario perecedero definido por la dirección — cálculo en SUP_PLANTA_OPEX</t>
  </si>
  <si>
    <t xml:space="preserve">Subtotal planta instalada + activos de red y preoperativos</t>
  </si>
  <si>
    <t xml:space="preserve">Contingencia</t>
  </si>
  <si>
    <t xml:space="preserve">CAPEX TOTAL DE PLANTA Y RED (Fase 1, v3)</t>
  </si>
  <si>
    <t xml:space="preserve">Nota del comité: multiplicar el equipo crítico ×1 planta es siempre superior a ×10 tiendas (capex, calidad y escalabilidad). La misma línea habilita prelistos apanados y preformados para retail (Fases 2–3) con inversión incremental.</t>
  </si>
  <si>
    <t xml:space="preserve">SUP_CAPEX_VENTANA — PUNTO DE VENTA — FORMATO VENTANA / TO-GO</t>
  </si>
  <si>
    <t xml:space="preserve">Módulo compacto tipo Chooks-to-Go (~40 m²): unidad básica de expansión. Vende las 5 líneas. CAPEX v3 (ago-2026): precios verificados, diseño 800 pollos/día.</t>
  </si>
  <si>
    <t xml:space="preserve">1. SUPUESTOS DEL LOCAL (editables)</t>
  </si>
  <si>
    <t xml:space="preserve">Superficie del local (m²)</t>
  </si>
  <si>
    <t xml:space="preserve">Costo de adecuación (USD por m²)</t>
  </si>
  <si>
    <t xml:space="preserve">Obra civil, eléctrica, plomería y acabados (modelo v2; doc. de entrega usó 400/m² como piso)</t>
  </si>
  <si>
    <t xml:space="preserve">Gastos preoperativos por tienda (USD)</t>
  </si>
  <si>
    <t xml:space="preserve">Permisos, legales, entrenamiento y mercadeo de apertura</t>
  </si>
  <si>
    <t xml:space="preserve">Factor de nacionalización (vínculo a planta)</t>
  </si>
  <si>
    <t xml:space="preserve">Contingencia (vínculo a planta)</t>
  </si>
  <si>
    <t xml:space="preserve">2. EQUIPAMIENTO DEL PUNTO DE VENTA (FOB / costo local editables)</t>
  </si>
  <si>
    <t xml:space="preserve">Ítem</t>
  </si>
  <si>
    <t xml:space="preserve">L01</t>
  </si>
  <si>
    <t xml:space="preserve">Cava de congelación 2 t nueva (paneles + condensadora)</t>
  </si>
  <si>
    <t xml:space="preserve">v3: construcción nueva (el 4.500 del avalúo era reposición de usado; condensadora 2 HP sola ~3.000).</t>
  </si>
  <si>
    <t xml:space="preserve">L02</t>
  </si>
  <si>
    <t xml:space="preserve">Nevera / cava de refrigeración (freezer-pull y atemperado)</t>
  </si>
  <si>
    <t xml:space="preserve">Avalúo Pollo Cool USD 3.000</t>
  </si>
  <si>
    <t xml:space="preserve">L03</t>
  </si>
  <si>
    <t xml:space="preserve">Nevera exhibidora de bebidas + exhibición crudo marinado</t>
  </si>
  <si>
    <t xml:space="preserve">Mercado local; incluye frío de exhibición del crudo (H4)</t>
  </si>
  <si>
    <t xml:space="preserve">L04</t>
  </si>
  <si>
    <t xml:space="preserve">Campana extractora 2 m + ductería</t>
  </si>
  <si>
    <t xml:space="preserve">Avalúo Pollo Cool USD 2.000</t>
  </si>
  <si>
    <t xml:space="preserve">L05</t>
  </si>
  <si>
    <t xml:space="preserve">Mesas de trabajo acero inox (juego x3)</t>
  </si>
  <si>
    <t xml:space="preserve">Avalúo: USD 400–600 c/u</t>
  </si>
  <si>
    <t xml:space="preserve">L06</t>
  </si>
  <si>
    <t xml:space="preserve">Fregadero industrial + trampa de grasas</t>
  </si>
  <si>
    <t xml:space="preserve">Estación de lavado (espadas y utensilios)</t>
  </si>
  <si>
    <t xml:space="preserve">L07</t>
  </si>
  <si>
    <t xml:space="preserve">Sistema POS: cajas (hardware + software + impresora fiscal) — ver SUP_TECNOLOGIA</t>
  </si>
  <si>
    <t xml:space="preserve">Valor por caja y número de cajas por formato editables en SUP_TECNOLOGIA.</t>
  </si>
  <si>
    <t xml:space="preserve">L08</t>
  </si>
  <si>
    <t xml:space="preserve">Aviso exterior + branding de fachada MOY'S</t>
  </si>
  <si>
    <t xml:space="preserve">Fabricación local: cajas de luz, tótem, marquesina (flagship: fachada premium)</t>
  </si>
  <si>
    <t xml:space="preserve">L12</t>
  </si>
  <si>
    <t xml:space="preserve">Equipo de cómputo / back office</t>
  </si>
  <si>
    <t xml:space="preserve">Avalúo USD 200–500</t>
  </si>
  <si>
    <t xml:space="preserve">L13</t>
  </si>
  <si>
    <t xml:space="preserve">Menaje, bandejas, gastronorm, empaque inicial</t>
  </si>
  <si>
    <t xml:space="preserve">Arranque</t>
  </si>
  <si>
    <t xml:space="preserve">E05</t>
  </si>
  <si>
    <t xml:space="preserve">Menu boards digitales (3 pantallas 43" + player)</t>
  </si>
  <si>
    <t xml:space="preserve">Ancla local: TV 43" USD 260 c/u (avalúo)</t>
  </si>
  <si>
    <t xml:space="preserve">E09</t>
  </si>
  <si>
    <t xml:space="preserve">Kit espadas / canastas + balanza + utensilios</t>
  </si>
  <si>
    <t xml:space="preserve">Consumibles de arranque</t>
  </si>
  <si>
    <t xml:space="preserve">E01</t>
  </si>
  <si>
    <t xml:space="preserve">Horno rostizador a gas FRG8VE — 8 espadas, 40 pollos/carga</t>
  </si>
  <si>
    <t xml:space="preserve">v3: Metal Supreme FRG8VE GLP 120.000 BTU (calle 4.204–4.510). 2×FRG8VE = 800 pollos/día de diseño — regla de capacidad de la dirección.</t>
  </si>
  <si>
    <t xml:space="preserve">E02</t>
  </si>
  <si>
    <t xml:space="preserve">Freidora abierta doble cesta a gas 40 lb (broaster finish + papas)</t>
  </si>
  <si>
    <t xml:space="preserve">v3: Atosa ATFS-40 calle 1.341–1.763; ~71 aves-eq/h en pico. El PDV NO necesita freidora a presión.</t>
  </si>
  <si>
    <t xml:space="preserve">L14</t>
  </si>
  <si>
    <t xml:space="preserve">Estufa 2 puestos (hallaquitas)</t>
  </si>
  <si>
    <t xml:space="preserve">Zona de fritos y estufa</t>
  </si>
  <si>
    <t xml:space="preserve">E04</t>
  </si>
  <si>
    <t xml:space="preserve">Vitrina caliente exhibidora 1,2 m</t>
  </si>
  <si>
    <t xml:space="preserve">v3: Avantco/ServIt calle 1.200–1.800. 2 vitrinas = buffer ~70 pollos para la hora pico.</t>
  </si>
  <si>
    <t xml:space="preserve">E07</t>
  </si>
  <si>
    <t xml:space="preserve">Baño maría con humedad (hallaquitas)</t>
  </si>
  <si>
    <t xml:space="preserve">Humedad para hallaquitas</t>
  </si>
  <si>
    <t xml:space="preserve">E08</t>
  </si>
  <si>
    <t xml:space="preserve">Mantenedor de fritos calor seco (papa)</t>
  </si>
  <si>
    <t xml:space="preserve">Calor seco, no húmedo</t>
  </si>
  <si>
    <t xml:space="preserve">L11</t>
  </si>
  <si>
    <t xml:space="preserve">Mini split 12.000 BTU</t>
  </si>
  <si>
    <t xml:space="preserve">Ref. mercado local</t>
  </si>
  <si>
    <t xml:space="preserve">F06</t>
  </si>
  <si>
    <t xml:space="preserve">Kit de filtrado manual de aceite (ventana)</t>
  </si>
  <si>
    <t xml:space="preserve">v3: filtro-carro manual local; la ventana no justifica un PF50R propio.</t>
  </si>
  <si>
    <t xml:space="preserve">T01</t>
  </si>
  <si>
    <t xml:space="preserve">CCTV 4 cámaras + DVR + monitor</t>
  </si>
  <si>
    <t xml:space="preserve">v3: seguridad estándar PDV de calle.</t>
  </si>
  <si>
    <t xml:space="preserve">T02</t>
  </si>
  <si>
    <t xml:space="preserve">Conectividad: router 4G/fibra + cableado + AP</t>
  </si>
  <si>
    <t xml:space="preserve">v3: ventas, POS en línea y telemetría (dashboards).</t>
  </si>
  <si>
    <t xml:space="preserve">T03</t>
  </si>
  <si>
    <t xml:space="preserve">Inversor + banco de baterías 1 kVA (POS/luces/red)</t>
  </si>
  <si>
    <t xml:space="preserve">v3: cocción a gas + respaldo de POS — la ventana vende aun sin red eléctrica.</t>
  </si>
  <si>
    <t xml:space="preserve">Subtotal equipo por tienda</t>
  </si>
  <si>
    <t xml:space="preserve">Adecuación del local (m² × USD/m²)</t>
  </si>
  <si>
    <t xml:space="preserve">Gastos preoperativos</t>
  </si>
  <si>
    <t xml:space="preserve">Subtotal tienda</t>
  </si>
  <si>
    <t xml:space="preserve">CAPEX TOTAL POR TIENDA</t>
  </si>
  <si>
    <t xml:space="preserve">SUP_CAPEX_DINEIN — PUNTO DE VENTA — FORMATO DINE-IN (IN-LINE)</t>
  </si>
  <si>
    <t xml:space="preserve">Local con salón (~80 m²); uplift +30% sobre ventana (SUP_VOLUMEN). CAPEX v3 (ago-2026): precios verificados, diseño 800 pollos/día.</t>
  </si>
  <si>
    <t xml:space="preserve">v3: construcción nueva (el 4.500 del avalúo era reposición de usado).</t>
  </si>
  <si>
    <t xml:space="preserve">v3: Metal Supreme FRG8VE GLP 120.000 BTU. 2×FRG8VE = 800 pollos/día — misma regla de capacidad que ventana.</t>
  </si>
  <si>
    <t xml:space="preserve">v3: Atosa ATFS-40 calle 1.341–1.763. 2 freidoras (broaster + papas); el salón no agrega cocción.</t>
  </si>
  <si>
    <t xml:space="preserve">v3: Avantco/ServIt calle 1.200–1.800. 2 vitrinas = buffer hora pico.</t>
  </si>
  <si>
    <t xml:space="preserve">L10</t>
  </si>
  <si>
    <t xml:space="preserve">Aire acondicionado 5 ton (salón)</t>
  </si>
  <si>
    <t xml:space="preserve">L09</t>
  </si>
  <si>
    <t xml:space="preserve">Mobiliario de comedor (12 juegos mesa + sillas)</t>
  </si>
  <si>
    <t xml:space="preserve">Avalúo ~USD 160/juego</t>
  </si>
  <si>
    <t xml:space="preserve">F04</t>
  </si>
  <si>
    <t xml:space="preserve">Filtro de aceite portátil Frymaster PF50R (50 lb)</t>
  </si>
  <si>
    <t xml:space="preserve">v3 NUEVO: filtrado motorizado — precio calle jul/ago-2026 confirmado.</t>
  </si>
  <si>
    <t xml:space="preserve">v3: ventas, POS en línea y telemetría.</t>
  </si>
  <si>
    <t xml:space="preserve">T04</t>
  </si>
  <si>
    <t xml:space="preserve">Generador 15 kVA a gasolina/GLP con transferencia</t>
  </si>
  <si>
    <t xml:space="preserve">v3: resiliencia dine-in — frío + salón no se caen con la red.</t>
  </si>
  <si>
    <t xml:space="preserve">SUP_CAPEX_FLAGSHIP — RESTAURANTE BANDERA MOY'S (400 m² / 150 SILLAS)</t>
  </si>
  <si>
    <t xml:space="preserve">Freestanding 400 m² interiores / 150 sillas, drive-thru y área infantil. CAPEX v3 (ago-2026): equipamiento + adecuación interior; terreno y obra civil mayor van al presupuesto inmobiliario JHS (decisión presidencial).</t>
  </si>
  <si>
    <t xml:space="preserve">1. SUPUESTOS DEL LOCAL Y OBRA (editables)</t>
  </si>
  <si>
    <t xml:space="preserve">Superficie construida (m²)</t>
  </si>
  <si>
    <t xml:space="preserve">Salón 150 sillas (~180 m²) + cocina y BOH (~120 m²) + baños/servicios (~40 m²) + zona infantil interior (~60 m²).</t>
  </si>
  <si>
    <t xml:space="preserve">Sillas del salón</t>
  </si>
  <si>
    <t xml:space="preserve">Benchmark flagship QSR de pollo (KFC/Popeyes flagship LatAm: 120–180 asientos).</t>
  </si>
  <si>
    <t xml:space="preserve">Puestos de estacionamiento</t>
  </si>
  <si>
    <t xml:space="preserve">Spec de la dirección.</t>
  </si>
  <si>
    <t xml:space="preserve">Costo de adecuación interior (USD por m²)</t>
  </si>
  <si>
    <t xml:space="preserve">v3 (18-ago): 700 USD/m² unificado con los demás formatos — cubre obra civil interior, MEP, acabados y ductería, sobre 400 m² interiores.</t>
  </si>
  <si>
    <t xml:space="preserve">Obra exterior — estacionamiento y vialidad interna (USD)</t>
  </si>
  <si>
    <t xml:space="preserve">v3: la obra exterior, el terreno y la construcción van al PRESUPUESTO INMOBILIARIO JHS aparte (decisión presidencial). Editable si se reincorpora.</t>
  </si>
  <si>
    <t xml:space="preserve">Obra exterior — carril drive-thru + canopy + señalización vial (USD)</t>
  </si>
  <si>
    <t xml:space="preserve">v3: → presupuesto inmobiliario JHS (el kit tecnológico drive-thru sí queda en equipos, T07).</t>
  </si>
  <si>
    <t xml:space="preserve">Obra exterior — cerramiento y piso de seguridad del parque infantil (USD)</t>
  </si>
  <si>
    <t xml:space="preserve">v3: cerramiento/piso van en la adecuación interior; los juegos quedan en equipos (T08).</t>
  </si>
  <si>
    <t xml:space="preserve">Gastos preoperativos (USD)</t>
  </si>
  <si>
    <t xml:space="preserve">Permisos, legales, entrenamiento de dotación ampliada y mercadeo de apertura de la bandera.</t>
  </si>
  <si>
    <t xml:space="preserve">Instalación y puesta en marcha de equipos (% del equipo)</t>
  </si>
  <si>
    <t xml:space="preserve">v3: sin % de instalación — el montaje queda cubierto por la adecuación de 700/m² (criterio del anexo CAPEX v3).</t>
  </si>
  <si>
    <t xml:space="preserve">2. EQUIPAMIENTO DEL FLAGSHIP (FOB / costo local editables)</t>
  </si>
  <si>
    <t xml:space="preserve">v3: 3×FRG8VE = 1.200 pollos asados/día — la bandera es la vitrina de mayor volumen.</t>
  </si>
  <si>
    <t xml:space="preserve">v3: 2 broaster + 2 papas (Atosa ATFS-40).</t>
  </si>
  <si>
    <t xml:space="preserve">Kit espadas/canastas/balanza/utensilios (por PDV)</t>
  </si>
  <si>
    <t xml:space="preserve">v3: doble kit por escala.</t>
  </si>
  <si>
    <t xml:space="preserve">v3: precio calle jul/ago-2026 confirmado.</t>
  </si>
  <si>
    <t xml:space="preserve">Estufa a gas 2 puestos (hallaquitas)</t>
  </si>
  <si>
    <t xml:space="preserve">v3: compra local — evita reclasificación 7321 (20%).</t>
  </si>
  <si>
    <t xml:space="preserve">v3: asado + broaster + porkbelly a la vista; buffer ~105 pollos.</t>
  </si>
  <si>
    <t xml:space="preserve">Mantenedor de fritos calor SECO (papa)</t>
  </si>
  <si>
    <t xml:space="preserve">v3: 2 cavas de congelación (RFQ).</t>
  </si>
  <si>
    <t xml:space="preserve">Cava/nevera de refrigeración industrial 2 puertas</t>
  </si>
  <si>
    <t xml:space="preserve">Recibe cadena refrigerada 0–4 °C de planta.</t>
  </si>
  <si>
    <t xml:space="preserve">Campana extractora 2 m + extractor</t>
  </si>
  <si>
    <t xml:space="preserve">v3: 2 campanas para línea ampliada; ductería en adecuación.</t>
  </si>
  <si>
    <t xml:space="preserve">Mesas de trabajo inox (juego ×3)</t>
  </si>
  <si>
    <t xml:space="preserve">v3: doble dotación de arranque.</t>
  </si>
  <si>
    <t xml:space="preserve">Nevera exhibidora de bebidas</t>
  </si>
  <si>
    <t xml:space="preserve">Salón + drive-thru + módulo to-go. Explorar comodato embotelladora.</t>
  </si>
  <si>
    <t xml:space="preserve">L08F</t>
  </si>
  <si>
    <t xml:space="preserve">Branding integral FLAGSHIP (fachada + tótem vial + interior)</t>
  </si>
  <si>
    <t xml:space="preserve">v3: doble fachada, tótem de carretera, señalética drive-thru.</t>
  </si>
  <si>
    <t xml:space="preserve">L09F</t>
  </si>
  <si>
    <t xml:space="preserve">Mobiliario FLAGSHIP (150 puestos, ~50 juegos)</t>
  </si>
  <si>
    <t xml:space="preserve">v3: ancla 160 USD/juego × 50.</t>
  </si>
  <si>
    <t xml:space="preserve">T08</t>
  </si>
  <si>
    <t xml:space="preserve">Área infantil (juegos + piso de seguridad)</t>
  </si>
  <si>
    <t xml:space="preserve">v3: definición canónica del flagship — driver de ocasión familiar.</t>
  </si>
  <si>
    <t xml:space="preserve">v3: 3 × 5 ton para salón de 150 puestos.</t>
  </si>
  <si>
    <t xml:space="preserve">POS</t>
  </si>
  <si>
    <t xml:space="preserve">Default 2 cajas (editable en SUP_TECNOLOGIA). El anexo v3 asume 3 cajas: ajustar allí si la dirección lo confirma.</t>
  </si>
  <si>
    <t xml:space="preserve">v3: 3 sets (salón + drive-thru).</t>
  </si>
  <si>
    <t xml:space="preserve">T06</t>
  </si>
  <si>
    <t xml:space="preserve">KDS pantalla de cocina + soporte</t>
  </si>
  <si>
    <t xml:space="preserve">v3: coordina asado + broaster + drive-thru.</t>
  </si>
  <si>
    <t xml:space="preserve">T07</t>
  </si>
  <si>
    <t xml:space="preserve">Kit drive-thru (menu board exterior + intercom + señal)</t>
  </si>
  <si>
    <t xml:space="preserve">v3: drive-through — definición canónica.</t>
  </si>
  <si>
    <t xml:space="preserve">T01F</t>
  </si>
  <si>
    <t xml:space="preserve">CCTV 8 cámaras + DVR (flagship)</t>
  </si>
  <si>
    <t xml:space="preserve">v3: salón + parking + drive-thru.</t>
  </si>
  <si>
    <t xml:space="preserve">T05</t>
  </si>
  <si>
    <t xml:space="preserve">Generador 40 kVA diésel con transferencia</t>
  </si>
  <si>
    <t xml:space="preserve">v3: respaldo total — frío y cocción continua.</t>
  </si>
  <si>
    <t xml:space="preserve">BB1</t>
  </si>
  <si>
    <t xml:space="preserve">Dispensadores de bebida postmix (2 torres)</t>
  </si>
  <si>
    <t xml:space="preserve">Comodato</t>
  </si>
  <si>
    <t xml:space="preserve">Los provee el proveedor de bebidas en comodato — CAPEX cero (spec).</t>
  </si>
  <si>
    <t xml:space="preserve">Subtotal equipo del flagship</t>
  </si>
  <si>
    <t xml:space="preserve">Instalación y puesta en marcha de equipos (v3: 0% — incluida en adecuación)</t>
  </si>
  <si>
    <t xml:space="preserve">Adecuación interior (m² × USD/m²)</t>
  </si>
  <si>
    <t xml:space="preserve">Obra exterior (v3: → presupuesto inmobiliario JHS aparte)</t>
  </si>
  <si>
    <t xml:space="preserve">Subtotal flagship</t>
  </si>
  <si>
    <t xml:space="preserve">CAPEX TOTAL DEL FLAGSHIP (equipamiento + adecuación interior, v3)</t>
  </si>
  <si>
    <t xml:space="preserve">Benchmark: un flagship freestanding de la categoría pollo QSR (KFC/Popeyes/El Pollo Loco) cuesta 6–12× una unidad in-line compacta; este CAPEX queda dentro de esa banda frente a la ventana de ~USD 77k.</t>
  </si>
  <si>
    <t xml:space="preserve">SUP_PRODUCCION — CAPACIDAD DE PLANTA POR FASE Y PLAN DE INVERSIÓN</t>
  </si>
  <si>
    <t xml:space="preserve">Modelo de capacidad por estación (cuello de botella), fases de ampliación disparadas por utilización, y propuesta de localización en Riofrío (FRIAGRO, Las Tejerías).</t>
  </si>
  <si>
    <t xml:space="preserve">1. PARÁMETROS OPERATIVOS DE PLANTA (editables)</t>
  </si>
  <si>
    <t xml:space="preserve">Horas efectivas de proceso por día</t>
  </si>
  <si>
    <t xml:space="preserve">2 turnos completos con alistamiento y limpieza descontados. La cadena de 50 PDV exige doble turno.</t>
  </si>
  <si>
    <t xml:space="preserve">Días de proceso por mes</t>
  </si>
  <si>
    <t xml:space="preserve">Eficiencia global de línea — OEE (%)</t>
  </si>
  <si>
    <t xml:space="preserve">Arranques, cambios de formato y microparadas. Editable: cada punto de OEE es capacidad gratis.</t>
  </si>
  <si>
    <t xml:space="preserve">2. CAPACIDAD DEL TUMBLER DE MARINADO (todo el pollo pasa por marinado)</t>
  </si>
  <si>
    <t xml:space="preserve">Volumen del tumbler (litros)</t>
  </si>
  <si>
    <t xml:space="preserve">P01 del CAPEX de planta.</t>
  </si>
  <si>
    <t xml:space="preserve">Carga por batch (kg por litro)</t>
  </si>
  <si>
    <t xml:space="preserve">Regla de la industria para tumbling al vacío de pieza con hueso: ~50% del volumen.</t>
  </si>
  <si>
    <t xml:space="preserve">Minutos por ciclo de marinado al vacío</t>
  </si>
  <si>
    <t xml:space="preserve">Ciclo corto de absorción con vacío.</t>
  </si>
  <si>
    <t xml:space="preserve">Cambios de marinado por día (3 sabores)</t>
  </si>
  <si>
    <t xml:space="preserve">Lavado y cambio de salmuera entre sabores.</t>
  </si>
  <si>
    <t xml:space="preserve">Minutos por cambio de marinado</t>
  </si>
  <si>
    <t xml:space="preserve">Kg por batch</t>
  </si>
  <si>
    <t xml:space="preserve">Batches por día</t>
  </si>
  <si>
    <t xml:space="preserve">CAPACIDAD DEL TUMBLER (ton/mes por unidad)</t>
  </si>
  <si>
    <t xml:space="preserve">Un tumbler de 500 L marina ~65 t/mes en 2 turnos: la estación de marinado es el primer cuello real de la Fase 1.</t>
  </si>
  <si>
    <t xml:space="preserve">3. CAPACIDAD POR ESTACIÓN — FASE 1 (kg/h nominales editables)</t>
  </si>
  <si>
    <t xml:space="preserve">Estación</t>
  </si>
  <si>
    <t xml:space="preserve">kg/h nominal</t>
  </si>
  <si>
    <t xml:space="preserve">ton/mes efectiva</t>
  </si>
  <si>
    <t xml:space="preserve">Línea de apanado</t>
  </si>
  <si>
    <t xml:space="preserve">Solo flujo broaster.</t>
  </si>
  <si>
    <t xml:space="preserve">Freidora de par-freído (batch cerrado, Fase 1)</t>
  </si>
  <si>
    <t xml:space="preserve">Solo flujo broaster. Es el cuello del flujo broaster en Fase 1.</t>
  </si>
  <si>
    <t xml:space="preserve">Horno espiral de vapor</t>
  </si>
  <si>
    <t xml:space="preserve">Solo flujo broaster (cocción a núcleo ≥74 °C).</t>
  </si>
  <si>
    <t xml:space="preserve">IQF espiral compacto</t>
  </si>
  <si>
    <t xml:space="preserve">Solo flujo broaster (pieza apanada: espiral, no lecho fluidizado).</t>
  </si>
  <si>
    <t xml:space="preserve">Túnel de congelación (asado marinado + crudo)</t>
  </si>
  <si>
    <t xml:space="preserve">Flujo asado + crudo. Sustituible por túneles existentes de Riofrío (ver §6).</t>
  </si>
  <si>
    <t xml:space="preserve">4. FLUJOS DE PRODUCTO (participaciones desde SUP_VOLUMEN §5)</t>
  </si>
  <si>
    <t xml:space="preserve">Participación flujo BROASTER (broaster + parte broaster del combo familiar)</t>
  </si>
  <si>
    <t xml:space="preserve">El combo familiar consume 1,89 pollos-eq: ~0,89 broaster / 1,89 ≈ 47% de su volumen es broaster.</t>
  </si>
  <si>
    <t xml:space="preserve">Participación flujo ASADO + VM + parte asado del combo</t>
  </si>
  <si>
    <t xml:space="preserve">Participación flujo CRUDO marinado</t>
  </si>
  <si>
    <t xml:space="preserve">5. CAPACIDAD DE CADENA POR FASE (ton/mes de pollo que soporta la planta)</t>
  </si>
  <si>
    <t xml:space="preserve">FASE 1 — línea batch (tumbler ×1 + par-freído batch)</t>
  </si>
  <si>
    <t xml:space="preserve">NOTA DE CAPACIDAD (dirección, ago-2026): JHS ya tiene un segundo tumbler en inventario, en proceso de instalación. Sumado al de Fase 1 la capacidad de marinado sube a 183,3 ton/mes, con lo que el nuevo cuello de botella pasa a ser el horno espiral / IQF (~114 ton/mes) — suficiente para el pico del piloto (108,4 ton/mes en escenario MEDIO). El modelo mantiene 91,65 ton/mes de forma CONSERVADORA: el segundo tumbler se incorporará al plan solo cuando el volumen real lo confirme. Por eso PROD_DEMANDA muestra utilización &gt;100% entre los meses 8 y 17.</t>
  </si>
  <si>
    <t xml:space="preserve">Mínimo entre marinado (100% del kg) y cada estación dividida por la participación de su flujo. El cuello manda.</t>
  </si>
  <si>
    <t xml:space="preserve">FASE 2 — + tumbler #2 + LÍNEA DE FRITURA CONTINUA (reemplaza el batch)</t>
  </si>
  <si>
    <t xml:space="preserve">kg/h de la fritura continua</t>
  </si>
  <si>
    <t xml:space="preserve">Capacidad de cadena FASE 2 (ton/mes)</t>
  </si>
  <si>
    <t xml:space="preserve">Duplica marinado y convierte la fritura en flujo continuo: el par-freído deja de ser cuello (evolución batch → línea vista en el proyecto).</t>
  </si>
  <si>
    <t xml:space="preserve">kg/h de la fritura continua ampliada (Fase 3)</t>
  </si>
  <si>
    <t xml:space="preserve">FASE 3 — + tumblers #3 y #4 + horno espiral #2 + IQF #2 + túnel #2 + fritura ampliada</t>
  </si>
  <si>
    <t xml:space="preserve">Tumblers #3 y #4, duplicación de cocción/congelación del flujo broaster y fritura a 500 kg/h: soporta la cadena de 50 PDV (~310 t/mes en MEDIO) y el mandato de 200 t.</t>
  </si>
  <si>
    <t xml:space="preserve">kg/h de la fritura continua ampliada (Fase 4)</t>
  </si>
  <si>
    <t xml:space="preserve">FASE 4 — + tumblers #5 y #6 + horno espiral #3 + IQF #3 + túnel #3 + fritura a 700 kg/h</t>
  </si>
  <si>
    <t xml:space="preserve">Tercera línea completa del flujo broaster + 6 tumblers + fritura a 700 kg/h: soporta la cadena de 50 PDV en escenario ALTO (~418 t/mes) con holgura. Se activa solo si la utilización supera el gatillo tras la Fase 3.</t>
  </si>
  <si>
    <t xml:space="preserve">6. CAPEX DE LAS FASES DE AMPLIACIÓN (FOB editables — misma mecánica de nacionalización de SUP_CAPEX_PLANTA)</t>
  </si>
  <si>
    <t xml:space="preserve">Ítem Fase 2</t>
  </si>
  <si>
    <t xml:space="preserve">Costo VE</t>
  </si>
  <si>
    <t xml:space="preserve">Tumbler #2 500 L</t>
  </si>
  <si>
    <t xml:space="preserve">Línea de fritura continua 300 kg/h</t>
  </si>
  <si>
    <t xml:space="preserve">Transportadores y empalmes de línea</t>
  </si>
  <si>
    <t xml:space="preserve">CAPEX FASE 2 (instalado + contingencia)</t>
  </si>
  <si>
    <t xml:space="preserve">Ítem Fase 3</t>
  </si>
  <si>
    <t xml:space="preserve">Tumblers #3 y #4 500 L (2 unidades)</t>
  </si>
  <si>
    <t xml:space="preserve">Horno espiral #2</t>
  </si>
  <si>
    <t xml:space="preserve">IQF espiral #2</t>
  </si>
  <si>
    <t xml:space="preserve">Túnel de congelación #2</t>
  </si>
  <si>
    <t xml:space="preserve">Ampliación fritura continua a 500 kg/h + automatización de empaque</t>
  </si>
  <si>
    <t xml:space="preserve">CAPEX FASE 3 (instalado + contingencia)</t>
  </si>
  <si>
    <t xml:space="preserve">Ítem Fase 4</t>
  </si>
  <si>
    <t xml:space="preserve">Misma mecánica de las fases 2 y 3: FOB editable × factor de nacionalización, + instalación y contingencia de SUP_CAPEX_PLANTA.</t>
  </si>
  <si>
    <t xml:space="preserve">Tumblers #5 y #6 500 L (2 unidades)</t>
  </si>
  <si>
    <t xml:space="preserve">Horno espiral #3</t>
  </si>
  <si>
    <t xml:space="preserve">IQF espiral #3</t>
  </si>
  <si>
    <t xml:space="preserve">Túnel de congelación #3</t>
  </si>
  <si>
    <t xml:space="preserve">Ampliación fritura continua a 700 kg/h + automatización de empaque</t>
  </si>
  <si>
    <t xml:space="preserve">CAPEX FASE 4 (instalado + contingencia)</t>
  </si>
  <si>
    <t xml:space="preserve">Utilización que dispara la siguiente fase (%)</t>
  </si>
  <si>
    <t xml:space="preserve">Cuando la demanda de la cadena supera el 85% de la capacidad activa, el waterfall de la capa 3 prioriza invertir en planta antes que en nuevos PDV.</t>
  </si>
  <si>
    <t xml:space="preserve">Supervisión adicional que exige la expansión, por fase de planta (USD/mes, acumulativo)</t>
  </si>
  <si>
    <t xml:space="preserve">Cada fase de planta activa suma ~2 supervisores adicionales de producción. Se carga a la Capa 3 porque es el crecimiento de la expansión el que exige esos roles. Es ADICIONAL al costo de transformación de SUP_PLANTA_OPEX (MOD+CIF+renta), que ya se prorratea por kg a las 3 capas. Criterio conservador aprobado por la dirección (ago-2026).</t>
  </si>
  <si>
    <t xml:space="preserve">Personal y energía adicionales al activar cada fase.</t>
  </si>
  <si>
    <t xml:space="preserve">7. LOCALIZACIÓN EN RIOFRÍO (FRIAGRO, LAS TEJERÍAS) — PROPUESTA SOBRE PLANO Nº1</t>
  </si>
  <si>
    <t xml:space="preserve">• Galpón a construir CECOM (1.146 m²): área propuesta para las TRES líneas — (i) marinado de pollo (tumblers + despiece 9 piezas), (ii) marinadas, salsas y hallacas, (iii) broaster (apanado → par-freído → horno espiral → IQF).</t>
  </si>
  <si>
    <t xml:space="preserve">• Túneles de congelación existentes 1–3 y cavas 1–6: Riofrío ya tiene GRAN capacidad de congelación y almacenamiento — el túnel P03 propio puede diferirse o sustituirse usando los túneles existentes (ahorro potencial ~USD 74k del CAPEX Fase 1, a validar con ingeniería).</t>
  </si>
  <si>
    <t xml:space="preserve">• Logística: romana de 80 t, andenes de carga/descarga y área de montacargas existentes soportan la distribución diaria a la red sin CAPEX logístico adicional.</t>
  </si>
  <si>
    <t xml:space="preserve">• Servicios: la planta cuenta con gas natural, amoniaco (frío industrial), generador y transformadores — reduce el riesgo de instalación de la línea de cocción.</t>
  </si>
  <si>
    <t xml:space="preserve">• Pendiente ingeniería de detalle: validar con el equipo de planta el layout dentro del galpón CECOM y los empalmes de frío con la sala de máquinas.</t>
  </si>
  <si>
    <t xml:space="preserve">8. LOGÍSTICA DE DISTRIBUCIÓN PLANTA → PDV (cadena refrigerada 0–4 °C)</t>
  </si>
  <si>
    <t xml:space="preserve">Tercerizado mientras la red es chica; flota propia desde la fase de planta elegida. La tarifa efectiva del mes se calcula en PROD_DEMANDA (fila 16) y cada capa paga sus kg. El CAPEX de flota entra al waterfall junto con la fase.</t>
  </si>
  <si>
    <t xml:space="preserve">Tarifa tercerizada (USD/kg entregado)</t>
  </si>
  <si>
    <t xml:space="preserve">POR COTIZAR con transportistas refrigerados locales — rango de planeación 0,04–0,10 USD/kg (ruta Tejerías–Gran Caracas, 2–3 entregas/sem/PDV)</t>
  </si>
  <si>
    <t xml:space="preserve">Flota propia activa desde la FASE de planta №</t>
  </si>
  <si>
    <t xml:space="preserve">Fase 1 (piloto, 11 PDV) tercerizada: no llena camiones. Editable 1–4 (5 = nunca propia).</t>
  </si>
  <si>
    <t xml:space="preserve">Combustible y peajes flota propia (USD/kg)</t>
  </si>
  <si>
    <t xml:space="preserve">Costo fijo mensual por camión (chofer + ayudante + HCM, seguro, mantenimiento)</t>
  </si>
  <si>
    <t xml:space="preserve">CAPEX por camión refrigerado 3,5 t puesto en VE (USD)</t>
  </si>
  <si>
    <t xml:space="preserve">Térmico 0–4 °C con unidad de frío; POR COTIZAR (nuevo importado o usado local).</t>
  </si>
  <si>
    <t xml:space="preserve">Camiones en Fase 1</t>
  </si>
  <si>
    <t xml:space="preserve">Camiones en Fase 2</t>
  </si>
  <si>
    <t xml:space="preserve">Dimensionado: hasta 183 t/mes, ~50–60 t/mes por camión con 2–3 entregas/sem por PDV</t>
  </si>
  <si>
    <t xml:space="preserve">Camiones en Fase 3</t>
  </si>
  <si>
    <t xml:space="preserve">Camiones en Fase 4</t>
  </si>
  <si>
    <t xml:space="preserve">CAPEX de flota incremental — al invertir Fase 2</t>
  </si>
  <si>
    <t xml:space="preserve">CAPEX de flota incremental — al invertir Fase 3</t>
  </si>
  <si>
    <t xml:space="preserve">CAPEX de flota incremental — al invertir Fase 4</t>
  </si>
  <si>
    <t xml:space="preserve">CAPEX total Fase 2 (equipo + flota + adecuación)</t>
  </si>
  <si>
    <t xml:space="preserve">CAPEX total Fase 3 (equipo + flota + adecuación)</t>
  </si>
  <si>
    <t xml:space="preserve">CAPEX total Fase 4 (equipo + flota + adecuación)</t>
  </si>
  <si>
    <t xml:space="preserve">SUP_LOGISTICA — SUPUESTOS DE LOGÍSTICA DE DISTRIBUCIÓN PLANTA → PDV (cadena refrigerada 0–4 °C)</t>
  </si>
  <si>
    <t xml:space="preserve">El costo logístico es COSTO DE VENTAS: el margen bruto del proyecto se mide con el producto puesto en la puerta del local. Esta hoja explica los supuestos, la palanca manual de compra de camiones y cómo cae todo en cascada. Los parámetros se editan en SUP_PRODUCCION §8; aquí viven en vínculo vivo.</t>
  </si>
  <si>
    <t xml:space="preserve">1. CLASIFICACIÓN EN EL P&amp;G — POR QUÉ ES COSTO DE VENTAS</t>
  </si>
  <si>
    <t xml:space="preserve">Costo del insumo (fichas técnicas) + costo de transformación de planta + costo logístico = COSTO TOTAL DE VENTAS.</t>
  </si>
  <si>
    <t xml:space="preserve">En PL: la logística es la fila 114 (sección 2, antes del margen) y el MARGEN BRUTO (fila 117) queda medido con el producto puesto en puerta del PDV.</t>
  </si>
  <si>
    <t xml:space="preserve">Es una reclasificación, no un costo nuevo: EBITDA de tienda, EBIT y Utilidad Neta no cambian. Cada capa paga la logística de sus kilos (CAPA1 fila 21 · CAPA2 fila 16 · CAPA3 fila 44). El retail (capa 4) tiene distribución comercial propia y no usa esta tarifa.</t>
  </si>
  <si>
    <t xml:space="preserve">2. PARÁMETROS DE LA OPERACIÓN LOGÍSTICA (vínculo vivo a SUP_PRODUCCION §8 — se editan ALLÁ)</t>
  </si>
  <si>
    <t xml:space="preserve">Tarifa tercerizada (USD por kg entregado)</t>
  </si>
  <si>
    <t xml:space="preserve">Vigente mientras la red es chica (piloto). POR COTIZAR.</t>
  </si>
  <si>
    <t xml:space="preserve">Flota propia activa desde la fase de planta № (régimen automático)</t>
  </si>
  <si>
    <t xml:space="preserve">Combustible y peajes de flota propia (USD por kg)</t>
  </si>
  <si>
    <t xml:space="preserve">Costo fijo mensual por camión (chofer, ayudante, seguro, mantenimiento)</t>
  </si>
  <si>
    <t xml:space="preserve">CAPEX por camión refrigerado (USD)</t>
  </si>
  <si>
    <t xml:space="preserve">Camiones de la flota por fase de planta (Fase 1 / 2 / 3 / 4)</t>
  </si>
  <si>
    <t xml:space="preserve">CAPEX de la flota inicial (al activar flota propia)</t>
  </si>
  <si>
    <t xml:space="preserve">CAPEX incremental de flota (al invertir Fase 3 / Fase 4)</t>
  </si>
  <si>
    <t xml:space="preserve">3. PALANCA MANUAL — MES DE INICIO DE COMPRA DE CAMIONES</t>
  </si>
  <si>
    <t xml:space="preserve">Mes de inicio de compra de camiones — MANUAL (0 = automático: la flota entra cuando el waterfall invierte la Fase 2)</t>
  </si>
  <si>
    <t xml:space="preserve">Mes efectivo de inicio de flota propia (con la palanca en 0 = primer mes en fase ≥ fase de arranque)</t>
  </si>
  <si>
    <t xml:space="preserve">Qué mueve la palanca (cascada automática):</t>
  </si>
  <si>
    <t xml:space="preserve">   (i) Tarifa: PROD_DEMANDA fila 16 pasa de tercerizada a flota propia desde el mes indicado (si el mes es anterior a la Fase 2, opera al menos la flota de arranque de 3 camiones).</t>
  </si>
  <si>
    <t xml:space="preserve">   (ii) CAPEX: la flota inicial (C17) se carga al pool del waterfall de la Capa 3 en ese mes (CAPA3_EXPANSION fila 22) y se EXCLUYE del CAPEX de la Fase 2 (SUP_PRODUCCION fila 91) para no pagarla dos veces.</t>
  </si>
  <si>
    <t xml:space="preserve">   (iii) Las ampliaciones de flota de las Fases 3 y 4 (C18:D18) siguen entrando con su fase, como siempre. Con Capa 3 apagada la palanca se ignora (no hay pool que pague los camiones).</t>
  </si>
  <si>
    <t xml:space="preserve">4. CÓMO SE CALCULA LA TARIFA EFECTIVA DEL MES (PROD_DEMANDA fila 16)</t>
  </si>
  <si>
    <t xml:space="preserve">• Antes del inicio de flota propia: tarifa tercerizada por kg entregado (C11).</t>
  </si>
  <si>
    <t xml:space="preserve">• Desde el inicio: (camiones activos × costo fijo mensual por camión C14) ÷ kg del mes de capas 1-3 + combustible/peajes por kg (C13). Los camiones activos siguen la fase de planta vigente (C16:F16), con mínimo la flota de arranque.</t>
  </si>
  <si>
    <t xml:space="preserve">• El costo del mes = kg de capas 1-3 × tarifa efectiva (PROD_DEMANDA fila 17) y cada capa paga sus kilos → PL fila 114, antes del margen bruto.</t>
  </si>
  <si>
    <t xml:space="preserve">5. RESUMEN ANUAL — COSTO LOGÍSTICO DE LA CADENA (en vivo, escenario activo)</t>
  </si>
  <si>
    <t xml:space="preserve">Concepto</t>
  </si>
  <si>
    <t xml:space="preserve">Año 1</t>
  </si>
  <si>
    <t xml:space="preserve">Año 2</t>
  </si>
  <si>
    <t xml:space="preserve">Año 3</t>
  </si>
  <si>
    <t xml:space="preserve">Año 4</t>
  </si>
  <si>
    <t xml:space="preserve">Año 5</t>
  </si>
  <si>
    <t xml:space="preserve">Año 6</t>
  </si>
  <si>
    <t xml:space="preserve">Año 7</t>
  </si>
  <si>
    <t xml:space="preserve">Año 8</t>
  </si>
  <si>
    <t xml:space="preserve">Año 9</t>
  </si>
  <si>
    <t xml:space="preserve">Año 10</t>
  </si>
  <si>
    <t xml:space="preserve">Kg distribuidos (capas 1-3)</t>
  </si>
  <si>
    <t xml:space="preserve">Costo logístico (USD)</t>
  </si>
  <si>
    <t xml:space="preserve">Tarifa media efectiva (USD/kg)</t>
  </si>
  <si>
    <t xml:space="preserve">Costo logístico como % del ingreso (PL)</t>
  </si>
  <si>
    <t xml:space="preserve">6. NOTAS Y FUENTES</t>
  </si>
  <si>
    <t xml:space="preserve">• Tarifas de planeación POR COTIZAR (ver LEEME): tercerizada por kg y costos de flota propia son estimaciones de trabajo hasta tener cotizaciones firmes.</t>
  </si>
  <si>
    <t xml:space="preserve">• Cadena refrigerada 0–4 °C planta → PDV. La infraestructura de despacho de la planta (andenes, montacargas, romana) ya está cubierta en SUP_PRODUCCION §7; aquí solo vive el costo del transporte.</t>
  </si>
  <si>
    <t xml:space="preserve">• El CAPEX de flota se financia desde el pool del waterfall de la Capa 3 (CAPA3_EXPANSION fila 22) y se deprecia junto con el CAPEX de expansión. La depreciación, el FCF y el VPN lo recogen en automático.</t>
  </si>
  <si>
    <t xml:space="preserve">• Cascada completa: SUP_PRODUCCION §8 (+ palanca C21 de esta hoja) → PROD_DEMANDA filas 16-17 → CAPA1 f.21 / CAPA2 f.16 / CAPA3 f.44 → PL fila 114 (costo de ventas) → MARGEN BRUTO fila 117.</t>
  </si>
  <si>
    <t xml:space="preserve">SUP_PLANTA_OPEX — COSTO DE TRANSFORMACIÓN DE PLANTA (MOD + CIF)</t>
  </si>
  <si>
    <t xml:space="preserve">Azul = editable · Negro = fórmula · Verde = vínculo · Ámbar = palanca clave · Cifras POR VALIDAR con la dirección</t>
  </si>
  <si>
    <t xml:space="preserve">1. SALARIOS DE PLANTA (USD/mes, editables — definición dirección 19-ago)</t>
  </si>
  <si>
    <t xml:space="preserve">Ingeniero de planta — salario</t>
  </si>
  <si>
    <t xml:space="preserve">(+) HCM</t>
  </si>
  <si>
    <t xml:space="preserve">Dirección 20-ago: $2.000. HCM según tarifas del modelo (gerente/director $100).</t>
  </si>
  <si>
    <t xml:space="preserve">Ingeniero de calidad — salario</t>
  </si>
  <si>
    <t xml:space="preserve">Dirección 20-ago: $900. HCM tarifa coordinador/analista $35.</t>
  </si>
  <si>
    <t xml:space="preserve">Operario de planta — salario</t>
  </si>
  <si>
    <t xml:space="preserve">Dirección 19-ago. HCM tarifa operativo $20. Al inicio los operarios rotan entre procesos (planta sin operación full).</t>
  </si>
  <si>
    <t xml:space="preserve">Factor de carga laboral patronal (vínculo a SUP_OPEX)</t>
  </si>
  <si>
    <t xml:space="preserve">Misma carga parafiscal del resto del modelo (SUP_OPEX!C14 = 40%): aplica sobre el salario; el HCM va aparte por tarifa.</t>
  </si>
  <si>
    <t xml:space="preserve">2. PLANTILLA POR FASE DE PLANTA (headcount editable — crece con el volumen)</t>
  </si>
  <si>
    <t xml:space="preserve">Cargo / Fase</t>
  </si>
  <si>
    <t xml:space="preserve">FASE 1</t>
  </si>
  <si>
    <t xml:space="preserve">FASE 2</t>
  </si>
  <si>
    <t xml:space="preserve">FASE 3</t>
  </si>
  <si>
    <t xml:space="preserve">FASE 4</t>
  </si>
  <si>
    <t xml:space="preserve">Capacidad por fase: 91,65 / 183,3 / 366,6 / 549,9 t/mes (SUP_PRODUCCION)</t>
  </si>
  <si>
    <t xml:space="preserve">Ingeniero de planta</t>
  </si>
  <si>
    <t xml:space="preserve">Ingeniero de calidad</t>
  </si>
  <si>
    <t xml:space="preserve">2º ingeniero de calidad al pasar a 2 turnos (Fase 3).</t>
  </si>
  <si>
    <t xml:space="preserve">Operarios (multiproceso al inicio)</t>
  </si>
  <si>
    <t xml:space="preserve">F1: 1 turno multitarea (recepción/despiece, marinado, apanado-fritura, horno/IQF, empaque, despacho). F2: turno y medio. F3-F4: 2 turnos completos. POR VALIDAR con ingeniería.</t>
  </si>
  <si>
    <t xml:space="preserve">MOD + MOI de planta (USD/mes)</t>
  </si>
  <si>
    <t xml:space="preserve">3. NAVE INDUSTRIAL: METROS CUADRADOS Y RENTA (crece con las fases)</t>
  </si>
  <si>
    <t xml:space="preserve">m² de nave por fase</t>
  </si>
  <si>
    <t xml:space="preserve">Dirección 19-ago: iniciar con 200 m² e ir creciendo poco a poco. Dimensión por fase POR VALIDAR con layout de ingeniería.</t>
  </si>
  <si>
    <t xml:space="preserve">Renta de nave (USD/m²/mes)</t>
  </si>
  <si>
    <t xml:space="preserve">Dirección 19-ago: $5/m².</t>
  </si>
  <si>
    <t xml:space="preserve">Renta mensual por fase (USD/mes)</t>
  </si>
  <si>
    <t xml:space="preserve">4. CIF — COSTOS INDIRECTOS DE FABRICACIÓN</t>
  </si>
  <si>
    <t xml:space="preserve">Servicios base de nave por fase (electricidad/agua/varios, USD/mes)</t>
  </si>
  <si>
    <t xml:space="preserve">POR VALIDAR: consumo base de nave (la energía de proceso va por kilo, abajo).</t>
  </si>
  <si>
    <t xml:space="preserve">Mantenimiento de equipos (% anual sobre equipo de planta)</t>
  </si>
  <si>
    <t xml:space="preserve">POR VALIDAR. Sobre el equipo F1 de SUP_CAPEX_PLANTA (H27).</t>
  </si>
  <si>
    <t xml:space="preserve">Seguros de planta (% anual sobre equipo)</t>
  </si>
  <si>
    <t xml:space="preserve">Mantenimiento + seguros (USD/mes)</t>
  </si>
  <si>
    <t xml:space="preserve">Túnel de congelación — carga por kilo procesado (USD/kg)</t>
  </si>
  <si>
    <t xml:space="preserve">Supuesto de la dirección 19-ago: 1 centavo por kilo.</t>
  </si>
  <si>
    <t xml:space="preserve">Otros CIF variables (químicos de limpieza, EPP, laboratorio, USD/kg)</t>
  </si>
  <si>
    <t xml:space="preserve">POR VALIDAR: sanitización, dotación y análisis microbiológicos.</t>
  </si>
  <si>
    <t xml:space="preserve">CIF variable total (USD/kg)</t>
  </si>
  <si>
    <t xml:space="preserve">5. COSTO FIJO DE TRANSFORMACIÓN POR FASE (alimenta PROD_DEMANDA — no editar)</t>
  </si>
  <si>
    <t xml:space="preserve">COSTO FIJO DE PLANTA (MOD + renta + servicios + mant. y seguros, USD/mes)</t>
  </si>
  <si>
    <t xml:space="preserve">Tarifa de referencia en régimen (USD/kg, informativa)</t>
  </si>
  <si>
    <t xml:space="preserve">Fijo de Fase 4 ÷ capacidad F4 al 85% + variable. Solo referencia; la tarifa real es mensual en PROD_DEMANDA.</t>
  </si>
  <si>
    <t xml:space="preserve">6. CAPEX DE ADECUACIÓN, PREOPERATIVOS Y CAPITAL DE TRABAJO (alimenta SUP_CAPEX_PLANTA)</t>
  </si>
  <si>
    <t xml:space="preserve">Adecuación de nave — obra menor (USD/m²: paredes y enchapes)</t>
  </si>
  <si>
    <t xml:space="preserve">Dirección 19-ago: el sitio está muy bien, solo paredes y enchapes (obra menor). POR COTIZAR.</t>
  </si>
  <si>
    <t xml:space="preserve">Adecuación Fase 1 (200 m²)</t>
  </si>
  <si>
    <t xml:space="preserve">Adecuación incremental Fase 2 / Fase 3 / Fase 4</t>
  </si>
  <si>
    <t xml:space="preserve">Se suma al CAPEX de cada fase (equipo + flota + adecuación) en SUP_PRODUCCION C91:C93.</t>
  </si>
  <si>
    <t xml:space="preserve">POR VALIDAR: SACS/registro sanitario, habilitaciones, corridas de prueba y mermas de calibración.</t>
  </si>
  <si>
    <t xml:space="preserve">Días de inventario — ave fresca en planta</t>
  </si>
  <si>
    <t xml:space="preserve">Dirección 19-ago: 1 semana en planta (perecedero).</t>
  </si>
  <si>
    <t xml:space="preserve">Días de inventario — producto en congelación</t>
  </si>
  <si>
    <t xml:space="preserve">Dirección 19-ago: 2 semanas en congelación.</t>
  </si>
  <si>
    <t xml:space="preserve">Capital de trabajo de planta (USD)</t>
  </si>
  <si>
    <t xml:space="preserve">Nota: si se enciende la Capa 4 (retail), sus kilos ya cuentan en el denominador logístico NO, pero SÍ deben pagar transformación — al activarla, agregar su línea kg × tarifa en CAPA4_RETAIL (hoy la capa está apagada). La tarifa mensual real vive en PROD_DEMANDA filas 18-19.</t>
  </si>
  <si>
    <t xml:space="preserve">FC_SUPUESTOS — SUPUESTOS Y PALANCAS DEL FLUJO DE CAJA DEL PILOTO</t>
  </si>
  <si>
    <t xml:space="preserve">Todos los parámetros que gobiernan el flujo de caja mensualizado del piloto MOY'S y de la capa flagship. Cada celda azul cae en cascada sobre FC_CRONOGRAMA, FC_FLUJO_CAJA y FC_DESEMBOLSOS. Los vínculos verdes traen el dato canónico desde las hojas de supuestos del modelo — no se duplica ninguna cifra.</t>
  </si>
  <si>
    <t xml:space="preserve">Azul = celda editable (input) · Negro = fórmula · Verde = vínculo a otra hoja · Fondo ámbar = palanca clave del negocio</t>
  </si>
  <si>
    <t xml:space="preserve">1. ALCANCE DEL FLUJO Y CAPAS INCLUIDAS</t>
  </si>
  <si>
    <t xml:space="preserve">Horizonte del flujo de caja (meses)</t>
  </si>
  <si>
    <t xml:space="preserve">El piloto se evalúa a 36 meses en CAPA1_PILOTO; el flujo se extiende a 60 para capturar el efecto del flagship y el punto de recuperación de caja.</t>
  </si>
  <si>
    <t xml:space="preserve">Escenario de consumo activo (1 = Básico · 2 = Medio · 3 = Alto)</t>
  </si>
  <si>
    <t xml:space="preserve">Vínculo vivo a SUP_CONTROL. Cambie el escenario allá y todo el flujo de caja se recalcula.</t>
  </si>
  <si>
    <t xml:space="preserve">SUP_CONTROL!C8 → SUP_VOLUMEN fila 23.</t>
  </si>
  <si>
    <t xml:space="preserve">PDV formato VENTANA en el piloto</t>
  </si>
  <si>
    <t xml:space="preserve">PDV formato DINE-IN en el piloto</t>
  </si>
  <si>
    <t xml:space="preserve">TOTAL PDV DEL PILOTO</t>
  </si>
  <si>
    <t xml:space="preserve">Debe ser 10 (spec de la dirección: 7 ventana + 3 dine-in). El flagship es un proyecto aparte, fuera del plan de 76 PDV.</t>
  </si>
  <si>
    <t xml:space="preserve">Incluir el FLAGSHIP (capa 2) en el flujo de caja (1 = sí · 0 = no)</t>
  </si>
  <si>
    <t xml:space="preserve">PROYECTO APROBADO: piloto de 10 PDV + planta Fase 1. El flagship queda fuera del alcance aprobado (0). Encenderlo (1) solo para análisis: su CAPEX, obra, depósito y operación entran al flujo desde el mes elegido abajo.</t>
  </si>
  <si>
    <t xml:space="preserve">Mes de apertura del FLAGSHIP (editable)</t>
  </si>
  <si>
    <t xml:space="preserve">El CAPEX, la obra, el depósito y el capital de trabajo del flagship se despliegan hacia atrás desde este mes según su propio lead time. Verifique el diagnóstico de factibilidad más abajo.</t>
  </si>
  <si>
    <t xml:space="preserve">FECHA DE INICIO DEL FLUJO — semana del pago del anticipo de equipos (MES 1)</t>
  </si>
  <si>
    <t xml:space="preserve">Editable. D14 es el lunes de esa semana y es la fecha que usan FC_FLUJO_CAJA (mes calendario), FC_GANTT (semana 1) y FC_PAGOS_SEMANALES (semana 1). El mes 1 del flujo es el mes calendario de ese lunes. Hoy: primera semana de octubre de 2026.</t>
  </si>
  <si>
    <t xml:space="preserve">2. LEAD TIME DE IMPORTACIÓN Y MONTAJE — PALANCA CRÍTICA DEL CRONOGRAMA</t>
  </si>
  <si>
    <t xml:space="preserve">La importación define la fecha más temprana posible de apertura. Si la orden de compra no se coloca de inmediato, TODO el piloto se corre mes a mes.</t>
  </si>
  <si>
    <t xml:space="preserve">Mes de colocación de la ORDEN DE COMPRA — equipos de PLANTA</t>
  </si>
  <si>
    <t xml:space="preserve">1 = se ordena de inmediato (arranque del proyecto). Es la palanca de la que dependen todas las demás fechas.</t>
  </si>
  <si>
    <t xml:space="preserve">Fabricación — equipos de planta (meses)</t>
  </si>
  <si>
    <t xml:space="preserve">SUPUESTO POR VALIDAR con proveedor: horno espiral, IQF, tumbler y línea de apanado son fabricación a pedido (90–120 días).</t>
  </si>
  <si>
    <t xml:space="preserve">Tránsito internacional a Puerto Cabello — planta (meses)</t>
  </si>
  <si>
    <t xml:space="preserve">SUPUESTO POR VALIDAR: contenedor 40' China → Puerto Cabello, 35–45 días más consolidación.</t>
  </si>
  <si>
    <t xml:space="preserve">Nacionalización y aduana — planta (meses)</t>
  </si>
  <si>
    <t xml:space="preserve">SUPUESTO POR VALIDAR con agente aduanal. Si se obtiene el Certificado de Bienes de Capital el trámite se alarga pero el factor baja de 1,64 a 1,42.</t>
  </si>
  <si>
    <t xml:space="preserve">Montaje, instalación y puesta en marcha — planta (meses)</t>
  </si>
  <si>
    <t xml:space="preserve">Montaje eléctrico trifásico, frío, vapor y corridas de prueba. Coherente con el rubro de instalación del CAPEX (12% del equipo).</t>
  </si>
  <si>
    <t xml:space="preserve">LEAD TIME TOTAL — PLANTA (meses)</t>
  </si>
  <si>
    <t xml:space="preserve">MES DE PLANTA OPERATIVA</t>
  </si>
  <si>
    <t xml:space="preserve">Ninguna tienda puede abrir antes de esta fecha: el modelo MOY'S es de producción centralizada y el PDV solo termina y despacha.</t>
  </si>
  <si>
    <t xml:space="preserve">Mes de colocación de la ORDEN DE COMPRA — equipos de PDV</t>
  </si>
  <si>
    <t xml:space="preserve">PALANCA: 1 = se ordena de inmediato, con el equipo esperando en sitio (máxima seguridad de suministro). Compárelo con el mes «justo a tiempo» de la fila siguiente para medir el costo de caja de anticiparse.</t>
  </si>
  <si>
    <t xml:space="preserve">Compra de equipos de PDV en UN SOLO LOTE para los 10 PDV (1 = sí · 0 = escalonado por apertura)</t>
  </si>
  <si>
    <t xml:space="preserve">La RFQ entregada a compras JHS es un paquete único para los 10 PDV del piloto: un solo pedido, un solo embarque y un solo trámite aduanal. En 1, todo el equipamiento importado de PDV se ordena, embarca y nacionaliza junto. En 0, cada tienda ordena su equipo contra su propia fecha de apertura y el desembolso se reparte.</t>
  </si>
  <si>
    <t xml:space="preserve">Mes de la orden 'justo a tiempo' (referencia — no editar)</t>
  </si>
  <si>
    <t xml:space="preserve">Fecha más tardía posible para ordenar sin retrasar la primera apertura. La diferencia contra el mes elegido arriba es el costo de caja de asegurar el suministro por anticipado.</t>
  </si>
  <si>
    <t xml:space="preserve">Fabricación / despacho — equipos de PDV (meses)</t>
  </si>
  <si>
    <t xml:space="preserve">SUPUESTO POR VALIDAR con Neil Epelbaum (RBA Equipment, Miami): hornos Metal Supreme FRG8VE y freidoras. Ítems de origen chino (vitrinas, menu boards) pueden ser más largos.</t>
  </si>
  <si>
    <t xml:space="preserve">Tránsito internacional — equipos de PDV (meses)</t>
  </si>
  <si>
    <t xml:space="preserve">Nacionalización y aduana — PDV (meses)</t>
  </si>
  <si>
    <t xml:space="preserve">Montaje, pruebas y entrega del local (meses)</t>
  </si>
  <si>
    <t xml:space="preserve">LEAD TIME TOTAL — PDV (meses)</t>
  </si>
  <si>
    <t xml:space="preserve">Duración de la adecuación / obra civil — PDV del piloto (meses)</t>
  </si>
  <si>
    <t xml:space="preserve">40 m² (ventana) y 80 m² (dine-in) a 700 USD/m². La obra corre en paralelo al tránsito de los equipos.</t>
  </si>
  <si>
    <t xml:space="preserve">Duración de la adecuación / obra civil — FLAGSHIP (meses)</t>
  </si>
  <si>
    <t xml:space="preserve">400 m² interiores: obra sensiblemente más larga que la de un PDV de calle.</t>
  </si>
  <si>
    <t xml:space="preserve">Buffer entre planta operativa y la primera apertura (meses)</t>
  </si>
  <si>
    <t xml:space="preserve">Colchón de validación de proceso y producto antes de abrir la primera tienda. Súbalo si la dirección quiere corridas de prueba prolongadas.</t>
  </si>
  <si>
    <t xml:space="preserve">PRIMERA APERTURA FACTIBLE (mes)</t>
  </si>
  <si>
    <t xml:space="preserve">Primera apertura del plan vigente (CAPA1_PILOTO)</t>
  </si>
  <si>
    <t xml:space="preserve">DESFASE REQUERIDO POR EL LEAD TIME (meses)</t>
  </si>
  <si>
    <t xml:space="preserve">Ajustar el calendario de aperturas automáticamente (1 = sí · 0 = no)</t>
  </si>
  <si>
    <t xml:space="preserve">En 1 el flujo corre el calendario de CAPA1_PILOTO hasta hacerlo factible. En 0 conserva las fechas del plan y el diagnóstico advierte la inconsistencia.</t>
  </si>
  <si>
    <t xml:space="preserve">DESFASE APLICADO AL CALENDARIO (meses)</t>
  </si>
  <si>
    <t xml:space="preserve">PRIMERA APERTURA EFECTIVA DEL FLUJO (mes)</t>
  </si>
  <si>
    <t xml:space="preserve">Diagnóstico de factibilidad del cronograma</t>
  </si>
  <si>
    <t xml:space="preserve">3. CONDICIONES DE PAGO DE EQUIPOS Y OBRA (qué se paga y cuándo)</t>
  </si>
  <si>
    <t xml:space="preserve">Anticipo a la firma de la orden de compra (% del FOB)</t>
  </si>
  <si>
    <t xml:space="preserve">SUPUESTO POR VALIDAR con compras JHS. Práctica habitual con fabricantes chinos: 30–50% a la orden, saldo contra copia de B/L.</t>
  </si>
  <si>
    <t xml:space="preserve">Saldo contra embarque / conocimiento de embarque (% del FOB)</t>
  </si>
  <si>
    <t xml:space="preserve">Flete y seguro internacional (% sobre FOB)</t>
  </si>
  <si>
    <t xml:space="preserve">Arancel y gastos de nacionalización (% sobre CIF)</t>
  </si>
  <si>
    <t xml:space="preserve">PALANCA: la exoneración de bienes de capital llevaría este 45% a 2% (factor 1,42 en lugar de 1,64). Se presenta como optimización posterior a la aprobación, no como caso base.</t>
  </si>
  <si>
    <t xml:space="preserve">Factor nacionalizado (FOB → puesto en Venezuela)</t>
  </si>
  <si>
    <t xml:space="preserve">Participación del FOB en el valor nacionalizado</t>
  </si>
  <si>
    <t xml:space="preserve">Participación del flete y seguro internacional</t>
  </si>
  <si>
    <t xml:space="preserve">Participación del arancel y la nacionalización</t>
  </si>
  <si>
    <t xml:space="preserve">Control — la suma debe ser 100,0%</t>
  </si>
  <si>
    <t xml:space="preserve">Equipo LOCAL ESTÁNDAR de PDV (grupo B) — meses antes de la apertura, contra entrega</t>
  </si>
  <si>
    <t xml:space="preserve">Solo el grupo B: POS, cómputo, menaje, mobiliario, exhibidoras, CCTV y conectividad, que se compran listos. El equipo local a medida o que se instala en obra (grupo A) tiene su propio calendario en la sección 10.</t>
  </si>
  <si>
    <t xml:space="preserve">Preoperativos de tienda — meses antes de la apertura</t>
  </si>
  <si>
    <t xml:space="preserve">Permisos, legales, entrenamiento y mercadeo de apertura.</t>
  </si>
  <si>
    <t xml:space="preserve">Fondo tecnológico central — meses antes de la primera apertura</t>
  </si>
  <si>
    <t xml:space="preserve">POS central, web, app de pedidos, nube y BI: debe estar en línea antes de abrir la primera tienda.</t>
  </si>
  <si>
    <t xml:space="preserve">Contingencia sobre el CAPEX (%)</t>
  </si>
  <si>
    <t xml:space="preserve">Se paga con el mismo perfil temporal de cada rubro que la origina.</t>
  </si>
  <si>
    <t xml:space="preserve">4. CAPITAL DE TRABAJO — PLANTA Y PUNTOS DE VENTA</t>
  </si>
  <si>
    <t xml:space="preserve">Días de inventario de producto terminado en PDV</t>
  </si>
  <si>
    <t xml:space="preserve">SUPUESTO POR VALIDAR con el Chef Urrea: cadena refrigerada 0–4 °C con vida útil de 5–7 días, entregas 2–3 veces por semana.</t>
  </si>
  <si>
    <t xml:space="preserve">Días de cobro (efectivo, tarjetas y delivery)</t>
  </si>
  <si>
    <t xml:space="preserve">SUPUESTO POR VALIDAR: QSR es venta de contado; el rezago proviene de la liquidación de medios de pago y de las apps de delivery.</t>
  </si>
  <si>
    <t xml:space="preserve">Días de pago a proveedores de insumos y servicios</t>
  </si>
  <si>
    <t xml:space="preserve">SUPUESTO POR VALIDAR con Orlando Lozano. El ave viene de otra empresa del grupo a precio de transferencia: el plazo intercompañía es una palanca de caja del Grupo.</t>
  </si>
  <si>
    <t xml:space="preserve">Días de inventario de planta (ave fresca + producto congelado)</t>
  </si>
  <si>
    <t xml:space="preserve">Capital de trabajo de PLANTA (USD)</t>
  </si>
  <si>
    <t xml:space="preserve">7 días de ave fresca + 14 días de congelado a precio de transferencia. Calculado en SUP_PLANTA_OPEX!C45.</t>
  </si>
  <si>
    <t xml:space="preserve">Constitución del capital de trabajo de planta — meses antes de la 1ra apertura</t>
  </si>
  <si>
    <t xml:space="preserve">La planta debe llenar cavas antes de que abra la primera tienda.</t>
  </si>
  <si>
    <t xml:space="preserve">Depósito en garantía de arriendo (meses de renta)</t>
  </si>
  <si>
    <t xml:space="preserve">Congelado durante la vida del contrato: no se recupera dentro del horizonte del flujo (mismo criterio que CAPA1_PILOTO).</t>
  </si>
  <si>
    <t xml:space="preserve">Renta anticipada al inicio del contrato (meses)</t>
  </si>
  <si>
    <t xml:space="preserve">Depósito y renta anticipada — meses antes de la apertura</t>
  </si>
  <si>
    <t xml:space="preserve">Firma del contrato de arriendo, que habilita el inicio de la obra: la duración de la obra más un mes. Supuesto: la renta anticipada (fila 66) cubre dos de los tres meses previos a la apertura y el tercero se negocia como mes de gracia por adecuación.</t>
  </si>
  <si>
    <t xml:space="preserve">Ingreso del INGENIERO DE PLANTA — meses antes de planta operativa (= duración del montaje)</t>
  </si>
  <si>
    <t xml:space="preserve">Documento Maestro 19.4: ingresa en el mes −2 para dirigir montaje, recepción de equipos y puesta en marcha. El resto del personal y de los costos de planta se escalona en la sección 11.</t>
  </si>
  <si>
    <t xml:space="preserve">Mes de ingreso del PISO DIRECTIVO corporativo (vínculo a SUP_OVERHEAD!C27 — mes del proyecto)</t>
  </si>
  <si>
    <t xml:space="preserve">Documento Maestro 19.2 y Gantt v1: el equipo corporativo dirige todo el preoperativo (locales, marca, reclutamiento), no solo la apertura. Gerente General, Director de Expansión, Coordinador de Mercadeo y Analista de Operaciones entran en este mes; los dos cargos de 'fábrica de gente' un mes antes (sección 11).</t>
  </si>
  <si>
    <t xml:space="preserve">5. POLÍTICA DE CAJA Y ESTRUCTURA DE DESEMBOLSOS</t>
  </si>
  <si>
    <t xml:space="preserve">Saldo mínimo de caja objetivo — meses de gasto fijo de la red (política de tesorería del proyecto)</t>
  </si>
  <si>
    <t xml:space="preserve">Decisión de la dirección (sep-2026): 1 mes de gasto fijo de la red como saldo mínimo, para sostener el aporte de US$ 2,1 M. Es la política de caja del flujo de tesorería; el modelo de evaluación conserva su caja de arranque de 3 meses (SUP_CONTROL!C18). El saldo semanal nunca queda negativo con esta política (FC_PAGOS_SEMANALES).</t>
  </si>
  <si>
    <t xml:space="preserve">Piso absoluto del saldo de caja (USD)</t>
  </si>
  <si>
    <t xml:space="preserve">SUPUESTO POR VALIDAR: caja mínima operativa antes de que exista red de tiendas.</t>
  </si>
  <si>
    <t xml:space="preserve">Tramo mínimo de desembolso (USD — redondeo al alza)</t>
  </si>
  <si>
    <t xml:space="preserve">Los aportes se piden en múltiplos de este monto para no fragmentar la tesorería del Grupo.</t>
  </si>
  <si>
    <t xml:space="preserve">Saldo de caja al inicio del mes 1 (USD)</t>
  </si>
  <si>
    <t xml:space="preserve">Aporte inicial ya disponible en la cuenta del proyecto. En 0, el modelo dimensiona el 100% del fondeo.</t>
  </si>
  <si>
    <t xml:space="preserve">6. IMPUESTOS Y DEPRECIACIÓN</t>
  </si>
  <si>
    <t xml:space="preserve">ISLR (% sobre EBIT positivo del mes)</t>
  </si>
  <si>
    <t xml:space="preserve">Desfase de pago del ISLR (meses)</t>
  </si>
  <si>
    <t xml:space="preserve">SUPUESTO POR VALIDAR con la asesoría fiscal en Venezuela: régimen de anticipos y declaración definitiva. Criterio conservador: sin arrastre de pérdidas fiscales, igual que en el modelo base.</t>
  </si>
  <si>
    <t xml:space="preserve">Vida útil para depreciación (años)</t>
  </si>
  <si>
    <t xml:space="preserve">IVA — incluir el efecto de caja en el flujo (1 = sí · 0 = no)</t>
  </si>
  <si>
    <t xml:space="preserve">SUPUESTO: todo el modelo MOY'S opera con cifras NETAS de IVA (LEEME, regla del modelo) y el IVA de importación ya está dentro del factor de nacionalización del 45%. Se deja el interruptor para incorporar el desfase de un mes cuando la asesoría fiscal confirme el tratamiento.</t>
  </si>
  <si>
    <t xml:space="preserve">WACC anual 20% en USD con riesgo Venezuela (SUP_CONTROL!C31).</t>
  </si>
  <si>
    <t xml:space="preserve">7. DESCOMPOSICIÓN DEL CAPEX POR NATURALEZA (vínculos vivos — no editar)</t>
  </si>
  <si>
    <t xml:space="preserve">El flujo de caja reparte cada rubro en el tiempo según su propia regla de pago. Esta tabla demuestra que la suma de los rubros reproduce exactamente el CAPEX de las hojas fuente.</t>
  </si>
  <si>
    <t xml:space="preserve">Naturaleza del rubro</t>
  </si>
  <si>
    <t xml:space="preserve">PLANTA Y RED</t>
  </si>
  <si>
    <t xml:space="preserve">PDV VENTANA</t>
  </si>
  <si>
    <t xml:space="preserve">PDV DINE-IN</t>
  </si>
  <si>
    <t xml:space="preserve">Equipos importados — valor nacionalizado (CIF + tributos)</t>
  </si>
  <si>
    <t xml:space="preserve">Suma de los ítems cuyo Origen es China, Importado o Miami en la hoja de CAPEX correspondiente.</t>
  </si>
  <si>
    <t xml:space="preserve">   · FOB de fábrica (anticipo a la orden + saldo contra embarque)</t>
  </si>
  <si>
    <t xml:space="preserve">   · Flete y seguro internacional (se paga al embarque)</t>
  </si>
  <si>
    <t xml:space="preserve">   · Arancel, tributos y gastos de nacionalización (al arribo)</t>
  </si>
  <si>
    <t xml:space="preserve">Equipos, mobiliario, POS y servicios de compra local</t>
  </si>
  <si>
    <t xml:space="preserve">Instalación, montaje y puesta en marcha</t>
  </si>
  <si>
    <t xml:space="preserve">Adecuación y obra civil del inmueble</t>
  </si>
  <si>
    <t xml:space="preserve">Preoperativos (permisos, registros, entrenamiento, apertura)</t>
  </si>
  <si>
    <t xml:space="preserve">Capital de trabajo de planta (inventario)</t>
  </si>
  <si>
    <t xml:space="preserve">Único rubro de capital de trabajo que el modelo trata como CAPEX (inventario de ave en planta). El capital de trabajo operativo de los PDV se modela aparte, en la sección 4.</t>
  </si>
  <si>
    <t xml:space="preserve">SUBTOTAL ANTES DE CONTINGENCIA</t>
  </si>
  <si>
    <t xml:space="preserve">CAPEX TOTAL UNITARIO</t>
  </si>
  <si>
    <t xml:space="preserve">Control — total de la hoja fuente</t>
  </si>
  <si>
    <t xml:space="preserve">Diferencia (debe ser 0)</t>
  </si>
  <si>
    <t xml:space="preserve">8. SUPUESTOS QUE INTRODUCE ESTE FLUJO Y AÚN NO ESTÁN DEFINIDOS — POR VALIDAR</t>
  </si>
  <si>
    <t xml:space="preserve">Todo parámetro que el proyecto no tiene cerrado a la fecha queda aquí, editable, y amarrado al plan de trabajo de las proyecciones. Ninguno está quemado dentro de una fórmula.</t>
  </si>
  <si>
    <t xml:space="preserve">#</t>
  </si>
  <si>
    <t xml:space="preserve">Celda</t>
  </si>
  <si>
    <t xml:space="preserve">Valor hoy</t>
  </si>
  <si>
    <t xml:space="preserve">Responsable</t>
  </si>
  <si>
    <t xml:space="preserve">Por qué importa y cómo se cierra</t>
  </si>
  <si>
    <t xml:space="preserve">Compra de equipos de PDV en un solo lote y mes de la orden de compra</t>
  </si>
  <si>
    <t xml:space="preserve">C25</t>
  </si>
  <si>
    <t xml:space="preserve">Jorge Silva / compras JHS</t>
  </si>
  <si>
    <t xml:space="preserve">Decide si se asegura el suministro por anticipado (más caja antes) o se ordena justo a tiempo (menos caja antes, más riesgo de retraso). El mes de referencia justo a tiempo está en C26.</t>
  </si>
  <si>
    <t xml:space="preserve">Lead time de fabricación de equipos de planta</t>
  </si>
  <si>
    <t xml:space="preserve">C18</t>
  </si>
  <si>
    <t xml:space="preserve">Nelson Dávila / proveedor</t>
  </si>
  <si>
    <t xml:space="preserve">Define el mes de planta operativa y, con él, la fecha de la primera apertura. Se cierra con la cotización formal del horno espiral y el IQF.</t>
  </si>
  <si>
    <t xml:space="preserve">Tránsito internacional y nacionalización — planta</t>
  </si>
  <si>
    <t xml:space="preserve">C19</t>
  </si>
  <si>
    <t xml:space="preserve">Compras JHS / agente aduanal</t>
  </si>
  <si>
    <t xml:space="preserve">Un mes de más en aduana corre todo el piloto un mes. Se cierra con el agente aduanal y la definición del Certificado de Bienes de Capital.</t>
  </si>
  <si>
    <t xml:space="preserve">Lead time de equipos de PDV</t>
  </si>
  <si>
    <t xml:space="preserve">C27</t>
  </si>
  <si>
    <t xml:space="preserve">Edgar Urrea / RBA Equipment</t>
  </si>
  <si>
    <t xml:space="preserve">Hornos FRG8VE y freidoras. Se cierra con la cotización en firme de la RFQ ya entregada a compras JHS.</t>
  </si>
  <si>
    <t xml:space="preserve">Duración de la obra civil de PDV y flagship</t>
  </si>
  <si>
    <t xml:space="preserve">C32</t>
  </si>
  <si>
    <t xml:space="preserve">Mónica López (PM de campo)</t>
  </si>
  <si>
    <t xml:space="preserve">Determina cuándo empieza a pagarse la adecuación y cuándo se firma el arriendo. Se cierra con el contratista de obra.</t>
  </si>
  <si>
    <t xml:space="preserve">Anticipo a proveedores de equipos (% del FOB)</t>
  </si>
  <si>
    <t xml:space="preserve">C44</t>
  </si>
  <si>
    <t xml:space="preserve">Compras JHS</t>
  </si>
  <si>
    <t xml:space="preserve">Mueve el pico de caja hacia adelante o hacia atrás sin cambiar el monto total. Es la palanca de negociación con mayor efecto sobre el primer desembolso.</t>
  </si>
  <si>
    <t xml:space="preserve">C59</t>
  </si>
  <si>
    <t xml:space="preserve">Edgar Urrea</t>
  </si>
  <si>
    <t xml:space="preserve">Capital de trabajo del canal. Se cierra con la frecuencia de despacho definitiva planta → PDV.</t>
  </si>
  <si>
    <t xml:space="preserve">Días de cobro de medios de pago y delivery</t>
  </si>
  <si>
    <t xml:space="preserve">C60</t>
  </si>
  <si>
    <t xml:space="preserve">Orlando Lozano</t>
  </si>
  <si>
    <t xml:space="preserve">Rezago de liquidación de tarjetas y apps.</t>
  </si>
  <si>
    <t xml:space="preserve">Días de pago a proveedores (incluye ave intercompañía)</t>
  </si>
  <si>
    <t xml:space="preserve">C61</t>
  </si>
  <si>
    <t xml:space="preserve">El plazo intercompañía del ave es una palanca de caja del Grupo que no cambia el resultado consolidado.</t>
  </si>
  <si>
    <t xml:space="preserve">Piso absoluto de caja y tramo mínimo de desembolso</t>
  </si>
  <si>
    <t xml:space="preserve">C73</t>
  </si>
  <si>
    <t xml:space="preserve">Orlando Lozano / Jorge Silva</t>
  </si>
  <si>
    <t xml:space="preserve">Definen el número y el tamaño de los desembolsos que se le piden a la tesorería del Grupo.</t>
  </si>
  <si>
    <t xml:space="preserve">Desfase de pago del ISLR</t>
  </si>
  <si>
    <t xml:space="preserve">C79</t>
  </si>
  <si>
    <t xml:space="preserve">Asesoría fiscal Venezuela</t>
  </si>
  <si>
    <t xml:space="preserve">Régimen de anticipos y declaración definitiva. Solo afecta el momento del pago, no el monto.</t>
  </si>
  <si>
    <t xml:space="preserve">Tratamiento de caja del IVA</t>
  </si>
  <si>
    <t xml:space="preserve">C81</t>
  </si>
  <si>
    <t xml:space="preserve">Hoy apagado: el modelo trabaja neto de IVA y el IVA de importación va dentro del factor de nacionalización.</t>
  </si>
  <si>
    <t xml:space="preserve">Arranque de la nómina de planta antes del arranque productivo</t>
  </si>
  <si>
    <t xml:space="preserve">C68</t>
  </si>
  <si>
    <t xml:space="preserve">Nelson Dávila</t>
  </si>
  <si>
    <t xml:space="preserve">Contratación y entrenamiento previos. Es gasto fijo real que hoy el modelo base no reconoce en los meses sin producción.</t>
  </si>
  <si>
    <t xml:space="preserve">Preoperativos de planta (permisos SACS, registros, corridas)</t>
  </si>
  <si>
    <t xml:space="preserve">Ya marcado POR VALIDAR en el modelo base (SUP_PLANTA_OPEX!C41). El flujo lo paga un mes antes del arranque productivo.</t>
  </si>
  <si>
    <t xml:space="preserve">Tarifa logística tercerizada 0,06 USD/kg</t>
  </si>
  <si>
    <t xml:space="preserve">Mónica López</t>
  </si>
  <si>
    <t xml:space="preserve">Ya marcada POR COTIZAR en SUP_PRODUCCION §8. El piloto opera 100% tercerizado (Fase 1).</t>
  </si>
  <si>
    <t xml:space="preserve">Timer electrónico multi-zona (ítem E01t de la RFQ)</t>
  </si>
  <si>
    <t xml:space="preserve">Pendiente de confirmación del Chef; su costo entra por la hoja de CAPEX y cae solo al flujo.</t>
  </si>
  <si>
    <t xml:space="preserve">Reglas de programación semanal de pagos (sección 9)</t>
  </si>
  <si>
    <t xml:space="preserve">C126:C159</t>
  </si>
  <si>
    <t xml:space="preserve">Orlando Lozano / tesorería JHS</t>
  </si>
  <si>
    <t xml:space="preserve">Definen en qué semana del mes se paga cada concepto: arriendos por adelantado, nómina quincenal, proveedores semanales, hitos de importación. Se cierran con el calendario real de pagos de tesorería.</t>
  </si>
  <si>
    <t xml:space="preserve">Clasificación y condiciones de pago del equipo local de PDV (grupos A y B, sección 10)</t>
  </si>
  <si>
    <t xml:space="preserve">C166:C168 y C173:C191</t>
  </si>
  <si>
    <t xml:space="preserve">Edgar Urrea / Mónica López / compras JHS</t>
  </si>
  <si>
    <t xml:space="preserve">Plazos de fabricación y anticipos reales de los proveedores locales de cavas, campanas, acero inoxidable, avisos, aire acondicionado y generadores.</t>
  </si>
  <si>
    <t xml:space="preserve">9. PROGRAMACIÓN SEMANAL DE PAGOS — REGLA DE PAGO POR CONCEPTO (alimenta FC_PAGOS_SEMANALES)</t>
  </si>
  <si>
    <t xml:space="preserve">Códigos: P = prorrata en todas las semanas del mes · Q = quincenal (50% en la semana 2 y 50% en la última) · U = última semana del mes · 1 a 5 = semana específica del mes (si el mes tiene menos semanas, la última). Una semana pertenece al mes de su lunes.</t>
  </si>
  <si>
    <t xml:space="preserve">Concepto del flujo de caja</t>
  </si>
  <si>
    <t xml:space="preserve">Regla</t>
  </si>
  <si>
    <t xml:space="preserve">Criterio</t>
  </si>
  <si>
    <t xml:space="preserve">Cobros de clientes</t>
  </si>
  <si>
    <t xml:space="preserve">P</t>
  </si>
  <si>
    <t xml:space="preserve">Venta de contado diaria; tarjetas y delivery se liquidan en la semana.</t>
  </si>
  <si>
    <t xml:space="preserve">Proveedores de insumos — ave intercompañía y materias primas</t>
  </si>
  <si>
    <t xml:space="preserve">Despacho y pago semanal; el plazo de crédito se refleja en el ajuste de capital de trabajo.</t>
  </si>
  <si>
    <t xml:space="preserve">Ajuste de capital de trabajo (inventario en PDV y crédito de proveedores)</t>
  </si>
  <si>
    <t xml:space="preserve">Acompaña el ritmo de compras.</t>
  </si>
  <si>
    <t xml:space="preserve">Planta — nómina, renta de nave, servicios, mantenimiento y seguros</t>
  </si>
  <si>
    <t xml:space="preserve">Q</t>
  </si>
  <si>
    <t xml:space="preserve">Nómina quincenal (LOTTT); la renta y los servicios se asumen dentro del mismo ciclo.</t>
  </si>
  <si>
    <t xml:space="preserve">Planta — CIF variable (congelación, químicos, EPP, laboratorio)</t>
  </si>
  <si>
    <t xml:space="preserve">Compras recurrentes.</t>
  </si>
  <si>
    <t xml:space="preserve">Logística tercerizada planta → PDV</t>
  </si>
  <si>
    <t xml:space="preserve">Facturación semanal del transportista.</t>
  </si>
  <si>
    <t xml:space="preserve">PDV — renta de los locales</t>
  </si>
  <si>
    <t xml:space="preserve">Arriendo por adelantado en la primera semana del mes.</t>
  </si>
  <si>
    <t xml:space="preserve">PDV — nómina cargada y HCM</t>
  </si>
  <si>
    <t xml:space="preserve">Nómina quincenal.</t>
  </si>
  <si>
    <t xml:space="preserve">Gastos variables de operación</t>
  </si>
  <si>
    <t xml:space="preserve">Servicios, mantenimiento, IGTF y comisiones de medios de pago.</t>
  </si>
  <si>
    <t xml:space="preserve">Overhead corporativo</t>
  </si>
  <si>
    <t xml:space="preserve">Nómina corporativa quincenal y tecnología recurrente.</t>
  </si>
  <si>
    <t xml:space="preserve">Impuestos — ISLR (e IVA si se activa)</t>
  </si>
  <si>
    <t xml:space="preserve">Declaración y pago en la tercera semana del mes.</t>
  </si>
  <si>
    <t xml:space="preserve">Planta — anticipo de equipos importados</t>
  </si>
  <si>
    <t xml:space="preserve">Contra la firma de la orden de compra.</t>
  </si>
  <si>
    <t xml:space="preserve">Planta — saldo de equipos contra embarque</t>
  </si>
  <si>
    <t xml:space="preserve">Contra copia del conocimiento de embarque.</t>
  </si>
  <si>
    <t xml:space="preserve">Planta — flete y seguro internacional</t>
  </si>
  <si>
    <t xml:space="preserve">Al embarque.</t>
  </si>
  <si>
    <t xml:space="preserve">Planta — arancel y nacionalización</t>
  </si>
  <si>
    <t xml:space="preserve">Al arribo, antes del levante de la mercancía.</t>
  </si>
  <si>
    <t xml:space="preserve">Planta — equipos y servicios locales</t>
  </si>
  <si>
    <t xml:space="preserve">Contra entrega en sitio.</t>
  </si>
  <si>
    <t xml:space="preserve">Planta — instalación y montaje</t>
  </si>
  <si>
    <t xml:space="preserve">Valuaciones semanales del contratista.</t>
  </si>
  <si>
    <t xml:space="preserve">Planta — adecuación de nave</t>
  </si>
  <si>
    <t xml:space="preserve">Valuaciones de obra.</t>
  </si>
  <si>
    <t xml:space="preserve">Planta — preoperativos</t>
  </si>
  <si>
    <t xml:space="preserve">Permisos, registros y corridas de prueba.</t>
  </si>
  <si>
    <t xml:space="preserve">Planta — capital de trabajo (inventario inicial de ave)</t>
  </si>
  <si>
    <t xml:space="preserve">Compra inicial antes de la primera producción.</t>
  </si>
  <si>
    <t xml:space="preserve">Planta — contingencia</t>
  </si>
  <si>
    <t xml:space="preserve">Reserva que acompaña a los rubros que la originan.</t>
  </si>
  <si>
    <t xml:space="preserve">PDV — anticipo de equipos importados</t>
  </si>
  <si>
    <t xml:space="preserve">PDV — saldo de equipos contra embarque</t>
  </si>
  <si>
    <t xml:space="preserve">PDV — flete y seguro internacional</t>
  </si>
  <si>
    <t xml:space="preserve">PDV — arancel y nacionalización</t>
  </si>
  <si>
    <t xml:space="preserve">Al arribo.</t>
  </si>
  <si>
    <t xml:space="preserve">PDV — equipo local estándar (grupo B), contra entrega</t>
  </si>
  <si>
    <t xml:space="preserve">Contra entrega en cada tienda.</t>
  </si>
  <si>
    <t xml:space="preserve">PDV — obra civil de los locales</t>
  </si>
  <si>
    <t xml:space="preserve">PDV — preoperativos de tienda</t>
  </si>
  <si>
    <t xml:space="preserve">Permisos, entrenamiento y mercadeo de apertura.</t>
  </si>
  <si>
    <t xml:space="preserve">PDV — contingencia</t>
  </si>
  <si>
    <t xml:space="preserve">PDV — depósito en garantía</t>
  </si>
  <si>
    <t xml:space="preserve">A la firma del contrato de arriendo.</t>
  </si>
  <si>
    <t xml:space="preserve">PDV — renta anticipada</t>
  </si>
  <si>
    <t xml:space="preserve">Fondo tecnológico central</t>
  </si>
  <si>
    <t xml:space="preserve">Licencias y equipos antes de la salida en vivo.</t>
  </si>
  <si>
    <t xml:space="preserve">Flagship — inversión y operación (fuera del alcance aprobado)</t>
  </si>
  <si>
    <t xml:space="preserve">Solo aplica si se enciende la capa (C12 = 1).</t>
  </si>
  <si>
    <t xml:space="preserve">DESEMBOLSO DE JHS / SOCIOS — semana en que debe estar en cuenta</t>
  </si>
  <si>
    <t xml:space="preserve">El aporte del mes debe estar disponible antes de los pagos comprometidos del mes.</t>
  </si>
  <si>
    <t xml:space="preserve">PDV — equipo local a medida (grupo A): anticipo al ordenar</t>
  </si>
  <si>
    <t xml:space="preserve">A la colocación del pedido al fabricante local.</t>
  </si>
  <si>
    <t xml:space="preserve">PDV — equipo local a medida (grupo A): saldo contra entrega en obra</t>
  </si>
  <si>
    <t xml:space="preserve">Entrega en el local para instalarse durante la obra.</t>
  </si>
  <si>
    <t xml:space="preserve">10. EQUIPO LOCAL DE PDV EN DOS GRUPOS — CUÁNDO SE ORDENA Y CUÁNDO SE PAGA</t>
  </si>
  <si>
    <t xml:space="preserve">Grupo A: equipo a medida o que se instala durante la obra (se ordena con anticipo y se entrega al inicio de la obra, para quedar instalado antes de las inspecciones de bomberos y SACS). Grupo B: equipo estándar que se compra listo y se paga contra entrega (C53). La clasificación de cada ítem es editable en la tabla.</t>
  </si>
  <si>
    <t xml:space="preserve">Grupo A — orden al fabricante y anticipo: meses antes de la apertura</t>
  </si>
  <si>
    <t xml:space="preserve">Coincide con la firma del arriendo (C67): el pedido sale cuando el local está asegurado.</t>
  </si>
  <si>
    <t xml:space="preserve">Grupo A — anticipo al ordenar (% del valor del grupo)</t>
  </si>
  <si>
    <t xml:space="preserve">Práctica usual de fabricantes locales a medida en Venezuela. POR VALIDAR con compras JHS.</t>
  </si>
  <si>
    <t xml:space="preserve">Grupo A — entrega en el local y pago del saldo: meses antes de la apertura</t>
  </si>
  <si>
    <t xml:space="preserve">Inicio de la obra (C32 = 2 meses): se instala durante la adecuación.</t>
  </si>
  <si>
    <t xml:space="preserve">Grupo B — contra entrega: meses antes de la apertura (se edita en C53)</t>
  </si>
  <si>
    <t xml:space="preserve">Control de coherencia del calendario</t>
  </si>
  <si>
    <t xml:space="preserve">La entrega del grupo A debe ocurrir entre la orden y la entrega del grupo B, y el anticipo entre 0% y 100%.</t>
  </si>
  <si>
    <t xml:space="preserve">Equipo de compra local</t>
  </si>
  <si>
    <t xml:space="preserve">Grupo</t>
  </si>
  <si>
    <t xml:space="preserve">Ventana US$</t>
  </si>
  <si>
    <t xml:space="preserve">Dine-in US$</t>
  </si>
  <si>
    <t xml:space="preserve">Por qué está en ese grupo</t>
  </si>
  <si>
    <t xml:space="preserve">Cava de congelación 2 t (paneles + condensadora)</t>
  </si>
  <si>
    <t xml:space="preserve">A</t>
  </si>
  <si>
    <t xml:space="preserve">Se fabrica y arma en sitio; lleva electricidad y desagüe.</t>
  </si>
  <si>
    <t xml:space="preserve">Armado en sitio con la obra eléctrica.</t>
  </si>
  <si>
    <t xml:space="preserve">A medida; ductos atraviesan techo y fachada; la inspecciona bomberos.</t>
  </si>
  <si>
    <t xml:space="preserve">Mesas de trabajo de acero inoxidable (juego x3)</t>
  </si>
  <si>
    <t xml:space="preserve">Fabricación a medida del layout de cocina.</t>
  </si>
  <si>
    <t xml:space="preserve">Va empotrado en la plomería; lo inspecciona el SACS.</t>
  </si>
  <si>
    <t xml:space="preserve">Aviso exterior + branding de fachada</t>
  </si>
  <si>
    <t xml:space="preserve">Fabricación a medida; requiere permiso de propaganda comercial.</t>
  </si>
  <si>
    <t xml:space="preserve">Aire acondicionado 5 ton (salón, dine-in)</t>
  </si>
  <si>
    <t xml:space="preserve">Ductos y soporte estructural durante la obra.</t>
  </si>
  <si>
    <t xml:space="preserve">Mini split 12.000 BTU (ventana)</t>
  </si>
  <si>
    <t xml:space="preserve">Tubería y punto eléctrico durante la obra.</t>
  </si>
  <si>
    <t xml:space="preserve">Inversor + banco de baterías 1 kVA (ventana)</t>
  </si>
  <si>
    <t xml:space="preserve">Se integra al tablero eléctrico en la obra.</t>
  </si>
  <si>
    <t xml:space="preserve">Generador 15 kVA con transferencia (dine-in)</t>
  </si>
  <si>
    <t xml:space="preserve">Base, escape y transferencia eléctrica en la obra.</t>
  </si>
  <si>
    <t xml:space="preserve">Nevera exhibidora de bebidas + crudo marinado</t>
  </si>
  <si>
    <t xml:space="preserve">B</t>
  </si>
  <si>
    <t xml:space="preserve">Equipo estándar, se instala al final.</t>
  </si>
  <si>
    <t xml:space="preserve">Sistema POS: cajas, software e impresora fiscal</t>
  </si>
  <si>
    <t xml:space="preserve">Hardware estándar; se configura al final.</t>
  </si>
  <si>
    <t xml:space="preserve">Mobiliario de comedor (dine-in)</t>
  </si>
  <si>
    <t xml:space="preserve">Se coloca al terminar la obra.</t>
  </si>
  <si>
    <t xml:space="preserve">Estándar.</t>
  </si>
  <si>
    <t xml:space="preserve">Menaje, bandejas, gastronorm y empaque inicial</t>
  </si>
  <si>
    <t xml:space="preserve">Estándar; conexión de gas al final.</t>
  </si>
  <si>
    <t xml:space="preserve">Estándar; el cableado se deja previsto en la obra.</t>
  </si>
  <si>
    <t xml:space="preserve">TOTAL GRUPO A — a medida o se instala en obra</t>
  </si>
  <si>
    <t xml:space="preserve">TOTAL GRUPO B — estándar, contra entrega</t>
  </si>
  <si>
    <t xml:space="preserve">TOTAL EQUIPO LOCAL POR TIENDA</t>
  </si>
  <si>
    <t xml:space="preserve">Control — la tabla reproduce el equipo local de las hojas de CAPEX (sección 7, fila 91)</t>
  </si>
  <si>
    <t xml:space="preserve">11. ESTRUCTURA CORPORATIVA, PERSONAL Y CONTRATACIÓN — cargo por cargo (Documento Maestro, capítulo 19)</t>
  </si>
  <si>
    <t xml:space="preserve">Cada cargo entra en su mes. Salarios y seguro médico (HCM) vienen de SUP_OVERHEAD, SUP_PLANTA_OPEX y SUP_OPEX; la carga patronal es la del modelo (40%). Las celdas azules son los meses de ingreso. Los gastos generales corporativos y los costos de contratación quedan en cero por decisión de la dirección y pueden activarlos los directores de área.</t>
  </si>
  <si>
    <t xml:space="preserve">A. Estructura corporativa (overhead)</t>
  </si>
  <si>
    <t xml:space="preserve">Salario base</t>
  </si>
  <si>
    <t xml:space="preserve">HCM/mes</t>
  </si>
  <si>
    <t xml:space="preserve">Costo mensual cargado</t>
  </si>
  <si>
    <t xml:space="preserve">Mes de ingreso</t>
  </si>
  <si>
    <t xml:space="preserve">Etapa de ingreso según el Documento Maestro</t>
  </si>
  <si>
    <t xml:space="preserve">Preoperativo — día 1 del piso directivo</t>
  </si>
  <si>
    <t xml:space="preserve">Preoperativo — día 1: dirige búsqueda de locales, arriendos y obra</t>
  </si>
  <si>
    <t xml:space="preserve">Preoperativo — día 1: marca, ECOZ y lanzamiento</t>
  </si>
  <si>
    <t xml:space="preserve">Preoperativo — día 1</t>
  </si>
  <si>
    <t xml:space="preserve">Coordinador de Entrenamiento</t>
  </si>
  <si>
    <t xml:space="preserve">Mes −1: 'fábrica de gente', se adelanta al piso</t>
  </si>
  <si>
    <t xml:space="preserve">Analista de RRHH y Selección</t>
  </si>
  <si>
    <t xml:space="preserve">Mes −1: recluta a toda la organización</t>
  </si>
  <si>
    <t xml:space="preserve">Jefe de Calidad y Auditoría</t>
  </si>
  <si>
    <t xml:space="preserve">Año 2 (mes 13 del proyecto)</t>
  </si>
  <si>
    <t xml:space="preserve">Contralor</t>
  </si>
  <si>
    <t xml:space="preserve">Año 3 (mes 25 del proyecto)</t>
  </si>
  <si>
    <t xml:space="preserve">Gerente de Operaciones</t>
  </si>
  <si>
    <t xml:space="preserve">Año 3, solo si la cadena supera 27 PDV (no aplica al piloto)</t>
  </si>
  <si>
    <t xml:space="preserve">Control — los seis cargos del piso reproducen SUP_OVERHEAD!C12</t>
  </si>
  <si>
    <t xml:space="preserve">Gerente de Operaciones — entra cuando la cadena supera (PDV)</t>
  </si>
  <si>
    <t xml:space="preserve">Documento Maestro 19.2. En el piloto de 10 PDV no se activa.</t>
  </si>
  <si>
    <t xml:space="preserve">Tecnología recurrente (SUP_OVERHEAD!C25) — mes de inicio</t>
  </si>
  <si>
    <t xml:space="preserve">Mantenimiento y evolución de sistemas; arranca con el piso directivo, igual que en el modelo base.</t>
  </si>
  <si>
    <t xml:space="preserve">Gastos generales corporativos (oficina, movilización y viáticos, servicios contables y legales, telefonía) — USD/mes</t>
  </si>
  <si>
    <t xml:space="preserve">En cero por decisión de la dirección (sep-2026): no se incluyen gastos generales corporativos. El director de área puede incorporarlos aquí si lo considera necesario (oficina, movilización y viáticos, servicios contables y legales, telefonía).</t>
  </si>
  <si>
    <t xml:space="preserve">Gastos generales corporativos — mes de inicio</t>
  </si>
  <si>
    <t xml:space="preserve">Con el ingreso de los primeros cargos.</t>
  </si>
  <si>
    <t xml:space="preserve">Supervisores de zona: 1 por cada 10 PDV al superar el umbral de SUP_OVERHEAD (en el piloto de 10 PDV no aplica; se calculan en FC_FLUJO_CAJA fila 26).</t>
  </si>
  <si>
    <t xml:space="preserve">B. Personal y costos fijos de planta (costo de ventas)</t>
  </si>
  <si>
    <t xml:space="preserve">Personas Fase 1</t>
  </si>
  <si>
    <t xml:space="preserve">Costo mensual</t>
  </si>
  <si>
    <t xml:space="preserve">Meses antes de planta operativa</t>
  </si>
  <si>
    <t xml:space="preserve">Mes −2: dirige montaje, recepción de equipos y puesta en marcha</t>
  </si>
  <si>
    <t xml:space="preserve">Mes −1</t>
  </si>
  <si>
    <t xml:space="preserve">Operarios de planta</t>
  </si>
  <si>
    <t xml:space="preserve">Entrenamiento el mes previo a la producción (Gantt v1 T5)</t>
  </si>
  <si>
    <t xml:space="preserve">Renta de la nave</t>
  </si>
  <si>
    <t xml:space="preserve">Desde el inicio de la obra de adecuación</t>
  </si>
  <si>
    <t xml:space="preserve">Servicios base, mantenimiento y seguros de planta</t>
  </si>
  <si>
    <t xml:space="preserve">Desde el montaje (pruebas y seguro de los equipos en sitio)</t>
  </si>
  <si>
    <t xml:space="preserve">Control — los componentes reproducen el costo fijo de planta (SUP_PLANTA_OPEX!C33)</t>
  </si>
  <si>
    <t xml:space="preserve">C. Personal de tienda antes de la apertura</t>
  </si>
  <si>
    <t xml:space="preserve">Nómina de entrenamiento antes de la apertura (meses de nómina cargada + HCM por tienda)</t>
  </si>
  <si>
    <t xml:space="preserve">Gantt 11.7: tienda escuela y certificación de 4 semanas antes de abrir; el personal cobra durante el entrenamiento. Es un rubro distinto de los preoperativos de tienda (US$ 3.000 por local: permisos, legales, materiales de entrenamiento y mercadeo de apertura).</t>
  </si>
  <si>
    <t xml:space="preserve">Reclutamiento del personal de tienda — meses antes de la apertura</t>
  </si>
  <si>
    <t xml:space="preserve">Gantt 11.6: se recluta 8 semanas antes de abrir.</t>
  </si>
  <si>
    <t xml:space="preserve">Ingresos de personal por tienda VENTANA (FTE de la dotación aplicada, redondeado)</t>
  </si>
  <si>
    <t xml:space="preserve">Ingresos de personal por tienda DINE-IN (FTE de la dotación aplicada, redondeado)</t>
  </si>
  <si>
    <t xml:space="preserve">D. Costos de contratación (por ingreso)</t>
  </si>
  <si>
    <t xml:space="preserve">Selección y exámenes preempleo por ingreso (USD)</t>
  </si>
  <si>
    <t xml:space="preserve">En cero por decisión de la dirección (sep-2026). El director de área puede incorporar aquí el costo de selección y exámenes preempleo por ingreso.</t>
  </si>
  <si>
    <t xml:space="preserve">Dotación inicial por ingreso operativo: uniformes y calzado de seguridad (USD, tienda y planta)</t>
  </si>
  <si>
    <t xml:space="preserve">En cero por decisión de la dirección (sep-2026). El director de área puede incorporar aquí la dotación inicial de uniformes y calzado por ingreso operativo.</t>
  </si>
  <si>
    <t xml:space="preserve">Búsqueda ejecutiva del Gerente General y del Director de Expansión (meses de salario base por cargo)</t>
  </si>
  <si>
    <t xml:space="preserve">En cero por decisión de la dirección (sep-2026). El director de área puede incorporar aquí la búsqueda ejecutiva del Gerente General y del Director de Expansión.</t>
  </si>
  <si>
    <t xml:space="preserve">FC_CRONOGRAMA — CRONOGRAMA MENSUAL DE IMPORTACIÓN, OBRA Y APERTURAS</t>
  </si>
  <si>
    <t xml:space="preserve">Traduce los lead time de FC_SUPUESTOS en fechas concretas. El calendario de aperturas está amarrado al plan vigente de CAPA1_PILOTO y se desplaza en bloque cuando la importación lo exige. Alimenta íntegramente a FC_FLUJO_CAJA.</t>
  </si>
  <si>
    <t xml:space="preserve">Mes calendario</t>
  </si>
  <si>
    <t xml:space="preserve">A. IMPORTACIÓN, MONTAJE Y ARRANQUE DE LA PLANTA (centro de producción)</t>
  </si>
  <si>
    <t xml:space="preserve">Orden de compra de equipos importados de planta</t>
  </si>
  <si>
    <t xml:space="preserve">Embarque de equipos de planta (conocimiento de embarque)</t>
  </si>
  <si>
    <t xml:space="preserve">Arribo a Puerto Cabello y nacionalización — planta</t>
  </si>
  <si>
    <t xml:space="preserve">Montaje, instalación y puesta en marcha en ejecución</t>
  </si>
  <si>
    <t xml:space="preserve">Adecuación de nave — meses de pago de las valuaciones de obra (obra ejecutada con un mes de antelación, ver FC_GANTT 3.2)</t>
  </si>
  <si>
    <t xml:space="preserve">PLANTA OPERATIVA (produce y despacha)</t>
  </si>
  <si>
    <t xml:space="preserve">Ingeniero de planta en nómina (dirige montaje, recepción y arranque — FC_SUPUESTOS!C68)</t>
  </si>
  <si>
    <t xml:space="preserve">B. CALENDARIO DE APERTURAS DEL PILOTO — amarrado a CAPA1_PILOTO y desplazado por el lead time</t>
  </si>
  <si>
    <t xml:space="preserve">Aperturas de PDV VENTANA en el mes</t>
  </si>
  <si>
    <t xml:space="preserve">Aperturas de PDV DINE-IN en el mes</t>
  </si>
  <si>
    <t xml:space="preserve">Aperturas totales del mes</t>
  </si>
  <si>
    <t xml:space="preserve">PDV VENTANA acumulados</t>
  </si>
  <si>
    <t xml:space="preserve">PDV DINE-IN acumulados</t>
  </si>
  <si>
    <t xml:space="preserve">PDV DEL PILOTO ACUMULADOS</t>
  </si>
  <si>
    <t xml:space="preserve">Tiendas equivalentes VENTANA (curva de maduración 70 / 85 / 100%)</t>
  </si>
  <si>
    <t xml:space="preserve">Tiendas equivalentes DINE-IN (curva de maduración)</t>
  </si>
  <si>
    <t xml:space="preserve">Control — el calendario debe sumar la mezcla del piloto de SUP_VOLUMEN §6</t>
  </si>
  <si>
    <t xml:space="preserve">C. HITOS DE EQUIPAMIENTO Y OBRA DE LOS PDV DEL PILOTO (aperturas desplazadas hacia atrás)</t>
  </si>
  <si>
    <t xml:space="preserve">Colocación de la orden de compra de equipos importados — PDV VENTANA</t>
  </si>
  <si>
    <t xml:space="preserve">Colocación de la orden de compra de equipos importados — PDV DINE-IN</t>
  </si>
  <si>
    <t xml:space="preserve">Embarque de equipos — PDV VENTANA</t>
  </si>
  <si>
    <t xml:space="preserve">Embarque de equipos — PDV DINE-IN</t>
  </si>
  <si>
    <t xml:space="preserve">Arribo y nacionalización de equipos — PDV VENTANA</t>
  </si>
  <si>
    <t xml:space="preserve">Arribo y nacionalización de equipos — PDV DINE-IN</t>
  </si>
  <si>
    <t xml:space="preserve">Entrega de equipo y mobiliario local — PDV VENTANA</t>
  </si>
  <si>
    <t xml:space="preserve">Entrega de equipo y mobiliario local — PDV DINE-IN</t>
  </si>
  <si>
    <t xml:space="preserve">Preoperativos de tienda — PDV VENTANA</t>
  </si>
  <si>
    <t xml:space="preserve">Preoperativos de tienda — PDV DINE-IN</t>
  </si>
  <si>
    <t xml:space="preserve">Depósito en garantía y renta anticipada — PDV VENTANA</t>
  </si>
  <si>
    <t xml:space="preserve">Depósito en garantía y renta anticipada — PDV DINE-IN</t>
  </si>
  <si>
    <t xml:space="preserve">Tiendas-mes de obra de adecuación en ejecución — VENTANA</t>
  </si>
  <si>
    <t xml:space="preserve">Tiendas-mes de obra de adecuación en ejecución — DINE-IN</t>
  </si>
  <si>
    <t xml:space="preserve">D. FLAGSHIP (CAPA 2) — mes de apertura editable en FC_SUPUESTOS!C13</t>
  </si>
  <si>
    <t xml:space="preserve">Flagship abierto (1/0)</t>
  </si>
  <si>
    <t xml:space="preserve">Factor de maduración del flagship</t>
  </si>
  <si>
    <t xml:space="preserve">Orden de compra de equipos importados del flagship</t>
  </si>
  <si>
    <t xml:space="preserve">Embarque de equipos del flagship</t>
  </si>
  <si>
    <t xml:space="preserve">Arribo y nacionalización de equipos del flagship</t>
  </si>
  <si>
    <t xml:space="preserve">Entrega de equipo y mobiliario local del flagship</t>
  </si>
  <si>
    <t xml:space="preserve">Preoperativos y arranque del flagship</t>
  </si>
  <si>
    <t xml:space="preserve">Depósito en garantía y renta anticipada del flagship</t>
  </si>
  <si>
    <t xml:space="preserve">Constitución del capital de trabajo del flagship</t>
  </si>
  <si>
    <t xml:space="preserve">Obra de adecuación interior del flagship en ejecución (1/0)</t>
  </si>
  <si>
    <t xml:space="preserve">Diagnóstico de factibilidad del flagship</t>
  </si>
  <si>
    <t xml:space="preserve">E. VOLUMEN DE LA OPERACIÓN Y CARGA DE LA PLANTA</t>
  </si>
  <si>
    <t xml:space="preserve">Pollos vendidos — piloto (10 PDV)</t>
  </si>
  <si>
    <t xml:space="preserve">Pollos vendidos — flagship</t>
  </si>
  <si>
    <t xml:space="preserve">POLLOS VENDIDOS EN EL MES</t>
  </si>
  <si>
    <t xml:space="preserve">Kilos de pollo — piloto</t>
  </si>
  <si>
    <t xml:space="preserve">Kilos de pollo — flagship</t>
  </si>
  <si>
    <t xml:space="preserve">KILOS TOTALES DEL MES</t>
  </si>
  <si>
    <t xml:space="preserve">Toneladas/mes</t>
  </si>
  <si>
    <t xml:space="preserve">Capacidad de la planta — Fase 1 (t/mes)</t>
  </si>
  <si>
    <t xml:space="preserve">Utilización de la planta</t>
  </si>
  <si>
    <t xml:space="preserve">Alerta de capacidad</t>
  </si>
  <si>
    <t xml:space="preserve">Nota: el piloto opera íntegramente en la Fase 1 de planta y con logística tercerizada (SUP_PRODUCCION §8). Las fases 2–4 y la flota propia pertenecen a la capa 3 de expansión y no forman parte de este flujo.</t>
  </si>
  <si>
    <t xml:space="preserve">Nota: la utilización por encima del 100% en el pico del escenario MEDIO ya está documentada en SUP_PRODUCCION!D34 — JHS tiene un segundo tumbler en inventario que el modelo mantiene fuera de forma conservadora.</t>
  </si>
  <si>
    <t xml:space="preserve">FC_GANTT — CRONOGRAMA MAESTRO DEL PROYECTO APROBADO: PILOTO MOY'S (PLANTA FASE 1 + 10 PDV)</t>
  </si>
  <si>
    <t xml:space="preserve">Diagrama de Gantt por semana. Ninguna fecha está escrita a mano: cada actividad cuelga de un hito ancla que se calcula en FC_SUPUESTOS. La planta manda el ritmo — si cambia un lead time de importación, todo el cronograma se mueve solo.</t>
  </si>
  <si>
    <t xml:space="preserve">Lunes de la semana del pago del anticipo — MES 1 (se edita en FC_SUPUESTOS!C14)</t>
  </si>
  <si>
    <t xml:space="preserve">Vínculo: la semana 1 del cronograma es la semana del anticipo de los equipos, igual que en FC_PAGOS_SEMANALES. Para mover todo el programa se edita FC_SUPUESTOS!C14.</t>
  </si>
  <si>
    <t xml:space="preserve">Semanas por mes (factor de conversión)</t>
  </si>
  <si>
    <t xml:space="preserve">Primera apertura del piloto — mes del flujo de caja</t>
  </si>
  <si>
    <t xml:space="preserve">Última apertura del piloto — mes del flujo de caja</t>
  </si>
  <si>
    <t xml:space="preserve">Diagnóstico de factibilidad del cronograma (FC_SUPUESTOS)</t>
  </si>
  <si>
    <t xml:space="preserve">Mes del proyecto →</t>
  </si>
  <si>
    <t xml:space="preserve">Semana →</t>
  </si>
  <si>
    <t xml:space="preserve">Lunes de la semana →</t>
  </si>
  <si>
    <t xml:space="preserve">N°</t>
  </si>
  <si>
    <t xml:space="preserve">Actividad</t>
  </si>
  <si>
    <t xml:space="preserve">Hito ancla que la gobierna</t>
  </si>
  <si>
    <t xml:space="preserve">Mes ancla</t>
  </si>
  <si>
    <t xml:space="preserve">Desfase (sem)</t>
  </si>
  <si>
    <t xml:space="preserve">Duración (sem)</t>
  </si>
  <si>
    <t xml:space="preserve">Sem. inicio</t>
  </si>
  <si>
    <t xml:space="preserve">Sem. fin</t>
  </si>
  <si>
    <t xml:space="preserve">Fecha inicio</t>
  </si>
  <si>
    <t xml:space="preserve">Fecha fin</t>
  </si>
  <si>
    <t xml:space="preserve">Mes flujo</t>
  </si>
  <si>
    <t xml:space="preserve">Ruta crít.</t>
  </si>
  <si>
    <t xml:space="preserve">Avance</t>
  </si>
  <si>
    <t xml:space="preserve">0. GERENCIA DEL PROGRAMA (PMO)</t>
  </si>
  <si>
    <t xml:space="preserve">0.1</t>
  </si>
  <si>
    <t xml:space="preserve">Kickoff, línea base del programa y matriz RACI</t>
  </si>
  <si>
    <t xml:space="preserve">VentureMe + JHS</t>
  </si>
  <si>
    <t xml:space="preserve">Inicio del programa</t>
  </si>
  <si>
    <t xml:space="preserve">0.2</t>
  </si>
  <si>
    <t xml:space="preserve">PMO: comité directivo semanal, tablero de avance y control de cambios</t>
  </si>
  <si>
    <t xml:space="preserve">VentureMe</t>
  </si>
  <si>
    <t xml:space="preserve">0.3</t>
  </si>
  <si>
    <t xml:space="preserve">Gestión de riesgos: plan de contingencia de importación y segunda fuente</t>
  </si>
  <si>
    <t xml:space="preserve">VentureMe + Compras JHS</t>
  </si>
  <si>
    <t xml:space="preserve">0.4</t>
  </si>
  <si>
    <t xml:space="preserve">Control de costos contra el flujo de caja y liberación de desembolsos</t>
  </si>
  <si>
    <t xml:space="preserve">Rodrigo Treviño (CFO fraccional)</t>
  </si>
  <si>
    <t xml:space="preserve">0.5</t>
  </si>
  <si>
    <t xml:space="preserve">Informe de cierre del piloto y lecciones aprendidas para la expansión</t>
  </si>
  <si>
    <t xml:space="preserve">Última apertura del piloto</t>
  </si>
  <si>
    <t xml:space="preserve">1. INGENIERÍA Y DISEÑO DE LA PLANTA — marca el ritmo de todo el programa</t>
  </si>
  <si>
    <t xml:space="preserve">1.1</t>
  </si>
  <si>
    <t xml:space="preserve">Levantamiento del galpón CECOM (Riofrío, Las Tejerías) y validación de servicios</t>
  </si>
  <si>
    <t xml:space="preserve">JHS Ingeniería</t>
  </si>
  <si>
    <t xml:space="preserve">◆ CRÍTICA</t>
  </si>
  <si>
    <t xml:space="preserve">1.2</t>
  </si>
  <si>
    <t xml:space="preserve">Layout de proceso y flujo de producto (marinado → despiece → apanado → par-freído → horno espiral → IQF → empaque)</t>
  </si>
  <si>
    <t xml:space="preserve">JHS Ingeniería + VentureMe</t>
  </si>
  <si>
    <t xml:space="preserve">1.3</t>
  </si>
  <si>
    <t xml:space="preserve">Balance de línea y validación de la capacidad Fase 1 (91,65 t/mes) y del cuello de botella</t>
  </si>
  <si>
    <t xml:space="preserve">1.4</t>
  </si>
  <si>
    <t xml:space="preserve">Planos arquitectónicos y de distribución en AutoCAD — requisito formal del SACS</t>
  </si>
  <si>
    <t xml:space="preserve">Proyectista</t>
  </si>
  <si>
    <t xml:space="preserve">1.5</t>
  </si>
  <si>
    <t xml:space="preserve">Ingeniería MEP: eléctrico trifásico, gas, vapor y aire comprimido</t>
  </si>
  <si>
    <t xml:space="preserve">1.6</t>
  </si>
  <si>
    <t xml:space="preserve">Ingeniería de frío: cavas 0–4 °C, congelación y empalme con la sala de amoniaco existente</t>
  </si>
  <si>
    <t xml:space="preserve">1.7</t>
  </si>
  <si>
    <t xml:space="preserve">Diseño sanitario: zonificación limpio/sucio, pisos, drenajes, lavamanos y control de plagas</t>
  </si>
  <si>
    <t xml:space="preserve">JHS Calidad + Proyectista</t>
  </si>
  <si>
    <t xml:space="preserve">1.8</t>
  </si>
  <si>
    <t xml:space="preserve">Diseño del manejo de efluentes y residuos sólidos (soporte del permiso ambiental)</t>
  </si>
  <si>
    <t xml:space="preserve">1.9</t>
  </si>
  <si>
    <t xml:space="preserve">Especificación técnica de equipos y criterios de aceptación (protocolo FAT)</t>
  </si>
  <si>
    <t xml:space="preserve">VentureMe + JHS Ingeniería</t>
  </si>
  <si>
    <t xml:space="preserve">H1</t>
  </si>
  <si>
    <t xml:space="preserve">◆ HITO: Paquete de ingeniería de detalle aprobado</t>
  </si>
  <si>
    <t xml:space="preserve">Dirección JHS</t>
  </si>
  <si>
    <t xml:space="preserve">2. PERMISOLOGÍA Y LEGAL — PLANTA (Venezuela)</t>
  </si>
  <si>
    <t xml:space="preserve">2.1</t>
  </si>
  <si>
    <t xml:space="preserve">Actualización societaria, objeto social y RIF vigente (SAREN / SENIAT)</t>
  </si>
  <si>
    <t xml:space="preserve">JHS Legal</t>
  </si>
  <si>
    <t xml:space="preserve">2.2</t>
  </si>
  <si>
    <t xml:space="preserve">Conformidad de Uso y visto bueno de Ingeniería Municipal (Alcaldía)</t>
  </si>
  <si>
    <t xml:space="preserve">2.3</t>
  </si>
  <si>
    <t xml:space="preserve">Certificado de Aseo Urbano y contrato de manejo de residuos</t>
  </si>
  <si>
    <t xml:space="preserve">2.4</t>
  </si>
  <si>
    <t xml:space="preserve">Permiso del Cuerpo de Bomberos: sistema contra incendios y plan de emergencia</t>
  </si>
  <si>
    <t xml:space="preserve">JHS Legal + Proyectista</t>
  </si>
  <si>
    <t xml:space="preserve">2.5</t>
  </si>
  <si>
    <t xml:space="preserve">Revisión del proyecto por la Dirección de Ingeniería Sanitaria del SACS (planos AutoCAD)</t>
  </si>
  <si>
    <t xml:space="preserve">2.6</t>
  </si>
  <si>
    <t xml:space="preserve">Permiso Sanitario TIPO I — producción y fabricación de alimentos (SACS / SIACVISA)</t>
  </si>
  <si>
    <t xml:space="preserve">Arribo y nacionalización — planta</t>
  </si>
  <si>
    <t xml:space="preserve">2.7</t>
  </si>
  <si>
    <t xml:space="preserve">Manual de Buenas Prácticas de Fabricación, plan HACCP y responsable técnico</t>
  </si>
  <si>
    <t xml:space="preserve">JHS Calidad + VentureMe</t>
  </si>
  <si>
    <t xml:space="preserve">Inicio de montaje de planta</t>
  </si>
  <si>
    <t xml:space="preserve">2.8</t>
  </si>
  <si>
    <t xml:space="preserve">Análisis de laboratorio y expediente técnico del Registro Sanitario (fórmula cuali-cuantitativa)</t>
  </si>
  <si>
    <t xml:space="preserve">JHS Calidad</t>
  </si>
  <si>
    <t xml:space="preserve">PLANTA OPERATIVA</t>
  </si>
  <si>
    <t xml:space="preserve">2.9</t>
  </si>
  <si>
    <t xml:space="preserve">Registro Sanitario de producto (RS) — SKU empacados: crudo marinado en bandeja y prelistos</t>
  </si>
  <si>
    <t xml:space="preserve">2.10</t>
  </si>
  <si>
    <t xml:space="preserve">Registro del establecimiento ante el INSAI (procesamiento de productos de origen animal)</t>
  </si>
  <si>
    <t xml:space="preserve">2.11</t>
  </si>
  <si>
    <t xml:space="preserve">Registro en SUNAGRO y activación del código SICA (guías únicas de movilización)</t>
  </si>
  <si>
    <t xml:space="preserve">2.12</t>
  </si>
  <si>
    <t xml:space="preserve">Permiso Sanitario TIPO V — vehículos de transporte de alimentos (flota tercerizada)</t>
  </si>
  <si>
    <t xml:space="preserve">JHS Legal + transportista</t>
  </si>
  <si>
    <t xml:space="preserve">2.13</t>
  </si>
  <si>
    <t xml:space="preserve">Registro RASDA y autorización de efluentes ante el Ministerio de Ecosocialismo</t>
  </si>
  <si>
    <t xml:space="preserve">2.14</t>
  </si>
  <si>
    <t xml:space="preserve">SENCAMER: verificación metrológica de básculas y conformidad de etiquetado (contenido neto)</t>
  </si>
  <si>
    <t xml:space="preserve">2.15</t>
  </si>
  <si>
    <t xml:space="preserve">Código de barras GS1 y arte final de etiquetas conforme a la norma COVENIN</t>
  </si>
  <si>
    <t xml:space="preserve">2.16</t>
  </si>
  <si>
    <t xml:space="preserve">Inscripciones laborales: RNET, IVSS, INCES, FAOV, CONAPDIS e INPSASEL</t>
  </si>
  <si>
    <t xml:space="preserve">JHS RRHH</t>
  </si>
  <si>
    <t xml:space="preserve">2.17</t>
  </si>
  <si>
    <t xml:space="preserve">Servicio de Seguridad y Salud en el Trabajo, comité y programa (LOPCYMAT)</t>
  </si>
  <si>
    <t xml:space="preserve">2.18</t>
  </si>
  <si>
    <t xml:space="preserve">Solvencia Laboral vigente y habilitación de libros legales</t>
  </si>
  <si>
    <t xml:space="preserve">H2</t>
  </si>
  <si>
    <t xml:space="preserve">◆ HITO: Planta habilitada legalmente para producir y despachar</t>
  </si>
  <si>
    <t xml:space="preserve">3. CONSTRUCCIÓN, MONTAJE Y PUESTA EN MARCHA DE LA PLANTA</t>
  </si>
  <si>
    <t xml:space="preserve">3.1</t>
  </si>
  <si>
    <t xml:space="preserve">Licitación y contratación del contratista de obra</t>
  </si>
  <si>
    <t xml:space="preserve">JHS Compras</t>
  </si>
  <si>
    <t xml:space="preserve">3.2</t>
  </si>
  <si>
    <t xml:space="preserve">Obra civil de adecuación de la nave (200 m²: paredes, enchapes, pisos sanitarios y drenajes)</t>
  </si>
  <si>
    <t xml:space="preserve">Contratista</t>
  </si>
  <si>
    <t xml:space="preserve">Inicio de obra de la nave</t>
  </si>
  <si>
    <t xml:space="preserve">3.3</t>
  </si>
  <si>
    <t xml:space="preserve">Instalaciones eléctricas, gas y aire comprimido</t>
  </si>
  <si>
    <t xml:space="preserve">3.4</t>
  </si>
  <si>
    <t xml:space="preserve">Instalación de frío, cavas y empalme con la sala de máquinas</t>
  </si>
  <si>
    <t xml:space="preserve">3.5</t>
  </si>
  <si>
    <t xml:space="preserve">Recepción de equipos en sitio, izaje y posicionamiento</t>
  </si>
  <si>
    <t xml:space="preserve">3.6</t>
  </si>
  <si>
    <t xml:space="preserve">Montaje mecánico y conexión de la línea de proceso</t>
  </si>
  <si>
    <t xml:space="preserve">JHS Ingeniería + técnico del fabricante</t>
  </si>
  <si>
    <t xml:space="preserve">3.7</t>
  </si>
  <si>
    <t xml:space="preserve">Comisionamiento en vacío y pruebas de servicios (SAT)</t>
  </si>
  <si>
    <t xml:space="preserve">3.8</t>
  </si>
  <si>
    <t xml:space="preserve">Corridas de prueba con producto y ajuste de parámetros de proceso</t>
  </si>
  <si>
    <t xml:space="preserve">Gerencia de Planta + Chef Senior</t>
  </si>
  <si>
    <t xml:space="preserve">H3</t>
  </si>
  <si>
    <t xml:space="preserve">◆ HITO: PLANTA FASE 1 OPERATIVA — habilita la primera apertura</t>
  </si>
  <si>
    <t xml:space="preserve">4. IMPORTACIÓN DE EQUIPOS DE PLANTA (ruta crítica del programa)</t>
  </si>
  <si>
    <t xml:space="preserve">4.1</t>
  </si>
  <si>
    <t xml:space="preserve">Cierre de la RFQ, evaluación técnico-económica y adjudicación de proveedores</t>
  </si>
  <si>
    <t xml:space="preserve">VentureMe + JHS Compras</t>
  </si>
  <si>
    <t xml:space="preserve">4.2</t>
  </si>
  <si>
    <t xml:space="preserve">Firma de la orden de compra y pago del anticipo (semana 1 del flujo)</t>
  </si>
  <si>
    <t xml:space="preserve">OC de equipos de planta</t>
  </si>
  <si>
    <t xml:space="preserve">4.3</t>
  </si>
  <si>
    <t xml:space="preserve">Fabricación en origen, seguimiento y inspección FAT</t>
  </si>
  <si>
    <t xml:space="preserve">Proveedores</t>
  </si>
  <si>
    <t xml:space="preserve">4.4</t>
  </si>
  <si>
    <t xml:space="preserve">Tránsito internacional a Puerto Cabello y seguro de carga</t>
  </si>
  <si>
    <t xml:space="preserve">Forwarder</t>
  </si>
  <si>
    <t xml:space="preserve">Embarque de equipos de planta</t>
  </si>
  <si>
    <t xml:space="preserve">4.5</t>
  </si>
  <si>
    <t xml:space="preserve">Nacionalización, aranceles, desaduanaje y traslado a sitio</t>
  </si>
  <si>
    <t xml:space="preserve">JHS Comercio Exterior</t>
  </si>
  <si>
    <t xml:space="preserve">4.6</t>
  </si>
  <si>
    <t xml:space="preserve">Gestión del Certificado de Bienes de Capital (palanca de exoneración: factor 1,64 → 1,42)</t>
  </si>
  <si>
    <t xml:space="preserve">JHS Legal + agente aduanal</t>
  </si>
  <si>
    <t xml:space="preserve">5. IMPORTACIÓN DE EQUIPOS DE PDV — paquete único de los 10 puntos de venta</t>
  </si>
  <si>
    <t xml:space="preserve">5.1</t>
  </si>
  <si>
    <t xml:space="preserve">Cierre de la RFQ del paquete único y adjudicación (timer electrónico E01t validado)</t>
  </si>
  <si>
    <t xml:space="preserve">Edgar Urrea + JHS Compras</t>
  </si>
  <si>
    <t xml:space="preserve">5.2</t>
  </si>
  <si>
    <t xml:space="preserve">Orden de compra consolidada y pago del anticipo (semana 1 del flujo)</t>
  </si>
  <si>
    <t xml:space="preserve">OC de equipos de PDV</t>
  </si>
  <si>
    <t xml:space="preserve">5.3</t>
  </si>
  <si>
    <t xml:space="preserve">Fabricación y despacho en origen (Metal Supreme / RBA Miami y proveedores chinos)</t>
  </si>
  <si>
    <t xml:space="preserve">5.4</t>
  </si>
  <si>
    <t xml:space="preserve">Tránsito internacional y consolidación de carga</t>
  </si>
  <si>
    <t xml:space="preserve">Embarque de equipos de PDV</t>
  </si>
  <si>
    <t xml:space="preserve">5.5</t>
  </si>
  <si>
    <t xml:space="preserve">Nacionalización y traslado a bodega</t>
  </si>
  <si>
    <t xml:space="preserve">Arribo y nacionalización — PDV</t>
  </si>
  <si>
    <t xml:space="preserve">5.6</t>
  </si>
  <si>
    <t xml:space="preserve">Recepción, inventario, pruebas de encendido y kitting por tienda</t>
  </si>
  <si>
    <t xml:space="preserve">JHS Logística</t>
  </si>
  <si>
    <t xml:space="preserve">H5</t>
  </si>
  <si>
    <t xml:space="preserve">◆ HITO: 10 kits de equipos de PDV listos y auditados en bodega</t>
  </si>
  <si>
    <t xml:space="preserve">6. DESARROLLO DE PRODUCTO, CALIDAD Y ESTANDARIZACIÓN</t>
  </si>
  <si>
    <t xml:space="preserve">6.1</t>
  </si>
  <si>
    <t xml:space="preserve">Montaje del laboratorio de desarrollo (horno rostizador + freidora piloto)</t>
  </si>
  <si>
    <t xml:space="preserve">6.2</t>
  </si>
  <si>
    <t xml:space="preserve">Panel comparativo de las tres arquitecturas de broaster (crudo en tienda / prefrito congelado / prefrito refrigerado)</t>
  </si>
  <si>
    <t xml:space="preserve">6.3</t>
  </si>
  <si>
    <t xml:space="preserve">Desarrollo de recetas, marinadas funcionales y batter de alta amilosa</t>
  </si>
  <si>
    <t xml:space="preserve">Edgar Urrea + JHS Calidad</t>
  </si>
  <si>
    <t xml:space="preserve">6.4</t>
  </si>
  <si>
    <t xml:space="preserve">Validación de los cinco puntos de control de jugosidad</t>
  </si>
  <si>
    <t xml:space="preserve">6.5</t>
  </si>
  <si>
    <t xml:space="preserve">Validación de la cadena de frío 0–4 °C y de la vida útil de 5–7 días</t>
  </si>
  <si>
    <t xml:space="preserve">6.6</t>
  </si>
  <si>
    <t xml:space="preserve">Análisis microbiológicos y fisicoquímicos de respaldo del Registro Sanitario</t>
  </si>
  <si>
    <t xml:space="preserve">Laboratorio externo</t>
  </si>
  <si>
    <t xml:space="preserve">6.7</t>
  </si>
  <si>
    <t xml:space="preserve">Panel sensorial y aprobación del perfil final del producto</t>
  </si>
  <si>
    <t xml:space="preserve">Edgar Urrea + Dirección JHS</t>
  </si>
  <si>
    <t xml:space="preserve">6.8</t>
  </si>
  <si>
    <t xml:space="preserve">Fichas técnicas, rendimientos, mermas y estandarización de porciones</t>
  </si>
  <si>
    <t xml:space="preserve">H6</t>
  </si>
  <si>
    <t xml:space="preserve">◆ HITO: Perfil de producto aprobado por la dirección</t>
  </si>
  <si>
    <t xml:space="preserve">7. PROVEEDURÍA, ABASTO Y COMPRA DE INSUMOS</t>
  </si>
  <si>
    <t xml:space="preserve">7.1</t>
  </si>
  <si>
    <t xml:space="preserve">Orlando Lozano + Dirección</t>
  </si>
  <si>
    <t xml:space="preserve">7.2</t>
  </si>
  <si>
    <t xml:space="preserve">Mapa de insumos críticos y especificaciones de compra (243 referencias detrás de 17 SKU)</t>
  </si>
  <si>
    <t xml:space="preserve">7.3</t>
  </si>
  <si>
    <t xml:space="preserve">Búsqueda y homologación de proveedores: empaque, marinadas, apanados, papa prefrita y aceite</t>
  </si>
  <si>
    <t xml:space="preserve">7.4</t>
  </si>
  <si>
    <t xml:space="preserve">Auditoría de proveedores críticos y plan de segunda fuente por referencia</t>
  </si>
  <si>
    <t xml:space="preserve">JHS Calidad + Compras</t>
  </si>
  <si>
    <t xml:space="preserve">7.5</t>
  </si>
  <si>
    <t xml:space="preserve">Negociación de contratos marco, precios en firme y condiciones de pago</t>
  </si>
  <si>
    <t xml:space="preserve">7.6</t>
  </si>
  <si>
    <t xml:space="preserve">Fichas de recepción, criterios de aceptación y plan de muestreo de materia prima</t>
  </si>
  <si>
    <t xml:space="preserve">7.7</t>
  </si>
  <si>
    <t xml:space="preserve">Política de inventarios, cantidades mínimas de pedido y punto de reorden</t>
  </si>
  <si>
    <t xml:space="preserve">JHS Logística + VentureMe</t>
  </si>
  <si>
    <t xml:space="preserve">7.8</t>
  </si>
  <si>
    <t xml:space="preserve">Compra inicial de insumos y empaques — carga del capital de trabajo de planta</t>
  </si>
  <si>
    <t xml:space="preserve">7.9</t>
  </si>
  <si>
    <t xml:space="preserve">Contratación del transporte refrigerado tercerizado y cierre de la tarifa por kg</t>
  </si>
  <si>
    <t xml:space="preserve">7.10</t>
  </si>
  <si>
    <t xml:space="preserve">Homologación de proveedores de obra, mantenimiento y consumibles de PDV</t>
  </si>
  <si>
    <t xml:space="preserve">Primera apertura del piloto</t>
  </si>
  <si>
    <t xml:space="preserve">8. LOCALES DE PDV — BÚSQUEDA, CONTRATACIÓN Y OBRA</t>
  </si>
  <si>
    <t xml:space="preserve">8.1</t>
  </si>
  <si>
    <t xml:space="preserve">Scoring y short list de locales (F 30% / V 20% / C 20% / N 15% / L 5% / S 5% / R 5%)</t>
  </si>
  <si>
    <t xml:space="preserve">8.2</t>
  </si>
  <si>
    <t xml:space="preserve">Due diligence de inmuebles: servicios, gas, carga eléctrica, catastro y seguridad</t>
  </si>
  <si>
    <t xml:space="preserve">PM de campo + JHS Legal</t>
  </si>
  <si>
    <t xml:space="preserve">8.3</t>
  </si>
  <si>
    <t xml:space="preserve">Negociación y firma de contratos de arriendo — olas 1 y 2</t>
  </si>
  <si>
    <t xml:space="preserve">JHS Legal + PM de campo</t>
  </si>
  <si>
    <t xml:space="preserve">8.4</t>
  </si>
  <si>
    <t xml:space="preserve">Proyecto arquitectónico tipo VENTANA (40 m²) y tipo DINE-IN (80 m²)</t>
  </si>
  <si>
    <t xml:space="preserve">VentureMe + Proyectista</t>
  </si>
  <si>
    <t xml:space="preserve">8.5</t>
  </si>
  <si>
    <t xml:space="preserve">Licitación y contratación del contratista de obra de PDV</t>
  </si>
  <si>
    <t xml:space="preserve">8.6</t>
  </si>
  <si>
    <t xml:space="preserve">Obra de adecuación — ola 1</t>
  </si>
  <si>
    <t xml:space="preserve">8.7</t>
  </si>
  <si>
    <t xml:space="preserve">Instalación de equipos, gas y pruebas de encendido — ola 1</t>
  </si>
  <si>
    <t xml:space="preserve">8.8</t>
  </si>
  <si>
    <t xml:space="preserve">Negociación y firma de contratos de arriendo — olas 3 a 5</t>
  </si>
  <si>
    <t xml:space="preserve">8.9</t>
  </si>
  <si>
    <t xml:space="preserve">Obra de adecuación e instalación — olas 2 a 5</t>
  </si>
  <si>
    <t xml:space="preserve">8.10</t>
  </si>
  <si>
    <t xml:space="preserve">Equipo local a medida (grupo A: cava, campana, inox, trampa, aviso, A/C, generador) — orden, fabricación, entrega en obra e instalación, olas 1 a 5</t>
  </si>
  <si>
    <t xml:space="preserve">Proveedor de imagen</t>
  </si>
  <si>
    <t xml:space="preserve">9. PERMISOLOGÍA — PUNTOS DE VENTA (por local, Venezuela)</t>
  </si>
  <si>
    <t xml:space="preserve">9.1</t>
  </si>
  <si>
    <t xml:space="preserve">Conformidad de Uso e Ingeniería Municipal por local (Alcaldía)</t>
  </si>
  <si>
    <t xml:space="preserve">9.2</t>
  </si>
  <si>
    <t xml:space="preserve">Licencia de Actividades Económicas (antes patente de industria y comercio)</t>
  </si>
  <si>
    <t xml:space="preserve">9.3</t>
  </si>
  <si>
    <t xml:space="preserve">Permiso del Cuerpo de Bomberos por local</t>
  </si>
  <si>
    <t xml:space="preserve">9.4</t>
  </si>
  <si>
    <t xml:space="preserve">Permiso Sanitario TIPO IV — expendio y preparación de alimentos (SACS)</t>
  </si>
  <si>
    <t xml:space="preserve">9.5</t>
  </si>
  <si>
    <t xml:space="preserve">Certificado de Aseo Urbano y contrato de manejo de residuos por local</t>
  </si>
  <si>
    <t xml:space="preserve">9.6</t>
  </si>
  <si>
    <t xml:space="preserve">Certificados de salud y tarjeta de manipulación de alimentos de la dotación</t>
  </si>
  <si>
    <t xml:space="preserve">9.7</t>
  </si>
  <si>
    <t xml:space="preserve">Registro SICA / SUNAGRO por establecimiento (recepción de guías de movilización)</t>
  </si>
  <si>
    <t xml:space="preserve">9.8</t>
  </si>
  <si>
    <t xml:space="preserve">Permiso de propaganda comercial: avisos, tótems y vallas (impuesto municipal)</t>
  </si>
  <si>
    <t xml:space="preserve">9.9</t>
  </si>
  <si>
    <t xml:space="preserve">Homologación de máquinas fiscales e impresoras ante el SENIAT</t>
  </si>
  <si>
    <t xml:space="preserve">JHS Legal + proveedor POS</t>
  </si>
  <si>
    <t xml:space="preserve">9.10</t>
  </si>
  <si>
    <t xml:space="preserve">Registro RUPDAE ante la SUNDDE y publicación de la lista de precios</t>
  </si>
  <si>
    <t xml:space="preserve">H9</t>
  </si>
  <si>
    <t xml:space="preserve">◆ HITO: Primer PDV habilitado legalmente para abrir</t>
  </si>
  <si>
    <t xml:space="preserve">9.11</t>
  </si>
  <si>
    <t xml:space="preserve">Repetición del paquete completo de permisos para las olas 2 a 5</t>
  </si>
  <si>
    <t xml:space="preserve">10. MARCA, MENÚ Y MERCADEO — Módulo 2 VentureMe</t>
  </si>
  <si>
    <t xml:space="preserve">10.1</t>
  </si>
  <si>
    <t xml:space="preserve">Identidad de marca MOY'S: sistema visual, mascota y manual de marca</t>
  </si>
  <si>
    <t xml:space="preserve">10.2</t>
  </si>
  <si>
    <t xml:space="preserve">Registro de la marca ante el SAPI (clases 29, 30 y 43) y vigilancia</t>
  </si>
  <si>
    <t xml:space="preserve">JHS Legal + VentureMe</t>
  </si>
  <si>
    <t xml:space="preserve">10.3</t>
  </si>
  <si>
    <t xml:space="preserve">Arquitectura de menú, arquitectura de precios y diseño del test A/B (11,90 vs 12,90)</t>
  </si>
  <si>
    <t xml:space="preserve">10.4</t>
  </si>
  <si>
    <t xml:space="preserve">ECOZ — Estrategia de Comunicación por Zona Operativa, por formato</t>
  </si>
  <si>
    <t xml:space="preserve">10.5</t>
  </si>
  <si>
    <t xml:space="preserve">Diseño de empaque primario y secundario y arte de etiquetas</t>
  </si>
  <si>
    <t xml:space="preserve">10.6</t>
  </si>
  <si>
    <t xml:space="preserve">Diseño de menu boards, señalética y material de punto de venta</t>
  </si>
  <si>
    <t xml:space="preserve">10.7</t>
  </si>
  <si>
    <t xml:space="preserve">Ecosistema digital: web, app de pedidos, redes sociales y CRM</t>
  </si>
  <si>
    <t xml:space="preserve">Diana Uribe + Jesús Gaspar</t>
  </si>
  <si>
    <t xml:space="preserve">10.8</t>
  </si>
  <si>
    <t xml:space="preserve">Plan de medios, campaña de expectativa y relaciones públicas</t>
  </si>
  <si>
    <t xml:space="preserve">10.9</t>
  </si>
  <si>
    <t xml:space="preserve">Campaña de lanzamiento y activación de zona por ola de apertura</t>
  </si>
  <si>
    <t xml:space="preserve">10.10</t>
  </si>
  <si>
    <t xml:space="preserve">Medición post-lanzamiento, tablero de marca y ajuste de la mezcla de medios</t>
  </si>
  <si>
    <t xml:space="preserve">11. TALENTO HUMANO Y ENTRENAMIENTO</t>
  </si>
  <si>
    <t xml:space="preserve">11.1</t>
  </si>
  <si>
    <t xml:space="preserve">Contratación del Coordinador de Entrenamiento y del Analista de RRHH y Selección (mes −1 del piso) y perfiles de cargo</t>
  </si>
  <si>
    <t xml:space="preserve">JHS Nuevos Negocios + RH JHS</t>
  </si>
  <si>
    <t xml:space="preserve">Ingreso de los cargos del mes −1</t>
  </si>
  <si>
    <t xml:space="preserve">11.2</t>
  </si>
  <si>
    <t xml:space="preserve">Reclutamiento y contratación del piso directivo: Gerente General, Director de Expansión, Coordinador de Mercadeo y Analista de Operaciones</t>
  </si>
  <si>
    <t xml:space="preserve">Ingreso del piso directivo corporativo</t>
  </si>
  <si>
    <t xml:space="preserve">11.3</t>
  </si>
  <si>
    <t xml:space="preserve">Reclutamiento y contratación del personal de planta (ingeniero de planta, ingeniero de calidad y operarios)</t>
  </si>
  <si>
    <t xml:space="preserve">Ingreso del ingeniero de planta</t>
  </si>
  <si>
    <t xml:space="preserve">11.4</t>
  </si>
  <si>
    <t xml:space="preserve">Entrenamiento técnico de planta: BPM, HACCP, proceso y seguridad</t>
  </si>
  <si>
    <t xml:space="preserve">Coord. de Entrenamiento</t>
  </si>
  <si>
    <t xml:space="preserve">Ingreso de los operarios de planta</t>
  </si>
  <si>
    <t xml:space="preserve">11.5</t>
  </si>
  <si>
    <t xml:space="preserve">Diseño del programa de certificación de operación de PDV</t>
  </si>
  <si>
    <t xml:space="preserve">VentureMe (Módulo 2) + JHS RRHH</t>
  </si>
  <si>
    <t xml:space="preserve">11.6</t>
  </si>
  <si>
    <t xml:space="preserve">Reclutamiento del personal de PDV — ola 1</t>
  </si>
  <si>
    <t xml:space="preserve">11.7</t>
  </si>
  <si>
    <t xml:space="preserve">Tienda escuela y entrenamiento certificado — ola 1</t>
  </si>
  <si>
    <t xml:space="preserve">11.8</t>
  </si>
  <si>
    <t xml:space="preserve">Reclutamiento y entrenamiento continuo — olas 2 a 5</t>
  </si>
  <si>
    <t xml:space="preserve">JHS RRHH + Entrenamiento</t>
  </si>
  <si>
    <t xml:space="preserve">11.9</t>
  </si>
  <si>
    <t xml:space="preserve">Programa de seguridad y salud laboral, dotación y exámenes preempleo (LOPCYMAT)</t>
  </si>
  <si>
    <t xml:space="preserve">12. TECNOLOGÍA Y SISTEMAS</t>
  </si>
  <si>
    <t xml:space="preserve">12.1</t>
  </si>
  <si>
    <t xml:space="preserve">Selección e implantación del POS y de la facturación fiscal</t>
  </si>
  <si>
    <t xml:space="preserve">Jesús Gaspar + JHS</t>
  </si>
  <si>
    <t xml:space="preserve">12.2</t>
  </si>
  <si>
    <t xml:space="preserve">Software de planeación de la demanda y proceso S&amp;OP</t>
  </si>
  <si>
    <t xml:space="preserve">Jesús Gaspar</t>
  </si>
  <si>
    <t xml:space="preserve">12.3</t>
  </si>
  <si>
    <t xml:space="preserve">Conectividad, telemetría de tiendas y tableros de control en línea</t>
  </si>
  <si>
    <t xml:space="preserve">12.4</t>
  </si>
  <si>
    <t xml:space="preserve">Integración de delivery, pedidos web y medios de pago</t>
  </si>
  <si>
    <t xml:space="preserve">Diana Uribe</t>
  </si>
  <si>
    <t xml:space="preserve">13. ARRANQUE Y SALIDA EN VIVO DEL PILOTO</t>
  </si>
  <si>
    <t xml:space="preserve">13.1</t>
  </si>
  <si>
    <t xml:space="preserve">Producción de arranque y ajuste fino de la línea</t>
  </si>
  <si>
    <t xml:space="preserve">Gerencia de Planta</t>
  </si>
  <si>
    <t xml:space="preserve">13.2</t>
  </si>
  <si>
    <t xml:space="preserve">Construcción del inventario de lanzamiento</t>
  </si>
  <si>
    <t xml:space="preserve">13.3</t>
  </si>
  <si>
    <t xml:space="preserve">Dry runs de distribución en frío a la red</t>
  </si>
  <si>
    <t xml:space="preserve">13.4</t>
  </si>
  <si>
    <t xml:space="preserve">Marcha blanca (soft opening) de la ola 1</t>
  </si>
  <si>
    <t xml:space="preserve">Operación MOY'S</t>
  </si>
  <si>
    <t xml:space="preserve">H13</t>
  </si>
  <si>
    <t xml:space="preserve">◆ HITO: SALIDA EN VIVO — primera apertura del piloto</t>
  </si>
  <si>
    <t xml:space="preserve">13.5</t>
  </si>
  <si>
    <t xml:space="preserve">Aperturas por olas hasta completar los 10 PDV</t>
  </si>
  <si>
    <t xml:space="preserve">H14</t>
  </si>
  <si>
    <t xml:space="preserve">◆ HITO: PILOTO COMPLETO — 10 PDV en operación</t>
  </si>
  <si>
    <t xml:space="preserve">13.6</t>
  </si>
  <si>
    <t xml:space="preserve">Estabilización, ramp-up y ajuste de la operación de la red</t>
  </si>
  <si>
    <t xml:space="preserve">14. FLAGSHIP 400 m² — FUERA DEL ALCANCE APROBADO (capa activable: las barras aparecen solo si FC_SUPUESTOS!C12 = 1)</t>
  </si>
  <si>
    <t xml:space="preserve">14.1</t>
  </si>
  <si>
    <t xml:space="preserve">Decisión presidencial de activación y asignación de capital</t>
  </si>
  <si>
    <t xml:space="preserve">Jorge Silva</t>
  </si>
  <si>
    <t xml:space="preserve">OC de equipos del flagship</t>
  </si>
  <si>
    <t xml:space="preserve">14.2</t>
  </si>
  <si>
    <t xml:space="preserve">Proyecto arquitectónico del flagship (400 m², drive-thru, área infantil, 150 sillas)</t>
  </si>
  <si>
    <t xml:space="preserve">14.3</t>
  </si>
  <si>
    <t xml:space="preserve">Contrato de arriendo o aporte del inmueble por JHS (presupuesto inmobiliario aparte)</t>
  </si>
  <si>
    <t xml:space="preserve">14.4</t>
  </si>
  <si>
    <t xml:space="preserve">Permisología especial: vialidad y carril drive-thru, área infantil y estacionamiento</t>
  </si>
  <si>
    <t xml:space="preserve">Inicio de obra del flagship</t>
  </si>
  <si>
    <t xml:space="preserve">14.5</t>
  </si>
  <si>
    <t xml:space="preserve">Orden de compra, fabricación, tránsito y nacionalización de equipos del flagship</t>
  </si>
  <si>
    <t xml:space="preserve">14.6</t>
  </si>
  <si>
    <t xml:space="preserve">Obra de adecuación interior del flagship</t>
  </si>
  <si>
    <t xml:space="preserve">14.7</t>
  </si>
  <si>
    <t xml:space="preserve">Permisos de PDV del flagship (uso, bomberos, sanitario tipo IV, licencia de actividades)</t>
  </si>
  <si>
    <t xml:space="preserve">14.8</t>
  </si>
  <si>
    <t xml:space="preserve">Reclutamiento y entrenamiento de la dotación ampliada (18–21 personas)</t>
  </si>
  <si>
    <t xml:space="preserve">Apertura del flagship</t>
  </si>
  <si>
    <t xml:space="preserve">14.9</t>
  </si>
  <si>
    <t xml:space="preserve">Campaña de lanzamiento del flagship</t>
  </si>
  <si>
    <t xml:space="preserve">H15</t>
  </si>
  <si>
    <t xml:space="preserve">◆ HITO: APERTURA DEL FLAGSHIP</t>
  </si>
  <si>
    <t xml:space="preserve">TABLERO DE HITOS DEL PROGRAMA — fechas calculadas, no digitadas</t>
  </si>
  <si>
    <t xml:space="preserve">Hito</t>
  </si>
  <si>
    <t xml:space="preserve">Mes del flujo</t>
  </si>
  <si>
    <t xml:space="preserve">Semana</t>
  </si>
  <si>
    <t xml:space="preserve">Fecha</t>
  </si>
  <si>
    <t xml:space="preserve">Ruta crítica</t>
  </si>
  <si>
    <t xml:space="preserve">HITO: Paquete de ingeniería de detalle aprobado</t>
  </si>
  <si>
    <t xml:space="preserve">HITO: Planta habilitada legalmente para producir y despachar</t>
  </si>
  <si>
    <t xml:space="preserve">HITO: PLANTA FASE 1 OPERATIVA — habilita la primera apertura</t>
  </si>
  <si>
    <t xml:space="preserve">HITO: 10 kits de equipos de PDV listos y auditados en bodega</t>
  </si>
  <si>
    <t xml:space="preserve">HITO: Perfil de producto aprobado por la dirección</t>
  </si>
  <si>
    <t xml:space="preserve">HITO: Primer PDV habilitado legalmente para abrir</t>
  </si>
  <si>
    <t xml:space="preserve">HITO: SALIDA EN VIVO — primera apertura del piloto</t>
  </si>
  <si>
    <t xml:space="preserve">HITO: PILOTO COMPLETO — 10 PDV en operación</t>
  </si>
  <si>
    <t xml:space="preserve">HITO: APERTURA DEL FLAGSHIP</t>
  </si>
  <si>
    <t xml:space="preserve">CONTROL DE COHERENCIA CON EL FLUJO DE CAJA</t>
  </si>
  <si>
    <t xml:space="preserve">El mes de PLANTA OPERATIVA del Gantt coincide con FC_SUPUESTOS</t>
  </si>
  <si>
    <t xml:space="preserve">El mes de la PRIMERA APERTURA del Gantt coincide con el flujo de caja</t>
  </si>
  <si>
    <t xml:space="preserve">El mes de APERTURA DEL FLAGSHIP del Gantt coincide con el flujo de caja</t>
  </si>
  <si>
    <t xml:space="preserve">Semanas del tablero suficientes para cubrir todo el programa</t>
  </si>
  <si>
    <t xml:space="preserve">ANEXO — MAPA DE PERMISOLOGÍA EN VENEZUELA (planta y punto de venta)</t>
  </si>
  <si>
    <t xml:space="preserve">Verificado agosto 2026 contra fuentes públicas del SACS, SUNAGRO, INSAI, INPSASEL y alcaldías. Los plazos reales dependen del municipio y del distrito sanitario: son el supuesto más volátil del cronograma.</t>
  </si>
  <si>
    <t xml:space="preserve">Aplica a</t>
  </si>
  <si>
    <t xml:space="preserve">Trámite</t>
  </si>
  <si>
    <t xml:space="preserve">Organismo</t>
  </si>
  <si>
    <t xml:space="preserve">Por qué importa y cómo se encadena</t>
  </si>
  <si>
    <t xml:space="preserve">PLANTA</t>
  </si>
  <si>
    <t xml:space="preserve">Conformidad de Uso / Ingeniería Municipal</t>
  </si>
  <si>
    <t xml:space="preserve">Alcaldía del municipio</t>
  </si>
  <si>
    <t xml:space="preserve">Certifica que la zonificación admite uso industrial de alimentos. Es requisito previo del expediente del SACS.</t>
  </si>
  <si>
    <t xml:space="preserve">Certificado de Aseo Urbano</t>
  </si>
  <si>
    <t xml:space="preserve">Alcaldía / empresa de aseo</t>
  </si>
  <si>
    <t xml:space="preserve">Soporte del manejo de residuos sólidos; se anexa al permiso sanitario.</t>
  </si>
  <si>
    <t xml:space="preserve">Permiso del Cuerpo de Bomberos</t>
  </si>
  <si>
    <t xml:space="preserve">Cuerpo de Bomberos del municipio</t>
  </si>
  <si>
    <t xml:space="preserve">Evalúa el sistema contra incendios, señalización y plan de emergencia. Requisito de la licencia de actividades económicas.</t>
  </si>
  <si>
    <t xml:space="preserve">Revisión del proyecto — Ingeniería Sanitaria</t>
  </si>
  <si>
    <t xml:space="preserve">SACS (Dirección de Ingeniería Sanitaria)</t>
  </si>
  <si>
    <t xml:space="preserve">Revisión de los planos AutoCAD de distribución y flujo antes de construir. Las industrias nuevas deben consignar el oficio de revisión del proyecto.</t>
  </si>
  <si>
    <t xml:space="preserve">Permiso Sanitario TIPO I</t>
  </si>
  <si>
    <t xml:space="preserve">SACS — MPPS (plataforma SIACVISA)</t>
  </si>
  <si>
    <t xml:space="preserve">Autorización del establecimiento destinado a la producción o fabricación de alimentos. Exige inspección sanitaria. Vigencia de un año, renovable.</t>
  </si>
  <si>
    <t xml:space="preserve">Registro Sanitario de producto (RS)</t>
  </si>
  <si>
    <t xml:space="preserve">SACS — MPPS</t>
  </si>
  <si>
    <t xml:space="preserve">Uno por producto procesado. Exige análisis de laboratorio, fórmula cuali-cuantitativa y etiqueta propuesta. Es el trámite más largo de la cadena.</t>
  </si>
  <si>
    <t xml:space="preserve">Buenas Prácticas de Fabricación y HACCP</t>
  </si>
  <si>
    <t xml:space="preserve">SACS / auditoría propia</t>
  </si>
  <si>
    <t xml:space="preserve">Manual de BPM, plan HACCP y responsable técnico. Soporta el informe de evaluación que exige el permiso sanitario.</t>
  </si>
  <si>
    <t xml:space="preserve">Registro del establecimiento</t>
  </si>
  <si>
    <t xml:space="preserve">INSAI</t>
  </si>
  <si>
    <t xml:space="preserve">Aplica por procesar productos de origen animal; además emite certificados sanitarios de movilización y para comercio exterior.</t>
  </si>
  <si>
    <t xml:space="preserve">Registro SUNAGRO y código SICA</t>
  </si>
  <si>
    <t xml:space="preserve">SUNAGRO (Sistema Integral de Control Agroalimentario)</t>
  </si>
  <si>
    <t xml:space="preserve">Sin código SICA activo no se pueden emitir guías únicas de movilización: sin él la planta no puede despachar legalmente a los PDV.</t>
  </si>
  <si>
    <t xml:space="preserve">Permiso Sanitario TIPO V</t>
  </si>
  <si>
    <t xml:space="preserve">Vehículos de transporte de alimentos. Aplica a la flota tercerizada de la cadena de frío.</t>
  </si>
  <si>
    <t xml:space="preserve">Registro RASDA y autorización de efluentes</t>
  </si>
  <si>
    <t xml:space="preserve">Ministerio de Ecosocialismo (MINEC)</t>
  </si>
  <si>
    <t xml:space="preserve">Actividades susceptibles de degradar el ambiente: vertidos, residuos y refrigerantes.</t>
  </si>
  <si>
    <t xml:space="preserve">Verificación metrológica y etiquetado</t>
  </si>
  <si>
    <t xml:space="preserve">SENCAMER</t>
  </si>
  <si>
    <t xml:space="preserve">Calibración de básculas y conformidad del contenido neto declarado en el empaque.</t>
  </si>
  <si>
    <t xml:space="preserve">Código de barras</t>
  </si>
  <si>
    <t xml:space="preserve">GS1 Venezuela</t>
  </si>
  <si>
    <t xml:space="preserve">Necesario para el canal moderno y para la trazabilidad del producto empacado.</t>
  </si>
  <si>
    <t xml:space="preserve">RNET, IVSS, INCES, FAOV, CONAPDIS</t>
  </si>
  <si>
    <t xml:space="preserve">Ministerio del Trabajo y entes parafiscales</t>
  </si>
  <si>
    <t xml:space="preserve">Inscripciones obligatorias de la entidad de trabajo. Sostienen la carga patronal del 40% del modelo.</t>
  </si>
  <si>
    <t xml:space="preserve">Inscripción en INPSASEL y Servicio de SST</t>
  </si>
  <si>
    <t xml:space="preserve">INPSASEL (LOPCYMAT)</t>
  </si>
  <si>
    <t xml:space="preserve">Registro del centro de trabajo, delegados de prevención, comité y programa de seguridad y salud.</t>
  </si>
  <si>
    <t xml:space="preserve">Solvencia Laboral</t>
  </si>
  <si>
    <t xml:space="preserve">Ministerio del Trabajo</t>
  </si>
  <si>
    <t xml:space="preserve">Vigencia obligatoria para contratar, importar y tramitar divisas.</t>
  </si>
  <si>
    <t xml:space="preserve">PDV</t>
  </si>
  <si>
    <t xml:space="preserve">Conformidad de Uso</t>
  </si>
  <si>
    <t xml:space="preserve">Alcaldía / Ingeniería Municipal</t>
  </si>
  <si>
    <t xml:space="preserve">Por cada local. Es el primer trámite y condiciona la firma del arriendo: sin uso conforme, el local no sirve.</t>
  </si>
  <si>
    <t xml:space="preserve">Licencia de Actividades Económicas</t>
  </si>
  <si>
    <t xml:space="preserve">Alcaldía (Superintendencia de Tributos)</t>
  </si>
  <si>
    <t xml:space="preserve">Habilita la operación comercial en el municipio. Requiere permiso sanitario y bomberos previos.</t>
  </si>
  <si>
    <t xml:space="preserve">Por local. Crítico por la cocción a gas y las freidoras abiertas.</t>
  </si>
  <si>
    <t xml:space="preserve">Permiso Sanitario TIPO IV</t>
  </si>
  <si>
    <t xml:space="preserve">Expendio y preparación de alimentos en local fijo. Exige inspección y planos del local.</t>
  </si>
  <si>
    <t xml:space="preserve">Manejo de residuos y de aceite usado de fritura.</t>
  </si>
  <si>
    <t xml:space="preserve">Certificado de salud y manipulación de alimentos</t>
  </si>
  <si>
    <t xml:space="preserve">Distrito Sanitario / SACS</t>
  </si>
  <si>
    <t xml:space="preserve">Por cada trabajador que manipula alimentos. Se renueva periódicamente.</t>
  </si>
  <si>
    <t xml:space="preserve">Registro SICA por establecimiento</t>
  </si>
  <si>
    <t xml:space="preserve">SUNAGRO</t>
  </si>
  <si>
    <t xml:space="preserve">Necesario para recibir mercancía con guía de movilización desde la planta.</t>
  </si>
  <si>
    <t xml:space="preserve">Permiso de propaganda comercial</t>
  </si>
  <si>
    <t xml:space="preserve">Alcaldía</t>
  </si>
  <si>
    <t xml:space="preserve">Avisos de fachada, tótems y vallas. Genera impuesto municipal recurrente.</t>
  </si>
  <si>
    <t xml:space="preserve">Homologación de máquinas fiscales</t>
  </si>
  <si>
    <t xml:space="preserve">SENIAT</t>
  </si>
  <si>
    <t xml:space="preserve">Impresora fiscal por caja; condiciona la selección del POS.</t>
  </si>
  <si>
    <t xml:space="preserve">Registro RUPDAE</t>
  </si>
  <si>
    <t xml:space="preserve">SUNDDE</t>
  </si>
  <si>
    <t xml:space="preserve">Registro de personas que desarrollan actividades económicas y publicación de la lista de precios.</t>
  </si>
  <si>
    <t xml:space="preserve">AMBOS</t>
  </si>
  <si>
    <t xml:space="preserve">Registro de marca</t>
  </si>
  <si>
    <t xml:space="preserve">SAPI</t>
  </si>
  <si>
    <t xml:space="preserve">Clases 29 y 30 (productos alimenticios) y 43 (servicios de restauración). Debe iniciarse antes del lanzamiento público de la marca.</t>
  </si>
  <si>
    <t xml:space="preserve">Registro mercantil y RIF</t>
  </si>
  <si>
    <t xml:space="preserve">SAREN / SENIAT</t>
  </si>
  <si>
    <t xml:space="preserve">Objeto social que cubra fabricación y expendio de alimentos; sucursales por PDV según el municipio.</t>
  </si>
  <si>
    <t xml:space="preserve">CÓMO USAR ESTE CRONOGRAMA</t>
  </si>
  <si>
    <t xml:space="preserve">• La fecha de arranque se edita en FC_SUPUESTOS!C14 (semana del pago del anticipo de equipos). En esta hoja solo son editables, por actividad, el desfase en semanas (columna F) y la duración en semanas (columna G). Todo lo demás es fórmula.</t>
  </si>
  <si>
    <t xml:space="preserve">• La columna «Mes ancla» trae el mes desde FC_SUPUESTOS. Si la dirección cambia el lead time de fabricación, el tránsito o la aduana, el ancla se mueve y con ella todas las actividades que cuelgan de ella.</t>
  </si>
  <si>
    <t xml:space="preserve">• La planta gobierna el programa: el mes de PLANTA OPERATIVA es el resultado de la orden de compra más fabricación, tránsito, nacionalización y montaje. Ninguna tienda puede abrir antes de esa fecha porque el PDV solo termina y despacha producto elaborado en planta.</t>
  </si>
  <si>
    <t xml:space="preserve">• La columna «Mes flujo» permite cruzar cualquier actividad contra el mes correspondiente de FC_FLUJO_CAJA y FC_DESEMBOLSOS: el cronograma y la caja hablan del mismo mes.</t>
  </si>
  <si>
    <t xml:space="preserve">• La columna «Avance» es para el seguimiento semanal del PMO; se llena a mano en el comité directivo.</t>
  </si>
  <si>
    <t xml:space="preserve">• La permisología de PDV es el frente con más riesgo de desfase: la Conformidad de Uso condiciona la firma del arriendo y el permiso sanitario Tipo IV condiciona la apertura. Conviene arrancar los trámites del primer local antes de terminar la obra de la planta.</t>
  </si>
  <si>
    <t xml:space="preserve">FC_FLUJO_CAJA — FLUJO DE CAJA MENSUALIZADO DEL PROYECTO APROBADO: PILOTO MOY'S (10 PDV + PLANTA FASE 1)</t>
  </si>
  <si>
    <t xml:space="preserve">Flujo de caja de 60 meses construido cuenta por cuenta. Toda cifra proviene por fórmula de las hojas de supuestos del modelo: no hay un solo total quemado. El mes 1 es el mes del pago del anticipo de equipos (FC_SUPUESTOS!C14). El flagship está fuera del alcance aprobado; su sección se conserva en cero y se activa desde FC_SUPUESTOS!C12.</t>
  </si>
  <si>
    <t xml:space="preserve">A. INGRESOS Y COBROS DE CLIENTES</t>
  </si>
  <si>
    <t xml:space="preserve">Ingresos netos de IVA — piloto (10 PDV)</t>
  </si>
  <si>
    <t xml:space="preserve">Ingresos netos de IVA — flagship, venta de pollo</t>
  </si>
  <si>
    <t xml:space="preserve">Ingresos netos de IVA — flagship, menú ampliado (combos infantiles, contornos, dispensador)</t>
  </si>
  <si>
    <t xml:space="preserve">INGRESOS NETOS TOTALES</t>
  </si>
  <si>
    <t xml:space="preserve">    Saldo de cuentas por cobrar al cierre del mes</t>
  </si>
  <si>
    <t xml:space="preserve">    (−) Variación de cuentas por cobrar</t>
  </si>
  <si>
    <t xml:space="preserve">COBROS DE CLIENTES  (A)</t>
  </si>
  <si>
    <t xml:space="preserve">B. COSTO DE VENTAS, GASTOS OPERATIVOS Y PAGOS</t>
  </si>
  <si>
    <t xml:space="preserve">Costo de insumos — fichas técnicas del Chef (incluye el ave a precio de transferencia intercompañía)</t>
  </si>
  <si>
    <t xml:space="preserve">Transformación de planta — personal y costos fijos con ingreso escalonado (detalle B.2)</t>
  </si>
  <si>
    <t xml:space="preserve">Transformación de planta — CIF variable (túnel de congelación, químicos, EPP, laboratorio)</t>
  </si>
  <si>
    <t xml:space="preserve">Logística de distribución planta → PDV (cadena refrigerada 0–4 °C, tarifa tercerizada)</t>
  </si>
  <si>
    <t xml:space="preserve">COSTO DE VENTAS (producto puesto en la puerta del PDV)</t>
  </si>
  <si>
    <t xml:space="preserve">Nómina cargada, renta y HCM — PDV del piloto (incluye entrenamiento y contratación previos a la apertura, detalle B.3)</t>
  </si>
  <si>
    <t xml:space="preserve">Nómina cargada, renta y HCM — flagship</t>
  </si>
  <si>
    <t xml:space="preserve">Gastos variables de operación (servicios, mantenimiento, IGTF, seguridad, medios de pago)</t>
  </si>
  <si>
    <t xml:space="preserve">Comisión del canal delivery — flagship</t>
  </si>
  <si>
    <t xml:space="preserve">    Supervisores de zona requeridos (1 por cada 10 PDV sobre el umbral)</t>
  </si>
  <si>
    <t xml:space="preserve">    Estructura corporativa del mes — cargo por cargo, supervisión, tecnología, gastos generales y contratación (detalle B.1)</t>
  </si>
  <si>
    <t xml:space="preserve">Overhead corporativo del mes = MAX(estructura mínima; % de ingresos del año)</t>
  </si>
  <si>
    <t xml:space="preserve">TOTAL COSTOS Y GASTOS OPERATIVOS (devengado)</t>
  </si>
  <si>
    <t xml:space="preserve">EBITDA DEL PROYECTO</t>
  </si>
  <si>
    <t xml:space="preserve">    Saldo de inventario de producto en PDV al cierre del mes (a costo variable)</t>
  </si>
  <si>
    <t xml:space="preserve">    (−) Variación del inventario en PDV</t>
  </si>
  <si>
    <t xml:space="preserve">    Saldo de cuentas por pagar a proveedores al cierre del mes</t>
  </si>
  <si>
    <t xml:space="preserve">    (+) Variación de cuentas por pagar a proveedores</t>
  </si>
  <si>
    <t xml:space="preserve">PAGOS DE OPERACIÓN  (B)</t>
  </si>
  <si>
    <t xml:space="preserve">Depreciación del período (no es salida de caja — solo determina el ISLR)</t>
  </si>
  <si>
    <t xml:space="preserve">EBIT (EBITDA − depreciación)</t>
  </si>
  <si>
    <t xml:space="preserve">ISLR devengado del mes (34% sobre EBIT positivo, sin arrastre de pérdidas)</t>
  </si>
  <si>
    <t xml:space="preserve">ISLR PAGADO EN EL MES  (C)</t>
  </si>
  <si>
    <t xml:space="preserve">IVA — efecto de caja (supuesto: excluido; cifras netas de IVA)</t>
  </si>
  <si>
    <t xml:space="preserve">FLUJO DE CAJA OPERATIVO  (A − B − C)</t>
  </si>
  <si>
    <t xml:space="preserve">C. INVERSIÓN — CENTRO DE PRODUCCIÓN Y ACTIVOS DE RED (¿qué se paga y cuándo?)</t>
  </si>
  <si>
    <t xml:space="preserve">Anticipo a proveedores de equipos importados de planta (a la firma de la orden de compra)</t>
  </si>
  <si>
    <t xml:space="preserve">Saldo de los equipos de planta contra conocimiento de embarque</t>
  </si>
  <si>
    <t xml:space="preserve">Flete y seguro internacional — equipos de planta</t>
  </si>
  <si>
    <t xml:space="preserve">Arancel, tributos y gastos de nacionalización — equipos de planta</t>
  </si>
  <si>
    <t xml:space="preserve">Equipos, mobiliario y servicios de compra local de planta (cavas, mesas, sierra, supervisión de montaje)</t>
  </si>
  <si>
    <t xml:space="preserve">Instalación, montaje y puesta en marcha de la línea (eléctrico trifásico, frío, vapor)</t>
  </si>
  <si>
    <t xml:space="preserve">Adecuación de la nave — obra menor 200 m² (paredes y enchapes)</t>
  </si>
  <si>
    <t xml:space="preserve">Preoperativos de planta (permisos sanitarios, registro SACS, corridas de prueba)</t>
  </si>
  <si>
    <t xml:space="preserve">Capital de trabajo de PLANTA — inventario de 7 días de ave fresca + 14 días de congelado</t>
  </si>
  <si>
    <t xml:space="preserve">Contingencia sobre la inversión de planta y red</t>
  </si>
  <si>
    <t xml:space="preserve">SUBTOTAL INVERSIÓN — PLANTA Y RED</t>
  </si>
  <si>
    <t xml:space="preserve">D. INVERSIÓN — LOS 10 PUNTOS DE VENTA DEL PILOTO (7 ventana + 3 dine-in)</t>
  </si>
  <si>
    <t xml:space="preserve">Anticipo a proveedores de equipos importados de PDV (a la firma de la orden de compra)</t>
  </si>
  <si>
    <t xml:space="preserve">Saldo de los equipos de PDV contra conocimiento de embarque</t>
  </si>
  <si>
    <t xml:space="preserve">Flete y seguro internacional — equipos de PDV</t>
  </si>
  <si>
    <t xml:space="preserve">Arancel, tributos y gastos de nacionalización — equipos de PDV</t>
  </si>
  <si>
    <t xml:space="preserve">Equipos, mobiliario, POS y menaje de compra local — PDV (grupos A y B, detalle en la sección D.1)</t>
  </si>
  <si>
    <t xml:space="preserve">Adecuación y obra civil de los locales (700 USD/m²)</t>
  </si>
  <si>
    <t xml:space="preserve">Preoperativos de tienda (permisos, legales, entrenamiento y mercadeo de apertura)</t>
  </si>
  <si>
    <t xml:space="preserve">Contingencia sobre la inversión de PDV</t>
  </si>
  <si>
    <t xml:space="preserve">Depósito en garantía de arriendo (3 meses, congelado durante el contrato)</t>
  </si>
  <si>
    <t xml:space="preserve">Renta anticipada al inicio del contrato de arriendo</t>
  </si>
  <si>
    <t xml:space="preserve">Fondo tecnológico central (planeación de demanda, web, app de pedidos, nube, BI y ciberseguridad)</t>
  </si>
  <si>
    <t xml:space="preserve">SUBTOTAL INVERSIÓN — PUNTOS DE VENTA DEL PILOTO</t>
  </si>
  <si>
    <t xml:space="preserve">E. INVERSIÓN — FLAGSHIP 400 m² / 150 SILLAS — FUERA DEL ALCANCE APROBADO (capa activable en FC_SUPUESTOS!C12)</t>
  </si>
  <si>
    <t xml:space="preserve">Anticipo a proveedores de equipos importados del flagship</t>
  </si>
  <si>
    <t xml:space="preserve">Saldo de los equipos del flagship contra conocimiento de embarque</t>
  </si>
  <si>
    <t xml:space="preserve">Flete y seguro internacional — equipos del flagship</t>
  </si>
  <si>
    <t xml:space="preserve">Arancel, tributos y gastos de nacionalización — equipos del flagship</t>
  </si>
  <si>
    <t xml:space="preserve">Equipos, mobiliario, área infantil, drive-thru y generador de compra local — flagship</t>
  </si>
  <si>
    <t xml:space="preserve">Adecuación interior del flagship (400 m² × 700 USD/m²)</t>
  </si>
  <si>
    <t xml:space="preserve">Preoperativos del flagship (permisos, entrenamiento de dotación ampliada, mercadeo de apertura)</t>
  </si>
  <si>
    <t xml:space="preserve">Contingencia sobre la inversión del flagship</t>
  </si>
  <si>
    <t xml:space="preserve">Capital de trabajo del flagship (1 mes de gasto fijo, spec SUP_CONTROL!C19)</t>
  </si>
  <si>
    <t xml:space="preserve">SUBTOTAL INVERSIÓN — FLAGSHIP</t>
  </si>
  <si>
    <t xml:space="preserve">F. FLUJO DE CAJA LIBRE, SALDO DE CAJA Y DESEMBOLSOS REQUERIDOS</t>
  </si>
  <si>
    <t xml:space="preserve">INVERSIÓN TOTAL DEL MES (planta + PDV; flagship solo si se activa)</t>
  </si>
  <si>
    <t xml:space="preserve">FLUJO DE CAJA LIBRE DEL PROYECTO (operativo − inversión)</t>
  </si>
  <si>
    <t xml:space="preserve">Flujo de caja libre acumulado</t>
  </si>
  <si>
    <t xml:space="preserve">CAPEX acumulado depreciable (excluye capital de trabajo, depósitos y renta anticipada)</t>
  </si>
  <si>
    <t xml:space="preserve">Gasto fijo mensual de la red (base de la política de caja mínima)</t>
  </si>
  <si>
    <t xml:space="preserve">Saldo de caja inicial del mes</t>
  </si>
  <si>
    <t xml:space="preserve">Saldo mínimo de caja requerido por la política</t>
  </si>
  <si>
    <t xml:space="preserve">Necesidad de fondeo del mes (antes del redondeo por tramo)</t>
  </si>
  <si>
    <t xml:space="preserve">DESEMBOLSO DE JHS / SOCIOS REQUERIDO EN EL MES</t>
  </si>
  <si>
    <t xml:space="preserve">Desembolso acumulado (inversión total aportada al proyecto)</t>
  </si>
  <si>
    <t xml:space="preserve">SALDO DE CAJA AL CIERRE DEL MES</t>
  </si>
  <si>
    <t xml:space="preserve">Control — el saldo de cierre nunca cae por debajo del mínimo</t>
  </si>
  <si>
    <t xml:space="preserve">Flujo de caja libre descontado (WACC 20% anual)</t>
  </si>
  <si>
    <t xml:space="preserve">D.1 DETALLE — EQUIPO LOCAL DE PDV POR GRUPO Y MOMENTO DE PAGO (su suma es la fila 61; se parametriza en FC_SUPUESTOS §10)</t>
  </si>
  <si>
    <t xml:space="preserve">    Grupo A (a medida / se instala en obra) — anticipo al ordenar</t>
  </si>
  <si>
    <t xml:space="preserve">    Grupo A (a medida / se instala en obra) — saldo contra entrega en obra</t>
  </si>
  <si>
    <t xml:space="preserve">    Grupo B (estándar) — contra entrega</t>
  </si>
  <si>
    <t xml:space="preserve">    Control — la suma de los grupos coincide con la fila 61</t>
  </si>
  <si>
    <t xml:space="preserve">B.1 DETALLE — ESTRUCTURA CORPORATIVA CARGO POR CARGO (su suma es la fila 27; el overhead de la fila 28 es MAX(esta estructura; % de ingresos))</t>
  </si>
  <si>
    <t xml:space="preserve">    Gerente General — nómina cargada + HCM</t>
  </si>
  <si>
    <t xml:space="preserve">    Director de Expansión — nómina cargada + HCM</t>
  </si>
  <si>
    <t xml:space="preserve">    Coordinador de Mercadeo — nómina cargada + HCM</t>
  </si>
  <si>
    <t xml:space="preserve">    Analista de Operaciones — nómina cargada + HCM</t>
  </si>
  <si>
    <t xml:space="preserve">    Coordinador de Entrenamiento — nómina cargada + HCM</t>
  </si>
  <si>
    <t xml:space="preserve">    Analista de RRHH y Selección — nómina cargada + HCM</t>
  </si>
  <si>
    <t xml:space="preserve">    Jefe de Calidad y Auditoría — nómina cargada + HCM</t>
  </si>
  <si>
    <t xml:space="preserve">    Contralor — nómina cargada + HCM</t>
  </si>
  <si>
    <t xml:space="preserve">    Gerente de Operaciones (solo con más de 27 PDV)</t>
  </si>
  <si>
    <t xml:space="preserve">    Supervisores de zona (1 por cada 10 PDV sobre el umbral)</t>
  </si>
  <si>
    <t xml:space="preserve">    Tecnología recurrente (mantenimiento y evolución de sistemas)</t>
  </si>
  <si>
    <t xml:space="preserve">    Gastos generales corporativos (oficina, viáticos, servicios contables y legales, telefonía)</t>
  </si>
  <si>
    <t xml:space="preserve">    Contratación corporativa (selección y exámenes; búsqueda ejecutiva de GG y Director de Expansión)</t>
  </si>
  <si>
    <t xml:space="preserve">TOTAL ESTRUCTURA CORPORATIVA DEL MES</t>
  </si>
  <si>
    <t xml:space="preserve">B.2 DETALLE — PERSONAL Y COSTOS FIJOS DE PLANTA CON INGRESO ESCALONADO (su suma es la fila 18)</t>
  </si>
  <si>
    <t xml:space="preserve">    Ingeniero de planta — nómina cargada + HCM</t>
  </si>
  <si>
    <t xml:space="preserve">    Ingeniero de calidad — nómina cargada + HCM</t>
  </si>
  <si>
    <t xml:space="preserve">    Operarios de planta — nómina cargada + HCM</t>
  </si>
  <si>
    <t xml:space="preserve">    Renta de la nave</t>
  </si>
  <si>
    <t xml:space="preserve">    Servicios base, mantenimiento y seguros de planta</t>
  </si>
  <si>
    <t xml:space="preserve">    Contratación de planta (selección y exámenes; dotación inicial de los operarios)</t>
  </si>
  <si>
    <t xml:space="preserve">B.3 DETALLE — PERSONAL DE TIENDA ANTES DE LA APERTURA (se suma a la fila 22)</t>
  </si>
  <si>
    <t xml:space="preserve">    Nómina de entrenamiento antes de la apertura (tienda escuela y certificación)</t>
  </si>
  <si>
    <t xml:space="preserve">    Contratación del personal de tienda (selección, exámenes y dotación inicial)</t>
  </si>
  <si>
    <t xml:space="preserve">FC_DESEMBOLSOS — CUÁNTO DINERO SE NECESITA, CUÁNDO Y PARA QUÉ</t>
  </si>
  <si>
    <t xml:space="preserve">Hoja de lectura para la dirección. Resume el fondeo del piloto MOY'S mes a mes: el monto de cada desembolso, el saldo de caja que deja y exactamente qué paga. Todos los valores se leen en vivo de FC_FLUJO_CAJA.</t>
  </si>
  <si>
    <t xml:space="preserve">1. RESUMEN EJECUTIVO DEL FONDEO</t>
  </si>
  <si>
    <t xml:space="preserve">Escenario de consumo activo</t>
  </si>
  <si>
    <t xml:space="preserve">INVERSIÓN TOTAL DEL PROYECTO</t>
  </si>
  <si>
    <t xml:space="preserve">Flagship incluido en el flujo</t>
  </si>
  <si>
    <t xml:space="preserve">   · Centro de producción y activos de red</t>
  </si>
  <si>
    <t xml:space="preserve">Mes de planta operativa</t>
  </si>
  <si>
    <t xml:space="preserve">   · Los 10 PDV del piloto (CAPEX, depósitos, tecnología)</t>
  </si>
  <si>
    <t xml:space="preserve">Mes de la primera apertura de tienda</t>
  </si>
  <si>
    <t xml:space="preserve">   · Flagship 400 m² (capa activable)</t>
  </si>
  <si>
    <t xml:space="preserve">Mes de la primera venta</t>
  </si>
  <si>
    <t xml:space="preserve">DESEMBOLSO TOTAL REQUERIDO A JHS / SOCIOS</t>
  </si>
  <si>
    <t xml:space="preserve">Mes del primer EBITDA positivo</t>
  </si>
  <si>
    <t xml:space="preserve">Número de desembolsos</t>
  </si>
  <si>
    <t xml:space="preserve">Mes del primer flujo de caja libre positivo</t>
  </si>
  <si>
    <t xml:space="preserve">Mes del primer desembolso</t>
  </si>
  <si>
    <t xml:space="preserve">Recuperación de la caja invertida (mes)</t>
  </si>
  <si>
    <t xml:space="preserve">Mes del último desembolso</t>
  </si>
  <si>
    <t xml:space="preserve">EBITDA del mes 60 (operación en régimen)</t>
  </si>
  <si>
    <t xml:space="preserve">Desembolso más grande de un solo mes</t>
  </si>
  <si>
    <t xml:space="preserve">VPN del proyecto a 60 meses (WACC 20% en USD)</t>
  </si>
  <si>
    <t xml:space="preserve">Saldo de caja al cierre del mes 60</t>
  </si>
  <si>
    <t xml:space="preserve">TIR anual a 60 meses</t>
  </si>
  <si>
    <t xml:space="preserve">Inicio del flujo — lunes de la semana del anticipo de equipos</t>
  </si>
  <si>
    <t xml:space="preserve">Desembolsos de los primeros 12 meses (ver FC_PAGOS_SEMANALES)</t>
  </si>
  <si>
    <t xml:space="preserve">Lectura: el desembolso no coincide con la inversión en activos porque también financia la operación en pérdida durante la maduración de la red y el colchón de caja mínimo de la política (FC_SUPUESTOS §5); cuando la red ya genera caja, una parte de la inversión posterior se paga con ella.</t>
  </si>
  <si>
    <t xml:space="preserve">2. CALENDARIO MENSUAL DE DESEMBOLSOS Y DESTINO DE CADA APORTE</t>
  </si>
  <si>
    <t xml:space="preserve">Hito del mes</t>
  </si>
  <si>
    <t xml:space="preserve">Pagos de operación</t>
  </si>
  <si>
    <t xml:space="preserve">ISLR pagado</t>
  </si>
  <si>
    <t xml:space="preserve">Inversión — planta y red</t>
  </si>
  <si>
    <t xml:space="preserve">Inversión — PDV del piloto</t>
  </si>
  <si>
    <t xml:space="preserve">Inversión — flagship</t>
  </si>
  <si>
    <t xml:space="preserve">SALIDAS TOTALES</t>
  </si>
  <si>
    <t xml:space="preserve">Flujo de caja libre</t>
  </si>
  <si>
    <t xml:space="preserve">Saldo inicial</t>
  </si>
  <si>
    <t xml:space="preserve">DESEMBOLSO DEL MES</t>
  </si>
  <si>
    <t xml:space="preserve">Desembolso acumulado</t>
  </si>
  <si>
    <t xml:space="preserve">Saldo de caja final</t>
  </si>
  <si>
    <t xml:space="preserve">¿Qué paga este desembolso?</t>
  </si>
  <si>
    <t xml:space="preserve">Cómo leer la tabla: «Salidas totales» suma los pagos de operación, el ISLR y las tres líneas de inversión del mes. El desembolso no coincide con las salidas del mes porque los cobros de clientes financian una parte creciente y porque la política de caja mínima (FC_SUPUESTOS §5) obliga a mantener un colchón. La última columna nombra el destino dominante de cada aporte.</t>
  </si>
  <si>
    <t xml:space="preserve">FC_PAGOS_SEMANALES — PROGRAMACIÓN SEMANAL DE PAGOS DEL PRIMER AÑO DEL PROYECTO APROBADO</t>
  </si>
  <si>
    <t xml:space="preserve">52 semanas desde la semana del pago del anticipo de equipos (FC_SUPUESTOS!C14). Cada concepto del flujo mensual se reparte en las semanas de su mes según su regla de pago (FC_SUPUESTOS §9); la suma de las semanas reproduce exactamente cada mes de FC_FLUJO_CAJA. Negro = fórmula · verde = vínculo · ninguna celda editable en esta hoja.</t>
  </si>
  <si>
    <t xml:space="preserve">Inicio: lunes de la semana del anticipo de equipos</t>
  </si>
  <si>
    <t xml:space="preserve">Total de pagos programados en las 52 semanas</t>
  </si>
  <si>
    <t xml:space="preserve">Fin: domingo de la semana 52</t>
  </si>
  <si>
    <t xml:space="preserve">· Inversión: planta y 10 PDV</t>
  </si>
  <si>
    <t xml:space="preserve">Desembolsos de JHS / socios en las 52 semanas</t>
  </si>
  <si>
    <t xml:space="preserve">· Operación e impuestos</t>
  </si>
  <si>
    <t xml:space="preserve">Cobros de clientes en las 52 semanas</t>
  </si>
  <si>
    <t xml:space="preserve">Semanas con saldo de caja negativo (debe ser 0)</t>
  </si>
  <si>
    <t xml:space="preserve">Del (lunes) →</t>
  </si>
  <si>
    <t xml:space="preserve">Al (domingo) →</t>
  </si>
  <si>
    <t xml:space="preserve">Mes calendario →</t>
  </si>
  <si>
    <t xml:space="preserve">Mes del flujo →</t>
  </si>
  <si>
    <t xml:space="preserve">Semana del mes</t>
  </si>
  <si>
    <t xml:space="preserve">Semanas del mes</t>
  </si>
  <si>
    <t xml:space="preserve">Beneficiario</t>
  </si>
  <si>
    <t xml:space="preserve">Total 52 semanas</t>
  </si>
  <si>
    <t xml:space="preserve">A. COBROS DE CLIENTES</t>
  </si>
  <si>
    <t xml:space="preserve">I-01</t>
  </si>
  <si>
    <t xml:space="preserve">Cobros de clientes (ventas netas de IVA)</t>
  </si>
  <si>
    <t xml:space="preserve">Clientes: efectivo, tarjetas y delivery</t>
  </si>
  <si>
    <t xml:space="preserve">B. PAGOS DE OPERACIÓN</t>
  </si>
  <si>
    <t xml:space="preserve">O-01</t>
  </si>
  <si>
    <t xml:space="preserve">Insumos — ave a precio de transferencia y materias primas de las fichas técnicas</t>
  </si>
  <si>
    <t xml:space="preserve">El Dorado (ave intercompañía) y proveedores de materias primas</t>
  </si>
  <si>
    <t xml:space="preserve">O-02</t>
  </si>
  <si>
    <t xml:space="preserve">Ajuste de capital de trabajo: inventario en PDV y crédito de proveedores</t>
  </si>
  <si>
    <t xml:space="preserve">Proveedores — efecto de plazo e inventario</t>
  </si>
  <si>
    <t xml:space="preserve">O-03</t>
  </si>
  <si>
    <t xml:space="preserve">Planta — nómina cargada, renta de nave, servicios, mantenimiento y seguros</t>
  </si>
  <si>
    <t xml:space="preserve">Nómina de planta · arrendador de la nave · servicios</t>
  </si>
  <si>
    <t xml:space="preserve">O-04</t>
  </si>
  <si>
    <t xml:space="preserve">Proveedores de planta</t>
  </si>
  <si>
    <t xml:space="preserve">O-05</t>
  </si>
  <si>
    <t xml:space="preserve">Logística de distribución planta → PDV</t>
  </si>
  <si>
    <t xml:space="preserve">Transportista refrigerado tercerizado</t>
  </si>
  <si>
    <t xml:space="preserve">O-06</t>
  </si>
  <si>
    <t xml:space="preserve">Arrendadores de los locales</t>
  </si>
  <si>
    <t xml:space="preserve">O-07</t>
  </si>
  <si>
    <t xml:space="preserve">Nómina de tiendas</t>
  </si>
  <si>
    <t xml:space="preserve">O-08</t>
  </si>
  <si>
    <t xml:space="preserve">Gastos variables de operación (servicios, mantenimiento, IGTF, medios de pago)</t>
  </si>
  <si>
    <t xml:space="preserve">Servicios públicos, bancos, mantenimiento</t>
  </si>
  <si>
    <t xml:space="preserve">O-09</t>
  </si>
  <si>
    <t xml:space="preserve">Overhead corporativo (estructura, supervisión y tecnología recurrente)</t>
  </si>
  <si>
    <t xml:space="preserve">Nómina corporativa y proveedores de tecnología</t>
  </si>
  <si>
    <t xml:space="preserve">SUBTOTAL — PAGOS DE OPERACIÓN</t>
  </si>
  <si>
    <t xml:space="preserve">C. IMPUESTOS</t>
  </si>
  <si>
    <t xml:space="preserve">T-01</t>
  </si>
  <si>
    <t xml:space="preserve">ISLR pagado (e IVA, si se activa su efecto de caja)</t>
  </si>
  <si>
    <t xml:space="preserve">D. INVERSIÓN — CENTRO DE PRODUCCIÓN (PLANTA FASE 1)</t>
  </si>
  <si>
    <t xml:space="preserve">P-01</t>
  </si>
  <si>
    <t xml:space="preserve">Anticipo de equipos importados de planta</t>
  </si>
  <si>
    <t xml:space="preserve">Fabricantes de equipos de planta</t>
  </si>
  <si>
    <t xml:space="preserve">P-02</t>
  </si>
  <si>
    <t xml:space="preserve">Saldo de equipos de planta contra conocimiento de embarque</t>
  </si>
  <si>
    <t xml:space="preserve">P-03</t>
  </si>
  <si>
    <t xml:space="preserve">Forwarder y aseguradora</t>
  </si>
  <si>
    <t xml:space="preserve">P-04</t>
  </si>
  <si>
    <t xml:space="preserve">Arancel, tributos y nacionalización — equipos de planta</t>
  </si>
  <si>
    <t xml:space="preserve">Agente aduanal y aduana (SENIAT)</t>
  </si>
  <si>
    <t xml:space="preserve">P-05</t>
  </si>
  <si>
    <t xml:space="preserve">Equipos, mobiliario y servicios de compra local de planta</t>
  </si>
  <si>
    <t xml:space="preserve">Proveedores locales (cavas, mesas, sierra, supervisión)</t>
  </si>
  <si>
    <t xml:space="preserve">P-06</t>
  </si>
  <si>
    <t xml:space="preserve">Instalación, montaje y puesta en marcha de la línea</t>
  </si>
  <si>
    <t xml:space="preserve">Contratista de montaje</t>
  </si>
  <si>
    <t xml:space="preserve">P-07</t>
  </si>
  <si>
    <t xml:space="preserve">Adecuación de la nave (obra menor 200 m²)</t>
  </si>
  <si>
    <t xml:space="preserve">Contratista de obra</t>
  </si>
  <si>
    <t xml:space="preserve">P-08</t>
  </si>
  <si>
    <t xml:space="preserve">Preoperativos de planta (permisos, registros, corridas de prueba)</t>
  </si>
  <si>
    <t xml:space="preserve">SACS, INSAI, laboratorio y gestores</t>
  </si>
  <si>
    <t xml:space="preserve">P-09</t>
  </si>
  <si>
    <t xml:space="preserve">Capital de trabajo de planta — inventario inicial de ave</t>
  </si>
  <si>
    <t xml:space="preserve">El Dorado (ave intercompañía)</t>
  </si>
  <si>
    <t xml:space="preserve">P-10</t>
  </si>
  <si>
    <t xml:space="preserve">Contingencia de planta y red</t>
  </si>
  <si>
    <t xml:space="preserve">Reserva de contingencia</t>
  </si>
  <si>
    <t xml:space="preserve">SUBTOTAL — INVERSIÓN EN PLANTA</t>
  </si>
  <si>
    <t xml:space="preserve">E. INVERSIÓN — LOS 10 PUNTOS DE VENTA DEL PILOTO</t>
  </si>
  <si>
    <t xml:space="preserve">V-01</t>
  </si>
  <si>
    <t xml:space="preserve">Anticipo de equipos importados de PDV (lote único)</t>
  </si>
  <si>
    <t xml:space="preserve">RBA Equipment (Miami) y fabricantes chinos</t>
  </si>
  <si>
    <t xml:space="preserve">V-02</t>
  </si>
  <si>
    <t xml:space="preserve">Saldo de equipos de PDV contra conocimiento de embarque</t>
  </si>
  <si>
    <t xml:space="preserve">RBA Equipment y fabricantes chinos</t>
  </si>
  <si>
    <t xml:space="preserve">V-03</t>
  </si>
  <si>
    <t xml:space="preserve">V-04</t>
  </si>
  <si>
    <t xml:space="preserve">Arancel, tributos y nacionalización — equipos de PDV</t>
  </si>
  <si>
    <t xml:space="preserve">V-05</t>
  </si>
  <si>
    <t xml:space="preserve">Equipo local a medida (grupo A) — anticipo al ordenar</t>
  </si>
  <si>
    <t xml:space="preserve">Fabricantes locales: cavas, campanas, inox, avisos, A/C, generadores</t>
  </si>
  <si>
    <t xml:space="preserve">V-06</t>
  </si>
  <si>
    <t xml:space="preserve">Equipo local a medida (grupo A) — saldo contra entrega en obra</t>
  </si>
  <si>
    <t xml:space="preserve">V-07</t>
  </si>
  <si>
    <t xml:space="preserve">Equipo local estándar (grupo B) — POS, cómputo, menaje, mobiliario, exhibidoras, CCTV</t>
  </si>
  <si>
    <t xml:space="preserve">Proveedores locales por tienda</t>
  </si>
  <si>
    <t xml:space="preserve">V-08</t>
  </si>
  <si>
    <t xml:space="preserve">Obra civil y adecuación de los locales</t>
  </si>
  <si>
    <t xml:space="preserve">Contratista de obra de PDV</t>
  </si>
  <si>
    <t xml:space="preserve">V-09</t>
  </si>
  <si>
    <t xml:space="preserve">Preoperativos de tienda (permisos, entrenamiento, mercadeo de apertura)</t>
  </si>
  <si>
    <t xml:space="preserve">Alcaldías, SACS, bomberos y agencias</t>
  </si>
  <si>
    <t xml:space="preserve">V-10</t>
  </si>
  <si>
    <t xml:space="preserve">Contingencia de PDV</t>
  </si>
  <si>
    <t xml:space="preserve">V-11</t>
  </si>
  <si>
    <t xml:space="preserve">Depósitos en garantía de arriendo</t>
  </si>
  <si>
    <t xml:space="preserve">V-12</t>
  </si>
  <si>
    <t xml:space="preserve">Renta anticipada de los contratos</t>
  </si>
  <si>
    <t xml:space="preserve">V-13</t>
  </si>
  <si>
    <t xml:space="preserve">Fondo tecnológico central (POS central, web, app, nube, BI)</t>
  </si>
  <si>
    <t xml:space="preserve">Proveedores de tecnología</t>
  </si>
  <si>
    <t xml:space="preserve">SUBTOTAL — INVERSIÓN EN PDV</t>
  </si>
  <si>
    <t xml:space="preserve">F. FLAGSHIP — FUERA DEL ALCANCE APROBADO (en cero salvo que se active FC_SUPUESTOS!C12)</t>
  </si>
  <si>
    <t xml:space="preserve">F-01</t>
  </si>
  <si>
    <t xml:space="preserve">Flagship — inversión y operación</t>
  </si>
  <si>
    <t xml:space="preserve">G. RESUMEN SEMANAL DE TESORERÍA</t>
  </si>
  <si>
    <t xml:space="preserve">TOTAL PAGOS DE LA SEMANA</t>
  </si>
  <si>
    <t xml:space="preserve">COBROS DE LA SEMANA</t>
  </si>
  <si>
    <t xml:space="preserve">FLUJO NETO DE LA SEMANA (cobros − pagos)</t>
  </si>
  <si>
    <t xml:space="preserve">D-01</t>
  </si>
  <si>
    <t xml:space="preserve">DESEMBOLSO DE JHS / SOCIOS (monto del mes, en la semana de su regla)</t>
  </si>
  <si>
    <t xml:space="preserve">JHS / socios → cuenta del proyecto</t>
  </si>
  <si>
    <t xml:space="preserve">Saldo de caja al inicio de la semana</t>
  </si>
  <si>
    <t xml:space="preserve">SALDO DE CAJA AL CIERRE DE LA SEMANA</t>
  </si>
  <si>
    <t xml:space="preserve">Control — el saldo semanal nunca es negativo</t>
  </si>
  <si>
    <t xml:space="preserve">H. CUADRE MENSUAL CONTRA FC_FLUJO_CAJA — la suma de las semanas de cada mes debe reproducir el mes del flujo</t>
  </si>
  <si>
    <t xml:space="preserve">Meses completos</t>
  </si>
  <si>
    <t xml:space="preserve">Semanas del mes (calendario del programa)</t>
  </si>
  <si>
    <t xml:space="preserve">Semanas del mes dentro de las 52 semanas</t>
  </si>
  <si>
    <t xml:space="preserve">Cobros — FC_FLUJO_CAJA</t>
  </si>
  <si>
    <t xml:space="preserve">Cobros — suma semanal</t>
  </si>
  <si>
    <t xml:space="preserve">Pagos totales — FC_FLUJO_CAJA (operación + impuestos + inversión)</t>
  </si>
  <si>
    <t xml:space="preserve">Pagos totales — suma semanal</t>
  </si>
  <si>
    <t xml:space="preserve">Desembolsos — FC_FLUJO_CAJA</t>
  </si>
  <si>
    <t xml:space="preserve">Desembolsos — suma semanal</t>
  </si>
  <si>
    <t xml:space="preserve">Saldo de caja al cierre del mes — FC_FLUJO_CAJA</t>
  </si>
  <si>
    <t xml:space="preserve">Saldo de caja al cierre de la última semana del mes</t>
  </si>
  <si>
    <t xml:space="preserve">Estado del cuadre</t>
  </si>
  <si>
    <t xml:space="preserve">CÓMO SE CONSTRUYE Y CÓMO SE USA</t>
  </si>
  <si>
    <t xml:space="preserve">• La semana 1 es la semana del pago del anticipo de los equipos de planta y de PDV. Esa fecha se edita en FC_SUPUESTOS!C14; al moverla se reprograman el flujo mensual (mes calendario), el Gantt y esta hoja.</t>
  </si>
  <si>
    <t xml:space="preserve">• Cada semana pertenece al mes calendario de su lunes. El monto mensual de cada concepto sale de FC_FLUJO_CAJA y se distribuye según su regla de pago (FC_SUPUESTOS §9): prorrata, quincenal, semana específica o última semana.</t>
  </si>
  <si>
    <t xml:space="preserve">• El desembolso del mes se programa en la semana de su regla (hoy la primera): es la fecha en que el aporte debe estar en la cuenta del proyecto para cubrir los pagos del mes.</t>
  </si>
  <si>
    <t xml:space="preserve">• El cuadre de la sección H demuestra que la suma de las semanas reproduce exactamente cobros, pagos y desembolsos de cada mes del flujo, y que el saldo de la última semana coincide con el saldo mensual.</t>
  </si>
  <si>
    <t xml:space="preserve">• Si algún saldo semanal fuera negativo, la solución es adelantar la semana del desembolso de ese mes (regla D-01) o fraccionar el aporte; el control de la fila de saldo lo señala.</t>
  </si>
  <si>
    <t xml:space="preserve">FC_CHEQUEO — VERIFICACIÓN DEL FLUJO DE CAJA, CUENTA POR CUENTA Y VALOR POR VALOR</t>
  </si>
  <si>
    <t xml:space="preserve">Confronta cada rubro del flujo de caja contra la celda del modelo v6.3 de la que proviene. Toda diferencia debe ser cero; las que no lo son están declaradas y explicadas al final de la hoja.</t>
  </si>
  <si>
    <t xml:space="preserve">1. CUADRE DE LA INVERSIÓN — RUBRO POR RUBRO CONTRA LAS HOJAS DE CAPEX DEL MODELO</t>
  </si>
  <si>
    <t xml:space="preserve">Cuenta del flujo</t>
  </si>
  <si>
    <t xml:space="preserve">Celda / origen en el modelo</t>
  </si>
  <si>
    <t xml:space="preserve">Valor en la fuente</t>
  </si>
  <si>
    <t xml:space="preserve">Acumulado en el flujo</t>
  </si>
  <si>
    <t xml:space="preserve">Diferencia</t>
  </si>
  <si>
    <t xml:space="preserve">Equipos importados de planta (FOB + flete + nacionalización)</t>
  </si>
  <si>
    <t xml:space="preserve">SUP_CAPEX_PLANTA — origen China / Importado / Miami</t>
  </si>
  <si>
    <t xml:space="preserve">El flujo lo separa en anticipo a la orden, saldo contra embarque, flete y nacionalización; la suma reproduce el valor nacionalizado.</t>
  </si>
  <si>
    <t xml:space="preserve">Equipos y servicios locales de planta</t>
  </si>
  <si>
    <t xml:space="preserve">SUP_CAPEX_PLANTA — origen Local / Servicio</t>
  </si>
  <si>
    <t xml:space="preserve">SUP_CAPEX_PLANTA!H29</t>
  </si>
  <si>
    <t xml:space="preserve">Adecuación de nave (obra menor 200 m²)</t>
  </si>
  <si>
    <t xml:space="preserve">SUP_CAPEX_PLANTA!H33</t>
  </si>
  <si>
    <t xml:space="preserve">Preoperativos de planta</t>
  </si>
  <si>
    <t xml:space="preserve">SUP_CAPEX_PLANTA!H34</t>
  </si>
  <si>
    <t xml:space="preserve">Capital de trabajo de planta (inventario 21 días)</t>
  </si>
  <si>
    <t xml:space="preserve">SUP_CAPEX_PLANTA!H35</t>
  </si>
  <si>
    <t xml:space="preserve">SUP_CAPEX_PLANTA!H37</t>
  </si>
  <si>
    <t xml:space="preserve">CAPEX TOTAL DE PLANTA Y RED</t>
  </si>
  <si>
    <t xml:space="preserve">SUP_CAPEX_PLANTA!H38</t>
  </si>
  <si>
    <t xml:space="preserve">Equipos importados de los 10 PDV</t>
  </si>
  <si>
    <t xml:space="preserve">SUP_CAPEX_VENTANA / SUP_CAPEX_DINEIN</t>
  </si>
  <si>
    <t xml:space="preserve">Equipos, mobiliario, POS y menaje local de los PDV</t>
  </si>
  <si>
    <t xml:space="preserve">Adecuación y obra civil de los 10 locales</t>
  </si>
  <si>
    <t xml:space="preserve">SUP_CAPEX_VENTANA!H38 · SUP_CAPEX_DINEIN!H39</t>
  </si>
  <si>
    <t xml:space="preserve">Preoperativos de tienda</t>
  </si>
  <si>
    <t xml:space="preserve">SUP_CAPEX_VENTANA!H39 · SUP_CAPEX_DINEIN!H40</t>
  </si>
  <si>
    <t xml:space="preserve">Contingencia de los PDV</t>
  </si>
  <si>
    <t xml:space="preserve">SUP_CAPEX_VENTANA!H41 · SUP_CAPEX_DINEIN!H42</t>
  </si>
  <si>
    <t xml:space="preserve">CAPEX TOTAL DE LOS 10 PDV (7 ventana + 3 dine-in)</t>
  </si>
  <si>
    <t xml:space="preserve">SUP_CAPEX_VENTANA!H42 × 7 + SUP_CAPEX_DINEIN!H43 × 3</t>
  </si>
  <si>
    <t xml:space="preserve">SUP_OPEX!D20 · E20 × meses de depósito</t>
  </si>
  <si>
    <t xml:space="preserve">Renta anticipada al inicio de los contratos</t>
  </si>
  <si>
    <t xml:space="preserve">SUP_OPEX!D20 · E20 × meses anticipados</t>
  </si>
  <si>
    <t xml:space="preserve">SUP_TECNOLOGIA!C18</t>
  </si>
  <si>
    <t xml:space="preserve">CAPEX total del flagship (equipamiento + adecuación interior)</t>
  </si>
  <si>
    <t xml:space="preserve">SUP_CAPEX_FLAGSHIP!H55 × switch de la capa</t>
  </si>
  <si>
    <t xml:space="preserve">Depósito y renta anticipada del flagship</t>
  </si>
  <si>
    <t xml:space="preserve">SUP_OPEX!F20 × (depósito + renta anticipada)</t>
  </si>
  <si>
    <t xml:space="preserve">Capital de trabajo del flagship</t>
  </si>
  <si>
    <t xml:space="preserve">SUP_CONTROL!C19 × SUP_OPEX!F23</t>
  </si>
  <si>
    <t xml:space="preserve">INVERSIÓN TOTAL DEL PROYECTO EN EL FLUJO</t>
  </si>
  <si>
    <t xml:space="preserve">Suma de las tres capas de inversión</t>
  </si>
  <si>
    <t xml:space="preserve">2. CUADRE DE LA OPERACIÓN — CADA CUENTA CONTRA SU CELDA CANÓNICA (identidades exactas)</t>
  </si>
  <si>
    <t xml:space="preserve">Ingreso neto por pollo equivalente — piloto</t>
  </si>
  <si>
    <t xml:space="preserve">SUP_CONTROL!C26</t>
  </si>
  <si>
    <t xml:space="preserve">Demuestra que el flujo usa exactamente el ingreso por pollo del modelo (SUP_PRECIOS ÷ SUP_VOLUMEN), sin cifra propia.</t>
  </si>
  <si>
    <t xml:space="preserve">Ingreso neto por pollo equivalente — flagship</t>
  </si>
  <si>
    <t xml:space="preserve">Costo de insumos del piloto (fichas técnicas del Chef)</t>
  </si>
  <si>
    <t xml:space="preserve">(SUP_CONTROL!C26 − C27) × pollos del piloto y del flagship</t>
  </si>
  <si>
    <t xml:space="preserve">Personal y costos fijos de planta (ingreso escalonado + contratación)</t>
  </si>
  <si>
    <t xml:space="preserve">SUP_PLANTA_OPEX §1–4 × meses activos de cada componente (FC_SUPUESTOS §11-B)</t>
  </si>
  <si>
    <t xml:space="preserve">CIF variable de planta</t>
  </si>
  <si>
    <t xml:space="preserve">SUP_PLANTA_OPEX!C30 × kilos procesados</t>
  </si>
  <si>
    <t xml:space="preserve">SUP_PRODUCCION!C79 × kilos distribuidos</t>
  </si>
  <si>
    <t xml:space="preserve">Nómina, renta y HCM de los PDV + entrenamiento y contratación previos a la apertura</t>
  </si>
  <si>
    <t xml:space="preserve">SUP_OPEX!D23 · E23 × tiendas-mes + nómina de entrenamiento + contratación</t>
  </si>
  <si>
    <t xml:space="preserve">Nómina, renta y HCM del flagship</t>
  </si>
  <si>
    <t xml:space="preserve">SUP_OPEX!F23 × meses de flagship abierto</t>
  </si>
  <si>
    <t xml:space="preserve">SUP_OPEX!C30 × ingresos netos</t>
  </si>
  <si>
    <t xml:space="preserve">Comisión del canal delivery del flagship</t>
  </si>
  <si>
    <t xml:space="preserve">SUP_OPEX!C31 × ingresos del flagship</t>
  </si>
  <si>
    <t xml:space="preserve">Kilos de pollo procesados</t>
  </si>
  <si>
    <t xml:space="preserve">SUP_COSTOS!C6 × pollos vendidos</t>
  </si>
  <si>
    <t xml:space="preserve">Aperturas del piloto en el horizonte</t>
  </si>
  <si>
    <t xml:space="preserve">SUP_VOLUMEN!C43 + C44</t>
  </si>
  <si>
    <t xml:space="preserve">Confirma que el desplazamiento por lead time no pierde ninguna apertura dentro del horizonte del flujo.</t>
  </si>
  <si>
    <t xml:space="preserve">3. CUADRE DEL FLUJO DE CAJA (identidades contables)</t>
  </si>
  <si>
    <t xml:space="preserve">Saldo de caja final = saldo inicial + flujo libre + desembolsos</t>
  </si>
  <si>
    <t xml:space="preserve">Identidad de tesorería</t>
  </si>
  <si>
    <t xml:space="preserve">Cobros = ingresos − saldo final de cuentas por cobrar</t>
  </si>
  <si>
    <t xml:space="preserve">Identidad de cartera</t>
  </si>
  <si>
    <t xml:space="preserve">Pagos de operación = gastos + inventario final − proveedores final</t>
  </si>
  <si>
    <t xml:space="preserve">Identidad de capital de trabajo</t>
  </si>
  <si>
    <t xml:space="preserve">Flujo de caja libre = operativo − inversión</t>
  </si>
  <si>
    <t xml:space="preserve">Identidad del flujo</t>
  </si>
  <si>
    <t xml:space="preserve">ISLR pagado + ISLR por pagar al cierre = ISLR devengado</t>
  </si>
  <si>
    <t xml:space="preserve">Identidad fiscal</t>
  </si>
  <si>
    <t xml:space="preserve">Meses en que el saldo de caja cae por debajo del mínimo de la política</t>
  </si>
  <si>
    <t xml:space="preserve">Debe ser 0: la regla de desembolso está dimensionada para sostener el saldo mínimo en los 60 meses.</t>
  </si>
  <si>
    <t xml:space="preserve">Meses en que la utilización de la planta supera el 100%</t>
  </si>
  <si>
    <t xml:space="preserve">Hallazgo ya documentado en SUP_PRODUCCION!D34: JHS tiene un segundo tumbler en inventario que el modelo mantiene fuera de forma conservadora.</t>
  </si>
  <si>
    <t xml:space="preserve">Rubros de inversión con diferencia distinta de cero</t>
  </si>
  <si>
    <t xml:space="preserve">Recorre las verificaciones de las secciones 1 a 3 de esta hoja.</t>
  </si>
  <si>
    <t xml:space="preserve">4. COBERTURA — CADA LÍNEA DEL MODELO ESTÁ EN EL FLUJO DE CAJA</t>
  </si>
  <si>
    <t xml:space="preserve">Línea del modelo (CAPA1_PILOTO / CAPA2_FLAGSHIP)</t>
  </si>
  <si>
    <t xml:space="preserve">Dónde vive en FC_FLUJO_CAJA</t>
  </si>
  <si>
    <t xml:space="preserve">Pollos vendidos y kilos de pollo</t>
  </si>
  <si>
    <t xml:space="preserve">FC_CRONOGRAMA §E, filas 57–62</t>
  </si>
  <si>
    <t xml:space="preserve">✓</t>
  </si>
  <si>
    <t xml:space="preserve">Ingresos netos del piloto</t>
  </si>
  <si>
    <t xml:space="preserve">Sección A — Ingresos netos de IVA, piloto</t>
  </si>
  <si>
    <t xml:space="preserve">Ingreso del flagship y del menú ampliado</t>
  </si>
  <si>
    <t xml:space="preserve">Sección A — dos líneas separadas</t>
  </si>
  <si>
    <t xml:space="preserve">Margen de contribución (fichas técnicas)</t>
  </si>
  <si>
    <t xml:space="preserve">Sección B — Costo de insumos (ingreso menos margen)</t>
  </si>
  <si>
    <t xml:space="preserve">Gastos variables (% del ingreso)</t>
  </si>
  <si>
    <t xml:space="preserve">Sección B — Gastos variables de operación</t>
  </si>
  <si>
    <t xml:space="preserve">Sección B — línea propia</t>
  </si>
  <si>
    <t xml:space="preserve">Gastos fijos de PDV (nómina cargada, renta, HCM)</t>
  </si>
  <si>
    <t xml:space="preserve">Sección B — piloto y flagship por separado</t>
  </si>
  <si>
    <t xml:space="preserve">Overhead corporativo asignado</t>
  </si>
  <si>
    <t xml:space="preserve">Sección B — recalculado sobre la red de este flujo</t>
  </si>
  <si>
    <t xml:space="preserve">Logística de distribución (kg × tarifa)</t>
  </si>
  <si>
    <t xml:space="preserve">Sección B — línea propia dentro del costo de ventas</t>
  </si>
  <si>
    <t xml:space="preserve">Costo de transformación de planta (kg × tarifa)</t>
  </si>
  <si>
    <t xml:space="preserve">Sección B — desdoblado en costo fijo y CIF variable</t>
  </si>
  <si>
    <t xml:space="preserve">EBITDA</t>
  </si>
  <si>
    <t xml:space="preserve">Sección B — EBITDA del proyecto</t>
  </si>
  <si>
    <t xml:space="preserve">Depreciación lineal</t>
  </si>
  <si>
    <t xml:space="preserve">Sección B — informativa, base del ISLR</t>
  </si>
  <si>
    <t xml:space="preserve">EBIT e ISLR sobre EBIT positivo</t>
  </si>
  <si>
    <t xml:space="preserve">Sección B — devengado y pagado con desfase</t>
  </si>
  <si>
    <t xml:space="preserve">CAPEX de planta (meses 1–3 en el modelo base)</t>
  </si>
  <si>
    <t xml:space="preserve">Sección C — repartido por hito de importación y montaje</t>
  </si>
  <si>
    <t xml:space="preserve">Fondo tecnológico (SUP_TECNOLOGIA)</t>
  </si>
  <si>
    <t xml:space="preserve">Sección D — Fondo tecnológico central</t>
  </si>
  <si>
    <t xml:space="preserve">CAPEX de tiendas al abrir</t>
  </si>
  <si>
    <t xml:space="preserve">Sección D — desdoblado en anticipo, embarque, aduana, local, obra</t>
  </si>
  <si>
    <t xml:space="preserve">Capital de trabajo inicial de la red</t>
  </si>
  <si>
    <t xml:space="preserve">Sección F — política de saldo mínimo de caja</t>
  </si>
  <si>
    <t xml:space="preserve">Depósito en garantía (3 meses, congelado)</t>
  </si>
  <si>
    <t xml:space="preserve">Sección D y E — línea propia</t>
  </si>
  <si>
    <t xml:space="preserve">Renta anticipada</t>
  </si>
  <si>
    <t xml:space="preserve">CAPEX del flagship (3 meses previos en el modelo base)</t>
  </si>
  <si>
    <t xml:space="preserve">Sección E — repartido por hito de importación y obra</t>
  </si>
  <si>
    <t xml:space="preserve">Capital de trabajo del flagship (SUP_CONTROL!C19)</t>
  </si>
  <si>
    <t xml:space="preserve">Sección E — línea propia</t>
  </si>
  <si>
    <t xml:space="preserve">FCF operativo y FCF total</t>
  </si>
  <si>
    <t xml:space="preserve">Sección F — flujo operativo y flujo de caja libre</t>
  </si>
  <si>
    <t xml:space="preserve">Flujo descontado, VPN, TIR y payback</t>
  </si>
  <si>
    <t xml:space="preserve">Sección F y FC_DESEMBOLSOS §1</t>
  </si>
  <si>
    <t xml:space="preserve">5. DIFERENCIAS DELIBERADAS RESPECTO A CAPA1_PILOTO — Y POR QUÉ</t>
  </si>
  <si>
    <t xml:space="preserve">Tratamiento en CAPA1_PILOTO</t>
  </si>
  <si>
    <t xml:space="preserve">Tratamiento en este flujo de caja</t>
  </si>
  <si>
    <t xml:space="preserve">Razón</t>
  </si>
  <si>
    <t xml:space="preserve">Calendario de aperturas</t>
  </si>
  <si>
    <t xml:space="preserve">Primera apertura en el mes 4</t>
  </si>
  <si>
    <t xml:space="preserve">Desplazado por el lead time de importación</t>
  </si>
  <si>
    <t xml:space="preserve">Un horno espiral, un IQF y un tumbler no se fabrican, embarcan, nacionalizan y montan en tres meses. El flujo hace explícito ese plazo y lo deja editable.</t>
  </si>
  <si>
    <t xml:space="preserve">Perfil de pago del CAPEX</t>
  </si>
  <si>
    <t xml:space="preserve">CAPEX de planta repartido en partes iguales en los meses 1–3; el de tienda, tres meses antes de abrir</t>
  </si>
  <si>
    <t xml:space="preserve">Cada rubro se paga en su hito real: anticipo a la orden, saldo contra embarque, flete, nacionalización, obra y montaje</t>
  </si>
  <si>
    <t xml:space="preserve">Es la diferencia entre un modelo de rentabilidad y un flujo de tesorería: cambia el momento del desembolso, no el monto total.</t>
  </si>
  <si>
    <t xml:space="preserve">Costo fijo de planta antes de la primera venta</t>
  </si>
  <si>
    <t xml:space="preserve">No se reconoce: la tarifa por kilo solo se cobra cuando hay kilos</t>
  </si>
  <si>
    <t xml:space="preserve">Se reconoce desde que arranca la nómina de planta (editable, hoy un mes antes del arranque productivo)</t>
  </si>
  <si>
    <t xml:space="preserve">El ingeniero de planta, el equipo de calidad, los operarios y la renta de la nave son caja real desde antes de la primera venta.</t>
  </si>
  <si>
    <t xml:space="preserve">Capital de trabajo operativo</t>
  </si>
  <si>
    <t xml:space="preserve">No se modela: solo el colchón de tres meses de gasto fijo</t>
  </si>
  <si>
    <t xml:space="preserve">Inventario en PDV, cartera de medios de pago y crédito de proveedores, cada uno con sus días editables</t>
  </si>
  <si>
    <t xml:space="preserve">El capital de trabajo del canal es una necesidad de caja recurrente que crece con la red; el colchón de tres meses no la sustituye.</t>
  </si>
  <si>
    <t xml:space="preserve">Colchón de caja de tres meses</t>
  </si>
  <si>
    <t xml:space="preserve">Se descuenta del flujo como si fuera una salida en el mes 1</t>
  </si>
  <si>
    <t xml:space="preserve">Se trata como política de saldo mínimo que dimensiona cada desembolso</t>
  </si>
  <si>
    <t xml:space="preserve">El colchón no se gasta: se mantiene en la cuenta. Tratarlo como salida subestima el VPN y no dice cuánto hay que aportar cada mes.</t>
  </si>
  <si>
    <t xml:space="preserve">Base de depreciación</t>
  </si>
  <si>
    <t xml:space="preserve">Deprecia todo el CAPEX, incluido el capital de trabajo de planta</t>
  </si>
  <si>
    <t xml:space="preserve">Excluye capital de trabajo, depósitos y renta anticipada</t>
  </si>
  <si>
    <t xml:space="preserve">El inventario y los depósitos no son activos depreciables. El efecto sobre el ISLR es menor y la diferencia queda declarada aquí.</t>
  </si>
  <si>
    <t xml:space="preserve">Momento de pago del ISLR</t>
  </si>
  <si>
    <t xml:space="preserve">Se descuenta en el mismo mes en que se devenga</t>
  </si>
  <si>
    <t xml:space="preserve">Se paga con el desfase editable de la sección 6 de FC_SUPUESTOS</t>
  </si>
  <si>
    <t xml:space="preserve">El impuesto se declara y se paga después de devengarse; en un flujo de tesorería el desfase importa.</t>
  </si>
  <si>
    <t xml:space="preserve">6. CUADRE DE LA PROGRAMACIÓN SEMANAL DE PAGOS CONTRA EL FLUJO MENSUAL (FC_PAGOS_SEMANALES)</t>
  </si>
  <si>
    <t xml:space="preserve">Verificación</t>
  </si>
  <si>
    <t xml:space="preserve">Flujo mensual</t>
  </si>
  <si>
    <t xml:space="preserve">Programación semanal</t>
  </si>
  <si>
    <t xml:space="preserve">Cobros de clientes — meses completos del programa</t>
  </si>
  <si>
    <t xml:space="preserve">Sección H de FC_PAGOS_SEMANALES</t>
  </si>
  <si>
    <t xml:space="preserve">Pagos totales (operación + impuestos + inversión) — meses completos</t>
  </si>
  <si>
    <t xml:space="preserve">Desembolsos de JHS / socios — meses completos</t>
  </si>
  <si>
    <t xml:space="preserve">Meses del programa que no cuadran con el flujo mensual</t>
  </si>
  <si>
    <t xml:space="preserve">Estado del cuadre, sección H</t>
  </si>
  <si>
    <t xml:space="preserve">Cada mes completo debe reproducir cobros, pagos, desembolsos y saldo de cierre del flujo mensual.</t>
  </si>
  <si>
    <t xml:space="preserve">Semanas con saldo de caja negativo</t>
  </si>
  <si>
    <t xml:space="preserve">Control semanal de saldo</t>
  </si>
  <si>
    <t xml:space="preserve">El desembolso mensual, recibido en la semana de su regla, debe cubrir todos los pagos del mes sin saldos negativos intermedios.</t>
  </si>
  <si>
    <t xml:space="preserve">Equipo local de PDV: grupo A + grupo B = equipo local de las hojas de CAPEX</t>
  </si>
  <si>
    <t xml:space="preserve">FC_SUPUESTOS §10 y FC_FLUJO_CAJA D.1</t>
  </si>
  <si>
    <t xml:space="preserve">El anticipo y el saldo del grupo A, más el grupo B, reproducen exactamente el equipo local de las 10 tiendas.</t>
  </si>
  <si>
    <t xml:space="preserve">Estructura corporativa cargo por cargo (60 meses)</t>
  </si>
  <si>
    <t xml:space="preserve">FC_SUPUESTOS §11-A × meses activos de cada cargo</t>
  </si>
  <si>
    <t xml:space="preserve">Cada cargo, desde su mes de ingreso, más supervisión, tecnología, gastos generales y contratación.</t>
  </si>
  <si>
    <t xml:space="preserve">Los seis cargos del piso reproducen el piso corporativo del modelo</t>
  </si>
  <si>
    <t xml:space="preserve">SUP_OVERHEAD!C12</t>
  </si>
  <si>
    <t xml:space="preserve">Los componentes de planta reproducen el costo fijo de planta del modelo</t>
  </si>
  <si>
    <t xml:space="preserve">SUP_PLANTA_OPEX!C33</t>
  </si>
  <si>
    <t xml:space="preserve">TOTAL DE VERIFICACIONES FALLIDAS EN ESTA HOJA (debe ser 0)</t>
  </si>
  <si>
    <t xml:space="preserve">CAPA1_PILOTO — CAPA 1: PILOTO (MEZCLA EDITABLE) + PLANTA FASE 1</t>
  </si>
  <si>
    <t xml:space="preserve">Calendario de aperturas editable (azul). Evaluación a 36 meses; la operación continúa hasta el mes 120 para alimentar el consolidado. La planta se dimensiona para la cadena futura: su CAPEX no se recupera dentro del piloto por diseño.</t>
  </si>
  <si>
    <t xml:space="preserve">CALENDARIO DE APERTURAS (editable — debe sumar la mezcla de SUP_VOLUMEN §6)</t>
  </si>
  <si>
    <t xml:space="preserve">Aperturas VENTANA del mes (editable)</t>
  </si>
  <si>
    <t xml:space="preserve">Aperturas DINE-IN del mes (editable)</t>
  </si>
  <si>
    <t xml:space="preserve">Tiendas VENTANA acumuladas</t>
  </si>
  <si>
    <t xml:space="preserve">Tiendas DINE-IN acumuladas</t>
  </si>
  <si>
    <t xml:space="preserve">Control de mezcla</t>
  </si>
  <si>
    <t xml:space="preserve">Tiendas equivalentes VENTANA (maduración 70/85/100)</t>
  </si>
  <si>
    <t xml:space="preserve">Tiendas equivalentes DINE-IN</t>
  </si>
  <si>
    <t xml:space="preserve">OPERACIÓN</t>
  </si>
  <si>
    <t xml:space="preserve">Pollos vendidos</t>
  </si>
  <si>
    <t xml:space="preserve">Ingresos netos (USD)</t>
  </si>
  <si>
    <t xml:space="preserve">Kilos de pollo</t>
  </si>
  <si>
    <t xml:space="preserve">Margen de contribución (USD)</t>
  </si>
  <si>
    <t xml:space="preserve">Gastos fijos de PDV</t>
  </si>
  <si>
    <t xml:space="preserve">Overhead corporativo asignado (SUP_OVERHEAD)</t>
  </si>
  <si>
    <t xml:space="preserve">Logística de distribución (kg × tarifa efectiva)</t>
  </si>
  <si>
    <t xml:space="preserve">Costo de transformación de planta (kg × tarifa MOD+CIF)</t>
  </si>
  <si>
    <t xml:space="preserve">INVERSIÓN Y FLUJO</t>
  </si>
  <si>
    <t xml:space="preserve">CAPEX planta (meses 1–3) + fondo tecnológico (SUP_TECNOLOGIA)</t>
  </si>
  <si>
    <t xml:space="preserve">CAPEX de tiendas (al abrir)</t>
  </si>
  <si>
    <t xml:space="preserve">Capital de trabajo inicial (mes 1)</t>
  </si>
  <si>
    <t xml:space="preserve">CAPEX acumulado (planta + tiendas)</t>
  </si>
  <si>
    <t xml:space="preserve">Depreciación (lineal)</t>
  </si>
  <si>
    <t xml:space="preserve">EBIT</t>
  </si>
  <si>
    <t xml:space="preserve">ISLR (34% sobre EBIT positivo)</t>
  </si>
  <si>
    <t xml:space="preserve">FCF OPERATIVO (EBITDA − ISLR) → alimenta el waterfall</t>
  </si>
  <si>
    <t xml:space="preserve">FCF TOTAL (operativo − CAPEX − cap. de trabajo)</t>
  </si>
  <si>
    <t xml:space="preserve">FCF descontado</t>
  </si>
  <si>
    <t xml:space="preserve">FCF descontado acumulado</t>
  </si>
  <si>
    <t xml:space="preserve">INDICADORES DE LA CAPA 1</t>
  </si>
  <si>
    <t xml:space="preserve">Depósito (congelado) + renta anticipada — 6 meses al abrir cada tienda</t>
  </si>
  <si>
    <t xml:space="preserve">Inversión total 36 meses (USD)</t>
  </si>
  <si>
    <t xml:space="preserve">VPN a 36 meses (USD)</t>
  </si>
  <si>
    <t xml:space="preserve">TIR anual a 36 meses</t>
  </si>
  <si>
    <t xml:space="preserve">Payback (mes en que el FCF acumulado cruza a positivo)</t>
  </si>
  <si>
    <t xml:space="preserve">EBITDA del año 3 (meses 25–36, USD)</t>
  </si>
  <si>
    <t xml:space="preserve">VPN a 120 meses — informativo (USD)</t>
  </si>
  <si>
    <t xml:space="preserve">TIR anual a 120 meses — informativa</t>
  </si>
  <si>
    <t xml:space="preserve">Payback a 120 meses (mes)</t>
  </si>
  <si>
    <t xml:space="preserve">Payback DESCONTADO a 120 meses (mes)</t>
  </si>
  <si>
    <t xml:space="preserve">Nota metodológica: la planta Fase 1 queda dimensionada para la expansión (capa 3); su recuperación plena ocurre a nivel de proyecto consolidado, no dentro del piloto de 36 meses.</t>
  </si>
  <si>
    <t xml:space="preserve">Depósito en garantía (3 meses, congelado, no se recupera)</t>
  </si>
  <si>
    <t xml:space="preserve">Renta anticipada — ajuste de caja (+2m al abrir, -1m en mes+1, -1m en mes+2; neto = 3 meses prepagados)</t>
  </si>
  <si>
    <t xml:space="preserve">CAPA2_FLAGSHIP — CAPA 2: RESTAURANTE BANDERA 400 m² (MES DE APERTURA EDITABLE EN SUP_CONTROL)</t>
  </si>
  <si>
    <t xml:space="preserve">Simulación independiente del flagship. Enciéndalo/apáguelo en SUP_CONTROL (C12) y compare los indicadores del CONSOLIDADO para decidir su apertura con los números. Vende el DOBLE de una ventana + ingreso adicional de menú ampliado. CAPEX en los 3 meses previos a la apertura.</t>
  </si>
  <si>
    <t xml:space="preserve">Factor de maduración</t>
  </si>
  <si>
    <t xml:space="preserve">Pollos vendidos (DOBLE de ventana)</t>
  </si>
  <si>
    <t xml:space="preserve">Ingreso neto por venta de pollo (USD)</t>
  </si>
  <si>
    <t xml:space="preserve">Ingreso adicional — menú ampliado (combos infantiles, contornos, dispensador)</t>
  </si>
  <si>
    <t xml:space="preserve">INGRESO TOTAL</t>
  </si>
  <si>
    <t xml:space="preserve">Margen de contribución</t>
  </si>
  <si>
    <t xml:space="preserve">Gastos variables (incluye comisión de delivery)</t>
  </si>
  <si>
    <t xml:space="preserve">Gasto fijo del flagship</t>
  </si>
  <si>
    <t xml:space="preserve">EBITDA (neto de overhead corporativo asignado)</t>
  </si>
  <si>
    <t xml:space="preserve">Depósito (3m, congelado) + renta anticipada (3m) — 6 meses al abrir</t>
  </si>
  <si>
    <t xml:space="preserve">CAPEX (3 meses previos a la apertura)</t>
  </si>
  <si>
    <t xml:space="preserve">Capital de trabajo (mes previo a la apertura)</t>
  </si>
  <si>
    <t xml:space="preserve">CAPEX acumulado</t>
  </si>
  <si>
    <t xml:space="preserve">Depreciación</t>
  </si>
  <si>
    <t xml:space="preserve">ISLR</t>
  </si>
  <si>
    <t xml:space="preserve">FCF TOTAL</t>
  </si>
  <si>
    <t xml:space="preserve">INDICADORES DE LA CAPA 2 (unidad flagship vista sola)</t>
  </si>
  <si>
    <t xml:space="preserve">Renta anticipada — ajuste de caja (+2m al abrir, -1m en mes+1, -1m en mes+2)</t>
  </si>
  <si>
    <t xml:space="preserve">CAPEX + capital de trabajo del flagship (USD)</t>
  </si>
  <si>
    <t xml:space="preserve">Payback (mes)</t>
  </si>
  <si>
    <t xml:space="preserve">Payback DESCONTADO (mes)</t>
  </si>
  <si>
    <t xml:space="preserve">TIR anual a 120 meses</t>
  </si>
  <si>
    <t xml:space="preserve">EBITDA estabilizado/mes (promedio meses 13–24 tras apertura)</t>
  </si>
  <si>
    <t xml:space="preserve">Decisión con números: el impacto REAL de abrir o no el flagship se lee en CONSOLIDADO comparando VPN, TIR, inversión y payback con el switch C12 en 1 vs 0.</t>
  </si>
  <si>
    <t xml:space="preserve">SUP_C3_EXPANSION — SUPUESTOS DE LA EXPANSIÓN EN CASCADA (CAPA 3)</t>
  </si>
  <si>
    <t xml:space="preserve">Curva de acreditación de PDV nuevo (ramp-up), canibalización por densidad de la cadena (ramp-down), sensibilidad y mezcla editable de formatos de expansión.</t>
  </si>
  <si>
    <t xml:space="preserve">1. RAMP-UP — CURVA DE ACREDITACIÓN DE UN PDV NUEVO DE EXPANSIÓN (% de venta plena, editable)</t>
  </si>
  <si>
    <t xml:space="preserve">Mes 1 · Mes 2 · Mes 3 · Mes 4+</t>
  </si>
  <si>
    <t xml:space="preserve">Más lenta que la del piloto (70/85/100): los PDV de expansión entran a zonas nuevas sin el empuje de apertura de la marca.</t>
  </si>
  <si>
    <t xml:space="preserve">2. RAMP-DOWN — CANIBALIZACIÓN POR DENSIDAD DE LA CADENA (índice de pollos por PDV, editable — "scroll" manual)</t>
  </si>
  <si>
    <t xml:space="preserve">PDV totales de la cadena (hasta)</t>
  </si>
  <si>
    <t xml:space="preserve">Índice base de pollos por PDV (% del volumen del escenario)</t>
  </si>
  <si>
    <t xml:space="preserve">Multiplicador de sensibilidad de la canibalización</t>
  </si>
  <si>
    <t xml:space="preserve">PALANCA: 0,5 = canibalización baja · 1,0 = base · 1,5 = alta. Escala la pérdida (1 − índice) de toda la tabla.</t>
  </si>
  <si>
    <t xml:space="preserve">ÍNDICE EFECTIVO aplicado por el modelo</t>
  </si>
  <si>
    <t xml:space="preserve">• Soporte del ramp-down: (i) literatura de "sales transfer / encroachment" en cadenas QSR — estudios de impacto de nuevas unidades de la misma marca miden transferencias del 5–20% cuando las áreas de influencia se solapan; (ii) modelos gravitacionales de Huff y análisis de trade areas usados por McDonald's / Chick-fil-A en site selection; (iii) evidencia de franquicias (Kalnins 2004, Journal of Marketing: el encroachment intra-marca reduce ventas de unidades vecinas de forma medible y creciente con la densidad).</t>
  </si>
  <si>
    <t xml:space="preserve">• Aplicación MOY'S: pérdida acumulada base de ~16% del volumen por PDV al llegar a 50 puntos en Gran Caracas (≈ −2% por cada 5 tiendas), dentro de la banda 5–20% de la literatura. El TOTAL de pollos de la cadena sigue creciendo: cada PDV suma más de lo que resta a los vecinos.</t>
  </si>
  <si>
    <t xml:space="preserve">• La tabla es editable punto a punto ("scroll" manual) y el multiplicador permite el análisis de sensibilidad de la sección 4.</t>
  </si>
  <si>
    <t xml:space="preserve">3. MEZCLA DE FORMATOS DE LA EXPANSIÓN (unidades 11–50 — formato editable: V = ventana · D = dine-in · F = flagship)</t>
  </si>
  <si>
    <t xml:space="preserve">Formato</t>
  </si>
  <si>
    <t xml:space="preserve">CAPEX (USD)</t>
  </si>
  <si>
    <t xml:space="preserve">Fijo mensual (USD)</t>
  </si>
  <si>
    <t xml:space="preserve">Cap. trabajo (USD)</t>
  </si>
  <si>
    <t xml:space="preserve">Costo total de apertura (USD)</t>
  </si>
  <si>
    <t xml:space="preserve">Mes de apertura (modelo)</t>
  </si>
  <si>
    <t xml:space="preserve">Acum V</t>
  </si>
  <si>
    <t xml:space="preserve">Acum D</t>
  </si>
  <si>
    <t xml:space="preserve">Acum F</t>
  </si>
  <si>
    <t xml:space="preserve">V</t>
  </si>
  <si>
    <t xml:space="preserve">D</t>
  </si>
  <si>
    <t xml:space="preserve">F</t>
  </si>
  <si>
    <t xml:space="preserve">La mezcla propuesta (~70% ventana / 25% dine-in / 2 flagships adicionales en las unidades 25 y 40) es editable letra por letra; el waterfall de CAPA3_EXPANSION abre cada unidad cuando el excedente de caja cubre su costo total de apertura.</t>
  </si>
  <si>
    <t xml:space="preserve">4. SENSIBILIDAD DE LA CANIBALIZACIÓN (economía estable de la cadena a tope de PDV)</t>
  </si>
  <si>
    <t xml:space="preserve">Escenario de canibalización</t>
  </si>
  <si>
    <t xml:space="preserve">Multiplicador</t>
  </si>
  <si>
    <t xml:space="preserve">Índice a 50 PDV</t>
  </si>
  <si>
    <t xml:space="preserve">Pollos/mes cadena</t>
  </si>
  <si>
    <t xml:space="preserve">Ingreso anual (USD)</t>
  </si>
  <si>
    <t xml:space="preserve">Margen contrib. anual (USD)</t>
  </si>
  <si>
    <t xml:space="preserve">Baja</t>
  </si>
  <si>
    <t xml:space="preserve">Base</t>
  </si>
  <si>
    <t xml:space="preserve">Alta</t>
  </si>
  <si>
    <t xml:space="preserve">Lectura: aun en canibalización ALTA la cadena a 50 PDV multiplica el volumen del piloto — cada PDV pierde pollos individualmente pero el total crece. Cambie el multiplicador maestro (C11) para recorrer TODO el modelo mensual con otra intensidad.</t>
  </si>
  <si>
    <t xml:space="preserve">CAPA3_EXPANSION — CAPA 3: EXPANSIÓN EN CASCADA CON FLUJO DE CAJA LIBRE (WATERFALL)</t>
  </si>
  <si>
    <t xml:space="preserve">Cada mes: (1) la operación paga sus gastos e impuestos → (2) se aparta una reserva de caja (días editables) → (3) si la utilización de planta supera el gatillo, se invierte primero en la siguiente fase de planta → (4) el excedente restante abre el siguiente PDV de la mezcla de SUP_C3_EXPANSION. El CAPEX inicial del piloto y del flagship es aporte de capital (no sale del pool); la expansión se autofinancia.</t>
  </si>
  <si>
    <t xml:space="preserve">POOL DE CAJA DEL WATERFALL</t>
  </si>
  <si>
    <t xml:space="preserve">FCF operativo capa 1 (piloto)</t>
  </si>
  <si>
    <t xml:space="preserve">FCF operativo capa 2 (flagship)</t>
  </si>
  <si>
    <t xml:space="preserve">FCF operativo capa 4 (retail)</t>
  </si>
  <si>
    <t xml:space="preserve">FCF operativo capa 3 (expansión, propio)</t>
  </si>
  <si>
    <t xml:space="preserve">FCF OPERATIVO TOTAL DEL MES</t>
  </si>
  <si>
    <t xml:space="preserve">Gastos operativos de la cadena en el mes (base de la reserva)</t>
  </si>
  <si>
    <t xml:space="preserve">Reserva mínima requerida (mayor entre: días de gastos, y el capital de trabajo aportado — que es colchón operativo, no capital de expansión)</t>
  </si>
  <si>
    <t xml:space="preserve">Caja del pool al inicio del mes</t>
  </si>
  <si>
    <t xml:space="preserve">EXCEDENTE INVERTIBLE (caja inicial − reserva del mes anterior)</t>
  </si>
  <si>
    <t xml:space="preserve">PRIORIDAD 1 DEL WATERFALL — FASES DE PLANTA (gatillo por utilización)</t>
  </si>
  <si>
    <t xml:space="preserve">Se invierte FASE 2 este mes (1/0)</t>
  </si>
  <si>
    <t xml:space="preserve">Se invierte FASE 3 este mes (1/0)</t>
  </si>
  <si>
    <t xml:space="preserve">Se invierte FASE 4 este mes (1/0)</t>
  </si>
  <si>
    <t xml:space="preserve">CAPEX de fases de planta del mes</t>
  </si>
  <si>
    <t xml:space="preserve">PRIORIDAD 2 — APERTURA DE PDV DE EXPANSIÓN (máx. 1 por mes)</t>
  </si>
  <si>
    <t xml:space="preserve">Se abre un PDV este mes (1/0) — requiere caja Y que la planta no esté saturada con fase pendiente</t>
  </si>
  <si>
    <t xml:space="preserve">Unidades de expansión acumuladas</t>
  </si>
  <si>
    <t xml:space="preserve">Costo total de apertura de la PRÓXIMA unidad (CAPEX + cap. trabajo)</t>
  </si>
  <si>
    <t xml:space="preserve">CAPEX de PDV del mes</t>
  </si>
  <si>
    <t xml:space="preserve">Capital de trabajo de PDV del mes</t>
  </si>
  <si>
    <t xml:space="preserve">Tope de unidades de expansión (cadena − piloto − flagship)</t>
  </si>
  <si>
    <t xml:space="preserve">OPERACIÓN DE LA EXPANSIÓN</t>
  </si>
  <si>
    <t xml:space="preserve">PDV TOTALES de la cadena (piloto + flagship + expansión)</t>
  </si>
  <si>
    <t xml:space="preserve">Índice de canibalización aplicado (SUP_C3 §2)</t>
  </si>
  <si>
    <t xml:space="preserve">Pollos de la expansión (suma de CAPA3_PDV_DETALLE)</t>
  </si>
  <si>
    <t xml:space="preserve">Ingresos de la expansión (USD)</t>
  </si>
  <si>
    <t xml:space="preserve">Kilos de pollo de la expansión</t>
  </si>
  <si>
    <t xml:space="preserve">Gastos variables</t>
  </si>
  <si>
    <t xml:space="preserve">Gastos fijos de los PDV de expansión</t>
  </si>
  <si>
    <t xml:space="preserve">EBITDA de la expansión (neto de fases de planta y overhead asignado)</t>
  </si>
  <si>
    <t xml:space="preserve">CAPEX acumulado de la expansión (PDV + fases de planta)</t>
  </si>
  <si>
    <t xml:space="preserve">FCF operativo de la expansión (EBITDA − ISLR)</t>
  </si>
  <si>
    <t xml:space="preserve">CAJA DEL POOL AL CIERRE DEL MES</t>
  </si>
  <si>
    <t xml:space="preserve">FCF TOTAL CAPA 3 (para el consolidado)</t>
  </si>
  <si>
    <t xml:space="preserve">Unidades con construcción terminada (ingreso-elegibles; = fila 25 atrasada 3 meses)</t>
  </si>
  <si>
    <t xml:space="preserve">INDICADORES DE LA CAPA 3</t>
  </si>
  <si>
    <t xml:space="preserve">Unidades renta-elegibles (fin de renta prepagada; = fila 56 atrasada 3 meses más)</t>
  </si>
  <si>
    <t xml:space="preserve">Unidades de expansión abiertas al mes 120</t>
  </si>
  <si>
    <t xml:space="preserve">Depósito (congelado) + renta anticipada — 6 meses, disparado cuando cada unidad termina construcción</t>
  </si>
  <si>
    <t xml:space="preserve">Inversión total de la expansión (USD, autofinanciada)</t>
  </si>
  <si>
    <t xml:space="preserve">VPN de la capa 3 a 120 meses (USD)</t>
  </si>
  <si>
    <t xml:space="preserve">EBITDA de la expansión — año 10 (USD)</t>
  </si>
  <si>
    <t xml:space="preserve">Caja del pool al cierre del mes 120 (USD)</t>
  </si>
  <si>
    <t xml:space="preserve">Detalle de la fila 59 — Depósito en garantía (3 meses, congelado, no se recupera)</t>
  </si>
  <si>
    <t xml:space="preserve">Detalle de la fila 59 — Renta anticipada (+2m al abrir, -1m en mes+1, -1m en mes+2)</t>
  </si>
  <si>
    <t xml:space="preserve">Inyección de capital de trabajo aportada por el inversionista (piloto + flagship) — entra al pool</t>
  </si>
  <si>
    <t xml:space="preserve">Restricción de capacidad (VentureMe): no se abre PDV si la utilización de planta del mes anterior alcanzó el umbral de ampliación (SUP_PRODUCCION!C57) y aún queda una fase de planta sin invertir. Implementa la "Prioridad 1: planta" declarada en el diseño del waterfall — antes, las aperturas de PDV (más baratas) consumían el excedente y la planta nunca se ampliaba a tiempo.</t>
  </si>
  <si>
    <t xml:space="preserve">CAPA3_PDV_DETALLE — INGRESO, MARGEN Y KILOS POR PUNTO DE VENTA DE EXPANSIÓN</t>
  </si>
  <si>
    <t xml:space="preserve">Pollos/mes por unidad (ramp-up de acreditación × canibalización de la cadena). Debajo: ingreso, margen de contribución y kilos por unidad, totalizados por año.</t>
  </si>
  <si>
    <t xml:space="preserve">Mes apertura</t>
  </si>
  <si>
    <t xml:space="preserve">TOTAL POLLOS DE LA EXPANSIÓN</t>
  </si>
  <si>
    <t xml:space="preserve">INGRESO NETO ANUAL POR UNIDAD (USD)</t>
  </si>
  <si>
    <t xml:space="preserve">MARGEN DE CONTRIBUCIÓN ANUAL POR UNIDAD (USD)</t>
  </si>
  <si>
    <t xml:space="preserve">KILOS DE POLLO ANUALES POR UNIDAD</t>
  </si>
  <si>
    <t xml:space="preserve">SUP_C4_RETAIL — LÍNEA DE PRELISTOS RETAIL (CAPA 4 · CAPÍTULO APARTE)</t>
  </si>
  <si>
    <t xml:space="preserve">Nuevo canal B2C: nuggets, hamburguesas y preformados IQF para retail, aprovechando marinado, apanado y frío de la planta. Se enciende/apaga en SUP_CONTROL.</t>
  </si>
  <si>
    <t xml:space="preserve">1. CAPEX DE LA LÍNEA RETAIL (FOB editables)</t>
  </si>
  <si>
    <t xml:space="preserve">Formadora de preformados (nuggets / hamburguesas, tipo Formax-GEA-Marel de entrada)</t>
  </si>
  <si>
    <t xml:space="preserve">Fase 2 del plan de prelistos del proyecto: plate former para preformados.</t>
  </si>
  <si>
    <t xml:space="preserve">Horno impingement en línea (ready-to-heat: cocción a núcleo antes del IQF)</t>
  </si>
  <si>
    <t xml:space="preserve">P12 del catálogo de planta — requerido para producto totalmente cocido.</t>
  </si>
  <si>
    <t xml:space="preserve">Detector de metales + pesadora + selladora retail</t>
  </si>
  <si>
    <t xml:space="preserve">P13 del catálogo de planta.</t>
  </si>
  <si>
    <t xml:space="preserve">Empacadora flowpack + fechadora</t>
  </si>
  <si>
    <t xml:space="preserve">Empaque retail multivelocidad.</t>
  </si>
  <si>
    <t xml:space="preserve">Moldes, dados y utilería de arranque (local)</t>
  </si>
  <si>
    <t xml:space="preserve">CAPEX TOTAL LÍNEA RETAIL (instalado + contingencia)</t>
  </si>
  <si>
    <t xml:space="preserve">La línea comparte tumbler, apanado, fritura y frío de la planta: solo se invierte lo incremental. IQF espiral (no lecho fluidizado) es el estándar correcto para apanados; el impingement habilita el totalmente cocido.</t>
  </si>
  <si>
    <t xml:space="preserve">2. SUPUESTOS COMERCIALES (editables)</t>
  </si>
  <si>
    <t xml:space="preserve">Mes de arranque de la línea retail</t>
  </si>
  <si>
    <t xml:space="preserve">Después de estabilizar el piloto y la Fase 2 de planta.</t>
  </si>
  <si>
    <t xml:space="preserve">Toneladas/mes de arranque</t>
  </si>
  <si>
    <t xml:space="preserve">Crecimiento de volumen (ton/mes adicionales por mes)</t>
  </si>
  <si>
    <t xml:space="preserve">Rampa comercial de codificación en cadenas de retail.</t>
  </si>
  <si>
    <t xml:space="preserve">Tope de volumen retail (ton/mes)</t>
  </si>
  <si>
    <t xml:space="preserve">Capacidad de la formadora de entrada.</t>
  </si>
  <si>
    <t xml:space="preserve">Precio neto de venta (USD/kg, sin IVA)</t>
  </si>
  <si>
    <t xml:space="preserve">Banda retail VE de apanados IQF de marca.</t>
  </si>
  <si>
    <t xml:space="preserve">Costo directo (% del ingreso)</t>
  </si>
  <si>
    <t xml:space="preserve">Materia prima + empaque + energía de línea.</t>
  </si>
  <si>
    <t xml:space="preserve">Gastos comerciales y distribución (% del ingreso)</t>
  </si>
  <si>
    <t xml:space="preserve">Logística a retail + trade + mermas.</t>
  </si>
  <si>
    <t xml:space="preserve">Gasto fijo incremental de la línea (USD/mes)</t>
  </si>
  <si>
    <t xml:space="preserve">Supervisión y personal de línea.</t>
  </si>
  <si>
    <t xml:space="preserve">CAPA4_RETAIL — CAPA 4: LÍNEA DE PRELISTOS RETAIL (CAPÍTULO APARTE)</t>
  </si>
  <si>
    <t xml:space="preserve">Canal B2C de nuggets, hamburguesas y preformados IQF. Simulación independiente; se enciende en SUP_CONTROL (C14) y su caja alimenta el waterfall de expansión.</t>
  </si>
  <si>
    <t xml:space="preserve">Línea activa (1/0)</t>
  </si>
  <si>
    <t xml:space="preserve">Toneladas/mes vendidas</t>
  </si>
  <si>
    <t xml:space="preserve">Costo directo</t>
  </si>
  <si>
    <t xml:space="preserve">Gastos comerciales y distribución</t>
  </si>
  <si>
    <t xml:space="preserve">Gasto fijo de línea</t>
  </si>
  <si>
    <t xml:space="preserve">CAPEX de la línea (3 meses antes del arranque)</t>
  </si>
  <si>
    <t xml:space="preserve">FCF OPERATIVO (EBITDA − ISLR)</t>
  </si>
  <si>
    <t xml:space="preserve">INDICADORES DE LA CAPA 4</t>
  </si>
  <si>
    <t xml:space="preserve">CAPEX de la línea (USD)</t>
  </si>
  <si>
    <t xml:space="preserve">Toneladas retail año 10 (t/mes)</t>
  </si>
  <si>
    <t xml:space="preserve">CONSOLIDADO — PROYECTO MOY'S: SUMA DE CAPAS ACTIVAS (FCD DEL PROYECTO COMPLETO)</t>
  </si>
  <si>
    <t xml:space="preserve">Cambie los switches y el escenario en SUP_CONTROL y lea aquí el impacto en inversión, VPN, TIR y payback. Este es el tablero de decisión: piloto solo · piloto + flagship · con expansión · con retail.</t>
  </si>
  <si>
    <t xml:space="preserve">FCF capa 1 — Piloto</t>
  </si>
  <si>
    <t xml:space="preserve">FCF capa 2 — Flagship</t>
  </si>
  <si>
    <t xml:space="preserve">FCF capa 3 — Expansión</t>
  </si>
  <si>
    <t xml:space="preserve">FCF capa 4 — Retail</t>
  </si>
  <si>
    <t xml:space="preserve">FCF CONSOLIDADO DEL PROYECTO</t>
  </si>
  <si>
    <t xml:space="preserve">FCF descontado acumulado (payback descontado del proyecto)</t>
  </si>
  <si>
    <t xml:space="preserve">Ingresos consolidados</t>
  </si>
  <si>
    <t xml:space="preserve">EBITDA consolidado</t>
  </si>
  <si>
    <t xml:space="preserve">Inversión del mes (todas las capas)</t>
  </si>
  <si>
    <t xml:space="preserve">Toneladas de pollo/mes</t>
  </si>
  <si>
    <t xml:space="preserve">Overhead corporativo del mes (ya restado en el EBITDA de las capas)</t>
  </si>
  <si>
    <t xml:space="preserve">FLUJO DE CAJA DESCONTADO — INDICADORES DEL PROYECTO (capas y escenario activos en SUP_CONTROL)</t>
  </si>
  <si>
    <t xml:space="preserve">Tasa de descuento anual (vínculo a SUP_CONTROL)</t>
  </si>
  <si>
    <t xml:space="preserve">Inversión total del proyecto — 120 meses (USD)</t>
  </si>
  <si>
    <t xml:space="preserve">Inversión con aporte de capital (piloto + tecnología + flagship + retail, USD)</t>
  </si>
  <si>
    <t xml:space="preserve">Inversión autofinanciada por el waterfall (expansión, USD)</t>
  </si>
  <si>
    <t xml:space="preserve">VPN del proyecto a 120 meses (USD)</t>
  </si>
  <si>
    <t xml:space="preserve">TIR mensual del proyecto</t>
  </si>
  <si>
    <t xml:space="preserve">Payback simple (mes en que el FCF acumulado cruza a positivo)</t>
  </si>
  <si>
    <t xml:space="preserve">Índice de rentabilidad (VPN / inversión con aporte)</t>
  </si>
  <si>
    <t xml:space="preserve">VPN a 36 meses (comparable con la capa 1, USD)</t>
  </si>
  <si>
    <t xml:space="preserve">PDV totales al mes 120</t>
  </si>
  <si>
    <t xml:space="preserve">Toneladas/mes promedio del año 10</t>
  </si>
  <si>
    <t xml:space="preserve">% del mandato de 200 t/mes (año 10)</t>
  </si>
  <si>
    <t xml:space="preserve">EBITDA anual del año 10 (USD)</t>
  </si>
  <si>
    <t xml:space="preserve">Control: Inversión total (C22) − [aporte de capital (C23) + autofinanciada (C24)]</t>
  </si>
  <si>
    <t xml:space="preserve">RESUMEN ANUAL DEL PROYECTO</t>
  </si>
  <si>
    <t xml:space="preserve">¿Cuadra la inversión?</t>
  </si>
  <si>
    <t xml:space="preserve">Concepto / Año</t>
  </si>
  <si>
    <t xml:space="preserve">Ingresos (USD)</t>
  </si>
  <si>
    <t xml:space="preserve">EBITDA (USD)</t>
  </si>
  <si>
    <t xml:space="preserve">FCF (USD)</t>
  </si>
  <si>
    <t xml:space="preserve">Inversión (USD)</t>
  </si>
  <si>
    <t xml:space="preserve">Toneladas promedio/mes</t>
  </si>
  <si>
    <t xml:space="preserve">FCD POR CAPA — RESUMEN DE INDICADORES</t>
  </si>
  <si>
    <t xml:space="preserve">Capa</t>
  </si>
  <si>
    <t xml:space="preserve">TIR anual 120 m</t>
  </si>
  <si>
    <t xml:space="preserve">Payback descontado (mes)</t>
  </si>
  <si>
    <t xml:space="preserve">Capa 1 — Piloto + planta + tecnología</t>
  </si>
  <si>
    <t xml:space="preserve">Capa 2 — Flagship</t>
  </si>
  <si>
    <t xml:space="preserve">Capa 3 — Expansión (autofinanciada)</t>
  </si>
  <si>
    <t xml:space="preserve">Capa 4 — Retail</t>
  </si>
  <si>
    <t xml:space="preserve">La capa 3 no exige aporte de capital: su inversión sale del excedente del waterfall, por eso su VPN es puro valor agregado y no tiene payback propio. Los indicadores de cada capa viven también en su propia hoja.</t>
  </si>
  <si>
    <t xml:space="preserve">VALOR TERMINAL Y VALOR TOTAL DEL PROYECTO (DCF con perpetuidad — Gordon Growth)</t>
  </si>
  <si>
    <t xml:space="preserve">El VPN a 120 meses (fila 25) descuenta solo 10 años de flujo. Esta seccion agrega el valor de la cadena como negocio en marcha mas alla del mes 120, asumiendo que crece a una tasa perpetua g.</t>
  </si>
  <si>
    <t xml:space="preserve">Tasa de crecimiento perpetuo (g) — EDITABLE</t>
  </si>
  <si>
    <t xml:space="preserve">FCF del Año 10 (base de la perpetuidad, USD)</t>
  </si>
  <si>
    <t xml:space="preserve">Tasa de descuento anual (WACC, vinculo a SUP_CONTROL)</t>
  </si>
  <si>
    <t xml:space="preserve">Valor Terminal al mes 120 (Gordon Growth)</t>
  </si>
  <si>
    <t xml:space="preserve">Valor Presente del Valor Terminal (traido a hoy, 10 anios)</t>
  </si>
  <si>
    <t xml:space="preserve">VALOR TOTAL DEL PROYECTO (VPN 120m + VP del Valor Terminal)</t>
  </si>
  <si>
    <t xml:space="preserve">Sensibilidad — Valor Total segun g</t>
  </si>
  <si>
    <t xml:space="preserve">Valor Total del Proyecto (USD)</t>
  </si>
  <si>
    <t xml:space="preserve">PROYECTO MOY'S — P&amp;G (ESTADO DE RESULTADOS) POR CAPA, FORMATO Y PLATAFORMA</t>
  </si>
  <si>
    <t xml:space="preserve">Año 1 = meses 1 a 12 del modelo (incluye el arranque de construcción de planta, sin ventas, dentro de los primeros meses); Años 2-10 = bloques de 12 meses completos hasta el mes 120. 100% ligado a SUP_CONTROL: cambie escenario o switches y este P&amp;G recalcula solo.</t>
  </si>
  <si>
    <t xml:space="preserve">Escenario activo (SUP_CONTROL):</t>
  </si>
  <si>
    <t xml:space="preserve">Capas encendidas (1=Piloto,2=Flagship,3=Expansión,4=Retail):</t>
  </si>
  <si>
    <t xml:space="preserve">Concepto (USD)</t>
  </si>
  <si>
    <t xml:space="preserve">Ene-A1</t>
  </si>
  <si>
    <t xml:space="preserve">Feb-A1</t>
  </si>
  <si>
    <t xml:space="preserve">Mar-A1</t>
  </si>
  <si>
    <t xml:space="preserve">Abr-A1</t>
  </si>
  <si>
    <t xml:space="preserve">May-A1</t>
  </si>
  <si>
    <t xml:space="preserve">Jun-A1</t>
  </si>
  <si>
    <t xml:space="preserve">Jul-A1</t>
  </si>
  <si>
    <t xml:space="preserve">Ago-A1</t>
  </si>
  <si>
    <t xml:space="preserve">Sep-A1</t>
  </si>
  <si>
    <t xml:space="preserve">Oct-A1</t>
  </si>
  <si>
    <t xml:space="preserve">Nov-A1</t>
  </si>
  <si>
    <t xml:space="preserve">Dic-A1</t>
  </si>
  <si>
    <t xml:space="preserve">TABLA DE APOYO — MEZCLA DE PLATAFORMA DE PRODUCTO (no editar; vínculo a SUP_MENU / SUP_PRECIOS)</t>
  </si>
  <si>
    <t xml:space="preserve">Misma mezcla de menú en todos los formatos (spec del modelo) — participación en ventas y margen de contribución por SKU, agregados por plataforma.</t>
  </si>
  <si>
    <t xml:space="preserve">Plataforma</t>
  </si>
  <si>
    <t xml:space="preserve">% ingreso (SKU)</t>
  </si>
  <si>
    <t xml:space="preserve">% margen (SKU)</t>
  </si>
  <si>
    <t xml:space="preserve">Ingreso neto/mes (SKU)</t>
  </si>
  <si>
    <t xml:space="preserve">Margen contrib./mes (SKU)</t>
  </si>
  <si>
    <t xml:space="preserve">% ingreso (mezcla)</t>
  </si>
  <si>
    <t xml:space="preserve">Margen % (tasa)</t>
  </si>
  <si>
    <t xml:space="preserve">1. INGRESOS</t>
  </si>
  <si>
    <t xml:space="preserve">Capa 1 — Piloto</t>
  </si>
  <si>
    <t xml:space="preserve">Ventana</t>
  </si>
  <si>
    <t xml:space="preserve">Subtotal Ventana</t>
  </si>
  <si>
    <t xml:space="preserve">Dine-in</t>
  </si>
  <si>
    <t xml:space="preserve">Subtotal Dine-in</t>
  </si>
  <si>
    <t xml:space="preserve">Subtotal Capa 1 — Piloto</t>
  </si>
  <si>
    <t xml:space="preserve">Flagship (pollo)</t>
  </si>
  <si>
    <t xml:space="preserve">Menú ampliado (combos infantiles, contornos, bebidas)</t>
  </si>
  <si>
    <t xml:space="preserve">Subtotal Flagship</t>
  </si>
  <si>
    <t xml:space="preserve">Subtotal Capa 2 — Flagship</t>
  </si>
  <si>
    <t xml:space="preserve">Capa 3 — Expansión (autofinanciada; total, sin desglose por formato/plataforma — ver nota)</t>
  </si>
  <si>
    <t xml:space="preserve">Capa 4 — Retail (línea de prelistos; total, sin desglose por plataforma)</t>
  </si>
  <si>
    <t xml:space="preserve">TOTAL INGRESOS</t>
  </si>
  <si>
    <t xml:space="preserve">2. COSTO DE VENTAS (insumos por fichas técnicas + transformación de planta + logística)</t>
  </si>
  <si>
    <t xml:space="preserve">Capa 3 — Expansión (total, sin desglose)</t>
  </si>
  <si>
    <t xml:space="preserve">Capa 4 — Retail (total, sin desglose)</t>
  </si>
  <si>
    <t xml:space="preserve">Costo de transformación de planta (MOD + CIF, capas 1-3)</t>
  </si>
  <si>
    <t xml:space="preserve">Costo logístico de distribución (planta → PDV, capas 1–3)</t>
  </si>
  <si>
    <t xml:space="preserve">TOTAL COSTO DE VENTAS (producto puesto en puerta del PDV)</t>
  </si>
  <si>
    <t xml:space="preserve">MARGEN BRUTO (producto puesto en puerta del PDV)</t>
  </si>
  <si>
    <t xml:space="preserve">Margen bruto %</t>
  </si>
  <si>
    <t xml:space="preserve">3. GASTOS OPERATIVOS DE PDV (variables + fijos)</t>
  </si>
  <si>
    <t xml:space="preserve">Ventana (variable 9,5% ingreso + fijo nómina/renta)</t>
  </si>
  <si>
    <t xml:space="preserve">Dine-in (variable 9,5% ingreso + fijo nómina/renta)</t>
  </si>
  <si>
    <t xml:space="preserve">Subtotal Capa 1</t>
  </si>
  <si>
    <t xml:space="preserve">Capa 2 — Flagship (variable + fijo, incl. comisión delivery)</t>
  </si>
  <si>
    <t xml:space="preserve">Capa 3 — Expansión (variable + fijo)</t>
  </si>
  <si>
    <t xml:space="preserve">Capa 3 — Costo de fases de planta activas (mantenimiento/operación, escala con la expansión)</t>
  </si>
  <si>
    <t xml:space="preserve">Capa 4 — Retail (comercial/distribución + fijo)</t>
  </si>
  <si>
    <t xml:space="preserve">TOTAL GASTOS OPERATIVOS DE PDV</t>
  </si>
  <si>
    <t xml:space="preserve">EBITDA DE TIENDA (antes de overhead corporativo)</t>
  </si>
  <si>
    <t xml:space="preserve">EBITDA de tienda %</t>
  </si>
  <si>
    <t xml:space="preserve">4. OTROS GASTOS (overhead corporativo, depreciación e ISLR)</t>
  </si>
  <si>
    <t xml:space="preserve">Capa 3 — Expansión</t>
  </si>
  <si>
    <t xml:space="preserve">Subtotal overhead corporativo</t>
  </si>
  <si>
    <t xml:space="preserve">Subtotal depreciación</t>
  </si>
  <si>
    <t xml:space="preserve">EBIT (UTILIDAD ANTES DE IMPUESTOS)</t>
  </si>
  <si>
    <t xml:space="preserve">EBIT %</t>
  </si>
  <si>
    <t xml:space="preserve">ISLR (34% sobre EBIT positivo, por capa)</t>
  </si>
  <si>
    <t xml:space="preserve">Subtotal ISLR</t>
  </si>
  <si>
    <t xml:space="preserve">TOTAL OTROS GASTOS (overhead + depreciación + ISLR)</t>
  </si>
  <si>
    <t xml:space="preserve">UTILIDAD NETA</t>
  </si>
  <si>
    <t xml:space="preserve">Margen neto %</t>
  </si>
  <si>
    <t xml:space="preserve">Notas: (1) Año 1 = meses 1 a 12 del modelo, incluye el arranque de construcción de planta (sin ventas) dentro de los primeros meses del año — por eso el Año 1 trae menos meses de venta real que los demás. Años 2-10 son bloques de 12 meses completos hasta el mes 120, sin necesidad de extender el modelo. (2) Capa 3 y Capa 4 van a nivel de capa, sin desglose por formato/plataforma — su detalle vive por unidad individual en CAPA3_PDV_DETALLE.</t>
  </si>
  <si>
    <t xml:space="preserve">CONTROL DE CUADRE — PL vs. CONSOLIDADO (no editar; se recalcula solo)</t>
  </si>
  <si>
    <t xml:space="preserve">Si en algún momento aparece una ✗, algo se editó a mano en PL o en CONSOLIDADO y perdió el vínculo a las hojas fuente — revisar antes de usar el archivo.</t>
  </si>
  <si>
    <t xml:space="preserve">Total Ingresos — PL</t>
  </si>
  <si>
    <t xml:space="preserve">Total Ingresos — CONSOLIDADO</t>
  </si>
  <si>
    <t xml:space="preserve">¿Cuadra? (Ingresos)</t>
  </si>
  <si>
    <t xml:space="preserve">Utilidad Neta — PL</t>
  </si>
  <si>
    <t xml:space="preserve">Utilidad Neta — recalculada desde hojas fuente (control cruzado)</t>
  </si>
  <si>
    <t xml:space="preserve">¿Cuadra? (Utilidad Neta)</t>
  </si>
  <si>
    <t xml:space="preserve">Resultado global del control:</t>
  </si>
  <si>
    <t xml:space="preserve">CAPA3_DASHBOARD — LA CADENA MOY'S EN UNA PÁGINA (CAPAS ACTIVAS)</t>
  </si>
  <si>
    <t xml:space="preserve">Ingresos, utilidad y consumo de pollo de la cadena para JHS, año a año. Todo cae de SUP_CONTROL: cambie switches, escenario o canibalización y el tablero se actualiza.</t>
  </si>
  <si>
    <t xml:space="preserve">INDICADORES DEL PROYECTO (capas activas)</t>
  </si>
  <si>
    <t xml:space="preserve">Escenario activo</t>
  </si>
  <si>
    <t xml:space="preserve">Toneladas/mes año 10</t>
  </si>
  <si>
    <t xml:space="preserve">VPN del proyecto (120 m)</t>
  </si>
  <si>
    <t xml:space="preserve">TIR anual del proyecto</t>
  </si>
  <si>
    <t xml:space="preserve">Inversión con aporte de capital</t>
  </si>
  <si>
    <t xml:space="preserve">Inversión autofinanciada (waterfall)</t>
  </si>
  <si>
    <t xml:space="preserve">LA CADENA AÑO A AÑO</t>
  </si>
  <si>
    <t xml:space="preserve">Nota: la canibalización se aplica sobre los PDV de expansión (los que densifican la red); su intensidad se calibra en SUP_C3_EXPANSION (tabla editable + multiplicador de sensibilidad).</t>
  </si>
  <si>
    <t xml:space="preserve">PROD_DEMANDA — DEMANDA DE POLLO DE LA CADENA VS CAPACIDAD DE PLANTA POR FASE</t>
  </si>
  <si>
    <t xml:space="preserve">Consolida los kilos de todas las capas activas y los compara con la capacidad activa. Cuando la utilización supera el gatillo, el waterfall de la capa 3 amplía la planta.</t>
  </si>
  <si>
    <t xml:space="preserve">Kg capa 1 (piloto)</t>
  </si>
  <si>
    <t xml:space="preserve">Kg capa 2 (flagship)</t>
  </si>
  <si>
    <t xml:space="preserve">Kg capa 3 (expansión)</t>
  </si>
  <si>
    <t xml:space="preserve">Kg capa 4 (retail)</t>
  </si>
  <si>
    <t xml:space="preserve">KG TOTALES DE LA CADENA</t>
  </si>
  <si>
    <t xml:space="preserve">TONELADAS/MES</t>
  </si>
  <si>
    <t xml:space="preserve">Capacidad activa de planta (ton/mes)</t>
  </si>
  <si>
    <t xml:space="preserve">UTILIZACIÓN DE PLANTA</t>
  </si>
  <si>
    <t xml:space="preserve">Fase activa de planta</t>
  </si>
  <si>
    <t xml:space="preserve">Tarifa logística efectiva (USD/kg)</t>
  </si>
  <si>
    <t xml:space="preserve">RESUMEN ANUAL</t>
  </si>
  <si>
    <t xml:space="preserve">COSTO LOGÍSTICO DE LA CADENA (USD/mes)</t>
  </si>
  <si>
    <t xml:space="preserve">Tarifa de TRANSFORMACIÓN de planta (USD/kg) — MOD+CIF fijos de la fase ÷ kg + variable</t>
  </si>
  <si>
    <t xml:space="preserve">Costo de transformación del mes (USD) — lo pagan las capas por sus kilos</t>
  </si>
  <si>
    <t xml:space="preserve">Utilización promedio</t>
  </si>
  <si>
    <t xml:space="preserve">Fase de planta a fin de año</t>
  </si>
  <si>
    <t xml:space="preserve">% del mandato de 200 t/mes — año 10</t>
  </si>
  <si>
    <t xml:space="preserve">SUPUESTOS PENDIENTES DE VALIDAR — PROYECTO MOY'S</t>
  </si>
  <si>
    <t xml:space="preserve">Supuestos que el propio modelo marca como no confirmados. Alimentan la tarifa de transformación y el CAPEX de planta, que cargan las tres capas operativas — conviene cerrarlos antes de comprometer cifras con terceros.</t>
  </si>
  <si>
    <t xml:space="preserve">Hoja / celda</t>
  </si>
  <si>
    <t xml:space="preserve">Valor actual</t>
  </si>
  <si>
    <t xml:space="preserve">Por qué importa</t>
  </si>
  <si>
    <t xml:space="preserve">1</t>
  </si>
  <si>
    <t xml:space="preserve">SUP_PLANTA_OPEX!C11</t>
  </si>
  <si>
    <t xml:space="preserve">Servicios base de nave por fase (energía, agua, gas)</t>
  </si>
  <si>
    <t xml:space="preserve">Entra en el costo fijo de planta → tarifa de transformación por kg</t>
  </si>
  <si>
    <t xml:space="preserve">2</t>
  </si>
  <si>
    <t xml:space="preserve">SUP_PLANTA_OPEX!C12</t>
  </si>
  <si>
    <t xml:space="preserve">Mantenimiento de equipos (% anual sobre CAPEX)</t>
  </si>
  <si>
    <t xml:space="preserve">Idem. Un punto porcentual mueve la tarifa de todas las capas</t>
  </si>
  <si>
    <t xml:space="preserve">3</t>
  </si>
  <si>
    <t xml:space="preserve">SUP_PLANTA_OPEX!C13</t>
  </si>
  <si>
    <t xml:space="preserve">Seguros de planta (% anual sobre CAPEX)</t>
  </si>
  <si>
    <t xml:space="preserve">Idem</t>
  </si>
  <si>
    <t xml:space="preserve">4</t>
  </si>
  <si>
    <t xml:space="preserve">SUP_PLANTA_OPEX!C14</t>
  </si>
  <si>
    <t xml:space="preserve">Otros CIF variables</t>
  </si>
  <si>
    <t xml:space="preserve">5</t>
  </si>
  <si>
    <t xml:space="preserve">SUP_PLANTA_OPEX!C22</t>
  </si>
  <si>
    <t xml:space="preserve">Dimensión de nave requerida por fase (m²)</t>
  </si>
  <si>
    <t xml:space="preserve">Define la renta de nave, el rubro más pesado del costo fijo de planta</t>
  </si>
  <si>
    <t xml:space="preserve">6</t>
  </si>
  <si>
    <t xml:space="preserve">SUP_PLANTA_OPEX!C6</t>
  </si>
  <si>
    <t xml:space="preserve">Plantilla de operarios de planta en Fase 1</t>
  </si>
  <si>
    <t xml:space="preserve">Define la MOD de planta desde el mes 1</t>
  </si>
  <si>
    <t xml:space="preserve">7</t>
  </si>
  <si>
    <t xml:space="preserve">Preoperativos de planta (permisos SACS, corridas de prueba)</t>
  </si>
  <si>
    <t xml:space="preserve">CAPEX inicial: afecta el aporte solicitado al inversionista</t>
  </si>
  <si>
    <t xml:space="preserve">8</t>
  </si>
  <si>
    <t xml:space="preserve">SUP_PRODUCCION!C34</t>
  </si>
  <si>
    <t xml:space="preserve">Capacidad Fase 1 (ver nota: 2º tumbler en inventario)</t>
  </si>
  <si>
    <t xml:space="preserve">Determina si el piloto cabe en la planta — ver hallazgo de capacidad</t>
  </si>
  <si>
    <t xml:space="preserve">9</t>
  </si>
  <si>
    <t xml:space="preserve">SUP_POLLO!C6</t>
  </si>
  <si>
    <t xml:space="preserve">Moneda del costo del kg (BCV vs mercado) coherente con la moneda de cobro</t>
  </si>
  <si>
    <t xml:space="preserve">Define si el costo coherente es 2,20-2,42 (BCV) o 1,70-1,815 (mercado)</t>
  </si>
  <si>
    <t xml:space="preserve">10</t>
  </si>
  <si>
    <t xml:space="preserve">SUP_POLLO!C30</t>
  </si>
  <si>
    <t xml:space="preserve">Retención de marinada tras tumbler</t>
  </si>
  <si>
    <t xml:space="preserve">Base del peso percibido: se valida en la prueba de producto</t>
  </si>
  <si>
    <t xml:space="preserve">11</t>
  </si>
  <si>
    <t xml:space="preserve">SUP_POLLO!C31</t>
  </si>
  <si>
    <t xml:space="preserve">Rendimiento de cocción con marinado funcional</t>
  </si>
  <si>
    <t xml:space="preserve">Define el peso cocido servido del pollo más liviano</t>
  </si>
  <si>
    <t xml:space="preserve">12</t>
  </si>
  <si>
    <t xml:space="preserve">SUP_POLLO!C20</t>
  </si>
  <si>
    <t xml:space="preserve">Rendimiento de canal vivo → beneficiado</t>
  </si>
  <si>
    <t xml:space="preserve">Traduce el peso de compra al peso vivo que produce JHS</t>
  </si>
  <si>
    <t xml:space="preserve">13</t>
  </si>
  <si>
    <t xml:space="preserve">SUP_POLLO!C47</t>
  </si>
  <si>
    <t xml:space="preserve">Carga por espada y tiempo de ciclo del horno (hipótesis)</t>
  </si>
  <si>
    <t xml:space="preserve">Capacidad de pico del PDV con el ave liviana (fuera de la base)</t>
  </si>
  <si>
    <t xml:space="preserve">CHECKLIST_V2 — VERIFICACIÓN DEL MODELO POR CAPAS</t>
  </si>
  <si>
    <t xml:space="preserve">PUNTO DE LA ESPECIFICACIÓN → DÓNDE VIVE EN EL LIBRO</t>
  </si>
  <si>
    <t xml:space="preserve">□ Escenarios ventana 1.848 / 3.028 / 4.209 pollos/mes como input de dirección (SUP_VOLUMEN fila 16, azul + ámbar)</t>
  </si>
  <si>
    <t xml:space="preserve">□ Uplift dine-in +30% mantenido; flagship = DOBLE de ventana (uplift 100%)</t>
  </si>
  <si>
    <t xml:space="preserve">SUP_VOLUMEN C26/C27</t>
  </si>
  <si>
    <t xml:space="preserve">□ Mezcla del piloto editable 7V + 3D; flagship entra por el switch de la capa 2 (permite 7-3-0 o 7-2-1 bajando dine-in a 2)</t>
  </si>
  <si>
    <t xml:space="preserve">SUP_VOLUMEN §6</t>
  </si>
  <si>
    <t xml:space="preserve">□ Modelo por capas con switches 1/0 y escenario maestro en un solo panel</t>
  </si>
  <si>
    <t xml:space="preserve">□ Flagship NUEVO de 400 m² / 150 sillas: estacionamiento 20, drive-thru, quioscos, parque infantil, salida delivery, ≥3 hornos, dispensador en comodato (CAPEX 0)</t>
  </si>
  <si>
    <t xml:space="preserve">□ Mes de apertura del flagship editable; impacto medible encendiendo/apagando la capa 2 y comparando CONSOLIDADO</t>
  </si>
  <si>
    <t xml:space="preserve">SUP_CONTROL C17 · CAPA2_FLAGSHIP</t>
  </si>
  <si>
    <t xml:space="preserve">□ Ingreso adicional del flagship +5% por menú ampliado (editable)</t>
  </si>
  <si>
    <t xml:space="preserve">SUP_CONTROL C37</t>
  </si>
  <si>
    <t xml:space="preserve">□ Waterfall de FCL: opex → impuestos → reserva de 30 días → excedente abre PDV; expansión DENTRO del horizonte y arrastra el FCD de todo el proyecto</t>
  </si>
  <si>
    <t xml:space="preserve">□ Prioridad del waterfall: fases de planta antes que PDV cuando la utilización supera el gatillo (85% editable)</t>
  </si>
  <si>
    <t xml:space="preserve">CAPA3_EXPANSION filas 19–21</t>
  </si>
  <si>
    <t xml:space="preserve">□ Ramp-up de acreditación editable (65/80/90/100) y ramp-down de canibalización editable punto a punto con soporte teórico y multiplicador de sensibilidad</t>
  </si>
  <si>
    <t xml:space="preserve">□ Mezcla de formatos de expansión editable unidad por unidad (V/D/F) con costo de apertura y mes calculado</t>
  </si>
  <si>
    <t xml:space="preserve">SUP_C3_EXPANSION §3</t>
  </si>
  <si>
    <t xml:space="preserve">□ Ingreso, margen de contribución y kilos POR PDV mes a mes y totalizados por año</t>
  </si>
  <si>
    <t xml:space="preserve">□ Dashboard de cadena: ingresos, utilidad y consumo de pollo por año, con gráficos</t>
  </si>
  <si>
    <t xml:space="preserve">□ Capacidad Fase 1 por cuello de botella (tumbler por kilos con 3 marinados, batch cerrado + horneo); Fase 2 línea de fritura continua; Fase 3 hacia ~200 t/mes</t>
  </si>
  <si>
    <t xml:space="preserve">□ Propuesta de localización en Riofrío: galpón CECOM 1.146 m² para las líneas de marinado, salsas/hallacas y broaster; túneles y cavas existentes como congelación</t>
  </si>
  <si>
    <t xml:space="preserve">SUP_PRODUCCION §7</t>
  </si>
  <si>
    <t xml:space="preserve">□ Línea retail de preformados (hamburguesas, nuggets) como capa aparte encendible/apagable</t>
  </si>
  <si>
    <t xml:space="preserve">□ Capital de trabajo con DOS editables: inicial en meses de gastos fijos (3) y por PDV nuevo (1)</t>
  </si>
  <si>
    <t xml:space="preserve">SUP_CONTROL C18/C19</t>
  </si>
  <si>
    <t xml:space="preserve">SUP_CONTROL §5</t>
  </si>
  <si>
    <t xml:space="preserve">□ Sin valores quemados en cascada: azul = input, negro = fórmula, verde = vínculo, ámbar = palanca</t>
  </si>
  <si>
    <t xml:space="preserve">Todo el libro</t>
  </si>
  <si>
    <t xml:space="preserve">□ Capa 1 evaluada a 36 meses (planta no se recupera en el piloto por diseño); consolidado a 120 meses</t>
  </si>
  <si>
    <t xml:space="preserve">CAPA1_PILOTO · CONSOLIDADO</t>
  </si>
  <si>
    <t xml:space="preserve">□ Sistemas de información: POS con valor por caja y número de cajas por formato editables (flagship 2 cajas), cayendo al CAPEX de cada tienda</t>
  </si>
  <si>
    <t xml:space="preserve">SUP_TECNOLOGIA §1</t>
  </si>
  <si>
    <t xml:space="preserve">□ Fondo tecnológico central: planeación de la demanda, página web, app de pedidos, nube/BI — invertido en el mes editable, dentro de la capa 1</t>
  </si>
  <si>
    <t xml:space="preserve">SUP_TECNOLOGIA §2</t>
  </si>
  <si>
    <t xml:space="preserve">□ Overhead corporativo sustituye el fijo genérico de 5.000: piso desde el día 1 (GG 4.000 + Dir. Expansión 3.000 + Mercadeo 1.000 + Analista 500), supervisor de zona 1.200 por cada 10 tiendas</t>
  </si>
  <si>
    <t xml:space="preserve">SUP_OVERHEAD §1–2</t>
  </si>
  <si>
    <t xml:space="preserve">□ Presupuesto de overhead en % de ingresos que se DILUYE (8% → 3,5%) pero crece en valor absoluto; el excedente financia calidad, auditoría y contraloría</t>
  </si>
  <si>
    <t xml:space="preserve">SUP_OVERHEAD §3 · fila 37</t>
  </si>
  <si>
    <t xml:space="preserve">AUDITORIA_V12 — LÍNEA DE VERIFICACIÓN DEL CAMBIO DE PESO Y COSTO DEL POLLO</t>
  </si>
  <si>
    <t xml:space="preserve">Sección 1: controles VIVOS — se recalculan con cada cambio y deben marcar ✓. Sección 2: pruebas del comité ejecutadas antes de la entrega. Sección 3: registro de cambios v12.</t>
  </si>
  <si>
    <t xml:space="preserve">Controles vivos fallidos (debe ser 0)</t>
  </si>
  <si>
    <t xml:space="preserve">1. CONTROLES VIVOS DE LA CASCADA (esperado = cálculo independiente desde los supuestos · actual = celda del modelo)</t>
  </si>
  <si>
    <t xml:space="preserve">Punto de contacto</t>
  </si>
  <si>
    <t xml:space="preserve">Qué se verifica</t>
  </si>
  <si>
    <t xml:space="preserve">Esperado</t>
  </si>
  <si>
    <t xml:space="preserve">Actual</t>
  </si>
  <si>
    <t xml:space="preserve">A01</t>
  </si>
  <si>
    <t xml:space="preserve">SUP_COSTOS!C6</t>
  </si>
  <si>
    <t xml:space="preserve">Peso de las fichas = palanca de peso</t>
  </si>
  <si>
    <t xml:space="preserve">A02</t>
  </si>
  <si>
    <t xml:space="preserve">SUP_INSUMOS!E120</t>
  </si>
  <si>
    <t xml:space="preserve">Precio del kg en la despensa = costo activo</t>
  </si>
  <si>
    <t xml:space="preserve">A03</t>
  </si>
  <si>
    <t xml:space="preserve">SUP_COSTOS!E19</t>
  </si>
  <si>
    <t xml:space="preserve">I01 costo del kg (VLOOKUP) = costo activo</t>
  </si>
  <si>
    <t xml:space="preserve">A04</t>
  </si>
  <si>
    <t xml:space="preserve">SUP_COSTOS!F70</t>
  </si>
  <si>
    <t xml:space="preserve">Pollo del asado = peso × costo</t>
  </si>
  <si>
    <t xml:space="preserve">A05</t>
  </si>
  <si>
    <t xml:space="preserve">SUP_COSTOS!E20</t>
  </si>
  <si>
    <t xml:space="preserve">Marinado USD/kg = g/kg × precio por g</t>
  </si>
  <si>
    <t xml:space="preserve">A06</t>
  </si>
  <si>
    <t xml:space="preserve">SUP_COSTOS!F71</t>
  </si>
  <si>
    <t xml:space="preserve">Marinado del asado = peso × USD/kg</t>
  </si>
  <si>
    <t xml:space="preserve">A07</t>
  </si>
  <si>
    <t xml:space="preserve">SUP_COSTOS!C80</t>
  </si>
  <si>
    <t xml:space="preserve">Kg por pieza broaster = peso ÷ cortes</t>
  </si>
  <si>
    <t xml:space="preserve">A08</t>
  </si>
  <si>
    <t xml:space="preserve">SUP_COSTOS!F80</t>
  </si>
  <si>
    <t xml:space="preserve">Pollo por pieza broaster = kg pieza × costo</t>
  </si>
  <si>
    <t xml:space="preserve">A09</t>
  </si>
  <si>
    <t xml:space="preserve">SUP_COSTOS!E27</t>
  </si>
  <si>
    <t xml:space="preserve">Apanado USD/kg = batter + predust por gramo</t>
  </si>
  <si>
    <t xml:space="preserve">A10</t>
  </si>
  <si>
    <t xml:space="preserve">SUP_COSTOS!F226</t>
  </si>
  <si>
    <t xml:space="preserve">Bandeja cruda = 0,55 kg × costo activo</t>
  </si>
  <si>
    <t xml:space="preserve">A11</t>
  </si>
  <si>
    <t xml:space="preserve">SUP_PRECIOS!F8</t>
  </si>
  <si>
    <t xml:space="preserve">Costo AS-01 en precios = ficha</t>
  </si>
  <si>
    <t xml:space="preserve">A12</t>
  </si>
  <si>
    <t xml:space="preserve">SUP_PRECIOS!H8</t>
  </si>
  <si>
    <t xml:space="preserve">Margen AS-01 = réplica independiente (SENS 1.2)</t>
  </si>
  <si>
    <t xml:space="preserve">A13</t>
  </si>
  <si>
    <t xml:space="preserve">SUP_CONTROL!C28</t>
  </si>
  <si>
    <t xml:space="preserve">Kg por pollo del panel de control</t>
  </si>
  <si>
    <t xml:space="preserve">A14</t>
  </si>
  <si>
    <t xml:space="preserve">SUP_CONTROL!C29</t>
  </si>
  <si>
    <t xml:space="preserve">Costo del kg en el panel de control</t>
  </si>
  <si>
    <t xml:space="preserve">A15</t>
  </si>
  <si>
    <t xml:space="preserve">SUP_CONTROL!C27</t>
  </si>
  <si>
    <t xml:space="preserve">Margen por pollo = margen del menú ÷ pollos MEDIO</t>
  </si>
  <si>
    <t xml:space="preserve">A16</t>
  </si>
  <si>
    <t xml:space="preserve">SUP_VOLUMEN!D49</t>
  </si>
  <si>
    <t xml:space="preserve">Kg de la red = pollos × peso</t>
  </si>
  <si>
    <t xml:space="preserve">A17</t>
  </si>
  <si>
    <t xml:space="preserve">SUP_MENU!E63</t>
  </si>
  <si>
    <t xml:space="preserve">Bandejas crudas = pollos crudo × peso ÷ 0,55</t>
  </si>
  <si>
    <t xml:space="preserve">A18</t>
  </si>
  <si>
    <t xml:space="preserve">SUP_INSUMOS!D108</t>
  </si>
  <si>
    <t xml:space="preserve">Peso de la despensa = palanca</t>
  </si>
  <si>
    <t xml:space="preserve">A19</t>
  </si>
  <si>
    <t xml:space="preserve">CAPA1_PILOTO fila 16</t>
  </si>
  <si>
    <t xml:space="preserve">Kg del piloto = pollos × peso (120 meses)</t>
  </si>
  <si>
    <t xml:space="preserve">A20</t>
  </si>
  <si>
    <t xml:space="preserve">CAPA3_EXPANSION fila 41</t>
  </si>
  <si>
    <t xml:space="preserve">Kg de la expansión = pollos × peso</t>
  </si>
  <si>
    <t xml:space="preserve">A21</t>
  </si>
  <si>
    <t xml:space="preserve">FC_CRONOGRAMA fila 60</t>
  </si>
  <si>
    <t xml:space="preserve">Kg del flujo de caja = pollos × peso</t>
  </si>
  <si>
    <t xml:space="preserve">A22</t>
  </si>
  <si>
    <t xml:space="preserve">PROD_DEMANDA fila 6</t>
  </si>
  <si>
    <t xml:space="preserve">Kg que ve la planta = kg del piloto</t>
  </si>
  <si>
    <t xml:space="preserve">A23</t>
  </si>
  <si>
    <t xml:space="preserve">SUP_PLANTA_OPEX!C45</t>
  </si>
  <si>
    <t xml:space="preserve">Capital de trabajo de planta usa el costo activo</t>
  </si>
  <si>
    <t xml:space="preserve">A24</t>
  </si>
  <si>
    <t xml:space="preserve">RESUMEN_EJECUTIVO!C64</t>
  </si>
  <si>
    <t xml:space="preserve">Logística + transformación de la ventana usan el peso</t>
  </si>
  <si>
    <t xml:space="preserve">A25</t>
  </si>
  <si>
    <t xml:space="preserve">SUP_POLLO!C43</t>
  </si>
  <si>
    <t xml:space="preserve">Capacidad del tumbler en pollos = t/mes ÷ peso</t>
  </si>
  <si>
    <t xml:space="preserve">A26</t>
  </si>
  <si>
    <t xml:space="preserve">PUNTO_EQUILIBRIO vigencia</t>
  </si>
  <si>
    <t xml:space="preserve">Snapshot del equilibrio vigente (nº de ⚠)</t>
  </si>
  <si>
    <t xml:space="preserve">A27</t>
  </si>
  <si>
    <t xml:space="preserve">SENS_POLLO vigencia</t>
  </si>
  <si>
    <t xml:space="preserve">Snapshot del mapa vigente (nº de ⚠)</t>
  </si>
  <si>
    <t xml:space="preserve">A28</t>
  </si>
  <si>
    <t xml:space="preserve">FC_CHEQUEO!E104</t>
  </si>
  <si>
    <t xml:space="preserve">Verificaciones de tesorería fallidas</t>
  </si>
  <si>
    <t xml:space="preserve">A29</t>
  </si>
  <si>
    <t xml:space="preserve">SUP_POLLO controles</t>
  </si>
  <si>
    <t xml:space="preserve">Escenario válido y retención ≤ marinada (nº de ⚠)</t>
  </si>
  <si>
    <t xml:space="preserve">2. PRUEBAS DEL COMITÉ EJECUTADAS ANTES DE LA ENTREGA (27-sep-2026) — resultados fijos</t>
  </si>
  <si>
    <t xml:space="preserve">Prueba</t>
  </si>
  <si>
    <t xml:space="preserve">Qué se hizo y qué se encontró</t>
  </si>
  <si>
    <t xml:space="preserve">Resultado</t>
  </si>
  <si>
    <t xml:space="preserve">Referencia</t>
  </si>
  <si>
    <t xml:space="preserve">P1</t>
  </si>
  <si>
    <t xml:space="preserve">Regresión contra v11</t>
  </si>
  <si>
    <t xml:space="preserve">Panel en 2,0 kg × 1,70, marinado 300 g/kg y apanado v11 (predust 1, batter 0). El libro reproduce el VPN de v11.</t>
  </si>
  <si>
    <t xml:space="preserve">2,738,917.38</t>
  </si>
  <si>
    <t xml:space="preserve">v11: 2.738.917,38</t>
  </si>
  <si>
    <t xml:space="preserve">P2</t>
  </si>
  <si>
    <t xml:space="preserve">Perturbación del peso</t>
  </si>
  <si>
    <t xml:space="preserve">SUP_POLLO!C18 de 1,65 a 1,75 kg. Celdas que cambian: 15,965 en 27 hojas (CAPA3_EXPANSION 3,086, CAPA3_PDV_DETALLE 2,324, CAPA2_FLAGSHIP 1,829, CAPA1_PILOTO 1,758, CONSOLIDADO 1,394, FC_FLUJO_CAJA 1,384…). Los 25 controles de cascada siguen en ✓; solo la vigencia del equilibrio avisa (esperado).</t>
  </si>
  <si>
    <t xml:space="preserve">VPN 243,373</t>
  </si>
  <si>
    <t xml:space="preserve">Mapa: entre 0,86 M (1,70) y −0,17 M (1,80)</t>
  </si>
  <si>
    <t xml:space="preserve">P3</t>
  </si>
  <si>
    <t xml:space="preserve">Perturbación del costo</t>
  </si>
  <si>
    <t xml:space="preserve">SUP_POLLO!C6 escenario 4 (2,42). Celdas que cambian: 13,291 en 28 hojas. Semáforo de banda pasa a ⚠ SOBRE EL TECHO.</t>
  </si>
  <si>
    <t xml:space="preserve">VPN -127,636</t>
  </si>
  <si>
    <t xml:space="preserve">Mapa 1,65 × 2,42: -127,636</t>
  </si>
  <si>
    <t xml:space="preserve">P4</t>
  </si>
  <si>
    <t xml:space="preserve">Barrido de literales en fórmulas</t>
  </si>
  <si>
    <t xml:space="preserve">Búsqueda de 1,65 / 2,2 / 1,7 / 1,815 / 2,42 escritos a mano dentro de fórmulas fuera de SUP_POLLO (excluye los respaldos de escenario de RESUMEN).</t>
  </si>
  <si>
    <t xml:space="preserve">0 hallazgos</t>
  </si>
  <si>
    <t xml:space="preserve">Debe ser 0</t>
  </si>
  <si>
    <t xml:space="preserve">P5</t>
  </si>
  <si>
    <t xml:space="preserve">Barrido de textos y notas</t>
  </si>
  <si>
    <t xml:space="preserve">Búsqueda de '1,70/kg', '2 kg', '222 g', '1.777 g', 'peso vivo', 'precio vivo' en todas las hojas. Quedan 4 menciones deliberadas de la receta original (300 g / 200 g / 400 g por ave de 2 kg) en SUP_COSTOS G6, G7, B25, B26.</t>
  </si>
  <si>
    <t xml:space="preserve">4 menciones revisadas</t>
  </si>
  <si>
    <t xml:space="preserve">Todas intencionales</t>
  </si>
  <si>
    <t xml:space="preserve">P6</t>
  </si>
  <si>
    <t xml:space="preserve">Recálculo completo</t>
  </si>
  <si>
    <t xml:space="preserve">LibreOffice recalcula el libro entero: 0 errores de fórmula.</t>
  </si>
  <si>
    <t xml:space="preserve">0 errores</t>
  </si>
  <si>
    <t xml:space="preserve">61.421 fórmulas</t>
  </si>
  <si>
    <t xml:space="preserve">P7</t>
  </si>
  <si>
    <t xml:space="preserve">Tesorería</t>
  </si>
  <si>
    <t xml:space="preserve">FC_CHEQUEO!E104 (verificaciones del flujo de caja fallidas).</t>
  </si>
  <si>
    <t xml:space="preserve">0</t>
  </si>
  <si>
    <t xml:space="preserve">P8</t>
  </si>
  <si>
    <t xml:space="preserve">Snapshots</t>
  </si>
  <si>
    <t xml:space="preserve">RESUMEN (secciones 2-4 y 6), PUNTO_EQUILIBRIO y SENS_POLLO re-calculados con la base v12; la columna MEDIO en vivo coincide con el snapshot al centavo.</t>
  </si>
  <si>
    <t xml:space="preserve">VPN 1,374,513</t>
  </si>
  <si>
    <t xml:space="preserve">CONSOLIDADO!C25</t>
  </si>
  <si>
    <t xml:space="preserve">P9</t>
  </si>
  <si>
    <t xml:space="preserve">Método del equilibrio</t>
  </si>
  <si>
    <t xml:space="preserve">La bisección, con los supuestos v11, devuelve 3.302,4 pollos/mes con VPN +15 (el snapshot v11 decía +11).</t>
  </si>
  <si>
    <t xml:space="preserve">3.302</t>
  </si>
  <si>
    <t xml:space="preserve">v11: 3.302</t>
  </si>
  <si>
    <t xml:space="preserve">3. REGISTRO DE CAMBIOS v12 (hoja, celdas y cambio)</t>
  </si>
  <si>
    <t xml:space="preserve">Hoja</t>
  </si>
  <si>
    <t xml:space="preserve">Celdas</t>
  </si>
  <si>
    <t xml:space="preserve">Cambio</t>
  </si>
  <si>
    <t xml:space="preserve">D120:E120</t>
  </si>
  <si>
    <t xml:space="preserve">1,70 fijo → vínculo a SUP_POLLO!C13 (costo activo del kg beneficiado)</t>
  </si>
  <si>
    <t xml:space="preserve">D108</t>
  </si>
  <si>
    <t xml:space="preserve">2 fijo → vínculo al peso activo</t>
  </si>
  <si>
    <t xml:space="preserve">B118</t>
  </si>
  <si>
    <t xml:space="preserve">etiqueta sin "2 kg"</t>
  </si>
  <si>
    <t xml:space="preserve">C6</t>
  </si>
  <si>
    <t xml:space="preserve">2 fijo → vínculo a SUP_POLLO!C18</t>
  </si>
  <si>
    <t xml:space="preserve">B7:C8, G6:G8</t>
  </si>
  <si>
    <t xml:space="preserve">Constantes 0,237 no usadas → marinada aplicada por pollo (informativo, en cascada)</t>
  </si>
  <si>
    <t xml:space="preserve">D20</t>
  </si>
  <si>
    <t xml:space="preserve">300 g/pollo aplicado por kg → vínculo 150 g/kg (SUP_POLLO!C29). Corrige doble conteo del marinado</t>
  </si>
  <si>
    <t xml:space="preserve">D25,D26,E27</t>
  </si>
  <si>
    <t xml:space="preserve">Apanado: gramos por kg de ave y E27 = batter + predust (corrige error de unidad USD/g usado como USD/kg)</t>
  </si>
  <si>
    <t xml:space="preserve">B80,G80,B168</t>
  </si>
  <si>
    <t xml:space="preserve">Textos con 2 kg / 222 g / 1.777 g → fórmulas con el peso activo</t>
  </si>
  <si>
    <t xml:space="preserve">B28, C29</t>
  </si>
  <si>
    <t xml:space="preserve">Etiqueta beneficiado + nueva fila de costo del kg activo con semáforo de banda</t>
  </si>
  <si>
    <t xml:space="preserve">SUP_VOLUMEN/SUP_MENU/FC_GANTT/SUP_PLANTA_OPEX</t>
  </si>
  <si>
    <t xml:space="preserve">B49/H63/B87/G45</t>
  </si>
  <si>
    <t xml:space="preserve">Textos: kg beneficiado, peso y costo en vivo</t>
  </si>
  <si>
    <t xml:space="preserve">B58:E59</t>
  </si>
  <si>
    <t xml:space="preserve">Vigencia del snapshot incluye costo del kg y peso; rangos de control ampliados en PE y RESUMEN</t>
  </si>
  <si>
    <t xml:space="preserve">Meta del indicador costo del pollo ÷ precio neto AS-01 = 40%</t>
  </si>
  <si>
    <t xml:space="preserve">hoja nueva</t>
  </si>
  <si>
    <t xml:space="preserve">Economía por ave en vivo, mapa de 48 corridas, banda por peso, puente v11→v12, palanca de precio, tumbler y capacidad, vigencia</t>
  </si>
  <si>
    <t xml:space="preserve">secciones 2-4 y 6</t>
  </si>
  <si>
    <t xml:space="preserve">Snapshots recalculados con la base v12 (15 corridas: 3 escenarios × 4 configuraciones)</t>
  </si>
  <si>
    <t xml:space="preserve">C6, C22:C29, C33:L39, C46:C59</t>
  </si>
  <si>
    <t xml:space="preserve">Equilibrio re-calculado por bisección con la base v12: 3,579 pollos/mes por ventana (v11: 3.302)</t>
  </si>
  <si>
    <t xml:space="preserve">INICIO/LEEME/POR_VALIDAR</t>
  </si>
  <si>
    <t xml:space="preserve">filas nuevas</t>
  </si>
  <si>
    <t xml:space="preserve">Documentación v12, índice de hojas nuevas y 5 supuestos del ave por validar</t>
  </si>
</sst>
</file>

<file path=xl/styles.xml><?xml version="1.0" encoding="utf-8"?>
<styleSheet xmlns="http://schemas.openxmlformats.org/spreadsheetml/2006/main">
  <numFmts count="44">
    <numFmt numFmtId="164" formatCode="General"/>
    <numFmt numFmtId="165" formatCode="#,##0"/>
    <numFmt numFmtId="166" formatCode="\$#,##0"/>
    <numFmt numFmtId="167" formatCode="\$#,##0;&quot;($&quot;#,##0\);\-"/>
    <numFmt numFmtId="168" formatCode="0.0%"/>
    <numFmt numFmtId="169" formatCode="0.00"/>
    <numFmt numFmtId="170" formatCode="#,##0.0"/>
    <numFmt numFmtId="171" formatCode="0%"/>
    <numFmt numFmtId="172" formatCode="\$#,##0;&quot;($&quot;#,##0\)"/>
    <numFmt numFmtId="173" formatCode="&quot;+$&quot;#,##0;&quot;($&quot;#,##0\)"/>
    <numFmt numFmtId="174" formatCode="\+0.0%;\-0.0%"/>
    <numFmt numFmtId="175" formatCode="0.0\×"/>
    <numFmt numFmtId="176" formatCode="\$0.00"/>
    <numFmt numFmtId="177" formatCode="0.0&quot; ventanas&quot;"/>
    <numFmt numFmtId="178" formatCode="\$#,##0.00"/>
    <numFmt numFmtId="179" formatCode="0.000"/>
    <numFmt numFmtId="180" formatCode="0.00&quot; kg&quot;"/>
    <numFmt numFmtId="181" formatCode="\+0.000;\-0.000"/>
    <numFmt numFmtId="182" formatCode="0"/>
    <numFmt numFmtId="183" formatCode="#,##0;\(#,##0\)"/>
    <numFmt numFmtId="184" formatCode="\+#,##0;\-#,##0"/>
    <numFmt numFmtId="185" formatCode="0.00&quot; kg sin marinar&quot;"/>
    <numFmt numFmtId="186" formatCode="0.00;\(0.00\)"/>
    <numFmt numFmtId="187" formatCode="0.0"/>
    <numFmt numFmtId="188" formatCode="General"/>
    <numFmt numFmtId="189" formatCode="#,##0.00"/>
    <numFmt numFmtId="190" formatCode="\$#,##0.000"/>
    <numFmt numFmtId="191" formatCode="0.00%"/>
    <numFmt numFmtId="192" formatCode="0.00000"/>
    <numFmt numFmtId="193" formatCode="0.0000"/>
    <numFmt numFmtId="194" formatCode="\$0.000"/>
    <numFmt numFmtId="195" formatCode="\$0.0000"/>
    <numFmt numFmtId="196" formatCode="#,##0;\(#,##0\);\-"/>
    <numFmt numFmtId="197" formatCode="dd/mm/yy"/>
    <numFmt numFmtId="198" formatCode="mmm\-yy"/>
    <numFmt numFmtId="199" formatCode="#,##0.0;\(#,##0.0\);\-"/>
    <numFmt numFmtId="200" formatCode="dd\-mmm\-yy"/>
    <numFmt numFmtId="201" formatCode="dd/mm"/>
    <numFmt numFmtId="202" formatCode="d\-mmm\-yy"/>
    <numFmt numFmtId="203" formatCode=";;;@"/>
    <numFmt numFmtId="204" formatCode="\$#,##0.00;&quot;($&quot;#,##0.00\);\-"/>
    <numFmt numFmtId="205" formatCode="0.0%;\(0.0%\);\-"/>
    <numFmt numFmtId="206" formatCode="@"/>
    <numFmt numFmtId="207" formatCode="#,##0.0000"/>
  </numFmts>
  <fonts count="142">
    <font>
      <sz val="11"/>
      <color theme="1"/>
      <name val="Calibri"/>
      <family val="2"/>
      <charset val="1"/>
    </font>
    <font>
      <sz val="10"/>
      <name val="Arial"/>
      <family val="0"/>
    </font>
    <font>
      <sz val="10"/>
      <name val="Arial"/>
      <family val="0"/>
    </font>
    <font>
      <sz val="10"/>
      <name val="Arial"/>
      <family val="0"/>
    </font>
    <font>
      <b val="true"/>
      <sz val="16"/>
      <color rgb="FFFFFFFF"/>
      <name val="Arial"/>
      <family val="2"/>
      <charset val="1"/>
    </font>
    <font>
      <i val="true"/>
      <sz val="9.5"/>
      <color rgb="FFC7C8CD"/>
      <name val="Arial"/>
      <family val="2"/>
      <charset val="1"/>
    </font>
    <font>
      <b val="true"/>
      <sz val="11.5"/>
      <color rgb="FFFFFFFF"/>
      <name val="Arial"/>
      <family val="2"/>
      <charset val="1"/>
    </font>
    <font>
      <i val="true"/>
      <sz val="9"/>
      <color rgb="FF444444"/>
      <name val="Arial"/>
      <family val="2"/>
      <charset val="1"/>
    </font>
    <font>
      <u val="single"/>
      <sz val="10.5"/>
      <color rgb="FF1155CC"/>
      <name val="Arial"/>
      <family val="2"/>
      <charset val="1"/>
    </font>
    <font>
      <sz val="9"/>
      <color rgb="FF444444"/>
      <name val="Arial"/>
      <family val="2"/>
      <charset val="1"/>
    </font>
    <font>
      <u val="single"/>
      <sz val="11"/>
      <color theme="10"/>
      <name val="Calibri"/>
      <family val="2"/>
      <charset val="1"/>
    </font>
    <font>
      <sz val="10.5"/>
      <color rgb="FF1155CC"/>
      <name val="Arial"/>
      <family val="2"/>
      <charset val="1"/>
    </font>
    <font>
      <sz val="10.5"/>
      <color rgb="FF1155CC"/>
      <name val="Arial"/>
      <family val="0"/>
      <charset val="1"/>
    </font>
    <font>
      <sz val="9"/>
      <color rgb="FF444444"/>
      <name val="Arial"/>
      <family val="0"/>
      <charset val="1"/>
    </font>
    <font>
      <b val="true"/>
      <sz val="14"/>
      <color rgb="FFFFFFFF"/>
      <name val="Calibri"/>
      <family val="2"/>
      <charset val="1"/>
    </font>
    <font>
      <i val="true"/>
      <sz val="9"/>
      <color rgb="FF595959"/>
      <name val="Calibri"/>
      <family val="2"/>
      <charset val="1"/>
    </font>
    <font>
      <b val="true"/>
      <sz val="10"/>
      <color theme="1"/>
      <name val="Calibri"/>
      <family val="2"/>
      <charset val="1"/>
    </font>
    <font>
      <b val="true"/>
      <sz val="11"/>
      <color rgb="FF008000"/>
      <name val="Calibri"/>
      <family val="2"/>
      <charset val="1"/>
    </font>
    <font>
      <sz val="11"/>
      <color rgb="FF008000"/>
      <name val="Calibri"/>
      <family val="2"/>
      <charset val="1"/>
    </font>
    <font>
      <b val="true"/>
      <sz val="11"/>
      <color theme="1"/>
      <name val="Calibri"/>
      <family val="2"/>
      <charset val="1"/>
    </font>
    <font>
      <i val="true"/>
      <sz val="8.5"/>
      <color rgb="FF666666"/>
      <name val="Arial"/>
      <family val="2"/>
      <charset val="1"/>
    </font>
    <font>
      <sz val="11"/>
      <color rgb="FF0000FF"/>
      <name val="Calibri"/>
      <family val="2"/>
      <charset val="1"/>
    </font>
    <font>
      <b val="true"/>
      <sz val="11"/>
      <color rgb="FF0000FF"/>
      <name val="Calibri"/>
      <family val="2"/>
      <charset val="1"/>
    </font>
    <font>
      <b val="true"/>
      <sz val="11"/>
      <color rgb="FFFFFFFF"/>
      <name val="Calibri"/>
      <family val="2"/>
      <charset val="1"/>
    </font>
    <font>
      <b val="true"/>
      <sz val="11"/>
      <color rgb="FF1F4E78"/>
      <name val="Calibri"/>
      <family val="2"/>
      <charset val="1"/>
    </font>
    <font>
      <i val="true"/>
      <sz val="11"/>
      <color rgb="FFC00000"/>
      <name val="Calibri"/>
      <family val="2"/>
      <charset val="1"/>
    </font>
    <font>
      <b val="true"/>
      <sz val="10"/>
      <color rgb="FFFFFFFF"/>
      <name val="Calibri"/>
      <family val="2"/>
      <charset val="1"/>
    </font>
    <font>
      <b val="true"/>
      <sz val="11"/>
      <color rgb="FFC00000"/>
      <name val="Calibri"/>
      <family val="2"/>
      <charset val="1"/>
    </font>
    <font>
      <b val="true"/>
      <sz val="10"/>
      <color rgb="FFC00000"/>
      <name val="Calibri"/>
      <family val="2"/>
      <charset val="1"/>
    </font>
    <font>
      <i val="true"/>
      <sz val="9"/>
      <color theme="1"/>
      <name val="Calibri"/>
      <family val="2"/>
      <charset val="1"/>
    </font>
    <font>
      <sz val="14"/>
      <color rgb="FF595959"/>
      <name val="Calibri"/>
      <family val="2"/>
    </font>
    <font>
      <sz val="9"/>
      <color rgb="FF595959"/>
      <name val="Calibri"/>
      <family val="2"/>
    </font>
    <font>
      <b val="true"/>
      <sz val="14"/>
      <color rgb="FF1F4E78"/>
      <name val="Calibri"/>
      <family val="2"/>
      <charset val="1"/>
    </font>
    <font>
      <i val="true"/>
      <sz val="9"/>
      <color rgb="FF808080"/>
      <name val="Calibri"/>
      <family val="2"/>
      <charset val="1"/>
    </font>
    <font>
      <sz val="9"/>
      <color rgb="FFC00000"/>
      <name val="Calibri"/>
      <family val="2"/>
      <charset val="1"/>
    </font>
    <font>
      <sz val="9"/>
      <color rgb="FFBF8F00"/>
      <name val="Calibri"/>
      <family val="2"/>
      <charset val="1"/>
    </font>
    <font>
      <sz val="9"/>
      <color rgb="FF548235"/>
      <name val="Calibri"/>
      <family val="2"/>
      <charset val="1"/>
    </font>
    <font>
      <sz val="9"/>
      <color rgb="FF595959"/>
      <name val="Calibri"/>
      <family val="2"/>
      <charset val="1"/>
    </font>
    <font>
      <sz val="11"/>
      <color rgb="FF000000"/>
      <name val="Calibri"/>
      <family val="2"/>
      <charset val="1"/>
    </font>
    <font>
      <b val="true"/>
      <sz val="11"/>
      <color rgb="FF000000"/>
      <name val="Calibri"/>
      <family val="2"/>
      <charset val="1"/>
    </font>
    <font>
      <i val="true"/>
      <sz val="8"/>
      <color rgb="FF808080"/>
      <name val="Arial"/>
      <family val="2"/>
      <charset val="1"/>
    </font>
    <font>
      <sz val="10"/>
      <name val="Arial"/>
      <family val="2"/>
    </font>
    <font>
      <b val="true"/>
      <sz val="12"/>
      <color rgb="FFFFFFFF"/>
      <name val="Calibri"/>
      <family val="0"/>
      <charset val="1"/>
    </font>
    <font>
      <sz val="9"/>
      <color rgb="FF595959"/>
      <name val="Calibri"/>
      <family val="0"/>
      <charset val="1"/>
    </font>
    <font>
      <b val="true"/>
      <sz val="10"/>
      <name val="Calibri"/>
      <family val="0"/>
      <charset val="1"/>
    </font>
    <font>
      <b val="true"/>
      <sz val="10"/>
      <color rgb="FF0000FF"/>
      <name val="Calibri"/>
      <family val="0"/>
      <charset val="1"/>
    </font>
    <font>
      <b val="true"/>
      <sz val="9"/>
      <name val="Calibri"/>
      <family val="0"/>
      <charset val="1"/>
    </font>
    <font>
      <sz val="10"/>
      <name val="Calibri"/>
      <family val="0"/>
      <charset val="1"/>
    </font>
    <font>
      <sz val="10"/>
      <color rgb="FF008000"/>
      <name val="Calibri"/>
      <family val="0"/>
      <charset val="1"/>
    </font>
    <font>
      <sz val="10"/>
      <color rgb="FF0000FF"/>
      <name val="Calibri"/>
      <family val="0"/>
      <charset val="1"/>
    </font>
    <font>
      <b val="true"/>
      <sz val="16"/>
      <color rgb="FFFFFFFF"/>
      <name val="Calibri"/>
      <family val="2"/>
      <charset val="1"/>
    </font>
    <font>
      <sz val="10"/>
      <color rgb="FFFFFFFF"/>
      <name val="Calibri"/>
      <family val="2"/>
      <charset val="1"/>
    </font>
    <font>
      <i val="true"/>
      <sz val="10"/>
      <color rgb="FF1F4E79"/>
      <name val="Calibri"/>
      <family val="2"/>
      <charset val="1"/>
    </font>
    <font>
      <b val="true"/>
      <sz val="10"/>
      <name val="Calibri"/>
      <family val="2"/>
      <charset val="1"/>
    </font>
    <font>
      <sz val="10"/>
      <name val="Calibri"/>
      <family val="2"/>
      <charset val="1"/>
    </font>
    <font>
      <i val="true"/>
      <sz val="8"/>
      <color rgb="FF808080"/>
      <name val="Calibri"/>
      <family val="2"/>
      <charset val="1"/>
    </font>
    <font>
      <b val="true"/>
      <i val="true"/>
      <sz val="10"/>
      <color rgb="FF595959"/>
      <name val="Calibri"/>
      <family val="2"/>
      <charset val="1"/>
    </font>
    <font>
      <b val="true"/>
      <sz val="10"/>
      <color rgb="FF1F4E79"/>
      <name val="Calibri"/>
      <family val="0"/>
      <charset val="1"/>
    </font>
    <font>
      <sz val="9"/>
      <color rgb="FF000000"/>
      <name val="Calibri"/>
      <family val="0"/>
      <charset val="1"/>
    </font>
    <font>
      <b val="true"/>
      <sz val="12"/>
      <color rgb="FFFFFFFF"/>
      <name val="Calibri"/>
      <family val="2"/>
      <charset val="1"/>
    </font>
    <font>
      <b val="true"/>
      <sz val="10"/>
      <color rgb="FF0000FF"/>
      <name val="Calibri"/>
      <family val="2"/>
      <charset val="1"/>
    </font>
    <font>
      <b val="true"/>
      <sz val="10"/>
      <color rgb="FF008000"/>
      <name val="Calibri"/>
      <family val="2"/>
      <charset val="1"/>
    </font>
    <font>
      <sz val="10"/>
      <color rgb="FF0000FF"/>
      <name val="Calibri"/>
      <family val="2"/>
      <charset val="1"/>
    </font>
    <font>
      <sz val="10"/>
      <color rgb="FF008000"/>
      <name val="Calibri"/>
      <family val="2"/>
      <charset val="1"/>
    </font>
    <font>
      <sz val="11"/>
      <name val="Calibri"/>
      <family val="0"/>
      <charset val="1"/>
    </font>
    <font>
      <sz val="10"/>
      <color rgb="FF000000"/>
      <name val="Calibri"/>
      <family val="2"/>
      <charset val="1"/>
    </font>
    <font>
      <b val="true"/>
      <sz val="11"/>
      <color rgb="FF1F4E79"/>
      <name val="Calibri"/>
      <family val="2"/>
      <charset val="1"/>
    </font>
    <font>
      <b val="true"/>
      <sz val="12"/>
      <color rgb="FF1F4E78"/>
      <name val="Calibri"/>
      <family val="2"/>
      <charset val="1"/>
    </font>
    <font>
      <i val="true"/>
      <sz val="11"/>
      <color rgb="FF808080"/>
      <name val="Calibri"/>
      <family val="2"/>
      <charset val="1"/>
    </font>
    <font>
      <b val="true"/>
      <sz val="10"/>
      <color rgb="FF008000"/>
      <name val="Calibri"/>
      <family val="0"/>
      <charset val="1"/>
    </font>
    <font>
      <sz val="11"/>
      <color rgb="FF00B050"/>
      <name val="Calibri"/>
      <family val="2"/>
      <charset val="1"/>
    </font>
    <font>
      <b val="true"/>
      <sz val="10"/>
      <name val="Arial"/>
      <family val="2"/>
      <charset val="1"/>
    </font>
    <font>
      <sz val="10"/>
      <color rgb="FF0000FF"/>
      <name val="Arial"/>
      <family val="2"/>
      <charset val="1"/>
    </font>
    <font>
      <i val="true"/>
      <sz val="9"/>
      <color rgb="FF808080"/>
      <name val="Calibri"/>
      <family val="0"/>
      <charset val="1"/>
    </font>
    <font>
      <sz val="10"/>
      <color rgb="FF000000"/>
      <name val="Calibri"/>
      <family val="0"/>
      <charset val="1"/>
    </font>
    <font>
      <sz val="9"/>
      <color rgb="FF808080"/>
      <name val="Calibri"/>
      <family val="0"/>
      <charset val="1"/>
    </font>
    <font>
      <b val="true"/>
      <sz val="10"/>
      <color rgb="FF000000"/>
      <name val="Calibri"/>
      <family val="0"/>
      <charset val="1"/>
    </font>
    <font>
      <i val="true"/>
      <sz val="9"/>
      <name val="Arial"/>
      <family val="2"/>
      <charset val="1"/>
    </font>
    <font>
      <b val="true"/>
      <sz val="10"/>
      <color rgb="FF1F4E78"/>
      <name val="Calibri"/>
      <family val="2"/>
      <charset val="1"/>
    </font>
    <font>
      <i val="true"/>
      <sz val="10"/>
      <color rgb="FF808080"/>
      <name val="Calibri"/>
      <family val="2"/>
      <charset val="1"/>
    </font>
    <font>
      <b val="true"/>
      <sz val="12"/>
      <color rgb="FFFFFFFF"/>
      <name val="Arial"/>
      <family val="2"/>
      <charset val="1"/>
    </font>
    <font>
      <i val="true"/>
      <sz val="9"/>
      <color theme="1"/>
      <name val="Arial"/>
      <family val="2"/>
      <charset val="1"/>
    </font>
    <font>
      <sz val="9"/>
      <color rgb="FF808080"/>
      <name val="Arial"/>
      <family val="2"/>
      <charset val="1"/>
    </font>
    <font>
      <b val="true"/>
      <sz val="10"/>
      <color theme="1"/>
      <name val="Arial"/>
      <family val="2"/>
      <charset val="1"/>
    </font>
    <font>
      <sz val="10"/>
      <color theme="1"/>
      <name val="Arial"/>
      <family val="2"/>
      <charset val="1"/>
    </font>
    <font>
      <sz val="10"/>
      <color rgb="FF008000"/>
      <name val="Arial"/>
      <family val="2"/>
      <charset val="1"/>
    </font>
    <font>
      <b val="true"/>
      <sz val="10"/>
      <color rgb="FF0000FF"/>
      <name val="Arial"/>
      <family val="2"/>
      <charset val="1"/>
    </font>
    <font>
      <b val="true"/>
      <sz val="9"/>
      <color theme="1"/>
      <name val="Arial"/>
      <family val="2"/>
      <charset val="1"/>
    </font>
    <font>
      <sz val="9"/>
      <color theme="1"/>
      <name val="Arial"/>
      <family val="2"/>
      <charset val="1"/>
    </font>
    <font>
      <b val="true"/>
      <sz val="10"/>
      <color rgb="FFFFFFFF"/>
      <name val="Arial"/>
      <family val="2"/>
      <charset val="1"/>
    </font>
    <font>
      <b val="true"/>
      <i val="true"/>
      <sz val="9"/>
      <color rgb="FF595959"/>
      <name val="Calibri"/>
      <family val="2"/>
      <charset val="1"/>
    </font>
    <font>
      <i val="true"/>
      <sz val="9"/>
      <color rgb="FF444444"/>
      <name val="Calibri"/>
      <family val="2"/>
      <charset val="1"/>
    </font>
    <font>
      <b val="true"/>
      <sz val="10"/>
      <color rgb="FF1F4E79"/>
      <name val="Calibri"/>
      <family val="2"/>
      <charset val="1"/>
    </font>
    <font>
      <sz val="9"/>
      <color rgb="FF808080"/>
      <name val="Calibri"/>
      <family val="2"/>
      <charset val="1"/>
    </font>
    <font>
      <b val="true"/>
      <sz val="10"/>
      <color rgb="FF000000"/>
      <name val="Calibri"/>
      <family val="2"/>
      <charset val="1"/>
    </font>
    <font>
      <i val="true"/>
      <sz val="9"/>
      <color rgb="FFC00000"/>
      <name val="Calibri"/>
      <family val="2"/>
      <charset val="1"/>
    </font>
    <font>
      <i val="true"/>
      <sz val="10"/>
      <color rgb="FF000000"/>
      <name val="Calibri"/>
      <family val="2"/>
      <charset val="1"/>
    </font>
    <font>
      <i val="true"/>
      <sz val="10"/>
      <color rgb="FF555555"/>
      <name val="Calibri"/>
      <family val="2"/>
      <charset val="1"/>
    </font>
    <font>
      <sz val="10"/>
      <color rgb="FF808080"/>
      <name val="Calibri"/>
      <family val="2"/>
      <charset val="1"/>
    </font>
    <font>
      <sz val="9"/>
      <color rgb="FF000000"/>
      <name val="Calibri"/>
      <family val="2"/>
      <charset val="1"/>
    </font>
    <font>
      <sz val="10"/>
      <color rgb="FF808080"/>
      <name val="Calibri"/>
      <family val="0"/>
      <charset val="1"/>
    </font>
    <font>
      <b val="true"/>
      <sz val="10"/>
      <color rgb="FFFFFFFF"/>
      <name val="Calibri"/>
      <family val="0"/>
      <charset val="1"/>
    </font>
    <font>
      <b val="true"/>
      <sz val="10"/>
      <color rgb="FF808080"/>
      <name val="Calibri"/>
      <family val="2"/>
      <charset val="1"/>
    </font>
    <font>
      <b val="true"/>
      <sz val="10"/>
      <color rgb="FF808080"/>
      <name val="Calibri"/>
      <family val="0"/>
      <charset val="1"/>
    </font>
    <font>
      <b val="true"/>
      <sz val="8"/>
      <color rgb="FFFFFFFF"/>
      <name val="Calibri"/>
      <family val="0"/>
      <charset val="1"/>
    </font>
    <font>
      <i val="true"/>
      <sz val="9"/>
      <color rgb="FF000000"/>
      <name val="Calibri"/>
      <family val="2"/>
      <charset val="1"/>
    </font>
    <font>
      <b val="true"/>
      <sz val="7"/>
      <color rgb="FFFFFFFF"/>
      <name val="Calibri"/>
      <family val="2"/>
      <charset val="1"/>
    </font>
    <font>
      <sz val="7"/>
      <color rgb="FF808080"/>
      <name val="Calibri"/>
      <family val="2"/>
      <charset val="1"/>
    </font>
    <font>
      <sz val="7"/>
      <color rgb="FFFFFFFF"/>
      <name val="Calibri"/>
      <family val="2"/>
      <charset val="1"/>
    </font>
    <font>
      <b val="true"/>
      <sz val="9"/>
      <color rgb="FFFFFFFF"/>
      <name val="Calibri"/>
      <family val="2"/>
      <charset val="1"/>
    </font>
    <font>
      <sz val="9"/>
      <color rgb="FF555555"/>
      <name val="Calibri"/>
      <family val="2"/>
      <charset val="1"/>
    </font>
    <font>
      <sz val="9"/>
      <color rgb="FF008000"/>
      <name val="Calibri"/>
      <family val="2"/>
      <charset val="1"/>
    </font>
    <font>
      <b val="true"/>
      <sz val="8"/>
      <color rgb="FFC00000"/>
      <name val="Calibri"/>
      <family val="2"/>
      <charset val="1"/>
    </font>
    <font>
      <sz val="9"/>
      <color rgb="FF0000FF"/>
      <name val="Calibri"/>
      <family val="2"/>
      <charset val="1"/>
    </font>
    <font>
      <b val="true"/>
      <sz val="8"/>
      <color rgb="FF1F4E79"/>
      <name val="Calibri"/>
      <family val="2"/>
      <charset val="1"/>
    </font>
    <font>
      <b val="true"/>
      <sz val="9"/>
      <color rgb="FF1F4E79"/>
      <name val="Calibri"/>
      <family val="2"/>
      <charset val="1"/>
    </font>
    <font>
      <b val="true"/>
      <sz val="9"/>
      <color rgb="FF000000"/>
      <name val="Calibri"/>
      <family val="2"/>
      <charset val="1"/>
    </font>
    <font>
      <b val="true"/>
      <sz val="8"/>
      <color rgb="FFFFFFFF"/>
      <name val="Calibri"/>
      <family val="2"/>
      <charset val="1"/>
    </font>
    <font>
      <b val="true"/>
      <sz val="9"/>
      <color rgb="FFFFFFFF"/>
      <name val="Calibri"/>
      <family val="0"/>
      <charset val="1"/>
    </font>
    <font>
      <sz val="8"/>
      <color rgb="FFBBBBBB"/>
      <name val="Calibri"/>
      <family val="2"/>
      <charset val="1"/>
    </font>
    <font>
      <i val="true"/>
      <sz val="9"/>
      <color rgb="FF444444"/>
      <name val="Calibri"/>
      <family val="0"/>
      <charset val="1"/>
    </font>
    <font>
      <b val="true"/>
      <sz val="9"/>
      <color rgb="FF000000"/>
      <name val="Calibri"/>
      <family val="0"/>
      <charset val="1"/>
    </font>
    <font>
      <sz val="8"/>
      <color rgb="FF808080"/>
      <name val="Calibri"/>
      <family val="0"/>
      <charset val="1"/>
    </font>
    <font>
      <sz val="9"/>
      <color rgb="FF555555"/>
      <name val="Calibri"/>
      <family val="0"/>
      <charset val="1"/>
    </font>
    <font>
      <sz val="9"/>
      <name val="Arial"/>
      <family val="2"/>
      <charset val="1"/>
    </font>
    <font>
      <b val="true"/>
      <sz val="10"/>
      <color rgb="FF000000"/>
      <name val="Arial"/>
      <family val="2"/>
      <charset val="1"/>
    </font>
    <font>
      <i val="true"/>
      <sz val="8"/>
      <color rgb="FF666666"/>
      <name val="Arial"/>
      <family val="2"/>
      <charset val="1"/>
    </font>
    <font>
      <sz val="10"/>
      <color rgb="FF000000"/>
      <name val="Arial"/>
      <family val="2"/>
      <charset val="1"/>
    </font>
    <font>
      <b val="true"/>
      <sz val="11"/>
      <color rgb="FFFFFFFF"/>
      <name val="Arial"/>
      <family val="2"/>
      <charset val="1"/>
    </font>
    <font>
      <b val="true"/>
      <sz val="13"/>
      <color rgb="FFFFFFFF"/>
      <name val="Arial"/>
      <family val="2"/>
      <charset val="1"/>
    </font>
    <font>
      <i val="true"/>
      <sz val="8.5"/>
      <color rgb="FFC7C8CD"/>
      <name val="Arial"/>
      <family val="2"/>
      <charset val="1"/>
    </font>
    <font>
      <b val="true"/>
      <sz val="9"/>
      <color rgb="FFFFFFFF"/>
      <name val="Arial"/>
      <family val="2"/>
      <charset val="1"/>
    </font>
    <font>
      <b val="true"/>
      <sz val="10"/>
      <color rgb="FF2563A8"/>
      <name val="Arial"/>
      <family val="2"/>
      <charset val="1"/>
    </font>
    <font>
      <i val="true"/>
      <sz val="9"/>
      <color rgb="FF000000"/>
      <name val="Arial"/>
      <family val="2"/>
      <charset val="1"/>
    </font>
    <font>
      <b val="true"/>
      <sz val="8"/>
      <name val="Arial"/>
      <family val="2"/>
      <charset val="1"/>
    </font>
    <font>
      <sz val="8"/>
      <name val="Arial"/>
      <family val="2"/>
      <charset val="1"/>
    </font>
    <font>
      <sz val="8"/>
      <color rgb="FF008000"/>
      <name val="Arial"/>
      <family val="2"/>
      <charset val="1"/>
    </font>
    <font>
      <b val="true"/>
      <sz val="11"/>
      <name val="Arial"/>
      <family val="2"/>
      <charset val="1"/>
    </font>
    <font>
      <sz val="10"/>
      <color rgb="FF000000"/>
      <name val="Calibri"/>
      <family val="2"/>
    </font>
    <font>
      <b val="true"/>
      <sz val="14"/>
      <color rgb="FFFFFFFF"/>
      <name val="Arial"/>
      <family val="2"/>
      <charset val="1"/>
    </font>
    <font>
      <i val="true"/>
      <sz val="9"/>
      <color rgb="FFC7C8CD"/>
      <name val="Arial"/>
      <family val="2"/>
      <charset val="1"/>
    </font>
    <font>
      <sz val="9"/>
      <name val="Calibri"/>
      <family val="0"/>
      <charset val="1"/>
    </font>
  </fonts>
  <fills count="31">
    <fill>
      <patternFill patternType="none"/>
    </fill>
    <fill>
      <patternFill patternType="gray125"/>
    </fill>
    <fill>
      <patternFill patternType="solid">
        <fgColor rgb="FF15161A"/>
        <bgColor rgb="FF000000"/>
      </patternFill>
    </fill>
    <fill>
      <patternFill patternType="solid">
        <fgColor rgb="FFED8B2B"/>
        <bgColor rgb="FFED7D31"/>
      </patternFill>
    </fill>
    <fill>
      <patternFill patternType="solid">
        <fgColor rgb="FF1F4E78"/>
        <bgColor rgb="FF1F4E79"/>
      </patternFill>
    </fill>
    <fill>
      <patternFill patternType="solid">
        <fgColor rgb="FFD9E2F1"/>
        <bgColor rgb="FFDDEBF7"/>
      </patternFill>
    </fill>
    <fill>
      <patternFill patternType="solid">
        <fgColor rgb="FFFFF2CC"/>
        <bgColor rgb="FFFCE4C8"/>
      </patternFill>
    </fill>
    <fill>
      <patternFill patternType="solid">
        <fgColor rgb="FFDDEBF7"/>
        <bgColor rgb="FFD9E2F1"/>
      </patternFill>
    </fill>
    <fill>
      <patternFill patternType="solid">
        <fgColor rgb="FFC00000"/>
        <bgColor rgb="FF9C0006"/>
      </patternFill>
    </fill>
    <fill>
      <patternFill patternType="solid">
        <fgColor rgb="FFF2F2F2"/>
        <bgColor rgb="FFEAF1F8"/>
      </patternFill>
    </fill>
    <fill>
      <patternFill patternType="solid">
        <fgColor rgb="FFFFFF00"/>
        <bgColor rgb="FFFFD966"/>
      </patternFill>
    </fill>
    <fill>
      <patternFill patternType="solid">
        <fgColor rgb="FF9AC258"/>
        <bgColor rgb="FFBFBFBF"/>
      </patternFill>
    </fill>
    <fill>
      <patternFill patternType="solid">
        <fgColor rgb="FF1F4E79"/>
        <bgColor rgb="FF1F4E78"/>
      </patternFill>
    </fill>
    <fill>
      <patternFill patternType="solid">
        <fgColor rgb="FFBDD7EE"/>
        <bgColor rgb="FFB5D4F4"/>
      </patternFill>
    </fill>
    <fill>
      <patternFill patternType="solid">
        <fgColor rgb="FFFFD966"/>
        <bgColor rgb="FFFFE699"/>
      </patternFill>
    </fill>
    <fill>
      <patternFill patternType="solid">
        <fgColor rgb="FF2E75B6"/>
        <bgColor rgb="FF2C589A"/>
      </patternFill>
    </fill>
    <fill>
      <patternFill patternType="solid">
        <fgColor rgb="FFFCE4D6"/>
        <bgColor rgb="FFFCE4C8"/>
      </patternFill>
    </fill>
    <fill>
      <patternFill patternType="solid">
        <fgColor rgb="FFFCE4C8"/>
        <bgColor rgb="FFFCE4D6"/>
      </patternFill>
    </fill>
    <fill>
      <patternFill patternType="solid">
        <fgColor rgb="FF2E7D32"/>
        <bgColor rgb="FF2E7D6B"/>
      </patternFill>
    </fill>
    <fill>
      <patternFill patternType="solid">
        <fgColor rgb="FF7030A0"/>
        <bgColor rgb="FF555555"/>
      </patternFill>
    </fill>
    <fill>
      <patternFill patternType="darkGray">
        <fgColor rgb="FF9E5FD6"/>
        <bgColor rgb="FF9B5FD3"/>
      </patternFill>
    </fill>
    <fill>
      <patternFill patternType="solid">
        <fgColor rgb="FFBF8F00"/>
        <bgColor rgb="FFED8B2B"/>
      </patternFill>
    </fill>
    <fill>
      <patternFill patternType="solid">
        <fgColor rgb="FF806000"/>
        <bgColor rgb="FF843C0C"/>
      </patternFill>
    </fill>
    <fill>
      <patternFill patternType="mediumGray">
        <fgColor rgb="FF0F8B8D"/>
        <bgColor rgb="FF06947E"/>
      </patternFill>
    </fill>
    <fill>
      <patternFill patternType="solid">
        <fgColor rgb="FFE36C0A"/>
        <bgColor rgb="FFED7D31"/>
      </patternFill>
    </fill>
    <fill>
      <patternFill patternType="solid">
        <fgColor rgb="FFC55A11"/>
        <bgColor rgb="FFC0504D"/>
      </patternFill>
    </fill>
    <fill>
      <patternFill patternType="solid">
        <fgColor rgb="FF548235"/>
        <bgColor rgb="FF2E7D32"/>
      </patternFill>
    </fill>
    <fill>
      <patternFill patternType="mediumGray">
        <fgColor rgb="FF2C589A"/>
        <bgColor rgb="FF305496"/>
      </patternFill>
    </fill>
    <fill>
      <patternFill patternType="solid">
        <fgColor rgb="FFFFE699"/>
        <bgColor rgb="FFFCE4C8"/>
      </patternFill>
    </fill>
    <fill>
      <patternFill patternType="solid">
        <fgColor rgb="FFFFFFFF"/>
        <bgColor rgb="FFF2F2F2"/>
      </patternFill>
    </fill>
    <fill>
      <patternFill patternType="solid">
        <fgColor rgb="FFEAF1F8"/>
        <bgColor rgb="FFF2F2F2"/>
      </patternFill>
    </fill>
  </fills>
  <borders count="9">
    <border diagonalUp="false" diagonalDown="false">
      <left/>
      <right/>
      <top/>
      <bottom/>
      <diagonal/>
    </border>
    <border diagonalUp="false" diagonalDown="false">
      <left/>
      <right/>
      <top/>
      <bottom style="thin">
        <color rgb="FFE5E5E5"/>
      </bottom>
      <diagonal/>
    </border>
    <border diagonalUp="false" diagonalDown="false">
      <left/>
      <right/>
      <top style="thin">
        <color rgb="FFE5E5E5"/>
      </top>
      <bottom/>
      <diagonal/>
    </border>
    <border diagonalUp="false" diagonalDown="false">
      <left/>
      <right/>
      <top style="thin">
        <color rgb="FFE5E5E5"/>
      </top>
      <bottom style="thin">
        <color rgb="FFE5E5E5"/>
      </bottom>
      <diagonal/>
    </border>
    <border diagonalUp="false" diagonalDown="false">
      <left/>
      <right/>
      <top/>
      <bottom style="hair">
        <color rgb="FFD9D9D9"/>
      </bottom>
      <diagonal/>
    </border>
    <border diagonalUp="false" diagonalDown="false">
      <left/>
      <right/>
      <top style="hair">
        <color rgb="FFD9D9D9"/>
      </top>
      <bottom style="hair">
        <color rgb="FFD9D9D9"/>
      </bottom>
      <diagonal/>
    </border>
    <border diagonalUp="false" diagonalDown="false">
      <left/>
      <right/>
      <top style="hair">
        <color rgb="FFD9D9D9"/>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true" applyProtection="false">
      <alignment horizontal="general" vertical="bottom" textRotation="0" wrapText="false" indent="1"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2" xfId="0" applyFont="true" applyBorder="true" applyAlignment="true" applyProtection="false">
      <alignment horizontal="left" vertical="center" textRotation="0" wrapText="tru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5" borderId="0" xfId="0" applyFont="true" applyBorder="false" applyAlignment="tru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4" fontId="17" fillId="6" borderId="0" xfId="0" applyFont="true" applyBorder="false" applyAlignment="true" applyProtection="false">
      <alignment horizontal="general"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6"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7" fontId="17" fillId="0" borderId="0" xfId="0" applyFont="true" applyBorder="false" applyAlignment="true" applyProtection="false">
      <alignment horizontal="general" vertical="bottom" textRotation="0" wrapText="false" indent="0" shrinkToFit="false"/>
      <protection locked="true" hidden="false"/>
    </xf>
    <xf numFmtId="168" fontId="17" fillId="0"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right" vertical="bottom" textRotation="0" wrapText="false" indent="0" shrinkToFit="false"/>
      <protection locked="true" hidden="false"/>
    </xf>
    <xf numFmtId="169" fontId="18" fillId="0" borderId="0" xfId="0" applyFont="true" applyBorder="false" applyAlignment="true" applyProtection="false">
      <alignment horizontal="general" vertical="bottom" textRotation="0" wrapText="false" indent="0" shrinkToFit="false"/>
      <protection locked="true" hidden="false"/>
    </xf>
    <xf numFmtId="168" fontId="18" fillId="0"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bottom" textRotation="0" wrapText="false" indent="0" shrinkToFit="false"/>
      <protection locked="true" hidden="false"/>
    </xf>
    <xf numFmtId="164" fontId="19" fillId="0" borderId="4" xfId="0" applyFont="true" applyBorder="true" applyAlignment="true" applyProtection="false">
      <alignment horizontal="general" vertical="bottom" textRotation="0" wrapText="false" indent="0" shrinkToFit="false"/>
      <protection locked="true" hidden="false"/>
    </xf>
    <xf numFmtId="164" fontId="19" fillId="0" borderId="4" xfId="0" applyFont="true" applyBorder="true" applyAlignment="true" applyProtection="false">
      <alignment horizontal="center" vertical="bottom" textRotation="0" wrapText="false" indent="0" shrinkToFit="false"/>
      <protection locked="true" hidden="false"/>
    </xf>
    <xf numFmtId="164" fontId="19" fillId="0" borderId="5" xfId="0" applyFont="true" applyBorder="true" applyAlignment="true" applyProtection="false">
      <alignment horizontal="general" vertical="bottom" textRotation="0" wrapText="false" indent="0" shrinkToFit="false"/>
      <protection locked="true" hidden="false"/>
    </xf>
    <xf numFmtId="165" fontId="21" fillId="0" borderId="5" xfId="0" applyFont="true" applyBorder="true" applyAlignment="true" applyProtection="false">
      <alignment horizontal="general" vertical="bottom" textRotation="0" wrapText="false" indent="0" shrinkToFit="false"/>
      <protection locked="true" hidden="false"/>
    </xf>
    <xf numFmtId="165" fontId="0" fillId="0" borderId="5" xfId="0" applyFont="false" applyBorder="true" applyAlignment="true" applyProtection="false">
      <alignment horizontal="general" vertical="bottom" textRotation="0" wrapText="false" indent="0" shrinkToFit="false"/>
      <protection locked="true" hidden="false"/>
    </xf>
    <xf numFmtId="166" fontId="21" fillId="0" borderId="5" xfId="0" applyFont="true" applyBorder="true" applyAlignment="true" applyProtection="false">
      <alignment horizontal="general" vertical="bottom" textRotation="0" wrapText="false" indent="0" shrinkToFit="false"/>
      <protection locked="true" hidden="false"/>
    </xf>
    <xf numFmtId="166" fontId="22" fillId="0" borderId="5" xfId="0" applyFont="true" applyBorder="true" applyAlignment="true" applyProtection="false">
      <alignment horizontal="general" vertical="bottom" textRotation="0" wrapText="false" indent="0" shrinkToFit="false"/>
      <protection locked="true" hidden="false"/>
    </xf>
    <xf numFmtId="167" fontId="22" fillId="0" borderId="5" xfId="0" applyFont="true" applyBorder="true" applyAlignment="true" applyProtection="false">
      <alignment horizontal="general" vertical="bottom" textRotation="0" wrapText="false" indent="0" shrinkToFit="false"/>
      <protection locked="true" hidden="false"/>
    </xf>
    <xf numFmtId="168" fontId="22" fillId="0" borderId="5" xfId="0" applyFont="true" applyBorder="true" applyAlignment="true" applyProtection="false">
      <alignment horizontal="general" vertical="bottom" textRotation="0" wrapText="false" indent="0" shrinkToFit="false"/>
      <protection locked="true" hidden="false"/>
    </xf>
    <xf numFmtId="164" fontId="21" fillId="0" borderId="5" xfId="0" applyFont="true" applyBorder="true" applyAlignment="true" applyProtection="false">
      <alignment horizontal="center" vertical="bottom" textRotation="0" wrapText="false" indent="0" shrinkToFit="false"/>
      <protection locked="true" hidden="false"/>
    </xf>
    <xf numFmtId="164" fontId="19" fillId="0" borderId="6" xfId="0" applyFont="true" applyBorder="true" applyAlignment="true" applyProtection="false">
      <alignment horizontal="general" vertical="bottom" textRotation="0" wrapText="false" indent="0" shrinkToFit="false"/>
      <protection locked="true" hidden="false"/>
    </xf>
    <xf numFmtId="167" fontId="22" fillId="0" borderId="6" xfId="0" applyFont="tru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5" fontId="0" fillId="0" borderId="6" xfId="0" applyFont="false" applyBorder="true" applyAlignment="true" applyProtection="false">
      <alignment horizontal="general" vertical="bottom" textRotation="0" wrapText="false" indent="0" shrinkToFit="false"/>
      <protection locked="true" hidden="false"/>
    </xf>
    <xf numFmtId="167" fontId="0" fillId="0" borderId="5" xfId="0" applyFont="false" applyBorder="true" applyAlignment="true" applyProtection="false">
      <alignment horizontal="general" vertical="bottom" textRotation="0" wrapText="false" indent="0" shrinkToFit="false"/>
      <protection locked="true" hidden="false"/>
    </xf>
    <xf numFmtId="167" fontId="0" fillId="0" borderId="6" xfId="0" applyFont="false" applyBorder="true" applyAlignment="true" applyProtection="false">
      <alignment horizontal="general" vertical="bottom" textRotation="0" wrapText="false" indent="0" shrinkToFit="false"/>
      <protection locked="true" hidden="false"/>
    </xf>
    <xf numFmtId="165" fontId="18" fillId="0" borderId="5" xfId="0" applyFont="true" applyBorder="true" applyAlignment="true" applyProtection="false">
      <alignment horizontal="general" vertical="bottom" textRotation="0" wrapText="false" indent="0" shrinkToFit="false"/>
      <protection locked="true" hidden="false"/>
    </xf>
    <xf numFmtId="166" fontId="0" fillId="0" borderId="5" xfId="0" applyFont="false" applyBorder="true" applyAlignment="true" applyProtection="false">
      <alignment horizontal="general" vertical="bottom" textRotation="0" wrapText="false" indent="0" shrinkToFit="false"/>
      <protection locked="true" hidden="false"/>
    </xf>
    <xf numFmtId="167" fontId="19" fillId="0" borderId="5" xfId="0" applyFont="true" applyBorder="true" applyAlignment="true" applyProtection="false">
      <alignment horizontal="general" vertical="bottom" textRotation="0" wrapText="false" indent="0" shrinkToFit="false"/>
      <protection locked="true" hidden="false"/>
    </xf>
    <xf numFmtId="168" fontId="0" fillId="0" borderId="5" xfId="0" applyFont="false" applyBorder="true" applyAlignment="true" applyProtection="false">
      <alignment horizontal="general" vertical="bottom" textRotation="0" wrapText="false" indent="0" shrinkToFit="false"/>
      <protection locked="true" hidden="false"/>
    </xf>
    <xf numFmtId="166" fontId="18" fillId="0" borderId="5" xfId="0" applyFont="true" applyBorder="true" applyAlignment="true" applyProtection="false">
      <alignment horizontal="general" vertical="bottom" textRotation="0" wrapText="false" indent="0" shrinkToFit="false"/>
      <protection locked="true" hidden="false"/>
    </xf>
    <xf numFmtId="170" fontId="19" fillId="0" borderId="5" xfId="0" applyFont="true" applyBorder="true" applyAlignment="true" applyProtection="false">
      <alignment horizontal="general" vertical="bottom" textRotation="0" wrapText="false" indent="0" shrinkToFit="false"/>
      <protection locked="true" hidden="false"/>
    </xf>
    <xf numFmtId="171" fontId="19" fillId="0" borderId="6" xfId="0" applyFont="true" applyBorder="true" applyAlignment="true" applyProtection="false">
      <alignment horizontal="general" vertical="bottom" textRotation="0" wrapText="false" indent="0" shrinkToFit="false"/>
      <protection locked="true" hidden="false"/>
    </xf>
    <xf numFmtId="164" fontId="23" fillId="4" borderId="0" xfId="0" applyFont="true" applyBorder="false" applyAlignment="true" applyProtection="false">
      <alignment horizontal="general" vertical="bottom" textRotation="0" wrapText="false" indent="0" shrinkToFit="false"/>
      <protection locked="true" hidden="false"/>
    </xf>
    <xf numFmtId="164" fontId="19" fillId="7" borderId="4" xfId="0" applyFont="true" applyBorder="true" applyAlignment="true" applyProtection="false">
      <alignment horizontal="general" vertical="bottom" textRotation="0" wrapText="false" indent="0" shrinkToFit="false"/>
      <protection locked="true" hidden="false"/>
    </xf>
    <xf numFmtId="164" fontId="19" fillId="7" borderId="4" xfId="0" applyFont="true" applyBorder="true" applyAlignment="true" applyProtection="false">
      <alignment horizontal="center" vertical="bottom" textRotation="0" wrapText="false" indent="0" shrinkToFit="false"/>
      <protection locked="true" hidden="false"/>
    </xf>
    <xf numFmtId="164" fontId="24" fillId="0" borderId="5" xfId="0" applyFont="true" applyBorder="true" applyAlignment="true" applyProtection="false">
      <alignment horizontal="general" vertical="bottom" textRotation="0" wrapText="false" indent="0" shrinkToFit="false"/>
      <protection locked="true" hidden="false"/>
    </xf>
    <xf numFmtId="172" fontId="21" fillId="0" borderId="5" xfId="0" applyFont="true" applyBorder="true" applyAlignment="true" applyProtection="false">
      <alignment horizontal="general" vertical="bottom" textRotation="0" wrapText="false" indent="0" shrinkToFit="false"/>
      <protection locked="true" hidden="false"/>
    </xf>
    <xf numFmtId="168" fontId="21" fillId="0" borderId="5" xfId="0" applyFont="true" applyBorder="true" applyAlignment="true" applyProtection="false">
      <alignment horizontal="general" vertical="bottom" textRotation="0" wrapText="false" indent="0" shrinkToFit="false"/>
      <protection locked="true" hidden="false"/>
    </xf>
    <xf numFmtId="172" fontId="22" fillId="0" borderId="5" xfId="0" applyFont="true" applyBorder="true" applyAlignment="true" applyProtection="false">
      <alignment horizontal="general" vertical="bottom" textRotation="0" wrapText="false" indent="0" shrinkToFit="false"/>
      <protection locked="true" hidden="false"/>
    </xf>
    <xf numFmtId="164" fontId="22" fillId="0" borderId="5" xfId="0" applyFont="true" applyBorder="true" applyAlignment="true" applyProtection="false">
      <alignment horizontal="center" vertical="bottom" textRotation="0" wrapText="false" indent="0" shrinkToFit="false"/>
      <protection locked="true" hidden="false"/>
    </xf>
    <xf numFmtId="164" fontId="25" fillId="0" borderId="5" xfId="0" applyFont="true" applyBorder="true" applyAlignment="true" applyProtection="false">
      <alignment horizontal="general" vertical="bottom" textRotation="0" wrapText="false" indent="0" shrinkToFit="false"/>
      <protection locked="true" hidden="false"/>
    </xf>
    <xf numFmtId="173" fontId="25" fillId="0" borderId="5" xfId="0" applyFont="true" applyBorder="true" applyAlignment="true" applyProtection="false">
      <alignment horizontal="general" vertical="bottom" textRotation="0" wrapText="false" indent="0" shrinkToFit="false"/>
      <protection locked="true" hidden="false"/>
    </xf>
    <xf numFmtId="174" fontId="25" fillId="0" borderId="5" xfId="0" applyFont="true" applyBorder="true" applyAlignment="true" applyProtection="false">
      <alignment horizontal="general" vertical="bottom" textRotation="0" wrapText="false" indent="0" shrinkToFit="false"/>
      <protection locked="true" hidden="false"/>
    </xf>
    <xf numFmtId="164" fontId="25" fillId="0" borderId="6" xfId="0" applyFont="true" applyBorder="true" applyAlignment="true" applyProtection="false">
      <alignment horizontal="general" vertical="bottom" textRotation="0" wrapText="false" indent="0" shrinkToFit="false"/>
      <protection locked="true" hidden="false"/>
    </xf>
    <xf numFmtId="173" fontId="25" fillId="0" borderId="6" xfId="0" applyFont="tru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74" fontId="25" fillId="0" borderId="6" xfId="0" applyFont="true" applyBorder="true" applyAlignment="true" applyProtection="false">
      <alignment horizontal="general" vertical="bottom" textRotation="0" wrapText="false" indent="0" shrinkToFit="false"/>
      <protection locked="true" hidden="false"/>
    </xf>
    <xf numFmtId="164" fontId="26" fillId="8" borderId="0" xfId="0" applyFont="true" applyBorder="false" applyAlignment="tru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general" vertical="bottom" textRotation="0" wrapText="false" indent="0" shrinkToFit="false"/>
      <protection locked="true" hidden="false"/>
    </xf>
    <xf numFmtId="175" fontId="19" fillId="0" borderId="4" xfId="0" applyFont="true" applyBorder="true" applyAlignment="true" applyProtection="false">
      <alignment horizontal="general" vertical="bottom" textRotation="0" wrapText="false" indent="0" shrinkToFit="false"/>
      <protection locked="true" hidden="false"/>
    </xf>
    <xf numFmtId="175" fontId="27" fillId="0" borderId="5" xfId="0" applyFont="true" applyBorder="true" applyAlignment="true" applyProtection="false">
      <alignment horizontal="general" vertical="bottom" textRotation="0" wrapText="false" indent="0" shrinkToFit="false"/>
      <protection locked="true" hidden="false"/>
    </xf>
    <xf numFmtId="176" fontId="17" fillId="0" borderId="5" xfId="0" applyFont="true" applyBorder="true" applyAlignment="true" applyProtection="false">
      <alignment horizontal="general" vertical="bottom" textRotation="0" wrapText="false" indent="0" shrinkToFit="false"/>
      <protection locked="true" hidden="false"/>
    </xf>
    <xf numFmtId="176" fontId="27" fillId="0" borderId="5" xfId="0" applyFont="true" applyBorder="true" applyAlignment="true" applyProtection="false">
      <alignment horizontal="general" vertical="bottom" textRotation="0" wrapText="false" indent="0" shrinkToFit="false"/>
      <protection locked="true" hidden="false"/>
    </xf>
    <xf numFmtId="177" fontId="19" fillId="0" borderId="5" xfId="0" applyFont="true" applyBorder="true" applyAlignment="true" applyProtection="false">
      <alignment horizontal="general" vertical="bottom" textRotation="0" wrapText="false" indent="0" shrinkToFit="false"/>
      <protection locked="true" hidden="false"/>
    </xf>
    <xf numFmtId="164" fontId="19" fillId="0" borderId="6" xfId="0" applyFont="true" applyBorder="true" applyAlignment="true" applyProtection="false">
      <alignment horizontal="left" vertical="bottom" textRotation="0" wrapText="false" indent="0" shrinkToFit="false"/>
      <protection locked="true" hidden="false"/>
    </xf>
    <xf numFmtId="164" fontId="28" fillId="0" borderId="0" xfId="0" applyFont="true" applyBorder="false" applyAlignment="true" applyProtection="false">
      <alignment horizontal="general" vertical="bottom" textRotation="0" wrapText="false" indent="0" shrinkToFit="false"/>
      <protection locked="true" hidden="false"/>
    </xf>
    <xf numFmtId="172" fontId="0" fillId="0" borderId="5" xfId="0" applyFont="false" applyBorder="true" applyAlignment="true" applyProtection="false">
      <alignment horizontal="general" vertical="bottom" textRotation="0" wrapText="false" indent="0" shrinkToFit="false"/>
      <protection locked="true" hidden="false"/>
    </xf>
    <xf numFmtId="172" fontId="0" fillId="0" borderId="6" xfId="0" applyFont="false" applyBorder="true" applyAlignment="true" applyProtection="false">
      <alignment horizontal="general" vertical="bottom" textRotation="0" wrapText="false" indent="0" shrinkToFit="false"/>
      <protection locked="true" hidden="false"/>
    </xf>
    <xf numFmtId="164" fontId="16" fillId="6" borderId="0" xfId="0" applyFont="true" applyBorder="false" applyAlignment="true" applyProtection="false">
      <alignment horizontal="general" vertical="bottom" textRotation="0" wrapText="false" indent="0" shrinkToFit="false"/>
      <protection locked="true" hidden="false"/>
    </xf>
    <xf numFmtId="167" fontId="18" fillId="0" borderId="5" xfId="0" applyFont="true" applyBorder="true" applyAlignment="true" applyProtection="false">
      <alignment horizontal="general" vertical="bottom" textRotation="0" wrapText="false" indent="0" shrinkToFit="false"/>
      <protection locked="true" hidden="false"/>
    </xf>
    <xf numFmtId="167" fontId="19" fillId="9" borderId="5" xfId="0" applyFont="true" applyBorder="true" applyAlignment="true" applyProtection="false">
      <alignment horizontal="general" vertical="bottom" textRotation="0" wrapText="false" indent="0" shrinkToFit="false"/>
      <protection locked="true" hidden="false"/>
    </xf>
    <xf numFmtId="167" fontId="17" fillId="0" borderId="5" xfId="0" applyFont="true" applyBorder="true" applyAlignment="true" applyProtection="false">
      <alignment horizontal="general" vertical="bottom" textRotation="0" wrapText="false" indent="0" shrinkToFit="false"/>
      <protection locked="true" hidden="false"/>
    </xf>
    <xf numFmtId="164" fontId="19" fillId="10" borderId="5" xfId="0" applyFont="true" applyBorder="true" applyAlignment="true" applyProtection="false">
      <alignment horizontal="general" vertical="bottom" textRotation="0" wrapText="false" indent="0" shrinkToFit="false"/>
      <protection locked="true" hidden="false"/>
    </xf>
    <xf numFmtId="167" fontId="19" fillId="10" borderId="5" xfId="0" applyFont="true" applyBorder="true" applyAlignment="true" applyProtection="false">
      <alignment horizontal="general" vertical="bottom" textRotation="0" wrapText="false" indent="0" shrinkToFit="false"/>
      <protection locked="true" hidden="false"/>
    </xf>
    <xf numFmtId="164" fontId="29" fillId="0" borderId="6" xfId="0" applyFont="true" applyBorder="true" applyAlignment="tru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general" vertical="bottom" textRotation="0" wrapText="false" indent="0" shrinkToFit="false"/>
      <protection locked="true" hidden="false"/>
    </xf>
    <xf numFmtId="164" fontId="33" fillId="0" borderId="0" xfId="0" applyFont="true" applyBorder="false" applyAlignment="true" applyProtection="false">
      <alignment horizontal="general" vertical="bottom" textRotation="0" wrapText="false" indent="0" shrinkToFit="false"/>
      <protection locked="true" hidden="false"/>
    </xf>
    <xf numFmtId="164" fontId="19" fillId="11" borderId="0" xfId="0" applyFont="true" applyBorder="false" applyAlignment="true" applyProtection="false">
      <alignment horizontal="general" vertical="bottom" textRotation="0" wrapText="false" indent="0" shrinkToFit="false"/>
      <protection locked="true" hidden="false"/>
    </xf>
    <xf numFmtId="165" fontId="22" fillId="1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71" fontId="18" fillId="0" borderId="0" xfId="0" applyFont="true" applyBorder="false" applyAlignment="tru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general" vertical="bottom" textRotation="0" wrapText="false" indent="0" shrinkToFit="false"/>
      <protection locked="true" hidden="false"/>
    </xf>
    <xf numFmtId="164" fontId="35" fillId="0" borderId="0" xfId="0" applyFont="true" applyBorder="false" applyAlignment="true" applyProtection="false">
      <alignment horizontal="general" vertical="bottom" textRotation="0" wrapText="false" indent="0" shrinkToFit="false"/>
      <protection locked="true" hidden="false"/>
    </xf>
    <xf numFmtId="164" fontId="36" fillId="0" borderId="0" xfId="0" applyFont="true" applyBorder="false" applyAlignment="tru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66" fontId="22" fillId="0" borderId="0" xfId="0" applyFont="true" applyBorder="false" applyAlignment="true" applyProtection="false">
      <alignment horizontal="general" vertical="bottom" textRotation="0" wrapText="false" indent="0" shrinkToFit="false"/>
      <protection locked="true" hidden="false"/>
    </xf>
    <xf numFmtId="164" fontId="37" fillId="0" borderId="0" xfId="0" applyFont="true" applyBorder="false" applyAlignment="true" applyProtection="false">
      <alignment horizontal="general" vertical="bottom" textRotation="0" wrapText="false" indent="0" shrinkToFit="false"/>
      <protection locked="true" hidden="false"/>
    </xf>
    <xf numFmtId="168" fontId="22" fillId="0" borderId="0" xfId="0" applyFont="tru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6" fontId="21" fillId="0" borderId="0" xfId="0" applyFont="true" applyBorder="false" applyAlignment="true" applyProtection="false">
      <alignment horizontal="general" vertical="bottom" textRotation="0" wrapText="false" indent="0" shrinkToFit="false"/>
      <protection locked="true" hidden="false"/>
    </xf>
    <xf numFmtId="164" fontId="38" fillId="0" borderId="5" xfId="0" applyFont="true" applyBorder="true" applyAlignment="true" applyProtection="false">
      <alignment horizontal="general" vertical="bottom" textRotation="0" wrapText="false" indent="0" shrinkToFit="false"/>
      <protection locked="true" hidden="false"/>
    </xf>
    <xf numFmtId="167" fontId="21" fillId="0" borderId="5" xfId="0" applyFont="true" applyBorder="true" applyAlignment="true" applyProtection="false">
      <alignment horizontal="general" vertical="bottom" textRotation="0" wrapText="false" indent="0" shrinkToFit="false"/>
      <protection locked="true" hidden="false"/>
    </xf>
    <xf numFmtId="164" fontId="39" fillId="0" borderId="5" xfId="0" applyFont="true" applyBorder="true" applyAlignment="true" applyProtection="false">
      <alignment horizontal="general" vertical="bottom" textRotation="0" wrapText="false" indent="0" shrinkToFit="false"/>
      <protection locked="true" hidden="false"/>
    </xf>
    <xf numFmtId="167" fontId="39" fillId="0" borderId="5" xfId="0" applyFont="true" applyBorder="true" applyAlignment="true" applyProtection="false">
      <alignment horizontal="general" vertical="bottom" textRotation="0" wrapText="false" indent="0" shrinkToFit="false"/>
      <protection locked="true" hidden="false"/>
    </xf>
    <xf numFmtId="170" fontId="21" fillId="0" borderId="5" xfId="0" applyFont="true" applyBorder="true" applyAlignment="true" applyProtection="false">
      <alignment horizontal="general" vertical="bottom" textRotation="0" wrapText="false" indent="0" shrinkToFit="false"/>
      <protection locked="true" hidden="false"/>
    </xf>
    <xf numFmtId="164" fontId="38" fillId="0" borderId="6" xfId="0" applyFont="true" applyBorder="true" applyAlignment="true" applyProtection="false">
      <alignment horizontal="general" vertical="bottom" textRotation="0" wrapText="false" indent="0" shrinkToFit="false"/>
      <protection locked="true" hidden="false"/>
    </xf>
    <xf numFmtId="165" fontId="38" fillId="0" borderId="6" xfId="0" applyFont="true" applyBorder="true" applyAlignment="true" applyProtection="false">
      <alignment horizontal="general" vertical="bottom" textRotation="0" wrapText="false" indent="0" shrinkToFit="false"/>
      <protection locked="true" hidden="false"/>
    </xf>
    <xf numFmtId="164" fontId="40" fillId="0" borderId="0" xfId="0" applyFont="true" applyBorder="false" applyAlignment="true" applyProtection="false">
      <alignment horizontal="general" vertical="bottom" textRotation="0" wrapText="false" indent="0" shrinkToFit="false"/>
      <protection locked="true" hidden="false"/>
    </xf>
    <xf numFmtId="164" fontId="19" fillId="7" borderId="0" xfId="0" applyFont="true" applyBorder="false" applyAlignment="true" applyProtection="false">
      <alignment horizontal="general" vertical="bottom" textRotation="0" wrapText="false" indent="0" shrinkToFit="false"/>
      <protection locked="true" hidden="false"/>
    </xf>
    <xf numFmtId="164" fontId="19" fillId="7" borderId="0" xfId="0" applyFont="true" applyBorder="false" applyAlignment="true" applyProtection="false">
      <alignment horizontal="center" vertical="bottom" textRotation="0" wrapText="false" indent="0" shrinkToFit="false"/>
      <protection locked="true" hidden="false"/>
    </xf>
    <xf numFmtId="168" fontId="21" fillId="0" borderId="0" xfId="0" applyFont="true" applyBorder="false" applyAlignment="true" applyProtection="false">
      <alignment horizontal="general" vertical="bottom" textRotation="0" wrapText="false" indent="0" shrinkToFit="false"/>
      <protection locked="true" hidden="false"/>
    </xf>
    <xf numFmtId="178" fontId="21" fillId="0" borderId="0" xfId="0" applyFont="true" applyBorder="false" applyAlignment="true" applyProtection="false">
      <alignment horizontal="general" vertical="bottom" textRotation="0" wrapText="false" indent="0" shrinkToFit="false"/>
      <protection locked="true" hidden="false"/>
    </xf>
    <xf numFmtId="178" fontId="18"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79" fontId="21" fillId="0" borderId="0" xfId="0" applyFont="true" applyBorder="false" applyAlignment="true" applyProtection="false">
      <alignment horizontal="general" vertical="bottom" textRotation="0" wrapText="false" indent="0" shrinkToFit="false"/>
      <protection locked="true" hidden="false"/>
    </xf>
    <xf numFmtId="179" fontId="18" fillId="0" borderId="0" xfId="0" applyFont="true" applyBorder="false" applyAlignment="true" applyProtection="false">
      <alignment horizontal="general" vertical="bottom" textRotation="0" wrapText="false" indent="0" shrinkToFit="false"/>
      <protection locked="true" hidden="false"/>
    </xf>
    <xf numFmtId="169" fontId="21" fillId="0" borderId="0" xfId="0" applyFont="true" applyBorder="false" applyAlignment="true" applyProtection="false">
      <alignment horizontal="general" vertical="bottom" textRotation="0" wrapText="false" indent="0" shrinkToFit="false"/>
      <protection locked="true" hidden="false"/>
    </xf>
    <xf numFmtId="164" fontId="42" fillId="12" borderId="0" xfId="0" applyFont="true" applyBorder="false" applyAlignment="true" applyProtection="false">
      <alignment horizontal="general" vertical="bottom" textRotation="0" wrapText="false" indent="0" shrinkToFit="false"/>
      <protection locked="true" hidden="false"/>
    </xf>
    <xf numFmtId="164" fontId="0" fillId="12" borderId="0" xfId="0" applyFont="false" applyBorder="false" applyAlignment="true" applyProtection="false">
      <alignment horizontal="general" vertical="bottom" textRotation="0" wrapText="false" indent="0" shrinkToFit="false"/>
      <protection locked="true" hidden="false"/>
    </xf>
    <xf numFmtId="164" fontId="43" fillId="0" borderId="0" xfId="0" applyFont="true" applyBorder="false" applyAlignment="true" applyProtection="false">
      <alignment horizontal="general" vertical="bottom" textRotation="0" wrapText="false" indent="0" shrinkToFit="false"/>
      <protection locked="true" hidden="false"/>
    </xf>
    <xf numFmtId="164" fontId="44" fillId="5" borderId="0" xfId="0" applyFont="true" applyBorder="false" applyAlignment="true" applyProtection="false">
      <alignment horizontal="general" vertical="bottom" textRotation="0" wrapText="false" indent="0" shrinkToFit="false"/>
      <protection locked="true" hidden="false"/>
    </xf>
    <xf numFmtId="164" fontId="44" fillId="0" borderId="0" xfId="0" applyFont="true" applyBorder="false" applyAlignment="true" applyProtection="false">
      <alignment horizontal="general" vertical="center" textRotation="0" wrapText="true" indent="0" shrinkToFit="false"/>
      <protection locked="true" hidden="false"/>
    </xf>
    <xf numFmtId="179" fontId="45" fillId="6" borderId="0" xfId="0" applyFont="true" applyBorder="false" applyAlignment="true" applyProtection="false">
      <alignment horizontal="right" vertical="bottom" textRotation="0" wrapText="false" indent="0" shrinkToFit="false"/>
      <protection locked="true" hidden="false"/>
    </xf>
    <xf numFmtId="164" fontId="43" fillId="0" borderId="0" xfId="0" applyFont="true" applyBorder="false" applyAlignment="true" applyProtection="false">
      <alignment horizontal="general" vertical="center" textRotation="0" wrapText="true" indent="0" shrinkToFit="false"/>
      <protection locked="true" hidden="false"/>
    </xf>
    <xf numFmtId="164" fontId="46" fillId="13" borderId="7" xfId="0" applyFont="true" applyBorder="true" applyAlignment="true" applyProtection="false">
      <alignment horizontal="center" vertical="center" textRotation="0" wrapText="true" indent="0" shrinkToFit="false"/>
      <protection locked="true" hidden="false"/>
    </xf>
    <xf numFmtId="179" fontId="46" fillId="13" borderId="7" xfId="0" applyFont="true" applyBorder="true" applyAlignment="true" applyProtection="false">
      <alignment horizontal="center" vertical="bottom" textRotation="0" wrapText="false" indent="0" shrinkToFit="false"/>
      <protection locked="true" hidden="false"/>
    </xf>
    <xf numFmtId="180" fontId="45" fillId="6" borderId="0" xfId="0" applyFont="true" applyBorder="false" applyAlignment="true" applyProtection="false">
      <alignment horizontal="center" vertical="bottom" textRotation="0" wrapText="false" indent="0" shrinkToFit="false"/>
      <protection locked="true" hidden="false"/>
    </xf>
    <xf numFmtId="169" fontId="47" fillId="0" borderId="0" xfId="0" applyFont="true" applyBorder="false" applyAlignment="true" applyProtection="false">
      <alignment horizontal="right" vertical="bottom" textRotation="0" wrapText="false" indent="0" shrinkToFit="false"/>
      <protection locked="true" hidden="false"/>
    </xf>
    <xf numFmtId="169" fontId="47" fillId="0" borderId="8" xfId="0" applyFont="true" applyBorder="true" applyAlignment="true" applyProtection="false">
      <alignment horizontal="right" vertical="bottom" textRotation="0" wrapText="false" indent="0" shrinkToFit="false"/>
      <protection locked="true" hidden="false"/>
    </xf>
    <xf numFmtId="180" fontId="48" fillId="0" borderId="0" xfId="0" applyFont="true" applyBorder="false" applyAlignment="true" applyProtection="false">
      <alignment horizontal="center" vertical="bottom" textRotation="0" wrapText="false" indent="0" shrinkToFit="false"/>
      <protection locked="true" hidden="false"/>
    </xf>
    <xf numFmtId="168" fontId="47" fillId="0" borderId="0" xfId="0" applyFont="true" applyBorder="false" applyAlignment="true" applyProtection="false">
      <alignment horizontal="right" vertical="bottom" textRotation="0" wrapText="false" indent="0" shrinkToFit="false"/>
      <protection locked="true" hidden="false"/>
    </xf>
    <xf numFmtId="168" fontId="47" fillId="0" borderId="8" xfId="0" applyFont="true" applyBorder="true" applyAlignment="true" applyProtection="false">
      <alignment horizontal="right" vertical="bottom" textRotation="0" wrapText="false" indent="0" shrinkToFit="false"/>
      <protection locked="true" hidden="false"/>
    </xf>
    <xf numFmtId="179" fontId="47" fillId="0" borderId="0" xfId="0" applyFont="true" applyBorder="false" applyAlignment="true" applyProtection="false">
      <alignment horizontal="right" vertical="bottom" textRotation="0" wrapText="false" indent="0" shrinkToFit="false"/>
      <protection locked="true" hidden="false"/>
    </xf>
    <xf numFmtId="181" fontId="47" fillId="0" borderId="0" xfId="0" applyFont="true" applyBorder="false" applyAlignment="true" applyProtection="false">
      <alignment horizontal="right" vertical="bottom" textRotation="0" wrapText="false" indent="0" shrinkToFit="false"/>
      <protection locked="true" hidden="false"/>
    </xf>
    <xf numFmtId="180" fontId="49" fillId="0" borderId="0" xfId="0" applyFont="true" applyBorder="false" applyAlignment="true" applyProtection="false">
      <alignment horizontal="center" vertical="bottom" textRotation="0" wrapText="false" indent="0" shrinkToFit="false"/>
      <protection locked="true" hidden="false"/>
    </xf>
    <xf numFmtId="169" fontId="49" fillId="0" borderId="0" xfId="0" applyFont="true" applyBorder="false" applyAlignment="true" applyProtection="false">
      <alignment horizontal="right" vertical="bottom" textRotation="0" wrapText="false" indent="0" shrinkToFit="false"/>
      <protection locked="true" hidden="false"/>
    </xf>
    <xf numFmtId="169" fontId="49" fillId="0" borderId="8" xfId="0" applyFont="true" applyBorder="true" applyAlignment="true" applyProtection="false">
      <alignment horizontal="right" vertical="bottom" textRotation="0" wrapText="false" indent="0" shrinkToFit="false"/>
      <protection locked="true" hidden="false"/>
    </xf>
    <xf numFmtId="168" fontId="49" fillId="0" borderId="0" xfId="0" applyFont="true" applyBorder="false" applyAlignment="true" applyProtection="false">
      <alignment horizontal="right" vertical="bottom" textRotation="0" wrapText="false" indent="0" shrinkToFit="false"/>
      <protection locked="true" hidden="false"/>
    </xf>
    <xf numFmtId="168" fontId="49" fillId="0" borderId="8" xfId="0" applyFont="true" applyBorder="true" applyAlignment="true" applyProtection="false">
      <alignment horizontal="right" vertical="bottom" textRotation="0" wrapText="false" indent="0" shrinkToFit="false"/>
      <protection locked="true" hidden="false"/>
    </xf>
    <xf numFmtId="165" fontId="49" fillId="0" borderId="0" xfId="0" applyFont="true" applyBorder="false" applyAlignment="true" applyProtection="false">
      <alignment horizontal="right" vertical="bottom" textRotation="0" wrapText="false" indent="0" shrinkToFit="false"/>
      <protection locked="true" hidden="false"/>
    </xf>
    <xf numFmtId="165" fontId="49" fillId="0" borderId="8" xfId="0" applyFont="true" applyBorder="true" applyAlignment="true" applyProtection="false">
      <alignment horizontal="right" vertical="bottom" textRotation="0" wrapText="false" indent="0" shrinkToFit="false"/>
      <protection locked="true" hidden="false"/>
    </xf>
    <xf numFmtId="182" fontId="49" fillId="0" borderId="0" xfId="0" applyFont="true" applyBorder="false" applyAlignment="true" applyProtection="false">
      <alignment horizontal="right" vertical="bottom" textRotation="0" wrapText="false" indent="0" shrinkToFit="false"/>
      <protection locked="true" hidden="false"/>
    </xf>
    <xf numFmtId="182" fontId="49" fillId="0" borderId="8" xfId="0" applyFont="true" applyBorder="true" applyAlignment="true" applyProtection="false">
      <alignment horizontal="right" vertical="bottom" textRotation="0" wrapText="false" indent="0" shrinkToFit="false"/>
      <protection locked="true" hidden="false"/>
    </xf>
    <xf numFmtId="179" fontId="49" fillId="0" borderId="0" xfId="0" applyFont="true" applyBorder="false" applyAlignment="true" applyProtection="false">
      <alignment horizontal="right" vertical="bottom" textRotation="0" wrapText="false" indent="0" shrinkToFit="false"/>
      <protection locked="true" hidden="false"/>
    </xf>
    <xf numFmtId="164" fontId="47" fillId="0" borderId="0" xfId="0" applyFont="true" applyBorder="false" applyAlignment="true" applyProtection="false">
      <alignment horizontal="general" vertical="center" textRotation="0" wrapText="true" indent="0" shrinkToFit="false"/>
      <protection locked="true" hidden="false"/>
    </xf>
    <xf numFmtId="183" fontId="49" fillId="0" borderId="0" xfId="0" applyFont="true" applyBorder="false" applyAlignment="true" applyProtection="false">
      <alignment horizontal="right" vertical="bottom" textRotation="0" wrapText="false" indent="0" shrinkToFit="false"/>
      <protection locked="true" hidden="false"/>
    </xf>
    <xf numFmtId="184" fontId="49" fillId="0" borderId="0" xfId="0" applyFont="true" applyBorder="false" applyAlignment="true" applyProtection="false">
      <alignment horizontal="right" vertical="bottom" textRotation="0" wrapText="false" indent="0" shrinkToFit="false"/>
      <protection locked="true" hidden="false"/>
    </xf>
    <xf numFmtId="171" fontId="45" fillId="6" borderId="7" xfId="0" applyFont="true" applyBorder="true" applyAlignment="true" applyProtection="false">
      <alignment horizontal="right" vertical="bottom" textRotation="0" wrapText="false" indent="0" shrinkToFit="false"/>
      <protection locked="true" hidden="false"/>
    </xf>
    <xf numFmtId="171" fontId="48" fillId="13" borderId="7" xfId="0" applyFont="true" applyBorder="true" applyAlignment="true" applyProtection="false">
      <alignment horizontal="right" vertical="bottom" textRotation="0" wrapText="false" indent="0" shrinkToFit="false"/>
      <protection locked="true" hidden="false"/>
    </xf>
    <xf numFmtId="185" fontId="45" fillId="6" borderId="0" xfId="0" applyFont="true" applyBorder="false" applyAlignment="true" applyProtection="false">
      <alignment horizontal="center" vertical="bottom" textRotation="0" wrapText="false" indent="0" shrinkToFit="false"/>
      <protection locked="true" hidden="false"/>
    </xf>
    <xf numFmtId="185" fontId="48" fillId="0" borderId="0" xfId="0" applyFont="true" applyBorder="false" applyAlignment="true" applyProtection="false">
      <alignment horizontal="center" vertical="bottom" textRotation="0" wrapText="false" indent="0" shrinkToFit="false"/>
      <protection locked="true" hidden="false"/>
    </xf>
    <xf numFmtId="186" fontId="47" fillId="0" borderId="0" xfId="0" applyFont="true" applyBorder="false" applyAlignment="true" applyProtection="false">
      <alignment horizontal="right" vertical="bottom" textRotation="0" wrapText="false" indent="0" shrinkToFit="false"/>
      <protection locked="true" hidden="false"/>
    </xf>
    <xf numFmtId="165" fontId="44" fillId="0" borderId="0" xfId="0" applyFont="true" applyBorder="false" applyAlignment="true" applyProtection="false">
      <alignment horizontal="right" vertical="bottom" textRotation="0" wrapText="false" indent="0" shrinkToFit="false"/>
      <protection locked="true" hidden="false"/>
    </xf>
    <xf numFmtId="182" fontId="47" fillId="0" borderId="0" xfId="0" applyFont="true" applyBorder="false" applyAlignment="true" applyProtection="false">
      <alignment horizontal="right" vertical="bottom" textRotation="0" wrapText="false" indent="0" shrinkToFit="false"/>
      <protection locked="true" hidden="false"/>
    </xf>
    <xf numFmtId="165" fontId="47" fillId="0" borderId="0" xfId="0" applyFont="true" applyBorder="false" applyAlignment="true" applyProtection="false">
      <alignment horizontal="right" vertical="bottom" textRotation="0" wrapText="false" indent="0" shrinkToFit="false"/>
      <protection locked="true" hidden="false"/>
    </xf>
    <xf numFmtId="187" fontId="47" fillId="0" borderId="0" xfId="0" applyFont="true" applyBorder="false" applyAlignment="true" applyProtection="false">
      <alignment horizontal="right" vertical="bottom" textRotation="0" wrapText="false" indent="0" shrinkToFit="false"/>
      <protection locked="true" hidden="false"/>
    </xf>
    <xf numFmtId="164" fontId="49" fillId="0" borderId="0" xfId="0" applyFont="true" applyBorder="false" applyAlignment="true" applyProtection="false">
      <alignment horizontal="right" vertical="bottom" textRotation="0" wrapText="false" indent="0" shrinkToFit="false"/>
      <protection locked="true" hidden="false"/>
    </xf>
    <xf numFmtId="182" fontId="48" fillId="0" borderId="0" xfId="0" applyFont="true" applyBorder="false" applyAlignment="true" applyProtection="false">
      <alignment horizontal="right" vertical="bottom" textRotation="0" wrapText="false" indent="0" shrinkToFit="false"/>
      <protection locked="true" hidden="false"/>
    </xf>
    <xf numFmtId="164" fontId="47" fillId="0" borderId="0" xfId="0" applyFont="true" applyBorder="false" applyAlignment="true" applyProtection="false">
      <alignment horizontal="right" vertical="bottom" textRotation="0" wrapText="false" indent="0" shrinkToFit="false"/>
      <protection locked="true" hidden="false"/>
    </xf>
    <xf numFmtId="188" fontId="48" fillId="0" borderId="0" xfId="0" applyFont="true" applyBorder="false" applyAlignment="true" applyProtection="false">
      <alignment horizontal="right" vertical="bottom" textRotation="0" wrapText="false" indent="0" shrinkToFit="false"/>
      <protection locked="true" hidden="false"/>
    </xf>
    <xf numFmtId="171" fontId="48" fillId="0" borderId="0" xfId="0" applyFont="true" applyBorder="false" applyAlignment="true" applyProtection="false">
      <alignment horizontal="right" vertical="bottom" textRotation="0" wrapText="false" indent="0" shrinkToFit="false"/>
      <protection locked="true" hidden="false"/>
    </xf>
    <xf numFmtId="189" fontId="48" fillId="0" borderId="0" xfId="0" applyFont="true" applyBorder="false" applyAlignment="true" applyProtection="false">
      <alignment horizontal="right" vertical="bottom" textRotation="0" wrapText="false" indent="0" shrinkToFit="false"/>
      <protection locked="true" hidden="false"/>
    </xf>
    <xf numFmtId="165" fontId="48" fillId="0" borderId="0" xfId="0" applyFont="true" applyBorder="false" applyAlignment="true" applyProtection="false">
      <alignment horizontal="right" vertical="bottom" textRotation="0" wrapText="false" indent="0" shrinkToFit="false"/>
      <protection locked="true" hidden="false"/>
    </xf>
    <xf numFmtId="168" fontId="48" fillId="0" borderId="0" xfId="0" applyFont="true" applyBorder="false" applyAlignment="true" applyProtection="false">
      <alignment horizontal="right" vertical="bottom" textRotation="0" wrapText="false" indent="0" shrinkToFit="false"/>
      <protection locked="true" hidden="false"/>
    </xf>
    <xf numFmtId="164" fontId="44" fillId="0" borderId="0" xfId="0" applyFont="true" applyBorder="false" applyAlignment="true" applyProtection="false">
      <alignment horizontal="left" vertical="bottom" textRotation="0" wrapText="false" indent="0" shrinkToFit="false"/>
      <protection locked="true" hidden="false"/>
    </xf>
    <xf numFmtId="164" fontId="50" fillId="12" borderId="0" xfId="0" applyFont="true" applyBorder="false" applyAlignment="true" applyProtection="false">
      <alignment horizontal="general" vertical="bottom" textRotation="0" wrapText="false" indent="0" shrinkToFit="false"/>
      <protection locked="true" hidden="false"/>
    </xf>
    <xf numFmtId="164" fontId="51" fillId="12" borderId="0" xfId="0" applyFont="true" applyBorder="false" applyAlignment="true" applyProtection="false">
      <alignment horizontal="general" vertical="bottom" textRotation="0" wrapText="false" indent="0" shrinkToFit="false"/>
      <protection locked="true" hidden="false"/>
    </xf>
    <xf numFmtId="164" fontId="52" fillId="0" borderId="0" xfId="0" applyFont="true" applyBorder="false" applyAlignment="true" applyProtection="false">
      <alignment horizontal="general" vertical="bottom" textRotation="0" wrapText="false" indent="0" shrinkToFit="false"/>
      <protection locked="true" hidden="false"/>
    </xf>
    <xf numFmtId="164" fontId="53" fillId="0" borderId="0" xfId="0" applyFont="true" applyBorder="false" applyAlignment="true" applyProtection="false">
      <alignment horizontal="general" vertical="top" textRotation="0" wrapText="false" indent="0" shrinkToFit="false"/>
      <protection locked="true" hidden="false"/>
    </xf>
    <xf numFmtId="164" fontId="54" fillId="0" borderId="0" xfId="0" applyFont="true" applyBorder="false" applyAlignment="true" applyProtection="false">
      <alignment horizontal="general" vertical="top" textRotation="0" wrapText="true" indent="0" shrinkToFit="false"/>
      <protection locked="true" hidden="false"/>
    </xf>
    <xf numFmtId="164" fontId="53" fillId="0" borderId="0" xfId="0" applyFont="true" applyBorder="false" applyAlignment="true" applyProtection="false">
      <alignment horizontal="general" vertical="bottom" textRotation="0" wrapText="false" indent="0" shrinkToFit="false"/>
      <protection locked="true" hidden="false"/>
    </xf>
    <xf numFmtId="164" fontId="55" fillId="0" borderId="0" xfId="0" applyFont="true" applyBorder="false" applyAlignment="true" applyProtection="false">
      <alignment horizontal="general" vertical="top" textRotation="0" wrapText="true" indent="0" shrinkToFit="false"/>
      <protection locked="true" hidden="false"/>
    </xf>
    <xf numFmtId="164" fontId="53" fillId="14" borderId="0" xfId="0" applyFont="true" applyBorder="false" applyAlignment="true" applyProtection="false">
      <alignment horizontal="general" vertical="bottom" textRotation="0" wrapText="false" indent="0" shrinkToFit="false"/>
      <protection locked="true" hidden="false"/>
    </xf>
    <xf numFmtId="164" fontId="56" fillId="14" borderId="0" xfId="0" applyFont="true" applyBorder="false" applyAlignment="true" applyProtection="false">
      <alignment horizontal="general" vertical="bottom" textRotation="0" wrapText="false" indent="0" shrinkToFit="false"/>
      <protection locked="true" hidden="false"/>
    </xf>
    <xf numFmtId="164" fontId="54" fillId="0" borderId="0" xfId="0" applyFont="true" applyBorder="false" applyAlignment="true" applyProtection="false">
      <alignment horizontal="general" vertical="bottom" textRotation="0" wrapText="false" indent="0" shrinkToFit="false"/>
      <protection locked="true" hidden="false"/>
    </xf>
    <xf numFmtId="164" fontId="57" fillId="0" borderId="0" xfId="0" applyFont="true" applyBorder="false" applyAlignment="tru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bottom" textRotation="0" wrapText="false" indent="0" shrinkToFit="false"/>
      <protection locked="true" hidden="false"/>
    </xf>
    <xf numFmtId="164" fontId="59" fillId="12" borderId="0" xfId="0" applyFont="true" applyBorder="false" applyAlignment="true" applyProtection="false">
      <alignment horizontal="general" vertical="bottom" textRotation="0" wrapText="false" indent="0" shrinkToFit="false"/>
      <protection locked="true" hidden="false"/>
    </xf>
    <xf numFmtId="164" fontId="53" fillId="5" borderId="0" xfId="0" applyFont="true" applyBorder="false" applyAlignment="true" applyProtection="false">
      <alignment horizontal="general" vertical="bottom" textRotation="0" wrapText="false" indent="0" shrinkToFit="false"/>
      <protection locked="true" hidden="false"/>
    </xf>
    <xf numFmtId="165" fontId="60" fillId="14" borderId="0" xfId="0" applyFont="true" applyBorder="false" applyAlignment="true" applyProtection="false">
      <alignment horizontal="general" vertical="bottom" textRotation="0" wrapText="false" indent="0" shrinkToFit="false"/>
      <protection locked="true" hidden="false"/>
    </xf>
    <xf numFmtId="165" fontId="61" fillId="0" borderId="0" xfId="0" applyFont="true" applyBorder="false" applyAlignment="true" applyProtection="false">
      <alignment horizontal="general" vertical="bottom" textRotation="0" wrapText="false" indent="0" shrinkToFit="false"/>
      <protection locked="true" hidden="false"/>
    </xf>
    <xf numFmtId="165" fontId="62" fillId="6" borderId="0" xfId="0" applyFont="true" applyBorder="false" applyAlignment="true" applyProtection="false">
      <alignment horizontal="general" vertical="bottom" textRotation="0" wrapText="false" indent="0" shrinkToFit="false"/>
      <protection locked="true" hidden="false"/>
    </xf>
    <xf numFmtId="165" fontId="62" fillId="0" borderId="0" xfId="0" applyFont="true" applyBorder="false" applyAlignment="true" applyProtection="false">
      <alignment horizontal="general" vertical="bottom" textRotation="0" wrapText="false" indent="0" shrinkToFit="false"/>
      <protection locked="true" hidden="false"/>
    </xf>
    <xf numFmtId="166" fontId="62" fillId="10" borderId="0" xfId="0" applyFont="true" applyBorder="false" applyAlignment="true" applyProtection="false">
      <alignment horizontal="general" vertical="bottom" textRotation="0" wrapText="false" indent="0" shrinkToFit="false"/>
      <protection locked="true" hidden="false"/>
    </xf>
    <xf numFmtId="165" fontId="21" fillId="0" borderId="0" xfId="0" applyFont="true" applyBorder="false" applyAlignment="true" applyProtection="false">
      <alignment horizontal="general" vertical="bottom" textRotation="0" wrapText="false" indent="0" shrinkToFit="false"/>
      <protection locked="true" hidden="false"/>
    </xf>
    <xf numFmtId="178" fontId="63" fillId="0" borderId="0" xfId="0" applyFont="true" applyBorder="false" applyAlignment="true" applyProtection="false">
      <alignment horizontal="general" vertical="bottom" textRotation="0" wrapText="false" indent="0" shrinkToFit="false"/>
      <protection locked="true" hidden="false"/>
    </xf>
    <xf numFmtId="189" fontId="63" fillId="0" borderId="0" xfId="0" applyFont="true" applyBorder="false" applyAlignment="true" applyProtection="false">
      <alignment horizontal="general" vertical="bottom" textRotation="0" wrapText="false" indent="0" shrinkToFit="false"/>
      <protection locked="true" hidden="false"/>
    </xf>
    <xf numFmtId="164" fontId="64" fillId="0" borderId="0" xfId="0" applyFont="true" applyBorder="false" applyAlignment="true" applyProtection="false">
      <alignment horizontal="general" vertical="center" textRotation="0" wrapText="true" indent="0" shrinkToFit="false"/>
      <protection locked="true" hidden="false"/>
    </xf>
    <xf numFmtId="190" fontId="48" fillId="0" borderId="0" xfId="0" applyFont="true" applyBorder="false" applyAlignment="true" applyProtection="false">
      <alignment horizontal="right" vertical="bottom" textRotation="0" wrapText="false" indent="0" shrinkToFit="false"/>
      <protection locked="true" hidden="false"/>
    </xf>
    <xf numFmtId="168" fontId="62" fillId="6" borderId="0" xfId="0" applyFont="true" applyBorder="false" applyAlignment="true" applyProtection="false">
      <alignment horizontal="general" vertical="bottom" textRotation="0" wrapText="false" indent="0" shrinkToFit="false"/>
      <protection locked="true" hidden="false"/>
    </xf>
    <xf numFmtId="191" fontId="65" fillId="0" borderId="0" xfId="0" applyFont="true" applyBorder="false" applyAlignment="true" applyProtection="false">
      <alignment horizontal="general" vertical="bottom" textRotation="0" wrapText="false" indent="0" shrinkToFit="false"/>
      <protection locked="true" hidden="false"/>
    </xf>
    <xf numFmtId="168" fontId="62" fillId="0" borderId="0" xfId="0" applyFont="true" applyBorder="false" applyAlignment="true" applyProtection="false">
      <alignment horizontal="general" vertical="bottom" textRotation="0" wrapText="false" indent="0" shrinkToFit="false"/>
      <protection locked="true" hidden="false"/>
    </xf>
    <xf numFmtId="168" fontId="63" fillId="0" borderId="0" xfId="0" applyFont="true" applyBorder="false" applyAlignment="true" applyProtection="false">
      <alignment horizontal="general" vertical="bottom" textRotation="0" wrapText="false" indent="0" shrinkToFit="false"/>
      <protection locked="true" hidden="false"/>
    </xf>
    <xf numFmtId="164" fontId="65" fillId="0" borderId="0" xfId="0" applyFont="true" applyBorder="true" applyAlignment="true" applyProtection="false">
      <alignment horizontal="general" vertical="bottom" textRotation="0" wrapText="false" indent="0" shrinkToFit="false"/>
      <protection locked="true" hidden="false"/>
    </xf>
    <xf numFmtId="182" fontId="45" fillId="14" borderId="0" xfId="0" applyFont="true" applyBorder="false" applyAlignment="true" applyProtection="false">
      <alignment horizontal="right" vertical="bottom" textRotation="0" wrapText="false" indent="0" shrinkToFit="false"/>
      <protection locked="true" hidden="false"/>
    </xf>
    <xf numFmtId="164" fontId="47" fillId="0" borderId="0" xfId="0" applyFont="true" applyBorder="false" applyAlignment="true" applyProtection="false">
      <alignment horizontal="center" vertical="bottom" textRotation="0" wrapText="false" indent="0" shrinkToFit="false"/>
      <protection locked="true" hidden="false"/>
    </xf>
    <xf numFmtId="179" fontId="44" fillId="0" borderId="0" xfId="0" applyFont="true" applyBorder="false" applyAlignment="true" applyProtection="false">
      <alignment horizontal="right" vertical="bottom" textRotation="0" wrapText="false" indent="0" shrinkToFit="false"/>
      <protection locked="true" hidden="false"/>
    </xf>
    <xf numFmtId="164" fontId="47" fillId="0" borderId="0" xfId="0" applyFont="true" applyBorder="false" applyAlignment="true" applyProtection="false">
      <alignment horizontal="left" vertical="bottom" textRotation="0" wrapText="false" indent="0" shrinkToFit="false"/>
      <protection locked="true" hidden="false"/>
    </xf>
    <xf numFmtId="169" fontId="45" fillId="14" borderId="0" xfId="0" applyFont="true" applyBorder="false" applyAlignment="true" applyProtection="false">
      <alignment horizontal="right" vertical="bottom" textRotation="0" wrapText="false" indent="0" shrinkToFit="false"/>
      <protection locked="true" hidden="false"/>
    </xf>
    <xf numFmtId="169" fontId="45" fillId="6" borderId="0" xfId="0" applyFont="true" applyBorder="false" applyAlignment="true" applyProtection="false">
      <alignment horizontal="right" vertical="bottom" textRotation="0" wrapText="false" indent="0" shrinkToFit="false"/>
      <protection locked="true" hidden="false"/>
    </xf>
    <xf numFmtId="168" fontId="45" fillId="6" borderId="0" xfId="0" applyFont="true" applyBorder="false" applyAlignment="true" applyProtection="false">
      <alignment horizontal="right" vertical="bottom" textRotation="0" wrapText="false" indent="0" shrinkToFit="false"/>
      <protection locked="true" hidden="false"/>
    </xf>
    <xf numFmtId="179" fontId="48" fillId="0" borderId="0" xfId="0" applyFont="true" applyBorder="false" applyAlignment="true" applyProtection="false">
      <alignment horizontal="right" vertical="bottom" textRotation="0" wrapText="false" indent="0" shrinkToFit="false"/>
      <protection locked="true" hidden="false"/>
    </xf>
    <xf numFmtId="164" fontId="46" fillId="5" borderId="7" xfId="0" applyFont="true" applyBorder="true" applyAlignment="true" applyProtection="false">
      <alignment horizontal="center" vertical="center" textRotation="0" wrapText="true" indent="0" shrinkToFit="false"/>
      <protection locked="true" hidden="false"/>
    </xf>
    <xf numFmtId="182" fontId="45" fillId="6" borderId="0" xfId="0" applyFont="true" applyBorder="false" applyAlignment="true" applyProtection="false">
      <alignment horizontal="right" vertical="bottom" textRotation="0" wrapText="false" indent="0" shrinkToFit="false"/>
      <protection locked="true" hidden="false"/>
    </xf>
    <xf numFmtId="187" fontId="45" fillId="6" borderId="0" xfId="0" applyFont="true" applyBorder="false" applyAlignment="true" applyProtection="false">
      <alignment horizontal="right" vertical="bottom" textRotation="0" wrapText="false" indent="0" shrinkToFit="false"/>
      <protection locked="true" hidden="false"/>
    </xf>
    <xf numFmtId="168" fontId="44" fillId="0" borderId="0" xfId="0" applyFont="true" applyBorder="false" applyAlignment="true" applyProtection="false">
      <alignment horizontal="right" vertical="bottom" textRotation="0" wrapText="false" indent="0" shrinkToFit="false"/>
      <protection locked="true" hidden="false"/>
    </xf>
    <xf numFmtId="179" fontId="45" fillId="14" borderId="0" xfId="0" applyFont="true" applyBorder="false" applyAlignment="true" applyProtection="false">
      <alignment horizontal="right" vertical="bottom" textRotation="0" wrapText="false" indent="0" shrinkToFit="false"/>
      <protection locked="true" hidden="false"/>
    </xf>
    <xf numFmtId="164" fontId="14" fillId="12" borderId="0" xfId="0" applyFont="true" applyBorder="false" applyAlignment="true" applyProtection="false">
      <alignment horizontal="general" vertical="bottom" textRotation="0" wrapText="false" indent="0" shrinkToFit="false"/>
      <protection locked="true" hidden="false"/>
    </xf>
    <xf numFmtId="164" fontId="55" fillId="0" borderId="0" xfId="0" applyFont="true" applyBorder="false" applyAlignment="true" applyProtection="false">
      <alignment horizontal="general" vertical="bottom" textRotation="0" wrapText="false" indent="0" shrinkToFit="false"/>
      <protection locked="true" hidden="false"/>
    </xf>
    <xf numFmtId="164" fontId="66" fillId="9" borderId="0" xfId="0" applyFont="true" applyBorder="false" applyAlignment="true" applyProtection="false">
      <alignment horizontal="general" vertical="bottom" textRotation="0" wrapText="false" indent="0" shrinkToFit="false"/>
      <protection locked="true" hidden="false"/>
    </xf>
    <xf numFmtId="164" fontId="0" fillId="9" borderId="0" xfId="0" applyFont="false" applyBorder="false" applyAlignment="true" applyProtection="false">
      <alignment horizontal="general" vertical="bottom" textRotation="0" wrapText="false" indent="0" shrinkToFit="false"/>
      <protection locked="true" hidden="false"/>
    </xf>
    <xf numFmtId="164" fontId="26" fillId="15" borderId="7" xfId="0" applyFont="true" applyBorder="true" applyAlignment="true" applyProtection="false">
      <alignment horizontal="general" vertical="center" textRotation="0" wrapText="true" indent="0" shrinkToFit="false"/>
      <protection locked="true" hidden="false"/>
    </xf>
    <xf numFmtId="164" fontId="54" fillId="0" borderId="7" xfId="0" applyFont="true" applyBorder="true" applyAlignment="true" applyProtection="false">
      <alignment horizontal="general" vertical="bottom" textRotation="0" wrapText="false" indent="0" shrinkToFit="false"/>
      <protection locked="true" hidden="false"/>
    </xf>
    <xf numFmtId="164" fontId="54" fillId="0" borderId="7" xfId="0" applyFont="true" applyBorder="true" applyAlignment="true" applyProtection="false">
      <alignment horizontal="general" vertical="top" textRotation="0" wrapText="true" indent="0" shrinkToFit="false"/>
      <protection locked="true" hidden="false"/>
    </xf>
    <xf numFmtId="164" fontId="54" fillId="10" borderId="7" xfId="0" applyFont="true" applyBorder="true" applyAlignment="true" applyProtection="false">
      <alignment horizontal="general" vertical="bottom" textRotation="0" wrapText="false" indent="0" shrinkToFit="false"/>
      <protection locked="true" hidden="false"/>
    </xf>
    <xf numFmtId="168" fontId="62" fillId="6" borderId="7" xfId="0" applyFont="true" applyBorder="true" applyAlignment="true" applyProtection="false">
      <alignment horizontal="general" vertical="bottom" textRotation="0" wrapText="false" indent="0" shrinkToFit="false"/>
      <protection locked="true" hidden="false"/>
    </xf>
    <xf numFmtId="168" fontId="62" fillId="0" borderId="7" xfId="0" applyFont="true" applyBorder="true" applyAlignment="true" applyProtection="false">
      <alignment horizontal="general" vertical="bottom" textRotation="0" wrapText="false" indent="0" shrinkToFit="false"/>
      <protection locked="true" hidden="false"/>
    </xf>
    <xf numFmtId="168" fontId="53" fillId="0" borderId="7" xfId="0" applyFont="true" applyBorder="true" applyAlignment="true" applyProtection="false">
      <alignment horizontal="general" vertical="bottom" textRotation="0" wrapText="false" indent="0" shrinkToFit="false"/>
      <protection locked="true" hidden="false"/>
    </xf>
    <xf numFmtId="165" fontId="62" fillId="0" borderId="7" xfId="0" applyFont="true" applyBorder="true" applyAlignment="true" applyProtection="false">
      <alignment horizontal="general" vertical="bottom" textRotation="0" wrapText="false" indent="0" shrinkToFit="false"/>
      <protection locked="true" hidden="false"/>
    </xf>
    <xf numFmtId="165" fontId="63" fillId="0" borderId="7" xfId="0" applyFont="true" applyBorder="true" applyAlignment="true" applyProtection="false">
      <alignment horizontal="general" vertical="bottom" textRotation="0" wrapText="false" indent="0" shrinkToFit="false"/>
      <protection locked="true" hidden="false"/>
    </xf>
    <xf numFmtId="165" fontId="54" fillId="0" borderId="7" xfId="0" applyFont="true" applyBorder="true" applyAlignment="true" applyProtection="false">
      <alignment horizontal="general" vertical="bottom" textRotation="0" wrapText="false" indent="0" shrinkToFit="false"/>
      <protection locked="true" hidden="false"/>
    </xf>
    <xf numFmtId="165" fontId="53" fillId="0" borderId="7" xfId="0" applyFont="true" applyBorder="true" applyAlignment="true" applyProtection="false">
      <alignment horizontal="general" vertical="bottom" textRotation="0" wrapText="false" indent="0" shrinkToFit="false"/>
      <protection locked="true" hidden="false"/>
    </xf>
    <xf numFmtId="164" fontId="55" fillId="0" borderId="7" xfId="0" applyFont="true" applyBorder="true" applyAlignment="true" applyProtection="false">
      <alignment horizontal="general" vertical="top" textRotation="0" wrapText="true" indent="0" shrinkToFit="false"/>
      <protection locked="true" hidden="false"/>
    </xf>
    <xf numFmtId="189" fontId="62" fillId="6" borderId="7" xfId="0" applyFont="true" applyBorder="true" applyAlignment="true" applyProtection="false">
      <alignment horizontal="general" vertical="bottom" textRotation="0" wrapText="false" indent="0" shrinkToFit="false"/>
      <protection locked="true" hidden="false"/>
    </xf>
    <xf numFmtId="189" fontId="54" fillId="0" borderId="7" xfId="0" applyFont="true" applyBorder="true" applyAlignment="true" applyProtection="false">
      <alignment horizontal="general" vertical="bottom" textRotation="0" wrapText="false" indent="0" shrinkToFit="false"/>
      <protection locked="true" hidden="false"/>
    </xf>
    <xf numFmtId="189" fontId="63" fillId="0" borderId="7" xfId="0" applyFont="true" applyBorder="true" applyAlignment="true" applyProtection="false">
      <alignment horizontal="general" vertical="bottom" textRotation="0" wrapText="false" indent="0" shrinkToFit="false"/>
      <protection locked="true" hidden="false"/>
    </xf>
    <xf numFmtId="168" fontId="54" fillId="0" borderId="7" xfId="0" applyFont="true" applyBorder="true" applyAlignment="true" applyProtection="false">
      <alignment horizontal="general" vertical="bottom" textRotation="0" wrapText="false" indent="0" shrinkToFit="false"/>
      <protection locked="true" hidden="false"/>
    </xf>
    <xf numFmtId="189" fontId="62" fillId="0" borderId="7" xfId="0" applyFont="true" applyBorder="true" applyAlignment="true" applyProtection="false">
      <alignment horizontal="general" vertical="bottom" textRotation="0" wrapText="false" indent="0" shrinkToFit="false"/>
      <protection locked="true" hidden="false"/>
    </xf>
    <xf numFmtId="165" fontId="53" fillId="6" borderId="7" xfId="0" applyFont="true" applyBorder="true" applyAlignment="true" applyProtection="false">
      <alignment horizontal="general" vertical="bottom" textRotation="0" wrapText="false" indent="0" shrinkToFit="false"/>
      <protection locked="true" hidden="false"/>
    </xf>
    <xf numFmtId="168" fontId="53" fillId="6" borderId="7" xfId="0" applyFont="true" applyBorder="true" applyAlignment="true" applyProtection="false">
      <alignment horizontal="general" vertical="bottom" textRotation="0" wrapText="false" indent="0" shrinkToFit="false"/>
      <protection locked="true" hidden="false"/>
    </xf>
    <xf numFmtId="164" fontId="67" fillId="0" borderId="0" xfId="0" applyFont="true" applyBorder="false" applyAlignment="true" applyProtection="false">
      <alignment horizontal="general" vertical="bottom" textRotation="0" wrapText="false" indent="0" shrinkToFit="false"/>
      <protection locked="true" hidden="false"/>
    </xf>
    <xf numFmtId="164" fontId="68" fillId="0" borderId="0" xfId="0" applyFont="true" applyBorder="false" applyAlignment="true" applyProtection="false">
      <alignment horizontal="general" vertical="bottom" textRotation="0" wrapText="false" indent="0" shrinkToFit="false"/>
      <protection locked="true" hidden="false"/>
    </xf>
    <xf numFmtId="169" fontId="69" fillId="0" borderId="0" xfId="0" applyFont="true" applyBorder="false" applyAlignment="true" applyProtection="false">
      <alignment horizontal="general" vertical="bottom" textRotation="0" wrapText="false" indent="0" shrinkToFit="false"/>
      <protection locked="true" hidden="false"/>
    </xf>
    <xf numFmtId="179" fontId="44" fillId="0" borderId="0" xfId="0" applyFont="true" applyBorder="false" applyAlignment="true" applyProtection="false">
      <alignment horizontal="general" vertical="bottom" textRotation="0" wrapText="false" indent="0" shrinkToFit="false"/>
      <protection locked="true" hidden="false"/>
    </xf>
    <xf numFmtId="171" fontId="21" fillId="0" borderId="0" xfId="0" applyFont="true" applyBorder="false" applyAlignment="true" applyProtection="false">
      <alignment horizontal="general" vertical="bottom" textRotation="0" wrapText="false" indent="0" shrinkToFit="false"/>
      <protection locked="true" hidden="false"/>
    </xf>
    <xf numFmtId="192" fontId="18" fillId="0" borderId="0" xfId="0" applyFont="true" applyBorder="false" applyAlignment="true" applyProtection="false">
      <alignment horizontal="general" vertical="bottom" textRotation="0" wrapText="false" indent="0" shrinkToFit="false"/>
      <protection locked="true" hidden="false"/>
    </xf>
    <xf numFmtId="182" fontId="48" fillId="0" borderId="0" xfId="0" applyFont="true" applyBorder="false" applyAlignment="true" applyProtection="false">
      <alignment horizontal="general" vertical="bottom" textRotation="0" wrapText="false" indent="0" shrinkToFit="false"/>
      <protection locked="true" hidden="false"/>
    </xf>
    <xf numFmtId="182" fontId="21" fillId="0" borderId="0" xfId="0" applyFont="true" applyBorder="false" applyAlignment="true" applyProtection="false">
      <alignment horizontal="general" vertical="bottom" textRotation="0" wrapText="false" indent="0" shrinkToFit="false"/>
      <protection locked="true" hidden="false"/>
    </xf>
    <xf numFmtId="164" fontId="49" fillId="0" borderId="0" xfId="0" applyFont="true" applyBorder="false" applyAlignment="true" applyProtection="false">
      <alignment horizontal="general" vertical="bottom" textRotation="0" wrapText="false" indent="0" shrinkToFit="false"/>
      <protection locked="true" hidden="false"/>
    </xf>
    <xf numFmtId="193" fontId="70" fillId="0" borderId="0" xfId="0" applyFont="true" applyBorder="false" applyAlignment="true" applyProtection="false">
      <alignment horizontal="general" vertical="bottom" textRotation="0" wrapText="false" indent="0" shrinkToFit="false"/>
      <protection locked="true" hidden="false"/>
    </xf>
    <xf numFmtId="192" fontId="70" fillId="0" borderId="0" xfId="0" applyFont="true" applyBorder="false" applyAlignment="true" applyProtection="false">
      <alignment horizontal="general" vertical="bottom" textRotation="0" wrapText="false" indent="0" shrinkToFit="false"/>
      <protection locked="true" hidden="false"/>
    </xf>
    <xf numFmtId="192" fontId="21" fillId="0" borderId="0" xfId="0" applyFont="true" applyBorder="false" applyAlignment="true" applyProtection="false">
      <alignment horizontal="general" vertical="bottom" textRotation="0" wrapText="false" indent="0" shrinkToFit="false"/>
      <protection locked="true" hidden="false"/>
    </xf>
    <xf numFmtId="179" fontId="19" fillId="0" borderId="0" xfId="0" applyFont="true" applyBorder="false" applyAlignment="true" applyProtection="false">
      <alignment horizontal="general" vertical="bottom" textRotation="0" wrapText="false" indent="0" shrinkToFit="false"/>
      <protection locked="true" hidden="false"/>
    </xf>
    <xf numFmtId="164" fontId="19" fillId="6" borderId="0" xfId="0" applyFont="true" applyBorder="false" applyAlignment="true" applyProtection="false">
      <alignment horizontal="general" vertical="bottom" textRotation="0" wrapText="false" indent="0" shrinkToFit="false"/>
      <protection locked="true" hidden="false"/>
    </xf>
    <xf numFmtId="164" fontId="19" fillId="9" borderId="0" xfId="0" applyFont="true" applyBorder="false" applyAlignment="true" applyProtection="false">
      <alignment horizontal="general" vertical="bottom" textRotation="0" wrapText="false" indent="0" shrinkToFit="false"/>
      <protection locked="true" hidden="false"/>
    </xf>
    <xf numFmtId="169" fontId="0" fillId="0" borderId="0" xfId="0" applyFont="false" applyBorder="false" applyAlignment="true" applyProtection="false">
      <alignment horizontal="general" vertical="bottom" textRotation="0" wrapText="false" indent="0" shrinkToFit="false"/>
      <protection locked="true" hidden="false"/>
    </xf>
    <xf numFmtId="192" fontId="0" fillId="0" borderId="0" xfId="0" applyFont="false" applyBorder="false" applyAlignment="true" applyProtection="false">
      <alignment horizontal="general" vertical="bottom" textRotation="0" wrapText="false" indent="0" shrinkToFit="false"/>
      <protection locked="true" hidden="false"/>
    </xf>
    <xf numFmtId="193" fontId="0" fillId="0" borderId="0" xfId="0" applyFont="fals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69" fontId="48" fillId="0" borderId="0" xfId="0" applyFont="true" applyBorder="false" applyAlignment="true" applyProtection="false">
      <alignment horizontal="general" vertical="bottom" textRotation="0" wrapText="false" indent="0" shrinkToFit="false"/>
      <protection locked="true" hidden="false"/>
    </xf>
    <xf numFmtId="179" fontId="48" fillId="0" borderId="0" xfId="0" applyFont="true" applyBorder="false" applyAlignment="true" applyProtection="false">
      <alignment horizontal="general" vertical="bottom" textRotation="0" wrapText="false" indent="0" shrinkToFit="false"/>
      <protection locked="true" hidden="false"/>
    </xf>
    <xf numFmtId="169" fontId="62" fillId="0" borderId="7" xfId="0" applyFont="true" applyBorder="true" applyAlignment="true" applyProtection="false">
      <alignment horizontal="general" vertical="bottom" textRotation="0" wrapText="false" indent="0" shrinkToFit="false"/>
      <protection locked="true" hidden="false"/>
    </xf>
    <xf numFmtId="168" fontId="65" fillId="0" borderId="7" xfId="0" applyFont="true" applyBorder="true" applyAlignment="true" applyProtection="false">
      <alignment horizontal="general" vertical="bottom" textRotation="0" wrapText="false" indent="0" shrinkToFit="false"/>
      <protection locked="true" hidden="false"/>
    </xf>
    <xf numFmtId="165" fontId="60" fillId="6" borderId="7" xfId="0" applyFont="true" applyBorder="true" applyAlignment="true" applyProtection="false">
      <alignment horizontal="general" vertical="bottom" textRotation="0" wrapText="false" indent="0" shrinkToFit="false"/>
      <protection locked="true" hidden="false"/>
    </xf>
    <xf numFmtId="187" fontId="62" fillId="6" borderId="7" xfId="0" applyFont="true" applyBorder="true" applyAlignment="true" applyProtection="false">
      <alignment horizontal="general" vertical="bottom" textRotation="0" wrapText="false" indent="0" shrinkToFit="false"/>
      <protection locked="true" hidden="false"/>
    </xf>
    <xf numFmtId="179" fontId="54" fillId="0" borderId="7" xfId="0" applyFont="true" applyBorder="true" applyAlignment="true" applyProtection="false">
      <alignment horizontal="general" vertical="bottom" textRotation="0" wrapText="false" indent="0" shrinkToFit="false"/>
      <protection locked="true" hidden="false"/>
    </xf>
    <xf numFmtId="170" fontId="54" fillId="0" borderId="7" xfId="0" applyFont="true" applyBorder="true" applyAlignment="true" applyProtection="false">
      <alignment horizontal="general" vertical="bottom" textRotation="0" wrapText="false" indent="0" shrinkToFit="false"/>
      <protection locked="true" hidden="false"/>
    </xf>
    <xf numFmtId="179" fontId="0" fillId="0" borderId="0" xfId="0" applyFont="false" applyBorder="false" applyAlignment="true" applyProtection="false">
      <alignment horizontal="general" vertical="bottom" textRotation="0" wrapText="false" indent="0" shrinkToFit="false"/>
      <protection locked="true" hidden="false"/>
    </xf>
    <xf numFmtId="166" fontId="62" fillId="0" borderId="0" xfId="0" applyFont="true" applyBorder="false" applyAlignment="true" applyProtection="false">
      <alignment horizontal="general" vertical="bottom" textRotation="0" wrapText="false" indent="0" shrinkToFit="false"/>
      <protection locked="true" hidden="false"/>
    </xf>
    <xf numFmtId="165" fontId="63" fillId="0" borderId="0" xfId="0" applyFont="true" applyBorder="false" applyAlignment="true" applyProtection="false">
      <alignment horizontal="general" vertical="bottom" textRotation="0" wrapText="false" indent="0" shrinkToFit="false"/>
      <protection locked="true" hidden="false"/>
    </xf>
    <xf numFmtId="166" fontId="53" fillId="0" borderId="0" xfId="0" applyFont="true" applyBorder="false" applyAlignment="true" applyProtection="false">
      <alignment horizontal="general" vertical="bottom" textRotation="0" wrapText="false" indent="0" shrinkToFit="false"/>
      <protection locked="true" hidden="false"/>
    </xf>
    <xf numFmtId="164" fontId="71" fillId="0" borderId="0" xfId="0" applyFont="true" applyBorder="false" applyAlignment="true" applyProtection="false">
      <alignment horizontal="general" vertical="bottom" textRotation="0" wrapText="false" indent="0" shrinkToFit="false"/>
      <protection locked="true" hidden="false"/>
    </xf>
    <xf numFmtId="166" fontId="54" fillId="0" borderId="0" xfId="0" applyFont="true" applyBorder="false" applyAlignment="true" applyProtection="false">
      <alignment horizontal="general" vertical="bottom" textRotation="0" wrapText="false" indent="0" shrinkToFit="false"/>
      <protection locked="true" hidden="false"/>
    </xf>
    <xf numFmtId="166" fontId="53" fillId="6" borderId="0" xfId="0" applyFont="true" applyBorder="false" applyAlignment="true" applyProtection="false">
      <alignment horizontal="general" vertical="bottom" textRotation="0" wrapText="false" indent="0" shrinkToFit="false"/>
      <protection locked="true" hidden="false"/>
    </xf>
    <xf numFmtId="168" fontId="53" fillId="0" borderId="0" xfId="0" applyFont="true" applyBorder="false" applyAlignment="true" applyProtection="false">
      <alignment horizontal="general" vertical="bottom" textRotation="0" wrapText="false" indent="0" shrinkToFit="false"/>
      <protection locked="true" hidden="false"/>
    </xf>
    <xf numFmtId="166" fontId="65" fillId="0" borderId="0" xfId="0" applyFont="true" applyBorder="false" applyAlignment="true" applyProtection="false">
      <alignment horizontal="general" vertical="bottom" textRotation="0" wrapText="false" indent="0" shrinkToFit="false"/>
      <protection locked="true" hidden="false"/>
    </xf>
    <xf numFmtId="164" fontId="72" fillId="0" borderId="0" xfId="0" applyFont="true" applyBorder="false" applyAlignment="true" applyProtection="false">
      <alignment horizontal="general" vertical="bottom" textRotation="0" wrapText="false" indent="0" shrinkToFit="false"/>
      <protection locked="true" hidden="false"/>
    </xf>
    <xf numFmtId="165" fontId="53" fillId="0" borderId="0" xfId="0" applyFont="true" applyBorder="false" applyAlignment="true" applyProtection="false">
      <alignment horizontal="general" vertical="bottom" textRotation="0" wrapText="false" indent="0" shrinkToFit="false"/>
      <protection locked="true" hidden="false"/>
    </xf>
    <xf numFmtId="171" fontId="62" fillId="0" borderId="0" xfId="0" applyFont="true" applyBorder="false" applyAlignment="true" applyProtection="false">
      <alignment horizontal="general" vertical="bottom" textRotation="0" wrapText="false" indent="0" shrinkToFit="false"/>
      <protection locked="true" hidden="false"/>
    </xf>
    <xf numFmtId="168" fontId="54" fillId="0" borderId="0" xfId="0" applyFont="true" applyBorder="false" applyAlignment="true" applyProtection="false">
      <alignment horizontal="general" vertical="bottom" textRotation="0" wrapText="false" indent="0" shrinkToFit="false"/>
      <protection locked="true" hidden="false"/>
    </xf>
    <xf numFmtId="187" fontId="54" fillId="0" borderId="0" xfId="0" applyFont="true" applyBorder="false" applyAlignment="true" applyProtection="false">
      <alignment horizontal="general" vertical="bottom" textRotation="0" wrapText="false" indent="0" shrinkToFit="false"/>
      <protection locked="true" hidden="false"/>
    </xf>
    <xf numFmtId="187" fontId="62" fillId="0" borderId="0" xfId="0" applyFont="true" applyBorder="false" applyAlignment="true" applyProtection="false">
      <alignment horizontal="general" vertical="bottom" textRotation="0" wrapText="false" indent="0" shrinkToFit="false"/>
      <protection locked="true" hidden="false"/>
    </xf>
    <xf numFmtId="187" fontId="53" fillId="0" borderId="0" xfId="0" applyFont="true" applyBorder="false" applyAlignment="true" applyProtection="false">
      <alignment horizontal="general" vertical="bottom" textRotation="0" wrapText="false" indent="0" shrinkToFit="false"/>
      <protection locked="true" hidden="false"/>
    </xf>
    <xf numFmtId="164" fontId="57" fillId="5" borderId="0" xfId="0" applyFont="true" applyBorder="false" applyAlignment="true" applyProtection="false">
      <alignment horizontal="general" vertical="bottom" textRotation="0" wrapText="false" indent="0" shrinkToFit="false"/>
      <protection locked="true" hidden="false"/>
    </xf>
    <xf numFmtId="164" fontId="73" fillId="0" borderId="0" xfId="0" applyFont="true" applyBorder="true" applyAlignment="true" applyProtection="false">
      <alignment horizontal="general" vertical="center" textRotation="0" wrapText="true" indent="0" shrinkToFit="false"/>
      <protection locked="true" hidden="false"/>
    </xf>
    <xf numFmtId="164" fontId="74" fillId="0" borderId="0" xfId="0" applyFont="true" applyBorder="false" applyAlignment="true" applyProtection="false">
      <alignment horizontal="general" vertical="bottom" textRotation="0" wrapText="false" indent="0" shrinkToFit="false"/>
      <protection locked="true" hidden="false"/>
    </xf>
    <xf numFmtId="165" fontId="48" fillId="0" borderId="0" xfId="0" applyFont="true" applyBorder="false" applyAlignment="true" applyProtection="false">
      <alignment horizontal="center" vertical="center" textRotation="0" wrapText="false" indent="0" shrinkToFit="false"/>
      <protection locked="true" hidden="false"/>
    </xf>
    <xf numFmtId="165" fontId="45" fillId="6" borderId="0" xfId="0" applyFont="true" applyBorder="false" applyAlignment="true" applyProtection="false">
      <alignment horizontal="center" vertical="center" textRotation="0" wrapText="false" indent="0" shrinkToFit="false"/>
      <protection locked="true" hidden="false"/>
    </xf>
    <xf numFmtId="164" fontId="75" fillId="0" borderId="0" xfId="0" applyFont="true" applyBorder="false" applyAlignment="true" applyProtection="false">
      <alignment horizontal="general" vertical="bottom" textRotation="0" wrapText="false" indent="0" shrinkToFit="false"/>
      <protection locked="true" hidden="false"/>
    </xf>
    <xf numFmtId="164" fontId="76" fillId="0" borderId="0" xfId="0" applyFont="true" applyBorder="false" applyAlignment="true" applyProtection="false">
      <alignment horizontal="general" vertical="bottom" textRotation="0" wrapText="false" indent="0" shrinkToFit="false"/>
      <protection locked="true" hidden="false"/>
    </xf>
    <xf numFmtId="182" fontId="76" fillId="0" borderId="0" xfId="0" applyFont="true" applyBorder="false" applyAlignment="true" applyProtection="false">
      <alignment horizontal="center" vertical="center" textRotation="0" wrapText="false" indent="0" shrinkToFit="false"/>
      <protection locked="true" hidden="false"/>
    </xf>
    <xf numFmtId="164" fontId="69" fillId="0" borderId="0" xfId="0" applyFont="true" applyBorder="false" applyAlignment="true" applyProtection="false">
      <alignment horizontal="center" vertical="center" textRotation="0" wrapText="false" indent="0" shrinkToFit="false"/>
      <protection locked="true" hidden="false"/>
    </xf>
    <xf numFmtId="166" fontId="53" fillId="14" borderId="0" xfId="0" applyFont="true" applyBorder="false" applyAlignment="true" applyProtection="false">
      <alignment horizontal="general" vertical="bottom" textRotation="0" wrapText="false" indent="0" shrinkToFit="false"/>
      <protection locked="true" hidden="false"/>
    </xf>
    <xf numFmtId="164" fontId="72" fillId="5" borderId="0" xfId="0" applyFont="true" applyBorder="false" applyAlignment="true" applyProtection="false">
      <alignment horizontal="general" vertical="bottom" textRotation="0" wrapText="false" indent="0" shrinkToFit="false"/>
      <protection locked="true" hidden="false"/>
    </xf>
    <xf numFmtId="164" fontId="71" fillId="5"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6" fontId="63" fillId="0" borderId="0" xfId="0" applyFont="true" applyBorder="false" applyAlignment="true" applyProtection="false">
      <alignment horizontal="general" vertical="bottom" textRotation="0" wrapText="false" indent="0" shrinkToFit="false"/>
      <protection locked="true" hidden="false"/>
    </xf>
    <xf numFmtId="164" fontId="77" fillId="0" borderId="0" xfId="0" applyFont="true" applyBorder="false" applyAlignment="true" applyProtection="false">
      <alignment horizontal="general" vertical="bottom" textRotation="0" wrapText="false" indent="0" shrinkToFit="false"/>
      <protection locked="true" hidden="false"/>
    </xf>
    <xf numFmtId="165" fontId="53" fillId="9" borderId="0" xfId="0" applyFont="true" applyBorder="false" applyAlignment="true" applyProtection="false">
      <alignment horizontal="general" vertical="bottom" textRotation="0" wrapText="false" indent="0" shrinkToFit="false"/>
      <protection locked="true" hidden="false"/>
    </xf>
    <xf numFmtId="164" fontId="65" fillId="0" borderId="0" xfId="0" applyFont="true" applyBorder="false" applyAlignment="true" applyProtection="false">
      <alignment horizontal="general" vertical="bottom" textRotation="0" wrapText="false" indent="0" shrinkToFit="false"/>
      <protection locked="true" hidden="false"/>
    </xf>
    <xf numFmtId="165" fontId="65" fillId="0" borderId="0" xfId="0" applyFont="true" applyBorder="false" applyAlignment="true" applyProtection="false">
      <alignment horizontal="general" vertical="bottom" textRotation="0" wrapText="false" indent="0" shrinkToFit="false"/>
      <protection locked="true" hidden="false"/>
    </xf>
    <xf numFmtId="168" fontId="65" fillId="0" borderId="0" xfId="0" applyFont="true" applyBorder="false" applyAlignment="true" applyProtection="false">
      <alignment horizontal="general" vertical="bottom" textRotation="0" wrapText="false" indent="0" shrinkToFit="false"/>
      <protection locked="true" hidden="false"/>
    </xf>
    <xf numFmtId="166" fontId="62" fillId="6" borderId="0" xfId="0" applyFont="true" applyBorder="false" applyAlignment="true" applyProtection="false">
      <alignment horizontal="general" vertical="bottom" textRotation="0" wrapText="false" indent="0" shrinkToFit="false"/>
      <protection locked="true" hidden="false"/>
    </xf>
    <xf numFmtId="179" fontId="53" fillId="6" borderId="7" xfId="0" applyFont="true" applyBorder="true" applyAlignment="true" applyProtection="false">
      <alignment horizontal="general" vertical="bottom" textRotation="0" wrapText="false" indent="0" shrinkToFit="false"/>
      <protection locked="true" hidden="false"/>
    </xf>
    <xf numFmtId="165" fontId="54" fillId="0" borderId="0" xfId="0" applyFont="true" applyBorder="false" applyAlignment="true" applyProtection="false">
      <alignment horizontal="general" vertical="bottom" textRotation="0" wrapText="false" indent="0" shrinkToFit="false"/>
      <protection locked="true" hidden="false"/>
    </xf>
    <xf numFmtId="164" fontId="78" fillId="9" borderId="0" xfId="0" applyFont="true" applyBorder="false" applyAlignment="true" applyProtection="false">
      <alignment horizontal="general" vertical="bottom" textRotation="0" wrapText="false" indent="0" shrinkToFit="false"/>
      <protection locked="true" hidden="false"/>
    </xf>
    <xf numFmtId="165" fontId="54" fillId="9" borderId="0" xfId="0" applyFont="true" applyBorder="false" applyAlignment="true" applyProtection="false">
      <alignment horizontal="general" vertical="bottom" textRotation="0" wrapText="false" indent="0" shrinkToFit="false"/>
      <protection locked="true" hidden="false"/>
    </xf>
    <xf numFmtId="188" fontId="38" fillId="0" borderId="0" xfId="0" applyFont="true" applyBorder="false" applyAlignment="true" applyProtection="false">
      <alignment horizontal="general" vertical="bottom" textRotation="0" wrapText="false" indent="0" shrinkToFit="false"/>
      <protection locked="true" hidden="false"/>
    </xf>
    <xf numFmtId="164" fontId="79" fillId="0" borderId="0" xfId="0" applyFont="true" applyBorder="false" applyAlignment="true" applyProtection="false">
      <alignment horizontal="general" vertical="bottom" textRotation="0" wrapText="false" indent="0" shrinkToFit="false"/>
      <protection locked="true" hidden="false"/>
    </xf>
    <xf numFmtId="165" fontId="79" fillId="0" borderId="0" xfId="0" applyFont="true" applyBorder="false" applyAlignment="true" applyProtection="false">
      <alignment horizontal="general" vertical="bottom" textRotation="0" wrapText="false" indent="0" shrinkToFit="false"/>
      <protection locked="true" hidden="false"/>
    </xf>
    <xf numFmtId="166" fontId="38" fillId="0" borderId="0" xfId="0" applyFont="true" applyBorder="false" applyAlignment="true" applyProtection="false">
      <alignment horizontal="general" vertical="bottom" textRotation="0" wrapText="false" indent="0" shrinkToFit="false"/>
      <protection locked="true" hidden="false"/>
    </xf>
    <xf numFmtId="165" fontId="53" fillId="6" borderId="0" xfId="0" applyFont="true" applyBorder="false" applyAlignment="true" applyProtection="false">
      <alignment horizontal="general" vertical="bottom" textRotation="0" wrapText="false" indent="0" shrinkToFit="false"/>
      <protection locked="true" hidden="false"/>
    </xf>
    <xf numFmtId="179" fontId="63" fillId="0" borderId="7" xfId="0" applyFont="true" applyBorder="true" applyAlignment="true" applyProtection="false">
      <alignment horizontal="general" vertical="bottom" textRotation="0" wrapText="false" indent="0" shrinkToFit="false"/>
      <protection locked="true" hidden="false"/>
    </xf>
    <xf numFmtId="168" fontId="63" fillId="0" borderId="7" xfId="0" applyFont="true" applyBorder="true" applyAlignment="true" applyProtection="false">
      <alignment horizontal="general" vertical="bottom" textRotation="0" wrapText="false" indent="0" shrinkToFit="false"/>
      <protection locked="true" hidden="false"/>
    </xf>
    <xf numFmtId="165" fontId="65" fillId="0" borderId="7"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26" fillId="15" borderId="0" xfId="0" applyFont="true" applyBorder="false" applyAlignment="true" applyProtection="false">
      <alignment horizontal="general" vertical="bottom" textRotation="0" wrapText="false" indent="0" shrinkToFit="false"/>
      <protection locked="true" hidden="false"/>
    </xf>
    <xf numFmtId="189" fontId="62" fillId="0" borderId="0" xfId="0" applyFont="true" applyBorder="false" applyAlignment="true" applyProtection="false">
      <alignment horizontal="general" vertical="bottom" textRotation="0" wrapText="false" indent="0" shrinkToFit="false"/>
      <protection locked="true" hidden="false"/>
    </xf>
    <xf numFmtId="189" fontId="65" fillId="0" borderId="0" xfId="0" applyFont="true" applyBorder="false" applyAlignment="true" applyProtection="false">
      <alignment horizontal="general" vertical="bottom" textRotation="0" wrapText="false" indent="0" shrinkToFit="false"/>
      <protection locked="true" hidden="false"/>
    </xf>
    <xf numFmtId="189" fontId="53" fillId="6" borderId="0" xfId="0" applyFont="true" applyBorder="false" applyAlignment="true" applyProtection="false">
      <alignment horizontal="general" vertical="bottom" textRotation="0" wrapText="false" indent="0" shrinkToFit="false"/>
      <protection locked="true" hidden="false"/>
    </xf>
    <xf numFmtId="189" fontId="60" fillId="6" borderId="0" xfId="0" applyFont="true" applyBorder="false" applyAlignment="true" applyProtection="false">
      <alignment horizontal="general" vertical="bottom" textRotation="0" wrapText="false" indent="0" shrinkToFit="false"/>
      <protection locked="true" hidden="false"/>
    </xf>
    <xf numFmtId="166" fontId="19" fillId="6" borderId="0" xfId="0" applyFont="true" applyBorder="false" applyAlignment="true" applyProtection="false">
      <alignment horizontal="general" vertical="bottom" textRotation="0" wrapText="false" indent="0" shrinkToFit="false"/>
      <protection locked="true" hidden="false"/>
    </xf>
    <xf numFmtId="164" fontId="23" fillId="4" borderId="0" xfId="0" applyFont="true" applyBorder="true" applyAlignment="true" applyProtection="false">
      <alignment horizontal="center" vertical="bottom" textRotation="0" wrapText="false" indent="0" shrinkToFit="false"/>
      <protection locked="true" hidden="false"/>
    </xf>
    <xf numFmtId="179" fontId="21" fillId="10" borderId="0" xfId="0" applyFont="true" applyBorder="false" applyAlignment="true" applyProtection="false">
      <alignment horizontal="general" vertical="bottom" textRotation="0" wrapText="false" indent="0" shrinkToFit="false"/>
      <protection locked="true" hidden="false"/>
    </xf>
    <xf numFmtId="166" fontId="19" fillId="16" borderId="0" xfId="0" applyFont="true" applyBorder="false" applyAlignment="true" applyProtection="false">
      <alignment horizontal="general" vertical="bottom" textRotation="0" wrapText="false" indent="0" shrinkToFit="false"/>
      <protection locked="true" hidden="false"/>
    </xf>
    <xf numFmtId="164" fontId="80" fillId="2" borderId="0" xfId="0" applyFont="true" applyBorder="true" applyAlignment="true" applyProtection="false">
      <alignment horizontal="center" vertical="bottom" textRotation="0" wrapText="false" indent="0" shrinkToFit="false"/>
      <protection locked="true" hidden="false"/>
    </xf>
    <xf numFmtId="164" fontId="81" fillId="0" borderId="0" xfId="0" applyFont="true" applyBorder="false" applyAlignment="true" applyProtection="false">
      <alignment horizontal="general" vertical="bottom" textRotation="0" wrapText="false" indent="0" shrinkToFit="false"/>
      <protection locked="true" hidden="false"/>
    </xf>
    <xf numFmtId="164" fontId="82" fillId="0" borderId="0" xfId="0" applyFont="true" applyBorder="false" applyAlignment="true" applyProtection="false">
      <alignment horizontal="general" vertical="bottom" textRotation="0" wrapText="false" indent="0" shrinkToFit="false"/>
      <protection locked="true" hidden="false"/>
    </xf>
    <xf numFmtId="164" fontId="83" fillId="17" borderId="0" xfId="0" applyFont="true" applyBorder="false" applyAlignment="true" applyProtection="false">
      <alignment horizontal="general" vertical="bottom" textRotation="0" wrapText="false" indent="0" shrinkToFit="false"/>
      <protection locked="true" hidden="false"/>
    </xf>
    <xf numFmtId="164" fontId="83" fillId="0" borderId="0" xfId="0" applyFont="true" applyBorder="false" applyAlignment="true" applyProtection="false">
      <alignment horizontal="general" vertical="bottom" textRotation="0" wrapText="false" indent="0" shrinkToFit="false"/>
      <protection locked="true" hidden="false"/>
    </xf>
    <xf numFmtId="164" fontId="84" fillId="0" borderId="0" xfId="0" applyFont="true" applyBorder="false" applyAlignment="true" applyProtection="false">
      <alignment horizontal="general" vertical="bottom" textRotation="0" wrapText="false" indent="0" shrinkToFit="false"/>
      <protection locked="true" hidden="false"/>
    </xf>
    <xf numFmtId="194" fontId="85" fillId="0" borderId="0" xfId="0" applyFont="true" applyBorder="false" applyAlignment="true" applyProtection="false">
      <alignment horizontal="general" vertical="bottom" textRotation="0" wrapText="false" indent="0" shrinkToFit="false"/>
      <protection locked="true" hidden="false"/>
    </xf>
    <xf numFmtId="182" fontId="85" fillId="0" borderId="0" xfId="0" applyFont="true" applyBorder="false" applyAlignment="true" applyProtection="false">
      <alignment horizontal="general" vertical="bottom" textRotation="0" wrapText="false" indent="0" shrinkToFit="false"/>
      <protection locked="true" hidden="false"/>
    </xf>
    <xf numFmtId="166" fontId="85" fillId="0" borderId="0" xfId="0" applyFont="true" applyBorder="false" applyAlignment="true" applyProtection="false">
      <alignment horizontal="general" vertical="bottom" textRotation="0" wrapText="false" indent="0" shrinkToFit="false"/>
      <protection locked="true" hidden="false"/>
    </xf>
    <xf numFmtId="164" fontId="83" fillId="6" borderId="0" xfId="0" applyFont="true" applyBorder="false" applyAlignment="true" applyProtection="false">
      <alignment horizontal="general" vertical="bottom" textRotation="0" wrapText="false" indent="0" shrinkToFit="false"/>
      <protection locked="true" hidden="false"/>
    </xf>
    <xf numFmtId="182" fontId="86" fillId="6" borderId="0" xfId="0" applyFont="true" applyBorder="false" applyAlignment="true" applyProtection="false">
      <alignment horizontal="general" vertical="bottom" textRotation="0" wrapText="false" indent="0" shrinkToFit="false"/>
      <protection locked="true" hidden="false"/>
    </xf>
    <xf numFmtId="182" fontId="83" fillId="0" borderId="0" xfId="0" applyFont="true" applyBorder="false" applyAlignment="true" applyProtection="false">
      <alignment horizontal="general" vertical="bottom" textRotation="0" wrapText="false" indent="0" shrinkToFit="false"/>
      <protection locked="true" hidden="false"/>
    </xf>
    <xf numFmtId="164" fontId="87" fillId="0" borderId="0" xfId="0" applyFont="true" applyBorder="false" applyAlignment="true" applyProtection="false">
      <alignment horizontal="general" vertical="bottom" textRotation="0" wrapText="false" indent="0" shrinkToFit="false"/>
      <protection locked="true" hidden="false"/>
    </xf>
    <xf numFmtId="164" fontId="88" fillId="0" borderId="0" xfId="0" applyFont="true" applyBorder="false" applyAlignment="true" applyProtection="false">
      <alignment horizontal="general" vertical="bottom" textRotation="0" wrapText="false" indent="0" shrinkToFit="false"/>
      <protection locked="true" hidden="false"/>
    </xf>
    <xf numFmtId="164" fontId="89" fillId="2" borderId="0" xfId="0" applyFont="true" applyBorder="false" applyAlignment="true" applyProtection="false">
      <alignment horizontal="general" vertical="bottom" textRotation="0" wrapText="false" indent="0" shrinkToFit="false"/>
      <protection locked="true" hidden="false"/>
    </xf>
    <xf numFmtId="164" fontId="89" fillId="2" borderId="0" xfId="0" applyFont="true" applyBorder="false" applyAlignment="true" applyProtection="false">
      <alignment horizontal="center" vertical="bottom" textRotation="0" wrapText="false" indent="0" shrinkToFit="false"/>
      <protection locked="true" hidden="false"/>
    </xf>
    <xf numFmtId="165" fontId="85" fillId="0" borderId="0" xfId="0" applyFont="true" applyBorder="false" applyAlignment="true" applyProtection="false">
      <alignment horizontal="general" vertical="bottom" textRotation="0" wrapText="false" indent="0" shrinkToFit="false"/>
      <protection locked="true" hidden="false"/>
    </xf>
    <xf numFmtId="167" fontId="85" fillId="0" borderId="0" xfId="0" applyFont="true" applyBorder="false" applyAlignment="true" applyProtection="false">
      <alignment horizontal="general" vertical="bottom" textRotation="0" wrapText="false" indent="0" shrinkToFit="false"/>
      <protection locked="true" hidden="false"/>
    </xf>
    <xf numFmtId="194" fontId="84" fillId="0" borderId="0" xfId="0" applyFont="true" applyBorder="false" applyAlignment="true" applyProtection="false">
      <alignment horizontal="general" vertical="bottom" textRotation="0" wrapText="false" indent="0" shrinkToFit="false"/>
      <protection locked="true" hidden="false"/>
    </xf>
    <xf numFmtId="168" fontId="85" fillId="0" borderId="0" xfId="0" applyFont="true" applyBorder="false" applyAlignment="true" applyProtection="false">
      <alignment horizontal="general" vertical="bottom" textRotation="0" wrapText="false" indent="0" shrinkToFit="false"/>
      <protection locked="true" hidden="false"/>
    </xf>
    <xf numFmtId="164" fontId="90" fillId="7" borderId="0" xfId="0" applyFont="true" applyBorder="false" applyAlignment="true" applyProtection="false">
      <alignment horizontal="general" vertical="bottom" textRotation="0" wrapText="false" indent="0" shrinkToFit="false"/>
      <protection locked="true" hidden="false"/>
    </xf>
    <xf numFmtId="166" fontId="19" fillId="0" borderId="0" xfId="0" applyFont="true" applyBorder="false" applyAlignment="true" applyProtection="false">
      <alignment horizontal="general" vertical="bottom" textRotation="0" wrapText="false" indent="0" shrinkToFit="false"/>
      <protection locked="true" hidden="false"/>
    </xf>
    <xf numFmtId="178" fontId="21" fillId="10" borderId="0" xfId="0" applyFont="true" applyBorder="false" applyAlignment="true" applyProtection="false">
      <alignment horizontal="general" vertical="bottom" textRotation="0" wrapText="false" indent="0" shrinkToFit="false"/>
      <protection locked="true" hidden="false"/>
    </xf>
    <xf numFmtId="194" fontId="21" fillId="10" borderId="0" xfId="0" applyFont="true" applyBorder="false" applyAlignment="true" applyProtection="false">
      <alignment horizontal="general" vertical="bottom" textRotation="0" wrapText="false" indent="0" shrinkToFit="false"/>
      <protection locked="true" hidden="false"/>
    </xf>
    <xf numFmtId="194" fontId="21" fillId="0" borderId="0" xfId="0" applyFont="true" applyBorder="false" applyAlignment="true" applyProtection="false">
      <alignment horizontal="general" vertical="bottom" textRotation="0" wrapText="false" indent="0" shrinkToFit="false"/>
      <protection locked="true" hidden="false"/>
    </xf>
    <xf numFmtId="194" fontId="19" fillId="0" borderId="0" xfId="0" applyFont="true" applyBorder="false" applyAlignment="true" applyProtection="false">
      <alignment horizontal="general" vertical="bottom" textRotation="0" wrapText="false" indent="0" shrinkToFit="false"/>
      <protection locked="true" hidden="false"/>
    </xf>
    <xf numFmtId="195" fontId="0" fillId="0" borderId="0" xfId="0" applyFont="false" applyBorder="false" applyAlignment="true" applyProtection="false">
      <alignment horizontal="general" vertical="bottom" textRotation="0" wrapText="false" indent="0" shrinkToFit="false"/>
      <protection locked="true" hidden="false"/>
    </xf>
    <xf numFmtId="164" fontId="91" fillId="0" borderId="0" xfId="0" applyFont="true" applyBorder="false" applyAlignment="true" applyProtection="false">
      <alignment horizontal="general" vertical="bottom" textRotation="0" wrapText="false" indent="0" shrinkToFit="false"/>
      <protection locked="true" hidden="false"/>
    </xf>
    <xf numFmtId="164" fontId="92" fillId="5" borderId="0" xfId="0" applyFont="true" applyBorder="false" applyAlignment="true" applyProtection="false">
      <alignment horizontal="general" vertical="bottom" textRotation="0" wrapText="false" indent="0" shrinkToFit="false"/>
      <protection locked="true" hidden="false"/>
    </xf>
    <xf numFmtId="182" fontId="62" fillId="0" borderId="0" xfId="0" applyFont="true" applyBorder="false" applyAlignment="true" applyProtection="false">
      <alignment horizontal="center" vertical="center" textRotation="0" wrapText="false" indent="0" shrinkToFit="false"/>
      <protection locked="true" hidden="false"/>
    </xf>
    <xf numFmtId="164" fontId="93" fillId="0" borderId="0" xfId="0" applyFont="true" applyBorder="false" applyAlignment="true" applyProtection="false">
      <alignment horizontal="general" vertical="center" textRotation="0" wrapText="true" indent="0" shrinkToFit="false"/>
      <protection locked="true" hidden="false"/>
    </xf>
    <xf numFmtId="182" fontId="63" fillId="0" borderId="0" xfId="0" applyFont="true" applyBorder="false" applyAlignment="true" applyProtection="false">
      <alignment horizontal="center" vertical="center" textRotation="0" wrapText="false" indent="0" shrinkToFit="false"/>
      <protection locked="true" hidden="false"/>
    </xf>
    <xf numFmtId="164" fontId="61" fillId="0" borderId="0" xfId="0" applyFont="true" applyBorder="false" applyAlignment="true" applyProtection="false">
      <alignment horizontal="center" vertical="center" textRotation="0" wrapText="false" indent="0" shrinkToFit="false"/>
      <protection locked="true" hidden="false"/>
    </xf>
    <xf numFmtId="196" fontId="63" fillId="0" borderId="0" xfId="0" applyFont="true" applyBorder="false" applyAlignment="true" applyProtection="false">
      <alignment horizontal="center" vertical="center" textRotation="0" wrapText="false" indent="0" shrinkToFit="false"/>
      <protection locked="true" hidden="false"/>
    </xf>
    <xf numFmtId="164" fontId="94" fillId="0" borderId="0" xfId="0" applyFont="true" applyBorder="false" applyAlignment="true" applyProtection="false">
      <alignment horizontal="general" vertical="bottom" textRotation="0" wrapText="false" indent="0" shrinkToFit="false"/>
      <protection locked="true" hidden="false"/>
    </xf>
    <xf numFmtId="182" fontId="94" fillId="0" borderId="0" xfId="0" applyFont="true" applyBorder="false" applyAlignment="true" applyProtection="false">
      <alignment horizontal="center" vertical="center" textRotation="0" wrapText="false" indent="0" shrinkToFit="false"/>
      <protection locked="true" hidden="false"/>
    </xf>
    <xf numFmtId="182" fontId="45" fillId="6" borderId="0" xfId="0" applyFont="true" applyBorder="false" applyAlignment="true" applyProtection="false">
      <alignment horizontal="center" vertical="center" textRotation="0" wrapText="false" indent="0" shrinkToFit="false"/>
      <protection locked="true" hidden="false"/>
    </xf>
    <xf numFmtId="164" fontId="75" fillId="0" borderId="0" xfId="0" applyFont="true" applyBorder="false" applyAlignment="true" applyProtection="false">
      <alignment horizontal="general" vertical="center" textRotation="0" wrapText="true" indent="0" shrinkToFit="false"/>
      <protection locked="true" hidden="false"/>
    </xf>
    <xf numFmtId="182" fontId="60" fillId="6" borderId="0" xfId="0" applyFont="true" applyBorder="false" applyAlignment="true" applyProtection="false">
      <alignment horizontal="center" vertical="center" textRotation="0" wrapText="false" indent="0" shrinkToFit="false"/>
      <protection locked="true" hidden="false"/>
    </xf>
    <xf numFmtId="197" fontId="45" fillId="6" borderId="0" xfId="0" applyFont="true" applyBorder="false" applyAlignment="true" applyProtection="false">
      <alignment horizontal="center" vertical="center" textRotation="0" wrapText="false" indent="0" shrinkToFit="false"/>
      <protection locked="true" hidden="false"/>
    </xf>
    <xf numFmtId="197" fontId="76" fillId="0" borderId="0" xfId="0" applyFont="true" applyBorder="false" applyAlignment="true" applyProtection="false">
      <alignment horizontal="center" vertical="center" textRotation="0" wrapText="false" indent="0" shrinkToFit="false"/>
      <protection locked="true" hidden="false"/>
    </xf>
    <xf numFmtId="164" fontId="95" fillId="0" borderId="0" xfId="0" applyFont="true" applyBorder="false" applyAlignment="true" applyProtection="false">
      <alignment horizontal="general" vertical="bottom" textRotation="0" wrapText="false" indent="0" shrinkToFit="false"/>
      <protection locked="true" hidden="false"/>
    </xf>
    <xf numFmtId="196" fontId="62" fillId="0" borderId="0" xfId="0" applyFont="true" applyBorder="false" applyAlignment="true" applyProtection="false">
      <alignment horizontal="center" vertical="center" textRotation="0" wrapText="false" indent="0" shrinkToFit="false"/>
      <protection locked="true" hidden="false"/>
    </xf>
    <xf numFmtId="182" fontId="94" fillId="6" borderId="0" xfId="0" applyFont="true" applyBorder="false" applyAlignment="true" applyProtection="false">
      <alignment horizontal="center" vertical="center" textRotation="0" wrapText="false" indent="0" shrinkToFit="false"/>
      <protection locked="true" hidden="false"/>
    </xf>
    <xf numFmtId="182" fontId="65" fillId="0" borderId="0" xfId="0" applyFont="true" applyBorder="false" applyAlignment="true" applyProtection="false">
      <alignment horizontal="center" vertical="center" textRotation="0" wrapText="false" indent="0" shrinkToFit="false"/>
      <protection locked="true" hidden="false"/>
    </xf>
    <xf numFmtId="164" fontId="57" fillId="6" borderId="0" xfId="0" applyFont="true" applyBorder="true" applyAlignment="true" applyProtection="false">
      <alignment horizontal="general" vertical="bottom" textRotation="0" wrapText="false" indent="0" shrinkToFit="false"/>
      <protection locked="true" hidden="false"/>
    </xf>
    <xf numFmtId="168" fontId="62" fillId="0" borderId="0" xfId="0" applyFont="true" applyBorder="false" applyAlignment="true" applyProtection="false">
      <alignment horizontal="center" vertical="center" textRotation="0" wrapText="false" indent="0" shrinkToFit="false"/>
      <protection locked="true" hidden="false"/>
    </xf>
    <xf numFmtId="168" fontId="65" fillId="0" borderId="0" xfId="0" applyFont="true" applyBorder="false" applyAlignment="true" applyProtection="false">
      <alignment horizontal="center" vertical="center" textRotation="0" wrapText="false" indent="0" shrinkToFit="false"/>
      <protection locked="true" hidden="false"/>
    </xf>
    <xf numFmtId="168" fontId="63" fillId="0" borderId="0" xfId="0" applyFont="true" applyBorder="false" applyAlignment="true" applyProtection="false">
      <alignment horizontal="center" vertical="center" textRotation="0" wrapText="false" indent="0" shrinkToFit="false"/>
      <protection locked="true" hidden="false"/>
    </xf>
    <xf numFmtId="193" fontId="63" fillId="0" borderId="0" xfId="0" applyFont="true" applyBorder="false" applyAlignment="true" applyProtection="false">
      <alignment horizontal="center" vertical="center" textRotation="0" wrapText="false" indent="0" shrinkToFit="false"/>
      <protection locked="true" hidden="false"/>
    </xf>
    <xf numFmtId="167" fontId="63" fillId="0" borderId="0" xfId="0" applyFont="true" applyBorder="false" applyAlignment="true" applyProtection="false">
      <alignment horizontal="center" vertical="center" textRotation="0" wrapText="false" indent="0" shrinkToFit="false"/>
      <protection locked="true" hidden="false"/>
    </xf>
    <xf numFmtId="182" fontId="74" fillId="0" borderId="0" xfId="0" applyFont="true" applyBorder="false" applyAlignment="true" applyProtection="false">
      <alignment horizontal="center" vertical="center" textRotation="0" wrapText="false" indent="0" shrinkToFit="false"/>
      <protection locked="true" hidden="false"/>
    </xf>
    <xf numFmtId="182" fontId="48" fillId="0" borderId="0" xfId="0" applyFont="true" applyBorder="false" applyAlignment="true" applyProtection="false">
      <alignment horizontal="center" vertical="center" textRotation="0" wrapText="false" indent="0" shrinkToFit="false"/>
      <protection locked="true" hidden="false"/>
    </xf>
    <xf numFmtId="167" fontId="62" fillId="0" borderId="0" xfId="0" applyFont="true" applyBorder="false" applyAlignment="true" applyProtection="false">
      <alignment horizontal="center" vertical="center" textRotation="0" wrapText="false" indent="0" shrinkToFit="false"/>
      <protection locked="true" hidden="false"/>
    </xf>
    <xf numFmtId="191" fontId="63" fillId="0" borderId="0" xfId="0" applyFont="true" applyBorder="false" applyAlignment="true" applyProtection="false">
      <alignment horizontal="center" vertical="center" textRotation="0" wrapText="false" indent="0" shrinkToFit="false"/>
      <protection locked="true" hidden="false"/>
    </xf>
    <xf numFmtId="164" fontId="26" fillId="15" borderId="0" xfId="0" applyFont="true" applyBorder="false" applyAlignment="true" applyProtection="false">
      <alignment horizontal="left" vertical="center" textRotation="0" wrapText="false" indent="0" shrinkToFit="false"/>
      <protection locked="true" hidden="false"/>
    </xf>
    <xf numFmtId="164" fontId="26" fillId="15" borderId="0" xfId="0" applyFont="true" applyBorder="false" applyAlignment="true" applyProtection="false">
      <alignment horizontal="center" vertical="center" textRotation="0" wrapText="false" indent="0" shrinkToFit="false"/>
      <protection locked="true" hidden="false"/>
    </xf>
    <xf numFmtId="167" fontId="65" fillId="0" borderId="0" xfId="0" applyFont="true" applyBorder="false" applyAlignment="true" applyProtection="false">
      <alignment horizontal="general" vertical="bottom" textRotation="0" wrapText="false" indent="0" shrinkToFit="false"/>
      <protection locked="true" hidden="false"/>
    </xf>
    <xf numFmtId="164" fontId="96" fillId="0" borderId="0" xfId="0" applyFont="true" applyBorder="false" applyAlignment="true" applyProtection="false">
      <alignment horizontal="general" vertical="bottom" textRotation="0" wrapText="false" indent="0" shrinkToFit="false"/>
      <protection locked="true" hidden="false"/>
    </xf>
    <xf numFmtId="167" fontId="97" fillId="0" borderId="0" xfId="0" applyFont="true" applyBorder="false" applyAlignment="true" applyProtection="false">
      <alignment horizontal="general" vertical="bottom" textRotation="0" wrapText="false" indent="0" shrinkToFit="false"/>
      <protection locked="true" hidden="false"/>
    </xf>
    <xf numFmtId="167" fontId="94" fillId="0" borderId="0" xfId="0" applyFont="true" applyBorder="false" applyAlignment="true" applyProtection="false">
      <alignment horizontal="general" vertical="bottom" textRotation="0" wrapText="false" indent="0" shrinkToFit="false"/>
      <protection locked="true" hidden="false"/>
    </xf>
    <xf numFmtId="167" fontId="63" fillId="0" borderId="0" xfId="0" applyFont="true" applyBorder="false" applyAlignment="true" applyProtection="false">
      <alignment horizontal="general" vertical="bottom" textRotation="0" wrapText="false" indent="0" shrinkToFit="false"/>
      <protection locked="true" hidden="false"/>
    </xf>
    <xf numFmtId="164" fontId="61" fillId="0" borderId="0" xfId="0" applyFont="true" applyBorder="false" applyAlignment="true" applyProtection="false">
      <alignment horizontal="general" vertical="bottom" textRotation="0" wrapText="false" indent="0" shrinkToFit="false"/>
      <protection locked="true" hidden="false"/>
    </xf>
    <xf numFmtId="182" fontId="98" fillId="0" borderId="0" xfId="0" applyFont="true" applyBorder="false" applyAlignment="true" applyProtection="false">
      <alignment horizontal="center" vertical="center" textRotation="0" wrapText="false" indent="0" shrinkToFit="false"/>
      <protection locked="true" hidden="false"/>
    </xf>
    <xf numFmtId="164" fontId="62" fillId="0" borderId="0" xfId="0" applyFont="true" applyBorder="false" applyAlignment="true" applyProtection="false">
      <alignment horizontal="center" vertical="center" textRotation="0" wrapText="false" indent="0" shrinkToFit="false"/>
      <protection locked="true" hidden="false"/>
    </xf>
    <xf numFmtId="164" fontId="99" fillId="0" borderId="0" xfId="0" applyFont="true" applyBorder="false" applyAlignment="true" applyProtection="false">
      <alignment horizontal="general" vertical="bottom" textRotation="0" wrapText="false" indent="0" shrinkToFit="false"/>
      <protection locked="true" hidden="false"/>
    </xf>
    <xf numFmtId="164" fontId="98" fillId="0" borderId="0" xfId="0" applyFont="true" applyBorder="false" applyAlignment="true" applyProtection="false">
      <alignment horizontal="center" vertical="center" textRotation="0" wrapText="false" indent="0" shrinkToFit="false"/>
      <protection locked="true" hidden="false"/>
    </xf>
    <xf numFmtId="164" fontId="63" fillId="0" borderId="0" xfId="0" applyFont="true" applyBorder="false" applyAlignment="true" applyProtection="false">
      <alignment horizontal="center" vertical="center" textRotation="0" wrapText="false" indent="0" shrinkToFit="false"/>
      <protection locked="true" hidden="false"/>
    </xf>
    <xf numFmtId="182" fontId="100" fillId="0" borderId="0" xfId="0" applyFont="true" applyBorder="false" applyAlignment="true" applyProtection="false">
      <alignment horizontal="center" vertical="center" textRotation="0" wrapText="false" indent="0" shrinkToFit="false"/>
      <protection locked="true" hidden="false"/>
    </xf>
    <xf numFmtId="164" fontId="49" fillId="0" borderId="0" xfId="0" applyFont="true" applyBorder="false" applyAlignment="true" applyProtection="false">
      <alignment horizontal="center" vertical="center" textRotation="0" wrapText="false" indent="0" shrinkToFit="false"/>
      <protection locked="true" hidden="false"/>
    </xf>
    <xf numFmtId="164" fontId="48" fillId="0" borderId="0" xfId="0" applyFont="true" applyBorder="false" applyAlignment="true" applyProtection="false">
      <alignment horizontal="center" vertical="center" textRotation="0" wrapText="false" indent="0" shrinkToFit="false"/>
      <protection locked="true" hidden="false"/>
    </xf>
    <xf numFmtId="164" fontId="73" fillId="0" borderId="0" xfId="0" applyFont="true" applyBorder="true" applyAlignment="true" applyProtection="false">
      <alignment horizontal="general" vertical="bottom" textRotation="0" wrapText="false" indent="0" shrinkToFit="false"/>
      <protection locked="true" hidden="false"/>
    </xf>
    <xf numFmtId="164" fontId="101" fillId="15" borderId="0" xfId="0" applyFont="true" applyBorder="false" applyAlignment="true" applyProtection="false">
      <alignment horizontal="center" vertical="center" textRotation="0" wrapText="false" indent="0" shrinkToFit="false"/>
      <protection locked="true" hidden="false"/>
    </xf>
    <xf numFmtId="164" fontId="101" fillId="15" borderId="0" xfId="0" applyFont="true" applyBorder="false" applyAlignment="true" applyProtection="false">
      <alignment horizontal="left" vertical="center" textRotation="0" wrapText="false" indent="0" shrinkToFit="false"/>
      <protection locked="true" hidden="false"/>
    </xf>
    <xf numFmtId="164" fontId="45" fillId="0" borderId="0" xfId="0" applyFont="true" applyBorder="false" applyAlignment="true" applyProtection="false">
      <alignment horizontal="center" vertical="center" textRotation="0" wrapText="false" indent="0" shrinkToFit="false"/>
      <protection locked="true" hidden="false"/>
    </xf>
    <xf numFmtId="164" fontId="45" fillId="6" borderId="0" xfId="0" applyFont="true" applyBorder="false" applyAlignment="true" applyProtection="false">
      <alignment horizontal="center" vertical="center" textRotation="0" wrapText="false" indent="0" shrinkToFit="false"/>
      <protection locked="true" hidden="false"/>
    </xf>
    <xf numFmtId="168" fontId="45" fillId="6" borderId="0" xfId="0" applyFont="true" applyBorder="false" applyAlignment="true" applyProtection="false">
      <alignment horizontal="center" vertical="center" textRotation="0" wrapText="false" indent="0" shrinkToFit="false"/>
      <protection locked="true" hidden="false"/>
    </xf>
    <xf numFmtId="164" fontId="75" fillId="0" borderId="0" xfId="0" applyFont="true" applyBorder="false" applyAlignment="true" applyProtection="false">
      <alignment horizontal="center" vertical="center" textRotation="0" wrapText="false" indent="0" shrinkToFit="false"/>
      <protection locked="true" hidden="false"/>
    </xf>
    <xf numFmtId="167" fontId="48" fillId="0" borderId="0" xfId="0" applyFont="true" applyBorder="false" applyAlignment="true" applyProtection="false">
      <alignment horizontal="general" vertical="bottom" textRotation="0" wrapText="false" indent="0" shrinkToFit="false"/>
      <protection locked="true" hidden="false"/>
    </xf>
    <xf numFmtId="164" fontId="76" fillId="9" borderId="0" xfId="0" applyFont="true" applyBorder="false" applyAlignment="true" applyProtection="false">
      <alignment horizontal="general" vertical="bottom" textRotation="0" wrapText="false" indent="0" shrinkToFit="false"/>
      <protection locked="true" hidden="false"/>
    </xf>
    <xf numFmtId="167" fontId="76" fillId="9" borderId="0" xfId="0" applyFont="true" applyBorder="false" applyAlignment="true" applyProtection="false">
      <alignment horizontal="general" vertical="bottom" textRotation="0" wrapText="false" indent="0" shrinkToFit="false"/>
      <protection locked="true" hidden="false"/>
    </xf>
    <xf numFmtId="164" fontId="101" fillId="15" borderId="0" xfId="0" applyFont="true" applyBorder="false" applyAlignment="true" applyProtection="false">
      <alignment horizontal="left" vertical="center" textRotation="0" wrapText="true" indent="0" shrinkToFit="false"/>
      <protection locked="true" hidden="false"/>
    </xf>
    <xf numFmtId="164" fontId="101" fillId="15" borderId="0" xfId="0" applyFont="true" applyBorder="false" applyAlignment="true" applyProtection="false">
      <alignment horizontal="center" vertical="center" textRotation="0" wrapText="true" indent="0" shrinkToFit="false"/>
      <protection locked="true" hidden="false"/>
    </xf>
    <xf numFmtId="167" fontId="48" fillId="0" borderId="0" xfId="0" applyFont="true" applyBorder="false" applyAlignment="true" applyProtection="false">
      <alignment horizontal="center" vertical="center" textRotation="0" wrapText="false" indent="0" shrinkToFit="false"/>
      <protection locked="true" hidden="false"/>
    </xf>
    <xf numFmtId="167" fontId="76" fillId="0" borderId="0" xfId="0" applyFont="true" applyBorder="false" applyAlignment="true" applyProtection="false">
      <alignment horizontal="center" vertical="center" textRotation="0" wrapText="false" indent="0" shrinkToFit="false"/>
      <protection locked="true" hidden="false"/>
    </xf>
    <xf numFmtId="182" fontId="76" fillId="6" borderId="0" xfId="0" applyFont="true" applyBorder="false" applyAlignment="true" applyProtection="false">
      <alignment horizontal="center" vertical="center" textRotation="0" wrapText="false" indent="0" shrinkToFit="false"/>
      <protection locked="true" hidden="false"/>
    </xf>
    <xf numFmtId="167" fontId="49" fillId="0" borderId="0" xfId="0" applyFont="true" applyBorder="false" applyAlignment="true" applyProtection="false">
      <alignment horizontal="center" vertical="center" textRotation="0" wrapText="false" indent="0" shrinkToFit="false"/>
      <protection locked="true" hidden="false"/>
    </xf>
    <xf numFmtId="182" fontId="45" fillId="0" borderId="0" xfId="0" applyFont="true" applyBorder="false" applyAlignment="true" applyProtection="false">
      <alignment horizontal="center" vertical="center" textRotation="0" wrapText="false" indent="0" shrinkToFit="false"/>
      <protection locked="true" hidden="false"/>
    </xf>
    <xf numFmtId="167" fontId="45" fillId="6" borderId="0" xfId="0" applyFont="true" applyBorder="false" applyAlignment="true" applyProtection="false">
      <alignment horizontal="center" vertical="center" textRotation="0" wrapText="false" indent="0" shrinkToFit="false"/>
      <protection locked="true" hidden="false"/>
    </xf>
    <xf numFmtId="164" fontId="73" fillId="0" borderId="0" xfId="0" applyFont="true" applyBorder="false" applyAlignment="true" applyProtection="false">
      <alignment horizontal="general" vertical="bottom" textRotation="0" wrapText="false" indent="0" shrinkToFit="false"/>
      <protection locked="true" hidden="false"/>
    </xf>
    <xf numFmtId="164" fontId="101" fillId="15" borderId="0" xfId="0" applyFont="true" applyBorder="false" applyAlignment="true" applyProtection="false">
      <alignment horizontal="general" vertical="bottom" textRotation="0" wrapText="false" indent="0" shrinkToFit="false"/>
      <protection locked="true" hidden="false"/>
    </xf>
    <xf numFmtId="164" fontId="0" fillId="15" borderId="0" xfId="0" applyFont="false" applyBorder="false" applyAlignment="true" applyProtection="false">
      <alignment horizontal="general" vertical="bottom" textRotation="0" wrapText="false" indent="0" shrinkToFit="false"/>
      <protection locked="true" hidden="false"/>
    </xf>
    <xf numFmtId="187" fontId="45" fillId="6" borderId="0" xfId="0" applyFont="true" applyBorder="false" applyAlignment="true" applyProtection="false">
      <alignment horizontal="center" vertical="center" textRotation="0" wrapText="false" indent="0" shrinkToFit="false"/>
      <protection locked="true" hidden="false"/>
    </xf>
    <xf numFmtId="182" fontId="26" fillId="12" borderId="0" xfId="0" applyFont="true" applyBorder="false" applyAlignment="true" applyProtection="false">
      <alignment horizontal="center" vertical="center" textRotation="0" wrapText="false" indent="0" shrinkToFit="false"/>
      <protection locked="true" hidden="false"/>
    </xf>
    <xf numFmtId="164" fontId="102" fillId="0" borderId="0" xfId="0" applyFont="true" applyBorder="false" applyAlignment="true" applyProtection="false">
      <alignment horizontal="general" vertical="bottom" textRotation="0" wrapText="false" indent="0" shrinkToFit="false"/>
      <protection locked="true" hidden="false"/>
    </xf>
    <xf numFmtId="164" fontId="103" fillId="0" borderId="0" xfId="0" applyFont="true" applyBorder="false" applyAlignment="true" applyProtection="false">
      <alignment horizontal="general" vertical="bottom" textRotation="0" wrapText="false" indent="0" shrinkToFit="false"/>
      <protection locked="true" hidden="false"/>
    </xf>
    <xf numFmtId="198" fontId="104" fillId="15" borderId="0" xfId="0" applyFont="true" applyBorder="false" applyAlignment="true" applyProtection="false">
      <alignment horizontal="center" vertical="center" textRotation="0" wrapText="false" indent="0" shrinkToFit="false"/>
      <protection locked="true" hidden="false"/>
    </xf>
    <xf numFmtId="182" fontId="65" fillId="0" borderId="0" xfId="0" applyFont="true" applyBorder="false" applyAlignment="true" applyProtection="false">
      <alignment horizontal="general" vertical="bottom" textRotation="0" wrapText="false" indent="0" shrinkToFit="false"/>
      <protection locked="true" hidden="false"/>
    </xf>
    <xf numFmtId="164" fontId="92" fillId="0" borderId="0" xfId="0" applyFont="true" applyBorder="false" applyAlignment="true" applyProtection="false">
      <alignment horizontal="general" vertical="bottom" textRotation="0" wrapText="false" indent="0" shrinkToFit="false"/>
      <protection locked="true" hidden="false"/>
    </xf>
    <xf numFmtId="182" fontId="94" fillId="0" borderId="0" xfId="0" applyFont="true" applyBorder="false" applyAlignment="true" applyProtection="false">
      <alignment horizontal="general" vertical="bottom" textRotation="0" wrapText="false" indent="0" shrinkToFit="false"/>
      <protection locked="true" hidden="false"/>
    </xf>
    <xf numFmtId="196" fontId="65" fillId="0" borderId="0" xfId="0" applyFont="true" applyBorder="false" applyAlignment="true" applyProtection="false">
      <alignment horizontal="general" vertical="bottom" textRotation="0" wrapText="false" indent="0" shrinkToFit="false"/>
      <protection locked="true" hidden="false"/>
    </xf>
    <xf numFmtId="196" fontId="94" fillId="0" borderId="0" xfId="0" applyFont="true" applyBorder="false" applyAlignment="true" applyProtection="false">
      <alignment horizontal="general" vertical="bottom" textRotation="0" wrapText="false" indent="0" shrinkToFit="false"/>
      <protection locked="true" hidden="false"/>
    </xf>
    <xf numFmtId="199" fontId="65" fillId="0" borderId="0" xfId="0" applyFont="true" applyBorder="false" applyAlignment="true" applyProtection="false">
      <alignment horizontal="general" vertical="bottom" textRotation="0" wrapText="false" indent="0" shrinkToFit="false"/>
      <protection locked="true" hidden="false"/>
    </xf>
    <xf numFmtId="164" fontId="105" fillId="0" borderId="0" xfId="0" applyFont="true" applyBorder="false" applyAlignment="true" applyProtection="false">
      <alignment horizontal="general" vertical="bottom" textRotation="0" wrapText="false" indent="0" shrinkToFit="false"/>
      <protection locked="true" hidden="false"/>
    </xf>
    <xf numFmtId="164" fontId="61" fillId="0" borderId="0" xfId="0" applyFont="true" applyBorder="true" applyAlignment="true" applyProtection="false">
      <alignment horizontal="general" vertical="bottom" textRotation="0" wrapText="false" indent="0" shrinkToFit="false"/>
      <protection locked="true" hidden="false"/>
    </xf>
    <xf numFmtId="164" fontId="28" fillId="6" borderId="0" xfId="0" applyFont="true" applyBorder="true" applyAlignment="true" applyProtection="false">
      <alignment horizontal="general" vertical="bottom" textRotation="0" wrapText="false" indent="0" shrinkToFit="false"/>
      <protection locked="true" hidden="false"/>
    </xf>
    <xf numFmtId="200" fontId="69" fillId="6" borderId="0" xfId="0" applyFont="true" applyBorder="false" applyAlignment="true" applyProtection="false">
      <alignment horizontal="center" vertical="center" textRotation="0" wrapText="false" indent="0" shrinkToFit="false"/>
      <protection locked="true" hidden="false"/>
    </xf>
    <xf numFmtId="164" fontId="93" fillId="0" borderId="0" xfId="0" applyFont="true" applyBorder="false" applyAlignment="true" applyProtection="false">
      <alignment horizontal="general" vertical="bottom" textRotation="0" wrapText="false" indent="0" shrinkToFit="false"/>
      <protection locked="true" hidden="false"/>
    </xf>
    <xf numFmtId="179" fontId="65" fillId="0" borderId="0" xfId="0" applyFont="true" applyBorder="false" applyAlignment="true" applyProtection="false">
      <alignment horizontal="center" vertical="center" textRotation="0" wrapText="false" indent="0" shrinkToFit="false"/>
      <protection locked="true" hidden="false"/>
    </xf>
    <xf numFmtId="164" fontId="28" fillId="0" borderId="0" xfId="0" applyFont="true" applyBorder="true" applyAlignment="true" applyProtection="false">
      <alignment horizontal="general" vertical="bottom" textRotation="0" wrapText="false" indent="0" shrinkToFit="false"/>
      <protection locked="true" hidden="false"/>
    </xf>
    <xf numFmtId="164" fontId="102" fillId="0" borderId="0" xfId="0" applyFont="true" applyBorder="false" applyAlignment="true" applyProtection="false">
      <alignment horizontal="right" vertical="center" textRotation="0" wrapText="false" indent="0" shrinkToFit="false"/>
      <protection locked="true" hidden="false"/>
    </xf>
    <xf numFmtId="182" fontId="106" fillId="15" borderId="0" xfId="0" applyFont="true" applyBorder="false" applyAlignment="true" applyProtection="false">
      <alignment horizontal="center" vertical="center" textRotation="0" wrapText="false" indent="0" shrinkToFit="false"/>
      <protection locked="true" hidden="false"/>
    </xf>
    <xf numFmtId="182" fontId="107" fillId="0" borderId="0" xfId="0" applyFont="true" applyBorder="false" applyAlignment="true" applyProtection="false">
      <alignment horizontal="center" vertical="center" textRotation="0" wrapText="false" indent="0" shrinkToFit="false"/>
      <protection locked="true" hidden="false"/>
    </xf>
    <xf numFmtId="201" fontId="108" fillId="12" borderId="0" xfId="0" applyFont="true" applyBorder="false" applyAlignment="true" applyProtection="false">
      <alignment horizontal="center" vertical="center" textRotation="0" wrapText="false" indent="0" shrinkToFit="false"/>
      <protection locked="true" hidden="false"/>
    </xf>
    <xf numFmtId="164" fontId="109" fillId="12" borderId="0" xfId="0" applyFont="true" applyBorder="false" applyAlignment="true" applyProtection="false">
      <alignment horizontal="left" vertical="center" textRotation="0" wrapText="true" indent="0" shrinkToFit="false"/>
      <protection locked="true" hidden="false"/>
    </xf>
    <xf numFmtId="164" fontId="109" fillId="12" borderId="0" xfId="0" applyFont="true" applyBorder="false" applyAlignment="true" applyProtection="false">
      <alignment horizontal="center" vertical="center" textRotation="0" wrapText="true" indent="0" shrinkToFit="false"/>
      <protection locked="true" hidden="false"/>
    </xf>
    <xf numFmtId="164" fontId="65" fillId="12" borderId="0" xfId="0" applyFont="true" applyBorder="false" applyAlignment="true" applyProtection="false">
      <alignment horizontal="general" vertical="bottom" textRotation="0" wrapText="false" indent="0" shrinkToFit="false"/>
      <protection locked="true" hidden="false"/>
    </xf>
    <xf numFmtId="164" fontId="26" fillId="12" borderId="0" xfId="0" applyFont="true" applyBorder="false" applyAlignment="true" applyProtection="false">
      <alignment horizontal="general" vertical="bottom" textRotation="0" wrapText="false" indent="0" shrinkToFit="false"/>
      <protection locked="true" hidden="false"/>
    </xf>
    <xf numFmtId="164" fontId="93" fillId="0" borderId="0" xfId="0" applyFont="true" applyBorder="false" applyAlignment="true" applyProtection="false">
      <alignment horizontal="center" vertical="center" textRotation="0" wrapText="false" indent="0" shrinkToFit="false"/>
      <protection locked="true" hidden="false"/>
    </xf>
    <xf numFmtId="164" fontId="110" fillId="0" borderId="0" xfId="0" applyFont="true" applyBorder="false" applyAlignment="true" applyProtection="false">
      <alignment horizontal="general" vertical="bottom" textRotation="0" wrapText="false" indent="0" shrinkToFit="false"/>
      <protection locked="true" hidden="false"/>
    </xf>
    <xf numFmtId="164" fontId="111" fillId="0" borderId="0" xfId="0" applyFont="true" applyBorder="false" applyAlignment="true" applyProtection="false">
      <alignment horizontal="general" vertical="bottom" textRotation="0" wrapText="false" indent="0" shrinkToFit="false"/>
      <protection locked="true" hidden="false"/>
    </xf>
    <xf numFmtId="202" fontId="99" fillId="0" borderId="0" xfId="0" applyFont="true" applyBorder="false" applyAlignment="true" applyProtection="false">
      <alignment horizontal="center" vertical="center" textRotation="0" wrapText="false" indent="0" shrinkToFit="false"/>
      <protection locked="true" hidden="false"/>
    </xf>
    <xf numFmtId="182" fontId="93" fillId="0" borderId="0" xfId="0" applyFont="true" applyBorder="false" applyAlignment="true" applyProtection="false">
      <alignment horizontal="center" vertical="center" textRotation="0" wrapText="false" indent="0" shrinkToFit="false"/>
      <protection locked="true" hidden="false"/>
    </xf>
    <xf numFmtId="164" fontId="112" fillId="0" borderId="0" xfId="0" applyFont="true" applyBorder="false" applyAlignment="true" applyProtection="false">
      <alignment horizontal="center" vertical="center" textRotation="0" wrapText="false" indent="0" shrinkToFit="false"/>
      <protection locked="true" hidden="false"/>
    </xf>
    <xf numFmtId="168" fontId="113" fillId="0" borderId="0" xfId="0" applyFont="true" applyBorder="false" applyAlignment="true" applyProtection="false">
      <alignment horizontal="center" vertical="center" textRotation="0" wrapText="false" indent="0" shrinkToFit="false"/>
      <protection locked="true" hidden="false"/>
    </xf>
    <xf numFmtId="203" fontId="114" fillId="0" borderId="0" xfId="0" applyFont="true" applyBorder="false" applyAlignment="true" applyProtection="false">
      <alignment horizontal="center" vertical="center" textRotation="0" wrapText="false" indent="0" shrinkToFit="false"/>
      <protection locked="true" hidden="false"/>
    </xf>
    <xf numFmtId="164" fontId="65" fillId="15" borderId="0" xfId="0" applyFont="true" applyBorder="false" applyAlignment="true" applyProtection="false">
      <alignment horizontal="general" vertical="bottom" textRotation="0" wrapText="false" indent="0" shrinkToFit="false"/>
      <protection locked="true" hidden="false"/>
    </xf>
    <xf numFmtId="164" fontId="115" fillId="0" borderId="0" xfId="0" applyFont="true" applyBorder="false" applyAlignment="true" applyProtection="false">
      <alignment horizontal="center" vertical="center" textRotation="0" wrapText="false" indent="0" shrinkToFit="false"/>
      <protection locked="true" hidden="false"/>
    </xf>
    <xf numFmtId="202" fontId="116" fillId="0" borderId="0" xfId="0" applyFont="true" applyBorder="false" applyAlignment="true" applyProtection="false">
      <alignment horizontal="center" vertical="center" textRotation="0" wrapText="false" indent="0" shrinkToFit="false"/>
      <protection locked="true" hidden="false"/>
    </xf>
    <xf numFmtId="164" fontId="65" fillId="8" borderId="0" xfId="0" applyFont="true" applyBorder="false" applyAlignment="tru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xf numFmtId="164" fontId="65" fillId="18" borderId="0" xfId="0" applyFont="true" applyBorder="false" applyAlignment="true" applyProtection="false">
      <alignment horizontal="general" vertical="bottom" textRotation="0" wrapText="false" indent="0" shrinkToFit="false"/>
      <protection locked="true" hidden="false"/>
    </xf>
    <xf numFmtId="164" fontId="26" fillId="18" borderId="0" xfId="0" applyFont="true" applyBorder="false" applyAlignment="true" applyProtection="false">
      <alignment horizontal="general" vertical="bottom" textRotation="0" wrapText="false" indent="0" shrinkToFit="false"/>
      <protection locked="true" hidden="false"/>
    </xf>
    <xf numFmtId="164" fontId="0" fillId="18" borderId="0" xfId="0" applyFont="false" applyBorder="false" applyAlignment="true" applyProtection="false">
      <alignment horizontal="general" vertical="bottom" textRotation="0" wrapText="false" indent="0" shrinkToFit="false"/>
      <protection locked="true" hidden="false"/>
    </xf>
    <xf numFmtId="164" fontId="65" fillId="19" borderId="0" xfId="0" applyFont="true" applyBorder="false" applyAlignment="true" applyProtection="false">
      <alignment horizontal="general" vertical="bottom" textRotation="0" wrapText="false" indent="0" shrinkToFit="false"/>
      <protection locked="true" hidden="false"/>
    </xf>
    <xf numFmtId="164" fontId="26" fillId="19" borderId="0" xfId="0" applyFont="true" applyBorder="false" applyAlignment="true" applyProtection="false">
      <alignment horizontal="general" vertical="bottom" textRotation="0" wrapText="false" indent="0" shrinkToFit="false"/>
      <protection locked="true" hidden="false"/>
    </xf>
    <xf numFmtId="164" fontId="0" fillId="19" borderId="0" xfId="0" applyFont="false" applyBorder="false" applyAlignment="true" applyProtection="false">
      <alignment horizontal="general" vertical="bottom" textRotation="0" wrapText="false" indent="0" shrinkToFit="false"/>
      <protection locked="true" hidden="false"/>
    </xf>
    <xf numFmtId="164" fontId="65" fillId="20" borderId="0" xfId="0" applyFont="true" applyBorder="false" applyAlignment="true" applyProtection="false">
      <alignment horizontal="general" vertical="bottom" textRotation="0" wrapText="false" indent="0" shrinkToFit="false"/>
      <protection locked="true" hidden="false"/>
    </xf>
    <xf numFmtId="164" fontId="26" fillId="20" borderId="0" xfId="0" applyFont="true" applyBorder="false" applyAlignment="true" applyProtection="false">
      <alignment horizontal="general" vertical="bottom" textRotation="0" wrapText="false" indent="0" shrinkToFit="false"/>
      <protection locked="true" hidden="false"/>
    </xf>
    <xf numFmtId="164" fontId="0" fillId="20" borderId="0" xfId="0" applyFont="false" applyBorder="false" applyAlignment="true" applyProtection="false">
      <alignment horizontal="general" vertical="bottom" textRotation="0" wrapText="false" indent="0" shrinkToFit="false"/>
      <protection locked="true" hidden="false"/>
    </xf>
    <xf numFmtId="164" fontId="65" fillId="21" borderId="0" xfId="0" applyFont="true" applyBorder="false" applyAlignment="true" applyProtection="false">
      <alignment horizontal="general" vertical="bottom" textRotation="0" wrapText="false" indent="0" shrinkToFit="false"/>
      <protection locked="true" hidden="false"/>
    </xf>
    <xf numFmtId="164" fontId="26" fillId="21" borderId="0" xfId="0" applyFont="true" applyBorder="false" applyAlignment="true" applyProtection="false">
      <alignment horizontal="general" vertical="bottom" textRotation="0" wrapText="false" indent="0" shrinkToFit="false"/>
      <protection locked="true" hidden="false"/>
    </xf>
    <xf numFmtId="164" fontId="0" fillId="21" borderId="0" xfId="0" applyFont="false" applyBorder="false" applyAlignment="true" applyProtection="false">
      <alignment horizontal="general" vertical="bottom" textRotation="0" wrapText="false" indent="0" shrinkToFit="false"/>
      <protection locked="true" hidden="false"/>
    </xf>
    <xf numFmtId="164" fontId="65" fillId="22" borderId="0" xfId="0" applyFont="true" applyBorder="false" applyAlignment="true" applyProtection="false">
      <alignment horizontal="general" vertical="bottom" textRotation="0" wrapText="false" indent="0" shrinkToFit="false"/>
      <protection locked="true" hidden="false"/>
    </xf>
    <xf numFmtId="164" fontId="26" fillId="22" borderId="0" xfId="0" applyFont="true" applyBorder="false" applyAlignment="true" applyProtection="false">
      <alignment horizontal="general" vertical="bottom" textRotation="0" wrapText="false" indent="0" shrinkToFit="false"/>
      <protection locked="true" hidden="false"/>
    </xf>
    <xf numFmtId="164" fontId="0" fillId="22" borderId="0" xfId="0" applyFont="false" applyBorder="false" applyAlignment="true" applyProtection="false">
      <alignment horizontal="general" vertical="bottom" textRotation="0" wrapText="false" indent="0" shrinkToFit="false"/>
      <protection locked="true" hidden="false"/>
    </xf>
    <xf numFmtId="164" fontId="65" fillId="23" borderId="0" xfId="0" applyFont="true" applyBorder="false" applyAlignment="true" applyProtection="false">
      <alignment horizontal="general" vertical="bottom" textRotation="0" wrapText="false" indent="0" shrinkToFit="false"/>
      <protection locked="true" hidden="false"/>
    </xf>
    <xf numFmtId="164" fontId="26" fillId="23" borderId="0" xfId="0" applyFont="true" applyBorder="false" applyAlignment="true" applyProtection="false">
      <alignment horizontal="general" vertical="bottom" textRotation="0" wrapText="false" indent="0" shrinkToFit="false"/>
      <protection locked="true" hidden="false"/>
    </xf>
    <xf numFmtId="164" fontId="0" fillId="23" borderId="0" xfId="0" applyFont="false" applyBorder="false" applyAlignment="true" applyProtection="false">
      <alignment horizontal="general" vertical="bottom" textRotation="0" wrapText="false" indent="0" shrinkToFit="false"/>
      <protection locked="true" hidden="false"/>
    </xf>
    <xf numFmtId="164" fontId="65" fillId="24" borderId="0" xfId="0" applyFont="true" applyBorder="false" applyAlignment="true" applyProtection="false">
      <alignment horizontal="general" vertical="bottom" textRotation="0" wrapText="false" indent="0" shrinkToFit="false"/>
      <protection locked="true" hidden="false"/>
    </xf>
    <xf numFmtId="164" fontId="26" fillId="24" borderId="0" xfId="0" applyFont="true" applyBorder="false" applyAlignment="true" applyProtection="false">
      <alignment horizontal="general" vertical="bottom" textRotation="0" wrapText="false" indent="0" shrinkToFit="false"/>
      <protection locked="true" hidden="false"/>
    </xf>
    <xf numFmtId="164" fontId="0" fillId="24" borderId="0" xfId="0" applyFont="false" applyBorder="false" applyAlignment="true" applyProtection="false">
      <alignment horizontal="general" vertical="bottom" textRotation="0" wrapText="false" indent="0" shrinkToFit="false"/>
      <protection locked="true" hidden="false"/>
    </xf>
    <xf numFmtId="164" fontId="65" fillId="25" borderId="0" xfId="0" applyFont="true" applyBorder="false" applyAlignment="true" applyProtection="false">
      <alignment horizontal="general" vertical="bottom" textRotation="0" wrapText="false" indent="0" shrinkToFit="false"/>
      <protection locked="true" hidden="false"/>
    </xf>
    <xf numFmtId="164" fontId="26" fillId="25" borderId="0" xfId="0" applyFont="true" applyBorder="false" applyAlignment="true" applyProtection="false">
      <alignment horizontal="general" vertical="bottom" textRotation="0" wrapText="false" indent="0" shrinkToFit="false"/>
      <protection locked="true" hidden="false"/>
    </xf>
    <xf numFmtId="164" fontId="0" fillId="25" borderId="0" xfId="0" applyFont="false" applyBorder="false" applyAlignment="true" applyProtection="false">
      <alignment horizontal="general" vertical="bottom" textRotation="0" wrapText="false" indent="0" shrinkToFit="false"/>
      <protection locked="true" hidden="false"/>
    </xf>
    <xf numFmtId="164" fontId="65" fillId="26" borderId="0" xfId="0" applyFont="true" applyBorder="false" applyAlignment="true" applyProtection="false">
      <alignment horizontal="general" vertical="bottom" textRotation="0" wrapText="false" indent="0" shrinkToFit="false"/>
      <protection locked="true" hidden="false"/>
    </xf>
    <xf numFmtId="164" fontId="26" fillId="26" borderId="0" xfId="0" applyFont="true" applyBorder="false" applyAlignment="true" applyProtection="false">
      <alignment horizontal="general" vertical="bottom" textRotation="0" wrapText="false" indent="0" shrinkToFit="false"/>
      <protection locked="true" hidden="false"/>
    </xf>
    <xf numFmtId="164" fontId="0" fillId="26" borderId="0" xfId="0" applyFont="false" applyBorder="false" applyAlignment="true" applyProtection="false">
      <alignment horizontal="general" vertical="bottom" textRotation="0" wrapText="false" indent="0" shrinkToFit="false"/>
      <protection locked="true" hidden="false"/>
    </xf>
    <xf numFmtId="164" fontId="65" fillId="27" borderId="0" xfId="0" applyFont="true" applyBorder="false" applyAlignment="true" applyProtection="false">
      <alignment horizontal="general" vertical="bottom" textRotation="0" wrapText="false" indent="0" shrinkToFit="false"/>
      <protection locked="true" hidden="false"/>
    </xf>
    <xf numFmtId="164" fontId="26" fillId="27" borderId="0" xfId="0" applyFont="true" applyBorder="false" applyAlignment="true" applyProtection="false">
      <alignment horizontal="general" vertical="bottom" textRotation="0" wrapText="false" indent="0" shrinkToFit="false"/>
      <protection locked="true" hidden="false"/>
    </xf>
    <xf numFmtId="164" fontId="0" fillId="27" borderId="0" xfId="0" applyFont="false" applyBorder="false" applyAlignment="true" applyProtection="false">
      <alignment horizontal="general" vertical="bottom" textRotation="0" wrapText="false" indent="0" shrinkToFit="false"/>
      <protection locked="true" hidden="false"/>
    </xf>
    <xf numFmtId="164" fontId="109" fillId="15" borderId="0" xfId="0" applyFont="true" applyBorder="false" applyAlignment="true" applyProtection="false">
      <alignment horizontal="left" vertical="center" textRotation="0" wrapText="false" indent="0" shrinkToFit="false"/>
      <protection locked="true" hidden="false"/>
    </xf>
    <xf numFmtId="164" fontId="109" fillId="15" borderId="0" xfId="0" applyFont="true" applyBorder="false" applyAlignment="true" applyProtection="false">
      <alignment horizontal="center" vertical="center" textRotation="0" wrapText="false" indent="0" shrinkToFit="false"/>
      <protection locked="true" hidden="false"/>
    </xf>
    <xf numFmtId="202" fontId="94" fillId="0" borderId="0" xfId="0" applyFont="true" applyBorder="false" applyAlignment="true" applyProtection="false">
      <alignment horizontal="center" vertical="center" textRotation="0" wrapText="false" indent="0" shrinkToFit="false"/>
      <protection locked="true" hidden="false"/>
    </xf>
    <xf numFmtId="164" fontId="109" fillId="15" borderId="0" xfId="0" applyFont="true" applyBorder="true" applyAlignment="true" applyProtection="false">
      <alignment horizontal="left" vertical="center" textRotation="0" wrapText="false" indent="0" shrinkToFit="false"/>
      <protection locked="true" hidden="false"/>
    </xf>
    <xf numFmtId="164" fontId="117" fillId="8" borderId="0" xfId="0" applyFont="true" applyBorder="false" applyAlignment="true" applyProtection="false">
      <alignment horizontal="center" vertical="center" textRotation="0" wrapText="false" indent="0" shrinkToFit="false"/>
      <protection locked="true" hidden="false"/>
    </xf>
    <xf numFmtId="164" fontId="116" fillId="0" borderId="0" xfId="0" applyFont="true" applyBorder="false" applyAlignment="true" applyProtection="false">
      <alignment horizontal="general" vertical="bottom" textRotation="0" wrapText="false" indent="0" shrinkToFit="false"/>
      <protection locked="true" hidden="false"/>
    </xf>
    <xf numFmtId="164" fontId="93" fillId="0" borderId="0" xfId="0" applyFont="true" applyBorder="true" applyAlignment="true" applyProtection="false">
      <alignment horizontal="general" vertical="center" textRotation="0" wrapText="true" indent="0" shrinkToFit="false"/>
      <protection locked="true" hidden="false"/>
    </xf>
    <xf numFmtId="164" fontId="117" fillId="24" borderId="0" xfId="0" applyFont="true" applyBorder="false" applyAlignment="true" applyProtection="false">
      <alignment horizontal="center" vertical="center" textRotation="0" wrapText="false" indent="0" shrinkToFit="false"/>
      <protection locked="true" hidden="false"/>
    </xf>
    <xf numFmtId="164" fontId="117" fillId="19" borderId="0" xfId="0" applyFont="true" applyBorder="false" applyAlignment="true" applyProtection="false">
      <alignment horizontal="center" vertical="center" textRotation="0" wrapText="false" indent="0" shrinkToFit="false"/>
      <protection locked="true" hidden="false"/>
    </xf>
    <xf numFmtId="164" fontId="92" fillId="9" borderId="0" xfId="0" applyFont="true" applyBorder="false" applyAlignment="true" applyProtection="false">
      <alignment horizontal="general" vertical="bottom" textRotation="0" wrapText="false" indent="0" shrinkToFit="false"/>
      <protection locked="true" hidden="false"/>
    </xf>
    <xf numFmtId="167" fontId="94" fillId="9" borderId="0" xfId="0" applyFont="true" applyBorder="false" applyAlignment="true" applyProtection="false">
      <alignment horizontal="general" vertical="bottom" textRotation="0" wrapText="false" indent="0" shrinkToFit="false"/>
      <protection locked="true" hidden="false"/>
    </xf>
    <xf numFmtId="167" fontId="98" fillId="0" borderId="0" xfId="0" applyFont="true" applyBorder="false" applyAlignment="true" applyProtection="false">
      <alignment horizontal="general" vertical="bottom" textRotation="0" wrapText="false" indent="0" shrinkToFit="false"/>
      <protection locked="true" hidden="false"/>
    </xf>
    <xf numFmtId="196" fontId="98" fillId="0" borderId="0" xfId="0" applyFont="true" applyBorder="false" applyAlignment="true" applyProtection="false">
      <alignment horizontal="general" vertical="bottom" textRotation="0" wrapText="false" indent="0" shrinkToFit="false"/>
      <protection locked="true" hidden="false"/>
    </xf>
    <xf numFmtId="164" fontId="63" fillId="0" borderId="0" xfId="0" applyFont="true" applyBorder="false" applyAlignment="true" applyProtection="false">
      <alignment horizontal="general" vertical="bottom" textRotation="0" wrapText="false" indent="0" shrinkToFit="false"/>
      <protection locked="true" hidden="false"/>
    </xf>
    <xf numFmtId="167" fontId="74" fillId="0" borderId="0" xfId="0" applyFont="true" applyBorder="false" applyAlignment="true" applyProtection="false">
      <alignment horizontal="general" vertical="bottom" textRotation="0" wrapText="false" indent="0" shrinkToFit="false"/>
      <protection locked="true" hidden="false"/>
    </xf>
    <xf numFmtId="164" fontId="57" fillId="9" borderId="0" xfId="0" applyFont="true" applyBorder="false" applyAlignment="true" applyProtection="false">
      <alignment horizontal="general" vertical="bottom" textRotation="0" wrapText="false" indent="0" shrinkToFit="false"/>
      <protection locked="true" hidden="false"/>
    </xf>
    <xf numFmtId="164" fontId="94" fillId="0" borderId="0" xfId="0" applyFont="true" applyBorder="false" applyAlignment="true" applyProtection="false">
      <alignment horizontal="center" vertical="center" textRotation="0" wrapText="false" indent="0" shrinkToFit="false"/>
      <protection locked="true" hidden="false"/>
    </xf>
    <xf numFmtId="167" fontId="92" fillId="6" borderId="0" xfId="0" applyFont="true" applyBorder="false" applyAlignment="true" applyProtection="false">
      <alignment horizontal="center" vertical="center" textRotation="0" wrapText="false" indent="0" shrinkToFit="false"/>
      <protection locked="true" hidden="false"/>
    </xf>
    <xf numFmtId="167" fontId="94" fillId="0" borderId="0" xfId="0" applyFont="true" applyBorder="false" applyAlignment="true" applyProtection="false">
      <alignment horizontal="center" vertical="center" textRotation="0" wrapText="false" indent="0" shrinkToFit="false"/>
      <protection locked="true" hidden="false"/>
    </xf>
    <xf numFmtId="168" fontId="94" fillId="0" borderId="0" xfId="0" applyFont="true" applyBorder="false" applyAlignment="true" applyProtection="false">
      <alignment horizontal="center" vertical="center" textRotation="0" wrapText="false" indent="0" shrinkToFit="false"/>
      <protection locked="true" hidden="false"/>
    </xf>
    <xf numFmtId="197" fontId="69" fillId="0" borderId="0" xfId="0" applyFont="true" applyBorder="false" applyAlignment="true" applyProtection="false">
      <alignment horizontal="center" vertical="center" textRotation="0" wrapText="false" indent="0" shrinkToFit="false"/>
      <protection locked="true" hidden="false"/>
    </xf>
    <xf numFmtId="167" fontId="57" fillId="0" borderId="0" xfId="0" applyFont="true" applyBorder="false" applyAlignment="true" applyProtection="false">
      <alignment horizontal="center" vertical="center" textRotation="0" wrapText="false" indent="0" shrinkToFit="false"/>
      <protection locked="true" hidden="false"/>
    </xf>
    <xf numFmtId="164" fontId="33" fillId="0" borderId="0" xfId="0" applyFont="true" applyBorder="true" applyAlignment="true" applyProtection="false">
      <alignment horizontal="general" vertical="bottom" textRotation="0" wrapText="false" indent="0" shrinkToFit="false"/>
      <protection locked="true" hidden="false"/>
    </xf>
    <xf numFmtId="164" fontId="109" fillId="15" borderId="0" xfId="0" applyFont="true" applyBorder="false" applyAlignment="true" applyProtection="false">
      <alignment horizontal="center" vertical="center" textRotation="0" wrapText="true" indent="0" shrinkToFit="false"/>
      <protection locked="true" hidden="false"/>
    </xf>
    <xf numFmtId="164" fontId="118" fillId="15" borderId="0" xfId="0" applyFont="true" applyBorder="false" applyAlignment="true" applyProtection="false">
      <alignment horizontal="center" vertical="center" textRotation="0" wrapText="true" indent="0" shrinkToFit="false"/>
      <protection locked="true" hidden="false"/>
    </xf>
    <xf numFmtId="182" fontId="94" fillId="9" borderId="0" xfId="0" applyFont="true" applyBorder="false" applyAlignment="true" applyProtection="false">
      <alignment horizontal="center" vertical="center" textRotation="0" wrapText="false" indent="0" shrinkToFit="false"/>
      <protection locked="true" hidden="false"/>
    </xf>
    <xf numFmtId="198" fontId="100" fillId="0" borderId="0" xfId="0" applyFont="true" applyBorder="false" applyAlignment="true" applyProtection="false">
      <alignment horizontal="center" vertical="center" textRotation="0" wrapText="false" indent="0" shrinkToFit="false"/>
      <protection locked="true" hidden="false"/>
    </xf>
    <xf numFmtId="167" fontId="92" fillId="6" borderId="0" xfId="0" applyFont="true" applyBorder="false" applyAlignment="true" applyProtection="false">
      <alignment horizontal="general" vertical="bottom" textRotation="0" wrapText="false" indent="0" shrinkToFit="false"/>
      <protection locked="true" hidden="false"/>
    </xf>
    <xf numFmtId="164" fontId="119" fillId="0" borderId="0" xfId="0" applyFont="true" applyBorder="false" applyAlignment="true" applyProtection="false">
      <alignment horizontal="general" vertical="bottom" textRotation="0" wrapText="false" indent="0" shrinkToFit="false"/>
      <protection locked="true" hidden="false"/>
    </xf>
    <xf numFmtId="164" fontId="26" fillId="12" borderId="0" xfId="0" applyFont="true" applyBorder="false" applyAlignment="true" applyProtection="false">
      <alignment horizontal="center" vertical="center" textRotation="0" wrapText="false" indent="0" shrinkToFit="false"/>
      <protection locked="true" hidden="false"/>
    </xf>
    <xf numFmtId="167" fontId="26" fillId="12" borderId="0" xfId="0" applyFont="true" applyBorder="false" applyAlignment="true" applyProtection="false">
      <alignment horizontal="general" vertical="bottom" textRotation="0" wrapText="false" indent="0" shrinkToFit="false"/>
      <protection locked="true" hidden="false"/>
    </xf>
    <xf numFmtId="164" fontId="120" fillId="0" borderId="0" xfId="0" applyFont="true" applyBorder="false" applyAlignment="true" applyProtection="false">
      <alignment horizontal="general" vertical="bottom" textRotation="0" wrapText="false" indent="0" shrinkToFit="false"/>
      <protection locked="true" hidden="false"/>
    </xf>
    <xf numFmtId="197" fontId="57" fillId="0" borderId="0" xfId="0" applyFont="true" applyBorder="false" applyAlignment="true" applyProtection="false">
      <alignment horizontal="center" vertical="center" textRotation="0" wrapText="false" indent="0" shrinkToFit="false"/>
      <protection locked="true" hidden="false"/>
    </xf>
    <xf numFmtId="164" fontId="76" fillId="0" borderId="0" xfId="0" applyFont="true" applyBorder="true" applyAlignment="true" applyProtection="false">
      <alignment horizontal="general" vertical="bottom" textRotation="0" wrapText="false" indent="0" shrinkToFit="false"/>
      <protection locked="true" hidden="false"/>
    </xf>
    <xf numFmtId="167" fontId="57" fillId="0" borderId="0" xfId="0" applyFont="true" applyBorder="true" applyAlignment="true" applyProtection="false">
      <alignment horizontal="center" vertical="center" textRotation="0" wrapText="false" indent="0" shrinkToFit="false"/>
      <protection locked="true" hidden="false"/>
    </xf>
    <xf numFmtId="167" fontId="57" fillId="6" borderId="0" xfId="0" applyFont="true" applyBorder="false" applyAlignment="true" applyProtection="false">
      <alignment horizontal="center" vertical="center" textRotation="0" wrapText="false" indent="0" shrinkToFit="false"/>
      <protection locked="true" hidden="false"/>
    </xf>
    <xf numFmtId="182" fontId="57" fillId="0" borderId="0" xfId="0" applyFont="true" applyBorder="true" applyAlignment="true" applyProtection="false">
      <alignment horizontal="center" vertical="center" textRotation="0" wrapText="false" indent="0" shrinkToFit="false"/>
      <protection locked="true" hidden="false"/>
    </xf>
    <xf numFmtId="164" fontId="103" fillId="0" borderId="0" xfId="0" applyFont="true" applyBorder="false" applyAlignment="true" applyProtection="false">
      <alignment horizontal="right" vertical="center" textRotation="0" wrapText="false" indent="0" shrinkToFit="false"/>
      <protection locked="true" hidden="false"/>
    </xf>
    <xf numFmtId="182" fontId="101" fillId="12" borderId="0" xfId="0" applyFont="true" applyBorder="false" applyAlignment="true" applyProtection="false">
      <alignment horizontal="center" vertical="center" textRotation="0" wrapText="false" indent="0" shrinkToFit="false"/>
      <protection locked="true" hidden="false"/>
    </xf>
    <xf numFmtId="197" fontId="58" fillId="0" borderId="0" xfId="0" applyFont="true" applyBorder="false" applyAlignment="true" applyProtection="false">
      <alignment horizontal="center" vertical="center" textRotation="0" wrapText="false" indent="0" shrinkToFit="false"/>
      <protection locked="true" hidden="false"/>
    </xf>
    <xf numFmtId="197" fontId="75" fillId="0" borderId="0" xfId="0" applyFont="true" applyBorder="false" applyAlignment="true" applyProtection="false">
      <alignment horizontal="center" vertical="center" textRotation="0" wrapText="false" indent="0" shrinkToFit="false"/>
      <protection locked="true" hidden="false"/>
    </xf>
    <xf numFmtId="198" fontId="118" fillId="15" borderId="0" xfId="0" applyFont="true" applyBorder="false" applyAlignment="true" applyProtection="false">
      <alignment horizontal="center" vertical="center" textRotation="0" wrapText="false" indent="0" shrinkToFit="false"/>
      <protection locked="true" hidden="false"/>
    </xf>
    <xf numFmtId="182" fontId="121" fillId="9" borderId="0" xfId="0" applyFont="true" applyBorder="false" applyAlignment="true" applyProtection="false">
      <alignment horizontal="center" vertical="center" textRotation="0" wrapText="false" indent="0" shrinkToFit="false"/>
      <protection locked="true" hidden="false"/>
    </xf>
    <xf numFmtId="164" fontId="100" fillId="0" borderId="0" xfId="0" applyFont="true" applyBorder="false" applyAlignment="true" applyProtection="false">
      <alignment horizontal="right" vertical="center" textRotation="0" wrapText="false" indent="0" shrinkToFit="false"/>
      <protection locked="true" hidden="false"/>
    </xf>
    <xf numFmtId="182" fontId="122" fillId="0" borderId="0" xfId="0" applyFont="true" applyBorder="false" applyAlignment="true" applyProtection="false">
      <alignment horizontal="center" vertical="center" textRotation="0" wrapText="false" indent="0" shrinkToFit="false"/>
      <protection locked="true" hidden="false"/>
    </xf>
    <xf numFmtId="164" fontId="118" fillId="12" borderId="0" xfId="0" applyFont="true" applyBorder="false" applyAlignment="true" applyProtection="false">
      <alignment horizontal="center" vertical="center" textRotation="0" wrapText="true" indent="0" shrinkToFit="false"/>
      <protection locked="true" hidden="false"/>
    </xf>
    <xf numFmtId="164" fontId="118" fillId="12" borderId="0" xfId="0" applyFont="true" applyBorder="false" applyAlignment="true" applyProtection="false">
      <alignment horizontal="left" vertical="center" textRotation="0" wrapText="true" indent="0" shrinkToFit="false"/>
      <protection locked="true" hidden="false"/>
    </xf>
    <xf numFmtId="164" fontId="123" fillId="0" borderId="0" xfId="0" applyFont="true" applyBorder="false" applyAlignment="true" applyProtection="false">
      <alignment horizontal="general" vertical="bottom" textRotation="0" wrapText="false" indent="0" shrinkToFit="false"/>
      <protection locked="true" hidden="false"/>
    </xf>
    <xf numFmtId="167" fontId="76" fillId="0" borderId="0" xfId="0" applyFont="true" applyBorder="false" applyAlignment="true" applyProtection="false">
      <alignment horizontal="general" vertical="bottom" textRotation="0" wrapText="false" indent="0" shrinkToFit="false"/>
      <protection locked="true" hidden="false"/>
    </xf>
    <xf numFmtId="167" fontId="57" fillId="9" borderId="0" xfId="0" applyFont="true" applyBorder="false" applyAlignment="true" applyProtection="false">
      <alignment horizontal="general" vertical="bottom" textRotation="0" wrapText="false" indent="0" shrinkToFit="false"/>
      <protection locked="true" hidden="false"/>
    </xf>
    <xf numFmtId="164" fontId="57" fillId="28" borderId="0" xfId="0" applyFont="true" applyBorder="false" applyAlignment="true" applyProtection="false">
      <alignment horizontal="general" vertical="bottom" textRotation="0" wrapText="false" indent="0" shrinkToFit="false"/>
      <protection locked="true" hidden="false"/>
    </xf>
    <xf numFmtId="164" fontId="0" fillId="28" borderId="0" xfId="0" applyFont="false" applyBorder="false" applyAlignment="true" applyProtection="false">
      <alignment horizontal="general" vertical="bottom" textRotation="0" wrapText="false" indent="0" shrinkToFit="false"/>
      <protection locked="true" hidden="false"/>
    </xf>
    <xf numFmtId="164" fontId="0" fillId="16" borderId="0" xfId="0" applyFont="false" applyBorder="false" applyAlignment="true" applyProtection="false">
      <alignment horizontal="general" vertical="bottom" textRotation="0" wrapText="false" indent="0" shrinkToFit="false"/>
      <protection locked="true" hidden="false"/>
    </xf>
    <xf numFmtId="164" fontId="57" fillId="16" borderId="0" xfId="0" applyFont="true" applyBorder="false" applyAlignment="true" applyProtection="false">
      <alignment horizontal="general" vertical="bottom" textRotation="0" wrapText="false" indent="0" shrinkToFit="false"/>
      <protection locked="true" hidden="false"/>
    </xf>
    <xf numFmtId="167" fontId="57" fillId="16" borderId="0" xfId="0" applyFont="true" applyBorder="false" applyAlignment="true" applyProtection="false">
      <alignment horizontal="general" vertical="bottom" textRotation="0" wrapText="false" indent="0" shrinkToFit="false"/>
      <protection locked="true" hidden="false"/>
    </xf>
    <xf numFmtId="164" fontId="0" fillId="29" borderId="0" xfId="0" applyFont="false" applyBorder="false" applyAlignment="true" applyProtection="false">
      <alignment horizontal="general" vertical="bottom" textRotation="0" wrapText="false" indent="0" shrinkToFit="false"/>
      <protection locked="true" hidden="false"/>
    </xf>
    <xf numFmtId="164" fontId="76" fillId="29" borderId="0" xfId="0" applyFont="true" applyBorder="false" applyAlignment="true" applyProtection="false">
      <alignment horizontal="general" vertical="bottom" textRotation="0" wrapText="false" indent="0" shrinkToFit="false"/>
      <protection locked="true" hidden="false"/>
    </xf>
    <xf numFmtId="167" fontId="76" fillId="29" borderId="0" xfId="0" applyFont="true" applyBorder="false" applyAlignment="true" applyProtection="false">
      <alignment horizontal="general" vertical="bottom" textRotation="0" wrapText="false" indent="0" shrinkToFit="false"/>
      <protection locked="true" hidden="false"/>
    </xf>
    <xf numFmtId="164" fontId="75" fillId="6" borderId="0" xfId="0" applyFont="true" applyBorder="false" applyAlignment="true" applyProtection="false">
      <alignment horizontal="center" vertical="center" textRotation="0" wrapText="false" indent="0" shrinkToFit="false"/>
      <protection locked="true" hidden="false"/>
    </xf>
    <xf numFmtId="164" fontId="74" fillId="6" borderId="0" xfId="0" applyFont="true" applyBorder="false" applyAlignment="true" applyProtection="false">
      <alignment horizontal="general" vertical="bottom" textRotation="0" wrapText="false" indent="0" shrinkToFit="false"/>
      <protection locked="true" hidden="false"/>
    </xf>
    <xf numFmtId="164" fontId="123" fillId="6" borderId="0" xfId="0" applyFont="true" applyBorder="false" applyAlignment="true" applyProtection="false">
      <alignment horizontal="general" vertical="bottom" textRotation="0" wrapText="false" indent="0" shrinkToFit="false"/>
      <protection locked="true" hidden="false"/>
    </xf>
    <xf numFmtId="188" fontId="69" fillId="6" borderId="0" xfId="0" applyFont="true" applyBorder="false" applyAlignment="true" applyProtection="false">
      <alignment horizontal="center" vertical="center" textRotation="0" wrapText="false" indent="0" shrinkToFit="false"/>
      <protection locked="true" hidden="false"/>
    </xf>
    <xf numFmtId="167" fontId="76" fillId="6" borderId="0" xfId="0" applyFont="true" applyBorder="false" applyAlignment="true" applyProtection="false">
      <alignment horizontal="general" vertical="bottom" textRotation="0" wrapText="false" indent="0" shrinkToFit="false"/>
      <protection locked="true" hidden="false"/>
    </xf>
    <xf numFmtId="167" fontId="74" fillId="6" borderId="0" xfId="0" applyFont="true" applyBorder="false" applyAlignment="true" applyProtection="false">
      <alignment horizontal="general" vertical="bottom" textRotation="0" wrapText="false" indent="0" shrinkToFit="false"/>
      <protection locked="true" hidden="false"/>
    </xf>
    <xf numFmtId="167" fontId="100" fillId="0" borderId="0" xfId="0" applyFont="true" applyBorder="false" applyAlignment="true" applyProtection="false">
      <alignment horizontal="general" vertical="bottom" textRotation="0" wrapText="false" indent="0" shrinkToFit="false"/>
      <protection locked="true" hidden="false"/>
    </xf>
    <xf numFmtId="164" fontId="76" fillId="0" borderId="0" xfId="0" applyFont="true" applyBorder="false" applyAlignment="true" applyProtection="false">
      <alignment horizontal="center" vertical="center" textRotation="0" wrapText="false" indent="0" shrinkToFit="false"/>
      <protection locked="true" hidden="false"/>
    </xf>
    <xf numFmtId="198" fontId="76" fillId="0" borderId="0" xfId="0" applyFont="true" applyBorder="false" applyAlignment="true" applyProtection="false">
      <alignment horizontal="center" vertical="center" textRotation="0" wrapText="false" indent="0" shrinkToFit="false"/>
      <protection locked="true" hidden="false"/>
    </xf>
    <xf numFmtId="164" fontId="48" fillId="0" borderId="0" xfId="0" applyFont="true" applyBorder="false" applyAlignment="true" applyProtection="false">
      <alignment horizontal="general" vertical="bottom" textRotation="0" wrapText="false" indent="0" shrinkToFit="false"/>
      <protection locked="true" hidden="false"/>
    </xf>
    <xf numFmtId="164" fontId="69" fillId="0" borderId="0" xfId="0" applyFont="true" applyBorder="false" applyAlignment="true" applyProtection="false">
      <alignment horizontal="general" vertical="bottom" textRotation="0" wrapText="false" indent="0" shrinkToFit="false"/>
      <protection locked="true" hidden="false"/>
    </xf>
    <xf numFmtId="164" fontId="109" fillId="15" borderId="0" xfId="0" applyFont="true" applyBorder="false" applyAlignment="true" applyProtection="false">
      <alignment horizontal="left" vertical="center" textRotation="0" wrapText="true" indent="0" shrinkToFit="false"/>
      <protection locked="true" hidden="false"/>
    </xf>
    <xf numFmtId="204" fontId="63" fillId="0" borderId="0" xfId="0" applyFont="true" applyBorder="false" applyAlignment="true" applyProtection="false">
      <alignment horizontal="general" vertical="bottom" textRotation="0" wrapText="false" indent="0" shrinkToFit="false"/>
      <protection locked="true" hidden="false"/>
    </xf>
    <xf numFmtId="204" fontId="65" fillId="0" borderId="0" xfId="0" applyFont="true" applyBorder="false" applyAlignment="true" applyProtection="false">
      <alignment horizontal="general" vertical="bottom" textRotation="0" wrapText="false" indent="0" shrinkToFit="false"/>
      <protection locked="true" hidden="false"/>
    </xf>
    <xf numFmtId="204" fontId="94" fillId="0" borderId="0" xfId="0" applyFont="true" applyBorder="false" applyAlignment="true" applyProtection="false">
      <alignment horizontal="general" vertical="bottom" textRotation="0" wrapText="false" indent="0" shrinkToFit="false"/>
      <protection locked="true" hidden="false"/>
    </xf>
    <xf numFmtId="196" fontId="63" fillId="0" borderId="0" xfId="0" applyFont="true" applyBorder="false" applyAlignment="true" applyProtection="false">
      <alignment horizontal="general" vertical="bottom" textRotation="0" wrapText="false" indent="0" shrinkToFit="false"/>
      <protection locked="true" hidden="false"/>
    </xf>
    <xf numFmtId="164" fontId="109" fillId="15" borderId="0" xfId="0" applyFont="true" applyBorder="false" applyAlignment="true" applyProtection="false">
      <alignment horizontal="general" vertical="center" textRotation="0" wrapText="true" indent="0" shrinkToFit="false"/>
      <protection locked="true" hidden="false"/>
    </xf>
    <xf numFmtId="164" fontId="109" fillId="15" borderId="0" xfId="0" applyFont="true" applyBorder="true" applyAlignment="true" applyProtection="false">
      <alignment horizontal="general" vertical="center" textRotation="0" wrapText="true" indent="0" shrinkToFit="false"/>
      <protection locked="true" hidden="false"/>
    </xf>
    <xf numFmtId="164" fontId="99" fillId="0" borderId="0" xfId="0" applyFont="true" applyBorder="false" applyAlignment="true" applyProtection="false">
      <alignment horizontal="general" vertical="center" textRotation="0" wrapText="true" indent="0" shrinkToFit="false"/>
      <protection locked="true" hidden="false"/>
    </xf>
    <xf numFmtId="164" fontId="99" fillId="0" borderId="0" xfId="0" applyFont="true" applyBorder="true" applyAlignment="true" applyProtection="false">
      <alignment horizontal="general" vertical="center" textRotation="0" wrapText="true" indent="0" shrinkToFit="false"/>
      <protection locked="true" hidden="false"/>
    </xf>
    <xf numFmtId="164" fontId="118" fillId="15" borderId="0" xfId="0" applyFont="true" applyBorder="false" applyAlignment="true" applyProtection="false">
      <alignment horizontal="left" vertical="center" textRotation="0" wrapText="true" indent="0" shrinkToFit="false"/>
      <protection locked="true" hidden="false"/>
    </xf>
    <xf numFmtId="182" fontId="74" fillId="0" borderId="0" xfId="0" applyFont="true" applyBorder="false" applyAlignment="true" applyProtection="false">
      <alignment horizontal="general" vertical="bottom" textRotation="0" wrapText="false" indent="0" shrinkToFit="false"/>
      <protection locked="true" hidden="false"/>
    </xf>
    <xf numFmtId="182" fontId="76" fillId="0" borderId="0" xfId="0" applyFont="true" applyBorder="false" applyAlignment="true" applyProtection="false">
      <alignment horizontal="general" vertical="bottom" textRotation="0" wrapText="false" indent="0" shrinkToFit="false"/>
      <protection locked="true" hidden="false"/>
    </xf>
    <xf numFmtId="167" fontId="74" fillId="0" borderId="0" xfId="0" applyFont="true" applyBorder="false" applyAlignment="true" applyProtection="false">
      <alignment horizontal="center" vertical="center" textRotation="0" wrapText="false" indent="0" shrinkToFit="false"/>
      <protection locked="true" hidden="false"/>
    </xf>
    <xf numFmtId="182" fontId="57" fillId="9" borderId="0" xfId="0" applyFont="true" applyBorder="false" applyAlignment="true" applyProtection="false">
      <alignment horizontal="center" vertical="center" textRotation="0" wrapText="false" indent="0" shrinkToFit="false"/>
      <protection locked="true" hidden="false"/>
    </xf>
    <xf numFmtId="164" fontId="69" fillId="9" borderId="0" xfId="0" applyFont="true" applyBorder="false" applyAlignment="true" applyProtection="false">
      <alignment horizontal="center" vertical="center" textRotation="0" wrapText="false" indent="0" shrinkToFit="false"/>
      <protection locked="true" hidden="false"/>
    </xf>
    <xf numFmtId="164" fontId="77" fillId="5" borderId="0" xfId="0" applyFont="true" applyBorder="false" applyAlignment="true" applyProtection="false">
      <alignment horizontal="general" vertical="bottom" textRotation="0" wrapText="false" indent="0" shrinkToFit="false"/>
      <protection locked="true" hidden="false"/>
    </xf>
    <xf numFmtId="189" fontId="60" fillId="14" borderId="0" xfId="0" applyFont="true" applyBorder="false" applyAlignment="true" applyProtection="false">
      <alignment horizontal="general" vertical="bottom" textRotation="0" wrapText="false" indent="0" shrinkToFit="false"/>
      <protection locked="true" hidden="false"/>
    </xf>
    <xf numFmtId="164" fontId="62" fillId="0" borderId="0" xfId="0" applyFont="true" applyBorder="false" applyAlignment="true" applyProtection="false">
      <alignment horizontal="general" vertical="bottom" textRotation="0" wrapText="false" indent="0" shrinkToFit="false"/>
      <protection locked="true" hidden="false"/>
    </xf>
    <xf numFmtId="166" fontId="65" fillId="10" borderId="0" xfId="0" applyFont="true" applyBorder="false" applyAlignment="true" applyProtection="false">
      <alignment horizontal="general" vertical="bottom" textRotation="0" wrapText="false" indent="0" shrinkToFit="false"/>
      <protection locked="true" hidden="false"/>
    </xf>
    <xf numFmtId="164" fontId="124" fillId="0" borderId="0" xfId="0" applyFont="true" applyBorder="false" applyAlignment="true" applyProtection="false">
      <alignment horizontal="general" vertical="bottom" textRotation="0" wrapText="false" indent="0" shrinkToFit="false"/>
      <protection locked="true" hidden="false"/>
    </xf>
    <xf numFmtId="178" fontId="62" fillId="0" borderId="0" xfId="0" applyFont="true" applyBorder="false" applyAlignment="true" applyProtection="false">
      <alignment horizontal="general" vertical="bottom" textRotation="0" wrapText="false" indent="0" shrinkToFit="false"/>
      <protection locked="true" hidden="false"/>
    </xf>
    <xf numFmtId="168" fontId="53" fillId="6" borderId="0" xfId="0" applyFont="true" applyBorder="false" applyAlignment="true" applyProtection="false">
      <alignment horizontal="general" vertical="bottom" textRotation="0" wrapText="false" indent="0" shrinkToFit="false"/>
      <protection locked="true" hidden="false"/>
    </xf>
    <xf numFmtId="164" fontId="125" fillId="17" borderId="0" xfId="0" applyFont="true" applyBorder="false" applyAlignment="true" applyProtection="false">
      <alignment horizontal="general" vertical="bottom" textRotation="0" wrapText="false" indent="0" shrinkToFit="false"/>
      <protection locked="true" hidden="false"/>
    </xf>
    <xf numFmtId="164" fontId="0" fillId="17" borderId="0" xfId="0" applyFont="false" applyBorder="false" applyAlignment="true" applyProtection="false">
      <alignment horizontal="general" vertical="bottom" textRotation="0" wrapText="false" indent="0" shrinkToFit="false"/>
      <protection locked="true" hidden="false"/>
    </xf>
    <xf numFmtId="164" fontId="126" fillId="0" borderId="0" xfId="0" applyFont="true" applyBorder="true" applyAlignment="true" applyProtection="false">
      <alignment horizontal="general" vertical="bottom" textRotation="0" wrapText="false" indent="0" shrinkToFit="false"/>
      <protection locked="true" hidden="false"/>
    </xf>
    <xf numFmtId="164" fontId="125" fillId="0" borderId="0" xfId="0" applyFont="true" applyBorder="false" applyAlignment="true" applyProtection="false">
      <alignment horizontal="general" vertical="bottom" textRotation="0" wrapText="false" indent="0" shrinkToFit="false"/>
      <protection locked="true" hidden="false"/>
    </xf>
    <xf numFmtId="168" fontId="72" fillId="0" borderId="0" xfId="0" applyFont="true" applyBorder="false" applyAlignment="true" applyProtection="false">
      <alignment horizontal="general" vertical="bottom" textRotation="0" wrapText="false" indent="0" shrinkToFit="false"/>
      <protection locked="true" hidden="false"/>
    </xf>
    <xf numFmtId="164" fontId="127" fillId="0" borderId="0" xfId="0" applyFont="true" applyBorder="false" applyAlignment="true" applyProtection="false">
      <alignment horizontal="general" vertical="bottom" textRotation="0" wrapText="false" indent="0" shrinkToFit="false"/>
      <protection locked="true" hidden="false"/>
    </xf>
    <xf numFmtId="167" fontId="127" fillId="0" borderId="0" xfId="0" applyFont="true" applyBorder="false" applyAlignment="true" applyProtection="false">
      <alignment horizontal="general" vertical="bottom" textRotation="0" wrapText="false" indent="0" shrinkToFit="false"/>
      <protection locked="true" hidden="false"/>
    </xf>
    <xf numFmtId="164" fontId="128" fillId="2" borderId="0" xfId="0" applyFont="true" applyBorder="false" applyAlignment="true" applyProtection="false">
      <alignment horizontal="general" vertical="bottom" textRotation="0" wrapText="false" indent="0" shrinkToFit="false"/>
      <protection locked="true" hidden="false"/>
    </xf>
    <xf numFmtId="167" fontId="128" fillId="2" borderId="0" xfId="0" applyFont="true" applyBorder="false" applyAlignment="true" applyProtection="false">
      <alignment horizontal="general" vertical="bottom" textRotation="0" wrapText="false" indent="0" shrinkToFit="false"/>
      <protection locked="tru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129" fillId="2" borderId="0" xfId="0" applyFont="true" applyBorder="true" applyAlignment="true" applyProtection="false">
      <alignment horizontal="left" vertical="center" textRotation="0" wrapText="false" indent="1" shrinkToFit="false"/>
      <protection locked="true" hidden="false"/>
    </xf>
    <xf numFmtId="164" fontId="130" fillId="2" borderId="0" xfId="0" applyFont="true" applyBorder="true" applyAlignment="true" applyProtection="false">
      <alignment horizontal="left" vertical="center" textRotation="0" wrapText="false" indent="1" shrinkToFit="false"/>
      <protection locked="true" hidden="false"/>
    </xf>
    <xf numFmtId="164" fontId="85" fillId="0" borderId="0" xfId="0" applyFont="true" applyBorder="false" applyAlignment="true" applyProtection="false">
      <alignment horizontal="general" vertical="bottom" textRotation="0" wrapText="false" indent="0" shrinkToFit="false"/>
      <protection locked="true" hidden="false"/>
    </xf>
    <xf numFmtId="164" fontId="131" fillId="2" borderId="0" xfId="0" applyFont="true" applyBorder="false" applyAlignment="true" applyProtection="false">
      <alignment horizontal="general" vertical="bottom" textRotation="0" wrapText="false" indent="0" shrinkToFit="false"/>
      <protection locked="true" hidden="false"/>
    </xf>
    <xf numFmtId="164" fontId="131" fillId="2" borderId="0" xfId="0" applyFont="true" applyBorder="false" applyAlignment="true" applyProtection="false">
      <alignment horizontal="center" vertical="bottom" textRotation="0" wrapText="false" indent="0" shrinkToFit="false"/>
      <protection locked="true" hidden="false"/>
    </xf>
    <xf numFmtId="164" fontId="132" fillId="30" borderId="0" xfId="0" applyFont="true" applyBorder="false" applyAlignment="true" applyProtection="false">
      <alignment horizontal="general" vertical="bottom" textRotation="0" wrapText="false" indent="0" shrinkToFit="false"/>
      <protection locked="true" hidden="false"/>
    </xf>
    <xf numFmtId="164" fontId="0" fillId="30" borderId="0" xfId="0" applyFont="false" applyBorder="false" applyAlignment="true" applyProtection="false">
      <alignment horizontal="general" vertical="bottom" textRotation="0" wrapText="false" indent="0" shrinkToFit="false"/>
      <protection locked="true" hidden="false"/>
    </xf>
    <xf numFmtId="164" fontId="133" fillId="0" borderId="0" xfId="0" applyFont="true" applyBorder="false" applyAlignment="true" applyProtection="false">
      <alignment horizontal="general" vertical="bottom" textRotation="0" wrapText="false" indent="0" shrinkToFit="false"/>
      <protection locked="true" hidden="false"/>
    </xf>
    <xf numFmtId="164" fontId="134" fillId="0" borderId="0" xfId="0" applyFont="true" applyBorder="false" applyAlignment="true" applyProtection="false">
      <alignment horizontal="general" vertical="bottom" textRotation="0" wrapText="false" indent="0" shrinkToFit="false"/>
      <protection locked="true" hidden="false"/>
    </xf>
    <xf numFmtId="164" fontId="135" fillId="0" borderId="0" xfId="0" applyFont="true" applyBorder="false" applyAlignment="true" applyProtection="false">
      <alignment horizontal="general" vertical="bottom" textRotation="0" wrapText="false" indent="0" shrinkToFit="false"/>
      <protection locked="true" hidden="false"/>
    </xf>
    <xf numFmtId="164" fontId="136" fillId="0" borderId="0" xfId="0" applyFont="true" applyBorder="false" applyAlignment="true" applyProtection="false">
      <alignment horizontal="general" vertical="bottom" textRotation="0" wrapText="false" indent="0" shrinkToFit="false"/>
      <protection locked="true" hidden="false"/>
    </xf>
    <xf numFmtId="205" fontId="136" fillId="0" borderId="0" xfId="0" applyFont="true" applyBorder="false" applyAlignment="true" applyProtection="false">
      <alignment horizontal="general" vertical="bottom" textRotation="0" wrapText="false" indent="0" shrinkToFit="false"/>
      <protection locked="true" hidden="false"/>
    </xf>
    <xf numFmtId="167" fontId="136" fillId="0" borderId="0" xfId="0" applyFont="true" applyBorder="false" applyAlignment="true" applyProtection="false">
      <alignment horizontal="general" vertical="bottom" textRotation="0" wrapText="false" indent="0" shrinkToFit="false"/>
      <protection locked="true" hidden="false"/>
    </xf>
    <xf numFmtId="205" fontId="135" fillId="0" borderId="0" xfId="0" applyFont="true" applyBorder="false" applyAlignment="true" applyProtection="false">
      <alignment horizontal="general" vertical="bottom" textRotation="0" wrapText="false" indent="0" shrinkToFit="false"/>
      <protection locked="true" hidden="false"/>
    </xf>
    <xf numFmtId="164" fontId="125" fillId="0" borderId="0" xfId="0" applyFont="true" applyBorder="false" applyAlignment="true" applyProtection="false">
      <alignment horizontal="general" vertical="bottom" textRotation="0" wrapText="false" indent="1" shrinkToFit="false"/>
      <protection locked="true" hidden="false"/>
    </xf>
    <xf numFmtId="164" fontId="127" fillId="0" borderId="0" xfId="0" applyFont="true" applyBorder="false" applyAlignment="true" applyProtection="false">
      <alignment horizontal="general" vertical="bottom" textRotation="0" wrapText="false" indent="2" shrinkToFit="false"/>
      <protection locked="true" hidden="false"/>
    </xf>
    <xf numFmtId="164" fontId="125" fillId="9" borderId="0" xfId="0" applyFont="true" applyBorder="false" applyAlignment="true" applyProtection="false">
      <alignment horizontal="general" vertical="bottom" textRotation="0" wrapText="false" indent="1" shrinkToFit="false"/>
      <protection locked="true" hidden="false"/>
    </xf>
    <xf numFmtId="167" fontId="125" fillId="9" borderId="0" xfId="0" applyFont="true" applyBorder="false" applyAlignment="true" applyProtection="false">
      <alignment horizontal="general" vertical="bottom" textRotation="0" wrapText="false" indent="0" shrinkToFit="false"/>
      <protection locked="true" hidden="false"/>
    </xf>
    <xf numFmtId="164" fontId="125" fillId="9" borderId="0" xfId="0" applyFont="true" applyBorder="false" applyAlignment="true" applyProtection="false">
      <alignment horizontal="general" vertical="bottom" textRotation="0" wrapText="false" indent="0" shrinkToFit="false"/>
      <protection locked="true" hidden="false"/>
    </xf>
    <xf numFmtId="167" fontId="125" fillId="17" borderId="0" xfId="0" applyFont="true" applyBorder="false" applyAlignment="true" applyProtection="false">
      <alignment horizontal="general" vertical="bottom" textRotation="0" wrapText="false" indent="0" shrinkToFit="false"/>
      <protection locked="true" hidden="false"/>
    </xf>
    <xf numFmtId="164" fontId="127" fillId="0" borderId="0" xfId="0" applyFont="true" applyBorder="false" applyAlignment="true" applyProtection="false">
      <alignment horizontal="general" vertical="bottom" textRotation="0" wrapText="false" indent="1" shrinkToFit="false"/>
      <protection locked="true" hidden="false"/>
    </xf>
    <xf numFmtId="205" fontId="127" fillId="0" borderId="0" xfId="0" applyFont="true" applyBorder="false" applyAlignment="true" applyProtection="false">
      <alignment horizontal="general" vertical="bottom" textRotation="0" wrapText="false" indent="0" shrinkToFit="false"/>
      <protection locked="true" hidden="false"/>
    </xf>
    <xf numFmtId="178" fontId="0" fillId="0" borderId="0" xfId="0" applyFont="false" applyBorder="false" applyAlignment="true" applyProtection="false">
      <alignment horizontal="general" vertical="bottom" textRotation="0" wrapText="false" indent="0" shrinkToFit="false"/>
      <protection locked="true" hidden="false"/>
    </xf>
    <xf numFmtId="171" fontId="0" fillId="0" borderId="0" xfId="0" applyFont="false" applyBorder="false" applyAlignment="true" applyProtection="false">
      <alignment horizontal="general" vertical="bottom" textRotation="0" wrapText="false" indent="0" shrinkToFit="false"/>
      <protection locked="true" hidden="false"/>
    </xf>
    <xf numFmtId="167" fontId="89" fillId="2" borderId="0" xfId="0" applyFont="true" applyBorder="false" applyAlignment="true" applyProtection="false">
      <alignment horizontal="general" vertical="bottom" textRotation="0" wrapText="false" indent="0" shrinkToFit="false"/>
      <protection locked="true" hidden="false"/>
    </xf>
    <xf numFmtId="164" fontId="89" fillId="2" borderId="0" xfId="0" applyFont="true" applyBorder="false" applyAlignment="true" applyProtection="false">
      <alignment horizontal="general" vertical="bottom" textRotation="0" wrapText="false" indent="1" shrinkToFit="false"/>
      <protection locked="true" hidden="false"/>
    </xf>
    <xf numFmtId="205" fontId="89" fillId="2" borderId="0" xfId="0" applyFont="true" applyBorder="false" applyAlignment="true" applyProtection="false">
      <alignment horizontal="general" vertical="bottom" textRotation="0" wrapText="false" indent="0" shrinkToFit="false"/>
      <protection locked="true" hidden="false"/>
    </xf>
    <xf numFmtId="164" fontId="125" fillId="0" borderId="0" xfId="0" applyFont="true" applyBorder="false" applyAlignment="true" applyProtection="false">
      <alignment horizontal="center" vertical="bottom" textRotation="0" wrapText="false" indent="0" shrinkToFit="false"/>
      <protection locked="true" hidden="false"/>
    </xf>
    <xf numFmtId="164" fontId="137" fillId="0" borderId="0" xfId="0" applyFont="true" applyBorder="false" applyAlignment="true" applyProtection="false">
      <alignment horizontal="general" vertical="bottom" textRotation="0" wrapText="false" indent="0" shrinkToFit="false"/>
      <protection locked="true" hidden="false"/>
    </xf>
    <xf numFmtId="189" fontId="61" fillId="0" borderId="0" xfId="0" applyFont="true" applyBorder="false" applyAlignment="true" applyProtection="false">
      <alignment horizontal="general" vertical="bottom" textRotation="0" wrapText="false" indent="0" shrinkToFit="false"/>
      <protection locked="true" hidden="false"/>
    </xf>
    <xf numFmtId="166" fontId="61" fillId="0" borderId="0" xfId="0" applyFont="true" applyBorder="false" applyAlignment="true" applyProtection="false">
      <alignment horizontal="general" vertical="bottom" textRotation="0" wrapText="false" indent="0" shrinkToFit="false"/>
      <protection locked="true" hidden="false"/>
    </xf>
    <xf numFmtId="168" fontId="61" fillId="0" borderId="0" xfId="0" applyFont="true" applyBorder="false" applyAlignment="true" applyProtection="false">
      <alignment horizontal="general" vertical="bottom" textRotation="0" wrapText="false" indent="0" shrinkToFit="false"/>
      <protection locked="true" hidden="false"/>
    </xf>
    <xf numFmtId="189" fontId="53" fillId="0" borderId="0" xfId="0" applyFont="true" applyBorder="false" applyAlignment="true" applyProtection="false">
      <alignment horizontal="general" vertical="bottom" textRotation="0" wrapText="false" indent="0" shrinkToFit="false"/>
      <protection locked="true" hidden="false"/>
    </xf>
    <xf numFmtId="164" fontId="19" fillId="5" borderId="0" xfId="0" applyFont="true" applyBorder="false" applyAlignment="true" applyProtection="false">
      <alignment horizontal="general" vertical="bottom" textRotation="0" wrapText="false" indent="0" shrinkToFit="false"/>
      <protection locked="true" hidden="false"/>
    </xf>
    <xf numFmtId="165" fontId="0" fillId="5" borderId="0" xfId="0" applyFont="false" applyBorder="false" applyAlignment="true" applyProtection="false">
      <alignment horizontal="general" vertical="bottom" textRotation="0" wrapText="false" indent="0" shrinkToFit="false"/>
      <protection locked="true" hidden="false"/>
    </xf>
    <xf numFmtId="195" fontId="0" fillId="5" borderId="0" xfId="0" applyFont="false" applyBorder="false" applyAlignment="true" applyProtection="false">
      <alignment horizontal="general" vertical="bottom" textRotation="0" wrapText="false" indent="0" shrinkToFit="false"/>
      <protection locked="true" hidden="false"/>
    </xf>
    <xf numFmtId="166" fontId="0" fillId="5" borderId="0" xfId="0" applyFont="false" applyBorder="false" applyAlignment="true" applyProtection="false">
      <alignment horizontal="general" vertical="bottom" textRotation="0" wrapText="false" indent="0" shrinkToFit="false"/>
      <protection locked="true" hidden="false"/>
    </xf>
    <xf numFmtId="164" fontId="139" fillId="2" borderId="0" xfId="0" applyFont="true" applyBorder="true" applyAlignment="true" applyProtection="false">
      <alignment horizontal="general" vertical="center" textRotation="0" wrapText="false" indent="1" shrinkToFit="false"/>
      <protection locked="true" hidden="false"/>
    </xf>
    <xf numFmtId="164" fontId="140" fillId="2" borderId="0" xfId="0" applyFont="true" applyBorder="true" applyAlignment="true" applyProtection="false">
      <alignment horizontal="general" vertical="center" textRotation="0" wrapText="false" indent="1" shrinkToFit="false"/>
      <protection locked="true" hidden="false"/>
    </xf>
    <xf numFmtId="164" fontId="131" fillId="3" borderId="0" xfId="0" applyFont="true" applyBorder="false" applyAlignment="true" applyProtection="false">
      <alignment horizontal="general" vertical="bottom" textRotation="0" wrapText="false" indent="0" shrinkToFit="false"/>
      <protection locked="true" hidden="false"/>
    </xf>
    <xf numFmtId="164" fontId="124" fillId="0" borderId="0" xfId="0" applyFont="true" applyBorder="false" applyAlignment="true" applyProtection="false">
      <alignment horizontal="general" vertical="top" textRotation="0" wrapText="false" indent="0" shrinkToFit="false"/>
      <protection locked="true" hidden="false"/>
    </xf>
    <xf numFmtId="164" fontId="124" fillId="0" borderId="0" xfId="0" applyFont="true" applyBorder="false" applyAlignment="true" applyProtection="false">
      <alignment horizontal="general" vertical="top" textRotation="0" wrapText="true" indent="0" shrinkToFit="false"/>
      <protection locked="true" hidden="false"/>
    </xf>
    <xf numFmtId="166" fontId="124" fillId="0" borderId="0" xfId="0" applyFont="true" applyBorder="false" applyAlignment="true" applyProtection="false">
      <alignment horizontal="general" vertical="top" textRotation="0" wrapText="false" indent="0" shrinkToFit="false"/>
      <protection locked="true" hidden="false"/>
    </xf>
    <xf numFmtId="189" fontId="124" fillId="0" borderId="0" xfId="0" applyFont="true" applyBorder="false" applyAlignment="true" applyProtection="false">
      <alignment horizontal="general" vertical="top" textRotation="0" wrapText="false" indent="0" shrinkToFit="false"/>
      <protection locked="true" hidden="false"/>
    </xf>
    <xf numFmtId="206" fontId="124" fillId="0" borderId="0" xfId="0" applyFont="true" applyBorder="false" applyAlignment="true" applyProtection="false">
      <alignment horizontal="general" vertical="top" textRotation="0" wrapText="false" indent="0" shrinkToFit="false"/>
      <protection locked="true" hidden="false"/>
    </xf>
    <xf numFmtId="169" fontId="124" fillId="0" borderId="0" xfId="0" applyFont="true" applyBorder="false" applyAlignment="true" applyProtection="false">
      <alignment horizontal="general" vertical="top" textRotation="0" wrapText="false" indent="0" shrinkToFit="false"/>
      <protection locked="true" hidden="false"/>
    </xf>
    <xf numFmtId="182" fontId="44" fillId="0" borderId="0" xfId="0" applyFont="true" applyBorder="false" applyAlignment="true" applyProtection="false">
      <alignment horizontal="right" vertical="bottom" textRotation="0" wrapText="false" indent="0" shrinkToFit="false"/>
      <protection locked="true" hidden="false"/>
    </xf>
    <xf numFmtId="164" fontId="44" fillId="0" borderId="0" xfId="0" applyFont="true" applyBorder="false" applyAlignment="true" applyProtection="false">
      <alignment horizontal="right" vertical="bottom" textRotation="0" wrapText="false" indent="0" shrinkToFit="false"/>
      <protection locked="true" hidden="false"/>
    </xf>
    <xf numFmtId="164" fontId="141" fillId="0" borderId="0" xfId="0" applyFont="true" applyBorder="false" applyAlignment="true" applyProtection="false">
      <alignment horizontal="general" vertical="center" textRotation="0" wrapText="true" indent="0" shrinkToFit="false"/>
      <protection locked="true" hidden="false"/>
    </xf>
    <xf numFmtId="207" fontId="47" fillId="0" borderId="0" xfId="0" applyFont="true" applyBorder="false" applyAlignment="true" applyProtection="false">
      <alignment horizontal="right" vertical="bottom" textRotation="0" wrapText="false" indent="0" shrinkToFit="false"/>
      <protection locked="true" hidden="false"/>
    </xf>
    <xf numFmtId="164" fontId="4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43" fillId="0" borderId="0" xfId="0" applyFont="true" applyBorder="false" applyAlignment="true" applyProtection="false">
      <alignment horizontal="right" vertical="bottom" textRotation="0" wrapText="false" indent="0" shrinkToFit="false"/>
      <protection locked="true" hidden="false"/>
    </xf>
    <xf numFmtId="164" fontId="43"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ont>
        <color rgb="FF9C0006"/>
      </font>
      <fill>
        <patternFill>
          <bgColor rgb="FFFFC7CE"/>
        </patternFill>
      </fill>
    </dxf>
    <dxf>
      <font>
        <color rgb="FF006100"/>
      </font>
      <fill>
        <patternFill>
          <bgColor rgb="FFC6EFCE"/>
        </patternFill>
      </fill>
    </dxf>
    <dxf>
      <fill>
        <patternFill>
          <bgColor rgb="FFF7C1C1"/>
        </patternFill>
      </fill>
    </dxf>
    <dxf>
      <fill>
        <patternFill>
          <bgColor rgb="FFB5D4F4"/>
        </patternFill>
      </fill>
    </dxf>
    <dxf>
      <fill>
        <patternFill>
          <bgColor rgb="FF1F4E79"/>
        </patternFill>
      </fill>
    </dxf>
    <dxf>
      <fill>
        <patternFill>
          <bgColor rgb="FF2E75B6"/>
        </patternFill>
      </fill>
    </dxf>
    <dxf>
      <fill>
        <patternFill>
          <bgColor rgb="FFC00000"/>
        </patternFill>
      </fill>
    </dxf>
    <dxf>
      <fill>
        <patternFill>
          <bgColor rgb="FF2E7D32"/>
        </patternFill>
      </fill>
    </dxf>
    <dxf>
      <fill>
        <patternFill>
          <bgColor rgb="FF7030A0"/>
        </patternFill>
      </fill>
    </dxf>
    <dxf>
      <fill>
        <patternFill>
          <bgColor rgb="FF9E5FD6"/>
        </patternFill>
      </fill>
    </dxf>
    <dxf>
      <fill>
        <patternFill>
          <bgColor rgb="FFBF8F00"/>
        </patternFill>
      </fill>
    </dxf>
    <dxf>
      <fill>
        <patternFill>
          <bgColor rgb="FF806000"/>
        </patternFill>
      </fill>
    </dxf>
    <dxf>
      <fill>
        <patternFill>
          <bgColor rgb="FF0F8B8D"/>
        </patternFill>
      </fill>
    </dxf>
    <dxf>
      <fill>
        <patternFill>
          <bgColor rgb="FFE36C0A"/>
        </patternFill>
      </fill>
    </dxf>
    <dxf>
      <fill>
        <patternFill>
          <bgColor rgb="FFC55A11"/>
        </patternFill>
      </fill>
    </dxf>
    <dxf>
      <fill>
        <patternFill>
          <bgColor rgb="FF548235"/>
        </patternFill>
      </fill>
    </dxf>
    <dxf>
      <fill>
        <patternFill>
          <bgColor rgb="FF305496"/>
        </patternFill>
      </fill>
    </dxf>
  </dxfs>
  <colors>
    <indexedColors>
      <rgbColor rgb="FF000000"/>
      <rgbColor rgb="FFFFFFFF"/>
      <rgbColor rgb="FFC00000"/>
      <rgbColor rgb="FFBF8F00"/>
      <rgbColor rgb="FF0000FF"/>
      <rgbColor rgb="FFFFFF00"/>
      <rgbColor rgb="FFFCE4D6"/>
      <rgbColor rgb="FFD9E2F1"/>
      <rgbColor rgb="FF9C0006"/>
      <rgbColor rgb="FF007D00"/>
      <rgbColor rgb="FF1F4E79"/>
      <rgbColor rgb="FF806000"/>
      <rgbColor rgb="FFC55A11"/>
      <rgbColor rgb="FF00838F"/>
      <rgbColor rgb="FFBFBFBF"/>
      <rgbColor rgb="FF808080"/>
      <rgbColor rgb="FF9E5FD6"/>
      <rgbColor rgb="FF7030A0"/>
      <rgbColor rgb="FFFFF2CC"/>
      <rgbColor rgb="FFDDEBF7"/>
      <rgbColor rgb="FF595959"/>
      <rgbColor rgb="FFED7D31"/>
      <rgbColor rgb="FF1155CC"/>
      <rgbColor rgb="FFBDD7EE"/>
      <rgbColor rgb="FF2C589A"/>
      <rgbColor rgb="FFE5E5E5"/>
      <rgbColor rgb="FFFCE4C8"/>
      <rgbColor rgb="FFD9D9D9"/>
      <rgbColor rgb="FF548235"/>
      <rgbColor rgb="FFB91C1C"/>
      <rgbColor rgb="FF0F8B8D"/>
      <rgbColor rgb="FFF2F2F2"/>
      <rgbColor rgb="FF2E7D32"/>
      <rgbColor rgb="FFEAF1F8"/>
      <rgbColor rgb="FFC6EFCE"/>
      <rgbColor rgb="FFFFE699"/>
      <rgbColor rgb="FFB5D4F4"/>
      <rgbColor rgb="FFFFC7CE"/>
      <rgbColor rgb="FFC7C8CD"/>
      <rgbColor rgb="FFF7C1C1"/>
      <rgbColor rgb="FF2E75B6"/>
      <rgbColor rgb="FF06947E"/>
      <rgbColor rgb="FF9AC258"/>
      <rgbColor rgb="FFFFD966"/>
      <rgbColor rgb="FFED8B2B"/>
      <rgbColor rgb="FFE36C0A"/>
      <rgbColor rgb="FF666666"/>
      <rgbColor rgb="FF9B5FD3"/>
      <rgbColor rgb="FF1F4E78"/>
      <rgbColor rgb="FF2E7D6B"/>
      <rgbColor rgb="FF15161A"/>
      <rgbColor rgb="FF555555"/>
      <rgbColor rgb="FF843C0C"/>
      <rgbColor rgb="FFC0504D"/>
      <rgbColor rgb="FF305496"/>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worksheet" Target="worksheets/sheet36.xml"/><Relationship Id="rId39" Type="http://schemas.openxmlformats.org/officeDocument/2006/relationships/worksheet" Target="worksheets/sheet37.xml"/><Relationship Id="rId40" Type="http://schemas.openxmlformats.org/officeDocument/2006/relationships/worksheet" Target="worksheets/sheet38.xml"/><Relationship Id="rId41" Type="http://schemas.openxmlformats.org/officeDocument/2006/relationships/worksheet" Target="worksheets/sheet39.xml"/><Relationship Id="rId42" Type="http://schemas.openxmlformats.org/officeDocument/2006/relationships/worksheet" Target="worksheets/sheet40.xml"/><Relationship Id="rId43" Type="http://schemas.openxmlformats.org/officeDocument/2006/relationships/worksheet" Target="worksheets/sheet41.xml"/><Relationship Id="rId44" Type="http://schemas.openxmlformats.org/officeDocument/2006/relationships/worksheet" Target="worksheets/sheet42.xml"/><Relationship Id="rId45" Type="http://schemas.openxmlformats.org/officeDocument/2006/relationships/worksheet" Target="worksheets/sheet43.xml"/><Relationship Id="rId4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Ventas anuales por escenario (USD)</a:t>
            </a:r>
          </a:p>
        </c:rich>
      </c:tx>
      <c:overlay val="0"/>
      <c:spPr>
        <a:noFill/>
        <a:ln w="0">
          <a:noFill/>
        </a:ln>
      </c:spPr>
    </c:title>
    <c:autoTitleDeleted val="0"/>
    <c:plotArea>
      <c:lineChart>
        <c:grouping val="standard"/>
        <c:varyColors val="0"/>
        <c:ser>
          <c:idx val="0"/>
          <c:order val="0"/>
          <c:tx>
            <c:strRef>
              <c:f>RESUMEN_EJECUTIVO!$B$49</c:f>
              <c:strCache>
                <c:ptCount val="1"/>
                <c:pt idx="0">
                  <c:v>Ventas — BÁSICO</c:v>
                </c:pt>
              </c:strCache>
            </c:strRef>
          </c:tx>
          <c:spPr>
            <a:solidFill>
              <a:srgbClr val="c0504d"/>
            </a:solidFill>
            <a:ln cap="rnd" w="28440">
              <a:solidFill>
                <a:srgbClr val="c0504d"/>
              </a:solidFill>
              <a:round/>
            </a:ln>
          </c:spPr>
          <c:marker>
            <c:symbol val="circle"/>
            <c:size val="5"/>
            <c:spPr>
              <a:solidFill>
                <a:srgbClr val="c0504d"/>
              </a:solidFill>
            </c:spPr>
          </c:marker>
          <c:dLbls>
            <c:txPr>
              <a:bodyPr wrap="square"/>
              <a:lstStyle/>
              <a:p>
                <a:pPr>
                  <a:defRPr b="0" sz="1000" spc="-1" strike="noStrike">
                    <a:solidFill>
                      <a:srgbClr val="000000"/>
                    </a:solidFill>
                    <a:latin typeface="Calibri"/>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RESUMEN_EJECUTIVO!$C$48:$L$48</c:f>
              <c:strCache>
                <c:ptCount val="10"/>
                <c:pt idx="0">
                  <c:v>1</c:v>
                </c:pt>
                <c:pt idx="1">
                  <c:v>2</c:v>
                </c:pt>
                <c:pt idx="2">
                  <c:v>3</c:v>
                </c:pt>
                <c:pt idx="3">
                  <c:v>4</c:v>
                </c:pt>
                <c:pt idx="4">
                  <c:v>5</c:v>
                </c:pt>
                <c:pt idx="5">
                  <c:v>6</c:v>
                </c:pt>
                <c:pt idx="6">
                  <c:v>7</c:v>
                </c:pt>
                <c:pt idx="7">
                  <c:v>8</c:v>
                </c:pt>
                <c:pt idx="8">
                  <c:v>9</c:v>
                </c:pt>
                <c:pt idx="9">
                  <c:v>10</c:v>
                </c:pt>
              </c:strCache>
            </c:strRef>
          </c:cat>
          <c:val>
            <c:numRef>
              <c:f>RESUMEN_EJECUTIVO!$C$49:$L$49</c:f>
              <c:numCache>
                <c:formatCode>\$#,##0;"($"#,##0\);\-</c:formatCode>
                <c:ptCount val="10"/>
                <c:pt idx="0">
                  <c:v>3161653.11</c:v>
                </c:pt>
                <c:pt idx="1">
                  <c:v>6179008.73</c:v>
                </c:pt>
                <c:pt idx="2">
                  <c:v>7461854.17</c:v>
                </c:pt>
                <c:pt idx="3">
                  <c:v>9106090.2</c:v>
                </c:pt>
                <c:pt idx="4">
                  <c:v>12019772.14</c:v>
                </c:pt>
                <c:pt idx="5">
                  <c:v>14818633.53</c:v>
                </c:pt>
                <c:pt idx="6">
                  <c:v>17525527.88</c:v>
                </c:pt>
                <c:pt idx="7">
                  <c:v>21737460.94</c:v>
                </c:pt>
                <c:pt idx="8">
                  <c:v>25880104.07</c:v>
                </c:pt>
                <c:pt idx="9">
                  <c:v>26298150.65</c:v>
                </c:pt>
              </c:numCache>
            </c:numRef>
          </c:val>
          <c:smooth val="0"/>
        </c:ser>
        <c:ser>
          <c:idx val="1"/>
          <c:order val="1"/>
          <c:tx>
            <c:strRef>
              <c:f>RESUMEN_EJECUTIVO!$B$50</c:f>
              <c:strCache>
                <c:ptCount val="1"/>
                <c:pt idx="0">
                  <c:v>Ventas — MEDIO</c:v>
                </c:pt>
              </c:strCache>
            </c:strRef>
          </c:tx>
          <c:spPr>
            <a:solidFill>
              <a:srgbClr val="9bbb59"/>
            </a:solidFill>
            <a:ln cap="rnd" w="28440">
              <a:solidFill>
                <a:srgbClr val="9bbb59"/>
              </a:solidFill>
              <a:round/>
            </a:ln>
          </c:spPr>
          <c:marker>
            <c:symbol val="circle"/>
            <c:size val="5"/>
            <c:spPr>
              <a:solidFill>
                <a:srgbClr val="9bbb59"/>
              </a:solidFill>
            </c:spPr>
          </c:marker>
          <c:dLbls>
            <c:txPr>
              <a:bodyPr wrap="square"/>
              <a:lstStyle/>
              <a:p>
                <a:pPr>
                  <a:defRPr b="0" sz="1000" spc="-1" strike="noStrike">
                    <a:solidFill>
                      <a:srgbClr val="000000"/>
                    </a:solidFill>
                    <a:latin typeface="Calibri"/>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RESUMEN_EJECUTIVO!$C$48:$L$48</c:f>
              <c:strCache>
                <c:ptCount val="10"/>
                <c:pt idx="0">
                  <c:v>1</c:v>
                </c:pt>
                <c:pt idx="1">
                  <c:v>2</c:v>
                </c:pt>
                <c:pt idx="2">
                  <c:v>3</c:v>
                </c:pt>
                <c:pt idx="3">
                  <c:v>4</c:v>
                </c:pt>
                <c:pt idx="4">
                  <c:v>5</c:v>
                </c:pt>
                <c:pt idx="5">
                  <c:v>6</c:v>
                </c:pt>
                <c:pt idx="6">
                  <c:v>7</c:v>
                </c:pt>
                <c:pt idx="7">
                  <c:v>8</c:v>
                </c:pt>
                <c:pt idx="8">
                  <c:v>9</c:v>
                </c:pt>
                <c:pt idx="9">
                  <c:v>10</c:v>
                </c:pt>
              </c:strCache>
            </c:strRef>
          </c:cat>
          <c:val>
            <c:numRef>
              <c:f>RESUMEN_EJECUTIVO!$C$50:$L$50</c:f>
              <c:numCache>
                <c:formatCode>\$#,##0;"($"#,##0\);\-</c:formatCode>
                <c:ptCount val="10"/>
                <c:pt idx="0">
                  <c:v>3793983.73411251</c:v>
                </c:pt>
                <c:pt idx="1">
                  <c:v>7754067.90783279</c:v>
                </c:pt>
                <c:pt idx="2">
                  <c:v>9570389.78524098</c:v>
                </c:pt>
                <c:pt idx="3">
                  <c:v>13297993.0528187</c:v>
                </c:pt>
                <c:pt idx="4">
                  <c:v>16431011.0277901</c:v>
                </c:pt>
                <c:pt idx="5">
                  <c:v>21300017.4338961</c:v>
                </c:pt>
                <c:pt idx="6">
                  <c:v>27742354.6159673</c:v>
                </c:pt>
                <c:pt idx="7">
                  <c:v>31538174.4113118</c:v>
                </c:pt>
                <c:pt idx="8">
                  <c:v>31557780.7769282</c:v>
                </c:pt>
                <c:pt idx="9">
                  <c:v>31557780.7769282</c:v>
                </c:pt>
              </c:numCache>
            </c:numRef>
          </c:val>
          <c:smooth val="0"/>
        </c:ser>
        <c:ser>
          <c:idx val="2"/>
          <c:order val="2"/>
          <c:tx>
            <c:strRef>
              <c:f>RESUMEN_EJECUTIVO!$B$51</c:f>
              <c:strCache>
                <c:ptCount val="1"/>
                <c:pt idx="0">
                  <c:v>Ventas — ALTO</c:v>
                </c:pt>
              </c:strCache>
            </c:strRef>
          </c:tx>
          <c:spPr>
            <a:solidFill>
              <a:srgbClr val="8064a2"/>
            </a:solidFill>
            <a:ln cap="rnd" w="28440">
              <a:solidFill>
                <a:srgbClr val="8064a2"/>
              </a:solidFill>
              <a:round/>
            </a:ln>
          </c:spPr>
          <c:marker>
            <c:symbol val="circle"/>
            <c:size val="5"/>
            <c:spPr>
              <a:solidFill>
                <a:srgbClr val="8064a2"/>
              </a:solidFill>
            </c:spPr>
          </c:marker>
          <c:dLbls>
            <c:txPr>
              <a:bodyPr wrap="square"/>
              <a:lstStyle/>
              <a:p>
                <a:pPr>
                  <a:defRPr b="0" sz="1000" spc="-1" strike="noStrike">
                    <a:solidFill>
                      <a:srgbClr val="000000"/>
                    </a:solidFill>
                    <a:latin typeface="Calibri"/>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RESUMEN_EJECUTIVO!$C$48:$L$48</c:f>
              <c:strCache>
                <c:ptCount val="10"/>
                <c:pt idx="0">
                  <c:v>1</c:v>
                </c:pt>
                <c:pt idx="1">
                  <c:v>2</c:v>
                </c:pt>
                <c:pt idx="2">
                  <c:v>3</c:v>
                </c:pt>
                <c:pt idx="3">
                  <c:v>4</c:v>
                </c:pt>
                <c:pt idx="4">
                  <c:v>5</c:v>
                </c:pt>
                <c:pt idx="5">
                  <c:v>6</c:v>
                </c:pt>
                <c:pt idx="6">
                  <c:v>7</c:v>
                </c:pt>
                <c:pt idx="7">
                  <c:v>8</c:v>
                </c:pt>
                <c:pt idx="8">
                  <c:v>9</c:v>
                </c:pt>
                <c:pt idx="9">
                  <c:v>10</c:v>
                </c:pt>
              </c:strCache>
            </c:strRef>
          </c:cat>
          <c:val>
            <c:numRef>
              <c:f>RESUMEN_EJECUTIVO!$C$51:$L$51</c:f>
              <c:numCache>
                <c:formatCode>\$#,##0;"($"#,##0\);\-</c:formatCode>
                <c:ptCount val="10"/>
                <c:pt idx="0">
                  <c:v>4516647.3</c:v>
                </c:pt>
                <c:pt idx="1">
                  <c:v>8546056.31</c:v>
                </c:pt>
                <c:pt idx="2">
                  <c:v>11656584.94</c:v>
                </c:pt>
                <c:pt idx="3">
                  <c:v>16461206.88</c:v>
                </c:pt>
                <c:pt idx="4">
                  <c:v>21162662.24</c:v>
                </c:pt>
                <c:pt idx="5">
                  <c:v>29249194.36</c:v>
                </c:pt>
                <c:pt idx="6">
                  <c:v>36317214.27</c:v>
                </c:pt>
                <c:pt idx="7">
                  <c:v>37568786.64</c:v>
                </c:pt>
                <c:pt idx="8">
                  <c:v>37568786.64</c:v>
                </c:pt>
                <c:pt idx="9">
                  <c:v>37568786.64</c:v>
                </c:pt>
              </c:numCache>
            </c:numRef>
          </c:val>
          <c:smooth val="0"/>
        </c:ser>
        <c:hiLowLines>
          <c:spPr>
            <a:ln w="0">
              <a:noFill/>
            </a:ln>
          </c:spPr>
        </c:hiLowLines>
        <c:marker val="1"/>
        <c:axId val="78363605"/>
        <c:axId val="92904255"/>
      </c:lineChart>
      <c:catAx>
        <c:axId val="78363605"/>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92904255"/>
        <c:crosses val="autoZero"/>
        <c:auto val="1"/>
        <c:lblAlgn val="ctr"/>
        <c:lblOffset val="100"/>
        <c:noMultiLvlLbl val="0"/>
      </c:catAx>
      <c:valAx>
        <c:axId val="92904255"/>
        <c:scaling>
          <c:orientation val="minMax"/>
        </c:scaling>
        <c:delete val="0"/>
        <c:axPos val="l"/>
        <c:majorGridlines>
          <c:spPr>
            <a:ln w="9360">
              <a:solidFill>
                <a:srgbClr val="d9d9d9"/>
              </a:solidFill>
              <a:round/>
            </a:ln>
          </c:spPr>
        </c:majorGridlines>
        <c:numFmt formatCode="\$#,##0;&quot;($&quot;#,##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78363605"/>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Toneladas de pollo por año</a:t>
            </a:r>
          </a:p>
        </c:rich>
      </c:tx>
      <c:overlay val="0"/>
      <c:spPr>
        <a:noFill/>
        <a:ln w="0">
          <a:noFill/>
        </a:ln>
      </c:spPr>
    </c:title>
    <c:autoTitleDeleted val="0"/>
    <c:plotArea>
      <c:barChart>
        <c:barDir val="col"/>
        <c:grouping val="clustered"/>
        <c:varyColors val="0"/>
        <c:ser>
          <c:idx val="0"/>
          <c:order val="0"/>
          <c:tx>
            <c:strRef>
              <c:f>RESUMEN_EJECUTIVO!$B$43</c:f>
              <c:strCache>
                <c:ptCount val="1"/>
                <c:pt idx="0">
                  <c:v>BÁSICO — toneladas/año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RESUMEN_EJECUTIVO!$C$38:$L$38</c:f>
              <c:strCache>
                <c:ptCount val="10"/>
                <c:pt idx="0">
                  <c:v>1</c:v>
                </c:pt>
                <c:pt idx="1">
                  <c:v>2</c:v>
                </c:pt>
                <c:pt idx="2">
                  <c:v>3</c:v>
                </c:pt>
                <c:pt idx="3">
                  <c:v>4</c:v>
                </c:pt>
                <c:pt idx="4">
                  <c:v>5</c:v>
                </c:pt>
                <c:pt idx="5">
                  <c:v>6</c:v>
                </c:pt>
                <c:pt idx="6">
                  <c:v>7</c:v>
                </c:pt>
                <c:pt idx="7">
                  <c:v>8</c:v>
                </c:pt>
                <c:pt idx="8">
                  <c:v>9</c:v>
                </c:pt>
                <c:pt idx="9">
                  <c:v>10</c:v>
                </c:pt>
              </c:strCache>
            </c:strRef>
          </c:cat>
          <c:val>
            <c:numRef>
              <c:f>RESUMEN_EJECUTIVO!$C$43:$L$43</c:f>
              <c:numCache>
                <c:formatCode>#,##0</c:formatCode>
                <c:ptCount val="10"/>
                <c:pt idx="0">
                  <c:v>403.64</c:v>
                </c:pt>
                <c:pt idx="1">
                  <c:v>788.87</c:v>
                </c:pt>
                <c:pt idx="2">
                  <c:v>952.64</c:v>
                </c:pt>
                <c:pt idx="3">
                  <c:v>1162.56</c:v>
                </c:pt>
                <c:pt idx="4">
                  <c:v>1534.55</c:v>
                </c:pt>
                <c:pt idx="5">
                  <c:v>1891.87</c:v>
                </c:pt>
                <c:pt idx="6">
                  <c:v>2237.46</c:v>
                </c:pt>
                <c:pt idx="7">
                  <c:v>2775.19</c:v>
                </c:pt>
                <c:pt idx="8">
                  <c:v>3304.08</c:v>
                </c:pt>
                <c:pt idx="9">
                  <c:v>3357.45</c:v>
                </c:pt>
              </c:numCache>
            </c:numRef>
          </c:val>
        </c:ser>
        <c:ser>
          <c:idx val="1"/>
          <c:order val="1"/>
          <c:tx>
            <c:strRef>
              <c:f>RESUMEN_EJECUTIVO!$B$44</c:f>
              <c:strCache>
                <c:ptCount val="1"/>
                <c:pt idx="0">
                  <c:v>MEDIO — toneladas/año</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RESUMEN_EJECUTIVO!$C$38:$L$38</c:f>
              <c:strCache>
                <c:ptCount val="10"/>
                <c:pt idx="0">
                  <c:v>1</c:v>
                </c:pt>
                <c:pt idx="1">
                  <c:v>2</c:v>
                </c:pt>
                <c:pt idx="2">
                  <c:v>3</c:v>
                </c:pt>
                <c:pt idx="3">
                  <c:v>4</c:v>
                </c:pt>
                <c:pt idx="4">
                  <c:v>5</c:v>
                </c:pt>
                <c:pt idx="5">
                  <c:v>6</c:v>
                </c:pt>
                <c:pt idx="6">
                  <c:v>7</c:v>
                </c:pt>
                <c:pt idx="7">
                  <c:v>8</c:v>
                </c:pt>
                <c:pt idx="8">
                  <c:v>9</c:v>
                </c:pt>
                <c:pt idx="9">
                  <c:v>10</c:v>
                </c:pt>
              </c:strCache>
            </c:strRef>
          </c:cat>
          <c:val>
            <c:numRef>
              <c:f>RESUMEN_EJECUTIVO!$C$44:$L$44</c:f>
              <c:numCache>
                <c:formatCode>#,##0</c:formatCode>
                <c:ptCount val="10"/>
                <c:pt idx="0">
                  <c:v>484.37235</c:v>
                </c:pt>
                <c:pt idx="1">
                  <c:v>989.9505</c:v>
                </c:pt>
                <c:pt idx="2">
                  <c:v>1221.8376555</c:v>
                </c:pt>
                <c:pt idx="3">
                  <c:v>1697.7353085</c:v>
                </c:pt>
                <c:pt idx="4">
                  <c:v>2097.7231275</c:v>
                </c:pt>
                <c:pt idx="5">
                  <c:v>2719.3420485</c:v>
                </c:pt>
                <c:pt idx="6">
                  <c:v>3541.82580675</c:v>
                </c:pt>
                <c:pt idx="7">
                  <c:v>4026.432564</c:v>
                </c:pt>
                <c:pt idx="8">
                  <c:v>4028.93568</c:v>
                </c:pt>
                <c:pt idx="9">
                  <c:v>4028.93568</c:v>
                </c:pt>
              </c:numCache>
            </c:numRef>
          </c:val>
        </c:ser>
        <c:ser>
          <c:idx val="2"/>
          <c:order val="2"/>
          <c:tx>
            <c:strRef>
              <c:f>RESUMEN_EJECUTIVO!$B$45</c:f>
              <c:strCache>
                <c:ptCount val="1"/>
                <c:pt idx="0">
                  <c:v>ALTO — toneladas/año</c:v>
                </c:pt>
              </c:strCache>
            </c:strRef>
          </c:tx>
          <c:spPr>
            <a:solidFill>
              <a:srgbClr val="9bbb59"/>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RESUMEN_EJECUTIVO!$C$38:$L$38</c:f>
              <c:strCache>
                <c:ptCount val="10"/>
                <c:pt idx="0">
                  <c:v>1</c:v>
                </c:pt>
                <c:pt idx="1">
                  <c:v>2</c:v>
                </c:pt>
                <c:pt idx="2">
                  <c:v>3</c:v>
                </c:pt>
                <c:pt idx="3">
                  <c:v>4</c:v>
                </c:pt>
                <c:pt idx="4">
                  <c:v>5</c:v>
                </c:pt>
                <c:pt idx="5">
                  <c:v>6</c:v>
                </c:pt>
                <c:pt idx="6">
                  <c:v>7</c:v>
                </c:pt>
                <c:pt idx="7">
                  <c:v>8</c:v>
                </c:pt>
                <c:pt idx="8">
                  <c:v>9</c:v>
                </c:pt>
                <c:pt idx="9">
                  <c:v>10</c:v>
                </c:pt>
              </c:strCache>
            </c:strRef>
          </c:cat>
          <c:val>
            <c:numRef>
              <c:f>RESUMEN_EJECUTIVO!$C$45:$L$45</c:f>
              <c:numCache>
                <c:formatCode>#,##0</c:formatCode>
                <c:ptCount val="10"/>
                <c:pt idx="0">
                  <c:v>576.63</c:v>
                </c:pt>
                <c:pt idx="1">
                  <c:v>1091.06</c:v>
                </c:pt>
                <c:pt idx="2">
                  <c:v>1488.18</c:v>
                </c:pt>
                <c:pt idx="3">
                  <c:v>2101.58</c:v>
                </c:pt>
                <c:pt idx="4">
                  <c:v>2701.81</c:v>
                </c:pt>
                <c:pt idx="5">
                  <c:v>3734.2</c:v>
                </c:pt>
                <c:pt idx="6">
                  <c:v>4636.57</c:v>
                </c:pt>
                <c:pt idx="7">
                  <c:v>4796.35</c:v>
                </c:pt>
                <c:pt idx="8">
                  <c:v>4796.35</c:v>
                </c:pt>
                <c:pt idx="9">
                  <c:v>4796.35</c:v>
                </c:pt>
              </c:numCache>
            </c:numRef>
          </c:val>
        </c:ser>
        <c:gapWidth val="219"/>
        <c:overlap val="-27"/>
        <c:axId val="4896354"/>
        <c:axId val="21772652"/>
      </c:barChart>
      <c:catAx>
        <c:axId val="4896354"/>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21772652"/>
        <c:crosses val="autoZero"/>
        <c:auto val="1"/>
        <c:lblAlgn val="ctr"/>
        <c:lblOffset val="100"/>
        <c:noMultiLvlLbl val="0"/>
      </c:catAx>
      <c:valAx>
        <c:axId val="21772652"/>
        <c:scaling>
          <c:orientation val="minMax"/>
        </c:scaling>
        <c:delete val="0"/>
        <c:axPos val="l"/>
        <c:majorGridlines>
          <c:spPr>
            <a:ln w="9360">
              <a:solidFill>
                <a:srgbClr val="d9d9d9"/>
              </a:solidFill>
              <a:round/>
            </a:ln>
          </c:spPr>
        </c:majorGridlines>
        <c:numFmt formatCode="#,##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4896354"/>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VPN a 120 meses por configuración — el flagship resta en los 3 escenarios</a:t>
            </a:r>
          </a:p>
        </c:rich>
      </c:tx>
      <c:overlay val="0"/>
      <c:spPr>
        <a:noFill/>
        <a:ln w="0">
          <a:noFill/>
        </a:ln>
      </c:spPr>
    </c:title>
    <c:autoTitleDeleted val="0"/>
    <c:plotArea>
      <c:barChart>
        <c:barDir val="col"/>
        <c:grouping val="clustered"/>
        <c:varyColors val="0"/>
        <c:ser>
          <c:idx val="0"/>
          <c:order val="0"/>
          <c:tx>
            <c:strRef>
              <c:f>RESUMEN_EJECUTIVO!$C$134</c:f>
              <c:strCache>
                <c:ptCount val="1"/>
                <c:pt idx="0">
                  <c:v>BÁSICO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RESUMEN_EJECUTIVO!$B$135:$B$138</c:f>
              <c:strCache>
                <c:ptCount val="4"/>
                <c:pt idx="0">
                  <c:v>Solo piloto</c:v>
                </c:pt>
                <c:pt idx="1">
                  <c:v>+ Expansión</c:v>
                </c:pt>
                <c:pt idx="2">
                  <c:v>+ Retail</c:v>
                </c:pt>
                <c:pt idx="3">
                  <c:v>+ Flagship (completo)</c:v>
                </c:pt>
              </c:strCache>
            </c:strRef>
          </c:cat>
          <c:val>
            <c:numRef>
              <c:f>RESUMEN_EJECUTIVO!$C$135:$C$138</c:f>
              <c:numCache>
                <c:formatCode>\$#,##0;"($"#,##0\)</c:formatCode>
                <c:ptCount val="4"/>
                <c:pt idx="0">
                  <c:v>62314</c:v>
                </c:pt>
                <c:pt idx="1">
                  <c:v>-276534</c:v>
                </c:pt>
                <c:pt idx="2">
                  <c:v>-186894</c:v>
                </c:pt>
                <c:pt idx="3">
                  <c:v>-714461</c:v>
                </c:pt>
              </c:numCache>
            </c:numRef>
          </c:val>
        </c:ser>
        <c:ser>
          <c:idx val="1"/>
          <c:order val="1"/>
          <c:tx>
            <c:strRef>
              <c:f>RESUMEN_EJECUTIVO!$D$134</c:f>
              <c:strCache>
                <c:ptCount val="1"/>
                <c:pt idx="0">
                  <c:v>MEDIO</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RESUMEN_EJECUTIVO!$B$135:$B$138</c:f>
              <c:strCache>
                <c:ptCount val="4"/>
                <c:pt idx="0">
                  <c:v>Solo piloto</c:v>
                </c:pt>
                <c:pt idx="1">
                  <c:v>+ Expansión</c:v>
                </c:pt>
                <c:pt idx="2">
                  <c:v>+ Retail</c:v>
                </c:pt>
                <c:pt idx="3">
                  <c:v>+ Flagship (completo)</c:v>
                </c:pt>
              </c:strCache>
            </c:strRef>
          </c:cat>
          <c:val>
            <c:numRef>
              <c:f>RESUMEN_EJECUTIVO!$D$135:$D$138</c:f>
              <c:numCache>
                <c:formatCode>\$#,##0;"($"#,##0\)</c:formatCode>
                <c:ptCount val="4"/>
                <c:pt idx="0">
                  <c:v>826515</c:v>
                </c:pt>
                <c:pt idx="1">
                  <c:v>1374513</c:v>
                </c:pt>
                <c:pt idx="2">
                  <c:v>1470941</c:v>
                </c:pt>
                <c:pt idx="3">
                  <c:v>1108875</c:v>
                </c:pt>
              </c:numCache>
            </c:numRef>
          </c:val>
        </c:ser>
        <c:ser>
          <c:idx val="2"/>
          <c:order val="2"/>
          <c:tx>
            <c:strRef>
              <c:f>RESUMEN_EJECUTIVO!$E$134</c:f>
              <c:strCache>
                <c:ptCount val="1"/>
                <c:pt idx="0">
                  <c:v>ALTO</c:v>
                </c:pt>
              </c:strCache>
            </c:strRef>
          </c:tx>
          <c:spPr>
            <a:solidFill>
              <a:srgbClr val="9bbb59"/>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RESUMEN_EJECUTIVO!$B$135:$B$138</c:f>
              <c:strCache>
                <c:ptCount val="4"/>
                <c:pt idx="0">
                  <c:v>Solo piloto</c:v>
                </c:pt>
                <c:pt idx="1">
                  <c:v>+ Expansión</c:v>
                </c:pt>
                <c:pt idx="2">
                  <c:v>+ Retail</c:v>
                </c:pt>
                <c:pt idx="3">
                  <c:v>+ Flagship (completo)</c:v>
                </c:pt>
              </c:strCache>
            </c:strRef>
          </c:cat>
          <c:val>
            <c:numRef>
              <c:f>RESUMEN_EJECUTIVO!$E$135:$E$138</c:f>
              <c:numCache>
                <c:formatCode>\$#,##0;"($"#,##0\)</c:formatCode>
                <c:ptCount val="4"/>
                <c:pt idx="0">
                  <c:v>1591511</c:v>
                </c:pt>
                <c:pt idx="1">
                  <c:v>3151515</c:v>
                </c:pt>
                <c:pt idx="2">
                  <c:v>3190528</c:v>
                </c:pt>
                <c:pt idx="3">
                  <c:v>3249994</c:v>
                </c:pt>
              </c:numCache>
            </c:numRef>
          </c:val>
        </c:ser>
        <c:gapWidth val="219"/>
        <c:overlap val="-27"/>
        <c:axId val="22639307"/>
        <c:axId val="7305864"/>
      </c:barChart>
      <c:catAx>
        <c:axId val="22639307"/>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7305864"/>
        <c:crosses val="autoZero"/>
        <c:auto val="1"/>
        <c:lblAlgn val="ctr"/>
        <c:lblOffset val="100"/>
        <c:noMultiLvlLbl val="0"/>
      </c:catAx>
      <c:valAx>
        <c:axId val="7305864"/>
        <c:scaling>
          <c:orientation val="minMax"/>
        </c:scaling>
        <c:delete val="0"/>
        <c:axPos val="l"/>
        <c:majorGridlines>
          <c:spPr>
            <a:ln w="9360">
              <a:solidFill>
                <a:srgbClr val="d9d9d9"/>
              </a:solidFill>
              <a:round/>
            </a:ln>
          </c:spPr>
        </c:majorGridlines>
        <c:numFmt formatCode="\$#,##0;&quot;($&quot;#,##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22639307"/>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¿Quién pone la plata? Cheque de socios vs caja del negocio (USD)</a:t>
            </a:r>
          </a:p>
        </c:rich>
      </c:tx>
      <c:overlay val="0"/>
      <c:spPr>
        <a:noFill/>
        <a:ln w="0">
          <a:noFill/>
        </a:ln>
      </c:spPr>
    </c:title>
    <c:autoTitleDeleted val="0"/>
    <c:plotArea>
      <c:barChart>
        <c:barDir val="col"/>
        <c:grouping val="stacked"/>
        <c:varyColors val="0"/>
        <c:ser>
          <c:idx val="0"/>
          <c:order val="0"/>
          <c:tx>
            <c:strRef>
              <c:f>RESUMEN_EJECUTIVO!$B$180</c:f>
              <c:strCache>
                <c:ptCount val="1"/>
                <c:pt idx="0">
                  <c:v>Lo que ponen los SOCIOS (cheque inicial)</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RESUMEN_EJECUTIVO!$C$179:$E$179</c:f>
              <c:strCache>
                <c:ptCount val="3"/>
                <c:pt idx="0">
                  <c:v>BÁSICO</c:v>
                </c:pt>
                <c:pt idx="1">
                  <c:v>MEDIO ◀ activo</c:v>
                </c:pt>
                <c:pt idx="2">
                  <c:v>ALTO</c:v>
                </c:pt>
              </c:strCache>
            </c:strRef>
          </c:cat>
          <c:val>
            <c:numRef>
              <c:f>RESUMEN_EJECUTIVO!$C$180:$E$180</c:f>
              <c:numCache>
                <c:formatCode>\$#,##0;"($"#,##0\);\-</c:formatCode>
                <c:ptCount val="3"/>
                <c:pt idx="0">
                  <c:v>2102899.73</c:v>
                </c:pt>
                <c:pt idx="1">
                  <c:v>2114490.23475</c:v>
                </c:pt>
                <c:pt idx="2">
                  <c:v>2136375.23</c:v>
                </c:pt>
              </c:numCache>
            </c:numRef>
          </c:val>
        </c:ser>
        <c:ser>
          <c:idx val="1"/>
          <c:order val="1"/>
          <c:tx>
            <c:strRef>
              <c:f>RESUMEN_EJECUTIVO!$B$181</c:f>
              <c:strCache>
                <c:ptCount val="1"/>
                <c:pt idx="0">
                  <c:v>Lo que el NEGOCIO genera y reinvierte solo (waterfall)</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ct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RESUMEN_EJECUTIVO!$C$179:$E$179</c:f>
              <c:strCache>
                <c:ptCount val="3"/>
                <c:pt idx="0">
                  <c:v>BÁSICO</c:v>
                </c:pt>
                <c:pt idx="1">
                  <c:v>MEDIO ◀ activo</c:v>
                </c:pt>
                <c:pt idx="2">
                  <c:v>ALTO</c:v>
                </c:pt>
              </c:strCache>
            </c:strRef>
          </c:cat>
          <c:val>
            <c:numRef>
              <c:f>RESUMEN_EJECUTIVO!$C$181:$E$181</c:f>
              <c:numCache>
                <c:formatCode>\$#,##0;"($"#,##0\);\-</c:formatCode>
                <c:ptCount val="3"/>
                <c:pt idx="0">
                  <c:v>6484006.02</c:v>
                </c:pt>
                <c:pt idx="1">
                  <c:v>7073767.91475</c:v>
                </c:pt>
                <c:pt idx="2">
                  <c:v>7104095.41</c:v>
                </c:pt>
              </c:numCache>
            </c:numRef>
          </c:val>
        </c:ser>
        <c:gapWidth val="150"/>
        <c:overlap val="100"/>
        <c:axId val="10641643"/>
        <c:axId val="62264515"/>
      </c:barChart>
      <c:catAx>
        <c:axId val="10641643"/>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62264515"/>
        <c:crosses val="autoZero"/>
        <c:auto val="1"/>
        <c:lblAlgn val="ctr"/>
        <c:lblOffset val="100"/>
        <c:noMultiLvlLbl val="0"/>
      </c:catAx>
      <c:valAx>
        <c:axId val="62264515"/>
        <c:scaling>
          <c:orientation val="minMax"/>
        </c:scaling>
        <c:delete val="0"/>
        <c:axPos val="l"/>
        <c:majorGridlines>
          <c:spPr>
            <a:ln w="9360">
              <a:solidFill>
                <a:srgbClr val="d9d9d9"/>
              </a:solidFill>
              <a:round/>
            </a:ln>
          </c:spPr>
        </c:majorGridlines>
        <c:numFmt formatCode="\$#,##0;&quot;($&quot;#,##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10641643"/>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Ingresos anuales en equilibrio (USD)</a:t>
            </a:r>
          </a:p>
        </c:rich>
      </c:tx>
      <c:overlay val="0"/>
      <c:spPr>
        <a:noFill/>
        <a:ln w="0">
          <a:noFill/>
        </a:ln>
      </c:spPr>
    </c:title>
    <c:autoTitleDeleted val="0"/>
    <c:plotArea>
      <c:barChart>
        <c:barDir val="col"/>
        <c:grouping val="clustered"/>
        <c:varyColors val="0"/>
        <c:ser>
          <c:idx val="0"/>
          <c:order val="0"/>
          <c:tx>
            <c:strRef>
              <c:f>PUNTO_EQUILIBRIO!$B$34</c:f>
              <c:strCache>
                <c:ptCount val="1"/>
                <c:pt idx="0">
                  <c:v>Ingresos del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PUNTO_EQUILIBRIO!$C$32:$L$32</c:f>
              <c:strCache>
                <c:ptCount val="10"/>
                <c:pt idx="0">
                  <c:v>1</c:v>
                </c:pt>
                <c:pt idx="1">
                  <c:v>2</c:v>
                </c:pt>
                <c:pt idx="2">
                  <c:v>3</c:v>
                </c:pt>
                <c:pt idx="3">
                  <c:v>4</c:v>
                </c:pt>
                <c:pt idx="4">
                  <c:v>5</c:v>
                </c:pt>
                <c:pt idx="5">
                  <c:v>6</c:v>
                </c:pt>
                <c:pt idx="6">
                  <c:v>7</c:v>
                </c:pt>
                <c:pt idx="7">
                  <c:v>8</c:v>
                </c:pt>
                <c:pt idx="8">
                  <c:v>9</c:v>
                </c:pt>
                <c:pt idx="9">
                  <c:v>10</c:v>
                </c:pt>
              </c:strCache>
            </c:strRef>
          </c:cat>
          <c:val>
            <c:numRef>
              <c:f>PUNTO_EQUILIBRIO!$C$34:$L$34</c:f>
              <c:numCache>
                <c:formatCode>\$#,##0;"($"#,##0\);\-</c:formatCode>
                <c:ptCount val="10"/>
                <c:pt idx="0">
                  <c:v>3233197</c:v>
                </c:pt>
                <c:pt idx="1">
                  <c:v>6360463</c:v>
                </c:pt>
                <c:pt idx="2">
                  <c:v>8075521</c:v>
                </c:pt>
                <c:pt idx="3">
                  <c:v>9674373</c:v>
                </c:pt>
                <c:pt idx="4">
                  <c:v>12837819</c:v>
                </c:pt>
                <c:pt idx="5">
                  <c:v>15676002</c:v>
                </c:pt>
                <c:pt idx="6">
                  <c:v>19000919</c:v>
                </c:pt>
                <c:pt idx="7">
                  <c:v>23686385</c:v>
                </c:pt>
                <c:pt idx="8">
                  <c:v>26876532</c:v>
                </c:pt>
                <c:pt idx="9">
                  <c:v>26893240</c:v>
                </c:pt>
              </c:numCache>
            </c:numRef>
          </c:val>
        </c:ser>
        <c:gapWidth val="219"/>
        <c:overlap val="-27"/>
        <c:axId val="44224060"/>
        <c:axId val="89847844"/>
      </c:barChart>
      <c:catAx>
        <c:axId val="44224060"/>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89847844"/>
        <c:crosses val="autoZero"/>
        <c:auto val="1"/>
        <c:lblAlgn val="ctr"/>
        <c:lblOffset val="100"/>
        <c:noMultiLvlLbl val="0"/>
      </c:catAx>
      <c:valAx>
        <c:axId val="89847844"/>
        <c:scaling>
          <c:orientation val="minMax"/>
        </c:scaling>
        <c:delete val="0"/>
        <c:axPos val="l"/>
        <c:majorGridlines>
          <c:spPr>
            <a:ln w="9360">
              <a:solidFill>
                <a:srgbClr val="d9d9d9"/>
              </a:solidFill>
              <a:round/>
            </a:ln>
          </c:spPr>
        </c:majorGridlines>
        <c:numFmt formatCode="\$#,##0;&quot;($&quot;#,##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4422406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Flujo de caja en equilibrio: FCF anual y acumulado</a:t>
            </a:r>
          </a:p>
        </c:rich>
      </c:tx>
      <c:overlay val="0"/>
      <c:spPr>
        <a:noFill/>
        <a:ln w="0">
          <a:noFill/>
        </a:ln>
      </c:spPr>
    </c:title>
    <c:autoTitleDeleted val="0"/>
    <c:plotArea>
      <c:barChart>
        <c:barDir val="col"/>
        <c:grouping val="clustered"/>
        <c:varyColors val="0"/>
        <c:ser>
          <c:idx val="0"/>
          <c:order val="0"/>
          <c:tx>
            <c:strRef>
              <c:f>PUNTO_EQUILIBRIO!$B$37</c:f>
              <c:strCache>
                <c:ptCount val="1"/>
                <c:pt idx="0">
                  <c:v>Flujo de caja libre (FCF) del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PUNTO_EQUILIBRIO!$C$32:$L$32</c:f>
              <c:strCache>
                <c:ptCount val="10"/>
                <c:pt idx="0">
                  <c:v>1</c:v>
                </c:pt>
                <c:pt idx="1">
                  <c:v>2</c:v>
                </c:pt>
                <c:pt idx="2">
                  <c:v>3</c:v>
                </c:pt>
                <c:pt idx="3">
                  <c:v>4</c:v>
                </c:pt>
                <c:pt idx="4">
                  <c:v>5</c:v>
                </c:pt>
                <c:pt idx="5">
                  <c:v>6</c:v>
                </c:pt>
                <c:pt idx="6">
                  <c:v>7</c:v>
                </c:pt>
                <c:pt idx="7">
                  <c:v>8</c:v>
                </c:pt>
                <c:pt idx="8">
                  <c:v>9</c:v>
                </c:pt>
                <c:pt idx="9">
                  <c:v>10</c:v>
                </c:pt>
              </c:strCache>
            </c:strRef>
          </c:cat>
          <c:val>
            <c:numRef>
              <c:f>PUNTO_EQUILIBRIO!$C$37:$L$37</c:f>
              <c:numCache>
                <c:formatCode>\$#,##0;"($"#,##0\);\-</c:formatCode>
                <c:ptCount val="10"/>
                <c:pt idx="0">
                  <c:v>-1943555</c:v>
                </c:pt>
                <c:pt idx="1">
                  <c:v>213266</c:v>
                </c:pt>
                <c:pt idx="2">
                  <c:v>118489</c:v>
                </c:pt>
                <c:pt idx="3">
                  <c:v>189271</c:v>
                </c:pt>
                <c:pt idx="4">
                  <c:v>249655</c:v>
                </c:pt>
                <c:pt idx="5">
                  <c:v>225346</c:v>
                </c:pt>
                <c:pt idx="6">
                  <c:v>324288</c:v>
                </c:pt>
                <c:pt idx="7">
                  <c:v>1039568</c:v>
                </c:pt>
                <c:pt idx="8">
                  <c:v>2525301</c:v>
                </c:pt>
                <c:pt idx="9">
                  <c:v>2527420</c:v>
                </c:pt>
              </c:numCache>
            </c:numRef>
          </c:val>
        </c:ser>
        <c:gapWidth val="219"/>
        <c:overlap val="-27"/>
        <c:axId val="65401312"/>
        <c:axId val="12557052"/>
      </c:barChart>
      <c:lineChart>
        <c:grouping val="standard"/>
        <c:varyColors val="0"/>
        <c:ser>
          <c:idx val="1"/>
          <c:order val="1"/>
          <c:tx>
            <c:strRef>
              <c:f>PUNTO_EQUILIBRIO!$B$38</c:f>
              <c:strCache>
                <c:ptCount val="1"/>
                <c:pt idx="0">
                  <c:v>FCF acumulado</c:v>
                </c:pt>
              </c:strCache>
            </c:strRef>
          </c:tx>
          <c:spPr>
            <a:solidFill>
              <a:srgbClr val="c0504d"/>
            </a:solidFill>
            <a:ln cap="rnd" w="28440">
              <a:solidFill>
                <a:srgbClr val="c0504d"/>
              </a:solidFill>
              <a:round/>
            </a:ln>
          </c:spPr>
          <c:marker>
            <c:symbol val="circle"/>
            <c:size val="5"/>
            <c:spPr>
              <a:solidFill>
                <a:srgbClr val="c0504d"/>
              </a:solidFill>
            </c:spPr>
          </c:marker>
          <c:dLbls>
            <c:txPr>
              <a:bodyPr wrap="square"/>
              <a:lstStyle/>
              <a:p>
                <a:pPr>
                  <a:defRPr b="0" sz="1000" spc="-1" strike="noStrike">
                    <a:solidFill>
                      <a:srgbClr val="000000"/>
                    </a:solidFill>
                    <a:latin typeface="Calibri"/>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PUNTO_EQUILIBRIO!$C$32:$L$32</c:f>
              <c:strCache>
                <c:ptCount val="10"/>
                <c:pt idx="0">
                  <c:v>1</c:v>
                </c:pt>
                <c:pt idx="1">
                  <c:v>2</c:v>
                </c:pt>
                <c:pt idx="2">
                  <c:v>3</c:v>
                </c:pt>
                <c:pt idx="3">
                  <c:v>4</c:v>
                </c:pt>
                <c:pt idx="4">
                  <c:v>5</c:v>
                </c:pt>
                <c:pt idx="5">
                  <c:v>6</c:v>
                </c:pt>
                <c:pt idx="6">
                  <c:v>7</c:v>
                </c:pt>
                <c:pt idx="7">
                  <c:v>8</c:v>
                </c:pt>
                <c:pt idx="8">
                  <c:v>9</c:v>
                </c:pt>
                <c:pt idx="9">
                  <c:v>10</c:v>
                </c:pt>
              </c:strCache>
            </c:strRef>
          </c:cat>
          <c:val>
            <c:numRef>
              <c:f>PUNTO_EQUILIBRIO!$C$38:$L$38</c:f>
              <c:numCache>
                <c:formatCode>\$#,##0;"($"#,##0\);\-</c:formatCode>
                <c:ptCount val="10"/>
                <c:pt idx="0">
                  <c:v>-1943555</c:v>
                </c:pt>
                <c:pt idx="1">
                  <c:v>-1730289</c:v>
                </c:pt>
                <c:pt idx="2">
                  <c:v>-1611800</c:v>
                </c:pt>
                <c:pt idx="3">
                  <c:v>-1422529</c:v>
                </c:pt>
                <c:pt idx="4">
                  <c:v>-1172874</c:v>
                </c:pt>
                <c:pt idx="5">
                  <c:v>-947528</c:v>
                </c:pt>
                <c:pt idx="6">
                  <c:v>-623240</c:v>
                </c:pt>
                <c:pt idx="7">
                  <c:v>416328</c:v>
                </c:pt>
                <c:pt idx="8">
                  <c:v>2941629</c:v>
                </c:pt>
                <c:pt idx="9">
                  <c:v>5469049</c:v>
                </c:pt>
              </c:numCache>
            </c:numRef>
          </c:val>
          <c:smooth val="0"/>
        </c:ser>
        <c:hiLowLines>
          <c:spPr>
            <a:ln w="0">
              <a:noFill/>
            </a:ln>
          </c:spPr>
        </c:hiLowLines>
        <c:marker val="1"/>
        <c:axId val="65401312"/>
        <c:axId val="12557052"/>
      </c:lineChart>
      <c:catAx>
        <c:axId val="65401312"/>
        <c:scaling>
          <c:orientation val="minMax"/>
        </c:scaling>
        <c:delete val="0"/>
        <c:axPos val="b"/>
        <c:numFmt formatCode="General"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12557052"/>
        <c:crosses val="autoZero"/>
        <c:auto val="1"/>
        <c:lblAlgn val="ctr"/>
        <c:lblOffset val="100"/>
        <c:noMultiLvlLbl val="0"/>
      </c:catAx>
      <c:valAx>
        <c:axId val="12557052"/>
        <c:scaling>
          <c:orientation val="minMax"/>
        </c:scaling>
        <c:delete val="0"/>
        <c:axPos val="l"/>
        <c:majorGridlines>
          <c:spPr>
            <a:ln w="9360">
              <a:solidFill>
                <a:srgbClr val="d9d9d9"/>
              </a:solidFill>
              <a:round/>
            </a:ln>
          </c:spPr>
        </c:majorGridlines>
        <c:numFmt formatCode="\$#,##0;&quot;($&quot;#,##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65401312"/>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Ingresos y EBITDA anuales (USD)</a:t>
            </a:r>
          </a:p>
        </c:rich>
      </c:tx>
      <c:overlay val="0"/>
      <c:spPr>
        <a:noFill/>
        <a:ln w="0">
          <a:noFill/>
        </a:ln>
      </c:spPr>
    </c:title>
    <c:autoTitleDeleted val="0"/>
    <c:plotArea>
      <c:barChart>
        <c:barDir val="col"/>
        <c:grouping val="clustered"/>
        <c:varyColors val="0"/>
        <c:ser>
          <c:idx val="0"/>
          <c:order val="0"/>
          <c:tx>
            <c:strRef>
              <c:f>CAPA3_DASHBOARD!$B$18</c:f>
              <c:strCache>
                <c:ptCount val="1"/>
                <c:pt idx="0">
                  <c:v>Ingresos (USD)</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CAPA3_DASHBOARD!$C$16:$L$16</c:f>
              <c:strCache>
                <c:ptCount val="10"/>
                <c:pt idx="0">
                  <c:v>1</c:v>
                </c:pt>
                <c:pt idx="1">
                  <c:v>2</c:v>
                </c:pt>
                <c:pt idx="2">
                  <c:v>3</c:v>
                </c:pt>
                <c:pt idx="3">
                  <c:v>4</c:v>
                </c:pt>
                <c:pt idx="4">
                  <c:v>5</c:v>
                </c:pt>
                <c:pt idx="5">
                  <c:v>6</c:v>
                </c:pt>
                <c:pt idx="6">
                  <c:v>7</c:v>
                </c:pt>
                <c:pt idx="7">
                  <c:v>8</c:v>
                </c:pt>
                <c:pt idx="8">
                  <c:v>9</c:v>
                </c:pt>
                <c:pt idx="9">
                  <c:v>10</c:v>
                </c:pt>
              </c:strCache>
            </c:strRef>
          </c:cat>
          <c:val>
            <c:numRef>
              <c:f>CAPA3_DASHBOARD!$C$18:$L$18</c:f>
              <c:numCache>
                <c:formatCode>\$#,##0</c:formatCode>
                <c:ptCount val="10"/>
                <c:pt idx="0">
                  <c:v>3793983.73411251</c:v>
                </c:pt>
                <c:pt idx="1">
                  <c:v>7754067.90783279</c:v>
                </c:pt>
                <c:pt idx="2">
                  <c:v>9570389.78524098</c:v>
                </c:pt>
                <c:pt idx="3">
                  <c:v>13297993.0528187</c:v>
                </c:pt>
                <c:pt idx="4">
                  <c:v>16431011.0277901</c:v>
                </c:pt>
                <c:pt idx="5">
                  <c:v>21300017.4338961</c:v>
                </c:pt>
                <c:pt idx="6">
                  <c:v>27742354.6159673</c:v>
                </c:pt>
                <c:pt idx="7">
                  <c:v>31538174.4113118</c:v>
                </c:pt>
                <c:pt idx="8">
                  <c:v>31557780.7769282</c:v>
                </c:pt>
                <c:pt idx="9">
                  <c:v>31557780.7769282</c:v>
                </c:pt>
              </c:numCache>
            </c:numRef>
          </c:val>
        </c:ser>
        <c:ser>
          <c:idx val="1"/>
          <c:order val="1"/>
          <c:tx>
            <c:strRef>
              <c:f>CAPA3_DASHBOARD!$B$19</c:f>
              <c:strCache>
                <c:ptCount val="1"/>
                <c:pt idx="0">
                  <c:v>EBITDA (USD)</c:v>
                </c:pt>
              </c:strCache>
            </c:strRef>
          </c:tx>
          <c:spPr>
            <a:solidFill>
              <a:srgbClr val="c0504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CAPA3_DASHBOARD!$C$16:$L$16</c:f>
              <c:strCache>
                <c:ptCount val="10"/>
                <c:pt idx="0">
                  <c:v>1</c:v>
                </c:pt>
                <c:pt idx="1">
                  <c:v>2</c:v>
                </c:pt>
                <c:pt idx="2">
                  <c:v>3</c:v>
                </c:pt>
                <c:pt idx="3">
                  <c:v>4</c:v>
                </c:pt>
                <c:pt idx="4">
                  <c:v>5</c:v>
                </c:pt>
                <c:pt idx="5">
                  <c:v>6</c:v>
                </c:pt>
                <c:pt idx="6">
                  <c:v>7</c:v>
                </c:pt>
                <c:pt idx="7">
                  <c:v>8</c:v>
                </c:pt>
                <c:pt idx="8">
                  <c:v>9</c:v>
                </c:pt>
                <c:pt idx="9">
                  <c:v>10</c:v>
                </c:pt>
              </c:strCache>
            </c:strRef>
          </c:cat>
          <c:val>
            <c:numRef>
              <c:f>CAPA3_DASHBOARD!$C$19:$L$19</c:f>
              <c:numCache>
                <c:formatCode>\$#,##0</c:formatCode>
                <c:ptCount val="10"/>
                <c:pt idx="0">
                  <c:v>335788.332705445</c:v>
                </c:pt>
                <c:pt idx="1">
                  <c:v>975841.480904235</c:v>
                </c:pt>
                <c:pt idx="2">
                  <c:v>1254996.75668088</c:v>
                </c:pt>
                <c:pt idx="3">
                  <c:v>1865534.8867512</c:v>
                </c:pt>
                <c:pt idx="4">
                  <c:v>2281777.69579014</c:v>
                </c:pt>
                <c:pt idx="5">
                  <c:v>2982586.36989393</c:v>
                </c:pt>
                <c:pt idx="6">
                  <c:v>3988429.15906794</c:v>
                </c:pt>
                <c:pt idx="7">
                  <c:v>4497980.42326709</c:v>
                </c:pt>
                <c:pt idx="8">
                  <c:v>4503881.38150039</c:v>
                </c:pt>
                <c:pt idx="9">
                  <c:v>4503881.38150039</c:v>
                </c:pt>
              </c:numCache>
            </c:numRef>
          </c:val>
        </c:ser>
        <c:gapWidth val="219"/>
        <c:overlap val="-27"/>
        <c:axId val="80735357"/>
        <c:axId val="52558721"/>
      </c:barChart>
      <c:catAx>
        <c:axId val="80735357"/>
        <c:scaling>
          <c:orientation val="minMax"/>
        </c:scaling>
        <c:delete val="0"/>
        <c:axPos val="b"/>
        <c:numFmt formatCode="#,##0"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52558721"/>
        <c:crosses val="autoZero"/>
        <c:auto val="1"/>
        <c:lblAlgn val="ctr"/>
        <c:lblOffset val="100"/>
        <c:noMultiLvlLbl val="0"/>
      </c:catAx>
      <c:valAx>
        <c:axId val="52558721"/>
        <c:scaling>
          <c:orientation val="minMax"/>
        </c:scaling>
        <c:delete val="0"/>
        <c:axPos val="l"/>
        <c:majorGridlines>
          <c:spPr>
            <a:ln w="9360">
              <a:solidFill>
                <a:srgbClr val="d9d9d9"/>
              </a:solidFill>
              <a:round/>
            </a:ln>
          </c:spPr>
        </c:majorGridlines>
        <c:numFmt formatCode="\$#,##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80735357"/>
        <c:crosses val="autoZero"/>
        <c:crossBetween val="between"/>
      </c:valAx>
      <c:spPr>
        <a:noFill/>
        <a:ln w="0">
          <a:noFill/>
        </a:ln>
      </c:spPr>
    </c:plotArea>
    <c:legend>
      <c:legendPos val="b"/>
      <c:overlay val="0"/>
      <c:spPr>
        <a:noFill/>
        <a:ln w="0">
          <a:noFill/>
        </a:ln>
      </c:spPr>
      <c:txPr>
        <a:bodyPr/>
        <a:lstStyle/>
        <a:p>
          <a:pPr>
            <a:defRPr b="0" sz="900" spc="-1" strike="noStrike">
              <a:solidFill>
                <a:srgbClr val="595959"/>
              </a:solidFill>
              <a:latin typeface="Calibri"/>
            </a:defRPr>
          </a:pPr>
        </a:p>
      </c:txPr>
    </c:legend>
    <c:plotVisOnly val="1"/>
    <c:dispBlanksAs val="gap"/>
  </c:chart>
  <c:spPr>
    <a:solidFill>
      <a:srgbClr val="ffffff"/>
    </a:solidFill>
    <a:ln w="9360">
      <a:solidFill>
        <a:srgbClr val="d9d9d9"/>
      </a:solidFill>
      <a:round/>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PDV a fin de año</a:t>
            </a:r>
          </a:p>
        </c:rich>
      </c:tx>
      <c:overlay val="0"/>
      <c:spPr>
        <a:noFill/>
        <a:ln w="0">
          <a:noFill/>
        </a:ln>
      </c:spPr>
    </c:title>
    <c:autoTitleDeleted val="0"/>
    <c:plotArea>
      <c:barChart>
        <c:barDir val="col"/>
        <c:grouping val="clustered"/>
        <c:varyColors val="0"/>
        <c:ser>
          <c:idx val="0"/>
          <c:order val="0"/>
          <c:tx>
            <c:strRef>
              <c:f>CAPA3_DASHBOARD!$B$17</c:f>
              <c:strCache>
                <c:ptCount val="1"/>
                <c:pt idx="0">
                  <c:v>PDV a fin de año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CAPA3_DASHBOARD!$C$16:$L$16</c:f>
              <c:strCache>
                <c:ptCount val="10"/>
                <c:pt idx="0">
                  <c:v>1</c:v>
                </c:pt>
                <c:pt idx="1">
                  <c:v>2</c:v>
                </c:pt>
                <c:pt idx="2">
                  <c:v>3</c:v>
                </c:pt>
                <c:pt idx="3">
                  <c:v>4</c:v>
                </c:pt>
                <c:pt idx="4">
                  <c:v>5</c:v>
                </c:pt>
                <c:pt idx="5">
                  <c:v>6</c:v>
                </c:pt>
                <c:pt idx="6">
                  <c:v>7</c:v>
                </c:pt>
                <c:pt idx="7">
                  <c:v>8</c:v>
                </c:pt>
                <c:pt idx="8">
                  <c:v>9</c:v>
                </c:pt>
                <c:pt idx="9">
                  <c:v>10</c:v>
                </c:pt>
              </c:strCache>
            </c:strRef>
          </c:cat>
          <c:val>
            <c:numRef>
              <c:f>CAPA3_DASHBOARD!$C$17:$L$17</c:f>
              <c:numCache>
                <c:formatCode>#,##0</c:formatCode>
                <c:ptCount val="10"/>
                <c:pt idx="0">
                  <c:v>10</c:v>
                </c:pt>
                <c:pt idx="1">
                  <c:v>13</c:v>
                </c:pt>
                <c:pt idx="2">
                  <c:v>17</c:v>
                </c:pt>
                <c:pt idx="3">
                  <c:v>24</c:v>
                </c:pt>
                <c:pt idx="4">
                  <c:v>30</c:v>
                </c:pt>
                <c:pt idx="5">
                  <c:v>40</c:v>
                </c:pt>
                <c:pt idx="6">
                  <c:v>50</c:v>
                </c:pt>
                <c:pt idx="7">
                  <c:v>50</c:v>
                </c:pt>
                <c:pt idx="8">
                  <c:v>50</c:v>
                </c:pt>
                <c:pt idx="9">
                  <c:v>50</c:v>
                </c:pt>
              </c:numCache>
            </c:numRef>
          </c:val>
        </c:ser>
        <c:gapWidth val="219"/>
        <c:overlap val="-27"/>
        <c:axId val="40557243"/>
        <c:axId val="1187413"/>
      </c:barChart>
      <c:catAx>
        <c:axId val="40557243"/>
        <c:scaling>
          <c:orientation val="minMax"/>
        </c:scaling>
        <c:delete val="0"/>
        <c:axPos val="b"/>
        <c:numFmt formatCode="#,##0" sourceLinked="0"/>
        <c:majorTickMark val="none"/>
        <c:minorTickMark val="none"/>
        <c:tickLblPos val="nextTo"/>
        <c:spPr>
          <a:ln w="9360">
            <a:solidFill>
              <a:srgbClr val="d9d9d9"/>
            </a:solidFill>
            <a:round/>
          </a:ln>
        </c:spPr>
        <c:txPr>
          <a:bodyPr/>
          <a:lstStyle/>
          <a:p>
            <a:pPr>
              <a:defRPr b="0" sz="900" spc="-1" strike="noStrike">
                <a:solidFill>
                  <a:srgbClr val="595959"/>
                </a:solidFill>
                <a:latin typeface="Calibri"/>
              </a:defRPr>
            </a:pPr>
          </a:p>
        </c:txPr>
        <c:crossAx val="1187413"/>
        <c:crosses val="autoZero"/>
        <c:auto val="1"/>
        <c:lblAlgn val="ctr"/>
        <c:lblOffset val="100"/>
        <c:noMultiLvlLbl val="0"/>
      </c:catAx>
      <c:valAx>
        <c:axId val="1187413"/>
        <c:scaling>
          <c:orientation val="minMax"/>
        </c:scaling>
        <c:delete val="0"/>
        <c:axPos val="l"/>
        <c:majorGridlines>
          <c:spPr>
            <a:ln w="9360">
              <a:solidFill>
                <a:srgbClr val="d9d9d9"/>
              </a:solidFill>
              <a:round/>
            </a:ln>
          </c:spPr>
        </c:majorGridlines>
        <c:numFmt formatCode="#,##0" sourceLinked="0"/>
        <c:majorTickMark val="none"/>
        <c:minorTickMark val="none"/>
        <c:tickLblPos val="nextTo"/>
        <c:spPr>
          <a:ln w="9360">
            <a:noFill/>
          </a:ln>
        </c:spPr>
        <c:txPr>
          <a:bodyPr/>
          <a:lstStyle/>
          <a:p>
            <a:pPr>
              <a:defRPr b="0" sz="900" spc="-1" strike="noStrike">
                <a:solidFill>
                  <a:srgbClr val="595959"/>
                </a:solidFill>
                <a:latin typeface="Calibri"/>
              </a:defRPr>
            </a:pPr>
          </a:p>
        </c:txPr>
        <c:crossAx val="4055724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595959"/>
                </a:solidFill>
                <a:latin typeface="Calibri"/>
              </a:defRPr>
            </a:pPr>
            <a:r>
              <a:rPr b="0" lang="en-US" sz="1400" spc="-1" strike="noStrike">
                <a:solidFill>
                  <a:srgbClr val="595959"/>
                </a:solidFill>
                <a:latin typeface="Calibri"/>
              </a:rPr>
              <a:t>Toneladas de pollo promedio/mes</a:t>
            </a:r>
          </a:p>
        </c:rich>
      </c:tx>
      <c:overlay val="0"/>
      <c:spPr>
        <a:noFill/>
        <a:ln w="0">
          <a:noFill/>
        </a:ln>
      </c:spPr>
    </c:title>
    <c:autoTitleDeleted val="0"/>
    <c:plotArea>
      <c:areaChart>
        <c:grouping val="stacked"/>
        <c:ser>
          <c:idx val="0"/>
          <c:order val="0"/>
          <c:tx>
            <c:strRef>
              <c:f>CAPA3_DASHBOARD!$B$22</c:f>
              <c:strCache>
                <c:ptCount val="1"/>
                <c:pt idx="0">
                  <c:v>Toneladas promedio/mes</c:v>
                </c:pt>
              </c:strCache>
            </c:strRef>
          </c:tx>
          <c:spPr>
            <a:solidFill>
              <a:srgbClr val="4f81bd"/>
            </a:solidFill>
            <a:ln w="0">
              <a:noFill/>
            </a:ln>
          </c:spPr>
          <c:dLbls>
            <c:txPr>
              <a:bodyPr wrap="square"/>
              <a:lstStyle/>
              <a:p>
                <a:pPr>
                  <a:defRPr b="0" sz="1000" spc="-1" strike="noStrike">
                    <a:solidFill>
                      <a:srgbClr val="000000"/>
                    </a:solidFill>
                    <a:latin typeface="Calibri"/>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CAPA3_DASHBOARD!$C$16:$L$16</c:f>
              <c:strCache>
                <c:ptCount val="10"/>
                <c:pt idx="0">
                  <c:v>1</c:v>
                </c:pt>
                <c:pt idx="1">
                  <c:v>2</c:v>
                </c:pt>
                <c:pt idx="2">
                  <c:v>3</c:v>
                </c:pt>
                <c:pt idx="3">
                  <c:v>4</c:v>
                </c:pt>
                <c:pt idx="4">
                  <c:v>5</c:v>
                </c:pt>
                <c:pt idx="5">
                  <c:v>6</c:v>
                </c:pt>
                <c:pt idx="6">
                  <c:v>7</c:v>
                </c:pt>
                <c:pt idx="7">
                  <c:v>8</c:v>
                </c:pt>
                <c:pt idx="8">
                  <c:v>9</c:v>
                </c:pt>
                <c:pt idx="9">
                  <c:v>10</c:v>
                </c:pt>
              </c:strCache>
            </c:strRef>
          </c:cat>
          <c:val>
            <c:numRef>
              <c:f>CAPA3_DASHBOARD!$C$22:$L$22</c:f>
              <c:numCache>
                <c:formatCode>#,##0.00</c:formatCode>
                <c:ptCount val="10"/>
                <c:pt idx="0">
                  <c:v>40.3643625</c:v>
                </c:pt>
                <c:pt idx="1">
                  <c:v>82.495875</c:v>
                </c:pt>
                <c:pt idx="2">
                  <c:v>101.819804625</c:v>
                </c:pt>
                <c:pt idx="3">
                  <c:v>141.477942375</c:v>
                </c:pt>
                <c:pt idx="4">
                  <c:v>174.810260625</c:v>
                </c:pt>
                <c:pt idx="5">
                  <c:v>226.611837375</c:v>
                </c:pt>
                <c:pt idx="6">
                  <c:v>295.1521505625</c:v>
                </c:pt>
                <c:pt idx="7">
                  <c:v>335.536047</c:v>
                </c:pt>
                <c:pt idx="8">
                  <c:v>335.74464</c:v>
                </c:pt>
                <c:pt idx="9">
                  <c:v>335.74464</c:v>
                </c:pt>
              </c:numCache>
            </c:numRef>
          </c:val>
        </c:ser>
        <c:axId val="97202533"/>
        <c:axId val="93005947"/>
      </c:areaChart>
      <c:catAx>
        <c:axId val="97202533"/>
        <c:scaling>
          <c:orientation val="minMax"/>
        </c:scaling>
        <c:delete val="0"/>
        <c:axPos val="b"/>
        <c:numFmt formatCode="#,##0"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93005947"/>
        <c:crosses val="autoZero"/>
        <c:auto val="1"/>
        <c:lblAlgn val="ctr"/>
        <c:lblOffset val="100"/>
        <c:noMultiLvlLbl val="0"/>
      </c:catAx>
      <c:valAx>
        <c:axId val="93005947"/>
        <c:scaling>
          <c:orientation val="minMax"/>
        </c:scaling>
        <c:delete val="0"/>
        <c:axPos val="l"/>
        <c:majorGridlines>
          <c:spPr>
            <a:ln w="0">
              <a:solidFill>
                <a:srgbClr val="b3b3b3"/>
              </a:solidFill>
            </a:ln>
          </c:spPr>
        </c:majorGridlines>
        <c:numFmt formatCode="#,##0.00"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97202533"/>
        <c:crosses val="autoZero"/>
        <c:crossBetween val="midCat"/>
      </c:valAx>
      <c:spPr>
        <a:noFill/>
        <a:ln w="0">
          <a:noFill/>
        </a:ln>
      </c:spPr>
    </c:plotArea>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_rels/drawing2.xml.rels><?xml version="1.0" encoding="UTF-8"?>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
</Relationships>
</file>

<file path=xl/drawings/_rels/drawing3.xml.rels><?xml version="1.0" encoding="UTF-8"?>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Relationship Id="rId3" Type="http://schemas.openxmlformats.org/officeDocument/2006/relationships/chart" Target="../charts/chart9.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79</xdr:row>
      <xdr:rowOff>0</xdr:rowOff>
    </xdr:from>
    <xdr:to>
      <xdr:col>6</xdr:col>
      <xdr:colOff>1023480</xdr:colOff>
      <xdr:row>95</xdr:row>
      <xdr:rowOff>180000</xdr:rowOff>
    </xdr:to>
    <xdr:graphicFrame>
      <xdr:nvGraphicFramePr>
        <xdr:cNvPr id="0" name="Chart 1"/>
        <xdr:cNvGraphicFramePr/>
      </xdr:nvGraphicFramePr>
      <xdr:xfrm>
        <a:off x="211320" y="15096960"/>
        <a:ext cx="11231280" cy="32281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79</xdr:row>
      <xdr:rowOff>0</xdr:rowOff>
    </xdr:from>
    <xdr:to>
      <xdr:col>11</xdr:col>
      <xdr:colOff>1023480</xdr:colOff>
      <xdr:row>95</xdr:row>
      <xdr:rowOff>180000</xdr:rowOff>
    </xdr:to>
    <xdr:graphicFrame>
      <xdr:nvGraphicFramePr>
        <xdr:cNvPr id="1" name="Chart 2"/>
        <xdr:cNvGraphicFramePr/>
      </xdr:nvGraphicFramePr>
      <xdr:xfrm>
        <a:off x="11453040" y="15096960"/>
        <a:ext cx="5158440" cy="32281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139</xdr:row>
      <xdr:rowOff>0</xdr:rowOff>
    </xdr:from>
    <xdr:to>
      <xdr:col>7</xdr:col>
      <xdr:colOff>1023120</xdr:colOff>
      <xdr:row>157</xdr:row>
      <xdr:rowOff>180360</xdr:rowOff>
    </xdr:to>
    <xdr:graphicFrame>
      <xdr:nvGraphicFramePr>
        <xdr:cNvPr id="2" name="Chart 3"/>
        <xdr:cNvGraphicFramePr/>
      </xdr:nvGraphicFramePr>
      <xdr:xfrm>
        <a:off x="211320" y="26526960"/>
        <a:ext cx="12264840" cy="360936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0</xdr:colOff>
      <xdr:row>185</xdr:row>
      <xdr:rowOff>0</xdr:rowOff>
    </xdr:from>
    <xdr:to>
      <xdr:col>7</xdr:col>
      <xdr:colOff>1023120</xdr:colOff>
      <xdr:row>202</xdr:row>
      <xdr:rowOff>180000</xdr:rowOff>
    </xdr:to>
    <xdr:graphicFrame>
      <xdr:nvGraphicFramePr>
        <xdr:cNvPr id="3" name="Chart 4"/>
        <xdr:cNvGraphicFramePr/>
      </xdr:nvGraphicFramePr>
      <xdr:xfrm>
        <a:off x="211320" y="35290080"/>
        <a:ext cx="12264840" cy="341856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43</xdr:row>
      <xdr:rowOff>0</xdr:rowOff>
    </xdr:from>
    <xdr:to>
      <xdr:col>11</xdr:col>
      <xdr:colOff>952560</xdr:colOff>
      <xdr:row>59</xdr:row>
      <xdr:rowOff>180000</xdr:rowOff>
    </xdr:to>
    <xdr:graphicFrame>
      <xdr:nvGraphicFramePr>
        <xdr:cNvPr id="4" name="Chart 1"/>
        <xdr:cNvGraphicFramePr/>
      </xdr:nvGraphicFramePr>
      <xdr:xfrm>
        <a:off x="10210320" y="8238960"/>
        <a:ext cx="3842280" cy="32281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43</xdr:row>
      <xdr:rowOff>0</xdr:rowOff>
    </xdr:from>
    <xdr:to>
      <xdr:col>7</xdr:col>
      <xdr:colOff>127440</xdr:colOff>
      <xdr:row>59</xdr:row>
      <xdr:rowOff>180000</xdr:rowOff>
    </xdr:to>
    <xdr:graphicFrame>
      <xdr:nvGraphicFramePr>
        <xdr:cNvPr id="5" name="Chart 2"/>
        <xdr:cNvGraphicFramePr/>
      </xdr:nvGraphicFramePr>
      <xdr:xfrm>
        <a:off x="141120" y="8238960"/>
        <a:ext cx="9233280" cy="32281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6</xdr:col>
      <xdr:colOff>905760</xdr:colOff>
      <xdr:row>39</xdr:row>
      <xdr:rowOff>180000</xdr:rowOff>
    </xdr:to>
    <xdr:graphicFrame>
      <xdr:nvGraphicFramePr>
        <xdr:cNvPr id="6" name="Chart 1"/>
        <xdr:cNvGraphicFramePr/>
      </xdr:nvGraphicFramePr>
      <xdr:xfrm>
        <a:off x="281880" y="4381560"/>
        <a:ext cx="7390440" cy="32281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23</xdr:row>
      <xdr:rowOff>0</xdr:rowOff>
    </xdr:from>
    <xdr:to>
      <xdr:col>11</xdr:col>
      <xdr:colOff>906120</xdr:colOff>
      <xdr:row>39</xdr:row>
      <xdr:rowOff>180000</xdr:rowOff>
    </xdr:to>
    <xdr:graphicFrame>
      <xdr:nvGraphicFramePr>
        <xdr:cNvPr id="7" name="Chart 2"/>
        <xdr:cNvGraphicFramePr/>
      </xdr:nvGraphicFramePr>
      <xdr:xfrm>
        <a:off x="7682760" y="4381560"/>
        <a:ext cx="4571280" cy="32281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40</xdr:row>
      <xdr:rowOff>0</xdr:rowOff>
    </xdr:from>
    <xdr:to>
      <xdr:col>6</xdr:col>
      <xdr:colOff>905760</xdr:colOff>
      <xdr:row>56</xdr:row>
      <xdr:rowOff>180360</xdr:rowOff>
    </xdr:to>
    <xdr:graphicFrame>
      <xdr:nvGraphicFramePr>
        <xdr:cNvPr id="8" name="Chart 3"/>
        <xdr:cNvGraphicFramePr/>
      </xdr:nvGraphicFramePr>
      <xdr:xfrm>
        <a:off x="281880" y="7620120"/>
        <a:ext cx="7390440" cy="322812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stage2.xlsx" TargetMode="External"/><Relationship Id="rId2" Type="http://schemas.openxmlformats.org/officeDocument/2006/relationships/hyperlink" Target="stage2.xlsx" TargetMode="External"/><Relationship Id="rId3" Type="http://schemas.openxmlformats.org/officeDocument/2006/relationships/hyperlink" Target="stage2.xlsx"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2.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3.vml"/>
</Relationships>
</file>

<file path=xl/worksheets/_rels/sheet20.xml.rels><?xml version="1.0" encoding="UTF-8"?>
<Relationships xmlns="http://schemas.openxmlformats.org/package/2006/relationships"><Relationship Id="rId1" Type="http://schemas.openxmlformats.org/officeDocument/2006/relationships/comments" Target="../comments20.xml"/><Relationship Id="rId2" Type="http://schemas.openxmlformats.org/officeDocument/2006/relationships/vmlDrawing" Target="../drawings/vmlDrawing4.vml"/>
</Relationships>
</file>

<file path=xl/worksheets/_rels/sheet21.xml.rels><?xml version="1.0" encoding="UTF-8"?>
<Relationships xmlns="http://schemas.openxmlformats.org/package/2006/relationships"><Relationship Id="rId1" Type="http://schemas.openxmlformats.org/officeDocument/2006/relationships/comments" Target="../comments21.xml"/><Relationship Id="rId2" Type="http://schemas.openxmlformats.org/officeDocument/2006/relationships/vmlDrawing" Target="../drawings/vmlDrawing5.vml"/>
</Relationships>
</file>

<file path=xl/worksheets/_rels/sheet37.xml.rels><?xml version="1.0" encoding="UTF-8"?>
<Relationships xmlns="http://schemas.openxmlformats.org/package/2006/relationships"><Relationship Id="rId1" Type="http://schemas.openxmlformats.org/officeDocument/2006/relationships/comments" Target="../comments37.xml"/><Relationship Id="rId2" Type="http://schemas.openxmlformats.org/officeDocument/2006/relationships/vmlDrawing" Target="../drawings/vmlDrawing6.vml"/>
</Relationships>
</file>

<file path=xl/worksheets/_rels/sheet38.xml.rels><?xml version="1.0" encoding="UTF-8"?>
<Relationships xmlns="http://schemas.openxmlformats.org/package/2006/relationships"><Relationship Id="rId1" Type="http://schemas.openxmlformats.org/officeDocument/2006/relationships/comments" Target="../comments38.xml"/><Relationship Id="rId2" Type="http://schemas.openxmlformats.org/officeDocument/2006/relationships/vmlDrawing" Target="../drawings/vmlDrawing7.vml"/>
</Relationships>
</file>

<file path=xl/worksheets/_rels/sheet39.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5161A"/>
    <pageSetUpPr fitToPage="false"/>
  </sheetPr>
  <dimension ref="A2:G72"/>
  <sheetViews>
    <sheetView showFormulas="false" showGridLines="false" showRowColHeaders="true" showZeros="true" rightToLeft="false" tabSelected="false" showOutlineSymbols="true" defaultGridColor="true" view="normal" topLeftCell="A8" colorId="64" zoomScale="150" zoomScaleNormal="150" zoomScalePageLayoutView="100" workbookViewId="0">
      <selection pane="topLeft" activeCell="B14" activeCellId="0" sqref="B14"/>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22"/>
    <col collapsed="false" customWidth="true" hidden="false" outlineLevel="0" max="3" min="3" style="1" width="13.16"/>
    <col collapsed="false" customWidth="true" hidden="false" outlineLevel="0" max="7" min="4" style="1" width="13"/>
  </cols>
  <sheetData>
    <row r="2" customFormat="false" ht="25.5" hidden="false" customHeight="true" outlineLevel="0" collapsed="false">
      <c r="A2" s="2"/>
      <c r="B2" s="3" t="s">
        <v>0</v>
      </c>
      <c r="C2" s="3"/>
      <c r="D2" s="3"/>
      <c r="E2" s="3"/>
      <c r="F2" s="3"/>
      <c r="G2" s="3"/>
    </row>
    <row r="3" customFormat="false" ht="21.75" hidden="false" customHeight="true" outlineLevel="0" collapsed="false">
      <c r="A3" s="2"/>
      <c r="B3" s="4" t="s">
        <v>1</v>
      </c>
      <c r="C3" s="4"/>
      <c r="D3" s="4"/>
      <c r="E3" s="4"/>
      <c r="F3" s="4"/>
      <c r="G3" s="4"/>
    </row>
    <row r="5" customFormat="false" ht="19.5" hidden="false" customHeight="true" outlineLevel="0" collapsed="false">
      <c r="B5" s="5" t="s">
        <v>2</v>
      </c>
      <c r="C5" s="5"/>
      <c r="D5" s="5"/>
      <c r="E5" s="5"/>
      <c r="F5" s="5"/>
      <c r="G5" s="5"/>
    </row>
    <row r="6" customFormat="false" ht="15" hidden="false" customHeight="true" outlineLevel="0" collapsed="false">
      <c r="B6" s="6" t="s">
        <v>3</v>
      </c>
      <c r="C6" s="6"/>
      <c r="D6" s="6"/>
      <c r="E6" s="6"/>
      <c r="F6" s="6"/>
      <c r="G6" s="6"/>
    </row>
    <row r="7" customFormat="false" ht="25.5" hidden="false" customHeight="true" outlineLevel="0" collapsed="false">
      <c r="B7" s="7" t="s">
        <v>4</v>
      </c>
      <c r="C7" s="8" t="s">
        <v>5</v>
      </c>
      <c r="D7" s="8"/>
      <c r="E7" s="8"/>
      <c r="F7" s="8"/>
      <c r="G7" s="8"/>
    </row>
    <row r="8" customFormat="false" ht="25.5" hidden="false" customHeight="true" outlineLevel="0" collapsed="false">
      <c r="B8" s="7" t="s">
        <v>6</v>
      </c>
      <c r="C8" s="8" t="s">
        <v>7</v>
      </c>
      <c r="D8" s="8"/>
      <c r="E8" s="8"/>
      <c r="F8" s="8"/>
      <c r="G8" s="8"/>
    </row>
    <row r="9" customFormat="false" ht="57" hidden="false" customHeight="true" outlineLevel="0" collapsed="false">
      <c r="B9" s="9" t="s">
        <v>8</v>
      </c>
      <c r="C9" s="10" t="s">
        <v>9</v>
      </c>
      <c r="D9" s="10"/>
      <c r="E9" s="10"/>
      <c r="F9" s="10"/>
      <c r="G9" s="10"/>
    </row>
    <row r="10" customFormat="false" ht="57.75" hidden="false" customHeight="true" outlineLevel="0" collapsed="false">
      <c r="B10" s="9" t="s">
        <v>10</v>
      </c>
      <c r="C10" s="11" t="str">
        <f aca="false">"¿Cuántos pollos hay que vender para no destruir valor? El volumen por formato que hace VPN = 0 (hoy: "&amp;TEXT(PUNTO_EQUILIBRIO!$C$6,"#,##0")&amp;" pollos/mes por ventana"&amp;IF(PUNTO_EQUILIBRIO!$C$6&gt;SUP_VOLUMEN!$C$16," — por encima del escenario BÁSICO","")&amp;"), con ingresos y flujo de caja de ese escenario."</f>
        <v>¿Cuántos pollos hay que vender para no destruir valor? El volumen por formato que hace VPN = 0 (hoy: 3,579 pollos/mes por ventana — por encima del escenario BÁSICO), con ingresos y flujo de caja de ese escenario.</v>
      </c>
      <c r="D10" s="11"/>
      <c r="E10" s="11"/>
      <c r="F10" s="11"/>
      <c r="G10" s="11"/>
    </row>
    <row r="12" customFormat="false" ht="19.5" hidden="false" customHeight="true" outlineLevel="0" collapsed="false">
      <c r="B12" s="5" t="s">
        <v>11</v>
      </c>
      <c r="C12" s="5"/>
      <c r="D12" s="5"/>
      <c r="E12" s="5"/>
      <c r="F12" s="5"/>
      <c r="G12" s="5"/>
    </row>
    <row r="13" customFormat="false" ht="15" hidden="false" customHeight="true" outlineLevel="0" collapsed="false">
      <c r="B13" s="6" t="s">
        <v>12</v>
      </c>
      <c r="C13" s="6"/>
      <c r="D13" s="6"/>
      <c r="E13" s="6"/>
      <c r="F13" s="6"/>
      <c r="G13" s="6"/>
    </row>
    <row r="14" customFormat="false" ht="25.5" hidden="false" customHeight="true" outlineLevel="0" collapsed="false">
      <c r="B14" s="7" t="s">
        <v>13</v>
      </c>
      <c r="C14" s="8" t="s">
        <v>14</v>
      </c>
      <c r="D14" s="8"/>
      <c r="E14" s="8"/>
      <c r="F14" s="8"/>
      <c r="G14" s="8"/>
    </row>
    <row r="15" customFormat="false" ht="25.5" hidden="false" customHeight="true" outlineLevel="0" collapsed="false">
      <c r="B15" s="7" t="s">
        <v>15</v>
      </c>
      <c r="C15" s="8" t="s">
        <v>16</v>
      </c>
      <c r="D15" s="8"/>
      <c r="E15" s="8"/>
      <c r="F15" s="8"/>
      <c r="G15" s="8"/>
    </row>
    <row r="16" customFormat="false" ht="42" hidden="false" customHeight="true" outlineLevel="0" collapsed="false">
      <c r="B16" s="7" t="s">
        <v>17</v>
      </c>
      <c r="C16" s="8" t="s">
        <v>18</v>
      </c>
      <c r="D16" s="8"/>
      <c r="E16" s="8"/>
      <c r="F16" s="8"/>
      <c r="G16" s="8"/>
    </row>
    <row r="17" customFormat="false" ht="45" hidden="false" customHeight="true" outlineLevel="0" collapsed="false">
      <c r="B17" s="7" t="s">
        <v>19</v>
      </c>
      <c r="C17" s="12" t="s">
        <v>20</v>
      </c>
      <c r="D17" s="12"/>
      <c r="E17" s="12"/>
      <c r="F17" s="12"/>
      <c r="G17" s="12"/>
    </row>
    <row r="18" customFormat="false" ht="25.5" hidden="false" customHeight="true" outlineLevel="0" collapsed="false">
      <c r="B18" s="7" t="s">
        <v>21</v>
      </c>
      <c r="C18" s="8" t="s">
        <v>22</v>
      </c>
      <c r="D18" s="8"/>
      <c r="E18" s="8"/>
      <c r="F18" s="8"/>
      <c r="G18" s="8"/>
    </row>
    <row r="20" customFormat="false" ht="19.5" hidden="false" customHeight="true" outlineLevel="0" collapsed="false">
      <c r="B20" s="5" t="s">
        <v>23</v>
      </c>
      <c r="C20" s="5"/>
      <c r="D20" s="5"/>
      <c r="E20" s="5"/>
      <c r="F20" s="5"/>
      <c r="G20" s="5"/>
    </row>
    <row r="21" customFormat="false" ht="15" hidden="false" customHeight="true" outlineLevel="0" collapsed="false">
      <c r="B21" s="6" t="s">
        <v>24</v>
      </c>
      <c r="C21" s="6"/>
      <c r="D21" s="6"/>
      <c r="E21" s="6"/>
      <c r="F21" s="6"/>
      <c r="G21" s="6"/>
    </row>
    <row r="22" customFormat="false" ht="25.5" hidden="false" customHeight="true" outlineLevel="0" collapsed="false">
      <c r="B22" s="7" t="s">
        <v>25</v>
      </c>
      <c r="C22" s="8" t="s">
        <v>26</v>
      </c>
      <c r="D22" s="8"/>
      <c r="E22" s="8"/>
      <c r="F22" s="8"/>
      <c r="G22" s="8"/>
    </row>
    <row r="23" customFormat="false" ht="25.5" hidden="false" customHeight="true" outlineLevel="0" collapsed="false">
      <c r="B23" s="7" t="s">
        <v>27</v>
      </c>
      <c r="C23" s="8" t="s">
        <v>28</v>
      </c>
      <c r="D23" s="8"/>
      <c r="E23" s="8"/>
      <c r="F23" s="8"/>
      <c r="G23" s="8"/>
    </row>
    <row r="24" customFormat="false" ht="25.5" hidden="false" customHeight="true" outlineLevel="0" collapsed="false">
      <c r="B24" s="7" t="s">
        <v>29</v>
      </c>
      <c r="C24" s="8" t="s">
        <v>30</v>
      </c>
      <c r="D24" s="8"/>
      <c r="E24" s="8"/>
      <c r="F24" s="8"/>
      <c r="G24" s="8"/>
    </row>
    <row r="25" customFormat="false" ht="25.5" hidden="false" customHeight="true" outlineLevel="0" collapsed="false">
      <c r="B25" s="7" t="s">
        <v>31</v>
      </c>
      <c r="C25" s="8" t="s">
        <v>32</v>
      </c>
      <c r="D25" s="8"/>
      <c r="E25" s="8"/>
      <c r="F25" s="8"/>
      <c r="G25" s="8"/>
    </row>
    <row r="27" customFormat="false" ht="19.5" hidden="false" customHeight="true" outlineLevel="0" collapsed="false">
      <c r="B27" s="5" t="s">
        <v>33</v>
      </c>
      <c r="C27" s="5"/>
      <c r="D27" s="5"/>
      <c r="E27" s="5"/>
      <c r="F27" s="5"/>
      <c r="G27" s="5"/>
    </row>
    <row r="28" customFormat="false" ht="15" hidden="false" customHeight="true" outlineLevel="0" collapsed="false">
      <c r="B28" s="6" t="s">
        <v>34</v>
      </c>
      <c r="C28" s="6"/>
      <c r="D28" s="6"/>
      <c r="E28" s="6"/>
      <c r="F28" s="6"/>
      <c r="G28" s="6"/>
    </row>
    <row r="29" customFormat="false" ht="40.5" hidden="false" customHeight="true" outlineLevel="0" collapsed="false">
      <c r="B29" s="7" t="s">
        <v>35</v>
      </c>
      <c r="C29" s="8" t="s">
        <v>36</v>
      </c>
      <c r="D29" s="8"/>
      <c r="E29" s="8"/>
      <c r="F29" s="8"/>
      <c r="G29" s="8"/>
    </row>
    <row r="30" customFormat="false" ht="34.5" hidden="false" customHeight="true" outlineLevel="0" collapsed="false">
      <c r="B30" s="7" t="s">
        <v>37</v>
      </c>
      <c r="C30" s="8" t="s">
        <v>38</v>
      </c>
      <c r="D30" s="8"/>
      <c r="E30" s="8"/>
      <c r="F30" s="8"/>
      <c r="G30" s="8"/>
    </row>
    <row r="31" customFormat="false" ht="36.75" hidden="false" customHeight="true" outlineLevel="0" collapsed="false">
      <c r="B31" s="7" t="s">
        <v>39</v>
      </c>
      <c r="C31" s="8" t="s">
        <v>40</v>
      </c>
      <c r="D31" s="8"/>
      <c r="E31" s="8"/>
      <c r="F31" s="8"/>
      <c r="G31" s="8"/>
    </row>
    <row r="32" customFormat="false" ht="40.5" hidden="false" customHeight="true" outlineLevel="0" collapsed="false">
      <c r="B32" s="7" t="s">
        <v>41</v>
      </c>
      <c r="C32" s="8" t="s">
        <v>42</v>
      </c>
      <c r="D32" s="8"/>
      <c r="E32" s="8"/>
      <c r="F32" s="8"/>
      <c r="G32" s="8"/>
    </row>
    <row r="33" customFormat="false" ht="39.75" hidden="false" customHeight="true" outlineLevel="0" collapsed="false">
      <c r="B33" s="7" t="s">
        <v>43</v>
      </c>
      <c r="C33" s="8" t="s">
        <v>44</v>
      </c>
      <c r="D33" s="8"/>
      <c r="E33" s="8"/>
      <c r="F33" s="8"/>
      <c r="G33" s="8"/>
    </row>
    <row r="34" customFormat="false" ht="39.75" hidden="false" customHeight="true" outlineLevel="0" collapsed="false">
      <c r="B34" s="13" t="s">
        <v>45</v>
      </c>
      <c r="C34" s="8" t="s">
        <v>46</v>
      </c>
      <c r="D34" s="8"/>
      <c r="E34" s="8"/>
      <c r="F34" s="8"/>
      <c r="G34" s="8"/>
    </row>
    <row r="36" customFormat="false" ht="19.5" hidden="false" customHeight="true" outlineLevel="0" collapsed="false">
      <c r="B36" s="5" t="s">
        <v>47</v>
      </c>
      <c r="C36" s="5"/>
      <c r="D36" s="5"/>
      <c r="E36" s="5"/>
      <c r="F36" s="5"/>
      <c r="G36" s="5"/>
    </row>
    <row r="37" customFormat="false" ht="15" hidden="false" customHeight="true" outlineLevel="0" collapsed="false">
      <c r="B37" s="6" t="s">
        <v>48</v>
      </c>
      <c r="C37" s="6"/>
      <c r="D37" s="6"/>
      <c r="E37" s="6"/>
      <c r="F37" s="6"/>
      <c r="G37" s="6"/>
    </row>
    <row r="38" customFormat="false" ht="27.75" hidden="false" customHeight="true" outlineLevel="0" collapsed="false">
      <c r="B38" s="7" t="s">
        <v>49</v>
      </c>
      <c r="C38" s="8" t="s">
        <v>50</v>
      </c>
      <c r="D38" s="8"/>
      <c r="E38" s="8"/>
      <c r="F38" s="8"/>
      <c r="G38" s="8"/>
    </row>
    <row r="39" customFormat="false" ht="31.5" hidden="false" customHeight="true" outlineLevel="0" collapsed="false">
      <c r="B39" s="7" t="s">
        <v>51</v>
      </c>
      <c r="C39" s="8" t="s">
        <v>52</v>
      </c>
      <c r="D39" s="8"/>
      <c r="E39" s="8"/>
      <c r="F39" s="8"/>
      <c r="G39" s="8"/>
    </row>
    <row r="40" customFormat="false" ht="34.5" hidden="false" customHeight="true" outlineLevel="0" collapsed="false">
      <c r="B40" s="7" t="s">
        <v>53</v>
      </c>
      <c r="C40" s="8" t="s">
        <v>54</v>
      </c>
      <c r="D40" s="8"/>
      <c r="E40" s="8"/>
      <c r="F40" s="8"/>
      <c r="G40" s="8"/>
    </row>
    <row r="41" customFormat="false" ht="33.75" hidden="false" customHeight="true" outlineLevel="0" collapsed="false">
      <c r="B41" s="7" t="s">
        <v>55</v>
      </c>
      <c r="C41" s="8" t="s">
        <v>56</v>
      </c>
      <c r="D41" s="8"/>
      <c r="E41" s="8"/>
      <c r="F41" s="8"/>
      <c r="G41" s="8"/>
    </row>
    <row r="42" customFormat="false" ht="31.5" hidden="false" customHeight="true" outlineLevel="0" collapsed="false">
      <c r="B42" s="7" t="s">
        <v>57</v>
      </c>
      <c r="C42" s="8" t="s">
        <v>58</v>
      </c>
      <c r="D42" s="8"/>
      <c r="E42" s="8"/>
      <c r="F42" s="8"/>
      <c r="G42" s="8"/>
    </row>
    <row r="43" customFormat="false" ht="30.75" hidden="false" customHeight="true" outlineLevel="0" collapsed="false">
      <c r="B43" s="7" t="s">
        <v>59</v>
      </c>
      <c r="C43" s="8" t="s">
        <v>60</v>
      </c>
      <c r="D43" s="8"/>
      <c r="E43" s="8"/>
      <c r="F43" s="8"/>
      <c r="G43" s="8"/>
    </row>
    <row r="44" customFormat="false" ht="30" hidden="false" customHeight="true" outlineLevel="0" collapsed="false">
      <c r="B44" s="7" t="s">
        <v>61</v>
      </c>
      <c r="C44" s="8" t="s">
        <v>62</v>
      </c>
      <c r="D44" s="8"/>
      <c r="E44" s="8"/>
      <c r="F44" s="8"/>
      <c r="G44" s="8"/>
    </row>
    <row r="46" customFormat="false" ht="19.5" hidden="false" customHeight="true" outlineLevel="0" collapsed="false">
      <c r="B46" s="5" t="s">
        <v>63</v>
      </c>
      <c r="C46" s="5"/>
      <c r="D46" s="5"/>
      <c r="E46" s="5"/>
      <c r="F46" s="5"/>
      <c r="G46" s="5"/>
    </row>
    <row r="47" customFormat="false" ht="15" hidden="false" customHeight="true" outlineLevel="0" collapsed="false">
      <c r="B47" s="6" t="s">
        <v>64</v>
      </c>
      <c r="C47" s="6"/>
      <c r="D47" s="6"/>
      <c r="E47" s="6"/>
      <c r="F47" s="6"/>
      <c r="G47" s="6"/>
    </row>
    <row r="48" customFormat="false" ht="25.5" hidden="false" customHeight="true" outlineLevel="0" collapsed="false">
      <c r="B48" s="7" t="s">
        <v>65</v>
      </c>
      <c r="C48" s="8" t="s">
        <v>66</v>
      </c>
      <c r="D48" s="8"/>
      <c r="E48" s="8"/>
      <c r="F48" s="8"/>
      <c r="G48" s="8"/>
    </row>
    <row r="49" customFormat="false" ht="25.5" hidden="false" customHeight="true" outlineLevel="0" collapsed="false">
      <c r="B49" s="7" t="s">
        <v>67</v>
      </c>
      <c r="C49" s="8" t="s">
        <v>68</v>
      </c>
      <c r="D49" s="8"/>
      <c r="E49" s="8"/>
      <c r="F49" s="8"/>
      <c r="G49" s="8"/>
    </row>
    <row r="50" customFormat="false" ht="25.5" hidden="false" customHeight="true" outlineLevel="0" collapsed="false">
      <c r="B50" s="7" t="s">
        <v>69</v>
      </c>
      <c r="C50" s="8" t="s">
        <v>70</v>
      </c>
      <c r="D50" s="8"/>
      <c r="E50" s="8"/>
      <c r="F50" s="8"/>
      <c r="G50" s="8"/>
    </row>
    <row r="51" customFormat="false" ht="25.5" hidden="false" customHeight="true" outlineLevel="0" collapsed="false">
      <c r="B51" s="7" t="s">
        <v>71</v>
      </c>
      <c r="C51" s="8" t="s">
        <v>72</v>
      </c>
      <c r="D51" s="8"/>
      <c r="E51" s="8"/>
      <c r="F51" s="8"/>
      <c r="G51" s="8"/>
    </row>
    <row r="53" customFormat="false" ht="19.5" hidden="false" customHeight="true" outlineLevel="0" collapsed="false">
      <c r="B53" s="5" t="s">
        <v>73</v>
      </c>
      <c r="C53" s="5"/>
      <c r="D53" s="5"/>
      <c r="E53" s="5"/>
      <c r="F53" s="5"/>
      <c r="G53" s="5"/>
    </row>
    <row r="54" customFormat="false" ht="15" hidden="false" customHeight="true" outlineLevel="0" collapsed="false">
      <c r="B54" s="6" t="s">
        <v>74</v>
      </c>
      <c r="C54" s="6"/>
      <c r="D54" s="6"/>
      <c r="E54" s="6"/>
      <c r="F54" s="6"/>
      <c r="G54" s="6"/>
    </row>
    <row r="55" customFormat="false" ht="25.5" hidden="false" customHeight="true" outlineLevel="0" collapsed="false">
      <c r="B55" s="7" t="s">
        <v>75</v>
      </c>
      <c r="C55" s="8" t="s">
        <v>76</v>
      </c>
      <c r="D55" s="8"/>
      <c r="E55" s="8"/>
      <c r="F55" s="8"/>
      <c r="G55" s="8"/>
    </row>
    <row r="56" customFormat="false" ht="15" hidden="false" customHeight="true" outlineLevel="0" collapsed="false">
      <c r="B56" s="7" t="s">
        <v>77</v>
      </c>
      <c r="C56" s="14" t="s">
        <v>78</v>
      </c>
      <c r="D56" s="14"/>
      <c r="E56" s="14"/>
      <c r="F56" s="14"/>
      <c r="G56" s="14"/>
    </row>
    <row r="58" customFormat="false" ht="15.75" hidden="false" customHeight="true" outlineLevel="0" collapsed="false">
      <c r="A58" s="15"/>
      <c r="B58" s="16" t="s">
        <v>79</v>
      </c>
      <c r="C58" s="15"/>
      <c r="D58" s="15"/>
      <c r="E58" s="15"/>
      <c r="F58" s="15"/>
      <c r="G58" s="15"/>
    </row>
    <row r="59" customFormat="false" ht="15" hidden="false" customHeight="true" outlineLevel="0" collapsed="false">
      <c r="B59" s="17" t="s">
        <v>80</v>
      </c>
    </row>
    <row r="60" customFormat="false" ht="15" hidden="false" customHeight="true" outlineLevel="0" collapsed="false">
      <c r="B60" s="18" t="s">
        <v>81</v>
      </c>
      <c r="C60" s="17" t="s">
        <v>82</v>
      </c>
    </row>
    <row r="61" customFormat="false" ht="15" hidden="false" customHeight="true" outlineLevel="0" collapsed="false">
      <c r="B61" s="18" t="s">
        <v>83</v>
      </c>
      <c r="C61" s="17" t="s">
        <v>84</v>
      </c>
    </row>
    <row r="62" customFormat="false" ht="15" hidden="false" customHeight="true" outlineLevel="0" collapsed="false">
      <c r="B62" s="18" t="s">
        <v>85</v>
      </c>
      <c r="C62" s="17" t="s">
        <v>86</v>
      </c>
    </row>
    <row r="63" customFormat="false" ht="15" hidden="false" customHeight="true" outlineLevel="0" collapsed="false">
      <c r="B63" s="18" t="s">
        <v>87</v>
      </c>
      <c r="C63" s="17" t="s">
        <v>88</v>
      </c>
    </row>
    <row r="64" customFormat="false" ht="15" hidden="false" customHeight="true" outlineLevel="0" collapsed="false">
      <c r="B64" s="18" t="s">
        <v>89</v>
      </c>
      <c r="C64" s="17" t="s">
        <v>90</v>
      </c>
    </row>
    <row r="65" customFormat="false" ht="15" hidden="false" customHeight="true" outlineLevel="0" collapsed="false">
      <c r="B65" s="18" t="s">
        <v>91</v>
      </c>
      <c r="C65" s="17" t="s">
        <v>92</v>
      </c>
    </row>
    <row r="66" customFormat="false" ht="15" hidden="false" customHeight="true" outlineLevel="0" collapsed="false">
      <c r="B66" s="19" t="s">
        <v>93</v>
      </c>
      <c r="C66" s="20" t="s">
        <v>94</v>
      </c>
    </row>
    <row r="68" customFormat="false" ht="15" hidden="false" customHeight="true" outlineLevel="0" collapsed="false">
      <c r="B68" s="16" t="s">
        <v>95</v>
      </c>
      <c r="C68" s="16"/>
      <c r="D68" s="16"/>
      <c r="E68" s="16"/>
      <c r="F68" s="16"/>
      <c r="G68" s="16"/>
    </row>
    <row r="69" customFormat="false" ht="15" hidden="false" customHeight="true" outlineLevel="0" collapsed="false">
      <c r="B69" s="17" t="s">
        <v>96</v>
      </c>
    </row>
    <row r="70" customFormat="false" ht="15" hidden="false" customHeight="true" outlineLevel="0" collapsed="false">
      <c r="B70" s="18" t="s">
        <v>97</v>
      </c>
      <c r="C70" s="17" t="s">
        <v>98</v>
      </c>
    </row>
    <row r="71" customFormat="false" ht="15" hidden="false" customHeight="true" outlineLevel="0" collapsed="false">
      <c r="B71" s="18" t="s">
        <v>99</v>
      </c>
      <c r="C71" s="17" t="s">
        <v>100</v>
      </c>
    </row>
    <row r="72" customFormat="false" ht="15" hidden="false" customHeight="true" outlineLevel="0" collapsed="false">
      <c r="B72" s="18" t="s">
        <v>101</v>
      </c>
      <c r="C72" s="17" t="s">
        <v>102</v>
      </c>
    </row>
  </sheetData>
  <mergeCells count="47">
    <mergeCell ref="B2:G2"/>
    <mergeCell ref="B3:G3"/>
    <mergeCell ref="B5:G5"/>
    <mergeCell ref="B6:G6"/>
    <mergeCell ref="C7:G7"/>
    <mergeCell ref="C8:G8"/>
    <mergeCell ref="C9:G9"/>
    <mergeCell ref="C10:G10"/>
    <mergeCell ref="B12:G12"/>
    <mergeCell ref="B13:G13"/>
    <mergeCell ref="C14:G14"/>
    <mergeCell ref="C15:G15"/>
    <mergeCell ref="C16:G16"/>
    <mergeCell ref="C17:G17"/>
    <mergeCell ref="C18:G18"/>
    <mergeCell ref="B20:G20"/>
    <mergeCell ref="B21:G21"/>
    <mergeCell ref="C22:G22"/>
    <mergeCell ref="C23:G23"/>
    <mergeCell ref="C25:G25"/>
    <mergeCell ref="B27:G27"/>
    <mergeCell ref="B28:G28"/>
    <mergeCell ref="C29:G29"/>
    <mergeCell ref="C30:G30"/>
    <mergeCell ref="C31:G31"/>
    <mergeCell ref="C32:G32"/>
    <mergeCell ref="C33:G33"/>
    <mergeCell ref="C34:G34"/>
    <mergeCell ref="B36:G36"/>
    <mergeCell ref="B37:G37"/>
    <mergeCell ref="C38:G38"/>
    <mergeCell ref="C39:G39"/>
    <mergeCell ref="C40:G40"/>
    <mergeCell ref="C41:G41"/>
    <mergeCell ref="C42:G42"/>
    <mergeCell ref="C43:G43"/>
    <mergeCell ref="C44:G44"/>
    <mergeCell ref="B46:G46"/>
    <mergeCell ref="B47:G47"/>
    <mergeCell ref="C48:G48"/>
    <mergeCell ref="C49:G49"/>
    <mergeCell ref="C50:G50"/>
    <mergeCell ref="C51:G51"/>
    <mergeCell ref="B53:G53"/>
    <mergeCell ref="B54:G54"/>
    <mergeCell ref="C55:G55"/>
    <mergeCell ref="C56:G56"/>
  </mergeCells>
  <hyperlinks>
    <hyperlink ref="B7" location="'LEEME'!A1" display="LEEME"/>
    <hyperlink ref="B8" location="'SUP_CONTROL'!A1" display="SUP_CONTROL"/>
    <hyperlink ref="B9" location="'RESUMEN_EJECUTIVO'!A1" display="RESUMEN_EJECUTIVO"/>
    <hyperlink ref="B10" location="'PUNTO_EQUILIBRIO'!A1" display="PUNTO_EQUILIBRIO"/>
    <hyperlink ref="B14" location="'SUP_MENU'!A1" display="SUP_MENU"/>
    <hyperlink ref="B15" location="'SUP_PRECIOS'!A1" display="SUP_PRECIOS"/>
    <hyperlink ref="B16" location="'SUP_COSTOS'!A1" display="SUP_COSTOS"/>
    <hyperlink ref="B17" location="'SUP_INSUMOS'!A1" display="SUP_INSUMOS"/>
    <hyperlink ref="B18" location="'SUP_VOLUMEN'!A1" display="SUP_VOLUMEN"/>
    <hyperlink ref="B22" location="'SUP_OPEX'!A1" display="SUP_OPEX"/>
    <hyperlink ref="B23" location="'SUP_OVERHEAD'!A1" display="SUP_OVERHEAD"/>
    <hyperlink ref="B24" location="'SUP_PLANTA_OPEX'!A1" display="SUP_PLANTA_OPEX"/>
    <hyperlink ref="B25" location="'SUP_TECNOLOGIA'!A1" display="SUP_TECNOLOGIA"/>
    <hyperlink ref="B29" location="'SUP_CAPEX_PLANTA'!A1" display="SUP_CAPEX_PLANTA"/>
    <hyperlink ref="B30" location="'SUP_CAPEX_VENTANA'!A1" display="SUP_CAPEX_VENTANA"/>
    <hyperlink ref="B31" location="'SUP_CAPEX_DINEIN'!A1" display="SUP_CAPEX_DINEIN"/>
    <hyperlink ref="B32" location="'SUP_CAPEX_FLAGSHIP'!A1" display="SUP_CAPEX_FLAGSHIP"/>
    <hyperlink ref="B33" location="'SUP_PRODUCCION'!A1" display="SUP_PRODUCCION"/>
    <hyperlink ref="B34" location="'SUP_LOGISTICA'!A1" display="SUP_LOGISTICA"/>
    <hyperlink ref="B38" location="'CAPA1_PILOTO'!A1" display="CAPA1_PILOTO"/>
    <hyperlink ref="B39" location="'CAPA2_FLAGSHIP'!A1" display="CAPA2_FLAGSHIP"/>
    <hyperlink ref="B40" location="'SUP_C3_EXPANSION'!A1" display="SUP_C3_EXPANSION"/>
    <hyperlink ref="B41" location="'CAPA3_EXPANSION'!A1" display="CAPA3_EXPANSION"/>
    <hyperlink ref="B42" location="'CAPA3_PDV_DETALLE'!A1" display="CAPA3_PDV_DETALLE"/>
    <hyperlink ref="B43" location="'SUP_C4_RETAIL'!A1" display="SUP_C4_RETAIL"/>
    <hyperlink ref="B44" location="'CAPA4_RETAIL'!A1" display="CAPA4_RETAIL"/>
    <hyperlink ref="B48" location="'CONSOLIDADO'!A1" display="CONSOLIDADO"/>
    <hyperlink ref="B49" location="'PL'!A1" display="PL"/>
    <hyperlink ref="B50" location="'CAPA3_DASHBOARD'!A1" display="CAPA3_DASHBOARD"/>
    <hyperlink ref="B51" location="'PROD_DEMANDA'!A1" display="PROD_DEMANDA"/>
    <hyperlink ref="B55" location="'CHECKLIST_V2'!A1" display="CHECKLIST_V2"/>
    <hyperlink ref="B56" location="'POR_VALIDAR'!A1" display="POR_VALIDAR"/>
    <hyperlink ref="B70" r:id="rId1" location="'SUP_POLLO'!A1" display="SUP_POLLO"/>
    <hyperlink ref="B71" r:id="rId2" location="'SENS_POLLO'!A1" display="SENS_POLLO"/>
    <hyperlink ref="B72" r:id="rId3" location="'AUDITORIA_V12'!A1" display="AUDITORIA_V12"/>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B1:N184"/>
  <sheetViews>
    <sheetView showFormulas="false" showGridLines="false" showRowColHeaders="true" showZeros="true" rightToLeft="false" tabSelected="false" showOutlineSymbols="true" defaultGridColor="true" view="normal" topLeftCell="A48" colorId="64" zoomScale="150" zoomScaleNormal="150" zoomScalePageLayoutView="100" workbookViewId="0">
      <selection pane="topLeft" activeCell="C35" activeCellId="0" sqref="C35"/>
    </sheetView>
  </sheetViews>
  <sheetFormatPr defaultColWidth="10.66796875" defaultRowHeight="15" zeroHeight="false" outlineLevelRow="0" outlineLevelCol="0"/>
  <cols>
    <col collapsed="false" customWidth="true" hidden="false" outlineLevel="0" max="1" min="1" style="1" width="3"/>
    <col collapsed="false" customWidth="true" hidden="false" outlineLevel="0" max="2" min="2" style="1" width="69.16"/>
    <col collapsed="false" customWidth="true" hidden="false" outlineLevel="0" max="4" min="3" style="1" width="23.16"/>
    <col collapsed="false" customWidth="true" hidden="false" outlineLevel="0" max="12" min="5" style="1" width="14.67"/>
    <col collapsed="false" customWidth="true" hidden="false" outlineLevel="0" max="13" min="13" style="1" width="3"/>
    <col collapsed="false" customWidth="true" hidden="false" outlineLevel="0" max="14" min="14" style="1" width="63.33"/>
  </cols>
  <sheetData>
    <row r="1" customFormat="false" ht="18.75" hidden="false" customHeight="true" outlineLevel="0" collapsed="false">
      <c r="B1" s="21" t="s">
        <v>103</v>
      </c>
      <c r="C1" s="22"/>
      <c r="D1" s="22"/>
      <c r="E1" s="22"/>
      <c r="F1" s="22"/>
      <c r="G1" s="22"/>
      <c r="H1" s="22"/>
      <c r="I1" s="22"/>
      <c r="J1" s="22"/>
      <c r="K1" s="22"/>
      <c r="L1" s="22"/>
      <c r="M1" s="22"/>
      <c r="N1" s="22"/>
    </row>
    <row r="2" customFormat="false" ht="15" hidden="false" customHeight="true" outlineLevel="0" collapsed="false">
      <c r="B2" s="23" t="s">
        <v>104</v>
      </c>
    </row>
    <row r="3" customFormat="false" ht="15" hidden="false" customHeight="true" outlineLevel="0" collapsed="false">
      <c r="B3" s="23" t="s">
        <v>105</v>
      </c>
    </row>
    <row r="5" customFormat="false" ht="15" hidden="false" customHeight="true" outlineLevel="0" collapsed="false">
      <c r="B5" s="24" t="s">
        <v>106</v>
      </c>
      <c r="C5" s="25"/>
      <c r="D5" s="25"/>
      <c r="E5" s="25"/>
      <c r="F5" s="25"/>
      <c r="G5" s="25"/>
      <c r="H5" s="25"/>
      <c r="I5" s="25"/>
      <c r="J5" s="25"/>
      <c r="K5" s="25"/>
      <c r="L5" s="25"/>
      <c r="N5" s="25"/>
    </row>
    <row r="6" customFormat="false" ht="15" hidden="false" customHeight="true" outlineLevel="0" collapsed="false">
      <c r="B6" s="1" t="s">
        <v>107</v>
      </c>
      <c r="C6" s="26" t="str">
        <f aca="false">SUP_CONTROL!$C$7</f>
        <v>MEDIO</v>
      </c>
      <c r="N6" s="23" t="s">
        <v>108</v>
      </c>
    </row>
    <row r="7" customFormat="false" ht="15" hidden="false" customHeight="true" outlineLevel="0" collapsed="false">
      <c r="B7" s="1" t="s">
        <v>109</v>
      </c>
      <c r="C7" s="27" t="n">
        <f aca="false">SUP_CONTROL!$C$8</f>
        <v>4200</v>
      </c>
    </row>
    <row r="8" customFormat="false" ht="15" hidden="false" customHeight="true" outlineLevel="0" collapsed="false">
      <c r="B8" s="1" t="s">
        <v>110</v>
      </c>
      <c r="C8" s="28" t="n">
        <f aca="false">CONSOLIDADO!$C$22</f>
        <v>9188258.1495</v>
      </c>
    </row>
    <row r="9" customFormat="false" ht="15" hidden="false" customHeight="true" outlineLevel="0" collapsed="false">
      <c r="B9" s="29" t="s">
        <v>111</v>
      </c>
      <c r="C9" s="30" t="n">
        <f aca="false">CONSOLIDADO!$C$23</f>
        <v>2114490.23475</v>
      </c>
    </row>
    <row r="10" customFormat="false" ht="15" hidden="false" customHeight="true" outlineLevel="0" collapsed="false">
      <c r="B10" s="1" t="s">
        <v>112</v>
      </c>
      <c r="C10" s="28" t="n">
        <f aca="false">CONSOLIDADO!$C$24</f>
        <v>7073767.91475</v>
      </c>
    </row>
    <row r="11" customFormat="false" ht="15" hidden="false" customHeight="true" outlineLevel="0" collapsed="false">
      <c r="B11" s="29" t="str">
        <f aca="false">"VPN del proyecto a 120 meses (WACC "&amp;TEXT(SUP_CONTROL!$C$31,"0%")&amp;")"</f>
        <v>VPN del proyecto a 120 meses (WACC 20%)</v>
      </c>
      <c r="C11" s="31" t="n">
        <f aca="false">CONSOLIDADO!$C$25</f>
        <v>1374512.77843674</v>
      </c>
      <c r="N11" s="23" t="str">
        <f aca="false">"El VPN descuenta 10 años de flujo al "&amp;TEXT(SUP_CONTROL!$C$31,"0%")&amp;" anual en USD (riesgo Venezuela). El valor total agrega la perpetuidad del negocio en marcha (Gordon Growth, g editable en CONSOLIDADO!C59)."</f>
        <v>El VPN descuenta 10 años de flujo al 20% anual en USD (riesgo Venezuela). El valor total agrega la perpetuidad del negocio en marcha (Gordon Growth, g editable en CONSOLIDADO!C59).</v>
      </c>
    </row>
    <row r="12" customFormat="false" ht="15" hidden="false" customHeight="true" outlineLevel="0" collapsed="false">
      <c r="B12" s="29" t="s">
        <v>113</v>
      </c>
      <c r="C12" s="32" t="n">
        <f aca="false">CONSOLIDADO!$C$26</f>
        <v>0.306839971547742</v>
      </c>
    </row>
    <row r="13" customFormat="false" ht="15" hidden="false" customHeight="true" outlineLevel="0" collapsed="false">
      <c r="B13" s="29" t="s">
        <v>114</v>
      </c>
      <c r="C13" s="33" t="str">
        <f aca="false">CONSOLIDADO!$C$28&amp;" / "&amp;CONSOLIDADO!$C$29</f>
        <v>76 / 95</v>
      </c>
    </row>
    <row r="14" customFormat="false" ht="15" hidden="false" customHeight="true" outlineLevel="0" collapsed="false">
      <c r="B14" s="29" t="s">
        <v>115</v>
      </c>
      <c r="C14" s="34" t="n">
        <f aca="false">CONSOLIDADO!$C$30</f>
        <v>0.650044514676725</v>
      </c>
    </row>
    <row r="15" customFormat="false" ht="15" hidden="false" customHeight="true" outlineLevel="0" collapsed="false">
      <c r="B15" s="29" t="s">
        <v>116</v>
      </c>
      <c r="C15" s="31" t="n">
        <f aca="false">CONSOLIDADO!$C$65</f>
        <v>4557116.9791792</v>
      </c>
    </row>
    <row r="16" customFormat="false" ht="15" hidden="false" customHeight="true" outlineLevel="0" collapsed="false">
      <c r="B16" s="29" t="s">
        <v>117</v>
      </c>
      <c r="C16" s="33" t="str">
        <f aca="false">CONSOLIDADO!$C$33&amp;" PDV · "&amp;TEXT(CONSOLIDADO!$C$34,"#,##0")&amp;" t/mes"</f>
        <v>50 PDV · 336 t/mes</v>
      </c>
    </row>
    <row r="17" customFormat="false" ht="15" hidden="false" customHeight="true" outlineLevel="0" collapsed="false">
      <c r="B17" s="29" t="s">
        <v>118</v>
      </c>
      <c r="C17" s="35" t="n">
        <f aca="false">SUP_PRECIOS!$C$26</f>
        <v>0.439801605264738</v>
      </c>
    </row>
    <row r="18" customFormat="false" ht="15" hidden="false" customHeight="true" outlineLevel="0" collapsed="false">
      <c r="B18" s="36" t="str">
        <f aca="false">"Snapshots de las secciones 2-4 recalculados el 27-sep-2026 (v12: pollo 1,65 kg × 2,20 USD/kg, receta corregida) con la configuración aprobada — piloto + expansión, flagship y retail apagados (WACC "&amp;TEXT(SUP_CONTROL!$C$31,"0%")&amp;", volumen ventana "&amp;TEXT(SUP_VOLUMEN!$D$16,"#,##0")&amp;" pollos/mes). "&amp;IF(OR(ABS(SUP_CONTROL!$C$31-0.2)&gt;0.001,SUP_VOLUMEN!$D$16&lt;&gt;4200),"⚠ CAMBIÓ UN SUPUESTO CLAVE — las columnas no activas están desactualizadas: recalcular los 3 escenarios.","✓ Vigentes: solo la columna del escenario activo está viva; las otras dos son snapshots de esa fecha.")</f>
        <v>Snapshots de las secciones 2-4 recalculados el 27-sep-2026 (v12: pollo 1,65 kg × 2,20 USD/kg, receta corregida) con la configuración aprobada — piloto + expansión, flagship y retail apagados (WACC 20%, volumen ventana 4,200 pollos/mes). ✓ Vigentes: solo la columna del escenario activo está viva; las otras dos son snapshots de esa fecha.</v>
      </c>
      <c r="C18" s="36"/>
      <c r="D18" s="36"/>
      <c r="E18" s="36"/>
      <c r="F18" s="36"/>
    </row>
    <row r="19" customFormat="false" ht="15" hidden="false" customHeight="true" outlineLevel="0" collapsed="false">
      <c r="B19" s="24" t="s">
        <v>119</v>
      </c>
      <c r="C19" s="25"/>
      <c r="D19" s="25"/>
      <c r="E19" s="25"/>
      <c r="F19" s="25"/>
      <c r="G19" s="25"/>
      <c r="H19" s="25"/>
      <c r="I19" s="25"/>
      <c r="J19" s="25"/>
      <c r="K19" s="25"/>
      <c r="L19" s="25"/>
      <c r="N19" s="25"/>
    </row>
    <row r="20" customFormat="false" ht="15" hidden="false" customHeight="true" outlineLevel="0" collapsed="false">
      <c r="B20" s="37" t="s">
        <v>120</v>
      </c>
      <c r="C20" s="38" t="str">
        <f aca="false">"BÁSICO"&amp;IF(SUP_CONTROL!$C$6=1," ◀ activo","")</f>
        <v>BÁSICO</v>
      </c>
      <c r="D20" s="38" t="str">
        <f aca="false">"MEDIO"&amp;IF(SUP_CONTROL!$C$6=2," ◀ activo","")</f>
        <v>MEDIO ◀ activo</v>
      </c>
      <c r="E20" s="38" t="str">
        <f aca="false">"ALTO"&amp;IF(SUP_CONTROL!$C$6=3," ◀ activo","")</f>
        <v>ALTO</v>
      </c>
      <c r="N20" s="23" t="s">
        <v>121</v>
      </c>
    </row>
    <row r="21" customFormat="false" ht="15" hidden="false" customHeight="true" outlineLevel="0" collapsed="false">
      <c r="B21" s="39" t="s">
        <v>122</v>
      </c>
      <c r="C21" s="40" t="n">
        <f aca="false">SUP_VOLUMEN!C16</f>
        <v>3500</v>
      </c>
      <c r="D21" s="40" t="n">
        <f aca="false">SUP_VOLUMEN!D16</f>
        <v>4200</v>
      </c>
      <c r="E21" s="40" t="n">
        <f aca="false">SUP_VOLUMEN!E16</f>
        <v>5000</v>
      </c>
    </row>
    <row r="22" customFormat="false" ht="15" hidden="false" customHeight="true" outlineLevel="0" collapsed="false">
      <c r="B22" s="39" t="s">
        <v>123</v>
      </c>
      <c r="C22" s="40" t="n">
        <f aca="false">IF(SUP_CONTROL!$C$6=1,CONSOLIDADO!$C$33,50)</f>
        <v>50</v>
      </c>
      <c r="D22" s="40" t="n">
        <f aca="false">IF(SUP_CONTROL!$C$6=2,CONSOLIDADO!$C$33,50)</f>
        <v>50</v>
      </c>
      <c r="E22" s="40" t="n">
        <f aca="false">IF(SUP_CONTROL!$C$6=3,CONSOLIDADO!$C$33,50)</f>
        <v>50</v>
      </c>
    </row>
    <row r="23" customFormat="false" ht="15" hidden="false" customHeight="true" outlineLevel="0" collapsed="false">
      <c r="B23" s="39" t="s">
        <v>124</v>
      </c>
      <c r="C23" s="40" t="n">
        <f aca="false">IF(SUP_CONTROL!$C$6=1,CONSOLIDADO!$C$34,279.79)</f>
        <v>279.79</v>
      </c>
      <c r="D23" s="40" t="n">
        <f aca="false">IF(SUP_CONTROL!$C$6=2,CONSOLIDADO!$C$34,335.74)</f>
        <v>335.74464</v>
      </c>
      <c r="E23" s="40" t="n">
        <f aca="false">IF(SUP_CONTROL!$C$6=3,CONSOLIDADO!$C$34,399.7)</f>
        <v>399.7</v>
      </c>
    </row>
    <row r="24" customFormat="false" ht="15" hidden="false" customHeight="true" outlineLevel="0" collapsed="false">
      <c r="B24" s="39" t="s">
        <v>125</v>
      </c>
      <c r="C24" s="41" t="n">
        <f aca="false">C23*12</f>
        <v>3357.48</v>
      </c>
      <c r="D24" s="41" t="n">
        <f aca="false">D23*12</f>
        <v>4028.93568</v>
      </c>
      <c r="E24" s="41" t="n">
        <f aca="false">E23*12</f>
        <v>4796.4</v>
      </c>
    </row>
    <row r="25" customFormat="false" ht="15" hidden="false" customHeight="true" outlineLevel="0" collapsed="false">
      <c r="B25" s="39" t="s">
        <v>126</v>
      </c>
      <c r="C25" s="42" t="n">
        <f aca="false">IF(SUP_CONTROL!$C$6=1,CAPA3_DASHBOARD!C$18,3161653.11)</f>
        <v>3161653.11</v>
      </c>
      <c r="D25" s="42" t="n">
        <f aca="false">IF(SUP_CONTROL!$C$6=2,CAPA3_DASHBOARD!C$18,3793983.73)</f>
        <v>3793983.73411251</v>
      </c>
      <c r="E25" s="42" t="n">
        <f aca="false">IF(SUP_CONTROL!$C$6=3,CAPA3_DASHBOARD!C$18,4516647.3)</f>
        <v>4516647.3</v>
      </c>
    </row>
    <row r="26" customFormat="false" ht="15" hidden="false" customHeight="true" outlineLevel="0" collapsed="false">
      <c r="B26" s="39" t="s">
        <v>127</v>
      </c>
      <c r="C26" s="42" t="n">
        <f aca="false">IF(SUP_CONTROL!$C$6=1,CAPA3_DASHBOARD!G$18,12019772.14)</f>
        <v>12019772.14</v>
      </c>
      <c r="D26" s="42" t="n">
        <f aca="false">IF(SUP_CONTROL!$C$6=2,CAPA3_DASHBOARD!G$18,16431011.03)</f>
        <v>16431011.0277901</v>
      </c>
      <c r="E26" s="42" t="n">
        <f aca="false">IF(SUP_CONTROL!$C$6=3,CAPA3_DASHBOARD!G$18,21162662.24)</f>
        <v>21162662.24</v>
      </c>
    </row>
    <row r="27" customFormat="false" ht="15" hidden="false" customHeight="true" outlineLevel="0" collapsed="false">
      <c r="B27" s="39" t="s">
        <v>128</v>
      </c>
      <c r="C27" s="42" t="n">
        <f aca="false">IF(SUP_CONTROL!$C$6=1,CAPA3_DASHBOARD!L$18,26298150.65)</f>
        <v>26298150.65</v>
      </c>
      <c r="D27" s="42" t="n">
        <f aca="false">IF(SUP_CONTROL!$C$6=2,CAPA3_DASHBOARD!L$18,31557780.78)</f>
        <v>31557780.7769282</v>
      </c>
      <c r="E27" s="42" t="n">
        <f aca="false">IF(SUP_CONTROL!$C$6=3,CAPA3_DASHBOARD!L$18,37568786.64)</f>
        <v>37568786.64</v>
      </c>
    </row>
    <row r="28" customFormat="false" ht="15" hidden="false" customHeight="true" outlineLevel="0" collapsed="false">
      <c r="B28" s="39" t="s">
        <v>129</v>
      </c>
      <c r="C28" s="42" t="n">
        <f aca="false">IF(SUP_CONTROL!$C$6=1,CAPA3_DASHBOARD!L$19,3255844.35)</f>
        <v>3255844.35</v>
      </c>
      <c r="D28" s="42" t="n">
        <f aca="false">IF(SUP_CONTROL!$C$6=2,CAPA3_DASHBOARD!L$19,4503881.38)</f>
        <v>4503881.38150039</v>
      </c>
      <c r="E28" s="42" t="n">
        <f aca="false">IF(SUP_CONTROL!$C$6=3,CAPA3_DASHBOARD!L$19,5877633.13)</f>
        <v>5877633.13</v>
      </c>
    </row>
    <row r="29" customFormat="false" ht="15" hidden="false" customHeight="true" outlineLevel="0" collapsed="false">
      <c r="B29" s="39" t="s">
        <v>130</v>
      </c>
      <c r="C29" s="42" t="n">
        <f aca="false">IF(SUP_CONTROL!$C$6=1,CONSOLIDADO!$C$22,8586905.75)</f>
        <v>8586905.75</v>
      </c>
      <c r="D29" s="42" t="n">
        <f aca="false">IF(SUP_CONTROL!$C$6=2,CONSOLIDADO!$C$22,9188258.15)</f>
        <v>9188258.1495</v>
      </c>
      <c r="E29" s="42" t="n">
        <f aca="false">IF(SUP_CONTROL!$C$6=3,CONSOLIDADO!$C$22,9240470.65)</f>
        <v>9240470.65</v>
      </c>
    </row>
    <row r="30" customFormat="false" ht="15" hidden="false" customHeight="true" outlineLevel="0" collapsed="false">
      <c r="B30" s="39" t="s">
        <v>131</v>
      </c>
      <c r="C30" s="43" t="n">
        <f aca="false">IF(SUP_CONTROL!$C$6=1,CONSOLIDADO!$C$23,2102899.73)</f>
        <v>2102899.73</v>
      </c>
      <c r="D30" s="43" t="n">
        <f aca="false">IF(SUP_CONTROL!$C$6=2,CONSOLIDADO!$C$23,2114490.23)</f>
        <v>2114490.23475</v>
      </c>
      <c r="E30" s="43" t="n">
        <f aca="false">IF(SUP_CONTROL!$C$6=3,CONSOLIDADO!$C$23,2136375.23)</f>
        <v>2136375.23</v>
      </c>
      <c r="N30" s="23" t="s">
        <v>132</v>
      </c>
    </row>
    <row r="31" customFormat="false" ht="15" hidden="false" customHeight="true" outlineLevel="0" collapsed="false">
      <c r="B31" s="39" t="s">
        <v>133</v>
      </c>
      <c r="C31" s="42" t="n">
        <f aca="false">IF(SUP_CONTROL!$C$6=1,CONSOLIDADO!$C$24,6484006.02)</f>
        <v>6484006.02</v>
      </c>
      <c r="D31" s="42" t="n">
        <f aca="false">IF(SUP_CONTROL!$C$6=2,CONSOLIDADO!$C$24,7073767.91)</f>
        <v>7073767.91475</v>
      </c>
      <c r="E31" s="42" t="n">
        <f aca="false">IF(SUP_CONTROL!$C$6=3,CONSOLIDADO!$C$24,7104095.41)</f>
        <v>7104095.41</v>
      </c>
    </row>
    <row r="32" customFormat="false" ht="15" hidden="false" customHeight="true" outlineLevel="0" collapsed="false">
      <c r="B32" s="39" t="s">
        <v>134</v>
      </c>
      <c r="C32" s="44" t="n">
        <f aca="false">IF(SUP_CONTROL!$C$6=1,CONSOLIDADO!$C$25,-276534.13)</f>
        <v>-276534.13</v>
      </c>
      <c r="D32" s="44" t="n">
        <f aca="false">IF(SUP_CONTROL!$C$6=2,CONSOLIDADO!$C$25,1374512.78)</f>
        <v>1374512.77843674</v>
      </c>
      <c r="E32" s="44" t="n">
        <f aca="false">IF(SUP_CONTROL!$C$6=3,CONSOLIDADO!$C$25,3151514.51)</f>
        <v>3151514.51</v>
      </c>
      <c r="F32" s="1" t="str">
        <f aca="false">IF(COUNTIF(PUNTO_EQUILIBRIO!$E$46:$E$59,"⚠*")&gt;0,"⚠ Respaldos de escenarios NO activos desactualizados (ver vigencia en PUNTO_EQUILIBRIO, filas 44-59) — pedir recálculo","✓ vigente")</f>
        <v>✓ vigente</v>
      </c>
      <c r="N32" s="23" t="s">
        <v>135</v>
      </c>
    </row>
    <row r="33" customFormat="false" ht="15" hidden="false" customHeight="true" outlineLevel="0" collapsed="false">
      <c r="B33" s="39" t="s">
        <v>136</v>
      </c>
      <c r="C33" s="45" t="n">
        <f aca="false">IF(SUP_CONTROL!$C$6=1,CONSOLIDADO!$C$26,0.1726)</f>
        <v>0.1726</v>
      </c>
      <c r="D33" s="45" t="n">
        <f aca="false">IF(SUP_CONTROL!$C$6=2,CONSOLIDADO!$C$26,0.3068)</f>
        <v>0.306839971547742</v>
      </c>
      <c r="E33" s="45" t="n">
        <f aca="false">IF(SUP_CONTROL!$C$6=3,CONSOLIDADO!$C$26,0.4086)</f>
        <v>0.4086</v>
      </c>
    </row>
    <row r="34" customFormat="false" ht="15" hidden="false" customHeight="true" outlineLevel="0" collapsed="false">
      <c r="B34" s="39" t="s">
        <v>114</v>
      </c>
      <c r="C34" s="46" t="str">
        <f aca="false">IF(SUP_CONTROL!$C$6=1,CONSOLIDADO!$C$28&amp;" / "&amp;CONSOLIDADO!$C$29,"98 / no recupera")</f>
        <v>98 / no recupera</v>
      </c>
      <c r="D34" s="46" t="str">
        <f aca="false">IF(SUP_CONTROL!$C$6=2,CONSOLIDADO!$C$28&amp;" / "&amp;CONSOLIDADO!$C$29,"76 / 95")</f>
        <v>76 / 95</v>
      </c>
      <c r="E34" s="46" t="str">
        <f aca="false">IF(SUP_CONTROL!$C$6=3,CONSOLIDADO!$C$28&amp;" / "&amp;CONSOLIDADO!$C$29,"62 / 80")</f>
        <v>62 / 80</v>
      </c>
    </row>
    <row r="35" customFormat="false" ht="15" hidden="false" customHeight="true" outlineLevel="0" collapsed="false">
      <c r="B35" s="47" t="s">
        <v>137</v>
      </c>
      <c r="C35" s="48" t="n">
        <f aca="false">IF(SUP_CONTROL!$C$6=1,CONSOLIDADO!$C$65,2080959.87)</f>
        <v>2080959.87</v>
      </c>
      <c r="D35" s="48" t="n">
        <f aca="false">IF(SUP_CONTROL!$C$6=2,CONSOLIDADO!$C$65,4557116.98)</f>
        <v>4557116.9791792</v>
      </c>
      <c r="E35" s="48" t="n">
        <f aca="false">IF(SUP_CONTROL!$C$6=3,CONSOLIDADO!$C$65,7221332)</f>
        <v>7221332</v>
      </c>
    </row>
    <row r="37" customFormat="false" ht="15" hidden="false" customHeight="true" outlineLevel="0" collapsed="false">
      <c r="B37" s="24" t="s">
        <v>138</v>
      </c>
      <c r="C37" s="25"/>
      <c r="D37" s="25"/>
      <c r="E37" s="25"/>
      <c r="F37" s="25"/>
      <c r="G37" s="25"/>
      <c r="H37" s="25"/>
      <c r="I37" s="25"/>
      <c r="J37" s="25"/>
      <c r="K37" s="25"/>
      <c r="L37" s="25"/>
      <c r="N37" s="25"/>
    </row>
    <row r="38" customFormat="false" ht="15" hidden="false" customHeight="true" outlineLevel="0" collapsed="false">
      <c r="B38" s="37" t="s">
        <v>139</v>
      </c>
      <c r="C38" s="38" t="n">
        <v>1</v>
      </c>
      <c r="D38" s="38" t="n">
        <v>2</v>
      </c>
      <c r="E38" s="38" t="n">
        <v>3</v>
      </c>
      <c r="F38" s="38" t="n">
        <v>4</v>
      </c>
      <c r="G38" s="38" t="n">
        <v>5</v>
      </c>
      <c r="H38" s="38" t="n">
        <v>6</v>
      </c>
      <c r="I38" s="38" t="n">
        <v>7</v>
      </c>
      <c r="J38" s="38" t="n">
        <v>8</v>
      </c>
      <c r="K38" s="38" t="n">
        <v>9</v>
      </c>
      <c r="L38" s="38" t="n">
        <v>10</v>
      </c>
    </row>
    <row r="39" customFormat="false" ht="15" hidden="false" customHeight="true" outlineLevel="0" collapsed="false">
      <c r="B39" s="39" t="s">
        <v>140</v>
      </c>
      <c r="C39" s="41" t="n">
        <f aca="false">IF(SUP_CONTROL!$C$6=1,CAPA3_DASHBOARD!C$22,33.64)</f>
        <v>33.64</v>
      </c>
      <c r="D39" s="41" t="n">
        <f aca="false">IF(SUP_CONTROL!$C$6=1,CAPA3_DASHBOARD!D$22,65.74)</f>
        <v>65.74</v>
      </c>
      <c r="E39" s="41" t="n">
        <f aca="false">IF(SUP_CONTROL!$C$6=1,CAPA3_DASHBOARD!E$22,79.39)</f>
        <v>79.39</v>
      </c>
      <c r="F39" s="41" t="n">
        <f aca="false">IF(SUP_CONTROL!$C$6=1,CAPA3_DASHBOARD!F$22,96.88)</f>
        <v>96.88</v>
      </c>
      <c r="G39" s="41" t="n">
        <f aca="false">IF(SUP_CONTROL!$C$6=1,CAPA3_DASHBOARD!G$22,127.88)</f>
        <v>127.88</v>
      </c>
      <c r="H39" s="41" t="n">
        <f aca="false">IF(SUP_CONTROL!$C$6=1,CAPA3_DASHBOARD!H$22,157.66)</f>
        <v>157.66</v>
      </c>
      <c r="I39" s="41" t="n">
        <f aca="false">IF(SUP_CONTROL!$C$6=1,CAPA3_DASHBOARD!I$22,186.45)</f>
        <v>186.45</v>
      </c>
      <c r="J39" s="41" t="n">
        <f aca="false">IF(SUP_CONTROL!$C$6=1,CAPA3_DASHBOARD!J$22,231.27)</f>
        <v>231.27</v>
      </c>
      <c r="K39" s="41" t="n">
        <f aca="false">IF(SUP_CONTROL!$C$6=1,CAPA3_DASHBOARD!K$22,275.34)</f>
        <v>275.34</v>
      </c>
      <c r="L39" s="41" t="n">
        <f aca="false">IF(SUP_CONTROL!$C$6=1,CAPA3_DASHBOARD!L$22,279.79)</f>
        <v>279.79</v>
      </c>
      <c r="N39" s="23" t="s">
        <v>141</v>
      </c>
    </row>
    <row r="40" customFormat="false" ht="15" hidden="false" customHeight="true" outlineLevel="0" collapsed="false">
      <c r="B40" s="39" t="s">
        <v>142</v>
      </c>
      <c r="C40" s="41" t="n">
        <f aca="false">IF(SUP_CONTROL!$C$6=2,CAPA3_DASHBOARD!C$22,40.36)</f>
        <v>40.3643625</v>
      </c>
      <c r="D40" s="41" t="n">
        <f aca="false">IF(SUP_CONTROL!$C$6=2,CAPA3_DASHBOARD!D$22,82.5)</f>
        <v>82.495875</v>
      </c>
      <c r="E40" s="41" t="n">
        <f aca="false">IF(SUP_CONTROL!$C$6=2,CAPA3_DASHBOARD!E$22,101.82)</f>
        <v>101.819804625</v>
      </c>
      <c r="F40" s="41" t="n">
        <f aca="false">IF(SUP_CONTROL!$C$6=2,CAPA3_DASHBOARD!F$22,141.48)</f>
        <v>141.477942375</v>
      </c>
      <c r="G40" s="41" t="n">
        <f aca="false">IF(SUP_CONTROL!$C$6=2,CAPA3_DASHBOARD!G$22,174.81)</f>
        <v>174.810260625</v>
      </c>
      <c r="H40" s="41" t="n">
        <f aca="false">IF(SUP_CONTROL!$C$6=2,CAPA3_DASHBOARD!H$22,226.61)</f>
        <v>226.611837375</v>
      </c>
      <c r="I40" s="41" t="n">
        <f aca="false">IF(SUP_CONTROL!$C$6=2,CAPA3_DASHBOARD!I$22,295.15)</f>
        <v>295.1521505625</v>
      </c>
      <c r="J40" s="41" t="n">
        <f aca="false">IF(SUP_CONTROL!$C$6=2,CAPA3_DASHBOARD!J$22,335.54)</f>
        <v>335.536047</v>
      </c>
      <c r="K40" s="41" t="n">
        <f aca="false">IF(SUP_CONTROL!$C$6=2,CAPA3_DASHBOARD!K$22,335.74)</f>
        <v>335.74464</v>
      </c>
      <c r="L40" s="41" t="n">
        <f aca="false">IF(SUP_CONTROL!$C$6=2,CAPA3_DASHBOARD!L$22,335.74)</f>
        <v>335.74464</v>
      </c>
    </row>
    <row r="41" customFormat="false" ht="15" hidden="false" customHeight="true" outlineLevel="0" collapsed="false">
      <c r="B41" s="39" t="s">
        <v>143</v>
      </c>
      <c r="C41" s="41" t="n">
        <f aca="false">IF(SUP_CONTROL!$C$6=3,CAPA3_DASHBOARD!C$22,48.05)</f>
        <v>48.05</v>
      </c>
      <c r="D41" s="41" t="n">
        <f aca="false">IF(SUP_CONTROL!$C$6=3,CAPA3_DASHBOARD!D$22,90.92)</f>
        <v>90.92</v>
      </c>
      <c r="E41" s="41" t="n">
        <f aca="false">IF(SUP_CONTROL!$C$6=3,CAPA3_DASHBOARD!E$22,124.01)</f>
        <v>124.01</v>
      </c>
      <c r="F41" s="41" t="n">
        <f aca="false">IF(SUP_CONTROL!$C$6=3,CAPA3_DASHBOARD!F$22,175.13)</f>
        <v>175.13</v>
      </c>
      <c r="G41" s="41" t="n">
        <f aca="false">IF(SUP_CONTROL!$C$6=3,CAPA3_DASHBOARD!G$22,225.15)</f>
        <v>225.15</v>
      </c>
      <c r="H41" s="41" t="n">
        <f aca="false">IF(SUP_CONTROL!$C$6=3,CAPA3_DASHBOARD!H$22,311.18)</f>
        <v>311.18</v>
      </c>
      <c r="I41" s="41" t="n">
        <f aca="false">IF(SUP_CONTROL!$C$6=3,CAPA3_DASHBOARD!I$22,386.38)</f>
        <v>386.38</v>
      </c>
      <c r="J41" s="41" t="n">
        <f aca="false">IF(SUP_CONTROL!$C$6=3,CAPA3_DASHBOARD!J$22,399.7)</f>
        <v>399.7</v>
      </c>
      <c r="K41" s="41" t="n">
        <f aca="false">IF(SUP_CONTROL!$C$6=3,CAPA3_DASHBOARD!K$22,399.7)</f>
        <v>399.7</v>
      </c>
      <c r="L41" s="41" t="n">
        <f aca="false">IF(SUP_CONTROL!$C$6=3,CAPA3_DASHBOARD!L$22,399.7)</f>
        <v>399.7</v>
      </c>
    </row>
    <row r="42" customFormat="false" ht="15" hidden="false" customHeight="true" outlineLevel="0" collapsed="false">
      <c r="B42" s="49"/>
      <c r="C42" s="41"/>
      <c r="D42" s="41"/>
      <c r="E42" s="41"/>
      <c r="F42" s="41"/>
      <c r="G42" s="41"/>
      <c r="H42" s="41"/>
      <c r="I42" s="41"/>
      <c r="J42" s="41"/>
      <c r="K42" s="41"/>
      <c r="L42" s="41"/>
    </row>
    <row r="43" customFormat="false" ht="15" hidden="false" customHeight="true" outlineLevel="0" collapsed="false">
      <c r="B43" s="39" t="s">
        <v>144</v>
      </c>
      <c r="C43" s="41" t="n">
        <f aca="false">IF(SUP_CONTROL!$C$6=1,CAPA3_DASHBOARD!C$22*12,403.64)</f>
        <v>403.64</v>
      </c>
      <c r="D43" s="41" t="n">
        <f aca="false">IF(SUP_CONTROL!$C$6=1,CAPA3_DASHBOARD!D$22*12,788.87)</f>
        <v>788.87</v>
      </c>
      <c r="E43" s="41" t="n">
        <f aca="false">IF(SUP_CONTROL!$C$6=1,CAPA3_DASHBOARD!E$22*12,952.64)</f>
        <v>952.64</v>
      </c>
      <c r="F43" s="41" t="n">
        <f aca="false">IF(SUP_CONTROL!$C$6=1,CAPA3_DASHBOARD!F$22*12,1162.56)</f>
        <v>1162.56</v>
      </c>
      <c r="G43" s="41" t="n">
        <f aca="false">IF(SUP_CONTROL!$C$6=1,CAPA3_DASHBOARD!G$22*12,1534.55)</f>
        <v>1534.55</v>
      </c>
      <c r="H43" s="41" t="n">
        <f aca="false">IF(SUP_CONTROL!$C$6=1,CAPA3_DASHBOARD!H$22*12,1891.87)</f>
        <v>1891.87</v>
      </c>
      <c r="I43" s="41" t="n">
        <f aca="false">IF(SUP_CONTROL!$C$6=1,CAPA3_DASHBOARD!I$22*12,2237.46)</f>
        <v>2237.46</v>
      </c>
      <c r="J43" s="41" t="n">
        <f aca="false">IF(SUP_CONTROL!$C$6=1,CAPA3_DASHBOARD!J$22*12,2775.19)</f>
        <v>2775.19</v>
      </c>
      <c r="K43" s="41" t="n">
        <f aca="false">IF(SUP_CONTROL!$C$6=1,CAPA3_DASHBOARD!K$22*12,3304.08)</f>
        <v>3304.08</v>
      </c>
      <c r="L43" s="41" t="n">
        <f aca="false">IF(SUP_CONTROL!$C$6=1,CAPA3_DASHBOARD!L$22*12,3357.45)</f>
        <v>3357.45</v>
      </c>
    </row>
    <row r="44" customFormat="false" ht="15" hidden="false" customHeight="true" outlineLevel="0" collapsed="false">
      <c r="B44" s="39" t="s">
        <v>145</v>
      </c>
      <c r="C44" s="41" t="n">
        <f aca="false">IF(SUP_CONTROL!$C$6=2,CAPA3_DASHBOARD!C$22*12,484.37)</f>
        <v>484.37235</v>
      </c>
      <c r="D44" s="41" t="n">
        <f aca="false">IF(SUP_CONTROL!$C$6=2,CAPA3_DASHBOARD!D$22*12,989.95)</f>
        <v>989.9505</v>
      </c>
      <c r="E44" s="41" t="n">
        <f aca="false">IF(SUP_CONTROL!$C$6=2,CAPA3_DASHBOARD!E$22*12,1221.84)</f>
        <v>1221.8376555</v>
      </c>
      <c r="F44" s="41" t="n">
        <f aca="false">IF(SUP_CONTROL!$C$6=2,CAPA3_DASHBOARD!F$22*12,1697.74)</f>
        <v>1697.7353085</v>
      </c>
      <c r="G44" s="41" t="n">
        <f aca="false">IF(SUP_CONTROL!$C$6=2,CAPA3_DASHBOARD!G$22*12,2097.72)</f>
        <v>2097.7231275</v>
      </c>
      <c r="H44" s="41" t="n">
        <f aca="false">IF(SUP_CONTROL!$C$6=2,CAPA3_DASHBOARD!H$22*12,2719.34)</f>
        <v>2719.3420485</v>
      </c>
      <c r="I44" s="41" t="n">
        <f aca="false">IF(SUP_CONTROL!$C$6=2,CAPA3_DASHBOARD!I$22*12,3541.83)</f>
        <v>3541.82580675</v>
      </c>
      <c r="J44" s="41" t="n">
        <f aca="false">IF(SUP_CONTROL!$C$6=2,CAPA3_DASHBOARD!J$22*12,4026.43)</f>
        <v>4026.432564</v>
      </c>
      <c r="K44" s="41" t="n">
        <f aca="false">IF(SUP_CONTROL!$C$6=2,CAPA3_DASHBOARD!K$22*12,4028.94)</f>
        <v>4028.93568</v>
      </c>
      <c r="L44" s="41" t="n">
        <f aca="false">IF(SUP_CONTROL!$C$6=2,CAPA3_DASHBOARD!L$22*12,4028.94)</f>
        <v>4028.93568</v>
      </c>
    </row>
    <row r="45" customFormat="false" ht="15" hidden="false" customHeight="true" outlineLevel="0" collapsed="false">
      <c r="B45" s="47" t="s">
        <v>146</v>
      </c>
      <c r="C45" s="50" t="n">
        <f aca="false">IF(SUP_CONTROL!$C$6=3,CAPA3_DASHBOARD!C$22*12,576.63)</f>
        <v>576.63</v>
      </c>
      <c r="D45" s="50" t="n">
        <f aca="false">IF(SUP_CONTROL!$C$6=3,CAPA3_DASHBOARD!D$22*12,1091.06)</f>
        <v>1091.06</v>
      </c>
      <c r="E45" s="50" t="n">
        <f aca="false">IF(SUP_CONTROL!$C$6=3,CAPA3_DASHBOARD!E$22*12,1488.18)</f>
        <v>1488.18</v>
      </c>
      <c r="F45" s="50" t="n">
        <f aca="false">IF(SUP_CONTROL!$C$6=3,CAPA3_DASHBOARD!F$22*12,2101.58)</f>
        <v>2101.58</v>
      </c>
      <c r="G45" s="50" t="n">
        <f aca="false">IF(SUP_CONTROL!$C$6=3,CAPA3_DASHBOARD!G$22*12,2701.81)</f>
        <v>2701.81</v>
      </c>
      <c r="H45" s="50" t="n">
        <f aca="false">IF(SUP_CONTROL!$C$6=3,CAPA3_DASHBOARD!H$22*12,3734.2)</f>
        <v>3734.2</v>
      </c>
      <c r="I45" s="50" t="n">
        <f aca="false">IF(SUP_CONTROL!$C$6=3,CAPA3_DASHBOARD!I$22*12,4636.57)</f>
        <v>4636.57</v>
      </c>
      <c r="J45" s="50" t="n">
        <f aca="false">IF(SUP_CONTROL!$C$6=3,CAPA3_DASHBOARD!J$22*12,4796.35)</f>
        <v>4796.35</v>
      </c>
      <c r="K45" s="50" t="n">
        <f aca="false">IF(SUP_CONTROL!$C$6=3,CAPA3_DASHBOARD!K$22*12,4796.35)</f>
        <v>4796.35</v>
      </c>
      <c r="L45" s="50" t="n">
        <f aca="false">IF(SUP_CONTROL!$C$6=3,CAPA3_DASHBOARD!L$22*12,4796.35)</f>
        <v>4796.35</v>
      </c>
    </row>
    <row r="47" customFormat="false" ht="15" hidden="false" customHeight="true" outlineLevel="0" collapsed="false">
      <c r="B47" s="24" t="s">
        <v>147</v>
      </c>
      <c r="C47" s="25"/>
      <c r="D47" s="25"/>
      <c r="E47" s="25"/>
      <c r="F47" s="25"/>
      <c r="G47" s="25"/>
      <c r="H47" s="25"/>
      <c r="I47" s="25"/>
      <c r="J47" s="25"/>
      <c r="K47" s="25"/>
      <c r="L47" s="25"/>
      <c r="N47" s="25"/>
    </row>
    <row r="48" customFormat="false" ht="15" hidden="false" customHeight="true" outlineLevel="0" collapsed="false">
      <c r="B48" s="37" t="s">
        <v>148</v>
      </c>
      <c r="C48" s="38" t="n">
        <v>1</v>
      </c>
      <c r="D48" s="38" t="n">
        <v>2</v>
      </c>
      <c r="E48" s="38" t="n">
        <v>3</v>
      </c>
      <c r="F48" s="38" t="n">
        <v>4</v>
      </c>
      <c r="G48" s="38" t="n">
        <v>5</v>
      </c>
      <c r="H48" s="38" t="n">
        <v>6</v>
      </c>
      <c r="I48" s="38" t="n">
        <v>7</v>
      </c>
      <c r="J48" s="38" t="n">
        <v>8</v>
      </c>
      <c r="K48" s="38" t="n">
        <v>9</v>
      </c>
      <c r="L48" s="38" t="n">
        <v>10</v>
      </c>
    </row>
    <row r="49" customFormat="false" ht="15" hidden="false" customHeight="true" outlineLevel="0" collapsed="false">
      <c r="B49" s="39" t="s">
        <v>149</v>
      </c>
      <c r="C49" s="51" t="n">
        <f aca="false">IF(SUP_CONTROL!$C$6=1,CAPA3_DASHBOARD!C$18,3161653.11)</f>
        <v>3161653.11</v>
      </c>
      <c r="D49" s="51" t="n">
        <f aca="false">IF(SUP_CONTROL!$C$6=1,CAPA3_DASHBOARD!D$18,6179008.73)</f>
        <v>6179008.73</v>
      </c>
      <c r="E49" s="51" t="n">
        <f aca="false">IF(SUP_CONTROL!$C$6=1,CAPA3_DASHBOARD!E$18,7461854.17)</f>
        <v>7461854.17</v>
      </c>
      <c r="F49" s="51" t="n">
        <f aca="false">IF(SUP_CONTROL!$C$6=1,CAPA3_DASHBOARD!F$18,9106090.2)</f>
        <v>9106090.2</v>
      </c>
      <c r="G49" s="51" t="n">
        <f aca="false">IF(SUP_CONTROL!$C$6=1,CAPA3_DASHBOARD!G$18,12019772.14)</f>
        <v>12019772.14</v>
      </c>
      <c r="H49" s="51" t="n">
        <f aca="false">IF(SUP_CONTROL!$C$6=1,CAPA3_DASHBOARD!H$18,14818633.53)</f>
        <v>14818633.53</v>
      </c>
      <c r="I49" s="51" t="n">
        <f aca="false">IF(SUP_CONTROL!$C$6=1,CAPA3_DASHBOARD!I$18,17525527.88)</f>
        <v>17525527.88</v>
      </c>
      <c r="J49" s="51" t="n">
        <f aca="false">IF(SUP_CONTROL!$C$6=1,CAPA3_DASHBOARD!J$18,21737460.94)</f>
        <v>21737460.94</v>
      </c>
      <c r="K49" s="51" t="n">
        <f aca="false">IF(SUP_CONTROL!$C$6=1,CAPA3_DASHBOARD!K$18,25880104.07)</f>
        <v>25880104.07</v>
      </c>
      <c r="L49" s="51" t="n">
        <f aca="false">IF(SUP_CONTROL!$C$6=1,CAPA3_DASHBOARD!L$18,26298150.65)</f>
        <v>26298150.65</v>
      </c>
      <c r="N49" s="23" t="s">
        <v>150</v>
      </c>
    </row>
    <row r="50" customFormat="false" ht="15" hidden="false" customHeight="true" outlineLevel="0" collapsed="false">
      <c r="B50" s="39" t="s">
        <v>151</v>
      </c>
      <c r="C50" s="51" t="n">
        <f aca="false">IF(SUP_CONTROL!$C$6=2,CAPA3_DASHBOARD!C$18,3793983.73)</f>
        <v>3793983.73411251</v>
      </c>
      <c r="D50" s="51" t="n">
        <f aca="false">IF(SUP_CONTROL!$C$6=2,CAPA3_DASHBOARD!D$18,7754067.91)</f>
        <v>7754067.90783279</v>
      </c>
      <c r="E50" s="51" t="n">
        <f aca="false">IF(SUP_CONTROL!$C$6=2,CAPA3_DASHBOARD!E$18,9570389.79)</f>
        <v>9570389.78524098</v>
      </c>
      <c r="F50" s="51" t="n">
        <f aca="false">IF(SUP_CONTROL!$C$6=2,CAPA3_DASHBOARD!F$18,13297993.05)</f>
        <v>13297993.0528187</v>
      </c>
      <c r="G50" s="51" t="n">
        <f aca="false">IF(SUP_CONTROL!$C$6=2,CAPA3_DASHBOARD!G$18,16431011.03)</f>
        <v>16431011.0277901</v>
      </c>
      <c r="H50" s="51" t="n">
        <f aca="false">IF(SUP_CONTROL!$C$6=2,CAPA3_DASHBOARD!H$18,21300017.43)</f>
        <v>21300017.4338961</v>
      </c>
      <c r="I50" s="51" t="n">
        <f aca="false">IF(SUP_CONTROL!$C$6=2,CAPA3_DASHBOARD!I$18,27742354.62)</f>
        <v>27742354.6159673</v>
      </c>
      <c r="J50" s="51" t="n">
        <f aca="false">IF(SUP_CONTROL!$C$6=2,CAPA3_DASHBOARD!J$18,31538174.41)</f>
        <v>31538174.4113118</v>
      </c>
      <c r="K50" s="51" t="n">
        <f aca="false">IF(SUP_CONTROL!$C$6=2,CAPA3_DASHBOARD!K$18,31557780.78)</f>
        <v>31557780.7769282</v>
      </c>
      <c r="L50" s="51" t="n">
        <f aca="false">IF(SUP_CONTROL!$C$6=2,CAPA3_DASHBOARD!L$18,31557780.78)</f>
        <v>31557780.7769282</v>
      </c>
    </row>
    <row r="51" customFormat="false" ht="15" hidden="false" customHeight="true" outlineLevel="0" collapsed="false">
      <c r="B51" s="39" t="s">
        <v>152</v>
      </c>
      <c r="C51" s="51" t="n">
        <f aca="false">IF(SUP_CONTROL!$C$6=3,CAPA3_DASHBOARD!C$18,4516647.3)</f>
        <v>4516647.3</v>
      </c>
      <c r="D51" s="51" t="n">
        <f aca="false">IF(SUP_CONTROL!$C$6=3,CAPA3_DASHBOARD!D$18,8546056.31)</f>
        <v>8546056.31</v>
      </c>
      <c r="E51" s="51" t="n">
        <f aca="false">IF(SUP_CONTROL!$C$6=3,CAPA3_DASHBOARD!E$18,11656584.94)</f>
        <v>11656584.94</v>
      </c>
      <c r="F51" s="51" t="n">
        <f aca="false">IF(SUP_CONTROL!$C$6=3,CAPA3_DASHBOARD!F$18,16461206.88)</f>
        <v>16461206.88</v>
      </c>
      <c r="G51" s="51" t="n">
        <f aca="false">IF(SUP_CONTROL!$C$6=3,CAPA3_DASHBOARD!G$18,21162662.24)</f>
        <v>21162662.24</v>
      </c>
      <c r="H51" s="51" t="n">
        <f aca="false">IF(SUP_CONTROL!$C$6=3,CAPA3_DASHBOARD!H$18,29249194.36)</f>
        <v>29249194.36</v>
      </c>
      <c r="I51" s="51" t="n">
        <f aca="false">IF(SUP_CONTROL!$C$6=3,CAPA3_DASHBOARD!I$18,36317214.27)</f>
        <v>36317214.27</v>
      </c>
      <c r="J51" s="51" t="n">
        <f aca="false">IF(SUP_CONTROL!$C$6=3,CAPA3_DASHBOARD!J$18,37568786.64)</f>
        <v>37568786.64</v>
      </c>
      <c r="K51" s="51" t="n">
        <f aca="false">IF(SUP_CONTROL!$C$6=3,CAPA3_DASHBOARD!K$18,37568786.64)</f>
        <v>37568786.64</v>
      </c>
      <c r="L51" s="51" t="n">
        <f aca="false">IF(SUP_CONTROL!$C$6=3,CAPA3_DASHBOARD!L$18,37568786.64)</f>
        <v>37568786.64</v>
      </c>
    </row>
    <row r="52" customFormat="false" ht="15" hidden="false" customHeight="true" outlineLevel="0" collapsed="false">
      <c r="B52" s="39" t="s">
        <v>153</v>
      </c>
      <c r="C52" s="51" t="n">
        <f aca="false">IF(SUP_CONTROL!$C$6=1,CAPA3_DASHBOARD!C$19,197294.6)</f>
        <v>197294.6</v>
      </c>
      <c r="D52" s="51" t="n">
        <f aca="false">IF(SUP_CONTROL!$C$6=1,CAPA3_DASHBOARD!D$19,651224.03)</f>
        <v>651224.03</v>
      </c>
      <c r="E52" s="51" t="n">
        <f aca="false">IF(SUP_CONTROL!$C$6=1,CAPA3_DASHBOARD!E$19,843994)</f>
        <v>843994</v>
      </c>
      <c r="F52" s="51" t="n">
        <f aca="false">IF(SUP_CONTROL!$C$6=1,CAPA3_DASHBOARD!F$19,1047726.93)</f>
        <v>1047726.93</v>
      </c>
      <c r="G52" s="51" t="n">
        <f aca="false">IF(SUP_CONTROL!$C$6=1,CAPA3_DASHBOARD!G$19,1515670.93)</f>
        <v>1515670.93</v>
      </c>
      <c r="H52" s="51" t="n">
        <f aca="false">IF(SUP_CONTROL!$C$6=1,CAPA3_DASHBOARD!H$19,1924065.64)</f>
        <v>1924065.64</v>
      </c>
      <c r="I52" s="51" t="n">
        <f aca="false">IF(SUP_CONTROL!$C$6=1,CAPA3_DASHBOARD!I$19,2159649.49)</f>
        <v>2159649.49</v>
      </c>
      <c r="J52" s="51" t="n">
        <f aca="false">IF(SUP_CONTROL!$C$6=1,CAPA3_DASHBOARD!J$19,2675009.01)</f>
        <v>2675009.01</v>
      </c>
      <c r="K52" s="51" t="n">
        <f aca="false">IF(SUP_CONTROL!$C$6=1,CAPA3_DASHBOARD!K$19,3193614.23)</f>
        <v>3193614.23</v>
      </c>
      <c r="L52" s="51" t="n">
        <f aca="false">IF(SUP_CONTROL!$C$6=1,CAPA3_DASHBOARD!L$19,3255844.35)</f>
        <v>3255844.35</v>
      </c>
    </row>
    <row r="53" customFormat="false" ht="15" hidden="false" customHeight="true" outlineLevel="0" collapsed="false">
      <c r="B53" s="39" t="s">
        <v>154</v>
      </c>
      <c r="C53" s="51" t="n">
        <f aca="false">IF(SUP_CONTROL!$C$6=2,CAPA3_DASHBOARD!C$19,335788.33)</f>
        <v>335788.332705445</v>
      </c>
      <c r="D53" s="51" t="n">
        <f aca="false">IF(SUP_CONTROL!$C$6=2,CAPA3_DASHBOARD!D$19,975841.48)</f>
        <v>975841.480904235</v>
      </c>
      <c r="E53" s="51" t="n">
        <f aca="false">IF(SUP_CONTROL!$C$6=2,CAPA3_DASHBOARD!E$19,1254996.76)</f>
        <v>1254996.75668088</v>
      </c>
      <c r="F53" s="51" t="n">
        <f aca="false">IF(SUP_CONTROL!$C$6=2,CAPA3_DASHBOARD!F$19,1865534.89)</f>
        <v>1865534.8867512</v>
      </c>
      <c r="G53" s="51" t="n">
        <f aca="false">IF(SUP_CONTROL!$C$6=2,CAPA3_DASHBOARD!G$19,2281777.7)</f>
        <v>2281777.69579014</v>
      </c>
      <c r="H53" s="51" t="n">
        <f aca="false">IF(SUP_CONTROL!$C$6=2,CAPA3_DASHBOARD!H$19,2982586.37)</f>
        <v>2982586.36989393</v>
      </c>
      <c r="I53" s="51" t="n">
        <f aca="false">IF(SUP_CONTROL!$C$6=2,CAPA3_DASHBOARD!I$19,3988429.16)</f>
        <v>3988429.15906794</v>
      </c>
      <c r="J53" s="51" t="n">
        <f aca="false">IF(SUP_CONTROL!$C$6=2,CAPA3_DASHBOARD!J$19,4497980.42)</f>
        <v>4497980.42326709</v>
      </c>
      <c r="K53" s="51" t="n">
        <f aca="false">IF(SUP_CONTROL!$C$6=2,CAPA3_DASHBOARD!K$19,4503881.38)</f>
        <v>4503881.38150039</v>
      </c>
      <c r="L53" s="51" t="n">
        <f aca="false">IF(SUP_CONTROL!$C$6=2,CAPA3_DASHBOARD!L$19,4503881.38)</f>
        <v>4503881.38150039</v>
      </c>
    </row>
    <row r="54" customFormat="false" ht="15" hidden="false" customHeight="true" outlineLevel="0" collapsed="false">
      <c r="B54" s="39" t="s">
        <v>155</v>
      </c>
      <c r="C54" s="51" t="n">
        <f aca="false">IF(SUP_CONTROL!$C$6=3,CAPA3_DASHBOARD!C$19,469953.66)</f>
        <v>469953.66</v>
      </c>
      <c r="D54" s="51" t="n">
        <f aca="false">IF(SUP_CONTROL!$C$6=3,CAPA3_DASHBOARD!D$19,1111451.58)</f>
        <v>1111451.58</v>
      </c>
      <c r="E54" s="51" t="n">
        <f aca="false">IF(SUP_CONTROL!$C$6=3,CAPA3_DASHBOARD!E$19,1654362.19)</f>
        <v>1654362.19</v>
      </c>
      <c r="F54" s="51" t="n">
        <f aca="false">IF(SUP_CONTROL!$C$6=3,CAPA3_DASHBOARD!F$19,2445302.79)</f>
        <v>2445302.79</v>
      </c>
      <c r="G54" s="51" t="n">
        <f aca="false">IF(SUP_CONTROL!$C$6=3,CAPA3_DASHBOARD!G$19,3129121.08)</f>
        <v>3129121.08</v>
      </c>
      <c r="H54" s="51" t="n">
        <f aca="false">IF(SUP_CONTROL!$C$6=3,CAPA3_DASHBOARD!H$19,4433637.83)</f>
        <v>4433637.83</v>
      </c>
      <c r="I54" s="51" t="n">
        <f aca="false">IF(SUP_CONTROL!$C$6=3,CAPA3_DASHBOARD!I$19,5656806.7)</f>
        <v>5656806.7</v>
      </c>
      <c r="J54" s="51" t="n">
        <f aca="false">IF(SUP_CONTROL!$C$6=3,CAPA3_DASHBOARD!J$19,5877633.13)</f>
        <v>5877633.13</v>
      </c>
      <c r="K54" s="51" t="n">
        <f aca="false">IF(SUP_CONTROL!$C$6=3,CAPA3_DASHBOARD!K$19,5877633.13)</f>
        <v>5877633.13</v>
      </c>
      <c r="L54" s="51" t="n">
        <f aca="false">IF(SUP_CONTROL!$C$6=3,CAPA3_DASHBOARD!L$19,5877633.13)</f>
        <v>5877633.13</v>
      </c>
    </row>
    <row r="55" customFormat="false" ht="15" hidden="false" customHeight="true" outlineLevel="0" collapsed="false">
      <c r="B55" s="39" t="s">
        <v>156</v>
      </c>
      <c r="C55" s="51" t="n">
        <f aca="false">IF(SUP_CONTROL!$C$6=1,CAPA3_DASHBOARD!C$20,-1956795.32)</f>
        <v>-1956795.32</v>
      </c>
      <c r="D55" s="51" t="n">
        <f aca="false">IF(SUP_CONTROL!$C$6=1,CAPA3_DASHBOARD!D$20,183448.15)</f>
        <v>183448.15</v>
      </c>
      <c r="E55" s="51" t="n">
        <f aca="false">IF(SUP_CONTROL!$C$6=1,CAPA3_DASHBOARD!E$20,41858.54)</f>
        <v>41858.54</v>
      </c>
      <c r="F55" s="51" t="n">
        <f aca="false">IF(SUP_CONTROL!$C$6=1,CAPA3_DASHBOARD!F$20,305027.55)</f>
        <v>305027.55</v>
      </c>
      <c r="G55" s="51" t="n">
        <f aca="false">IF(SUP_CONTROL!$C$6=1,CAPA3_DASHBOARD!G$20,538854.92)</f>
        <v>538854.92</v>
      </c>
      <c r="H55" s="51" t="n">
        <f aca="false">IF(SUP_CONTROL!$C$6=1,CAPA3_DASHBOARD!H$20,410110.65)</f>
        <v>410110.65</v>
      </c>
      <c r="I55" s="51" t="n">
        <f aca="false">IF(SUP_CONTROL!$C$6=1,CAPA3_DASHBOARD!I$20,-200278.42)</f>
        <v>-200278.42</v>
      </c>
      <c r="J55" s="51" t="n">
        <f aca="false">IF(SUP_CONTROL!$C$6=1,CAPA3_DASHBOARD!J$20,525506.66)</f>
        <v>525506.66</v>
      </c>
      <c r="K55" s="51" t="n">
        <f aca="false">IF(SUP_CONTROL!$C$6=1,CAPA3_DASHBOARD!K$20,2144101.53)</f>
        <v>2144101.53</v>
      </c>
      <c r="L55" s="51" t="n">
        <f aca="false">IF(SUP_CONTROL!$C$6=1,CAPA3_DASHBOARD!L$20,2409210.53)</f>
        <v>2409210.53</v>
      </c>
      <c r="N55" s="23" t="s">
        <v>157</v>
      </c>
    </row>
    <row r="56" customFormat="false" ht="15" hidden="false" customHeight="true" outlineLevel="0" collapsed="false">
      <c r="B56" s="39" t="s">
        <v>158</v>
      </c>
      <c r="C56" s="51" t="n">
        <f aca="false">IF(SUP_CONTROL!$C$6=2,CAPA3_DASHBOARD!C$20,-1871656.73)</f>
        <v>-1871656.73402756</v>
      </c>
      <c r="D56" s="51" t="n">
        <f aca="false">IF(SUP_CONTROL!$C$6=2,CAPA3_DASHBOARD!D$20,394456.76)</f>
        <v>394456.762165295</v>
      </c>
      <c r="E56" s="51" t="n">
        <f aca="false">IF(SUP_CONTROL!$C$6=2,CAPA3_DASHBOARD!E$20,104175.83)</f>
        <v>104175.82726838</v>
      </c>
      <c r="F56" s="51" t="n">
        <f aca="false">IF(SUP_CONTROL!$C$6=2,CAPA3_DASHBOARD!F$20,502415.74)</f>
        <v>502415.739877376</v>
      </c>
      <c r="G56" s="51" t="n">
        <f aca="false">IF(SUP_CONTROL!$C$6=2,CAPA3_DASHBOARD!G$20,-72954.07)</f>
        <v>-72954.0728894228</v>
      </c>
      <c r="H56" s="51" t="n">
        <f aca="false">IF(SUP_CONTROL!$C$6=2,CAPA3_DASHBOARD!H$20,551432.49)</f>
        <v>551432.488667996</v>
      </c>
      <c r="I56" s="51" t="n">
        <f aca="false">IF(SUP_CONTROL!$C$6=2,CAPA3_DASHBOARD!I$20,1119799.74)</f>
        <v>1119799.73629826</v>
      </c>
      <c r="J56" s="51" t="n">
        <f aca="false">IF(SUP_CONTROL!$C$6=2,CAPA3_DASHBOARD!J$20,3249726.61)</f>
        <v>3249726.60943928</v>
      </c>
      <c r="K56" s="51" t="n">
        <f aca="false">IF(SUP_CONTROL!$C$6=2,CAPA3_DASHBOARD!K$20,3252421.24)</f>
        <v>3252421.24187326</v>
      </c>
      <c r="L56" s="51" t="n">
        <f aca="false">IF(SUP_CONTROL!$C$6=2,CAPA3_DASHBOARD!L$20,3252421.24)</f>
        <v>3252421.24187326</v>
      </c>
    </row>
    <row r="57" customFormat="false" ht="15" hidden="false" customHeight="true" outlineLevel="0" collapsed="false">
      <c r="B57" s="47" t="s">
        <v>159</v>
      </c>
      <c r="C57" s="52" t="n">
        <f aca="false">IF(SUP_CONTROL!$C$6=3,CAPA3_DASHBOARD!C$20,-1801558.31)</f>
        <v>-1801558.31</v>
      </c>
      <c r="D57" s="52" t="n">
        <f aca="false">IF(SUP_CONTROL!$C$6=3,CAPA3_DASHBOARD!D$20,140872.98)</f>
        <v>140872.98</v>
      </c>
      <c r="E57" s="52" t="n">
        <f aca="false">IF(SUP_CONTROL!$C$6=3,CAPA3_DASHBOARD!E$20,349688.9)</f>
        <v>349688.9</v>
      </c>
      <c r="F57" s="52" t="n">
        <f aca="false">IF(SUP_CONTROL!$C$6=3,CAPA3_DASHBOARD!F$20,623504.01)</f>
        <v>623504.01</v>
      </c>
      <c r="G57" s="52" t="n">
        <f aca="false">IF(SUP_CONTROL!$C$6=3,CAPA3_DASHBOARD!G$20,496921.62)</f>
        <v>496921.62</v>
      </c>
      <c r="H57" s="52" t="n">
        <f aca="false">IF(SUP_CONTROL!$C$6=3,CAPA3_DASHBOARD!H$20,889383.42)</f>
        <v>889383.42</v>
      </c>
      <c r="I57" s="52" t="n">
        <f aca="false">IF(SUP_CONTROL!$C$6=3,CAPA3_DASHBOARD!I$20,3518768.82)</f>
        <v>3518768.82</v>
      </c>
      <c r="J57" s="52" t="n">
        <f aca="false">IF(SUP_CONTROL!$C$6=3,CAPA3_DASHBOARD!J$20,4159097.39)</f>
        <v>4159097.39</v>
      </c>
      <c r="K57" s="52" t="n">
        <f aca="false">IF(SUP_CONTROL!$C$6=3,CAPA3_DASHBOARD!K$20,4159097.39)</f>
        <v>4159097.39</v>
      </c>
      <c r="L57" s="52" t="n">
        <f aca="false">IF(SUP_CONTROL!$C$6=3,CAPA3_DASHBOARD!L$20,4159097.39)</f>
        <v>4159097.39</v>
      </c>
    </row>
    <row r="59" customFormat="false" ht="15" hidden="false" customHeight="true" outlineLevel="0" collapsed="false">
      <c r="B59" s="24" t="s">
        <v>160</v>
      </c>
      <c r="C59" s="25"/>
      <c r="D59" s="25"/>
      <c r="E59" s="25"/>
      <c r="F59" s="25"/>
      <c r="G59" s="25"/>
      <c r="H59" s="25"/>
      <c r="I59" s="25"/>
      <c r="J59" s="25"/>
      <c r="K59" s="25"/>
      <c r="L59" s="25"/>
      <c r="N59" s="25"/>
    </row>
    <row r="60" customFormat="false" ht="15" hidden="false" customHeight="true" outlineLevel="0" collapsed="false">
      <c r="B60" s="37" t="s">
        <v>161</v>
      </c>
      <c r="C60" s="38" t="s">
        <v>162</v>
      </c>
      <c r="D60" s="38" t="s">
        <v>163</v>
      </c>
      <c r="E60" s="38" t="s">
        <v>164</v>
      </c>
    </row>
    <row r="61" customFormat="false" ht="15" hidden="false" customHeight="true" outlineLevel="0" collapsed="false">
      <c r="B61" s="39" t="s">
        <v>165</v>
      </c>
      <c r="C61" s="53" t="n">
        <f aca="false">CHOOSE(SUP_CONTROL!$C$6,SUP_VOLUMEN!$C$30,SUP_VOLUMEN!$D$30,SUP_VOLUMEN!$E$30)</f>
        <v>4200</v>
      </c>
      <c r="D61" s="53" t="n">
        <f aca="false">CHOOSE(SUP_CONTROL!$C$6,SUP_VOLUMEN!$C$31,SUP_VOLUMEN!$D$31,SUP_VOLUMEN!$E$31)</f>
        <v>5460</v>
      </c>
      <c r="E61" s="53" t="n">
        <f aca="false">CHOOSE(SUP_CONTROL!$C$6,SUP_VOLUMEN!$C$32,SUP_VOLUMEN!$D$32,SUP_VOLUMEN!$E$32)</f>
        <v>8400</v>
      </c>
      <c r="N61" s="23" t="s">
        <v>166</v>
      </c>
    </row>
    <row r="62" customFormat="false" ht="15" hidden="false" customHeight="true" outlineLevel="0" collapsed="false">
      <c r="B62" s="39" t="s">
        <v>167</v>
      </c>
      <c r="C62" s="54" t="n">
        <f aca="false">C61*SUP_CONTROL!$C$26</f>
        <v>54281.1894143002</v>
      </c>
      <c r="D62" s="54" t="n">
        <f aca="false">D61*SUP_CONTROL!$C$26</f>
        <v>70565.5462385903</v>
      </c>
      <c r="E62" s="54" t="n">
        <f aca="false">E61*SUP_CONTROL!$C$26*(1+SUP_CONTROL!$C$37)</f>
        <v>113990.49777003</v>
      </c>
    </row>
    <row r="63" customFormat="false" ht="15" hidden="false" customHeight="true" outlineLevel="0" collapsed="false">
      <c r="B63" s="39" t="s">
        <v>168</v>
      </c>
      <c r="C63" s="54" t="n">
        <f aca="false">C61*SUP_CONTROL!$C$27</f>
        <v>23872.9542400885</v>
      </c>
      <c r="D63" s="54" t="n">
        <f aca="false">D61*SUP_CONTROL!$C$27</f>
        <v>31034.8405121151</v>
      </c>
      <c r="E63" s="54" t="n">
        <f aca="false">E61*SUP_CONTROL!$C$27+E61*SUP_CONTROL!$C$26*SUP_CONTROL!$C$37*SUP_CONTROL!$C$38</f>
        <v>50459.967950892</v>
      </c>
    </row>
    <row r="64" customFormat="false" ht="15" hidden="false" customHeight="true" outlineLevel="0" collapsed="false">
      <c r="B64" s="39" t="s">
        <v>169</v>
      </c>
      <c r="C64" s="51" t="n">
        <f aca="false">-(C62*SUP_OPEX!$C$30+C61*SUP_COSTOS!$C$6*(SUP_PRODUCCION!$C$79+SUP_PLANTA_OPEX!$C$34))</f>
        <v>-6101.34762478598</v>
      </c>
      <c r="D64" s="51" t="n">
        <f aca="false">-(D62*SUP_OPEX!$C$30+D61*SUP_COSTOS!$C$6*(SUP_PRODUCCION!$C$79+SUP_PLANTA_OPEX!$C$34))</f>
        <v>-7931.75191222177</v>
      </c>
      <c r="E64" s="51" t="n">
        <f aca="false">-(E62*(SUP_OPEX!$C$30+SUP_OPEX!$C$31)+E61*SUP_COSTOS!$C$6*(SUP_PRODUCCION!$C$79+SUP_PLANTA_OPEX!$C$34))</f>
        <v>-16138.0814821087</v>
      </c>
      <c r="N64" s="23" t="s">
        <v>170</v>
      </c>
    </row>
    <row r="65" customFormat="false" ht="15" hidden="false" customHeight="true" outlineLevel="0" collapsed="false">
      <c r="B65" s="39" t="s">
        <v>171</v>
      </c>
      <c r="C65" s="51" t="n">
        <f aca="false">-SUP_OPEX!$D$23</f>
        <v>-6439</v>
      </c>
      <c r="D65" s="51" t="n">
        <f aca="false">-SUP_OPEX!$E$23</f>
        <v>-8775</v>
      </c>
      <c r="E65" s="51" t="n">
        <f aca="false">-SUP_OPEX!$F$23</f>
        <v>-20437.75</v>
      </c>
    </row>
    <row r="66" customFormat="false" ht="15" hidden="false" customHeight="true" outlineLevel="0" collapsed="false">
      <c r="B66" s="39" t="s">
        <v>172</v>
      </c>
      <c r="C66" s="55" t="n">
        <f aca="false">C63+C64+C65</f>
        <v>11332.6066153025</v>
      </c>
      <c r="D66" s="55" t="n">
        <f aca="false">D63+D64+D65</f>
        <v>14328.0885998933</v>
      </c>
      <c r="E66" s="55" t="n">
        <f aca="false">E63+E64+E65</f>
        <v>13884.1364687833</v>
      </c>
    </row>
    <row r="67" customFormat="false" ht="15" hidden="false" customHeight="true" outlineLevel="0" collapsed="false">
      <c r="B67" s="39" t="s">
        <v>173</v>
      </c>
      <c r="C67" s="56" t="n">
        <f aca="false">IF(C62=0,0,C66/C62)</f>
        <v>0.208775944992779</v>
      </c>
      <c r="D67" s="56" t="n">
        <f aca="false">IF(D62=0,0,D66/D62)</f>
        <v>0.203046520060206</v>
      </c>
      <c r="E67" s="56" t="n">
        <f aca="false">IF(E62=0,0,E66/E62)</f>
        <v>0.121800823229966</v>
      </c>
    </row>
    <row r="68" customFormat="false" ht="15" hidden="false" customHeight="true" outlineLevel="0" collapsed="false">
      <c r="B68" s="39" t="s">
        <v>174</v>
      </c>
      <c r="C68" s="57" t="n">
        <f aca="false">SUP_CAPEX_VENTANA!$H$42</f>
        <v>92556.937</v>
      </c>
      <c r="D68" s="57" t="n">
        <f aca="false">SUP_CAPEX_DINEIN!$H$43</f>
        <v>138911.02225</v>
      </c>
      <c r="E68" s="57" t="n">
        <f aca="false">SUP_CAPEX_FLAGSHIP!$H$55</f>
        <v>485628.42075</v>
      </c>
    </row>
    <row r="69" customFormat="false" ht="15" hidden="false" customHeight="true" outlineLevel="0" collapsed="false">
      <c r="B69" s="39" t="s">
        <v>175</v>
      </c>
      <c r="C69" s="54" t="n">
        <f aca="false">SUP_CONTROL!$C$19*-C65</f>
        <v>6439</v>
      </c>
      <c r="D69" s="54" t="n">
        <f aca="false">SUP_CONTROL!$C$19*-D65</f>
        <v>8775</v>
      </c>
      <c r="E69" s="54" t="n">
        <f aca="false">SUP_CONTROL!$C$19*-E65</f>
        <v>20437.75</v>
      </c>
    </row>
    <row r="70" customFormat="false" ht="15" hidden="false" customHeight="true" outlineLevel="0" collapsed="false">
      <c r="B70" s="39" t="s">
        <v>176</v>
      </c>
      <c r="C70" s="58" t="n">
        <f aca="false">IF(C66&lt;=0,"no recupera",(C68+C69)/C66)</f>
        <v>8.73549575667126</v>
      </c>
      <c r="D70" s="58" t="n">
        <f aca="false">IF(D66&lt;=0,"no recupera",(D68+D69)/D66)</f>
        <v>10.3074475859327</v>
      </c>
      <c r="E70" s="58" t="n">
        <f aca="false">IF(E66&lt;=0,"no recupera",(E68+E69)/E66)</f>
        <v>36.4492362840011</v>
      </c>
      <c r="N70" s="23" t="s">
        <v>177</v>
      </c>
    </row>
    <row r="71" customFormat="false" ht="15" hidden="false" customHeight="true" outlineLevel="0" collapsed="false">
      <c r="B71" s="47" t="s">
        <v>178</v>
      </c>
      <c r="C71" s="59" t="n">
        <f aca="false">IF(C66&lt;=0,"n/a",(1+IFERROR(RATE(120,C66,-(C68+C69),0,0,C66/(C68+C69)),C66/(C68+C69)))^12-1)</f>
        <v>2.67151218649123</v>
      </c>
      <c r="D71" s="59" t="n">
        <f aca="false">IF(D66&lt;=0,"n/a",(1+IFERROR(RATE(120,D66,-(D68+D69),0,0,D66/(D68+D69)),D66/(D68+D69)))^12-1)</f>
        <v>2.03776722126928</v>
      </c>
      <c r="E71" s="59" t="n">
        <f aca="false">IF(E66&lt;=0,"n/a",(1+IFERROR(RATE(120,E66,-(E68+E69),0,0,E66/(E68+E69)),E66/(E68+E69)))^12-1)</f>
        <v>0.363976093249373</v>
      </c>
      <c r="N71" s="23" t="s">
        <v>179</v>
      </c>
    </row>
    <row r="74" customFormat="false" ht="15" hidden="false" customHeight="true" outlineLevel="0" collapsed="false">
      <c r="B74" s="24" t="s">
        <v>180</v>
      </c>
      <c r="C74" s="25"/>
      <c r="D74" s="25"/>
      <c r="E74" s="25"/>
      <c r="F74" s="25"/>
      <c r="G74" s="25"/>
      <c r="H74" s="25"/>
      <c r="I74" s="25"/>
      <c r="J74" s="25"/>
      <c r="K74" s="25"/>
      <c r="L74" s="25"/>
      <c r="N74" s="25"/>
    </row>
    <row r="75" customFormat="false" ht="15" hidden="false" customHeight="true" outlineLevel="0" collapsed="false">
      <c r="B75" s="23" t="s">
        <v>181</v>
      </c>
    </row>
    <row r="76" customFormat="false" ht="15" hidden="false" customHeight="true" outlineLevel="0" collapsed="false">
      <c r="B76" s="23" t="s">
        <v>182</v>
      </c>
    </row>
    <row r="77" customFormat="false" ht="15" hidden="false" customHeight="true" outlineLevel="0" collapsed="false">
      <c r="B77" s="23" t="s">
        <v>183</v>
      </c>
    </row>
    <row r="98" customFormat="false" ht="15" hidden="false" customHeight="true" outlineLevel="0" collapsed="false">
      <c r="B98" s="60" t="s">
        <v>184</v>
      </c>
      <c r="N98" s="23" t="s">
        <v>185</v>
      </c>
    </row>
    <row r="99" customFormat="false" ht="15" hidden="false" customHeight="true" outlineLevel="0" collapsed="false">
      <c r="C99" s="1" t="str">
        <f aca="false">IF(OR(COUNTIF(PUNTO_EQUILIBRIO!$E$46,"⚠*")&gt;0,COUNTIF(PUNTO_EQUILIBRIO!$E$51:$E$59,"⚠*")&gt;0),"⚠ Snapshot desactualizado: cambió la WACC o la economía por pollo (ver PUNTO_EQUILIBRIO, filas 44-59) — pedir recálculo de las 12 corridas","✓ Snapshot vigente v12 (WACC 20%, pollo 1,65 kg × 2,20 USD/kg beneficiado, marinado 150 g/kg, apanado corregido, 27-sep-2026)")</f>
        <v>✓ Snapshot vigente v12 (WACC 20%, pollo 1,65 kg × 2,20 USD/kg beneficiado, marinado 150 g/kg, apanado corregido, 27-sep-2026)</v>
      </c>
    </row>
    <row r="100" customFormat="false" ht="15" hidden="false" customHeight="true" outlineLevel="0" collapsed="false">
      <c r="B100" s="61" t="s">
        <v>186</v>
      </c>
      <c r="C100" s="62" t="s">
        <v>187</v>
      </c>
      <c r="D100" s="62" t="s">
        <v>188</v>
      </c>
      <c r="E100" s="62" t="s">
        <v>189</v>
      </c>
      <c r="F100" s="62" t="s">
        <v>190</v>
      </c>
      <c r="G100" s="62" t="s">
        <v>191</v>
      </c>
      <c r="H100" s="62" t="s">
        <v>192</v>
      </c>
      <c r="N100" s="23" t="s">
        <v>193</v>
      </c>
    </row>
    <row r="101" customFormat="false" ht="15" hidden="false" customHeight="true" outlineLevel="0" collapsed="false">
      <c r="B101" s="63" t="str">
        <f aca="false">"ESCENARIO BÁSICO — "&amp;TEXT(SUP_VOLUMEN!$C$16,"#,##0")&amp;" pollos/mes por ventana"</f>
        <v>ESCENARIO BÁSICO — 3,500 pollos/mes por ventana</v>
      </c>
      <c r="C101" s="49"/>
      <c r="D101" s="49"/>
      <c r="E101" s="49"/>
      <c r="F101" s="49"/>
      <c r="G101" s="49"/>
      <c r="H101" s="49"/>
    </row>
    <row r="102" customFormat="false" ht="15" hidden="false" customHeight="true" outlineLevel="0" collapsed="false">
      <c r="B102" s="49" t="s">
        <v>194</v>
      </c>
      <c r="C102" s="42" t="n">
        <v>2102900</v>
      </c>
      <c r="D102" s="42" t="n">
        <v>2102900</v>
      </c>
      <c r="E102" s="64" t="n">
        <v>62314</v>
      </c>
      <c r="F102" s="65" t="n">
        <v>0.2089</v>
      </c>
      <c r="G102" s="46" t="s">
        <v>195</v>
      </c>
      <c r="H102" s="64" t="n">
        <v>638975</v>
      </c>
    </row>
    <row r="103" customFormat="false" ht="15" hidden="false" customHeight="true" outlineLevel="0" collapsed="false">
      <c r="B103" s="49" t="s">
        <v>196</v>
      </c>
      <c r="C103" s="42" t="n">
        <v>2102900</v>
      </c>
      <c r="D103" s="42" t="n">
        <v>8586906</v>
      </c>
      <c r="E103" s="64" t="n">
        <v>-276534</v>
      </c>
      <c r="F103" s="65" t="n">
        <v>0.1726</v>
      </c>
      <c r="G103" s="46" t="s">
        <v>197</v>
      </c>
      <c r="H103" s="64" t="n">
        <v>2080960</v>
      </c>
    </row>
    <row r="104" customFormat="false" ht="15" hidden="false" customHeight="true" outlineLevel="0" collapsed="false">
      <c r="B104" s="49" t="s">
        <v>198</v>
      </c>
      <c r="C104" s="42" t="n">
        <v>2328749</v>
      </c>
      <c r="D104" s="42" t="n">
        <v>8812755</v>
      </c>
      <c r="E104" s="64" t="n">
        <v>-186894</v>
      </c>
      <c r="F104" s="65" t="n">
        <v>0.183</v>
      </c>
      <c r="G104" s="46" t="s">
        <v>199</v>
      </c>
      <c r="H104" s="64" t="n">
        <v>2340399</v>
      </c>
    </row>
    <row r="105" customFormat="false" ht="15" hidden="false" customHeight="true" outlineLevel="0" collapsed="false">
      <c r="B105" s="39" t="s">
        <v>200</v>
      </c>
      <c r="C105" s="43" t="n">
        <v>2863821</v>
      </c>
      <c r="D105" s="43" t="n">
        <v>9816853</v>
      </c>
      <c r="E105" s="66" t="n">
        <v>-714461</v>
      </c>
      <c r="F105" s="45" t="n">
        <v>0.1417</v>
      </c>
      <c r="G105" s="67" t="s">
        <v>201</v>
      </c>
      <c r="H105" s="66" t="n">
        <v>1785270</v>
      </c>
    </row>
    <row r="106" customFormat="false" ht="15" hidden="false" customHeight="true" outlineLevel="0" collapsed="false">
      <c r="B106" s="68" t="s">
        <v>202</v>
      </c>
      <c r="C106" s="69" t="n">
        <f aca="false">C105-C104</f>
        <v>535072</v>
      </c>
      <c r="D106" s="49"/>
      <c r="E106" s="69" t="n">
        <f aca="false">E105-E104</f>
        <v>-527567</v>
      </c>
      <c r="F106" s="70" t="n">
        <f aca="false">F105-F104</f>
        <v>-0.0413</v>
      </c>
      <c r="G106" s="49"/>
      <c r="H106" s="69" t="n">
        <f aca="false">H105-H104</f>
        <v>-555129</v>
      </c>
    </row>
    <row r="107" customFormat="false" ht="15" hidden="false" customHeight="true" outlineLevel="0" collapsed="false">
      <c r="B107" s="49"/>
      <c r="C107" s="49"/>
      <c r="D107" s="49"/>
      <c r="E107" s="49"/>
      <c r="F107" s="49"/>
      <c r="G107" s="49"/>
      <c r="H107" s="49"/>
    </row>
    <row r="108" customFormat="false" ht="15" hidden="false" customHeight="true" outlineLevel="0" collapsed="false">
      <c r="B108" s="63" t="str">
        <f aca="false">"ESCENARIO MEDIO — "&amp;TEXT(SUP_VOLUMEN!$D$16,"#,##0")&amp;" pollos/mes por ventana"</f>
        <v>ESCENARIO MEDIO — 4,200 pollos/mes por ventana</v>
      </c>
      <c r="C108" s="49"/>
      <c r="D108" s="49"/>
      <c r="E108" s="49"/>
      <c r="F108" s="49"/>
      <c r="G108" s="49"/>
      <c r="H108" s="49"/>
    </row>
    <row r="109" customFormat="false" ht="15" hidden="false" customHeight="true" outlineLevel="0" collapsed="false">
      <c r="B109" s="49" t="s">
        <v>194</v>
      </c>
      <c r="C109" s="42" t="n">
        <v>2114490</v>
      </c>
      <c r="D109" s="42" t="n">
        <v>2114490</v>
      </c>
      <c r="E109" s="64" t="n">
        <v>826515</v>
      </c>
      <c r="F109" s="65" t="n">
        <v>0.3137</v>
      </c>
      <c r="G109" s="46" t="s">
        <v>203</v>
      </c>
      <c r="H109" s="64" t="n">
        <v>1598368</v>
      </c>
    </row>
    <row r="110" customFormat="false" ht="15" hidden="false" customHeight="true" outlineLevel="0" collapsed="false">
      <c r="B110" s="49" t="s">
        <v>196</v>
      </c>
      <c r="C110" s="42" t="n">
        <v>2114490</v>
      </c>
      <c r="D110" s="42" t="n">
        <v>9188258</v>
      </c>
      <c r="E110" s="64" t="n">
        <v>1374513</v>
      </c>
      <c r="F110" s="65" t="n">
        <v>0.3068</v>
      </c>
      <c r="G110" s="46" t="s">
        <v>204</v>
      </c>
      <c r="H110" s="64" t="n">
        <v>4557117</v>
      </c>
    </row>
    <row r="111" customFormat="false" ht="15" hidden="false" customHeight="true" outlineLevel="0" collapsed="false">
      <c r="B111" s="49" t="s">
        <v>198</v>
      </c>
      <c r="C111" s="42" t="n">
        <v>2340340</v>
      </c>
      <c r="D111" s="42" t="n">
        <v>9414108</v>
      </c>
      <c r="E111" s="64" t="n">
        <v>1470941</v>
      </c>
      <c r="F111" s="65" t="n">
        <v>0.3074</v>
      </c>
      <c r="G111" s="46" t="s">
        <v>205</v>
      </c>
      <c r="H111" s="64" t="n">
        <v>4823344</v>
      </c>
    </row>
    <row r="112" customFormat="false" ht="15" hidden="false" customHeight="true" outlineLevel="0" collapsed="false">
      <c r="B112" s="39" t="s">
        <v>200</v>
      </c>
      <c r="C112" s="43" t="n">
        <v>2876406</v>
      </c>
      <c r="D112" s="43" t="n">
        <v>9845178</v>
      </c>
      <c r="E112" s="66" t="n">
        <v>1108875</v>
      </c>
      <c r="F112" s="45" t="n">
        <v>0.2712</v>
      </c>
      <c r="G112" s="67" t="s">
        <v>206</v>
      </c>
      <c r="H112" s="66" t="n">
        <v>4500084</v>
      </c>
    </row>
    <row r="113" customFormat="false" ht="15" hidden="false" customHeight="true" outlineLevel="0" collapsed="false">
      <c r="B113" s="68" t="s">
        <v>202</v>
      </c>
      <c r="C113" s="69" t="n">
        <f aca="false">C112-C111</f>
        <v>536066</v>
      </c>
      <c r="D113" s="49"/>
      <c r="E113" s="69" t="n">
        <f aca="false">E112-E111</f>
        <v>-362066</v>
      </c>
      <c r="F113" s="70" t="n">
        <f aca="false">F112-F111</f>
        <v>-0.0362</v>
      </c>
      <c r="G113" s="49"/>
      <c r="H113" s="69" t="n">
        <f aca="false">H112-H111</f>
        <v>-323260</v>
      </c>
    </row>
    <row r="114" customFormat="false" ht="15" hidden="false" customHeight="true" outlineLevel="0" collapsed="false">
      <c r="B114" s="49"/>
      <c r="C114" s="49"/>
      <c r="D114" s="49"/>
      <c r="E114" s="49"/>
      <c r="F114" s="49"/>
      <c r="G114" s="49"/>
      <c r="H114" s="49"/>
    </row>
    <row r="115" customFormat="false" ht="15" hidden="false" customHeight="true" outlineLevel="0" collapsed="false">
      <c r="B115" s="63" t="str">
        <f aca="false">"ESCENARIO ALTO — "&amp;TEXT(SUP_VOLUMEN!$E$16,"#,##0")&amp;" pollos/mes por ventana"</f>
        <v>ESCENARIO ALTO — 5,000 pollos/mes por ventana</v>
      </c>
      <c r="C115" s="49"/>
      <c r="D115" s="49"/>
      <c r="E115" s="49"/>
      <c r="F115" s="49"/>
      <c r="G115" s="49"/>
      <c r="H115" s="49"/>
    </row>
    <row r="116" customFormat="false" ht="15" hidden="false" customHeight="true" outlineLevel="0" collapsed="false">
      <c r="B116" s="49" t="s">
        <v>194</v>
      </c>
      <c r="C116" s="42" t="n">
        <v>2136375</v>
      </c>
      <c r="D116" s="42" t="n">
        <v>2136375</v>
      </c>
      <c r="E116" s="64" t="n">
        <v>1591511</v>
      </c>
      <c r="F116" s="65" t="n">
        <v>0.4118</v>
      </c>
      <c r="G116" s="46" t="s">
        <v>207</v>
      </c>
      <c r="H116" s="64" t="n">
        <v>2564123</v>
      </c>
    </row>
    <row r="117" customFormat="false" ht="15" hidden="false" customHeight="true" outlineLevel="0" collapsed="false">
      <c r="B117" s="49" t="s">
        <v>196</v>
      </c>
      <c r="C117" s="42" t="n">
        <v>2136375</v>
      </c>
      <c r="D117" s="42" t="n">
        <v>9240471</v>
      </c>
      <c r="E117" s="64" t="n">
        <v>3151515</v>
      </c>
      <c r="F117" s="65" t="n">
        <v>0.4086</v>
      </c>
      <c r="G117" s="46" t="s">
        <v>208</v>
      </c>
      <c r="H117" s="64" t="n">
        <v>7221332</v>
      </c>
    </row>
    <row r="118" customFormat="false" ht="15" hidden="false" customHeight="true" outlineLevel="0" collapsed="false">
      <c r="B118" s="49" t="s">
        <v>198</v>
      </c>
      <c r="C118" s="42" t="n">
        <v>2362225</v>
      </c>
      <c r="D118" s="42" t="n">
        <v>9466320</v>
      </c>
      <c r="E118" s="64" t="n">
        <v>3190528</v>
      </c>
      <c r="F118" s="65" t="n">
        <v>0.4025</v>
      </c>
      <c r="G118" s="46" t="s">
        <v>209</v>
      </c>
      <c r="H118" s="64" t="n">
        <v>7430144</v>
      </c>
    </row>
    <row r="119" customFormat="false" ht="15" hidden="false" customHeight="true" outlineLevel="0" collapsed="false">
      <c r="B119" s="39" t="s">
        <v>200</v>
      </c>
      <c r="C119" s="43" t="n">
        <v>2899075</v>
      </c>
      <c r="D119" s="43" t="n">
        <v>9897316</v>
      </c>
      <c r="E119" s="66" t="n">
        <v>3249994</v>
      </c>
      <c r="F119" s="45" t="n">
        <v>0.3805</v>
      </c>
      <c r="G119" s="67" t="s">
        <v>210</v>
      </c>
      <c r="H119" s="66" t="n">
        <v>7554555</v>
      </c>
    </row>
    <row r="120" customFormat="false" ht="15" hidden="false" customHeight="true" outlineLevel="0" collapsed="false">
      <c r="B120" s="71" t="s">
        <v>202</v>
      </c>
      <c r="C120" s="72" t="n">
        <f aca="false">C119-C118</f>
        <v>536850</v>
      </c>
      <c r="D120" s="73"/>
      <c r="E120" s="72" t="n">
        <f aca="false">E119-E118</f>
        <v>59466</v>
      </c>
      <c r="F120" s="74" t="n">
        <f aca="false">F119-F118</f>
        <v>-0.022</v>
      </c>
      <c r="G120" s="73"/>
      <c r="H120" s="72" t="n">
        <f aca="false">H119-H118</f>
        <v>124411</v>
      </c>
    </row>
    <row r="122" customFormat="false" ht="15" hidden="false" customHeight="true" outlineLevel="0" collapsed="false">
      <c r="B122" s="75" t="s">
        <v>211</v>
      </c>
    </row>
    <row r="123" customFormat="false" ht="15" hidden="false" customHeight="true" outlineLevel="0" collapsed="false">
      <c r="B123" s="76" t="s">
        <v>212</v>
      </c>
      <c r="C123" s="77" t="n">
        <f aca="false">E62/C62</f>
        <v>2.1</v>
      </c>
      <c r="N123" s="23" t="s">
        <v>213</v>
      </c>
    </row>
    <row r="124" customFormat="false" ht="15" hidden="false" customHeight="true" outlineLevel="0" collapsed="false">
      <c r="B124" s="49" t="s">
        <v>214</v>
      </c>
      <c r="C124" s="78" t="n">
        <f aca="false">(E68+E69)/(C68+C69)</f>
        <v>5.1119893006316</v>
      </c>
      <c r="N124" s="23" t="s">
        <v>215</v>
      </c>
    </row>
    <row r="125" customFormat="false" ht="15" hidden="false" customHeight="true" outlineLevel="0" collapsed="false">
      <c r="B125" s="49" t="s">
        <v>216</v>
      </c>
      <c r="C125" s="78" t="n">
        <f aca="false">E65/C65</f>
        <v>3.17405653051716</v>
      </c>
      <c r="N125" s="23" t="s">
        <v>217</v>
      </c>
    </row>
    <row r="126" customFormat="false" ht="15" hidden="false" customHeight="true" outlineLevel="0" collapsed="false">
      <c r="B126" s="49" t="s">
        <v>218</v>
      </c>
      <c r="C126" s="79" t="n">
        <f aca="false">C66*12/(C68+C69)</f>
        <v>1.37370566413883</v>
      </c>
    </row>
    <row r="127" customFormat="false" ht="15" hidden="false" customHeight="true" outlineLevel="0" collapsed="false">
      <c r="B127" s="49" t="s">
        <v>219</v>
      </c>
      <c r="C127" s="80" t="n">
        <f aca="false">E66*12/(E68+E69)</f>
        <v>0.329225005059084</v>
      </c>
      <c r="N127" s="23" t="s">
        <v>220</v>
      </c>
    </row>
    <row r="128" customFormat="false" ht="15" hidden="false" customHeight="true" outlineLevel="0" collapsed="false">
      <c r="B128" s="49" t="s">
        <v>221</v>
      </c>
      <c r="C128" s="81" t="n">
        <f aca="false">C106/(C68+C69)</f>
        <v>5.40498949972058</v>
      </c>
      <c r="N128" s="23" t="s">
        <v>222</v>
      </c>
    </row>
    <row r="129" customFormat="false" ht="15" hidden="false" customHeight="true" outlineLevel="0" collapsed="false">
      <c r="B129" s="73" t="s">
        <v>223</v>
      </c>
      <c r="C129" s="82" t="str">
        <f aca="false">TEXT(C70,"0.0")&amp;" / "&amp;TEXT(D70,"0.0")&amp;" / "&amp;TEXT(E70,"0.0")</f>
        <v>8.7 / 10.3 / 36.4</v>
      </c>
    </row>
    <row r="131" customFormat="false" ht="15" hidden="false" customHeight="true" outlineLevel="0" collapsed="false">
      <c r="B131" s="83" t="str">
        <f aca="false">"En una frase: el flagship es una vitrina de marca que vende el doble pero exige +$"&amp;TEXT($C$106/1000,"#,##0")&amp;" mil de aporte y devuelve el capital ~"&amp;TEXT($E$70/$C$70,"0.0")&amp;"× más lento que una ventana ("&amp;TEXT($E$70,"0.0")&amp;" vs "&amp;TEXT($C$70,"0.0")&amp;" meses); efecto sobre el VPN: "&amp;TEXT($E$106/1000,"$#,##0")&amp;" mil Básico / "&amp;TEXT($E$113/1000,"$#,##0")&amp;" mil Medio / "&amp;TEXT($E$120/1000,"$#,##0")&amp;" mil Alto"&amp;IF(MAX($E$106,$E$113,$E$120)&lt;0," — destruye valor en los 3 escenarios",IF(MIN($E$106,$E$113,$E$120)&gt;0," — agrega valor en los 3 escenarios"," — depende del escenario"))&amp;". Si se hace, que sea por estrategia de marca con presupuesto inmobiliario aparte — no como inversión QSR."</f>
        <v>En una frase: el flagship es una vitrina de marca que vende el doble pero exige +$535 mil de aporte y devuelve el capital ~4.2× más lento que una ventana (36.4 vs 8.7 meses); efecto sobre el VPN: -$528 mil Básico / -$362 mil Medio / $59 mil Alto — depende del escenario. Si se hace, que sea por estrategia de marca con presupuesto inmobiliario aparte — no como inversión QSR.</v>
      </c>
    </row>
    <row r="133" customFormat="false" ht="15" hidden="false" customHeight="true" outlineLevel="0" collapsed="false">
      <c r="B133" s="29" t="s">
        <v>224</v>
      </c>
    </row>
    <row r="134" customFormat="false" ht="15" hidden="false" customHeight="true" outlineLevel="0" collapsed="false">
      <c r="B134" s="61" t="s">
        <v>186</v>
      </c>
      <c r="C134" s="61" t="s">
        <v>225</v>
      </c>
      <c r="D134" s="61" t="s">
        <v>226</v>
      </c>
      <c r="E134" s="61" t="s">
        <v>227</v>
      </c>
    </row>
    <row r="135" customFormat="false" ht="15" hidden="false" customHeight="true" outlineLevel="0" collapsed="false">
      <c r="B135" s="49" t="s">
        <v>228</v>
      </c>
      <c r="C135" s="84" t="n">
        <f aca="false">E102</f>
        <v>62314</v>
      </c>
      <c r="D135" s="84" t="n">
        <f aca="false">E109</f>
        <v>826515</v>
      </c>
      <c r="E135" s="84" t="n">
        <f aca="false">E116</f>
        <v>1591511</v>
      </c>
    </row>
    <row r="136" customFormat="false" ht="15" hidden="false" customHeight="true" outlineLevel="0" collapsed="false">
      <c r="B136" s="49" t="s">
        <v>229</v>
      </c>
      <c r="C136" s="84" t="n">
        <f aca="false">E103</f>
        <v>-276534</v>
      </c>
      <c r="D136" s="84" t="n">
        <f aca="false">E110</f>
        <v>1374513</v>
      </c>
      <c r="E136" s="84" t="n">
        <f aca="false">E117</f>
        <v>3151515</v>
      </c>
    </row>
    <row r="137" customFormat="false" ht="15" hidden="false" customHeight="true" outlineLevel="0" collapsed="false">
      <c r="B137" s="49" t="s">
        <v>230</v>
      </c>
      <c r="C137" s="84" t="n">
        <f aca="false">E104</f>
        <v>-186894</v>
      </c>
      <c r="D137" s="84" t="n">
        <f aca="false">E111</f>
        <v>1470941</v>
      </c>
      <c r="E137" s="84" t="n">
        <f aca="false">E118</f>
        <v>3190528</v>
      </c>
    </row>
    <row r="138" customFormat="false" ht="15" hidden="false" customHeight="true" outlineLevel="0" collapsed="false">
      <c r="B138" s="73" t="s">
        <v>231</v>
      </c>
      <c r="C138" s="85" t="n">
        <f aca="false">E105</f>
        <v>-714461</v>
      </c>
      <c r="D138" s="85" t="n">
        <f aca="false">E112</f>
        <v>1108875</v>
      </c>
      <c r="E138" s="85" t="n">
        <f aca="false">E119</f>
        <v>3249994</v>
      </c>
    </row>
    <row r="160" customFormat="false" ht="15" hidden="false" customHeight="true" outlineLevel="0" collapsed="false">
      <c r="B160" s="60" t="s">
        <v>232</v>
      </c>
      <c r="C160" s="22"/>
      <c r="D160" s="22"/>
      <c r="E160" s="22"/>
      <c r="F160" s="22"/>
      <c r="G160" s="22"/>
    </row>
    <row r="161" customFormat="false" ht="15" hidden="false" customHeight="true" outlineLevel="0" collapsed="false">
      <c r="B161" s="23" t="s">
        <v>233</v>
      </c>
    </row>
    <row r="163" customFormat="false" ht="15" hidden="false" customHeight="true" outlineLevel="0" collapsed="false">
      <c r="B163" s="86" t="s">
        <v>234</v>
      </c>
    </row>
    <row r="164" customFormat="false" ht="15" hidden="false" customHeight="true" outlineLevel="0" collapsed="false">
      <c r="B164" s="61" t="s">
        <v>235</v>
      </c>
      <c r="C164" s="62" t="s">
        <v>236</v>
      </c>
      <c r="D164" s="62" t="s">
        <v>237</v>
      </c>
      <c r="E164" s="62" t="s">
        <v>238</v>
      </c>
      <c r="F164" s="62" t="s">
        <v>239</v>
      </c>
      <c r="G164" s="62" t="s">
        <v>240</v>
      </c>
    </row>
    <row r="165" customFormat="false" ht="15" hidden="false" customHeight="true" outlineLevel="0" collapsed="false">
      <c r="B165" s="49" t="s">
        <v>241</v>
      </c>
      <c r="C165" s="87" t="n">
        <f aca="false">SUP_VOLUMEN!$C$43*SUP_CAPEX_VENTANA!$H$37+SUP_VOLUMEN!$C$44*SUP_CAPEX_DINEIN!$H$38</f>
        <v>573846.9325</v>
      </c>
      <c r="D165" s="87" t="n">
        <f aca="false">SUP_CAPEX_PLANTA!$H$28+SUP_CAPEX_PLANTA!$H$29</f>
        <v>391312.08</v>
      </c>
      <c r="E165" s="87" t="n">
        <f aca="false">SUP_CAPEX_FLAGSHIP!$H$48*SUP_CONTROL!$C$12</f>
        <v>0</v>
      </c>
      <c r="F165" s="87" t="n">
        <f aca="false">SUP_C4_RETAIL!$C$12*SUP_CONTROL!$C$14</f>
        <v>0</v>
      </c>
      <c r="G165" s="55" t="n">
        <f aca="false">SUM(C165:F165)</f>
        <v>965159.0125</v>
      </c>
      <c r="N165" s="23" t="s">
        <v>242</v>
      </c>
    </row>
    <row r="166" customFormat="false" ht="15" hidden="false" customHeight="true" outlineLevel="0" collapsed="false">
      <c r="B166" s="49" t="s">
        <v>243</v>
      </c>
      <c r="C166" s="87" t="n">
        <f aca="false">SUP_VOLUMEN!$C$43*SUP_CAPEX_VENTANA!$H$38+SUP_VOLUMEN!$C$44*SUP_CAPEX_DINEIN!$H$39</f>
        <v>364000</v>
      </c>
      <c r="D166" s="87" t="n">
        <f aca="false">SUP_CAPEX_PLANTA!$H$33</f>
        <v>24000</v>
      </c>
      <c r="E166" s="87" t="n">
        <f aca="false">SUP_CAPEX_FLAGSHIP!$H$50*SUP_CONTROL!$C$12</f>
        <v>0</v>
      </c>
      <c r="F166" s="51" t="n">
        <v>0</v>
      </c>
      <c r="G166" s="55" t="n">
        <f aca="false">SUM(C166:F166)</f>
        <v>388000</v>
      </c>
    </row>
    <row r="167" customFormat="false" ht="15" hidden="false" customHeight="true" outlineLevel="0" collapsed="false">
      <c r="B167" s="49" t="s">
        <v>244</v>
      </c>
      <c r="C167" s="87" t="n">
        <f aca="false">SUP_VOLUMEN!$C$43*SUP_CAPEX_VENTANA!$H$39+SUP_VOLUMEN!$C$44*SUP_CAPEX_DINEIN!$H$40</f>
        <v>30000</v>
      </c>
      <c r="D167" s="87" t="n">
        <f aca="false">SUP_CAPEX_PLANTA!$H$34</f>
        <v>35000</v>
      </c>
      <c r="E167" s="87" t="n">
        <f aca="false">SUP_CAPEX_FLAGSHIP!$H$52*SUP_CONTROL!$C$12</f>
        <v>0</v>
      </c>
      <c r="F167" s="51" t="n">
        <v>0</v>
      </c>
      <c r="G167" s="55" t="n">
        <f aca="false">SUM(C167:F167)</f>
        <v>65000</v>
      </c>
    </row>
    <row r="168" customFormat="false" ht="15" hidden="false" customHeight="true" outlineLevel="0" collapsed="false">
      <c r="B168" s="49" t="s">
        <v>245</v>
      </c>
      <c r="C168" s="49"/>
      <c r="D168" s="87" t="n">
        <f aca="false">SUP_CAPEX_PLANTA!$H$31</f>
        <v>21951.11</v>
      </c>
      <c r="E168" s="49"/>
      <c r="F168" s="49"/>
      <c r="G168" s="55" t="n">
        <f aca="false">SUM(C168:F168)</f>
        <v>21951.11</v>
      </c>
    </row>
    <row r="169" customFormat="false" ht="15" hidden="false" customHeight="true" outlineLevel="0" collapsed="false">
      <c r="B169" s="49" t="s">
        <v>246</v>
      </c>
      <c r="C169" s="49"/>
      <c r="D169" s="87" t="n">
        <f aca="false">SUP_CAPEX_PLANTA!$H$35</f>
        <v>141141</v>
      </c>
      <c r="E169" s="49"/>
      <c r="F169" s="49"/>
      <c r="G169" s="55" t="n">
        <f aca="false">SUM(C169:F169)</f>
        <v>141141</v>
      </c>
    </row>
    <row r="170" customFormat="false" ht="15" hidden="false" customHeight="true" outlineLevel="0" collapsed="false">
      <c r="B170" s="49" t="s">
        <v>247</v>
      </c>
      <c r="C170" s="87" t="n">
        <f aca="false">SUP_VOLUMEN!$C$43*SUP_CAPEX_VENTANA!$H$41+SUP_VOLUMEN!$C$44*SUP_CAPEX_DINEIN!$H$42</f>
        <v>96784.69325</v>
      </c>
      <c r="D170" s="87" t="n">
        <f aca="false">SUP_CAPEX_PLANTA!$H$37</f>
        <v>61340.419</v>
      </c>
      <c r="E170" s="87" t="n">
        <f aca="false">SUP_CAPEX_FLAGSHIP!$H$54*SUP_CONTROL!$C$12</f>
        <v>0</v>
      </c>
      <c r="F170" s="51" t="n">
        <v>0</v>
      </c>
      <c r="G170" s="55" t="n">
        <f aca="false">SUM(C170:F170)</f>
        <v>158125.11225</v>
      </c>
    </row>
    <row r="171" customFormat="false" ht="15" hidden="false" customHeight="true" outlineLevel="0" collapsed="false">
      <c r="B171" s="39" t="s">
        <v>248</v>
      </c>
      <c r="C171" s="55" t="n">
        <f aca="false">SUM(C165:C170)</f>
        <v>1064631.62575</v>
      </c>
      <c r="D171" s="55" t="n">
        <f aca="false">SUM(D165:D170)</f>
        <v>674744.609</v>
      </c>
      <c r="E171" s="55" t="n">
        <f aca="false">SUM(E165:E170)</f>
        <v>0</v>
      </c>
      <c r="F171" s="55" t="n">
        <f aca="false">SUM(F165:F170)</f>
        <v>0</v>
      </c>
      <c r="G171" s="88" t="n">
        <f aca="false">SUM(G165:G170)</f>
        <v>1739376.23475</v>
      </c>
    </row>
    <row r="172" customFormat="false" ht="15" hidden="false" customHeight="true" outlineLevel="0" collapsed="false">
      <c r="B172" s="49" t="s">
        <v>249</v>
      </c>
      <c r="C172" s="49"/>
      <c r="D172" s="49"/>
      <c r="E172" s="49"/>
      <c r="F172" s="49"/>
      <c r="G172" s="89" t="n">
        <f aca="false">SUP_TECNOLOGIA!$C$18</f>
        <v>45000</v>
      </c>
    </row>
    <row r="173" customFormat="false" ht="15" hidden="false" customHeight="true" outlineLevel="0" collapsed="false">
      <c r="B173" s="49" t="s">
        <v>250</v>
      </c>
      <c r="C173" s="49"/>
      <c r="D173" s="49"/>
      <c r="E173" s="49"/>
      <c r="F173" s="49"/>
      <c r="G173" s="89" t="n">
        <f aca="false">SUP_CONTROL!$C$24*SUP_CONTROL!$C$13</f>
        <v>0</v>
      </c>
      <c r="N173" s="23" t="s">
        <v>251</v>
      </c>
    </row>
    <row r="174" customFormat="false" ht="15" hidden="false" customHeight="true" outlineLevel="0" collapsed="false">
      <c r="B174" s="49" t="s">
        <v>252</v>
      </c>
      <c r="C174" s="49"/>
      <c r="D174" s="49"/>
      <c r="E174" s="49"/>
      <c r="F174" s="49"/>
      <c r="G174" s="51" t="n">
        <f aca="false">CONSOLIDADO!$C$23-G171-G172-G173</f>
        <v>330114</v>
      </c>
      <c r="N174" s="23" t="s">
        <v>253</v>
      </c>
    </row>
    <row r="175" customFormat="false" ht="15" hidden="false" customHeight="true" outlineLevel="0" collapsed="false">
      <c r="B175" s="90" t="s">
        <v>254</v>
      </c>
      <c r="C175" s="49"/>
      <c r="D175" s="49"/>
      <c r="E175" s="49"/>
      <c r="F175" s="49"/>
      <c r="G175" s="91" t="n">
        <f aca="false">CONSOLIDADO!$C$23</f>
        <v>2114490.23475</v>
      </c>
    </row>
    <row r="176" customFormat="false" ht="15" hidden="false" customHeight="true" outlineLevel="0" collapsed="false">
      <c r="B176" s="92" t="s">
        <v>255</v>
      </c>
      <c r="C176" s="73"/>
      <c r="D176" s="73"/>
      <c r="E176" s="73"/>
      <c r="F176" s="73"/>
      <c r="G176" s="92" t="str">
        <f aca="false">IF(G174&gt;=0,"✓ consistente","⚠ CAPEX identificado excede el aporte — revisar")</f>
        <v>✓ consistente</v>
      </c>
    </row>
    <row r="178" customFormat="false" ht="15" hidden="false" customHeight="true" outlineLevel="0" collapsed="false">
      <c r="B178" s="86" t="s">
        <v>256</v>
      </c>
    </row>
    <row r="179" customFormat="false" ht="15" hidden="false" customHeight="true" outlineLevel="0" collapsed="false">
      <c r="B179" s="61" t="s">
        <v>257</v>
      </c>
      <c r="C179" s="62" t="str">
        <f aca="false">C20</f>
        <v>BÁSICO</v>
      </c>
      <c r="D179" s="62" t="str">
        <f aca="false">D20</f>
        <v>MEDIO ◀ activo</v>
      </c>
      <c r="E179" s="62" t="str">
        <f aca="false">E20</f>
        <v>ALTO</v>
      </c>
    </row>
    <row r="180" customFormat="false" ht="15" hidden="false" customHeight="true" outlineLevel="0" collapsed="false">
      <c r="B180" s="49" t="s">
        <v>258</v>
      </c>
      <c r="C180" s="51" t="n">
        <f aca="false">C30</f>
        <v>2102899.73</v>
      </c>
      <c r="D180" s="51" t="n">
        <f aca="false">D30</f>
        <v>2114490.23475</v>
      </c>
      <c r="E180" s="51" t="n">
        <f aca="false">E30</f>
        <v>2136375.23</v>
      </c>
      <c r="N180" s="23" t="s">
        <v>259</v>
      </c>
    </row>
    <row r="181" customFormat="false" ht="15" hidden="false" customHeight="true" outlineLevel="0" collapsed="false">
      <c r="B181" s="49" t="s">
        <v>260</v>
      </c>
      <c r="C181" s="51" t="n">
        <f aca="false">C31</f>
        <v>6484006.02</v>
      </c>
      <c r="D181" s="51" t="n">
        <f aca="false">D31</f>
        <v>7073767.91475</v>
      </c>
      <c r="E181" s="51" t="n">
        <f aca="false">E31</f>
        <v>7104095.41</v>
      </c>
    </row>
    <row r="182" customFormat="false" ht="15" hidden="false" customHeight="true" outlineLevel="0" collapsed="false">
      <c r="B182" s="39" t="s">
        <v>261</v>
      </c>
      <c r="C182" s="55" t="n">
        <f aca="false">C29</f>
        <v>8586905.75</v>
      </c>
      <c r="D182" s="55" t="n">
        <f aca="false">D29</f>
        <v>9188258.1495</v>
      </c>
      <c r="E182" s="55" t="n">
        <f aca="false">E29</f>
        <v>9240470.65</v>
      </c>
    </row>
    <row r="183" customFormat="false" ht="15" hidden="false" customHeight="true" outlineLevel="0" collapsed="false">
      <c r="B183" s="73" t="s">
        <v>262</v>
      </c>
      <c r="C183" s="59" t="n">
        <f aca="false">IF(C182=0,0,C181/C182)</f>
        <v>0.755103899911793</v>
      </c>
      <c r="D183" s="59" t="n">
        <f aca="false">IF(D182=0,0,D181/D182)</f>
        <v>0.769870393240414</v>
      </c>
      <c r="E183" s="59" t="n">
        <f aca="false">IF(E182=0,0,E181/E182)</f>
        <v>0.768802334759864</v>
      </c>
    </row>
    <row r="184" customFormat="false" ht="15" hidden="false" customHeight="true" outlineLevel="0" collapsed="false">
      <c r="B184" s="23" t="s">
        <v>263</v>
      </c>
    </row>
  </sheetData>
  <mergeCells count="1">
    <mergeCell ref="B18:F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B1:N59"/>
  <sheetViews>
    <sheetView showFormulas="false" showGridLines="false" showRowColHeaders="true" showZeros="true" rightToLeft="false" tabSelected="false" showOutlineSymbols="true" defaultGridColor="true" view="normal" topLeftCell="A1" colorId="64" zoomScale="140" zoomScaleNormal="140" zoomScalePageLayoutView="100" workbookViewId="0">
      <selection pane="topLeft" activeCell="C9" activeCellId="0" sqref="C9"/>
    </sheetView>
  </sheetViews>
  <sheetFormatPr defaultColWidth="10.66796875" defaultRowHeight="15" zeroHeight="false" outlineLevelRow="0" outlineLevelCol="0"/>
  <cols>
    <col collapsed="false" customWidth="true" hidden="false" outlineLevel="0" max="1" min="1" style="1" width="2"/>
    <col collapsed="false" customWidth="true" hidden="false" outlineLevel="0" max="2" min="2" style="1" width="50"/>
    <col collapsed="false" customWidth="true" hidden="false" outlineLevel="0" max="3" min="3" style="1" width="24.52"/>
    <col collapsed="false" customWidth="true" hidden="false" outlineLevel="0" max="12" min="4" style="1" width="13.67"/>
    <col collapsed="false" customWidth="true" hidden="false" outlineLevel="0" max="14" min="14" style="1" width="63.33"/>
  </cols>
  <sheetData>
    <row r="1" customFormat="false" ht="18.75" hidden="false" customHeight="true" outlineLevel="0" collapsed="false">
      <c r="B1" s="93" t="s">
        <v>264</v>
      </c>
    </row>
    <row r="2" customFormat="false" ht="15" hidden="false" customHeight="true" outlineLevel="0" collapsed="false">
      <c r="B2" s="23" t="str">
        <f aca="false">"¿Cuántos pollos por PDV necesita la cadena para no destruir valor? Configuración: switches vivos de SUP_CONTROL (hoy: configuración aprobada — piloto + expansión; flagship y retail apagados) · WACC "&amp;TEXT($C$46,"0%")&amp;" · precios y mezcla constantes. VPN = 0 equivale a TIR = WACC."</f>
        <v>¿Cuántos pollos por PDV necesita la cadena para no destruir valor? Configuración: switches vivos de SUP_CONTROL (hoy: configuración aprobada — piloto + expansión; flagship y retail apagados) · WACC 20% · precios y mezcla constantes. VPN = 0 equivale a TIR = WACC.</v>
      </c>
    </row>
    <row r="3" customFormat="false" ht="15" hidden="false" customHeight="true" outlineLevel="0" collapsed="false">
      <c r="B3" s="94" t="s">
        <v>265</v>
      </c>
    </row>
    <row r="4" customFormat="false" ht="15" hidden="false" customHeight="true" outlineLevel="0" collapsed="false">
      <c r="B4" s="95" t="str">
        <f aca="false">IF(COUNTIF($E$46:$E$59,"⚠*")&gt;0,"⚠ SNAPSHOT DESACTUALIZADO — cambió al menos un supuesto clave (ver bloque de vigencia, fila 44). El equilibrio de "&amp;TEXT($C$6,"#,##0")&amp;" pollos/mes fue calculado con los valores 'Snapshot' y debe recalcularse por bisección.","✓ SNAPSHOT VIGENTE — los supuestos vivos del modelo coinciden con los usados para calcular el equilibrio (WACC "&amp;TEXT($C$46,"0%")&amp;", bisección del 21-sep-2026).")</f>
        <v>✓ SNAPSHOT VIGENTE — los supuestos vivos del modelo coinciden con los usados para calcular el equilibrio (WACC 20%, bisección del 21-sep-2026).</v>
      </c>
    </row>
    <row r="5" customFormat="false" ht="15" hidden="false" customHeight="true" outlineLevel="0" collapsed="false">
      <c r="B5" s="60" t="s">
        <v>266</v>
      </c>
      <c r="C5" s="22"/>
      <c r="D5" s="22"/>
    </row>
    <row r="6" customFormat="false" ht="15" hidden="false" customHeight="true" outlineLevel="0" collapsed="false">
      <c r="B6" s="29" t="s">
        <v>267</v>
      </c>
      <c r="C6" s="96" t="n">
        <v>3579.2</v>
      </c>
      <c r="N6" s="23" t="s">
        <v>268</v>
      </c>
    </row>
    <row r="7" customFormat="false" ht="15" hidden="false" customHeight="true" outlineLevel="0" collapsed="false">
      <c r="B7" s="1" t="s">
        <v>269</v>
      </c>
      <c r="C7" s="27" t="n">
        <f aca="false">C6*(1+SUP_VOLUMEN!$C$26)</f>
        <v>4652.96</v>
      </c>
    </row>
    <row r="8" customFormat="false" ht="15" hidden="false" customHeight="true" outlineLevel="0" collapsed="false">
      <c r="B8" s="1" t="s">
        <v>270</v>
      </c>
      <c r="C8" s="27" t="n">
        <f aca="false">C6*(1+SUP_VOLUMEN!$C$27)</f>
        <v>7158.4</v>
      </c>
    </row>
    <row r="9" customFormat="false" ht="15" hidden="false" customHeight="true" outlineLevel="0" collapsed="false">
      <c r="B9" s="1" t="s">
        <v>271</v>
      </c>
      <c r="C9" s="97" t="n">
        <f aca="false">C6/30.4</f>
        <v>117.736842105263</v>
      </c>
    </row>
    <row r="11" customFormat="false" ht="15" hidden="false" customHeight="true" outlineLevel="0" collapsed="false">
      <c r="B11" s="23" t="s">
        <v>272</v>
      </c>
    </row>
    <row r="12" customFormat="false" ht="15" hidden="false" customHeight="true" outlineLevel="0" collapsed="false">
      <c r="B12" s="1" t="str">
        <f aca="false">"vs BÁSICO ("&amp;TEXT(SUP_VOLUMEN!$C$16,"#,##0")&amp;" pollos/mes)"</f>
        <v>vs BÁSICO (3,500 pollos/mes)</v>
      </c>
      <c r="C12" s="98" t="n">
        <f aca="false">C6/SUP_VOLUMEN!$C$16</f>
        <v>1.02262857142857</v>
      </c>
      <c r="D12" s="99" t="str">
        <f aca="false">IF(C12&gt;1,"BÁSICO queda "&amp;TEXT(C12-1,"0%")&amp;" POR DEBAJO del equilibrio → destruye valor","colchón de "&amp;TEXT(1-C12,"0%"))</f>
        <v>BÁSICO queda 2% POR DEBAJO del equilibrio → destruye valor</v>
      </c>
    </row>
    <row r="13" customFormat="false" ht="15" hidden="false" customHeight="true" outlineLevel="0" collapsed="false">
      <c r="B13" s="1" t="str">
        <f aca="false">"vs MEDIO ("&amp;TEXT(SUP_VOLUMEN!$D$16,"#,##0")&amp;" pollos/mes)"</f>
        <v>vs MEDIO (4,200 pollos/mes)</v>
      </c>
      <c r="C13" s="98" t="n">
        <f aca="false">C6/SUP_VOLUMEN!$D$16</f>
        <v>0.852190476190476</v>
      </c>
      <c r="D13" s="100" t="str">
        <f aca="false">IF(C13&gt;1,"MEDIO queda "&amp;TEXT(C13-1,"0%")&amp;" POR DEBAJO del equilibrio → destruye valor","MEDIO tiene "&amp;TEXT(1-C13,"0%")&amp;" de colchón sobre el equilibrio")</f>
        <v>MEDIO tiene 15% de colchón sobre el equilibrio</v>
      </c>
    </row>
    <row r="14" customFormat="false" ht="15" hidden="false" customHeight="true" outlineLevel="0" collapsed="false">
      <c r="B14" s="1" t="str">
        <f aca="false">"vs ALTO ("&amp;TEXT(SUP_VOLUMEN!$E$16,"#,##0")&amp;" pollos/mes)"</f>
        <v>vs ALTO (5,000 pollos/mes)</v>
      </c>
      <c r="C14" s="98" t="n">
        <f aca="false">C6/SUP_VOLUMEN!$E$16</f>
        <v>0.71584</v>
      </c>
      <c r="D14" s="101" t="str">
        <f aca="false">IF(C14&gt;1,"ALTO queda "&amp;TEXT(C14-1,"0%")&amp;" POR DEBAJO del equilibrio → destruye valor","ALTO tiene "&amp;TEXT(1-C14,"0%")&amp;" de colchón")</f>
        <v>ALTO tiene 28% de colchón</v>
      </c>
    </row>
    <row r="16" customFormat="false" ht="15" hidden="false" customHeight="true" outlineLevel="0" collapsed="false">
      <c r="B16" s="60" t="s">
        <v>273</v>
      </c>
      <c r="C16" s="22"/>
      <c r="D16" s="22"/>
    </row>
    <row r="17" customFormat="false" ht="15" hidden="false" customHeight="true" outlineLevel="0" collapsed="false">
      <c r="B17" s="1" t="s">
        <v>274</v>
      </c>
      <c r="C17" s="102" t="n">
        <f aca="false">C6*SUP_CONTROL!$C$26</f>
        <v>46257.9126551579</v>
      </c>
      <c r="N17" s="23" t="s">
        <v>275</v>
      </c>
    </row>
    <row r="18" customFormat="false" ht="15" hidden="false" customHeight="true" outlineLevel="0" collapsed="false">
      <c r="B18" s="1" t="s">
        <v>276</v>
      </c>
      <c r="C18" s="102" t="n">
        <f aca="false">C7*SUP_CONTROL!$C$26</f>
        <v>60135.2864517053</v>
      </c>
    </row>
    <row r="19" customFormat="false" ht="15" hidden="false" customHeight="true" outlineLevel="0" collapsed="false">
      <c r="B19" s="1" t="s">
        <v>277</v>
      </c>
      <c r="C19" s="102" t="n">
        <f aca="false">C8*SUP_CONTROL!$C$26*(1+SUP_CONTROL!$C$37)</f>
        <v>97141.6165758317</v>
      </c>
    </row>
    <row r="21" customFormat="false" ht="15" hidden="false" customHeight="true" outlineLevel="0" collapsed="false">
      <c r="B21" s="60" t="s">
        <v>278</v>
      </c>
      <c r="C21" s="22"/>
      <c r="D21" s="22"/>
    </row>
    <row r="22" customFormat="false" ht="15" hidden="false" customHeight="true" outlineLevel="0" collapsed="false">
      <c r="B22" s="1" t="str">
        <f aca="false">"VPN a 120 meses (WACC "&amp;TEXT($C$46,"0%")&amp;" del snapshot)"</f>
        <v>VPN a 120 meses (WACC 20% del snapshot)</v>
      </c>
      <c r="C22" s="103" t="n">
        <v>-463</v>
      </c>
      <c r="D22" s="104" t="s">
        <v>279</v>
      </c>
    </row>
    <row r="23" customFormat="false" ht="15" hidden="false" customHeight="true" outlineLevel="0" collapsed="false">
      <c r="B23" s="1" t="s">
        <v>190</v>
      </c>
      <c r="C23" s="105" t="n">
        <f aca="false">+SUP_CONTROL!C31</f>
        <v>0.2</v>
      </c>
      <c r="D23" s="104" t="s">
        <v>280</v>
      </c>
    </row>
    <row r="24" customFormat="false" ht="15" hidden="false" customHeight="true" outlineLevel="0" collapsed="false">
      <c r="B24" s="1" t="s">
        <v>281</v>
      </c>
      <c r="C24" s="106" t="s">
        <v>282</v>
      </c>
    </row>
    <row r="25" customFormat="false" ht="15" hidden="false" customHeight="true" outlineLevel="0" collapsed="false">
      <c r="B25" s="1" t="s">
        <v>283</v>
      </c>
      <c r="C25" s="106" t="s">
        <v>284</v>
      </c>
      <c r="D25" s="104" t="s">
        <v>285</v>
      </c>
    </row>
    <row r="26" customFormat="false" ht="15" hidden="false" customHeight="true" outlineLevel="0" collapsed="false">
      <c r="B26" s="1" t="s">
        <v>286</v>
      </c>
      <c r="C26" s="107" t="n">
        <v>2102900</v>
      </c>
      <c r="D26" s="104" t="s">
        <v>287</v>
      </c>
    </row>
    <row r="27" customFormat="false" ht="15" hidden="false" customHeight="true" outlineLevel="0" collapsed="false">
      <c r="B27" s="1" t="s">
        <v>288</v>
      </c>
      <c r="C27" s="107" t="n">
        <v>8586906</v>
      </c>
    </row>
    <row r="28" customFormat="false" ht="15" hidden="false" customHeight="true" outlineLevel="0" collapsed="false">
      <c r="B28" s="1" t="s">
        <v>289</v>
      </c>
      <c r="C28" s="106" t="s">
        <v>290</v>
      </c>
    </row>
    <row r="29" customFormat="false" ht="15" hidden="false" customHeight="true" outlineLevel="0" collapsed="false">
      <c r="B29" s="1" t="s">
        <v>291</v>
      </c>
      <c r="C29" s="107" t="n">
        <v>2472703</v>
      </c>
      <c r="D29" s="104" t="s">
        <v>292</v>
      </c>
    </row>
    <row r="31" customFormat="false" ht="15" hidden="false" customHeight="true" outlineLevel="0" collapsed="false">
      <c r="B31" s="60" t="s">
        <v>293</v>
      </c>
      <c r="C31" s="22"/>
      <c r="D31" s="22"/>
    </row>
    <row r="32" customFormat="false" ht="15" hidden="false" customHeight="true" outlineLevel="0" collapsed="false">
      <c r="B32" s="61" t="s">
        <v>294</v>
      </c>
      <c r="C32" s="62" t="n">
        <v>1</v>
      </c>
      <c r="D32" s="62" t="n">
        <v>2</v>
      </c>
      <c r="E32" s="62" t="n">
        <v>3</v>
      </c>
      <c r="F32" s="62" t="n">
        <v>4</v>
      </c>
      <c r="G32" s="62" t="n">
        <v>5</v>
      </c>
      <c r="H32" s="62" t="n">
        <v>6</v>
      </c>
      <c r="I32" s="62" t="n">
        <v>7</v>
      </c>
      <c r="J32" s="62" t="n">
        <v>8</v>
      </c>
      <c r="K32" s="62" t="n">
        <v>9</v>
      </c>
      <c r="L32" s="62" t="n">
        <v>10</v>
      </c>
    </row>
    <row r="33" customFormat="false" ht="15" hidden="false" customHeight="true" outlineLevel="0" collapsed="false">
      <c r="B33" s="108" t="s">
        <v>295</v>
      </c>
      <c r="C33" s="40" t="n">
        <v>10</v>
      </c>
      <c r="D33" s="40" t="n">
        <v>13</v>
      </c>
      <c r="E33" s="40" t="n">
        <v>15</v>
      </c>
      <c r="F33" s="40" t="n">
        <v>21</v>
      </c>
      <c r="G33" s="40" t="n">
        <v>26</v>
      </c>
      <c r="H33" s="40" t="n">
        <v>31</v>
      </c>
      <c r="I33" s="40" t="n">
        <v>40</v>
      </c>
      <c r="J33" s="40" t="n">
        <v>50</v>
      </c>
      <c r="K33" s="40" t="n">
        <v>50</v>
      </c>
      <c r="L33" s="40" t="n">
        <v>50</v>
      </c>
    </row>
    <row r="34" customFormat="false" ht="15" hidden="false" customHeight="true" outlineLevel="0" collapsed="false">
      <c r="B34" s="108" t="s">
        <v>296</v>
      </c>
      <c r="C34" s="109" t="n">
        <v>3233197</v>
      </c>
      <c r="D34" s="109" t="n">
        <v>6360463</v>
      </c>
      <c r="E34" s="109" t="n">
        <v>8075521</v>
      </c>
      <c r="F34" s="109" t="n">
        <v>9674373</v>
      </c>
      <c r="G34" s="109" t="n">
        <v>12837819</v>
      </c>
      <c r="H34" s="109" t="n">
        <v>15676002</v>
      </c>
      <c r="I34" s="109" t="n">
        <v>19000919</v>
      </c>
      <c r="J34" s="109" t="n">
        <v>23686385</v>
      </c>
      <c r="K34" s="109" t="n">
        <v>26876532</v>
      </c>
      <c r="L34" s="109" t="n">
        <v>26893240</v>
      </c>
    </row>
    <row r="35" customFormat="false" ht="15" hidden="false" customHeight="true" outlineLevel="0" collapsed="false">
      <c r="B35" s="108" t="s">
        <v>297</v>
      </c>
      <c r="C35" s="109" t="n">
        <v>215877</v>
      </c>
      <c r="D35" s="109" t="n">
        <v>693282</v>
      </c>
      <c r="E35" s="109" t="n">
        <v>977321</v>
      </c>
      <c r="F35" s="109" t="n">
        <v>1158555</v>
      </c>
      <c r="G35" s="109" t="n">
        <v>1678204</v>
      </c>
      <c r="H35" s="109" t="n">
        <v>2022425</v>
      </c>
      <c r="I35" s="109" t="n">
        <v>2414818</v>
      </c>
      <c r="J35" s="109" t="n">
        <v>2986765</v>
      </c>
      <c r="K35" s="109" t="n">
        <v>3429921</v>
      </c>
      <c r="L35" s="109" t="n">
        <v>3434949</v>
      </c>
    </row>
    <row r="36" customFormat="false" ht="15" hidden="false" customHeight="true" outlineLevel="0" collapsed="false">
      <c r="B36" s="108" t="s">
        <v>298</v>
      </c>
      <c r="C36" s="109" t="n">
        <v>2102900</v>
      </c>
      <c r="D36" s="109" t="n">
        <v>308062</v>
      </c>
      <c r="E36" s="109" t="n">
        <v>604157</v>
      </c>
      <c r="F36" s="109" t="n">
        <v>676155</v>
      </c>
      <c r="G36" s="109" t="n">
        <v>979852</v>
      </c>
      <c r="H36" s="109" t="n">
        <v>1266612</v>
      </c>
      <c r="I36" s="109" t="n">
        <v>1471432</v>
      </c>
      <c r="J36" s="109" t="n">
        <v>1178936</v>
      </c>
      <c r="K36" s="109" t="n">
        <v>-1200</v>
      </c>
      <c r="L36" s="109" t="n">
        <v>0</v>
      </c>
    </row>
    <row r="37" customFormat="false" ht="15" hidden="false" customHeight="true" outlineLevel="0" collapsed="false">
      <c r="B37" s="108" t="s">
        <v>299</v>
      </c>
      <c r="C37" s="109" t="n">
        <v>-1943555</v>
      </c>
      <c r="D37" s="109" t="n">
        <v>213266</v>
      </c>
      <c r="E37" s="109" t="n">
        <v>118489</v>
      </c>
      <c r="F37" s="109" t="n">
        <v>189271</v>
      </c>
      <c r="G37" s="109" t="n">
        <v>249655</v>
      </c>
      <c r="H37" s="109" t="n">
        <v>225346</v>
      </c>
      <c r="I37" s="109" t="n">
        <v>324288</v>
      </c>
      <c r="J37" s="109" t="n">
        <v>1039568</v>
      </c>
      <c r="K37" s="109" t="n">
        <v>2525301</v>
      </c>
      <c r="L37" s="109" t="n">
        <v>2527420</v>
      </c>
    </row>
    <row r="38" customFormat="false" ht="15" hidden="false" customHeight="true" outlineLevel="0" collapsed="false">
      <c r="B38" s="110" t="s">
        <v>300</v>
      </c>
      <c r="C38" s="111" t="n">
        <f aca="false">C37</f>
        <v>-1943555</v>
      </c>
      <c r="D38" s="111" t="n">
        <f aca="false">D37+C38</f>
        <v>-1730289</v>
      </c>
      <c r="E38" s="111" t="n">
        <f aca="false">E37+D38</f>
        <v>-1611800</v>
      </c>
      <c r="F38" s="111" t="n">
        <f aca="false">F37+E38</f>
        <v>-1422529</v>
      </c>
      <c r="G38" s="111" t="n">
        <f aca="false">G37+F38</f>
        <v>-1172874</v>
      </c>
      <c r="H38" s="111" t="n">
        <f aca="false">H37+G38</f>
        <v>-947528</v>
      </c>
      <c r="I38" s="111" t="n">
        <f aca="false">I37+H38</f>
        <v>-623240</v>
      </c>
      <c r="J38" s="111" t="n">
        <f aca="false">J37+I38</f>
        <v>416328</v>
      </c>
      <c r="K38" s="111" t="n">
        <f aca="false">K37+J38</f>
        <v>2941629</v>
      </c>
      <c r="L38" s="111" t="n">
        <f aca="false">L37+K38</f>
        <v>5469049</v>
      </c>
    </row>
    <row r="39" customFormat="false" ht="15" hidden="false" customHeight="true" outlineLevel="0" collapsed="false">
      <c r="B39" s="108" t="s">
        <v>301</v>
      </c>
      <c r="C39" s="112" t="n">
        <v>34.4</v>
      </c>
      <c r="D39" s="112" t="n">
        <v>67.7</v>
      </c>
      <c r="E39" s="112" t="n">
        <v>85.9</v>
      </c>
      <c r="F39" s="112" t="n">
        <v>102.9</v>
      </c>
      <c r="G39" s="112" t="n">
        <v>136.6</v>
      </c>
      <c r="H39" s="112" t="n">
        <v>166.8</v>
      </c>
      <c r="I39" s="112" t="n">
        <v>202.2</v>
      </c>
      <c r="J39" s="112" t="n">
        <v>252</v>
      </c>
      <c r="K39" s="112" t="n">
        <v>285.9</v>
      </c>
      <c r="L39" s="112" t="n">
        <v>286.1</v>
      </c>
    </row>
    <row r="40" customFormat="false" ht="15" hidden="false" customHeight="true" outlineLevel="0" collapsed="false">
      <c r="B40" s="113" t="s">
        <v>302</v>
      </c>
      <c r="C40" s="114" t="n">
        <f aca="false">C39*12</f>
        <v>412.8</v>
      </c>
      <c r="D40" s="114" t="n">
        <f aca="false">D39*12</f>
        <v>812.4</v>
      </c>
      <c r="E40" s="114" t="n">
        <f aca="false">E39*12</f>
        <v>1030.8</v>
      </c>
      <c r="F40" s="114" t="n">
        <f aca="false">F39*12</f>
        <v>1234.8</v>
      </c>
      <c r="G40" s="114" t="n">
        <f aca="false">G39*12</f>
        <v>1639.2</v>
      </c>
      <c r="H40" s="114" t="n">
        <f aca="false">H39*12</f>
        <v>2001.6</v>
      </c>
      <c r="I40" s="114" t="n">
        <f aca="false">I39*12</f>
        <v>2426.4</v>
      </c>
      <c r="J40" s="114" t="n">
        <f aca="false">J39*12</f>
        <v>3024</v>
      </c>
      <c r="K40" s="114" t="n">
        <f aca="false">K39*12</f>
        <v>3430.8</v>
      </c>
      <c r="L40" s="114" t="n">
        <f aca="false">L39*12</f>
        <v>3433.2</v>
      </c>
    </row>
    <row r="42" customFormat="false" ht="15" hidden="false" customHeight="true" outlineLevel="0" collapsed="false">
      <c r="B42" s="115" t="str">
        <f aca="false">"Método: bisección sobre el volumen de la ventana (SUP_VOLUMEN!E16) recalculando el modelo completo hasta que el VPN cruza $0 — snapshot 27-sep-2026 (v12) con WACC "&amp;TEXT($C$46,"0%")&amp;", pollo 1,65 kg × 2,20 USD/kg beneficiado (marinado 150 g/kg, apanado corregido) y hallaquita 80 g preparada en fábrica ($0,171/und). La dotación de cada tienda se ajusta al volumen probado según la regla de SUP_OPEX 8.4 (BÁSICA hasta "&amp;TEXT(SUP_OPEX!$C$127,"#,##0")&amp;" pollos/mes, MEDIA hasta "&amp;TEXT(SUP_OPEX!$C$128,"#,##0")&amp;", ALTA por encima). Configuración aprobada: piloto + expansión, flagship y retail apagados."</f>
        <v>Método: bisección sobre el volumen de la ventana (SUP_VOLUMEN!E16) recalculando el modelo completo hasta que el VPN cruza $0 — snapshot 27-sep-2026 (v12) con WACC 20%, pollo 1,65 kg × 2,20 USD/kg beneficiado (marinado 150 g/kg, apanado corregido) y hallaquita 80 g preparada en fábrica ($0,171/und). La dotación de cada tienda se ajusta al volumen probado según la regla de SUP_OPEX 8.4 (BÁSICA hasta 3,850 pollos/mes, MEDIA hasta 4,600, ALTA por encima). Configuración aprobada: piloto + expansión, flagship y retail apagados.</v>
      </c>
    </row>
    <row r="43" customFormat="false" ht="15" hidden="false" customHeight="true" outlineLevel="0" collapsed="false">
      <c r="B43" s="115" t="str">
        <f aca="false">IF($C$12&gt;1,"⚠ ","✓ ")&amp;"El equilibrio ("&amp;TEXT($C$6,"#,##0")&amp;") queda "&amp;IF($C$12&gt;1,"POR ENCIMA","por debajo")&amp;" del BÁSICO ("&amp;TEXT(SUP_VOLUMEN!$C$16,"#,##0")&amp;") y "&amp;IF($C$13&gt;1,"deja al MEDIO ("&amp;TEXT(SUP_VOLUMEN!$D$16,"#,##0")&amp;") "&amp;TEXT($C$13-1,"0%")&amp;" POR DEBAJO → también destruye valor","deja al MEDIO ("&amp;TEXT(SUP_VOLUMEN!$D$16,"#,##0")&amp;") con "&amp;TEXT(1-$C$13,"0%")&amp;" de colchón")&amp;". Si cambia la WACC u otro supuesto clave, la fila 4 lo avisa: recalcular por bisección."</f>
        <v>⚠ El equilibrio (3,579) queda POR ENCIMA del BÁSICO (3,500) y deja al MEDIO (4,200) con 15% de colchón. Si cambia la WACC u otro supuesto clave, la fila 4 lo avisa: recalcular por bisección.</v>
      </c>
    </row>
    <row r="44" customFormat="false" ht="15" hidden="false" customHeight="true" outlineLevel="0" collapsed="false">
      <c r="B44" s="60" t="s">
        <v>303</v>
      </c>
      <c r="C44" s="22"/>
      <c r="D44" s="22"/>
      <c r="E44" s="22"/>
    </row>
    <row r="45" customFormat="false" ht="15" hidden="false" customHeight="true" outlineLevel="0" collapsed="false">
      <c r="B45" s="116" t="s">
        <v>304</v>
      </c>
      <c r="C45" s="117" t="s">
        <v>305</v>
      </c>
      <c r="D45" s="117" t="s">
        <v>306</v>
      </c>
      <c r="E45" s="117" t="s">
        <v>307</v>
      </c>
    </row>
    <row r="46" customFormat="false" ht="15" hidden="false" customHeight="true" outlineLevel="0" collapsed="false">
      <c r="B46" s="1" t="s">
        <v>308</v>
      </c>
      <c r="C46" s="118" t="n">
        <v>0.2</v>
      </c>
      <c r="D46" s="35" t="n">
        <f aca="false">SUP_CONTROL!$C$31</f>
        <v>0.2</v>
      </c>
      <c r="E46" s="1" t="str">
        <f aca="false">IF(ABS(D46-C46)&lt;=MAX(0.0001,ABS(C46)*0.001),"✓","⚠ cambió")</f>
        <v>✓</v>
      </c>
    </row>
    <row r="47" customFormat="false" ht="15" hidden="false" customHeight="true" outlineLevel="0" collapsed="false">
      <c r="B47" s="1" t="s">
        <v>309</v>
      </c>
      <c r="C47" s="106" t="n">
        <v>1</v>
      </c>
      <c r="D47" s="27" t="n">
        <f aca="false">SUP_CONTROL!$C$11</f>
        <v>1</v>
      </c>
      <c r="E47" s="1" t="str">
        <f aca="false">IF(ABS(D47-C47)&lt;=MAX(0.0001,ABS(C47)*0.001),"✓","⚠ cambió")</f>
        <v>✓</v>
      </c>
    </row>
    <row r="48" customFormat="false" ht="15" hidden="false" customHeight="true" outlineLevel="0" collapsed="false">
      <c r="B48" s="1" t="s">
        <v>310</v>
      </c>
      <c r="C48" s="106" t="n">
        <v>0</v>
      </c>
      <c r="D48" s="27" t="n">
        <f aca="false">SUP_CONTROL!$C$12</f>
        <v>0</v>
      </c>
      <c r="E48" s="1" t="str">
        <f aca="false">IF(ABS(D48-C48)&lt;=MAX(0.0001,ABS(C48)*0.001),"✓","⚠ cambió")</f>
        <v>✓</v>
      </c>
    </row>
    <row r="49" customFormat="false" ht="15" hidden="false" customHeight="true" outlineLevel="0" collapsed="false">
      <c r="B49" s="1" t="s">
        <v>311</v>
      </c>
      <c r="C49" s="106" t="n">
        <v>1</v>
      </c>
      <c r="D49" s="27" t="n">
        <f aca="false">SUP_CONTROL!$C$13</f>
        <v>1</v>
      </c>
      <c r="E49" s="1" t="str">
        <f aca="false">IF(ABS(D49-C49)&lt;=MAX(0.0001,ABS(C49)*0.001),"✓","⚠ cambió")</f>
        <v>✓</v>
      </c>
    </row>
    <row r="50" customFormat="false" ht="15" hidden="false" customHeight="true" outlineLevel="0" collapsed="false">
      <c r="B50" s="1" t="s">
        <v>312</v>
      </c>
      <c r="C50" s="106" t="n">
        <v>0</v>
      </c>
      <c r="D50" s="27" t="n">
        <f aca="false">SUP_CONTROL!$C$14</f>
        <v>0</v>
      </c>
      <c r="E50" s="1" t="str">
        <f aca="false">IF(ABS(D50-C50)&lt;=MAX(0.0001,ABS(C50)*0.001),"✓","⚠ cambió")</f>
        <v>✓</v>
      </c>
    </row>
    <row r="51" customFormat="false" ht="15" hidden="false" customHeight="true" outlineLevel="0" collapsed="false">
      <c r="B51" s="1" t="s">
        <v>313</v>
      </c>
      <c r="C51" s="119" t="n">
        <v>12.9240927176905</v>
      </c>
      <c r="D51" s="120" t="n">
        <f aca="false">SUP_CONTROL!$C$26</f>
        <v>12.9240927176905</v>
      </c>
      <c r="E51" s="1" t="str">
        <f aca="false">IF(ABS(D51-C51)&lt;=MAX(0.0001,ABS(C51)*0.001),"✓","⚠ cambió")</f>
        <v>✓</v>
      </c>
    </row>
    <row r="52" customFormat="false" ht="15" hidden="false" customHeight="true" outlineLevel="0" collapsed="false">
      <c r="B52" s="1" t="s">
        <v>314</v>
      </c>
      <c r="C52" s="119" t="n">
        <v>5.6840367238306</v>
      </c>
      <c r="D52" s="120" t="n">
        <f aca="false">SUP_CONTROL!$C$27</f>
        <v>5.6840367238306</v>
      </c>
      <c r="E52" s="1" t="str">
        <f aca="false">IF(ABS(D52-C52)&lt;=MAX(0.0001,ABS(C52)*0.001),"✓","⚠ cambió")</f>
        <v>✓</v>
      </c>
    </row>
    <row r="53" customFormat="false" ht="15" hidden="false" customHeight="true" outlineLevel="0" collapsed="false">
      <c r="B53" s="1" t="s">
        <v>315</v>
      </c>
      <c r="C53" s="118" t="n">
        <v>0.34</v>
      </c>
      <c r="D53" s="35" t="n">
        <f aca="false">SUP_CONTROL!$C$33</f>
        <v>0.34</v>
      </c>
      <c r="E53" s="1" t="str">
        <f aca="false">IF(ABS(D53-C53)&lt;=MAX(0.0001,ABS(C53)*0.001),"✓","⚠ cambió")</f>
        <v>✓</v>
      </c>
    </row>
    <row r="54" customFormat="false" ht="15" hidden="false" customHeight="true" outlineLevel="0" collapsed="false">
      <c r="B54" s="1" t="s">
        <v>316</v>
      </c>
      <c r="C54" s="107" t="n">
        <v>0</v>
      </c>
      <c r="D54" s="28" t="n">
        <f aca="false">SUP_CONTROL!$C$24</f>
        <v>0</v>
      </c>
      <c r="E54" s="1" t="str">
        <f aca="false">IF(ABS(D54-C54)&lt;=MAX(0.0001,ABS(C54)*0.001),"✓","⚠ cambió")</f>
        <v>✓</v>
      </c>
    </row>
    <row r="55" customFormat="false" ht="15" hidden="false" customHeight="true" outlineLevel="0" collapsed="false">
      <c r="B55" s="1" t="s">
        <v>317</v>
      </c>
      <c r="C55" s="118" t="n">
        <v>0.3</v>
      </c>
      <c r="D55" s="35" t="n">
        <f aca="false">SUP_VOLUMEN!$C$26</f>
        <v>0.3</v>
      </c>
      <c r="E55" s="1" t="str">
        <f aca="false">IF(ABS(D55-C55)&lt;=MAX(0.0001,ABS(C55)*0.001),"✓","⚠ cambió")</f>
        <v>✓</v>
      </c>
    </row>
    <row r="56" customFormat="false" ht="15" hidden="false" customHeight="true" outlineLevel="0" collapsed="false">
      <c r="B56" s="1" t="s">
        <v>318</v>
      </c>
      <c r="C56" s="118" t="n">
        <v>1</v>
      </c>
      <c r="D56" s="35" t="n">
        <f aca="false">SUP_VOLUMEN!$C$27</f>
        <v>1</v>
      </c>
      <c r="E56" s="1" t="str">
        <f aca="false">IF(ABS(D56-C56)&lt;=MAX(0.0001,ABS(C56)*0.001),"✓","⚠ cambió")</f>
        <v>✓</v>
      </c>
    </row>
    <row r="57" customFormat="false" ht="15" hidden="false" customHeight="true" outlineLevel="0" collapsed="false">
      <c r="B57" s="121" t="s">
        <v>319</v>
      </c>
    </row>
    <row r="58" customFormat="false" ht="15" hidden="false" customHeight="true" outlineLevel="0" collapsed="false">
      <c r="B58" s="1" t="s">
        <v>320</v>
      </c>
      <c r="C58" s="122" t="n">
        <v>2.2</v>
      </c>
      <c r="D58" s="123" t="n">
        <f aca="false">SUP_POLLO!$C$13</f>
        <v>2.2</v>
      </c>
      <c r="E58" s="1" t="str">
        <f aca="false">IF(ABS(D58-C58)&lt;=MAX(0.0001,ABS(C58)*0.001),"✓","⚠ cambió")</f>
        <v>✓</v>
      </c>
    </row>
    <row r="59" customFormat="false" ht="15" hidden="false" customHeight="true" outlineLevel="0" collapsed="false">
      <c r="B59" s="1" t="s">
        <v>321</v>
      </c>
      <c r="C59" s="124" t="n">
        <v>1.65</v>
      </c>
      <c r="D59" s="34" t="n">
        <f aca="false">SUP_POLLO!$C$18</f>
        <v>1.65</v>
      </c>
      <c r="E59" s="1" t="str">
        <f aca="false">IF(ABS(D59-C59)&lt;=MAX(0.0001,ABS(C59)*0.001),"✓","⚠ cambió")</f>
        <v>✓</v>
      </c>
    </row>
  </sheetData>
  <conditionalFormatting sqref="B4">
    <cfRule type="beginsWith" priority="2" operator="beginsWith" aboveAverage="0" equalAverage="0" bottom="0" percent="0" rank="0" text="⚠" dxfId="0">
      <formula>LEFT(B4,LEN("⚠"))="⚠"</formula>
    </cfRule>
    <cfRule type="beginsWith" priority="3" operator="beginsWith" aboveAverage="0" equalAverage="0" bottom="0" percent="0" rank="0" text="✓" dxfId="1">
      <formula>LEFT(B4,LEN("✓"))="✓"</formula>
    </cfRule>
  </conditionalFormatting>
  <conditionalFormatting sqref="E46:E56">
    <cfRule type="beginsWith" priority="4" operator="beginsWith" aboveAverage="0" equalAverage="0" bottom="0" percent="0" rank="0" text="⚠" dxfId="0">
      <formula>LEFT(E46,LEN("⚠"))="⚠"</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A1:I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8" min="3" style="1" width="15"/>
    <col collapsed="false" customWidth="true" hidden="false" outlineLevel="0" max="9" min="9" style="1" width="70"/>
  </cols>
  <sheetData>
    <row r="1" customFormat="false" ht="15" hidden="false" customHeight="true" outlineLevel="0" collapsed="false">
      <c r="A1" s="125" t="s">
        <v>322</v>
      </c>
      <c r="B1" s="126"/>
      <c r="C1" s="126"/>
      <c r="D1" s="126"/>
      <c r="E1" s="126"/>
      <c r="F1" s="126"/>
      <c r="G1" s="126"/>
      <c r="H1" s="126"/>
      <c r="I1" s="126"/>
    </row>
    <row r="2" customFormat="false" ht="15" hidden="false" customHeight="true" outlineLevel="0" collapsed="false">
      <c r="A2" s="127" t="s">
        <v>323</v>
      </c>
    </row>
    <row r="3" customFormat="false" ht="15" hidden="false" customHeight="true" outlineLevel="0" collapsed="false">
      <c r="A3" s="127" t="s">
        <v>324</v>
      </c>
    </row>
    <row r="5" customFormat="false" ht="15" hidden="false" customHeight="true" outlineLevel="0" collapsed="false">
      <c r="A5" s="128" t="s">
        <v>325</v>
      </c>
      <c r="B5" s="25"/>
      <c r="C5" s="25"/>
      <c r="D5" s="25"/>
      <c r="E5" s="25"/>
      <c r="F5" s="25"/>
      <c r="G5" s="25"/>
      <c r="H5" s="25"/>
      <c r="I5" s="25"/>
    </row>
    <row r="6" customFormat="false" ht="21.75" hidden="false" customHeight="true" outlineLevel="0" collapsed="false">
      <c r="B6" s="129" t="s">
        <v>326</v>
      </c>
      <c r="C6" s="130" t="n">
        <v>1.7</v>
      </c>
      <c r="D6" s="130" t="n">
        <v>1.815</v>
      </c>
      <c r="E6" s="130" t="n">
        <v>2</v>
      </c>
      <c r="F6" s="130" t="n">
        <v>2.2</v>
      </c>
      <c r="G6" s="130" t="n">
        <v>2.42</v>
      </c>
      <c r="H6" s="130" t="n">
        <v>2.6</v>
      </c>
      <c r="I6" s="131" t="s">
        <v>327</v>
      </c>
    </row>
    <row r="8" customFormat="false" ht="15" hidden="false" customHeight="true" outlineLevel="0" collapsed="false">
      <c r="B8" s="129" t="s">
        <v>328</v>
      </c>
    </row>
    <row r="9" customFormat="false" ht="15" hidden="false" customHeight="true" outlineLevel="0" collapsed="false">
      <c r="B9" s="132" t="s">
        <v>329</v>
      </c>
      <c r="C9" s="133" t="n">
        <f aca="false">C$6</f>
        <v>1.7</v>
      </c>
      <c r="D9" s="133" t="n">
        <f aca="false">D$6</f>
        <v>1.815</v>
      </c>
      <c r="E9" s="133" t="n">
        <f aca="false">E$6</f>
        <v>2</v>
      </c>
      <c r="F9" s="133" t="n">
        <f aca="false">F$6</f>
        <v>2.2</v>
      </c>
      <c r="G9" s="133" t="n">
        <f aca="false">G$6</f>
        <v>2.42</v>
      </c>
      <c r="H9" s="133" t="n">
        <f aca="false">H$6</f>
        <v>2.6</v>
      </c>
    </row>
    <row r="10" customFormat="false" ht="21.75" hidden="false" customHeight="true" outlineLevel="0" collapsed="false">
      <c r="B10" s="134" t="n">
        <v>2</v>
      </c>
      <c r="C10" s="135" t="n">
        <f aca="false">$B10*C$9</f>
        <v>3.4</v>
      </c>
      <c r="D10" s="135" t="n">
        <f aca="false">$B10*D$9</f>
        <v>3.63</v>
      </c>
      <c r="E10" s="135" t="n">
        <f aca="false">$B10*E$9</f>
        <v>4</v>
      </c>
      <c r="F10" s="135" t="n">
        <f aca="false">$B10*F$9</f>
        <v>4.4</v>
      </c>
      <c r="G10" s="135" t="n">
        <f aca="false">$B10*G$9</f>
        <v>4.84</v>
      </c>
      <c r="H10" s="135" t="n">
        <f aca="false">$B10*H$9</f>
        <v>5.2</v>
      </c>
      <c r="I10" s="131" t="s">
        <v>330</v>
      </c>
    </row>
    <row r="11" customFormat="false" ht="15" hidden="false" customHeight="true" outlineLevel="0" collapsed="false">
      <c r="B11" s="134" t="n">
        <v>1.9</v>
      </c>
      <c r="C11" s="135" t="n">
        <f aca="false">$B11*C$9</f>
        <v>3.23</v>
      </c>
      <c r="D11" s="135" t="n">
        <f aca="false">$B11*D$9</f>
        <v>3.4485</v>
      </c>
      <c r="E11" s="135" t="n">
        <f aca="false">$B11*E$9</f>
        <v>3.8</v>
      </c>
      <c r="F11" s="135" t="n">
        <f aca="false">$B11*F$9</f>
        <v>4.18</v>
      </c>
      <c r="G11" s="135" t="n">
        <f aca="false">$B11*G$9</f>
        <v>4.598</v>
      </c>
      <c r="H11" s="135" t="n">
        <f aca="false">$B11*H$9</f>
        <v>4.94</v>
      </c>
    </row>
    <row r="12" customFormat="false" ht="15" hidden="false" customHeight="true" outlineLevel="0" collapsed="false">
      <c r="B12" s="134" t="n">
        <v>1.8</v>
      </c>
      <c r="C12" s="135" t="n">
        <f aca="false">$B12*C$9</f>
        <v>3.06</v>
      </c>
      <c r="D12" s="135" t="n">
        <f aca="false">$B12*D$9</f>
        <v>3.267</v>
      </c>
      <c r="E12" s="135" t="n">
        <f aca="false">$B12*E$9</f>
        <v>3.6</v>
      </c>
      <c r="F12" s="136" t="n">
        <f aca="false">$B12*F$9</f>
        <v>3.96</v>
      </c>
      <c r="G12" s="135" t="n">
        <f aca="false">$B12*G$9</f>
        <v>4.356</v>
      </c>
      <c r="H12" s="135" t="n">
        <f aca="false">$B12*H$9</f>
        <v>4.68</v>
      </c>
    </row>
    <row r="13" customFormat="false" ht="15" hidden="false" customHeight="true" outlineLevel="0" collapsed="false">
      <c r="B13" s="134" t="n">
        <v>1.7</v>
      </c>
      <c r="C13" s="135" t="n">
        <f aca="false">$B13*C$9</f>
        <v>2.89</v>
      </c>
      <c r="D13" s="135" t="n">
        <f aca="false">$B13*D$9</f>
        <v>3.0855</v>
      </c>
      <c r="E13" s="135" t="n">
        <f aca="false">$B13*E$9</f>
        <v>3.4</v>
      </c>
      <c r="F13" s="135" t="n">
        <f aca="false">$B13*F$9</f>
        <v>3.74</v>
      </c>
      <c r="G13" s="135" t="n">
        <f aca="false">$B13*G$9</f>
        <v>4.114</v>
      </c>
      <c r="H13" s="135" t="n">
        <f aca="false">$B13*H$9</f>
        <v>4.42</v>
      </c>
    </row>
    <row r="14" customFormat="false" ht="15" hidden="false" customHeight="true" outlineLevel="0" collapsed="false">
      <c r="B14" s="134" t="n">
        <v>1.65</v>
      </c>
      <c r="C14" s="135" t="n">
        <f aca="false">$B14*C$9</f>
        <v>2.805</v>
      </c>
      <c r="D14" s="135" t="n">
        <f aca="false">$B14*D$9</f>
        <v>2.99475</v>
      </c>
      <c r="E14" s="135" t="n">
        <f aca="false">$B14*E$9</f>
        <v>3.3</v>
      </c>
      <c r="F14" s="135" t="n">
        <f aca="false">$B14*F$9</f>
        <v>3.63</v>
      </c>
      <c r="G14" s="135" t="n">
        <f aca="false">$B14*G$9</f>
        <v>3.993</v>
      </c>
      <c r="H14" s="135" t="n">
        <f aca="false">$B14*H$9</f>
        <v>4.29</v>
      </c>
    </row>
    <row r="15" customFormat="false" ht="15" hidden="false" customHeight="true" outlineLevel="0" collapsed="false">
      <c r="B15" s="134" t="n">
        <v>1.6</v>
      </c>
      <c r="C15" s="135" t="n">
        <f aca="false">$B15*C$9</f>
        <v>2.72</v>
      </c>
      <c r="D15" s="135" t="n">
        <f aca="false">$B15*D$9</f>
        <v>2.904</v>
      </c>
      <c r="E15" s="135" t="n">
        <f aca="false">$B15*E$9</f>
        <v>3.2</v>
      </c>
      <c r="F15" s="135" t="n">
        <f aca="false">$B15*F$9</f>
        <v>3.52</v>
      </c>
      <c r="G15" s="135" t="n">
        <f aca="false">$B15*G$9</f>
        <v>3.872</v>
      </c>
      <c r="H15" s="135" t="n">
        <f aca="false">$B15*H$9</f>
        <v>4.16</v>
      </c>
    </row>
    <row r="16" customFormat="false" ht="15" hidden="false" customHeight="true" outlineLevel="0" collapsed="false">
      <c r="B16" s="134" t="n">
        <v>1.55</v>
      </c>
      <c r="C16" s="135" t="n">
        <f aca="false">$B16*C$9</f>
        <v>2.635</v>
      </c>
      <c r="D16" s="135" t="n">
        <f aca="false">$B16*D$9</f>
        <v>2.81325</v>
      </c>
      <c r="E16" s="135" t="n">
        <f aca="false">$B16*E$9</f>
        <v>3.1</v>
      </c>
      <c r="F16" s="135" t="n">
        <f aca="false">$B16*F$9</f>
        <v>3.41</v>
      </c>
      <c r="G16" s="135" t="n">
        <f aca="false">$B16*G$9</f>
        <v>3.751</v>
      </c>
      <c r="H16" s="135" t="n">
        <f aca="false">$B16*H$9</f>
        <v>4.03</v>
      </c>
    </row>
    <row r="17" customFormat="false" ht="15" hidden="false" customHeight="true" outlineLevel="0" collapsed="false">
      <c r="B17" s="134" t="n">
        <v>1.5</v>
      </c>
      <c r="C17" s="135" t="n">
        <f aca="false">$B17*C$9</f>
        <v>2.55</v>
      </c>
      <c r="D17" s="135" t="n">
        <f aca="false">$B17*D$9</f>
        <v>2.7225</v>
      </c>
      <c r="E17" s="135" t="n">
        <f aca="false">$B17*E$9</f>
        <v>3</v>
      </c>
      <c r="F17" s="135" t="n">
        <f aca="false">$B17*F$9</f>
        <v>3.3</v>
      </c>
      <c r="G17" s="135" t="n">
        <f aca="false">$B17*G$9</f>
        <v>3.63</v>
      </c>
      <c r="H17" s="135" t="n">
        <f aca="false">$B17*H$9</f>
        <v>3.9</v>
      </c>
    </row>
    <row r="19" customFormat="false" ht="23.25" hidden="false" customHeight="true" outlineLevel="0" collapsed="false">
      <c r="B19" s="129" t="s">
        <v>331</v>
      </c>
    </row>
    <row r="20" customFormat="false" ht="15" hidden="false" customHeight="true" outlineLevel="0" collapsed="false">
      <c r="B20" s="132" t="s">
        <v>329</v>
      </c>
      <c r="C20" s="133" t="n">
        <f aca="false">C$6</f>
        <v>1.7</v>
      </c>
      <c r="D20" s="133" t="n">
        <f aca="false">D$6</f>
        <v>1.815</v>
      </c>
      <c r="E20" s="133" t="n">
        <f aca="false">E$6</f>
        <v>2</v>
      </c>
      <c r="F20" s="133" t="n">
        <f aca="false">F$6</f>
        <v>2.2</v>
      </c>
      <c r="G20" s="133" t="n">
        <f aca="false">G$6</f>
        <v>2.42</v>
      </c>
      <c r="H20" s="133" t="n">
        <f aca="false">H$6</f>
        <v>2.6</v>
      </c>
    </row>
    <row r="21" customFormat="false" ht="15" hidden="false" customHeight="true" outlineLevel="0" collapsed="false">
      <c r="B21" s="137" t="n">
        <f aca="false">B10</f>
        <v>2</v>
      </c>
      <c r="C21" s="138" t="n">
        <f aca="false">1-((($B21*C$20+$B21*SUP_COSTOS!$E$20+SUP_COSTOS!$E$40)*(1+SUP_COSTOS!$C$15)+(SUP_COSTOS!$F$99-SUP_COSTOS!$F$92))*(1+SUP_COSTOS!$C$15))/SUP_PRECIOS!$E$8</f>
        <v>0.473973381558824</v>
      </c>
      <c r="D21" s="138" t="n">
        <f aca="false">1-((($B21*D$20+$B21*SUP_COSTOS!$E$20+SUP_COSTOS!$E$40)*(1+SUP_COSTOS!$C$15)+(SUP_COSTOS!$F$99-SUP_COSTOS!$F$92))*(1+SUP_COSTOS!$C$15))/SUP_PRECIOS!$E$8</f>
        <v>0.449255146264706</v>
      </c>
      <c r="E21" s="138" t="n">
        <f aca="false">1-((($B21*E$20+$B21*SUP_COSTOS!$E$20+SUP_COSTOS!$E$40)*(1+SUP_COSTOS!$C$15)+(SUP_COSTOS!$F$99-SUP_COSTOS!$F$92))*(1+SUP_COSTOS!$C$15))/SUP_PRECIOS!$E$8</f>
        <v>0.409491028617647</v>
      </c>
      <c r="F21" s="138" t="n">
        <f aca="false">1-((($B21*F$20+$B21*SUP_COSTOS!$E$20+SUP_COSTOS!$E$40)*(1+SUP_COSTOS!$C$15)+(SUP_COSTOS!$F$99-SUP_COSTOS!$F$92))*(1+SUP_COSTOS!$C$15))/SUP_PRECIOS!$E$8</f>
        <v>0.366502793323529</v>
      </c>
      <c r="G21" s="138" t="n">
        <f aca="false">1-((($B21*G$20+$B21*SUP_COSTOS!$E$20+SUP_COSTOS!$E$40)*(1+SUP_COSTOS!$C$15)+(SUP_COSTOS!$F$99-SUP_COSTOS!$F$92))*(1+SUP_COSTOS!$C$15))/SUP_PRECIOS!$E$8</f>
        <v>0.3192157345</v>
      </c>
      <c r="H21" s="138" t="n">
        <f aca="false">1-((($B21*H$20+$B21*SUP_COSTOS!$E$20+SUP_COSTOS!$E$40)*(1+SUP_COSTOS!$C$15)+(SUP_COSTOS!$F$99-SUP_COSTOS!$F$92))*(1+SUP_COSTOS!$C$15))/SUP_PRECIOS!$E$8</f>
        <v>0.280526322735294</v>
      </c>
    </row>
    <row r="22" customFormat="false" ht="15" hidden="false" customHeight="true" outlineLevel="0" collapsed="false">
      <c r="B22" s="137" t="n">
        <f aca="false">B11</f>
        <v>1.9</v>
      </c>
      <c r="C22" s="138" t="n">
        <f aca="false">1-((($B22*C$20+$B22*SUP_COSTOS!$E$20+SUP_COSTOS!$E$40)*(1+SUP_COSTOS!$C$15)+(SUP_COSTOS!$F$99-SUP_COSTOS!$F$92))*(1+SUP_COSTOS!$C$15))/SUP_PRECIOS!$E$8</f>
        <v>0.493436305088235</v>
      </c>
      <c r="D22" s="138" t="n">
        <f aca="false">1-((($B22*D$20+$B22*SUP_COSTOS!$E$20+SUP_COSTOS!$E$40)*(1+SUP_COSTOS!$C$15)+(SUP_COSTOS!$F$99-SUP_COSTOS!$F$92))*(1+SUP_COSTOS!$C$15))/SUP_PRECIOS!$E$8</f>
        <v>0.469953981558824</v>
      </c>
      <c r="E22" s="138" t="n">
        <f aca="false">1-((($B22*E$20+$B22*SUP_COSTOS!$E$20+SUP_COSTOS!$E$40)*(1+SUP_COSTOS!$C$15)+(SUP_COSTOS!$F$99-SUP_COSTOS!$F$92))*(1+SUP_COSTOS!$C$15))/SUP_PRECIOS!$E$8</f>
        <v>0.432178069794118</v>
      </c>
      <c r="F22" s="138" t="n">
        <f aca="false">1-((($B22*F$20+$B22*SUP_COSTOS!$E$20+SUP_COSTOS!$E$40)*(1+SUP_COSTOS!$C$15)+(SUP_COSTOS!$F$99-SUP_COSTOS!$F$92))*(1+SUP_COSTOS!$C$15))/SUP_PRECIOS!$E$8</f>
        <v>0.391339246264706</v>
      </c>
      <c r="G22" s="138" t="n">
        <f aca="false">1-((($B22*G$20+$B22*SUP_COSTOS!$E$20+SUP_COSTOS!$E$40)*(1+SUP_COSTOS!$C$15)+(SUP_COSTOS!$F$99-SUP_COSTOS!$F$92))*(1+SUP_COSTOS!$C$15))/SUP_PRECIOS!$E$8</f>
        <v>0.346416540382353</v>
      </c>
      <c r="H22" s="138" t="n">
        <f aca="false">1-((($B22*H$20+$B22*SUP_COSTOS!$E$20+SUP_COSTOS!$E$40)*(1+SUP_COSTOS!$C$15)+(SUP_COSTOS!$F$99-SUP_COSTOS!$F$92))*(1+SUP_COSTOS!$C$15))/SUP_PRECIOS!$E$8</f>
        <v>0.309661599205882</v>
      </c>
    </row>
    <row r="23" customFormat="false" ht="15" hidden="false" customHeight="true" outlineLevel="0" collapsed="false">
      <c r="B23" s="137" t="n">
        <f aca="false">B12</f>
        <v>1.8</v>
      </c>
      <c r="C23" s="138" t="n">
        <f aca="false">1-((($B23*C$20+$B23*SUP_COSTOS!$E$20+SUP_COSTOS!$E$40)*(1+SUP_COSTOS!$C$15)+(SUP_COSTOS!$F$99-SUP_COSTOS!$F$92))*(1+SUP_COSTOS!$C$15))/SUP_PRECIOS!$E$8</f>
        <v>0.512899228617647</v>
      </c>
      <c r="D23" s="138" t="n">
        <f aca="false">1-((($B23*D$20+$B23*SUP_COSTOS!$E$20+SUP_COSTOS!$E$40)*(1+SUP_COSTOS!$C$15)+(SUP_COSTOS!$F$99-SUP_COSTOS!$F$92))*(1+SUP_COSTOS!$C$15))/SUP_PRECIOS!$E$8</f>
        <v>0.490652816852941</v>
      </c>
      <c r="E23" s="138" t="n">
        <f aca="false">1-((($B23*E$20+$B23*SUP_COSTOS!$E$20+SUP_COSTOS!$E$40)*(1+SUP_COSTOS!$C$15)+(SUP_COSTOS!$F$99-SUP_COSTOS!$F$92))*(1+SUP_COSTOS!$C$15))/SUP_PRECIOS!$E$8</f>
        <v>0.454865110970588</v>
      </c>
      <c r="F23" s="139" t="n">
        <f aca="false">1-((($B23*F$20+$B23*SUP_COSTOS!$E$20+SUP_COSTOS!$E$40)*(1+SUP_COSTOS!$C$15)+(SUP_COSTOS!$F$99-SUP_COSTOS!$F$92))*(1+SUP_COSTOS!$C$15))/SUP_PRECIOS!$E$8</f>
        <v>0.416175699205882</v>
      </c>
      <c r="G23" s="138" t="n">
        <f aca="false">1-((($B23*G$20+$B23*SUP_COSTOS!$E$20+SUP_COSTOS!$E$40)*(1+SUP_COSTOS!$C$15)+(SUP_COSTOS!$F$99-SUP_COSTOS!$F$92))*(1+SUP_COSTOS!$C$15))/SUP_PRECIOS!$E$8</f>
        <v>0.373617346264706</v>
      </c>
      <c r="H23" s="138" t="n">
        <f aca="false">1-((($B23*H$20+$B23*SUP_COSTOS!$E$20+SUP_COSTOS!$E$40)*(1+SUP_COSTOS!$C$15)+(SUP_COSTOS!$F$99-SUP_COSTOS!$F$92))*(1+SUP_COSTOS!$C$15))/SUP_PRECIOS!$E$8</f>
        <v>0.338796875676471</v>
      </c>
    </row>
    <row r="24" customFormat="false" ht="15" hidden="false" customHeight="true" outlineLevel="0" collapsed="false">
      <c r="B24" s="137" t="n">
        <f aca="false">B13</f>
        <v>1.7</v>
      </c>
      <c r="C24" s="138" t="n">
        <f aca="false">1-((($B24*C$20+$B24*SUP_COSTOS!$E$20+SUP_COSTOS!$E$40)*(1+SUP_COSTOS!$C$15)+(SUP_COSTOS!$F$99-SUP_COSTOS!$F$92))*(1+SUP_COSTOS!$C$15))/SUP_PRECIOS!$E$8</f>
        <v>0.532362152147059</v>
      </c>
      <c r="D24" s="138" t="n">
        <f aca="false">1-((($B24*D$20+$B24*SUP_COSTOS!$E$20+SUP_COSTOS!$E$40)*(1+SUP_COSTOS!$C$15)+(SUP_COSTOS!$F$99-SUP_COSTOS!$F$92))*(1+SUP_COSTOS!$C$15))/SUP_PRECIOS!$E$8</f>
        <v>0.511351652147059</v>
      </c>
      <c r="E24" s="138" t="n">
        <f aca="false">1-((($B24*E$20+$B24*SUP_COSTOS!$E$20+SUP_COSTOS!$E$40)*(1+SUP_COSTOS!$C$15)+(SUP_COSTOS!$F$99-SUP_COSTOS!$F$92))*(1+SUP_COSTOS!$C$15))/SUP_PRECIOS!$E$8</f>
        <v>0.477552152147059</v>
      </c>
      <c r="F24" s="138" t="n">
        <f aca="false">1-((($B24*F$20+$B24*SUP_COSTOS!$E$20+SUP_COSTOS!$E$40)*(1+SUP_COSTOS!$C$15)+(SUP_COSTOS!$F$99-SUP_COSTOS!$F$92))*(1+SUP_COSTOS!$C$15))/SUP_PRECIOS!$E$8</f>
        <v>0.441012152147059</v>
      </c>
      <c r="G24" s="138" t="n">
        <f aca="false">1-((($B24*G$20+$B24*SUP_COSTOS!$E$20+SUP_COSTOS!$E$40)*(1+SUP_COSTOS!$C$15)+(SUP_COSTOS!$F$99-SUP_COSTOS!$F$92))*(1+SUP_COSTOS!$C$15))/SUP_PRECIOS!$E$8</f>
        <v>0.400818152147059</v>
      </c>
      <c r="H24" s="138" t="n">
        <f aca="false">1-((($B24*H$20+$B24*SUP_COSTOS!$E$20+SUP_COSTOS!$E$40)*(1+SUP_COSTOS!$C$15)+(SUP_COSTOS!$F$99-SUP_COSTOS!$F$92))*(1+SUP_COSTOS!$C$15))/SUP_PRECIOS!$E$8</f>
        <v>0.367932152147059</v>
      </c>
    </row>
    <row r="25" customFormat="false" ht="15" hidden="false" customHeight="true" outlineLevel="0" collapsed="false">
      <c r="B25" s="137" t="n">
        <f aca="false">B14</f>
        <v>1.65</v>
      </c>
      <c r="C25" s="138" t="n">
        <f aca="false">1-((($B25*C$20+$B25*SUP_COSTOS!$E$20+SUP_COSTOS!$E$40)*(1+SUP_COSTOS!$C$15)+(SUP_COSTOS!$F$99-SUP_COSTOS!$F$92))*(1+SUP_COSTOS!$C$15))/SUP_PRECIOS!$E$8</f>
        <v>0.542093613911765</v>
      </c>
      <c r="D25" s="138" t="n">
        <f aca="false">1-((($B25*D$20+$B25*SUP_COSTOS!$E$20+SUP_COSTOS!$E$40)*(1+SUP_COSTOS!$C$15)+(SUP_COSTOS!$F$99-SUP_COSTOS!$F$92))*(1+SUP_COSTOS!$C$15))/SUP_PRECIOS!$E$8</f>
        <v>0.521701069794118</v>
      </c>
      <c r="E25" s="138" t="n">
        <f aca="false">1-((($B25*E$20+$B25*SUP_COSTOS!$E$20+SUP_COSTOS!$E$40)*(1+SUP_COSTOS!$C$15)+(SUP_COSTOS!$F$99-SUP_COSTOS!$F$92))*(1+SUP_COSTOS!$C$15))/SUP_PRECIOS!$E$8</f>
        <v>0.488895672735294</v>
      </c>
      <c r="F25" s="138" t="n">
        <f aca="false">1-((($B25*F$20+$B25*SUP_COSTOS!$E$20+SUP_COSTOS!$E$40)*(1+SUP_COSTOS!$C$15)+(SUP_COSTOS!$F$99-SUP_COSTOS!$F$92))*(1+SUP_COSTOS!$C$15))/SUP_PRECIOS!$E$8</f>
        <v>0.453430378617647</v>
      </c>
      <c r="G25" s="138" t="n">
        <f aca="false">1-((($B25*G$20+$B25*SUP_COSTOS!$E$20+SUP_COSTOS!$E$40)*(1+SUP_COSTOS!$C$15)+(SUP_COSTOS!$F$99-SUP_COSTOS!$F$92))*(1+SUP_COSTOS!$C$15))/SUP_PRECIOS!$E$8</f>
        <v>0.414418555088235</v>
      </c>
      <c r="H25" s="138" t="n">
        <f aca="false">1-((($B25*H$20+$B25*SUP_COSTOS!$E$20+SUP_COSTOS!$E$40)*(1+SUP_COSTOS!$C$15)+(SUP_COSTOS!$F$99-SUP_COSTOS!$F$92))*(1+SUP_COSTOS!$C$15))/SUP_PRECIOS!$E$8</f>
        <v>0.382499790382353</v>
      </c>
    </row>
    <row r="26" customFormat="false" ht="15" hidden="false" customHeight="true" outlineLevel="0" collapsed="false">
      <c r="B26" s="137" t="n">
        <f aca="false">B15</f>
        <v>1.6</v>
      </c>
      <c r="C26" s="138" t="n">
        <f aca="false">1-((($B26*C$20+$B26*SUP_COSTOS!$E$20+SUP_COSTOS!$E$40)*(1+SUP_COSTOS!$C$15)+(SUP_COSTOS!$F$99-SUP_COSTOS!$F$92))*(1+SUP_COSTOS!$C$15))/SUP_PRECIOS!$E$8</f>
        <v>0.55182507567647</v>
      </c>
      <c r="D26" s="138" t="n">
        <f aca="false">1-((($B26*D$20+$B26*SUP_COSTOS!$E$20+SUP_COSTOS!$E$40)*(1+SUP_COSTOS!$C$15)+(SUP_COSTOS!$F$99-SUP_COSTOS!$F$92))*(1+SUP_COSTOS!$C$15))/SUP_PRECIOS!$E$8</f>
        <v>0.532050487441177</v>
      </c>
      <c r="E26" s="138" t="n">
        <f aca="false">1-((($B26*E$20+$B26*SUP_COSTOS!$E$20+SUP_COSTOS!$E$40)*(1+SUP_COSTOS!$C$15)+(SUP_COSTOS!$F$99-SUP_COSTOS!$F$92))*(1+SUP_COSTOS!$C$15))/SUP_PRECIOS!$E$8</f>
        <v>0.500239193323529</v>
      </c>
      <c r="F26" s="138" t="n">
        <f aca="false">1-((($B26*F$20+$B26*SUP_COSTOS!$E$20+SUP_COSTOS!$E$40)*(1+SUP_COSTOS!$C$15)+(SUP_COSTOS!$F$99-SUP_COSTOS!$F$92))*(1+SUP_COSTOS!$C$15))/SUP_PRECIOS!$E$8</f>
        <v>0.465848605088235</v>
      </c>
      <c r="G26" s="138" t="n">
        <f aca="false">1-((($B26*G$20+$B26*SUP_COSTOS!$E$20+SUP_COSTOS!$E$40)*(1+SUP_COSTOS!$C$15)+(SUP_COSTOS!$F$99-SUP_COSTOS!$F$92))*(1+SUP_COSTOS!$C$15))/SUP_PRECIOS!$E$8</f>
        <v>0.428018958029412</v>
      </c>
      <c r="H26" s="138" t="n">
        <f aca="false">1-((($B26*H$20+$B26*SUP_COSTOS!$E$20+SUP_COSTOS!$E$40)*(1+SUP_COSTOS!$C$15)+(SUP_COSTOS!$F$99-SUP_COSTOS!$F$92))*(1+SUP_COSTOS!$C$15))/SUP_PRECIOS!$E$8</f>
        <v>0.397067428617647</v>
      </c>
    </row>
    <row r="27" customFormat="false" ht="15" hidden="false" customHeight="true" outlineLevel="0" collapsed="false">
      <c r="B27" s="137" t="n">
        <f aca="false">B16</f>
        <v>1.55</v>
      </c>
      <c r="C27" s="138" t="n">
        <f aca="false">1-((($B27*C$20+$B27*SUP_COSTOS!$E$20+SUP_COSTOS!$E$40)*(1+SUP_COSTOS!$C$15)+(SUP_COSTOS!$F$99-SUP_COSTOS!$F$92))*(1+SUP_COSTOS!$C$15))/SUP_PRECIOS!$E$8</f>
        <v>0.561556537441176</v>
      </c>
      <c r="D27" s="138" t="n">
        <f aca="false">1-((($B27*D$20+$B27*SUP_COSTOS!$E$20+SUP_COSTOS!$E$40)*(1+SUP_COSTOS!$C$15)+(SUP_COSTOS!$F$99-SUP_COSTOS!$F$92))*(1+SUP_COSTOS!$C$15))/SUP_PRECIOS!$E$8</f>
        <v>0.542399905088235</v>
      </c>
      <c r="E27" s="138" t="n">
        <f aca="false">1-((($B27*E$20+$B27*SUP_COSTOS!$E$20+SUP_COSTOS!$E$40)*(1+SUP_COSTOS!$C$15)+(SUP_COSTOS!$F$99-SUP_COSTOS!$F$92))*(1+SUP_COSTOS!$C$15))/SUP_PRECIOS!$E$8</f>
        <v>0.511582713911765</v>
      </c>
      <c r="F27" s="138" t="n">
        <f aca="false">1-((($B27*F$20+$B27*SUP_COSTOS!$E$20+SUP_COSTOS!$E$40)*(1+SUP_COSTOS!$C$15)+(SUP_COSTOS!$F$99-SUP_COSTOS!$F$92))*(1+SUP_COSTOS!$C$15))/SUP_PRECIOS!$E$8</f>
        <v>0.478266831558823</v>
      </c>
      <c r="G27" s="138" t="n">
        <f aca="false">1-((($B27*G$20+$B27*SUP_COSTOS!$E$20+SUP_COSTOS!$E$40)*(1+SUP_COSTOS!$C$15)+(SUP_COSTOS!$F$99-SUP_COSTOS!$F$92))*(1+SUP_COSTOS!$C$15))/SUP_PRECIOS!$E$8</f>
        <v>0.441619360970588</v>
      </c>
      <c r="H27" s="138" t="n">
        <f aca="false">1-((($B27*H$20+$B27*SUP_COSTOS!$E$20+SUP_COSTOS!$E$40)*(1+SUP_COSTOS!$C$15)+(SUP_COSTOS!$F$99-SUP_COSTOS!$F$92))*(1+SUP_COSTOS!$C$15))/SUP_PRECIOS!$E$8</f>
        <v>0.411635066852941</v>
      </c>
    </row>
    <row r="28" customFormat="false" ht="15" hidden="false" customHeight="true" outlineLevel="0" collapsed="false">
      <c r="B28" s="137" t="n">
        <f aca="false">B17</f>
        <v>1.5</v>
      </c>
      <c r="C28" s="138" t="n">
        <f aca="false">1-((($B28*C$20+$B28*SUP_COSTOS!$E$20+SUP_COSTOS!$E$40)*(1+SUP_COSTOS!$C$15)+(SUP_COSTOS!$F$99-SUP_COSTOS!$F$92))*(1+SUP_COSTOS!$C$15))/SUP_PRECIOS!$E$8</f>
        <v>0.571287999205882</v>
      </c>
      <c r="D28" s="138" t="n">
        <f aca="false">1-((($B28*D$20+$B28*SUP_COSTOS!$E$20+SUP_COSTOS!$E$40)*(1+SUP_COSTOS!$C$15)+(SUP_COSTOS!$F$99-SUP_COSTOS!$F$92))*(1+SUP_COSTOS!$C$15))/SUP_PRECIOS!$E$8</f>
        <v>0.552749322735294</v>
      </c>
      <c r="E28" s="138" t="n">
        <f aca="false">1-((($B28*E$20+$B28*SUP_COSTOS!$E$20+SUP_COSTOS!$E$40)*(1+SUP_COSTOS!$C$15)+(SUP_COSTOS!$F$99-SUP_COSTOS!$F$92))*(1+SUP_COSTOS!$C$15))/SUP_PRECIOS!$E$8</f>
        <v>0.5229262345</v>
      </c>
      <c r="F28" s="138" t="n">
        <f aca="false">1-((($B28*F$20+$B28*SUP_COSTOS!$E$20+SUP_COSTOS!$E$40)*(1+SUP_COSTOS!$C$15)+(SUP_COSTOS!$F$99-SUP_COSTOS!$F$92))*(1+SUP_COSTOS!$C$15))/SUP_PRECIOS!$E$8</f>
        <v>0.490685058029412</v>
      </c>
      <c r="G28" s="138" t="n">
        <f aca="false">1-((($B28*G$20+$B28*SUP_COSTOS!$E$20+SUP_COSTOS!$E$40)*(1+SUP_COSTOS!$C$15)+(SUP_COSTOS!$F$99-SUP_COSTOS!$F$92))*(1+SUP_COSTOS!$C$15))/SUP_PRECIOS!$E$8</f>
        <v>0.455219763911765</v>
      </c>
      <c r="H28" s="138" t="n">
        <f aca="false">1-((($B28*H$20+$B28*SUP_COSTOS!$E$20+SUP_COSTOS!$E$40)*(1+SUP_COSTOS!$C$15)+(SUP_COSTOS!$F$99-SUP_COSTOS!$F$92))*(1+SUP_COSTOS!$C$15))/SUP_PRECIOS!$E$8</f>
        <v>0.426202705088235</v>
      </c>
    </row>
    <row r="30" customFormat="false" ht="23.25" hidden="false" customHeight="true" outlineLevel="0" collapsed="false">
      <c r="B30" s="129" t="s">
        <v>332</v>
      </c>
    </row>
    <row r="31" customFormat="false" ht="15" hidden="false" customHeight="true" outlineLevel="0" collapsed="false">
      <c r="B31" s="132" t="s">
        <v>329</v>
      </c>
      <c r="C31" s="133" t="n">
        <f aca="false">C$6</f>
        <v>1.7</v>
      </c>
      <c r="D31" s="133" t="n">
        <f aca="false">D$6</f>
        <v>1.815</v>
      </c>
      <c r="E31" s="133" t="n">
        <f aca="false">E$6</f>
        <v>2</v>
      </c>
      <c r="F31" s="133" t="n">
        <f aca="false">F$6</f>
        <v>2.2</v>
      </c>
      <c r="G31" s="133" t="n">
        <f aca="false">G$6</f>
        <v>2.42</v>
      </c>
      <c r="H31" s="133" t="n">
        <f aca="false">H$6</f>
        <v>2.6</v>
      </c>
    </row>
    <row r="32" customFormat="false" ht="15" hidden="false" customHeight="true" outlineLevel="0" collapsed="false">
      <c r="B32" s="137" t="n">
        <f aca="false">B10</f>
        <v>2</v>
      </c>
      <c r="C32" s="138" t="n">
        <f aca="false">$B32*C$31*(1+SUP_COSTOS!$C$15)^2/SUP_PRECIOS!$E$8</f>
        <v>0.3654</v>
      </c>
      <c r="D32" s="138" t="n">
        <f aca="false">$B32*D$31*(1+SUP_COSTOS!$C$15)^2/SUP_PRECIOS!$E$8</f>
        <v>0.390118235294118</v>
      </c>
      <c r="E32" s="138" t="n">
        <f aca="false">$B32*E$31*(1+SUP_COSTOS!$C$15)^2/SUP_PRECIOS!$E$8</f>
        <v>0.429882352941177</v>
      </c>
      <c r="F32" s="138" t="n">
        <f aca="false">$B32*F$31*(1+SUP_COSTOS!$C$15)^2/SUP_PRECIOS!$E$8</f>
        <v>0.472870588235294</v>
      </c>
      <c r="G32" s="138" t="n">
        <f aca="false">$B32*G$31*(1+SUP_COSTOS!$C$15)^2/SUP_PRECIOS!$E$8</f>
        <v>0.520157647058824</v>
      </c>
      <c r="H32" s="138" t="n">
        <f aca="false">$B32*H$31*(1+SUP_COSTOS!$C$15)^2/SUP_PRECIOS!$E$8</f>
        <v>0.55884705882353</v>
      </c>
    </row>
    <row r="33" customFormat="false" ht="15" hidden="false" customHeight="true" outlineLevel="0" collapsed="false">
      <c r="B33" s="137" t="n">
        <f aca="false">B11</f>
        <v>1.9</v>
      </c>
      <c r="C33" s="138" t="n">
        <f aca="false">$B33*C$31*(1+SUP_COSTOS!$C$15)^2/SUP_PRECIOS!$E$8</f>
        <v>0.34713</v>
      </c>
      <c r="D33" s="138" t="n">
        <f aca="false">$B33*D$31*(1+SUP_COSTOS!$C$15)^2/SUP_PRECIOS!$E$8</f>
        <v>0.370612323529412</v>
      </c>
      <c r="E33" s="138" t="n">
        <f aca="false">$B33*E$31*(1+SUP_COSTOS!$C$15)^2/SUP_PRECIOS!$E$8</f>
        <v>0.408388235294118</v>
      </c>
      <c r="F33" s="138" t="n">
        <f aca="false">$B33*F$31*(1+SUP_COSTOS!$C$15)^2/SUP_PRECIOS!$E$8</f>
        <v>0.449227058823529</v>
      </c>
      <c r="G33" s="138" t="n">
        <f aca="false">$B33*G$31*(1+SUP_COSTOS!$C$15)^2/SUP_PRECIOS!$E$8</f>
        <v>0.494149764705882</v>
      </c>
      <c r="H33" s="138" t="n">
        <f aca="false">$B33*H$31*(1+SUP_COSTOS!$C$15)^2/SUP_PRECIOS!$E$8</f>
        <v>0.530904705882353</v>
      </c>
    </row>
    <row r="34" customFormat="false" ht="15" hidden="false" customHeight="true" outlineLevel="0" collapsed="false">
      <c r="B34" s="137" t="n">
        <f aca="false">B12</f>
        <v>1.8</v>
      </c>
      <c r="C34" s="138" t="n">
        <f aca="false">$B34*C$31*(1+SUP_COSTOS!$C$15)^2/SUP_PRECIOS!$E$8</f>
        <v>0.32886</v>
      </c>
      <c r="D34" s="138" t="n">
        <f aca="false">$B34*D$31*(1+SUP_COSTOS!$C$15)^2/SUP_PRECIOS!$E$8</f>
        <v>0.351106411764706</v>
      </c>
      <c r="E34" s="138" t="n">
        <f aca="false">$B34*E$31*(1+SUP_COSTOS!$C$15)^2/SUP_PRECIOS!$E$8</f>
        <v>0.386894117647059</v>
      </c>
      <c r="F34" s="139" t="n">
        <f aca="false">$B34*F$31*(1+SUP_COSTOS!$C$15)^2/SUP_PRECIOS!$E$8</f>
        <v>0.425583529411765</v>
      </c>
      <c r="G34" s="138" t="n">
        <f aca="false">$B34*G$31*(1+SUP_COSTOS!$C$15)^2/SUP_PRECIOS!$E$8</f>
        <v>0.468141882352941</v>
      </c>
      <c r="H34" s="138" t="n">
        <f aca="false">$B34*H$31*(1+SUP_COSTOS!$C$15)^2/SUP_PRECIOS!$E$8</f>
        <v>0.502962352941177</v>
      </c>
    </row>
    <row r="35" customFormat="false" ht="15" hidden="false" customHeight="true" outlineLevel="0" collapsed="false">
      <c r="B35" s="137" t="n">
        <f aca="false">B13</f>
        <v>1.7</v>
      </c>
      <c r="C35" s="138" t="n">
        <f aca="false">$B35*C$31*(1+SUP_COSTOS!$C$15)^2/SUP_PRECIOS!$E$8</f>
        <v>0.31059</v>
      </c>
      <c r="D35" s="138" t="n">
        <f aca="false">$B35*D$31*(1+SUP_COSTOS!$C$15)^2/SUP_PRECIOS!$E$8</f>
        <v>0.3316005</v>
      </c>
      <c r="E35" s="138" t="n">
        <f aca="false">$B35*E$31*(1+SUP_COSTOS!$C$15)^2/SUP_PRECIOS!$E$8</f>
        <v>0.3654</v>
      </c>
      <c r="F35" s="138" t="n">
        <f aca="false">$B35*F$31*(1+SUP_COSTOS!$C$15)^2/SUP_PRECIOS!$E$8</f>
        <v>0.40194</v>
      </c>
      <c r="G35" s="138" t="n">
        <f aca="false">$B35*G$31*(1+SUP_COSTOS!$C$15)^2/SUP_PRECIOS!$E$8</f>
        <v>0.442134</v>
      </c>
      <c r="H35" s="138" t="n">
        <f aca="false">$B35*H$31*(1+SUP_COSTOS!$C$15)^2/SUP_PRECIOS!$E$8</f>
        <v>0.47502</v>
      </c>
    </row>
    <row r="36" customFormat="false" ht="15" hidden="false" customHeight="true" outlineLevel="0" collapsed="false">
      <c r="B36" s="137" t="n">
        <f aca="false">B14</f>
        <v>1.65</v>
      </c>
      <c r="C36" s="138" t="n">
        <f aca="false">$B36*C$31*(1+SUP_COSTOS!$C$15)^2/SUP_PRECIOS!$E$8</f>
        <v>0.301455</v>
      </c>
      <c r="D36" s="138" t="n">
        <f aca="false">$B36*D$31*(1+SUP_COSTOS!$C$15)^2/SUP_PRECIOS!$E$8</f>
        <v>0.321847544117647</v>
      </c>
      <c r="E36" s="138" t="n">
        <f aca="false">$B36*E$31*(1+SUP_COSTOS!$C$15)^2/SUP_PRECIOS!$E$8</f>
        <v>0.354652941176471</v>
      </c>
      <c r="F36" s="138" t="n">
        <f aca="false">$B36*F$31*(1+SUP_COSTOS!$C$15)^2/SUP_PRECIOS!$E$8</f>
        <v>0.390118235294118</v>
      </c>
      <c r="G36" s="138" t="n">
        <f aca="false">$B36*G$31*(1+SUP_COSTOS!$C$15)^2/SUP_PRECIOS!$E$8</f>
        <v>0.429130058823529</v>
      </c>
      <c r="H36" s="138" t="n">
        <f aca="false">$B36*H$31*(1+SUP_COSTOS!$C$15)^2/SUP_PRECIOS!$E$8</f>
        <v>0.461048823529412</v>
      </c>
    </row>
    <row r="37" customFormat="false" ht="15" hidden="false" customHeight="true" outlineLevel="0" collapsed="false">
      <c r="B37" s="137" t="n">
        <f aca="false">B15</f>
        <v>1.6</v>
      </c>
      <c r="C37" s="138" t="n">
        <f aca="false">$B37*C$31*(1+SUP_COSTOS!$C$15)^2/SUP_PRECIOS!$E$8</f>
        <v>0.29232</v>
      </c>
      <c r="D37" s="138" t="n">
        <f aca="false">$B37*D$31*(1+SUP_COSTOS!$C$15)^2/SUP_PRECIOS!$E$8</f>
        <v>0.312094588235294</v>
      </c>
      <c r="E37" s="138" t="n">
        <f aca="false">$B37*E$31*(1+SUP_COSTOS!$C$15)^2/SUP_PRECIOS!$E$8</f>
        <v>0.343905882352941</v>
      </c>
      <c r="F37" s="138" t="n">
        <f aca="false">$B37*F$31*(1+SUP_COSTOS!$C$15)^2/SUP_PRECIOS!$E$8</f>
        <v>0.378296470588235</v>
      </c>
      <c r="G37" s="138" t="n">
        <f aca="false">$B37*G$31*(1+SUP_COSTOS!$C$15)^2/SUP_PRECIOS!$E$8</f>
        <v>0.416126117647059</v>
      </c>
      <c r="H37" s="138" t="n">
        <f aca="false">$B37*H$31*(1+SUP_COSTOS!$C$15)^2/SUP_PRECIOS!$E$8</f>
        <v>0.447077647058824</v>
      </c>
    </row>
    <row r="38" customFormat="false" ht="15" hidden="false" customHeight="true" outlineLevel="0" collapsed="false">
      <c r="B38" s="137" t="n">
        <f aca="false">B16</f>
        <v>1.55</v>
      </c>
      <c r="C38" s="138" t="n">
        <f aca="false">$B38*C$31*(1+SUP_COSTOS!$C$15)^2/SUP_PRECIOS!$E$8</f>
        <v>0.283185</v>
      </c>
      <c r="D38" s="138" t="n">
        <f aca="false">$B38*D$31*(1+SUP_COSTOS!$C$15)^2/SUP_PRECIOS!$E$8</f>
        <v>0.302341632352941</v>
      </c>
      <c r="E38" s="138" t="n">
        <f aca="false">$B38*E$31*(1+SUP_COSTOS!$C$15)^2/SUP_PRECIOS!$E$8</f>
        <v>0.333158823529412</v>
      </c>
      <c r="F38" s="138" t="n">
        <f aca="false">$B38*F$31*(1+SUP_COSTOS!$C$15)^2/SUP_PRECIOS!$E$8</f>
        <v>0.366474705882353</v>
      </c>
      <c r="G38" s="138" t="n">
        <f aca="false">$B38*G$31*(1+SUP_COSTOS!$C$15)^2/SUP_PRECIOS!$E$8</f>
        <v>0.403122176470588</v>
      </c>
      <c r="H38" s="138" t="n">
        <f aca="false">$B38*H$31*(1+SUP_COSTOS!$C$15)^2/SUP_PRECIOS!$E$8</f>
        <v>0.433106470588235</v>
      </c>
    </row>
    <row r="39" customFormat="false" ht="15" hidden="false" customHeight="true" outlineLevel="0" collapsed="false">
      <c r="B39" s="137" t="n">
        <f aca="false">B17</f>
        <v>1.5</v>
      </c>
      <c r="C39" s="138" t="n">
        <f aca="false">$B39*C$31*(1+SUP_COSTOS!$C$15)^2/SUP_PRECIOS!$E$8</f>
        <v>0.27405</v>
      </c>
      <c r="D39" s="138" t="n">
        <f aca="false">$B39*D$31*(1+SUP_COSTOS!$C$15)^2/SUP_PRECIOS!$E$8</f>
        <v>0.292588676470588</v>
      </c>
      <c r="E39" s="138" t="n">
        <f aca="false">$B39*E$31*(1+SUP_COSTOS!$C$15)^2/SUP_PRECIOS!$E$8</f>
        <v>0.322411764705882</v>
      </c>
      <c r="F39" s="138" t="n">
        <f aca="false">$B39*F$31*(1+SUP_COSTOS!$C$15)^2/SUP_PRECIOS!$E$8</f>
        <v>0.354652941176471</v>
      </c>
      <c r="G39" s="138" t="n">
        <f aca="false">$B39*G$31*(1+SUP_COSTOS!$C$15)^2/SUP_PRECIOS!$E$8</f>
        <v>0.390118235294118</v>
      </c>
      <c r="H39" s="138" t="n">
        <f aca="false">$B39*H$31*(1+SUP_COSTOS!$C$15)^2/SUP_PRECIOS!$E$8</f>
        <v>0.419135294117647</v>
      </c>
    </row>
    <row r="41" customFormat="false" ht="23.25" hidden="false" customHeight="true" outlineLevel="0" collapsed="false">
      <c r="B41" s="129" t="s">
        <v>333</v>
      </c>
    </row>
    <row r="42" customFormat="false" ht="21.75" hidden="false" customHeight="true" outlineLevel="0" collapsed="false">
      <c r="B42" s="132" t="s">
        <v>334</v>
      </c>
      <c r="C42" s="132" t="s">
        <v>335</v>
      </c>
      <c r="D42" s="132" t="s">
        <v>336</v>
      </c>
    </row>
    <row r="43" customFormat="false" ht="15" hidden="false" customHeight="true" outlineLevel="0" collapsed="false">
      <c r="B43" s="137" t="n">
        <f aca="false">B10</f>
        <v>2</v>
      </c>
      <c r="C43" s="140" t="n">
        <f aca="false">SUP_POLLO!$C$61*SUP_PRECIOS!$E$8/((1+SUP_COSTOS!$C$15)^2*$B43)</f>
        <v>1.86097427476738</v>
      </c>
      <c r="D43" s="141" t="n">
        <f aca="false">C43-SUP_POLLO!$C$13</f>
        <v>-0.339025725232622</v>
      </c>
    </row>
    <row r="44" customFormat="false" ht="15" hidden="false" customHeight="true" outlineLevel="0" collapsed="false">
      <c r="B44" s="137" t="n">
        <f aca="false">B11</f>
        <v>1.9</v>
      </c>
      <c r="C44" s="140" t="n">
        <f aca="false">SUP_POLLO!$C$61*SUP_PRECIOS!$E$8/((1+SUP_COSTOS!$C$15)^2*$B44)</f>
        <v>1.95892028922882</v>
      </c>
      <c r="D44" s="141" t="n">
        <f aca="false">C44-SUP_POLLO!$C$13</f>
        <v>-0.241079710771181</v>
      </c>
    </row>
    <row r="45" customFormat="false" ht="15" hidden="false" customHeight="true" outlineLevel="0" collapsed="false">
      <c r="B45" s="137" t="n">
        <f aca="false">B12</f>
        <v>1.8</v>
      </c>
      <c r="C45" s="140" t="n">
        <f aca="false">SUP_POLLO!$C$61*SUP_PRECIOS!$E$8/((1+SUP_COSTOS!$C$15)^2*$B45)</f>
        <v>2.06774919418598</v>
      </c>
      <c r="D45" s="141" t="n">
        <f aca="false">C45-SUP_POLLO!$C$13</f>
        <v>-0.132250805814024</v>
      </c>
    </row>
    <row r="46" customFormat="false" ht="15" hidden="false" customHeight="true" outlineLevel="0" collapsed="false">
      <c r="B46" s="137" t="n">
        <f aca="false">B13</f>
        <v>1.7</v>
      </c>
      <c r="C46" s="140" t="n">
        <f aca="false">SUP_POLLO!$C$61*SUP_PRECIOS!$E$8/((1+SUP_COSTOS!$C$15)^2*$B46)</f>
        <v>2.18938149972633</v>
      </c>
      <c r="D46" s="141" t="n">
        <f aca="false">C46-SUP_POLLO!$C$13</f>
        <v>-0.0106185002736727</v>
      </c>
    </row>
    <row r="47" customFormat="false" ht="15" hidden="false" customHeight="true" outlineLevel="0" collapsed="false">
      <c r="B47" s="137" t="n">
        <f aca="false">B14</f>
        <v>1.65</v>
      </c>
      <c r="C47" s="140" t="n">
        <f aca="false">SUP_POLLO!$C$61*SUP_PRECIOS!$E$8/((1+SUP_COSTOS!$C$15)^2*$B47)</f>
        <v>2.25572639365743</v>
      </c>
      <c r="D47" s="141" t="n">
        <f aca="false">C47-SUP_POLLO!$C$13</f>
        <v>0.0557263936574284</v>
      </c>
    </row>
    <row r="48" customFormat="false" ht="15" hidden="false" customHeight="true" outlineLevel="0" collapsed="false">
      <c r="B48" s="137" t="n">
        <f aca="false">B15</f>
        <v>1.6</v>
      </c>
      <c r="C48" s="140" t="n">
        <f aca="false">SUP_POLLO!$C$61*SUP_PRECIOS!$E$8/((1+SUP_COSTOS!$C$15)^2*$B48)</f>
        <v>2.32621784345922</v>
      </c>
      <c r="D48" s="141" t="n">
        <f aca="false">C48-SUP_POLLO!$C$13</f>
        <v>0.126217843459223</v>
      </c>
    </row>
    <row r="49" customFormat="false" ht="15" hidden="false" customHeight="true" outlineLevel="0" collapsed="false">
      <c r="B49" s="137" t="n">
        <f aca="false">B16</f>
        <v>1.55</v>
      </c>
      <c r="C49" s="140" t="n">
        <f aca="false">SUP_POLLO!$C$61*SUP_PRECIOS!$E$8/((1+SUP_COSTOS!$C$15)^2*$B49)</f>
        <v>2.4012571287321</v>
      </c>
      <c r="D49" s="141" t="n">
        <f aca="false">C49-SUP_POLLO!$C$13</f>
        <v>0.201257128732101</v>
      </c>
    </row>
    <row r="50" customFormat="false" ht="15" hidden="false" customHeight="true" outlineLevel="0" collapsed="false">
      <c r="B50" s="137" t="n">
        <f aca="false">B17</f>
        <v>1.5</v>
      </c>
      <c r="C50" s="140" t="n">
        <f aca="false">SUP_POLLO!$C$61*SUP_PRECIOS!$E$8/((1+SUP_COSTOS!$C$15)^2*$B50)</f>
        <v>2.48129903302317</v>
      </c>
      <c r="D50" s="141" t="n">
        <f aca="false">C50-SUP_POLLO!$C$13</f>
        <v>0.281299033023171</v>
      </c>
    </row>
    <row r="52" customFormat="false" ht="15" hidden="false" customHeight="true" outlineLevel="0" collapsed="false">
      <c r="A52" s="128" t="s">
        <v>337</v>
      </c>
      <c r="B52" s="25"/>
      <c r="C52" s="25"/>
      <c r="D52" s="25"/>
      <c r="E52" s="25"/>
      <c r="F52" s="25"/>
      <c r="G52" s="25"/>
      <c r="H52" s="25"/>
      <c r="I52" s="25"/>
    </row>
    <row r="53" customFormat="false" ht="42.75" hidden="false" customHeight="true" outlineLevel="0" collapsed="false">
      <c r="B53" s="131" t="s">
        <v>338</v>
      </c>
    </row>
    <row r="55" customFormat="false" ht="15" hidden="false" customHeight="true" outlineLevel="0" collapsed="false">
      <c r="B55" s="129" t="s">
        <v>339</v>
      </c>
    </row>
    <row r="56" customFormat="false" ht="15" hidden="false" customHeight="true" outlineLevel="0" collapsed="false">
      <c r="B56" s="132" t="s">
        <v>329</v>
      </c>
      <c r="C56" s="132" t="s">
        <v>340</v>
      </c>
      <c r="D56" s="132" t="s">
        <v>341</v>
      </c>
      <c r="E56" s="132" t="s">
        <v>342</v>
      </c>
      <c r="F56" s="132" t="s">
        <v>343</v>
      </c>
      <c r="G56" s="132" t="s">
        <v>344</v>
      </c>
      <c r="H56" s="132" t="s">
        <v>345</v>
      </c>
    </row>
    <row r="57" customFormat="false" ht="21.75" hidden="false" customHeight="true" outlineLevel="0" collapsed="false">
      <c r="B57" s="142" t="n">
        <v>2</v>
      </c>
      <c r="C57" s="143" t="n">
        <v>2.12414365636412</v>
      </c>
      <c r="D57" s="143" t="n">
        <v>1.08023350717556</v>
      </c>
      <c r="E57" s="143" t="n">
        <v>-0.355725922166982</v>
      </c>
      <c r="F57" s="143" t="n">
        <v>-1.20373706257397</v>
      </c>
      <c r="G57" s="143" t="n">
        <v>-1.6419298723751</v>
      </c>
      <c r="H57" s="143" t="n">
        <v>-2.00096363400566</v>
      </c>
      <c r="I57" s="131" t="s">
        <v>346</v>
      </c>
    </row>
    <row r="58" customFormat="false" ht="15" hidden="false" customHeight="true" outlineLevel="0" collapsed="false">
      <c r="B58" s="142" t="n">
        <v>1.9</v>
      </c>
      <c r="C58" s="143" t="n">
        <v>2.97173548012556</v>
      </c>
      <c r="D58" s="143" t="n">
        <v>1.97805024282338</v>
      </c>
      <c r="E58" s="143" t="n">
        <v>0.413445401575269</v>
      </c>
      <c r="F58" s="143" t="n">
        <v>-0.947514703522305</v>
      </c>
      <c r="G58" s="143" t="n">
        <v>-1.46624072481871</v>
      </c>
      <c r="H58" s="143" t="n">
        <v>-1.71950163681118</v>
      </c>
    </row>
    <row r="59" customFormat="false" ht="15" hidden="false" customHeight="true" outlineLevel="0" collapsed="false">
      <c r="B59" s="142" t="n">
        <v>1.8</v>
      </c>
      <c r="C59" s="143" t="n">
        <v>3.77732984695347</v>
      </c>
      <c r="D59" s="143" t="n">
        <v>2.8205019400592</v>
      </c>
      <c r="E59" s="143" t="n">
        <v>1.28233826586513</v>
      </c>
      <c r="F59" s="143" t="n">
        <v>-0.170108807968408</v>
      </c>
      <c r="G59" s="143" t="n">
        <v>-1.25672138006477</v>
      </c>
      <c r="H59" s="143" t="n">
        <v>-1.54160475910203</v>
      </c>
    </row>
    <row r="60" customFormat="false" ht="15" hidden="false" customHeight="true" outlineLevel="0" collapsed="false">
      <c r="B60" s="142" t="n">
        <v>1.7</v>
      </c>
      <c r="C60" s="143" t="n">
        <v>4.861564942419</v>
      </c>
      <c r="D60" s="143" t="n">
        <v>3.91215875146863</v>
      </c>
      <c r="E60" s="143" t="n">
        <v>2.3761914012729</v>
      </c>
      <c r="F60" s="143" t="n">
        <v>0.863509282944294</v>
      </c>
      <c r="G60" s="143" t="n">
        <v>-0.556789168268944</v>
      </c>
      <c r="H60" s="143" t="n">
        <v>-1.27107856787043</v>
      </c>
    </row>
    <row r="61" customFormat="false" ht="15" hidden="false" customHeight="true" outlineLevel="0" collapsed="false">
      <c r="B61" s="142" t="n">
        <v>1.65</v>
      </c>
      <c r="C61" s="143" t="n">
        <v>5.28064022427234</v>
      </c>
      <c r="D61" s="143" t="n">
        <v>4.35562881855545</v>
      </c>
      <c r="E61" s="143" t="n">
        <v>2.8816009292002</v>
      </c>
      <c r="F61" s="144" t="n">
        <v>1.37451277843674</v>
      </c>
      <c r="G61" s="143" t="n">
        <v>-0.127635782853408</v>
      </c>
      <c r="H61" s="143" t="n">
        <v>-1.11770638140241</v>
      </c>
    </row>
    <row r="62" customFormat="false" ht="15" hidden="false" customHeight="true" outlineLevel="0" collapsed="false">
      <c r="B62" s="142" t="n">
        <v>1.6</v>
      </c>
      <c r="C62" s="143" t="n">
        <v>5.7659214764545</v>
      </c>
      <c r="D62" s="143" t="n">
        <v>4.88076892762299</v>
      </c>
      <c r="E62" s="143" t="n">
        <v>3.35490394053213</v>
      </c>
      <c r="F62" s="143" t="n">
        <v>1.86023607206663</v>
      </c>
      <c r="G62" s="143" t="n">
        <v>0.324441885883434</v>
      </c>
      <c r="H62" s="143" t="n">
        <v>-0.712764810482045</v>
      </c>
    </row>
    <row r="63" customFormat="false" ht="15" hidden="false" customHeight="true" outlineLevel="0" collapsed="false">
      <c r="B63" s="142" t="n">
        <v>1.55</v>
      </c>
      <c r="C63" s="143" t="n">
        <v>6.24980720818887</v>
      </c>
      <c r="D63" s="143" t="n">
        <v>5.32846518670602</v>
      </c>
      <c r="E63" s="143" t="n">
        <v>3.82969004116557</v>
      </c>
      <c r="F63" s="143" t="n">
        <v>2.36944449963572</v>
      </c>
      <c r="G63" s="143" t="n">
        <v>0.859250660525619</v>
      </c>
      <c r="H63" s="143" t="n">
        <v>-0.276242311409795</v>
      </c>
    </row>
    <row r="64" customFormat="false" ht="15" hidden="false" customHeight="true" outlineLevel="0" collapsed="false">
      <c r="B64" s="142" t="n">
        <v>1.5</v>
      </c>
      <c r="C64" s="143" t="n">
        <v>7.08047928008478</v>
      </c>
      <c r="D64" s="143" t="n">
        <v>6.1622475540005</v>
      </c>
      <c r="E64" s="143" t="n">
        <v>4.71862167649011</v>
      </c>
      <c r="F64" s="143" t="n">
        <v>3.1641699031944</v>
      </c>
      <c r="G64" s="143" t="n">
        <v>1.62899206710789</v>
      </c>
      <c r="H64" s="143" t="n">
        <v>0.403902269537223</v>
      </c>
    </row>
    <row r="66" customFormat="false" ht="15" hidden="false" customHeight="true" outlineLevel="0" collapsed="false">
      <c r="B66" s="129" t="s">
        <v>347</v>
      </c>
    </row>
    <row r="67" customFormat="false" ht="15" hidden="false" customHeight="true" outlineLevel="0" collapsed="false">
      <c r="B67" s="132" t="s">
        <v>329</v>
      </c>
      <c r="C67" s="132" t="s">
        <v>340</v>
      </c>
      <c r="D67" s="132" t="s">
        <v>341</v>
      </c>
      <c r="E67" s="132" t="s">
        <v>342</v>
      </c>
      <c r="F67" s="132" t="s">
        <v>343</v>
      </c>
      <c r="G67" s="132" t="s">
        <v>344</v>
      </c>
      <c r="H67" s="132" t="s">
        <v>345</v>
      </c>
    </row>
    <row r="68" customFormat="false" ht="15" hidden="false" customHeight="true" outlineLevel="0" collapsed="false">
      <c r="B68" s="142" t="n">
        <v>2</v>
      </c>
      <c r="C68" s="145" t="n">
        <v>0.456339594954184</v>
      </c>
      <c r="D68" s="145" t="n">
        <v>0.437520388682467</v>
      </c>
      <c r="E68" s="145" t="n">
        <v>0.40724601337579</v>
      </c>
      <c r="F68" s="145" t="n">
        <v>0.374516958990193</v>
      </c>
      <c r="G68" s="145" t="n">
        <v>0.338514999166037</v>
      </c>
      <c r="H68" s="145" t="n">
        <v>0.309058850219</v>
      </c>
    </row>
    <row r="69" customFormat="false" ht="15" hidden="false" customHeight="true" outlineLevel="0" collapsed="false">
      <c r="B69" s="142" t="n">
        <v>1.9</v>
      </c>
      <c r="C69" s="145" t="n">
        <v>0.471020693900345</v>
      </c>
      <c r="D69" s="145" t="n">
        <v>0.453073765499236</v>
      </c>
      <c r="E69" s="145" t="n">
        <v>0.424202619810497</v>
      </c>
      <c r="F69" s="145" t="n">
        <v>0.392990570417265</v>
      </c>
      <c r="G69" s="145" t="n">
        <v>0.358657316084709</v>
      </c>
      <c r="H69" s="145" t="n">
        <v>0.3305664716308</v>
      </c>
    </row>
    <row r="70" customFormat="false" ht="15" hidden="false" customHeight="true" outlineLevel="0" collapsed="false">
      <c r="B70" s="142" t="n">
        <v>1.8</v>
      </c>
      <c r="C70" s="145" t="n">
        <v>0.485815027933973</v>
      </c>
      <c r="D70" s="145" t="n">
        <v>0.468747105269102</v>
      </c>
      <c r="E70" s="145" t="n">
        <v>0.441290012286482</v>
      </c>
      <c r="F70" s="145" t="n">
        <v>0.411606668521489</v>
      </c>
      <c r="G70" s="145" t="n">
        <v>0.378954990379996</v>
      </c>
      <c r="H70" s="145" t="n">
        <v>0.352239980991501</v>
      </c>
    </row>
    <row r="71" customFormat="false" ht="15" hidden="false" customHeight="true" outlineLevel="0" collapsed="false">
      <c r="B71" s="142" t="n">
        <v>1.7</v>
      </c>
      <c r="C71" s="145" t="n">
        <v>0.500723912197604</v>
      </c>
      <c r="D71" s="145" t="n">
        <v>0.484541801273825</v>
      </c>
      <c r="E71" s="145" t="n">
        <v>0.458509709787745</v>
      </c>
      <c r="F71" s="145" t="n">
        <v>0.430366908181173</v>
      </c>
      <c r="G71" s="145" t="n">
        <v>0.399409826413943</v>
      </c>
      <c r="H71" s="145" t="n">
        <v>0.374081304968027</v>
      </c>
    </row>
    <row r="72" customFormat="false" ht="15" hidden="false" customHeight="true" outlineLevel="0" collapsed="false">
      <c r="B72" s="142" t="n">
        <v>1.65</v>
      </c>
      <c r="C72" s="145" t="n">
        <v>0.508221727227312</v>
      </c>
      <c r="D72" s="145" t="n">
        <v>0.49248509917592</v>
      </c>
      <c r="E72" s="145" t="n">
        <v>0.467169654049767</v>
      </c>
      <c r="F72" s="146" t="n">
        <v>0.439801605264738</v>
      </c>
      <c r="G72" s="145" t="n">
        <v>0.409696751601205</v>
      </c>
      <c r="H72" s="145" t="n">
        <v>0.385065507694679</v>
      </c>
    </row>
    <row r="73" customFormat="false" ht="15" hidden="false" customHeight="true" outlineLevel="0" collapsed="false">
      <c r="B73" s="142" t="n">
        <v>1.6</v>
      </c>
      <c r="C73" s="145" t="n">
        <v>0.515748682278814</v>
      </c>
      <c r="D73" s="145" t="n">
        <v>0.500459268454952</v>
      </c>
      <c r="E73" s="145" t="n">
        <v>0.475863254912218</v>
      </c>
      <c r="F73" s="145" t="n">
        <v>0.449272970001153</v>
      </c>
      <c r="G73" s="145" t="n">
        <v>0.420023656598982</v>
      </c>
      <c r="H73" s="145" t="n">
        <v>0.396092400179024</v>
      </c>
    </row>
    <row r="74" customFormat="false" ht="15" hidden="false" customHeight="true" outlineLevel="0" collapsed="false">
      <c r="B74" s="142" t="n">
        <v>1.55</v>
      </c>
      <c r="C74" s="145" t="n">
        <v>0.523304947560531</v>
      </c>
      <c r="D74" s="145" t="n">
        <v>0.50846448943228</v>
      </c>
      <c r="E74" s="145" t="n">
        <v>0.484590708965092</v>
      </c>
      <c r="F74" s="145" t="n">
        <v>0.458781216568132</v>
      </c>
      <c r="G74" s="145" t="n">
        <v>0.430390774931477</v>
      </c>
      <c r="H74" s="145" t="n">
        <v>0.407162231774213</v>
      </c>
    </row>
    <row r="75" customFormat="false" ht="15" hidden="false" customHeight="true" outlineLevel="0" collapsed="false">
      <c r="B75" s="142" t="n">
        <v>1.5</v>
      </c>
      <c r="C75" s="145" t="n">
        <v>0.530890694609063</v>
      </c>
      <c r="D75" s="145" t="n">
        <v>0.516500943836354</v>
      </c>
      <c r="E75" s="145" t="n">
        <v>0.49335221433243</v>
      </c>
      <c r="F75" s="145" t="n">
        <v>0.468326560814673</v>
      </c>
      <c r="G75" s="145" t="n">
        <v>0.440798341945142</v>
      </c>
      <c r="H75" s="145" t="n">
        <v>0.418275253779162</v>
      </c>
    </row>
    <row r="77" customFormat="false" ht="15" hidden="false" customHeight="true" outlineLevel="0" collapsed="false">
      <c r="B77" s="129" t="s">
        <v>348</v>
      </c>
    </row>
    <row r="78" customFormat="false" ht="15" hidden="false" customHeight="true" outlineLevel="0" collapsed="false">
      <c r="B78" s="132" t="s">
        <v>329</v>
      </c>
      <c r="C78" s="132" t="s">
        <v>340</v>
      </c>
      <c r="D78" s="132" t="s">
        <v>341</v>
      </c>
      <c r="E78" s="132" t="s">
        <v>342</v>
      </c>
      <c r="F78" s="132" t="s">
        <v>343</v>
      </c>
      <c r="G78" s="132" t="s">
        <v>344</v>
      </c>
      <c r="H78" s="132" t="s">
        <v>345</v>
      </c>
    </row>
    <row r="79" customFormat="false" ht="15" hidden="false" customHeight="true" outlineLevel="0" collapsed="false">
      <c r="B79" s="142" t="n">
        <v>2</v>
      </c>
      <c r="C79" s="145" t="n">
        <v>0.353219519533579</v>
      </c>
      <c r="D79" s="145" t="n">
        <v>0.286578126751715</v>
      </c>
      <c r="E79" s="145" t="n">
        <v>0.162231139098554</v>
      </c>
      <c r="F79" s="145" t="n">
        <v>0.0193118452092713</v>
      </c>
      <c r="G79" s="145" t="n">
        <v>-0.518705686511901</v>
      </c>
      <c r="H79" s="145" t="n">
        <v>-0.476925185129842</v>
      </c>
    </row>
    <row r="80" customFormat="false" ht="15" hidden="false" customHeight="true" outlineLevel="0" collapsed="false">
      <c r="B80" s="142" t="n">
        <v>1.9</v>
      </c>
      <c r="C80" s="145" t="n">
        <v>0.399198892059805</v>
      </c>
      <c r="D80" s="145" t="n">
        <v>0.343989657139877</v>
      </c>
      <c r="E80" s="145" t="n">
        <v>0.236596965095628</v>
      </c>
      <c r="F80" s="145" t="n">
        <v>0.0708459386925358</v>
      </c>
      <c r="G80" s="145" t="n">
        <v>-0.0814657019572757</v>
      </c>
      <c r="H80" s="145" t="n">
        <v>-0.13428767313435</v>
      </c>
    </row>
    <row r="81" customFormat="false" ht="15" hidden="false" customHeight="true" outlineLevel="0" collapsed="false">
      <c r="B81" s="142" t="n">
        <v>1.8</v>
      </c>
      <c r="C81" s="145" t="n">
        <v>0.443870251975871</v>
      </c>
      <c r="D81" s="145" t="n">
        <v>0.392001917582692</v>
      </c>
      <c r="E81" s="145" t="n">
        <v>0.299757375018865</v>
      </c>
      <c r="F81" s="145" t="n">
        <v>0.183094442447901</v>
      </c>
      <c r="G81" s="145" t="n">
        <v>-0.0114956379994362</v>
      </c>
      <c r="H81" s="145" t="n">
        <v>-0.113787620922987</v>
      </c>
    </row>
    <row r="82" customFormat="false" ht="15" hidden="false" customHeight="true" outlineLevel="0" collapsed="false">
      <c r="B82" s="142" t="n">
        <v>1.7</v>
      </c>
      <c r="C82" s="145" t="n">
        <v>0.504054724479259</v>
      </c>
      <c r="D82" s="145" t="n">
        <v>0.452681592277504</v>
      </c>
      <c r="E82" s="145" t="n">
        <v>0.367679224730566</v>
      </c>
      <c r="F82" s="145" t="n">
        <v>0.271249483130956</v>
      </c>
      <c r="G82" s="145" t="n">
        <v>0.137500015469504</v>
      </c>
      <c r="H82" s="145" t="n">
        <v>-0.0189554637376591</v>
      </c>
    </row>
    <row r="83" customFormat="false" ht="15" hidden="false" customHeight="true" outlineLevel="0" collapsed="false">
      <c r="B83" s="142" t="n">
        <v>1.65</v>
      </c>
      <c r="C83" s="145" t="n">
        <v>0.524892732441563</v>
      </c>
      <c r="D83" s="145" t="n">
        <v>0.476330223170729</v>
      </c>
      <c r="E83" s="145" t="n">
        <v>0.397204477437062</v>
      </c>
      <c r="F83" s="146" t="n">
        <v>0.306839971547742</v>
      </c>
      <c r="G83" s="145" t="n">
        <v>0.187409121141558</v>
      </c>
      <c r="H83" s="145" t="n">
        <v>0.0275043702331172</v>
      </c>
    </row>
    <row r="84" customFormat="false" ht="15" hidden="false" customHeight="true" outlineLevel="0" collapsed="false">
      <c r="B84" s="142" t="n">
        <v>1.6</v>
      </c>
      <c r="C84" s="145" t="n">
        <v>0.546193957630668</v>
      </c>
      <c r="D84" s="145" t="n">
        <v>0.504073841344101</v>
      </c>
      <c r="E84" s="145" t="n">
        <v>0.423162838207301</v>
      </c>
      <c r="F84" s="145" t="n">
        <v>0.338231716831434</v>
      </c>
      <c r="G84" s="145" t="n">
        <v>0.229067929692808</v>
      </c>
      <c r="H84" s="145" t="n">
        <v>0.115712234628696</v>
      </c>
    </row>
    <row r="85" customFormat="false" ht="15" hidden="false" customHeight="true" outlineLevel="0" collapsed="false">
      <c r="B85" s="142" t="n">
        <v>1.55</v>
      </c>
      <c r="C85" s="145" t="n">
        <v>0.572694880886285</v>
      </c>
      <c r="D85" s="145" t="n">
        <v>0.525863328282978</v>
      </c>
      <c r="E85" s="145" t="n">
        <v>0.449815432457821</v>
      </c>
      <c r="F85" s="145" t="n">
        <v>0.367413082639369</v>
      </c>
      <c r="G85" s="145" t="n">
        <v>0.270681672059127</v>
      </c>
      <c r="H85" s="145" t="n">
        <v>0.171900833199529</v>
      </c>
    </row>
    <row r="86" customFormat="false" ht="15" hidden="false" customHeight="true" outlineLevel="0" collapsed="false">
      <c r="B86" s="142" t="n">
        <v>1.5</v>
      </c>
      <c r="C86" s="145" t="n">
        <v>0.610745879419826</v>
      </c>
      <c r="D86" s="145" t="n">
        <v>0.564531669801551</v>
      </c>
      <c r="E86" s="145" t="n">
        <v>0.493422792143884</v>
      </c>
      <c r="F86" s="145" t="n">
        <v>0.411617170152159</v>
      </c>
      <c r="G86" s="145" t="n">
        <v>0.322368197370414</v>
      </c>
      <c r="H86" s="145" t="n">
        <v>0.235203663518653</v>
      </c>
    </row>
    <row r="88" customFormat="false" ht="15" hidden="false" customHeight="true" outlineLevel="0" collapsed="false">
      <c r="B88" s="129" t="s">
        <v>349</v>
      </c>
    </row>
    <row r="89" customFormat="false" ht="15" hidden="false" customHeight="true" outlineLevel="0" collapsed="false">
      <c r="B89" s="132" t="s">
        <v>329</v>
      </c>
      <c r="C89" s="132" t="s">
        <v>340</v>
      </c>
      <c r="D89" s="132" t="s">
        <v>341</v>
      </c>
      <c r="E89" s="132" t="s">
        <v>342</v>
      </c>
      <c r="F89" s="132" t="s">
        <v>343</v>
      </c>
      <c r="G89" s="132" t="s">
        <v>344</v>
      </c>
      <c r="H89" s="132" t="s">
        <v>345</v>
      </c>
    </row>
    <row r="90" customFormat="false" ht="15" hidden="false" customHeight="true" outlineLevel="0" collapsed="false">
      <c r="B90" s="142" t="n">
        <v>2</v>
      </c>
      <c r="C90" s="147" t="n">
        <v>12296.2152706748</v>
      </c>
      <c r="D90" s="147" t="n">
        <v>11260.8178306748</v>
      </c>
      <c r="E90" s="147" t="n">
        <v>9595.17847067477</v>
      </c>
      <c r="F90" s="147" t="n">
        <v>7794.48727067477</v>
      </c>
      <c r="G90" s="147" t="n">
        <v>5813.72695067477</v>
      </c>
      <c r="H90" s="147" t="n">
        <v>4193.10487067477</v>
      </c>
    </row>
    <row r="91" customFormat="false" ht="15" hidden="false" customHeight="true" outlineLevel="0" collapsed="false">
      <c r="B91" s="142" t="n">
        <v>1.9</v>
      </c>
      <c r="C91" s="147" t="n">
        <v>13082.020111997</v>
      </c>
      <c r="D91" s="147" t="n">
        <v>12098.392543997</v>
      </c>
      <c r="E91" s="147" t="n">
        <v>10516.035151997</v>
      </c>
      <c r="F91" s="147" t="n">
        <v>8805.37851199699</v>
      </c>
      <c r="G91" s="147" t="n">
        <v>6923.65620799699</v>
      </c>
      <c r="H91" s="147" t="n">
        <v>5384.06523199699</v>
      </c>
    </row>
    <row r="92" customFormat="false" ht="15" hidden="false" customHeight="true" outlineLevel="0" collapsed="false">
      <c r="B92" s="142" t="n">
        <v>1.8</v>
      </c>
      <c r="C92" s="147" t="n">
        <v>13867.8249533192</v>
      </c>
      <c r="D92" s="147" t="n">
        <v>12935.9672573192</v>
      </c>
      <c r="E92" s="147" t="n">
        <v>11436.8918333192</v>
      </c>
      <c r="F92" s="147" t="n">
        <v>9816.2697533192</v>
      </c>
      <c r="G92" s="147" t="n">
        <v>8033.58546531921</v>
      </c>
      <c r="H92" s="147" t="n">
        <v>6575.02559331921</v>
      </c>
    </row>
    <row r="93" customFormat="false" ht="15" hidden="false" customHeight="true" outlineLevel="0" collapsed="false">
      <c r="B93" s="142" t="n">
        <v>1.7</v>
      </c>
      <c r="C93" s="147" t="n">
        <v>14653.6297946414</v>
      </c>
      <c r="D93" s="147" t="n">
        <v>13773.5419706414</v>
      </c>
      <c r="E93" s="147" t="n">
        <v>12357.7485146414</v>
      </c>
      <c r="F93" s="147" t="n">
        <v>10827.1609946414</v>
      </c>
      <c r="G93" s="147" t="n">
        <v>9143.51472264143</v>
      </c>
      <c r="H93" s="147" t="n">
        <v>7765.98595464143</v>
      </c>
    </row>
    <row r="94" customFormat="false" ht="15" hidden="false" customHeight="true" outlineLevel="0" collapsed="false">
      <c r="B94" s="142" t="n">
        <v>1.65</v>
      </c>
      <c r="C94" s="147" t="n">
        <v>15046.5322153025</v>
      </c>
      <c r="D94" s="147" t="n">
        <v>14192.3293273025</v>
      </c>
      <c r="E94" s="147" t="n">
        <v>12818.1768553025</v>
      </c>
      <c r="F94" s="148" t="n">
        <v>11332.6066153025</v>
      </c>
      <c r="G94" s="147" t="n">
        <v>9698.47935130254</v>
      </c>
      <c r="H94" s="147" t="n">
        <v>8361.46613530254</v>
      </c>
    </row>
    <row r="95" customFormat="false" ht="15" hidden="false" customHeight="true" outlineLevel="0" collapsed="false">
      <c r="B95" s="142" t="n">
        <v>1.6</v>
      </c>
      <c r="C95" s="147" t="n">
        <v>15439.4346359636</v>
      </c>
      <c r="D95" s="147" t="n">
        <v>14611.1166839637</v>
      </c>
      <c r="E95" s="147" t="n">
        <v>13278.6051959637</v>
      </c>
      <c r="F95" s="147" t="n">
        <v>11838.0522359636</v>
      </c>
      <c r="G95" s="147" t="n">
        <v>10253.4439799637</v>
      </c>
      <c r="H95" s="147" t="n">
        <v>8956.94631596365</v>
      </c>
    </row>
    <row r="96" customFormat="false" ht="15" hidden="false" customHeight="true" outlineLevel="0" collapsed="false">
      <c r="B96" s="142" t="n">
        <v>1.55</v>
      </c>
      <c r="C96" s="147" t="n">
        <v>15832.3370566248</v>
      </c>
      <c r="D96" s="147" t="n">
        <v>15029.9040406248</v>
      </c>
      <c r="E96" s="147" t="n">
        <v>13739.0335366248</v>
      </c>
      <c r="F96" s="147" t="n">
        <v>12343.4978566248</v>
      </c>
      <c r="G96" s="147" t="n">
        <v>10808.4086086248</v>
      </c>
      <c r="H96" s="147" t="n">
        <v>9552.42649662476</v>
      </c>
    </row>
    <row r="97" customFormat="false" ht="15" hidden="false" customHeight="true" outlineLevel="0" collapsed="false">
      <c r="B97" s="142" t="n">
        <v>1.5</v>
      </c>
      <c r="C97" s="147" t="n">
        <v>16225.2394772859</v>
      </c>
      <c r="D97" s="147" t="n">
        <v>15448.6913972859</v>
      </c>
      <c r="E97" s="147" t="n">
        <v>14199.4618772859</v>
      </c>
      <c r="F97" s="147" t="n">
        <v>12848.9434772859</v>
      </c>
      <c r="G97" s="147" t="n">
        <v>11363.3732372859</v>
      </c>
      <c r="H97" s="147" t="n">
        <v>10147.9066772859</v>
      </c>
    </row>
    <row r="99" customFormat="false" ht="15" hidden="false" customHeight="true" outlineLevel="0" collapsed="false">
      <c r="B99" s="129" t="s">
        <v>350</v>
      </c>
    </row>
    <row r="100" customFormat="false" ht="15" hidden="false" customHeight="true" outlineLevel="0" collapsed="false">
      <c r="B100" s="132" t="s">
        <v>329</v>
      </c>
      <c r="C100" s="132" t="s">
        <v>340</v>
      </c>
      <c r="D100" s="132" t="s">
        <v>341</v>
      </c>
      <c r="E100" s="132" t="s">
        <v>342</v>
      </c>
      <c r="F100" s="132" t="s">
        <v>343</v>
      </c>
      <c r="G100" s="132" t="s">
        <v>344</v>
      </c>
      <c r="H100" s="132" t="s">
        <v>345</v>
      </c>
    </row>
    <row r="101" customFormat="false" ht="15" hidden="false" customHeight="true" outlineLevel="0" collapsed="false">
      <c r="B101" s="142" t="n">
        <v>2</v>
      </c>
      <c r="C101" s="149" t="n">
        <v>87</v>
      </c>
      <c r="D101" s="149" t="n">
        <v>100</v>
      </c>
      <c r="E101" s="149" t="s">
        <v>351</v>
      </c>
      <c r="F101" s="149" t="s">
        <v>351</v>
      </c>
      <c r="G101" s="149" t="s">
        <v>351</v>
      </c>
      <c r="H101" s="149" t="s">
        <v>351</v>
      </c>
    </row>
    <row r="102" customFormat="false" ht="15" hidden="false" customHeight="true" outlineLevel="0" collapsed="false">
      <c r="B102" s="142" t="n">
        <v>1.9</v>
      </c>
      <c r="C102" s="149" t="n">
        <v>80</v>
      </c>
      <c r="D102" s="149" t="n">
        <v>88</v>
      </c>
      <c r="E102" s="149" t="n">
        <v>111</v>
      </c>
      <c r="F102" s="149" t="s">
        <v>351</v>
      </c>
      <c r="G102" s="149" t="s">
        <v>351</v>
      </c>
      <c r="H102" s="149" t="s">
        <v>351</v>
      </c>
    </row>
    <row r="103" customFormat="false" ht="15" hidden="false" customHeight="true" outlineLevel="0" collapsed="false">
      <c r="B103" s="142" t="n">
        <v>1.8</v>
      </c>
      <c r="C103" s="149" t="n">
        <v>74</v>
      </c>
      <c r="D103" s="149" t="n">
        <v>81</v>
      </c>
      <c r="E103" s="149" t="n">
        <v>96</v>
      </c>
      <c r="F103" s="149" t="s">
        <v>351</v>
      </c>
      <c r="G103" s="149" t="s">
        <v>351</v>
      </c>
      <c r="H103" s="149" t="s">
        <v>351</v>
      </c>
    </row>
    <row r="104" customFormat="false" ht="15" hidden="false" customHeight="true" outlineLevel="0" collapsed="false">
      <c r="B104" s="142" t="n">
        <v>1.7</v>
      </c>
      <c r="C104" s="149" t="n">
        <v>68</v>
      </c>
      <c r="D104" s="149" t="n">
        <v>73</v>
      </c>
      <c r="E104" s="149" t="n">
        <v>84</v>
      </c>
      <c r="F104" s="149" t="n">
        <v>102</v>
      </c>
      <c r="G104" s="149" t="s">
        <v>351</v>
      </c>
      <c r="H104" s="149" t="s">
        <v>351</v>
      </c>
    </row>
    <row r="105" customFormat="false" ht="15" hidden="false" customHeight="true" outlineLevel="0" collapsed="false">
      <c r="B105" s="142" t="n">
        <v>1.65</v>
      </c>
      <c r="C105" s="149" t="n">
        <v>63</v>
      </c>
      <c r="D105" s="149" t="n">
        <v>70</v>
      </c>
      <c r="E105" s="149" t="n">
        <v>80</v>
      </c>
      <c r="F105" s="150" t="n">
        <v>95</v>
      </c>
      <c r="G105" s="149" t="s">
        <v>351</v>
      </c>
      <c r="H105" s="149" t="s">
        <v>351</v>
      </c>
    </row>
    <row r="106" customFormat="false" ht="15" hidden="false" customHeight="true" outlineLevel="0" collapsed="false">
      <c r="B106" s="142" t="n">
        <v>1.6</v>
      </c>
      <c r="C106" s="149" t="n">
        <v>61</v>
      </c>
      <c r="D106" s="149" t="n">
        <v>66</v>
      </c>
      <c r="E106" s="149" t="n">
        <v>76</v>
      </c>
      <c r="F106" s="149" t="n">
        <v>89</v>
      </c>
      <c r="G106" s="149" t="n">
        <v>112</v>
      </c>
      <c r="H106" s="149" t="s">
        <v>351</v>
      </c>
    </row>
    <row r="107" customFormat="false" ht="15" hidden="false" customHeight="true" outlineLevel="0" collapsed="false">
      <c r="B107" s="142" t="n">
        <v>1.55</v>
      </c>
      <c r="C107" s="149" t="n">
        <v>59</v>
      </c>
      <c r="D107" s="149" t="n">
        <v>63</v>
      </c>
      <c r="E107" s="149" t="n">
        <v>72</v>
      </c>
      <c r="F107" s="149" t="n">
        <v>84</v>
      </c>
      <c r="G107" s="149" t="n">
        <v>102</v>
      </c>
      <c r="H107" s="149" t="s">
        <v>351</v>
      </c>
    </row>
    <row r="108" customFormat="false" ht="15" hidden="false" customHeight="true" outlineLevel="0" collapsed="false">
      <c r="B108" s="142" t="n">
        <v>1.5</v>
      </c>
      <c r="C108" s="149" t="n">
        <v>56</v>
      </c>
      <c r="D108" s="149" t="n">
        <v>60</v>
      </c>
      <c r="E108" s="149" t="n">
        <v>68</v>
      </c>
      <c r="F108" s="149" t="n">
        <v>77</v>
      </c>
      <c r="G108" s="149" t="n">
        <v>91</v>
      </c>
      <c r="H108" s="149" t="n">
        <v>111</v>
      </c>
    </row>
    <row r="110" customFormat="false" ht="15" hidden="false" customHeight="true" outlineLevel="0" collapsed="false">
      <c r="A110" s="128" t="s">
        <v>352</v>
      </c>
      <c r="B110" s="25"/>
      <c r="C110" s="25"/>
      <c r="D110" s="25"/>
      <c r="E110" s="25"/>
      <c r="F110" s="25"/>
      <c r="G110" s="25"/>
      <c r="H110" s="25"/>
      <c r="I110" s="25"/>
    </row>
    <row r="111" customFormat="false" ht="21.75" hidden="false" customHeight="true" outlineLevel="0" collapsed="false">
      <c r="B111" s="132" t="s">
        <v>334</v>
      </c>
      <c r="C111" s="132" t="s">
        <v>353</v>
      </c>
      <c r="D111" s="132" t="s">
        <v>354</v>
      </c>
      <c r="E111" s="132" t="s">
        <v>355</v>
      </c>
      <c r="F111" s="132" t="s">
        <v>356</v>
      </c>
      <c r="G111" s="132" t="s">
        <v>357</v>
      </c>
      <c r="H111" s="132" t="s">
        <v>358</v>
      </c>
    </row>
    <row r="112" customFormat="false" ht="21.75" hidden="false" customHeight="true" outlineLevel="0" collapsed="false">
      <c r="B112" s="142" t="n">
        <v>2</v>
      </c>
      <c r="C112" s="143" t="n">
        <v>-1.20373706257397</v>
      </c>
      <c r="D112" s="151" t="n">
        <v>1.954</v>
      </c>
      <c r="E112" s="151" t="n">
        <v>1.7</v>
      </c>
      <c r="F112" s="140" t="n">
        <f aca="false">SUP_POLLO!$C$61*SUP_PRECIOS!$E$8/((1+SUP_COSTOS!$C$15)^2*B112)</f>
        <v>1.86097427476738</v>
      </c>
      <c r="G112" s="141" t="n">
        <f aca="false">IF(ISNUMBER(D112),D112-SUP_POLLO!$C$13,"—")</f>
        <v>-0.246</v>
      </c>
      <c r="H112" s="147" t="n">
        <v>5361</v>
      </c>
      <c r="I112" s="131" t="s">
        <v>359</v>
      </c>
    </row>
    <row r="113" customFormat="false" ht="21.75" hidden="false" customHeight="true" outlineLevel="0" collapsed="false">
      <c r="B113" s="142" t="n">
        <v>1.9</v>
      </c>
      <c r="C113" s="143" t="n">
        <v>-0.947514703522305</v>
      </c>
      <c r="D113" s="151" t="n">
        <v>2.061</v>
      </c>
      <c r="E113" s="151" t="n">
        <v>1.798</v>
      </c>
      <c r="F113" s="140" t="n">
        <f aca="false">SUP_POLLO!$C$61*SUP_PRECIOS!$E$8/((1+SUP_COSTOS!$C$15)^2*B113)</f>
        <v>1.95892028922882</v>
      </c>
      <c r="G113" s="141" t="n">
        <f aca="false">IF(ISNUMBER(D113),D113-SUP_POLLO!$C$13,"—")</f>
        <v>-0.139</v>
      </c>
      <c r="H113" s="147" t="s">
        <v>360</v>
      </c>
      <c r="I113" s="131" t="s">
        <v>361</v>
      </c>
    </row>
    <row r="114" customFormat="false" ht="15" hidden="false" customHeight="true" outlineLevel="0" collapsed="false">
      <c r="B114" s="142" t="n">
        <v>1.8</v>
      </c>
      <c r="C114" s="143" t="n">
        <v>-0.170108807968408</v>
      </c>
      <c r="D114" s="151" t="n">
        <v>2.177</v>
      </c>
      <c r="E114" s="151" t="n">
        <v>1.899</v>
      </c>
      <c r="F114" s="140" t="n">
        <f aca="false">SUP_POLLO!$C$61*SUP_PRECIOS!$E$8/((1+SUP_COSTOS!$C$15)^2*B114)</f>
        <v>2.06774919418598</v>
      </c>
      <c r="G114" s="141" t="n">
        <f aca="false">IF(ISNUMBER(D114),D114-SUP_POLLO!$C$13,"—")</f>
        <v>-0.0230000000000001</v>
      </c>
      <c r="H114" s="147" t="s">
        <v>360</v>
      </c>
    </row>
    <row r="115" customFormat="false" ht="15" hidden="false" customHeight="true" outlineLevel="0" collapsed="false">
      <c r="B115" s="142" t="n">
        <v>1.7</v>
      </c>
      <c r="C115" s="143" t="n">
        <v>0.863509282944294</v>
      </c>
      <c r="D115" s="151" t="n">
        <v>2.334</v>
      </c>
      <c r="E115" s="151" t="n">
        <v>2.033</v>
      </c>
      <c r="F115" s="140" t="n">
        <f aca="false">SUP_POLLO!$C$61*SUP_PRECIOS!$E$8/((1+SUP_COSTOS!$C$15)^2*B115)</f>
        <v>2.18938149972633</v>
      </c>
      <c r="G115" s="141" t="n">
        <f aca="false">IF(ISNUMBER(D115),D115-SUP_POLLO!$C$13,"—")</f>
        <v>0.134</v>
      </c>
      <c r="H115" s="147" t="n">
        <v>3737</v>
      </c>
    </row>
    <row r="116" customFormat="false" ht="15" hidden="false" customHeight="true" outlineLevel="0" collapsed="false">
      <c r="B116" s="142" t="n">
        <v>1.65</v>
      </c>
      <c r="C116" s="143" t="n">
        <v>1.37451277843674</v>
      </c>
      <c r="D116" s="151" t="n">
        <v>2.401</v>
      </c>
      <c r="E116" s="151" t="n">
        <v>2.101</v>
      </c>
      <c r="F116" s="140" t="n">
        <f aca="false">SUP_POLLO!$C$61*SUP_PRECIOS!$E$8/((1+SUP_COSTOS!$C$15)^2*B116)</f>
        <v>2.25572639365743</v>
      </c>
      <c r="G116" s="141" t="n">
        <f aca="false">IF(ISNUMBER(D116),D116-SUP_POLLO!$C$13,"—")</f>
        <v>0.201</v>
      </c>
      <c r="H116" s="147" t="n">
        <v>3579</v>
      </c>
    </row>
    <row r="117" customFormat="false" ht="15" hidden="false" customHeight="true" outlineLevel="0" collapsed="false">
      <c r="B117" s="142" t="n">
        <v>1.6</v>
      </c>
      <c r="C117" s="143" t="n">
        <v>1.86023607206663</v>
      </c>
      <c r="D117" s="151" t="n">
        <v>2.476</v>
      </c>
      <c r="E117" s="151" t="n">
        <v>2.165</v>
      </c>
      <c r="F117" s="140" t="n">
        <f aca="false">SUP_POLLO!$C$61*SUP_PRECIOS!$E$8/((1+SUP_COSTOS!$C$15)^2*B117)</f>
        <v>2.32621784345922</v>
      </c>
      <c r="G117" s="141" t="n">
        <f aca="false">IF(ISNUMBER(D117),D117-SUP_POLLO!$C$13,"—")</f>
        <v>0.276</v>
      </c>
      <c r="H117" s="147" t="n">
        <v>3446</v>
      </c>
    </row>
    <row r="118" customFormat="false" ht="15" hidden="false" customHeight="true" outlineLevel="0" collapsed="false">
      <c r="B118" s="142" t="n">
        <v>1.55</v>
      </c>
      <c r="C118" s="143" t="n">
        <v>2.36944449963572</v>
      </c>
      <c r="D118" s="151" t="n">
        <v>2.556</v>
      </c>
      <c r="E118" s="151" t="n">
        <v>2.236</v>
      </c>
      <c r="F118" s="140" t="n">
        <f aca="false">SUP_POLLO!$C$61*SUP_PRECIOS!$E$8/((1+SUP_COSTOS!$C$15)^2*B118)</f>
        <v>2.4012571287321</v>
      </c>
      <c r="G118" s="141" t="n">
        <f aca="false">IF(ISNUMBER(D118),D118-SUP_POLLO!$C$13,"—")</f>
        <v>0.356</v>
      </c>
      <c r="H118" s="147" t="s">
        <v>360</v>
      </c>
    </row>
    <row r="119" customFormat="false" ht="15" hidden="false" customHeight="true" outlineLevel="0" collapsed="false">
      <c r="B119" s="142" t="n">
        <v>1.5</v>
      </c>
      <c r="C119" s="143" t="n">
        <v>3.1641699031944</v>
      </c>
      <c r="D119" s="151" t="s">
        <v>362</v>
      </c>
      <c r="E119" s="151" t="n">
        <v>2.349</v>
      </c>
      <c r="F119" s="140" t="n">
        <f aca="false">SUP_POLLO!$C$61*SUP_PRECIOS!$E$8/((1+SUP_COSTOS!$C$15)^2*B119)</f>
        <v>2.48129903302317</v>
      </c>
      <c r="G119" s="141" t="str">
        <f aca="false">IF(ISNUMBER(D119),D119-SUP_POLLO!$C$13,"—")</f>
        <v>—</v>
      </c>
      <c r="H119" s="147" t="s">
        <v>360</v>
      </c>
    </row>
    <row r="121" customFormat="false" ht="15" hidden="false" customHeight="true" outlineLevel="0" collapsed="false">
      <c r="A121" s="128" t="s">
        <v>363</v>
      </c>
      <c r="B121" s="25"/>
      <c r="C121" s="25"/>
      <c r="D121" s="25"/>
      <c r="E121" s="25"/>
      <c r="F121" s="25"/>
      <c r="G121" s="25"/>
      <c r="H121" s="25"/>
      <c r="I121" s="25"/>
    </row>
    <row r="122" customFormat="false" ht="21.75" hidden="false" customHeight="true" outlineLevel="0" collapsed="false">
      <c r="B122" s="132" t="s">
        <v>364</v>
      </c>
      <c r="C122" s="132" t="s">
        <v>365</v>
      </c>
      <c r="D122" s="132" t="s">
        <v>366</v>
      </c>
      <c r="E122" s="132" t="s">
        <v>367</v>
      </c>
      <c r="F122" s="132" t="s">
        <v>368</v>
      </c>
      <c r="G122" s="132" t="s">
        <v>369</v>
      </c>
      <c r="H122" s="132" t="s">
        <v>190</v>
      </c>
    </row>
    <row r="123" customFormat="false" ht="21.75" hidden="false" customHeight="true" outlineLevel="0" collapsed="false">
      <c r="B123" s="152" t="s">
        <v>370</v>
      </c>
      <c r="C123" s="143" t="n">
        <v>2</v>
      </c>
      <c r="D123" s="151" t="n">
        <v>1.7</v>
      </c>
      <c r="E123" s="153" t="n">
        <v>2738917.37713257</v>
      </c>
      <c r="F123" s="154"/>
      <c r="G123" s="145" t="n">
        <v>0.4669427639998</v>
      </c>
      <c r="H123" s="145" t="n">
        <v>0.387808840083459</v>
      </c>
      <c r="I123" s="131" t="s">
        <v>371</v>
      </c>
    </row>
    <row r="124" customFormat="false" ht="15" hidden="false" customHeight="true" outlineLevel="0" collapsed="false">
      <c r="B124" s="152" t="s">
        <v>372</v>
      </c>
      <c r="C124" s="143" t="n">
        <v>2</v>
      </c>
      <c r="D124" s="151" t="n">
        <v>2.2</v>
      </c>
      <c r="E124" s="153" t="n">
        <v>-1181058.86278967</v>
      </c>
      <c r="F124" s="154" t="n">
        <v>-3919976.23992224</v>
      </c>
      <c r="G124" s="145" t="n">
        <v>0.385120128035809</v>
      </c>
      <c r="H124" s="145" t="n">
        <v>0.00417817658698549</v>
      </c>
    </row>
    <row r="125" customFormat="false" ht="15" hidden="false" customHeight="true" outlineLevel="0" collapsed="false">
      <c r="B125" s="152" t="s">
        <v>373</v>
      </c>
      <c r="C125" s="143" t="n">
        <v>1.65</v>
      </c>
      <c r="D125" s="151" t="n">
        <v>2.2</v>
      </c>
      <c r="E125" s="153" t="n">
        <v>1849378.04176337</v>
      </c>
      <c r="F125" s="154" t="n">
        <v>3030436.90455304</v>
      </c>
      <c r="G125" s="145" t="n">
        <v>0.448667979596775</v>
      </c>
      <c r="H125" s="145" t="n">
        <v>0.33735629461251</v>
      </c>
    </row>
    <row r="126" customFormat="false" ht="15" hidden="false" customHeight="true" outlineLevel="0" collapsed="false">
      <c r="B126" s="152" t="s">
        <v>374</v>
      </c>
      <c r="C126" s="143" t="n">
        <v>1.65</v>
      </c>
      <c r="D126" s="151" t="n">
        <v>2.2</v>
      </c>
      <c r="E126" s="153" t="n">
        <v>2674421.93899589</v>
      </c>
      <c r="F126" s="154" t="n">
        <v>825043.89723252</v>
      </c>
      <c r="G126" s="145" t="n">
        <v>0.463857246672467</v>
      </c>
      <c r="H126" s="145" t="n">
        <v>0.385018396303657</v>
      </c>
    </row>
    <row r="127" customFormat="false" ht="23.25" hidden="false" customHeight="true" outlineLevel="0" collapsed="false">
      <c r="B127" s="129" t="s">
        <v>375</v>
      </c>
      <c r="C127" s="143" t="n">
        <v>1.65</v>
      </c>
      <c r="D127" s="151" t="n">
        <v>2.2</v>
      </c>
      <c r="E127" s="153" t="n">
        <v>1374512.77843674</v>
      </c>
      <c r="F127" s="154" t="n">
        <v>-1299909.16055915</v>
      </c>
      <c r="G127" s="145" t="n">
        <v>0.439801605264738</v>
      </c>
      <c r="H127" s="145" t="n">
        <v>0.306839971547742</v>
      </c>
    </row>
    <row r="128" customFormat="false" ht="15" hidden="false" customHeight="true" outlineLevel="0" collapsed="false">
      <c r="B128" s="152" t="s">
        <v>376</v>
      </c>
      <c r="C128" s="143" t="n">
        <v>2</v>
      </c>
      <c r="D128" s="151" t="n">
        <v>2.2</v>
      </c>
      <c r="E128" s="153" t="n">
        <v>-1203737.06257397</v>
      </c>
      <c r="G128" s="145" t="n">
        <v>0.374516958990193</v>
      </c>
      <c r="H128" s="145" t="n">
        <v>0.0193118452092713</v>
      </c>
    </row>
    <row r="129" customFormat="false" ht="15" hidden="false" customHeight="true" outlineLevel="0" collapsed="false">
      <c r="B129" s="152" t="s">
        <v>377</v>
      </c>
      <c r="C129" s="143" t="n">
        <v>2</v>
      </c>
      <c r="D129" s="151" t="n">
        <v>1.7</v>
      </c>
      <c r="E129" s="153" t="n">
        <v>2124143.65636412</v>
      </c>
      <c r="G129" s="145" t="n">
        <v>0.456339594954184</v>
      </c>
      <c r="H129" s="145" t="n">
        <v>0.353219519533579</v>
      </c>
    </row>
    <row r="131" customFormat="false" ht="15" hidden="false" customHeight="true" outlineLevel="0" collapsed="false">
      <c r="A131" s="128" t="s">
        <v>378</v>
      </c>
      <c r="B131" s="25"/>
      <c r="C131" s="25"/>
      <c r="D131" s="25"/>
      <c r="E131" s="25"/>
      <c r="F131" s="25"/>
      <c r="G131" s="25"/>
      <c r="H131" s="25"/>
      <c r="I131" s="25"/>
    </row>
    <row r="132" customFormat="false" ht="21.75" hidden="false" customHeight="true" outlineLevel="0" collapsed="false">
      <c r="B132" s="132" t="s">
        <v>379</v>
      </c>
      <c r="C132" s="132" t="s">
        <v>380</v>
      </c>
      <c r="D132" s="132" t="s">
        <v>381</v>
      </c>
      <c r="E132" s="132" t="s">
        <v>367</v>
      </c>
      <c r="F132" s="132" t="s">
        <v>369</v>
      </c>
      <c r="G132" s="132" t="s">
        <v>190</v>
      </c>
      <c r="H132" s="132" t="s">
        <v>382</v>
      </c>
    </row>
    <row r="133" customFormat="false" ht="21.75" hidden="false" customHeight="true" outlineLevel="0" collapsed="false">
      <c r="B133" s="152" t="s">
        <v>383</v>
      </c>
      <c r="C133" s="143" t="n">
        <v>11.9</v>
      </c>
      <c r="D133" s="147" t="n">
        <v>4200</v>
      </c>
      <c r="E133" s="153" t="n">
        <v>1374512.77843674</v>
      </c>
      <c r="F133" s="145" t="n">
        <v>0.439801605264738</v>
      </c>
      <c r="G133" s="145" t="n">
        <v>0.306839971547742</v>
      </c>
      <c r="H133" s="147" t="n">
        <v>11332.6066153025</v>
      </c>
      <c r="I133" s="131" t="s">
        <v>384</v>
      </c>
    </row>
    <row r="134" customFormat="false" ht="15" hidden="false" customHeight="true" outlineLevel="0" collapsed="false">
      <c r="B134" s="152" t="s">
        <v>385</v>
      </c>
      <c r="C134" s="143" t="n">
        <v>12.4</v>
      </c>
      <c r="D134" s="147" t="n">
        <v>4030.64516129032</v>
      </c>
      <c r="E134" s="153" t="n">
        <v>2328131.5670635</v>
      </c>
      <c r="F134" s="145" t="n">
        <v>0.458385987257804</v>
      </c>
      <c r="G134" s="145" t="n">
        <v>0.365018354905348</v>
      </c>
      <c r="H134" s="147" t="n">
        <v>12273.3555069125</v>
      </c>
    </row>
    <row r="135" customFormat="false" ht="15" hidden="false" customHeight="true" outlineLevel="0" collapsed="false">
      <c r="B135" s="152" t="s">
        <v>386</v>
      </c>
      <c r="C135" s="143" t="n">
        <v>12.9</v>
      </c>
      <c r="D135" s="147" t="n">
        <v>3874.41860465116</v>
      </c>
      <c r="E135" s="153" t="n">
        <v>3410988.56983417</v>
      </c>
      <c r="F135" s="145" t="n">
        <v>0.475699308407582</v>
      </c>
      <c r="G135" s="145" t="n">
        <v>0.424023730632415</v>
      </c>
      <c r="H135" s="147" t="n">
        <v>13140.2892608681</v>
      </c>
    </row>
    <row r="137" customFormat="false" ht="15" hidden="false" customHeight="true" outlineLevel="0" collapsed="false">
      <c r="A137" s="128" t="s">
        <v>387</v>
      </c>
      <c r="B137" s="25"/>
      <c r="C137" s="25"/>
      <c r="D137" s="25"/>
      <c r="E137" s="25"/>
      <c r="F137" s="25"/>
      <c r="G137" s="25"/>
      <c r="H137" s="25"/>
      <c r="I137" s="25"/>
    </row>
    <row r="138" customFormat="false" ht="23.25" hidden="false" customHeight="true" outlineLevel="0" collapsed="false">
      <c r="B138" s="129" t="s">
        <v>388</v>
      </c>
    </row>
    <row r="139" customFormat="false" ht="15" hidden="false" customHeight="true" outlineLevel="0" collapsed="false">
      <c r="B139" s="132" t="s">
        <v>389</v>
      </c>
      <c r="C139" s="155" t="n">
        <v>0</v>
      </c>
      <c r="D139" s="155" t="n">
        <v>0.05</v>
      </c>
      <c r="E139" s="155" t="n">
        <v>0.08</v>
      </c>
      <c r="F139" s="155" t="n">
        <v>0.1</v>
      </c>
      <c r="G139" s="155" t="n">
        <v>0.12</v>
      </c>
      <c r="H139" s="155" t="n">
        <v>0.15</v>
      </c>
    </row>
    <row r="140" customFormat="false" ht="15" hidden="false" customHeight="true" outlineLevel="0" collapsed="false">
      <c r="B140" s="137" t="n">
        <f aca="false">B10</f>
        <v>2</v>
      </c>
      <c r="C140" s="140" t="n">
        <f aca="false">$B140*(1+C$139)*IF(C$139=0,SUP_POLLO!$C$32,SUP_POLLO!$C$31)</f>
        <v>1.44</v>
      </c>
      <c r="D140" s="140" t="n">
        <f aca="false">$B140*(1+D$139)*IF(D$139=0,SUP_POLLO!$C$32,SUP_POLLO!$C$31)</f>
        <v>1.68</v>
      </c>
      <c r="E140" s="140" t="n">
        <f aca="false">$B140*(1+E$139)*IF(E$139=0,SUP_POLLO!$C$32,SUP_POLLO!$C$31)</f>
        <v>1.728</v>
      </c>
      <c r="F140" s="140" t="n">
        <f aca="false">$B140*(1+F$139)*IF(F$139=0,SUP_POLLO!$C$32,SUP_POLLO!$C$31)</f>
        <v>1.76</v>
      </c>
      <c r="G140" s="140" t="n">
        <f aca="false">$B140*(1+G$139)*IF(G$139=0,SUP_POLLO!$C$32,SUP_POLLO!$C$31)</f>
        <v>1.792</v>
      </c>
      <c r="H140" s="140" t="n">
        <f aca="false">$B140*(1+H$139)*IF(H$139=0,SUP_POLLO!$C$32,SUP_POLLO!$C$31)</f>
        <v>1.84</v>
      </c>
    </row>
    <row r="141" customFormat="false" ht="15" hidden="false" customHeight="true" outlineLevel="0" collapsed="false">
      <c r="B141" s="137" t="n">
        <f aca="false">B11</f>
        <v>1.9</v>
      </c>
      <c r="C141" s="140" t="n">
        <f aca="false">$B141*(1+C$139)*IF(C$139=0,SUP_POLLO!$C$32,SUP_POLLO!$C$31)</f>
        <v>1.368</v>
      </c>
      <c r="D141" s="140" t="n">
        <f aca="false">$B141*(1+D$139)*IF(D$139=0,SUP_POLLO!$C$32,SUP_POLLO!$C$31)</f>
        <v>1.596</v>
      </c>
      <c r="E141" s="140" t="n">
        <f aca="false">$B141*(1+E$139)*IF(E$139=0,SUP_POLLO!$C$32,SUP_POLLO!$C$31)</f>
        <v>1.6416</v>
      </c>
      <c r="F141" s="140" t="n">
        <f aca="false">$B141*(1+F$139)*IF(F$139=0,SUP_POLLO!$C$32,SUP_POLLO!$C$31)</f>
        <v>1.672</v>
      </c>
      <c r="G141" s="140" t="n">
        <f aca="false">$B141*(1+G$139)*IF(G$139=0,SUP_POLLO!$C$32,SUP_POLLO!$C$31)</f>
        <v>1.7024</v>
      </c>
      <c r="H141" s="140" t="n">
        <f aca="false">$B141*(1+H$139)*IF(H$139=0,SUP_POLLO!$C$32,SUP_POLLO!$C$31)</f>
        <v>1.748</v>
      </c>
    </row>
    <row r="142" customFormat="false" ht="15" hidden="false" customHeight="true" outlineLevel="0" collapsed="false">
      <c r="B142" s="137" t="n">
        <f aca="false">B12</f>
        <v>1.8</v>
      </c>
      <c r="C142" s="140" t="n">
        <f aca="false">$B142*(1+C$139)*IF(C$139=0,SUP_POLLO!$C$32,SUP_POLLO!$C$31)</f>
        <v>1.296</v>
      </c>
      <c r="D142" s="140" t="n">
        <f aca="false">$B142*(1+D$139)*IF(D$139=0,SUP_POLLO!$C$32,SUP_POLLO!$C$31)</f>
        <v>1.512</v>
      </c>
      <c r="E142" s="140" t="n">
        <f aca="false">$B142*(1+E$139)*IF(E$139=0,SUP_POLLO!$C$32,SUP_POLLO!$C$31)</f>
        <v>1.5552</v>
      </c>
      <c r="F142" s="140" t="n">
        <f aca="false">$B142*(1+F$139)*IF(F$139=0,SUP_POLLO!$C$32,SUP_POLLO!$C$31)</f>
        <v>1.584</v>
      </c>
      <c r="G142" s="140" t="n">
        <f aca="false">$B142*(1+G$139)*IF(G$139=0,SUP_POLLO!$C$32,SUP_POLLO!$C$31)</f>
        <v>1.6128</v>
      </c>
      <c r="H142" s="140" t="n">
        <f aca="false">$B142*(1+H$139)*IF(H$139=0,SUP_POLLO!$C$32,SUP_POLLO!$C$31)</f>
        <v>1.656</v>
      </c>
    </row>
    <row r="143" customFormat="false" ht="15" hidden="false" customHeight="true" outlineLevel="0" collapsed="false">
      <c r="B143" s="137" t="n">
        <f aca="false">B13</f>
        <v>1.7</v>
      </c>
      <c r="C143" s="140" t="n">
        <f aca="false">$B143*(1+C$139)*IF(C$139=0,SUP_POLLO!$C$32,SUP_POLLO!$C$31)</f>
        <v>1.224</v>
      </c>
      <c r="D143" s="140" t="n">
        <f aca="false">$B143*(1+D$139)*IF(D$139=0,SUP_POLLO!$C$32,SUP_POLLO!$C$31)</f>
        <v>1.428</v>
      </c>
      <c r="E143" s="140" t="n">
        <f aca="false">$B143*(1+E$139)*IF(E$139=0,SUP_POLLO!$C$32,SUP_POLLO!$C$31)</f>
        <v>1.4688</v>
      </c>
      <c r="F143" s="140" t="n">
        <f aca="false">$B143*(1+F$139)*IF(F$139=0,SUP_POLLO!$C$32,SUP_POLLO!$C$31)</f>
        <v>1.496</v>
      </c>
      <c r="G143" s="140" t="n">
        <f aca="false">$B143*(1+G$139)*IF(G$139=0,SUP_POLLO!$C$32,SUP_POLLO!$C$31)</f>
        <v>1.5232</v>
      </c>
      <c r="H143" s="140" t="n">
        <f aca="false">$B143*(1+H$139)*IF(H$139=0,SUP_POLLO!$C$32,SUP_POLLO!$C$31)</f>
        <v>1.564</v>
      </c>
    </row>
    <row r="144" customFormat="false" ht="15" hidden="false" customHeight="true" outlineLevel="0" collapsed="false">
      <c r="B144" s="137" t="n">
        <f aca="false">B14</f>
        <v>1.65</v>
      </c>
      <c r="C144" s="140" t="n">
        <f aca="false">$B144*(1+C$139)*IF(C$139=0,SUP_POLLO!$C$32,SUP_POLLO!$C$31)</f>
        <v>1.188</v>
      </c>
      <c r="D144" s="140" t="n">
        <f aca="false">$B144*(1+D$139)*IF(D$139=0,SUP_POLLO!$C$32,SUP_POLLO!$C$31)</f>
        <v>1.386</v>
      </c>
      <c r="E144" s="140" t="n">
        <f aca="false">$B144*(1+E$139)*IF(E$139=0,SUP_POLLO!$C$32,SUP_POLLO!$C$31)</f>
        <v>1.4256</v>
      </c>
      <c r="F144" s="140" t="n">
        <f aca="false">$B144*(1+F$139)*IF(F$139=0,SUP_POLLO!$C$32,SUP_POLLO!$C$31)</f>
        <v>1.452</v>
      </c>
      <c r="G144" s="140" t="n">
        <f aca="false">$B144*(1+G$139)*IF(G$139=0,SUP_POLLO!$C$32,SUP_POLLO!$C$31)</f>
        <v>1.4784</v>
      </c>
      <c r="H144" s="140" t="n">
        <f aca="false">$B144*(1+H$139)*IF(H$139=0,SUP_POLLO!$C$32,SUP_POLLO!$C$31)</f>
        <v>1.518</v>
      </c>
    </row>
    <row r="145" customFormat="false" ht="15" hidden="false" customHeight="true" outlineLevel="0" collapsed="false">
      <c r="B145" s="137" t="n">
        <f aca="false">B15</f>
        <v>1.6</v>
      </c>
      <c r="C145" s="140" t="n">
        <f aca="false">$B145*(1+C$139)*IF(C$139=0,SUP_POLLO!$C$32,SUP_POLLO!$C$31)</f>
        <v>1.152</v>
      </c>
      <c r="D145" s="140" t="n">
        <f aca="false">$B145*(1+D$139)*IF(D$139=0,SUP_POLLO!$C$32,SUP_POLLO!$C$31)</f>
        <v>1.344</v>
      </c>
      <c r="E145" s="140" t="n">
        <f aca="false">$B145*(1+E$139)*IF(E$139=0,SUP_POLLO!$C$32,SUP_POLLO!$C$31)</f>
        <v>1.3824</v>
      </c>
      <c r="F145" s="140" t="n">
        <f aca="false">$B145*(1+F$139)*IF(F$139=0,SUP_POLLO!$C$32,SUP_POLLO!$C$31)</f>
        <v>1.408</v>
      </c>
      <c r="G145" s="140" t="n">
        <f aca="false">$B145*(1+G$139)*IF(G$139=0,SUP_POLLO!$C$32,SUP_POLLO!$C$31)</f>
        <v>1.4336</v>
      </c>
      <c r="H145" s="140" t="n">
        <f aca="false">$B145*(1+H$139)*IF(H$139=0,SUP_POLLO!$C$32,SUP_POLLO!$C$31)</f>
        <v>1.472</v>
      </c>
    </row>
    <row r="146" customFormat="false" ht="15" hidden="false" customHeight="true" outlineLevel="0" collapsed="false">
      <c r="B146" s="137" t="n">
        <f aca="false">B16</f>
        <v>1.55</v>
      </c>
      <c r="C146" s="140" t="n">
        <f aca="false">$B146*(1+C$139)*IF(C$139=0,SUP_POLLO!$C$32,SUP_POLLO!$C$31)</f>
        <v>1.116</v>
      </c>
      <c r="D146" s="140" t="n">
        <f aca="false">$B146*(1+D$139)*IF(D$139=0,SUP_POLLO!$C$32,SUP_POLLO!$C$31)</f>
        <v>1.302</v>
      </c>
      <c r="E146" s="140" t="n">
        <f aca="false">$B146*(1+E$139)*IF(E$139=0,SUP_POLLO!$C$32,SUP_POLLO!$C$31)</f>
        <v>1.3392</v>
      </c>
      <c r="F146" s="140" t="n">
        <f aca="false">$B146*(1+F$139)*IF(F$139=0,SUP_POLLO!$C$32,SUP_POLLO!$C$31)</f>
        <v>1.364</v>
      </c>
      <c r="G146" s="140" t="n">
        <f aca="false">$B146*(1+G$139)*IF(G$139=0,SUP_POLLO!$C$32,SUP_POLLO!$C$31)</f>
        <v>1.3888</v>
      </c>
      <c r="H146" s="140" t="n">
        <f aca="false">$B146*(1+H$139)*IF(H$139=0,SUP_POLLO!$C$32,SUP_POLLO!$C$31)</f>
        <v>1.426</v>
      </c>
    </row>
    <row r="147" customFormat="false" ht="15" hidden="false" customHeight="true" outlineLevel="0" collapsed="false">
      <c r="B147" s="137" t="n">
        <f aca="false">B17</f>
        <v>1.5</v>
      </c>
      <c r="C147" s="140" t="n">
        <f aca="false">$B147*(1+C$139)*IF(C$139=0,SUP_POLLO!$C$32,SUP_POLLO!$C$31)</f>
        <v>1.08</v>
      </c>
      <c r="D147" s="140" t="n">
        <f aca="false">$B147*(1+D$139)*IF(D$139=0,SUP_POLLO!$C$32,SUP_POLLO!$C$31)</f>
        <v>1.26</v>
      </c>
      <c r="E147" s="140" t="n">
        <f aca="false">$B147*(1+E$139)*IF(E$139=0,SUP_POLLO!$C$32,SUP_POLLO!$C$31)</f>
        <v>1.296</v>
      </c>
      <c r="F147" s="140" t="n">
        <f aca="false">$B147*(1+F$139)*IF(F$139=0,SUP_POLLO!$C$32,SUP_POLLO!$C$31)</f>
        <v>1.32</v>
      </c>
      <c r="G147" s="140" t="n">
        <f aca="false">$B147*(1+G$139)*IF(G$139=0,SUP_POLLO!$C$32,SUP_POLLO!$C$31)</f>
        <v>1.344</v>
      </c>
      <c r="H147" s="140" t="n">
        <f aca="false">$B147*(1+H$139)*IF(H$139=0,SUP_POLLO!$C$32,SUP_POLLO!$C$31)</f>
        <v>1.38</v>
      </c>
    </row>
    <row r="149" customFormat="false" ht="23.25" hidden="false" customHeight="true" outlineLevel="0" collapsed="false">
      <c r="B149" s="129" t="s">
        <v>390</v>
      </c>
    </row>
    <row r="150" customFormat="false" ht="15" hidden="false" customHeight="true" outlineLevel="0" collapsed="false">
      <c r="B150" s="132" t="s">
        <v>389</v>
      </c>
      <c r="C150" s="156" t="n">
        <f aca="false">C$139</f>
        <v>0</v>
      </c>
      <c r="D150" s="156" t="n">
        <f aca="false">D$139</f>
        <v>0.05</v>
      </c>
      <c r="E150" s="156" t="n">
        <f aca="false">E$139</f>
        <v>0.08</v>
      </c>
      <c r="F150" s="156" t="n">
        <f aca="false">F$139</f>
        <v>0.1</v>
      </c>
      <c r="G150" s="156" t="n">
        <f aca="false">G$139</f>
        <v>0.12</v>
      </c>
      <c r="H150" s="156" t="n">
        <f aca="false">H$139</f>
        <v>0.15</v>
      </c>
    </row>
    <row r="151" customFormat="false" ht="21.75" hidden="false" customHeight="true" outlineLevel="0" collapsed="false">
      <c r="B151" s="137" t="n">
        <f aca="false">B10</f>
        <v>2</v>
      </c>
      <c r="C151" s="140" t="n">
        <f aca="false">C140/SUP_POLLO!$C$32</f>
        <v>2</v>
      </c>
      <c r="D151" s="140" t="n">
        <f aca="false">D140/SUP_POLLO!$C$32</f>
        <v>2.33333333333333</v>
      </c>
      <c r="E151" s="140" t="n">
        <f aca="false">E140/SUP_POLLO!$C$32</f>
        <v>2.4</v>
      </c>
      <c r="F151" s="140" t="n">
        <f aca="false">F140/SUP_POLLO!$C$32</f>
        <v>2.44444444444444</v>
      </c>
      <c r="G151" s="140" t="n">
        <f aca="false">G140/SUP_POLLO!$C$32</f>
        <v>2.48888888888889</v>
      </c>
      <c r="H151" s="140" t="n">
        <f aca="false">H140/SUP_POLLO!$C$32</f>
        <v>2.55555555555556</v>
      </c>
      <c r="I151" s="131" t="s">
        <v>391</v>
      </c>
    </row>
    <row r="152" customFormat="false" ht="15" hidden="false" customHeight="true" outlineLevel="0" collapsed="false">
      <c r="B152" s="137" t="n">
        <f aca="false">B11</f>
        <v>1.9</v>
      </c>
      <c r="C152" s="140" t="n">
        <f aca="false">C141/SUP_POLLO!$C$32</f>
        <v>1.9</v>
      </c>
      <c r="D152" s="140" t="n">
        <f aca="false">D141/SUP_POLLO!$C$32</f>
        <v>2.21666666666667</v>
      </c>
      <c r="E152" s="140" t="n">
        <f aca="false">E141/SUP_POLLO!$C$32</f>
        <v>2.28</v>
      </c>
      <c r="F152" s="140" t="n">
        <f aca="false">F141/SUP_POLLO!$C$32</f>
        <v>2.32222222222222</v>
      </c>
      <c r="G152" s="140" t="n">
        <f aca="false">G141/SUP_POLLO!$C$32</f>
        <v>2.36444444444444</v>
      </c>
      <c r="H152" s="140" t="n">
        <f aca="false">H141/SUP_POLLO!$C$32</f>
        <v>2.42777777777778</v>
      </c>
    </row>
    <row r="153" customFormat="false" ht="15" hidden="false" customHeight="true" outlineLevel="0" collapsed="false">
      <c r="B153" s="137" t="n">
        <f aca="false">B12</f>
        <v>1.8</v>
      </c>
      <c r="C153" s="140" t="n">
        <f aca="false">C142/SUP_POLLO!$C$32</f>
        <v>1.8</v>
      </c>
      <c r="D153" s="140" t="n">
        <f aca="false">D142/SUP_POLLO!$C$32</f>
        <v>2.1</v>
      </c>
      <c r="E153" s="140" t="n">
        <f aca="false">E142/SUP_POLLO!$C$32</f>
        <v>2.16</v>
      </c>
      <c r="F153" s="140" t="n">
        <f aca="false">F142/SUP_POLLO!$C$32</f>
        <v>2.2</v>
      </c>
      <c r="G153" s="140" t="n">
        <f aca="false">G142/SUP_POLLO!$C$32</f>
        <v>2.24</v>
      </c>
      <c r="H153" s="140" t="n">
        <f aca="false">H142/SUP_POLLO!$C$32</f>
        <v>2.3</v>
      </c>
    </row>
    <row r="154" customFormat="false" ht="15" hidden="false" customHeight="true" outlineLevel="0" collapsed="false">
      <c r="B154" s="137" t="n">
        <f aca="false">B13</f>
        <v>1.7</v>
      </c>
      <c r="C154" s="140" t="n">
        <f aca="false">C143/SUP_POLLO!$C$32</f>
        <v>1.7</v>
      </c>
      <c r="D154" s="140" t="n">
        <f aca="false">D143/SUP_POLLO!$C$32</f>
        <v>1.98333333333333</v>
      </c>
      <c r="E154" s="140" t="n">
        <f aca="false">E143/SUP_POLLO!$C$32</f>
        <v>2.04</v>
      </c>
      <c r="F154" s="140" t="n">
        <f aca="false">F143/SUP_POLLO!$C$32</f>
        <v>2.07777777777778</v>
      </c>
      <c r="G154" s="140" t="n">
        <f aca="false">G143/SUP_POLLO!$C$32</f>
        <v>2.11555555555556</v>
      </c>
      <c r="H154" s="140" t="n">
        <f aca="false">H143/SUP_POLLO!$C$32</f>
        <v>2.17222222222222</v>
      </c>
    </row>
    <row r="155" customFormat="false" ht="15" hidden="false" customHeight="true" outlineLevel="0" collapsed="false">
      <c r="B155" s="137" t="n">
        <f aca="false">B14</f>
        <v>1.65</v>
      </c>
      <c r="C155" s="140" t="n">
        <f aca="false">C144/SUP_POLLO!$C$32</f>
        <v>1.65</v>
      </c>
      <c r="D155" s="140" t="n">
        <f aca="false">D144/SUP_POLLO!$C$32</f>
        <v>1.925</v>
      </c>
      <c r="E155" s="140" t="n">
        <f aca="false">E144/SUP_POLLO!$C$32</f>
        <v>1.98</v>
      </c>
      <c r="F155" s="140" t="n">
        <f aca="false">F144/SUP_POLLO!$C$32</f>
        <v>2.01666666666667</v>
      </c>
      <c r="G155" s="140" t="n">
        <f aca="false">G144/SUP_POLLO!$C$32</f>
        <v>2.05333333333333</v>
      </c>
      <c r="H155" s="140" t="n">
        <f aca="false">H144/SUP_POLLO!$C$32</f>
        <v>2.10833333333333</v>
      </c>
    </row>
    <row r="156" customFormat="false" ht="15" hidden="false" customHeight="true" outlineLevel="0" collapsed="false">
      <c r="B156" s="137" t="n">
        <f aca="false">B15</f>
        <v>1.6</v>
      </c>
      <c r="C156" s="140" t="n">
        <f aca="false">C145/SUP_POLLO!$C$32</f>
        <v>1.6</v>
      </c>
      <c r="D156" s="140" t="n">
        <f aca="false">D145/SUP_POLLO!$C$32</f>
        <v>1.86666666666667</v>
      </c>
      <c r="E156" s="140" t="n">
        <f aca="false">E145/SUP_POLLO!$C$32</f>
        <v>1.92</v>
      </c>
      <c r="F156" s="140" t="n">
        <f aca="false">F145/SUP_POLLO!$C$32</f>
        <v>1.95555555555556</v>
      </c>
      <c r="G156" s="140" t="n">
        <f aca="false">G145/SUP_POLLO!$C$32</f>
        <v>1.99111111111111</v>
      </c>
      <c r="H156" s="140" t="n">
        <f aca="false">H145/SUP_POLLO!$C$32</f>
        <v>2.04444444444444</v>
      </c>
    </row>
    <row r="157" customFormat="false" ht="15" hidden="false" customHeight="true" outlineLevel="0" collapsed="false">
      <c r="B157" s="137" t="n">
        <f aca="false">B16</f>
        <v>1.55</v>
      </c>
      <c r="C157" s="140" t="n">
        <f aca="false">C146/SUP_POLLO!$C$32</f>
        <v>1.55</v>
      </c>
      <c r="D157" s="140" t="n">
        <f aca="false">D146/SUP_POLLO!$C$32</f>
        <v>1.80833333333333</v>
      </c>
      <c r="E157" s="140" t="n">
        <f aca="false">E146/SUP_POLLO!$C$32</f>
        <v>1.86</v>
      </c>
      <c r="F157" s="140" t="n">
        <f aca="false">F146/SUP_POLLO!$C$32</f>
        <v>1.89444444444445</v>
      </c>
      <c r="G157" s="140" t="n">
        <f aca="false">G146/SUP_POLLO!$C$32</f>
        <v>1.92888888888889</v>
      </c>
      <c r="H157" s="140" t="n">
        <f aca="false">H146/SUP_POLLO!$C$32</f>
        <v>1.98055555555556</v>
      </c>
    </row>
    <row r="158" customFormat="false" ht="15" hidden="false" customHeight="true" outlineLevel="0" collapsed="false">
      <c r="B158" s="137" t="n">
        <f aca="false">B17</f>
        <v>1.5</v>
      </c>
      <c r="C158" s="140" t="n">
        <f aca="false">C147/SUP_POLLO!$C$32</f>
        <v>1.5</v>
      </c>
      <c r="D158" s="140" t="n">
        <f aca="false">D147/SUP_POLLO!$C$32</f>
        <v>1.75</v>
      </c>
      <c r="E158" s="140" t="n">
        <f aca="false">E147/SUP_POLLO!$C$32</f>
        <v>1.8</v>
      </c>
      <c r="F158" s="140" t="n">
        <f aca="false">F147/SUP_POLLO!$C$32</f>
        <v>1.83333333333333</v>
      </c>
      <c r="G158" s="140" t="n">
        <f aca="false">G147/SUP_POLLO!$C$32</f>
        <v>1.86666666666667</v>
      </c>
      <c r="H158" s="140" t="n">
        <f aca="false">H147/SUP_POLLO!$C$32</f>
        <v>1.91666666666667</v>
      </c>
    </row>
    <row r="160" customFormat="false" ht="23.25" hidden="false" customHeight="true" outlineLevel="0" collapsed="false">
      <c r="B160" s="129" t="s">
        <v>392</v>
      </c>
    </row>
    <row r="161" customFormat="false" ht="15" hidden="false" customHeight="true" outlineLevel="0" collapsed="false">
      <c r="B161" s="132" t="s">
        <v>393</v>
      </c>
      <c r="C161" s="156" t="n">
        <f aca="false">C$139</f>
        <v>0</v>
      </c>
      <c r="D161" s="156" t="n">
        <f aca="false">D$139</f>
        <v>0.05</v>
      </c>
      <c r="E161" s="156" t="n">
        <f aca="false">E$139</f>
        <v>0.08</v>
      </c>
      <c r="F161" s="156" t="n">
        <f aca="false">F$139</f>
        <v>0.1</v>
      </c>
      <c r="G161" s="156" t="n">
        <f aca="false">G$139</f>
        <v>0.12</v>
      </c>
      <c r="H161" s="156" t="n">
        <f aca="false">H$139</f>
        <v>0.15</v>
      </c>
    </row>
    <row r="162" customFormat="false" ht="15" hidden="false" customHeight="true" outlineLevel="0" collapsed="false">
      <c r="B162" s="157" t="n">
        <v>1.6</v>
      </c>
      <c r="C162" s="140" t="n">
        <f aca="false">$B162*SUP_POLLO!$C$32/((1+C$161)*IF(C$161=0,SUP_POLLO!$C$32,SUP_POLLO!$C$31))</f>
        <v>1.6</v>
      </c>
      <c r="D162" s="140" t="n">
        <f aca="false">$B162*SUP_POLLO!$C$32/((1+D$161)*IF(D$161=0,SUP_POLLO!$C$32,SUP_POLLO!$C$31))</f>
        <v>1.37142857142857</v>
      </c>
      <c r="E162" s="140" t="n">
        <f aca="false">$B162*SUP_POLLO!$C$32/((1+E$161)*IF(E$161=0,SUP_POLLO!$C$32,SUP_POLLO!$C$31))</f>
        <v>1.33333333333333</v>
      </c>
      <c r="F162" s="140" t="n">
        <f aca="false">$B162*SUP_POLLO!$C$32/((1+F$161)*IF(F$161=0,SUP_POLLO!$C$32,SUP_POLLO!$C$31))</f>
        <v>1.30909090909091</v>
      </c>
      <c r="G162" s="140" t="n">
        <f aca="false">$B162*SUP_POLLO!$C$32/((1+G$161)*IF(G$161=0,SUP_POLLO!$C$32,SUP_POLLO!$C$31))</f>
        <v>1.28571428571429</v>
      </c>
      <c r="H162" s="140" t="n">
        <f aca="false">$B162*SUP_POLLO!$C$32/((1+H$161)*IF(H$161=0,SUP_POLLO!$C$32,SUP_POLLO!$C$31))</f>
        <v>1.25217391304348</v>
      </c>
    </row>
    <row r="163" customFormat="false" ht="15" hidden="false" customHeight="true" outlineLevel="0" collapsed="false">
      <c r="B163" s="157" t="n">
        <v>1.7</v>
      </c>
      <c r="C163" s="140" t="n">
        <f aca="false">$B163*SUP_POLLO!$C$32/((1+C$161)*IF(C$161=0,SUP_POLLO!$C$32,SUP_POLLO!$C$31))</f>
        <v>1.7</v>
      </c>
      <c r="D163" s="140" t="n">
        <f aca="false">$B163*SUP_POLLO!$C$32/((1+D$161)*IF(D$161=0,SUP_POLLO!$C$32,SUP_POLLO!$C$31))</f>
        <v>1.45714285714286</v>
      </c>
      <c r="E163" s="140" t="n">
        <f aca="false">$B163*SUP_POLLO!$C$32/((1+E$161)*IF(E$161=0,SUP_POLLO!$C$32,SUP_POLLO!$C$31))</f>
        <v>1.41666666666667</v>
      </c>
      <c r="F163" s="140" t="n">
        <f aca="false">$B163*SUP_POLLO!$C$32/((1+F$161)*IF(F$161=0,SUP_POLLO!$C$32,SUP_POLLO!$C$31))</f>
        <v>1.39090909090909</v>
      </c>
      <c r="G163" s="140" t="n">
        <f aca="false">$B163*SUP_POLLO!$C$32/((1+G$161)*IF(G$161=0,SUP_POLLO!$C$32,SUP_POLLO!$C$31))</f>
        <v>1.36607142857143</v>
      </c>
      <c r="H163" s="140" t="n">
        <f aca="false">$B163*SUP_POLLO!$C$32/((1+H$161)*IF(H$161=0,SUP_POLLO!$C$32,SUP_POLLO!$C$31))</f>
        <v>1.3304347826087</v>
      </c>
    </row>
    <row r="164" customFormat="false" ht="15" hidden="false" customHeight="true" outlineLevel="0" collapsed="false">
      <c r="B164" s="157" t="n">
        <v>1.8</v>
      </c>
      <c r="C164" s="140" t="n">
        <f aca="false">$B164*SUP_POLLO!$C$32/((1+C$161)*IF(C$161=0,SUP_POLLO!$C$32,SUP_POLLO!$C$31))</f>
        <v>1.8</v>
      </c>
      <c r="D164" s="140" t="n">
        <f aca="false">$B164*SUP_POLLO!$C$32/((1+D$161)*IF(D$161=0,SUP_POLLO!$C$32,SUP_POLLO!$C$31))</f>
        <v>1.54285714285714</v>
      </c>
      <c r="E164" s="140" t="n">
        <f aca="false">$B164*SUP_POLLO!$C$32/((1+E$161)*IF(E$161=0,SUP_POLLO!$C$32,SUP_POLLO!$C$31))</f>
        <v>1.5</v>
      </c>
      <c r="F164" s="140" t="n">
        <f aca="false">$B164*SUP_POLLO!$C$32/((1+F$161)*IF(F$161=0,SUP_POLLO!$C$32,SUP_POLLO!$C$31))</f>
        <v>1.47272727272727</v>
      </c>
      <c r="G164" s="140" t="n">
        <f aca="false">$B164*SUP_POLLO!$C$32/((1+G$161)*IF(G$161=0,SUP_POLLO!$C$32,SUP_POLLO!$C$31))</f>
        <v>1.44642857142857</v>
      </c>
      <c r="H164" s="140" t="n">
        <f aca="false">$B164*SUP_POLLO!$C$32/((1+H$161)*IF(H$161=0,SUP_POLLO!$C$32,SUP_POLLO!$C$31))</f>
        <v>1.40869565217391</v>
      </c>
    </row>
    <row r="165" customFormat="false" ht="15" hidden="false" customHeight="true" outlineLevel="0" collapsed="false">
      <c r="B165" s="157" t="n">
        <v>2</v>
      </c>
      <c r="C165" s="140" t="n">
        <f aca="false">$B165*SUP_POLLO!$C$32/((1+C$161)*IF(C$161=0,SUP_POLLO!$C$32,SUP_POLLO!$C$31))</f>
        <v>2</v>
      </c>
      <c r="D165" s="140" t="n">
        <f aca="false">$B165*SUP_POLLO!$C$32/((1+D$161)*IF(D$161=0,SUP_POLLO!$C$32,SUP_POLLO!$C$31))</f>
        <v>1.71428571428571</v>
      </c>
      <c r="E165" s="140" t="n">
        <f aca="false">$B165*SUP_POLLO!$C$32/((1+E$161)*IF(E$161=0,SUP_POLLO!$C$32,SUP_POLLO!$C$31))</f>
        <v>1.66666666666667</v>
      </c>
      <c r="F165" s="140" t="n">
        <f aca="false">$B165*SUP_POLLO!$C$32/((1+F$161)*IF(F$161=0,SUP_POLLO!$C$32,SUP_POLLO!$C$31))</f>
        <v>1.63636363636364</v>
      </c>
      <c r="G165" s="140" t="n">
        <f aca="false">$B165*SUP_POLLO!$C$32/((1+G$161)*IF(G$161=0,SUP_POLLO!$C$32,SUP_POLLO!$C$31))</f>
        <v>1.60714285714286</v>
      </c>
      <c r="H165" s="140" t="n">
        <f aca="false">$B165*SUP_POLLO!$C$32/((1+H$161)*IF(H$161=0,SUP_POLLO!$C$32,SUP_POLLO!$C$31))</f>
        <v>1.56521739130435</v>
      </c>
    </row>
    <row r="167" customFormat="false" ht="23.25" hidden="false" customHeight="true" outlineLevel="0" collapsed="false">
      <c r="B167" s="129" t="s">
        <v>394</v>
      </c>
    </row>
    <row r="168" customFormat="false" ht="15" hidden="false" customHeight="true" outlineLevel="0" collapsed="false">
      <c r="B168" s="132" t="s">
        <v>393</v>
      </c>
      <c r="C168" s="156" t="n">
        <f aca="false">C$139</f>
        <v>0</v>
      </c>
      <c r="D168" s="156" t="n">
        <f aca="false">D$139</f>
        <v>0.05</v>
      </c>
      <c r="E168" s="156" t="n">
        <f aca="false">E$139</f>
        <v>0.08</v>
      </c>
      <c r="F168" s="156" t="n">
        <f aca="false">F$139</f>
        <v>0.1</v>
      </c>
      <c r="G168" s="156" t="n">
        <f aca="false">G$139</f>
        <v>0.12</v>
      </c>
      <c r="H168" s="156" t="n">
        <f aca="false">H$139</f>
        <v>0.15</v>
      </c>
    </row>
    <row r="169" customFormat="false" ht="15" hidden="false" customHeight="true" outlineLevel="0" collapsed="false">
      <c r="B169" s="158" t="n">
        <f aca="false">B162</f>
        <v>1.6</v>
      </c>
      <c r="C169" s="159" t="n">
        <f aca="false">($B169-C162)*SUP_POLLO!$C$13</f>
        <v>0</v>
      </c>
      <c r="D169" s="159" t="n">
        <f aca="false">($B169-D162)*SUP_POLLO!$C$13</f>
        <v>0.502857142857144</v>
      </c>
      <c r="E169" s="159" t="n">
        <f aca="false">($B169-E162)*SUP_POLLO!$C$13</f>
        <v>0.586666666666668</v>
      </c>
      <c r="F169" s="159" t="n">
        <f aca="false">($B169-F162)*SUP_POLLO!$C$13</f>
        <v>0.640000000000001</v>
      </c>
      <c r="G169" s="159" t="n">
        <f aca="false">($B169-G162)*SUP_POLLO!$C$13</f>
        <v>0.691428571428573</v>
      </c>
      <c r="H169" s="159" t="n">
        <f aca="false">($B169-H162)*SUP_POLLO!$C$13</f>
        <v>0.765217391304348</v>
      </c>
    </row>
    <row r="170" customFormat="false" ht="15" hidden="false" customHeight="true" outlineLevel="0" collapsed="false">
      <c r="B170" s="158" t="n">
        <f aca="false">B163</f>
        <v>1.7</v>
      </c>
      <c r="C170" s="159" t="n">
        <f aca="false">($B170-C163)*SUP_POLLO!$C$13</f>
        <v>0</v>
      </c>
      <c r="D170" s="159" t="n">
        <f aca="false">($B170-D163)*SUP_POLLO!$C$13</f>
        <v>0.534285714285714</v>
      </c>
      <c r="E170" s="159" t="n">
        <f aca="false">($B170-E163)*SUP_POLLO!$C$13</f>
        <v>0.623333333333334</v>
      </c>
      <c r="F170" s="159" t="n">
        <f aca="false">($B170-F163)*SUP_POLLO!$C$13</f>
        <v>0.680000000000001</v>
      </c>
      <c r="G170" s="159" t="n">
        <f aca="false">($B170-G163)*SUP_POLLO!$C$13</f>
        <v>0.734642857142858</v>
      </c>
      <c r="H170" s="159" t="n">
        <f aca="false">($B170-H163)*SUP_POLLO!$C$13</f>
        <v>0.813043478260869</v>
      </c>
    </row>
    <row r="171" customFormat="false" ht="15" hidden="false" customHeight="true" outlineLevel="0" collapsed="false">
      <c r="B171" s="158" t="n">
        <f aca="false">B164</f>
        <v>1.8</v>
      </c>
      <c r="C171" s="159" t="n">
        <f aca="false">($B171-C164)*SUP_POLLO!$C$13</f>
        <v>0</v>
      </c>
      <c r="D171" s="159" t="n">
        <f aca="false">($B171-D164)*SUP_POLLO!$C$13</f>
        <v>0.565714285714286</v>
      </c>
      <c r="E171" s="159" t="n">
        <f aca="false">($B171-E164)*SUP_POLLO!$C$13</f>
        <v>0.660000000000001</v>
      </c>
      <c r="F171" s="159" t="n">
        <f aca="false">($B171-F164)*SUP_POLLO!$C$13</f>
        <v>0.72</v>
      </c>
      <c r="G171" s="159" t="n">
        <f aca="false">($B171-G164)*SUP_POLLO!$C$13</f>
        <v>0.777857142857144</v>
      </c>
      <c r="H171" s="159" t="n">
        <f aca="false">($B171-H164)*SUP_POLLO!$C$13</f>
        <v>0.860869565217391</v>
      </c>
    </row>
    <row r="172" customFormat="false" ht="15" hidden="false" customHeight="true" outlineLevel="0" collapsed="false">
      <c r="B172" s="158" t="n">
        <f aca="false">B165</f>
        <v>2</v>
      </c>
      <c r="C172" s="159" t="n">
        <f aca="false">($B172-C165)*SUP_POLLO!$C$13</f>
        <v>0</v>
      </c>
      <c r="D172" s="159" t="n">
        <f aca="false">($B172-D165)*SUP_POLLO!$C$13</f>
        <v>0.628571428571429</v>
      </c>
      <c r="E172" s="159" t="n">
        <f aca="false">($B172-E165)*SUP_POLLO!$C$13</f>
        <v>0.733333333333334</v>
      </c>
      <c r="F172" s="159" t="n">
        <f aca="false">($B172-F165)*SUP_POLLO!$C$13</f>
        <v>0.800000000000001</v>
      </c>
      <c r="G172" s="159" t="n">
        <f aca="false">($B172-G165)*SUP_POLLO!$C$13</f>
        <v>0.864285714285715</v>
      </c>
      <c r="H172" s="159" t="n">
        <f aca="false">($B172-H165)*SUP_POLLO!$C$13</f>
        <v>0.956521739130435</v>
      </c>
    </row>
    <row r="174" customFormat="false" ht="23.25" hidden="false" customHeight="true" outlineLevel="0" collapsed="false">
      <c r="B174" s="152" t="s">
        <v>395</v>
      </c>
      <c r="C174" s="160" t="n">
        <f aca="false">(2-2*SUP_POLLO!$C$32/((1+SUP_POLLO!$C$30)*SUP_POLLO!$C$31))*SUP_POLLO!$C$13*SUP_POLLO!$C$44</f>
        <v>36624</v>
      </c>
      <c r="I174" s="131" t="s">
        <v>396</v>
      </c>
    </row>
    <row r="176" customFormat="false" ht="23.25" hidden="false" customHeight="true" outlineLevel="0" collapsed="false">
      <c r="B176" s="129" t="s">
        <v>397</v>
      </c>
    </row>
    <row r="177" customFormat="false" ht="21.75" hidden="false" customHeight="true" outlineLevel="0" collapsed="false">
      <c r="B177" s="132" t="s">
        <v>398</v>
      </c>
      <c r="C177" s="132" t="s">
        <v>399</v>
      </c>
      <c r="D177" s="132" t="s">
        <v>400</v>
      </c>
      <c r="E177" s="132" t="s">
        <v>401</v>
      </c>
      <c r="F177" s="132" t="s">
        <v>402</v>
      </c>
      <c r="G177" s="132" t="s">
        <v>403</v>
      </c>
      <c r="H177" s="132" t="s">
        <v>404</v>
      </c>
    </row>
    <row r="178" customFormat="false" ht="15" hidden="false" customHeight="true" outlineLevel="0" collapsed="false">
      <c r="B178" s="137" t="n">
        <f aca="false">B10</f>
        <v>2</v>
      </c>
      <c r="C178" s="161" t="n">
        <f aca="false">SUP_PRODUCCION!$C$16/$B178</f>
        <v>125</v>
      </c>
      <c r="D178" s="162" t="n">
        <f aca="false">SUP_PRODUCCION!$C$18*1000/$B178</f>
        <v>45825</v>
      </c>
      <c r="E178" s="138" t="n">
        <f aca="false">SUP_POLLO!$C$44/D178</f>
        <v>0.999018003273323</v>
      </c>
      <c r="F178" s="161" t="n">
        <f aca="false">SUP_POLLO!$C$46*INT(SUP_POLLO!$C$47/($B178*(1+SUP_POLLO!$C$30)))</f>
        <v>40</v>
      </c>
      <c r="G178" s="161" t="n">
        <f aca="false">SUP_POLLO!$C$50*($B178/SUP_POLLO!$C$19)^SUP_POLLO!$C$51</f>
        <v>90</v>
      </c>
      <c r="H178" s="163" t="n">
        <f aca="false">F178/(G178/60)</f>
        <v>26.6666666666667</v>
      </c>
      <c r="I178" s="131" t="s">
        <v>405</v>
      </c>
    </row>
    <row r="179" customFormat="false" ht="15" hidden="false" customHeight="true" outlineLevel="0" collapsed="false">
      <c r="B179" s="137" t="n">
        <f aca="false">B11</f>
        <v>1.9</v>
      </c>
      <c r="C179" s="161" t="n">
        <f aca="false">SUP_PRODUCCION!$C$16/$B179</f>
        <v>131.578947368421</v>
      </c>
      <c r="D179" s="162" t="n">
        <f aca="false">SUP_PRODUCCION!$C$18*1000/$B179</f>
        <v>48236.8421052632</v>
      </c>
      <c r="E179" s="138" t="n">
        <f aca="false">SUP_POLLO!$C$44/D179</f>
        <v>0.949067103109656</v>
      </c>
      <c r="F179" s="161" t="n">
        <f aca="false">SUP_POLLO!$C$46*INT(SUP_POLLO!$C$47/($B179*(1+SUP_POLLO!$C$30)))</f>
        <v>40</v>
      </c>
      <c r="G179" s="161" t="n">
        <f aca="false">SUP_POLLO!$C$50*($B179/SUP_POLLO!$C$19)^SUP_POLLO!$C$51</f>
        <v>86.9595582684666</v>
      </c>
      <c r="H179" s="163" t="n">
        <f aca="false">F179/(G179/60)</f>
        <v>27.5990362392433</v>
      </c>
    </row>
    <row r="180" customFormat="false" ht="15" hidden="false" customHeight="true" outlineLevel="0" collapsed="false">
      <c r="B180" s="137" t="n">
        <f aca="false">B12</f>
        <v>1.8</v>
      </c>
      <c r="C180" s="161" t="n">
        <f aca="false">SUP_PRODUCCION!$C$16/$B180</f>
        <v>138.888888888889</v>
      </c>
      <c r="D180" s="162" t="n">
        <f aca="false">SUP_PRODUCCION!$C$18*1000/$B180</f>
        <v>50916.6666666667</v>
      </c>
      <c r="E180" s="138" t="n">
        <f aca="false">SUP_POLLO!$C$44/D180</f>
        <v>0.89911620294599</v>
      </c>
      <c r="F180" s="161" t="n">
        <f aca="false">SUP_POLLO!$C$46*INT(SUP_POLLO!$C$47/($B180*(1+SUP_POLLO!$C$30)))</f>
        <v>40</v>
      </c>
      <c r="G180" s="161" t="n">
        <f aca="false">SUP_POLLO!$C$50*($B180/SUP_POLLO!$C$19)^SUP_POLLO!$C$51</f>
        <v>83.8658186683627</v>
      </c>
      <c r="H180" s="163" t="n">
        <f aca="false">F180/(G180/60)</f>
        <v>28.6171415018377</v>
      </c>
    </row>
    <row r="181" customFormat="false" ht="15" hidden="false" customHeight="true" outlineLevel="0" collapsed="false">
      <c r="B181" s="137" t="n">
        <f aca="false">B13</f>
        <v>1.7</v>
      </c>
      <c r="C181" s="161" t="n">
        <f aca="false">SUP_PRODUCCION!$C$16/$B181</f>
        <v>147.058823529412</v>
      </c>
      <c r="D181" s="162" t="n">
        <f aca="false">SUP_PRODUCCION!$C$18*1000/$B181</f>
        <v>53911.7647058824</v>
      </c>
      <c r="E181" s="138" t="n">
        <f aca="false">SUP_POLLO!$C$44/D181</f>
        <v>0.849165302782324</v>
      </c>
      <c r="F181" s="161" t="n">
        <f aca="false">SUP_POLLO!$C$46*INT(SUP_POLLO!$C$47/($B181*(1+SUP_POLLO!$C$30)))</f>
        <v>40</v>
      </c>
      <c r="G181" s="161" t="n">
        <f aca="false">SUP_POLLO!$C$50*($B181/SUP_POLLO!$C$19)^SUP_POLLO!$C$51</f>
        <v>80.7148027293316</v>
      </c>
      <c r="H181" s="163" t="n">
        <f aca="false">F181/(G181/60)</f>
        <v>29.7343228112462</v>
      </c>
    </row>
    <row r="182" customFormat="false" ht="15" hidden="false" customHeight="true" outlineLevel="0" collapsed="false">
      <c r="B182" s="137" t="n">
        <f aca="false">B14</f>
        <v>1.65</v>
      </c>
      <c r="C182" s="161" t="n">
        <f aca="false">SUP_PRODUCCION!$C$16/$B182</f>
        <v>151.515151515152</v>
      </c>
      <c r="D182" s="162" t="n">
        <f aca="false">SUP_PRODUCCION!$C$18*1000/$B182</f>
        <v>55545.4545454546</v>
      </c>
      <c r="E182" s="138" t="n">
        <f aca="false">SUP_POLLO!$C$44/D182</f>
        <v>0.824189852700491</v>
      </c>
      <c r="F182" s="161" t="n">
        <f aca="false">SUP_POLLO!$C$46*INT(SUP_POLLO!$C$47/($B182*(1+SUP_POLLO!$C$30)))</f>
        <v>48</v>
      </c>
      <c r="G182" s="161" t="n">
        <f aca="false">SUP_POLLO!$C$50*($B182/SUP_POLLO!$C$19)^SUP_POLLO!$C$51</f>
        <v>79.1164250389801</v>
      </c>
      <c r="H182" s="163" t="n">
        <f aca="false">F182/(G182/60)</f>
        <v>36.4020492404838</v>
      </c>
    </row>
    <row r="183" customFormat="false" ht="15" hidden="false" customHeight="true" outlineLevel="0" collapsed="false">
      <c r="B183" s="137" t="n">
        <f aca="false">B15</f>
        <v>1.6</v>
      </c>
      <c r="C183" s="161" t="n">
        <f aca="false">SUP_PRODUCCION!$C$16/$B183</f>
        <v>156.25</v>
      </c>
      <c r="D183" s="162" t="n">
        <f aca="false">SUP_PRODUCCION!$C$18*1000/$B183</f>
        <v>57281.25</v>
      </c>
      <c r="E183" s="138" t="n">
        <f aca="false">SUP_POLLO!$C$44/D183</f>
        <v>0.799214402618658</v>
      </c>
      <c r="F183" s="161" t="n">
        <f aca="false">SUP_POLLO!$C$46*INT(SUP_POLLO!$C$47/($B183*(1+SUP_POLLO!$C$30)))</f>
        <v>48</v>
      </c>
      <c r="G183" s="161" t="n">
        <f aca="false">SUP_POLLO!$C$50*($B183/SUP_POLLO!$C$19)^SUP_POLLO!$C$51</f>
        <v>77.5019805060648</v>
      </c>
      <c r="H183" s="163" t="n">
        <f aca="false">F183/(G183/60)</f>
        <v>37.1603406931599</v>
      </c>
    </row>
    <row r="184" customFormat="false" ht="15" hidden="false" customHeight="true" outlineLevel="0" collapsed="false">
      <c r="B184" s="137" t="n">
        <f aca="false">B16</f>
        <v>1.55</v>
      </c>
      <c r="C184" s="161" t="n">
        <f aca="false">SUP_PRODUCCION!$C$16/$B184</f>
        <v>161.290322580645</v>
      </c>
      <c r="D184" s="162" t="n">
        <f aca="false">SUP_PRODUCCION!$C$18*1000/$B184</f>
        <v>59129.0322580645</v>
      </c>
      <c r="E184" s="138" t="n">
        <f aca="false">SUP_POLLO!$C$44/D184</f>
        <v>0.774238952536825</v>
      </c>
      <c r="F184" s="161" t="n">
        <f aca="false">SUP_POLLO!$C$46*INT(SUP_POLLO!$C$47/($B184*(1+SUP_POLLO!$C$30)))</f>
        <v>48</v>
      </c>
      <c r="G184" s="161" t="n">
        <f aca="false">SUP_POLLO!$C$50*($B184/SUP_POLLO!$C$19)^SUP_POLLO!$C$51</f>
        <v>75.8707976808119</v>
      </c>
      <c r="H184" s="163" t="n">
        <f aca="false">F184/(G184/60)</f>
        <v>37.9592687573438</v>
      </c>
    </row>
    <row r="185" customFormat="false" ht="15" hidden="false" customHeight="true" outlineLevel="0" collapsed="false">
      <c r="B185" s="137" t="n">
        <f aca="false">B17</f>
        <v>1.5</v>
      </c>
      <c r="C185" s="161" t="n">
        <f aca="false">SUP_PRODUCCION!$C$16/$B185</f>
        <v>166.666666666667</v>
      </c>
      <c r="D185" s="162" t="n">
        <f aca="false">SUP_PRODUCCION!$C$18*1000/$B185</f>
        <v>61100</v>
      </c>
      <c r="E185" s="138" t="n">
        <f aca="false">SUP_POLLO!$C$44/D185</f>
        <v>0.749263502454992</v>
      </c>
      <c r="F185" s="161" t="n">
        <f aca="false">SUP_POLLO!$C$46*INT(SUP_POLLO!$C$47/($B185*(1+SUP_POLLO!$C$30)))</f>
        <v>48</v>
      </c>
      <c r="G185" s="161" t="n">
        <f aca="false">SUP_POLLO!$C$50*($B185/SUP_POLLO!$C$19)^SUP_POLLO!$C$51</f>
        <v>74.2221543524992</v>
      </c>
      <c r="H185" s="163" t="n">
        <f aca="false">F185/(G185/60)</f>
        <v>38.802430691006</v>
      </c>
    </row>
    <row r="187" customFormat="false" ht="15" hidden="false" customHeight="true" outlineLevel="0" collapsed="false">
      <c r="A187" s="128" t="s">
        <v>406</v>
      </c>
      <c r="B187" s="25"/>
      <c r="C187" s="25"/>
      <c r="D187" s="25"/>
      <c r="E187" s="25"/>
      <c r="F187" s="25"/>
      <c r="G187" s="25"/>
      <c r="H187" s="25"/>
      <c r="I187" s="25"/>
    </row>
    <row r="188" customFormat="false" ht="15" hidden="false" customHeight="true" outlineLevel="0" collapsed="false">
      <c r="B188" s="132" t="s">
        <v>304</v>
      </c>
      <c r="C188" s="132" t="s">
        <v>305</v>
      </c>
      <c r="D188" s="132" t="s">
        <v>407</v>
      </c>
      <c r="E188" s="132" t="s">
        <v>307</v>
      </c>
    </row>
    <row r="189" customFormat="false" ht="15" hidden="false" customHeight="true" outlineLevel="0" collapsed="false">
      <c r="B189" s="152" t="s">
        <v>408</v>
      </c>
      <c r="C189" s="164" t="n">
        <v>150</v>
      </c>
      <c r="D189" s="165" t="n">
        <f aca="false">SUP_POLLO!$C$29</f>
        <v>150</v>
      </c>
      <c r="E189" s="166" t="str">
        <f aca="false">IF(ABS(D189-C189)&lt;=MAX(0.0001,ABS(C189)*0.001),"✓","⚠ cambió")</f>
        <v>✓</v>
      </c>
    </row>
    <row r="190" customFormat="false" ht="15" hidden="false" customHeight="true" outlineLevel="0" collapsed="false">
      <c r="B190" s="152" t="s">
        <v>409</v>
      </c>
      <c r="C190" s="164" t="n">
        <v>200</v>
      </c>
      <c r="D190" s="167" t="n">
        <f aca="false">SUP_COSTOS!$D$26</f>
        <v>200</v>
      </c>
      <c r="E190" s="166" t="str">
        <f aca="false">IF(ABS(D190-C190)&lt;=MAX(0.0001,ABS(C190)*0.001),"✓","⚠ cambió")</f>
        <v>✓</v>
      </c>
    </row>
    <row r="191" customFormat="false" ht="15" hidden="false" customHeight="true" outlineLevel="0" collapsed="false">
      <c r="B191" s="152" t="s">
        <v>410</v>
      </c>
      <c r="C191" s="164" t="n">
        <v>100</v>
      </c>
      <c r="D191" s="167" t="n">
        <f aca="false">SUP_COSTOS!$D$25</f>
        <v>100</v>
      </c>
      <c r="E191" s="166" t="str">
        <f aca="false">IF(ABS(D191-C191)&lt;=MAX(0.0001,ABS(C191)*0.001),"✓","⚠ cambió")</f>
        <v>✓</v>
      </c>
    </row>
    <row r="192" customFormat="false" ht="15" hidden="false" customHeight="true" outlineLevel="0" collapsed="false">
      <c r="B192" s="152" t="s">
        <v>411</v>
      </c>
      <c r="C192" s="164" t="n">
        <v>0.05</v>
      </c>
      <c r="D192" s="168" t="n">
        <f aca="false">SUP_COSTOS!$C$15</f>
        <v>0.05</v>
      </c>
      <c r="E192" s="166" t="str">
        <f aca="false">IF(ABS(D192-C192)&lt;=MAX(0.0001,ABS(C192)*0.001),"✓","⚠ cambió")</f>
        <v>✓</v>
      </c>
    </row>
    <row r="193" customFormat="false" ht="15" hidden="false" customHeight="true" outlineLevel="0" collapsed="false">
      <c r="B193" s="152" t="s">
        <v>412</v>
      </c>
      <c r="C193" s="164" t="n">
        <v>11.9</v>
      </c>
      <c r="D193" s="169" t="n">
        <f aca="false">SUP_PRECIOS!$D$8</f>
        <v>11.9</v>
      </c>
      <c r="E193" s="166" t="str">
        <f aca="false">IF(ABS(D193-C193)&lt;=MAX(0.0001,ABS(C193)*0.001),"✓","⚠ cambió")</f>
        <v>✓</v>
      </c>
    </row>
    <row r="194" customFormat="false" ht="15" hidden="false" customHeight="true" outlineLevel="0" collapsed="false">
      <c r="B194" s="152" t="s">
        <v>413</v>
      </c>
      <c r="C194" s="164" t="n">
        <v>4200</v>
      </c>
      <c r="D194" s="170" t="n">
        <f aca="false">SUP_VOLUMEN!$D$16</f>
        <v>4200</v>
      </c>
      <c r="E194" s="166" t="str">
        <f aca="false">IF(ABS(D194-C194)&lt;=MAX(0.0001,ABS(C194)*0.001),"✓","⚠ cambió")</f>
        <v>✓</v>
      </c>
    </row>
    <row r="195" customFormat="false" ht="15" hidden="false" customHeight="true" outlineLevel="0" collapsed="false">
      <c r="B195" s="152" t="s">
        <v>414</v>
      </c>
      <c r="C195" s="164" t="n">
        <v>0.2</v>
      </c>
      <c r="D195" s="171" t="n">
        <f aca="false">SUP_CONTROL!$C$31</f>
        <v>0.2</v>
      </c>
      <c r="E195" s="166" t="str">
        <f aca="false">IF(ABS(D195-C195)&lt;=MAX(0.0001,ABS(C195)*0.001),"✓","⚠ cambió")</f>
        <v>✓</v>
      </c>
    </row>
    <row r="196" customFormat="false" ht="15" hidden="false" customHeight="true" outlineLevel="0" collapsed="false">
      <c r="B196" s="152" t="s">
        <v>415</v>
      </c>
      <c r="C196" s="164" t="n">
        <v>1</v>
      </c>
      <c r="D196" s="170" t="n">
        <f aca="false">SUP_CONTROL!$C$13</f>
        <v>1</v>
      </c>
      <c r="E196" s="166" t="str">
        <f aca="false">IF(ABS(D196-C196)&lt;=MAX(0.0001,ABS(C196)*0.001),"✓","⚠ cambió")</f>
        <v>✓</v>
      </c>
    </row>
    <row r="197" customFormat="false" ht="15" hidden="false" customHeight="true" outlineLevel="0" collapsed="false">
      <c r="B197" s="152" t="s">
        <v>416</v>
      </c>
      <c r="C197" s="164" t="n">
        <v>0</v>
      </c>
      <c r="D197" s="170" t="n">
        <f aca="false">SUP_CONTROL!$C$12</f>
        <v>0</v>
      </c>
      <c r="E197" s="166" t="str">
        <f aca="false">IF(ABS(D197-C197)&lt;=MAX(0.0001,ABS(C197)*0.001),"✓","⚠ cambió")</f>
        <v>✓</v>
      </c>
    </row>
    <row r="198" customFormat="false" ht="15" hidden="false" customHeight="true" outlineLevel="0" collapsed="false">
      <c r="B198" s="152" t="s">
        <v>417</v>
      </c>
      <c r="C198" s="164" t="n">
        <v>0</v>
      </c>
      <c r="D198" s="170" t="n">
        <f aca="false">SUP_CONTROL!$C$14</f>
        <v>0</v>
      </c>
      <c r="E198" s="166" t="str">
        <f aca="false">IF(ABS(D198-C198)&lt;=MAX(0.0001,ABS(C198)*0.001),"✓","⚠ cambió")</f>
        <v>✓</v>
      </c>
    </row>
    <row r="199" customFormat="false" ht="15" hidden="false" customHeight="true" outlineLevel="0" collapsed="false">
      <c r="B199" s="152" t="s">
        <v>418</v>
      </c>
      <c r="C199" s="164" t="n">
        <v>0.1</v>
      </c>
      <c r="D199" s="171" t="n">
        <f aca="false">SUP_POLLO!$C$30</f>
        <v>0.1</v>
      </c>
      <c r="E199" s="166" t="str">
        <f aca="false">IF(ABS(D199-C199)&lt;=MAX(0.0001,ABS(C199)*0.001),"✓","⚠ cambió")</f>
        <v>✓</v>
      </c>
    </row>
    <row r="201" customFormat="false" ht="15" hidden="false" customHeight="true" outlineLevel="0" collapsed="false">
      <c r="B201" s="172" t="str">
        <f aca="false">IF(COUNTIF($E$189:$E$198,"⚠*")&gt;0,"⚠ SNAPSHOT DESACTUALIZADO — recalcular las corridas de las secciones 2-5","✓ SNAPSHOT VIGENTE — corridas del 27-sep-2026 consistentes con el libro")</f>
        <v>✓ SNAPSHOT VIGENTE — corridas del 27-sep-2026 consistentes con el libro</v>
      </c>
    </row>
  </sheetData>
  <conditionalFormatting sqref="C32:H39">
    <cfRule type="cellIs" priority="2" operator="greaterThan" aboveAverage="0" equalAverage="0" bottom="0" percent="0" rank="0" text="" dxfId="2">
      <formula>SUP_POLLO!$C$61</formula>
    </cfRule>
  </conditionalFormatting>
  <conditionalFormatting sqref="C21:H28">
    <cfRule type="cellIs" priority="3" operator="lessThan" aboveAverage="0" equalAverage="0" bottom="0" percent="0" rank="0" text="" dxfId="2">
      <formula>0.4</formula>
    </cfRule>
  </conditionalFormatting>
  <conditionalFormatting sqref="D43:D50">
    <cfRule type="cellIs" priority="4" operator="lessThan" aboveAverage="0" equalAverage="0" bottom="0" percent="0" rank="0" text="" dxfId="2">
      <formula>0</formula>
    </cfRule>
  </conditionalFormatting>
  <conditionalFormatting sqref="C57:H64">
    <cfRule type="cellIs" priority="5" operator="lessThan" aboveAverage="0" equalAverage="0" bottom="0" percent="0" rank="0" text="" dxfId="2">
      <formula>0</formula>
    </cfRule>
    <cfRule type="cellIs" priority="6" operator="greaterThanOrEqual" aboveAverage="0" equalAverage="0" bottom="0" percent="0" rank="0" text="" dxfId="3">
      <formula>2.1241</formula>
    </cfRule>
  </conditionalFormatting>
  <conditionalFormatting sqref="C90:H97">
    <cfRule type="cellIs" priority="7" operator="lessThan" aboveAverage="0" equalAverage="0" bottom="0" percent="0" rank="0" text="" dxfId="2">
      <formula>8000</formula>
    </cfRule>
  </conditionalFormatting>
  <conditionalFormatting sqref="G112:G119">
    <cfRule type="cellIs" priority="8" operator="lessThan" aboveAverage="0" equalAverage="0" bottom="0" percent="0" rank="0" text="" dxfId="2">
      <formula>0</formula>
    </cfRule>
  </conditionalFormatting>
  <conditionalFormatting sqref="C151:H158">
    <cfRule type="cellIs" priority="9" operator="greaterThanOrEqual" aboveAverage="0" equalAverage="0" bottom="0" percent="0" rank="0" text="" dxfId="3">
      <formula>2</formula>
    </cfRule>
  </conditionalFormatting>
  <conditionalFormatting sqref="E178:E185">
    <cfRule type="cellIs" priority="10" operator="greaterThan" aboveAverage="0" equalAverage="0" bottom="0" percent="0" rank="0" text="" dxfId="2">
      <formula>SUP_PRODUCCION!$C$67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E76"/>
  <sheetViews>
    <sheetView showFormulas="false" showGridLines="false" showRowColHeaders="true" showZeros="true" rightToLeft="false" tabSelected="false" showOutlineSymbols="true" defaultGridColor="true" view="normal" topLeftCell="A1" colorId="64" zoomScale="160" zoomScaleNormal="16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5"/>
  </cols>
  <sheetData>
    <row r="1" customFormat="false" ht="21" hidden="false" customHeight="true" outlineLevel="0" collapsed="false">
      <c r="A1" s="126" t="s">
        <v>419</v>
      </c>
      <c r="B1" s="173" t="s">
        <v>420</v>
      </c>
      <c r="C1" s="126"/>
      <c r="D1" s="126"/>
      <c r="E1" s="126"/>
    </row>
    <row r="2" customFormat="false" ht="15" hidden="false" customHeight="true" outlineLevel="0" collapsed="false">
      <c r="A2" s="126"/>
      <c r="B2" s="174" t="s">
        <v>421</v>
      </c>
      <c r="C2" s="126"/>
      <c r="D2" s="126"/>
      <c r="E2" s="126"/>
    </row>
    <row r="4" customFormat="false" ht="15" hidden="false" customHeight="true" outlineLevel="0" collapsed="false">
      <c r="B4" s="175" t="s">
        <v>422</v>
      </c>
    </row>
    <row r="6" customFormat="false" ht="30" hidden="false" customHeight="true" outlineLevel="0" collapsed="false">
      <c r="B6" s="176" t="s">
        <v>423</v>
      </c>
      <c r="C6" s="177" t="s">
        <v>424</v>
      </c>
    </row>
    <row r="7" customFormat="false" ht="30" hidden="false" customHeight="true" outlineLevel="0" collapsed="false">
      <c r="B7" s="176" t="s">
        <v>425</v>
      </c>
      <c r="C7" s="177" t="s">
        <v>426</v>
      </c>
    </row>
    <row r="8" customFormat="false" ht="30" hidden="false" customHeight="true" outlineLevel="0" collapsed="false">
      <c r="B8" s="176" t="s">
        <v>13</v>
      </c>
      <c r="C8" s="177" t="s">
        <v>427</v>
      </c>
    </row>
    <row r="9" customFormat="false" ht="30" hidden="false" customHeight="true" outlineLevel="0" collapsed="false">
      <c r="B9" s="176" t="s">
        <v>15</v>
      </c>
      <c r="C9" s="177" t="s">
        <v>428</v>
      </c>
    </row>
    <row r="10" customFormat="false" ht="30" hidden="false" customHeight="true" outlineLevel="0" collapsed="false">
      <c r="B10" s="176" t="s">
        <v>17</v>
      </c>
      <c r="C10" s="177" t="s">
        <v>429</v>
      </c>
    </row>
    <row r="11" customFormat="false" ht="30" hidden="false" customHeight="true" outlineLevel="0" collapsed="false">
      <c r="B11" s="176" t="s">
        <v>35</v>
      </c>
      <c r="C11" s="177" t="s">
        <v>430</v>
      </c>
    </row>
    <row r="12" customFormat="false" ht="30" hidden="false" customHeight="true" outlineLevel="0" collapsed="false">
      <c r="B12" s="176" t="s">
        <v>37</v>
      </c>
      <c r="C12" s="177" t="s">
        <v>431</v>
      </c>
    </row>
    <row r="13" customFormat="false" ht="30" hidden="false" customHeight="true" outlineLevel="0" collapsed="false">
      <c r="B13" s="176" t="s">
        <v>39</v>
      </c>
      <c r="C13" s="177" t="s">
        <v>432</v>
      </c>
    </row>
    <row r="14" customFormat="false" ht="30" hidden="false" customHeight="true" outlineLevel="0" collapsed="false">
      <c r="B14" s="176" t="s">
        <v>41</v>
      </c>
      <c r="C14" s="177" t="s">
        <v>433</v>
      </c>
    </row>
    <row r="15" customFormat="false" ht="30" hidden="false" customHeight="true" outlineLevel="0" collapsed="false">
      <c r="B15" s="176" t="s">
        <v>21</v>
      </c>
      <c r="C15" s="177" t="s">
        <v>434</v>
      </c>
    </row>
    <row r="16" customFormat="false" ht="30" hidden="false" customHeight="true" outlineLevel="0" collapsed="false">
      <c r="B16" s="176" t="s">
        <v>435</v>
      </c>
      <c r="C16" s="177" t="s">
        <v>436</v>
      </c>
    </row>
    <row r="17" customFormat="false" ht="30" hidden="false" customHeight="true" outlineLevel="0" collapsed="false">
      <c r="B17" s="176" t="s">
        <v>437</v>
      </c>
      <c r="C17" s="177" t="s">
        <v>438</v>
      </c>
    </row>
    <row r="18" customFormat="false" ht="30" hidden="false" customHeight="true" outlineLevel="0" collapsed="false">
      <c r="B18" s="176" t="s">
        <v>439</v>
      </c>
      <c r="C18" s="177" t="s">
        <v>440</v>
      </c>
    </row>
    <row r="20" customFormat="false" ht="24" hidden="false" customHeight="true" outlineLevel="0" collapsed="false">
      <c r="B20" s="178" t="s">
        <v>441</v>
      </c>
      <c r="C20" s="179" t="s">
        <v>442</v>
      </c>
    </row>
    <row r="22" customFormat="false" ht="15" hidden="false" customHeight="true" outlineLevel="0" collapsed="false">
      <c r="A22" s="180" t="s">
        <v>443</v>
      </c>
    </row>
    <row r="23" customFormat="false" ht="15" hidden="false" customHeight="true" outlineLevel="0" collapsed="false">
      <c r="A23" s="23" t="s">
        <v>444</v>
      </c>
    </row>
    <row r="24" customFormat="false" ht="15" hidden="false" customHeight="true" outlineLevel="0" collapsed="false">
      <c r="A24" s="23" t="s">
        <v>445</v>
      </c>
    </row>
    <row r="25" customFormat="false" ht="15" hidden="false" customHeight="true" outlineLevel="0" collapsed="false">
      <c r="A25" s="23" t="s">
        <v>446</v>
      </c>
    </row>
    <row r="26" customFormat="false" ht="15" hidden="false" customHeight="true" outlineLevel="0" collapsed="false">
      <c r="A26" s="23" t="s">
        <v>447</v>
      </c>
    </row>
    <row r="27" customFormat="false" ht="15" hidden="false" customHeight="true" outlineLevel="0" collapsed="false">
      <c r="A27" s="23" t="s">
        <v>448</v>
      </c>
    </row>
    <row r="28" customFormat="false" ht="15" hidden="false" customHeight="true" outlineLevel="0" collapsed="false">
      <c r="A28" s="23" t="s">
        <v>449</v>
      </c>
    </row>
    <row r="29" customFormat="false" ht="15" hidden="false" customHeight="true" outlineLevel="0" collapsed="false">
      <c r="A29" s="23" t="s">
        <v>450</v>
      </c>
    </row>
    <row r="30" customFormat="false" ht="15" hidden="false" customHeight="true" outlineLevel="0" collapsed="false">
      <c r="A30" s="23" t="s">
        <v>451</v>
      </c>
    </row>
    <row r="31" customFormat="false" ht="15" hidden="false" customHeight="true" outlineLevel="0" collapsed="false">
      <c r="A31" s="23" t="s">
        <v>452</v>
      </c>
    </row>
    <row r="32" customFormat="false" ht="15" hidden="false" customHeight="true" outlineLevel="0" collapsed="false">
      <c r="A32" s="23" t="s">
        <v>453</v>
      </c>
    </row>
    <row r="34" customFormat="false" ht="15" hidden="false" customHeight="true" outlineLevel="0" collapsed="false">
      <c r="A34" s="181" t="s">
        <v>454</v>
      </c>
    </row>
    <row r="35" customFormat="false" ht="15" hidden="false" customHeight="true" outlineLevel="0" collapsed="false">
      <c r="A35" s="23" t="s">
        <v>455</v>
      </c>
    </row>
    <row r="36" customFormat="false" ht="15" hidden="false" customHeight="true" outlineLevel="0" collapsed="false">
      <c r="A36" s="23" t="s">
        <v>456</v>
      </c>
    </row>
    <row r="37" customFormat="false" ht="15" hidden="false" customHeight="true" outlineLevel="0" collapsed="false">
      <c r="A37" s="23" t="s">
        <v>457</v>
      </c>
    </row>
    <row r="38" customFormat="false" ht="15" hidden="false" customHeight="true" outlineLevel="0" collapsed="false">
      <c r="A38" s="23" t="s">
        <v>458</v>
      </c>
    </row>
    <row r="39" customFormat="false" ht="15" hidden="false" customHeight="true" outlineLevel="0" collapsed="false">
      <c r="A39" s="23" t="s">
        <v>459</v>
      </c>
    </row>
    <row r="40" customFormat="false" ht="15" hidden="false" customHeight="true" outlineLevel="0" collapsed="false">
      <c r="A40" s="23" t="str">
        <f aca="false">"• PUNTO_EQUILIBRIO: volumen por formato que hace VPN = 0 — con transformación (carga patronal 40%), logística, volúmenes v3 y sin know-how: "&amp;TEXT(PUNTO_EQUILIBRIO!$C$6,"#,##0")&amp;" pollos/mes por ventana (≈"&amp;TEXT(PUNTO_EQUILIBRIO!$C$9,"#,##0")&amp;"/día) con WACC "&amp;TEXT(SUP_CONTROL!$C$31,"0%")&amp;". El BÁSICO ("&amp;TEXT(SUP_VOLUMEN!$C$16,"#,##0")&amp;") queda POR DEBAJO del equilibrio y el MEDIO "&amp;IF(PUNTO_EQUILIBRIO!$C$13&gt;1,"también queda "&amp;TEXT(PUNTO_EQUILIBRIO!$C$13-1,"0%")&amp;" por debajo","conserva "&amp;TEXT(1-PUNTO_EQUILIBRIO!$C$13,"0%")&amp;" de colchón")&amp;". La hoja avisa (fila 4) si el snapshot queda desactualizado."</f>
        <v>• PUNTO_EQUILIBRIO: volumen por formato que hace VPN = 0 — con transformación (carga patronal 40%), logística, volúmenes v3 y sin know-how: 3,579 pollos/mes por ventana (≈118/día) con WACC 20%. El BÁSICO (3,500) queda POR DEBAJO del equilibrio y el MEDIO conserva 15% de colchón. La hoja avisa (fila 4) si el snapshot queda desactualizado.</v>
      </c>
    </row>
    <row r="41" customFormat="false" ht="15" hidden="false" customHeight="true" outlineLevel="0" collapsed="false">
      <c r="A41" s="23" t="s">
        <v>460</v>
      </c>
    </row>
    <row r="42" customFormat="false" ht="15" hidden="false" customHeight="true" outlineLevel="0" collapsed="false">
      <c r="A42" s="23" t="s">
        <v>461</v>
      </c>
    </row>
    <row r="43" customFormat="false" ht="15" hidden="false" customHeight="true" outlineLevel="0" collapsed="false">
      <c r="A43" s="23" t="s">
        <v>462</v>
      </c>
    </row>
    <row r="44" customFormat="false" ht="15" hidden="false" customHeight="true" outlineLevel="0" collapsed="false">
      <c r="A44" s="23" t="s">
        <v>463</v>
      </c>
    </row>
    <row r="46" customFormat="false" ht="15" hidden="false" customHeight="true" outlineLevel="0" collapsed="false">
      <c r="A46" s="178" t="s">
        <v>464</v>
      </c>
    </row>
    <row r="47" customFormat="false" ht="15" hidden="false" customHeight="true" outlineLevel="0" collapsed="false">
      <c r="A47" s="182" t="s">
        <v>465</v>
      </c>
    </row>
    <row r="48" customFormat="false" ht="15" hidden="false" customHeight="true" outlineLevel="0" collapsed="false">
      <c r="A48" s="182" t="s">
        <v>466</v>
      </c>
    </row>
    <row r="49" customFormat="false" ht="15" hidden="false" customHeight="true" outlineLevel="0" collapsed="false">
      <c r="A49" s="182" t="s">
        <v>467</v>
      </c>
    </row>
    <row r="50" customFormat="false" ht="15" hidden="false" customHeight="true" outlineLevel="0" collapsed="false">
      <c r="A50" s="182" t="s">
        <v>468</v>
      </c>
    </row>
    <row r="51" customFormat="false" ht="15" hidden="false" customHeight="true" outlineLevel="0" collapsed="false">
      <c r="A51" s="182" t="s">
        <v>469</v>
      </c>
    </row>
    <row r="53" customFormat="false" ht="15" hidden="false" customHeight="true" outlineLevel="0" collapsed="false">
      <c r="A53" s="183" t="s">
        <v>470</v>
      </c>
    </row>
    <row r="54" customFormat="false" ht="15" hidden="false" customHeight="true" outlineLevel="0" collapsed="false">
      <c r="A54" s="184" t="s">
        <v>471</v>
      </c>
    </row>
    <row r="55" customFormat="false" ht="15" hidden="false" customHeight="true" outlineLevel="0" collapsed="false">
      <c r="A55" s="184" t="s">
        <v>472</v>
      </c>
    </row>
    <row r="56" customFormat="false" ht="15" hidden="false" customHeight="true" outlineLevel="0" collapsed="false">
      <c r="A56" s="184" t="s">
        <v>473</v>
      </c>
    </row>
    <row r="57" customFormat="false" ht="15" hidden="false" customHeight="true" outlineLevel="0" collapsed="false">
      <c r="A57" s="184" t="s">
        <v>474</v>
      </c>
    </row>
    <row r="58" customFormat="false" ht="15" hidden="false" customHeight="true" outlineLevel="0" collapsed="false">
      <c r="A58" s="184" t="s">
        <v>475</v>
      </c>
    </row>
    <row r="59" customFormat="false" ht="15" hidden="false" customHeight="true" outlineLevel="0" collapsed="false">
      <c r="A59" s="184" t="s">
        <v>476</v>
      </c>
    </row>
    <row r="60" customFormat="false" ht="15" hidden="false" customHeight="true" outlineLevel="0" collapsed="false">
      <c r="A60" s="184" t="s">
        <v>477</v>
      </c>
    </row>
    <row r="61" customFormat="false" ht="15" hidden="false" customHeight="true" outlineLevel="0" collapsed="false">
      <c r="A61" s="184" t="s">
        <v>478</v>
      </c>
    </row>
    <row r="62" customFormat="false" ht="15" hidden="false" customHeight="true" outlineLevel="0" collapsed="false">
      <c r="A62" s="184" t="s">
        <v>479</v>
      </c>
    </row>
    <row r="63" customFormat="false" ht="15" hidden="false" customHeight="true" outlineLevel="0" collapsed="false">
      <c r="A63" s="184" t="s">
        <v>480</v>
      </c>
    </row>
    <row r="64" customFormat="false" ht="15" hidden="false" customHeight="true" outlineLevel="0" collapsed="false">
      <c r="A64" s="184" t="s">
        <v>481</v>
      </c>
    </row>
    <row r="65" customFormat="false" ht="15" hidden="false" customHeight="true" outlineLevel="0" collapsed="false">
      <c r="A65" s="184" t="s">
        <v>482</v>
      </c>
    </row>
    <row r="66" customFormat="false" ht="15" hidden="false" customHeight="true" outlineLevel="0" collapsed="false">
      <c r="A66" s="184" t="s">
        <v>483</v>
      </c>
    </row>
    <row r="67" customFormat="false" ht="15" hidden="false" customHeight="true" outlineLevel="0" collapsed="false">
      <c r="A67" s="184" t="s">
        <v>484</v>
      </c>
    </row>
    <row r="69" customFormat="false" ht="15" hidden="false" customHeight="true" outlineLevel="0" collapsed="false">
      <c r="A69" s="183" t="s">
        <v>485</v>
      </c>
    </row>
    <row r="70" customFormat="false" ht="15" hidden="false" customHeight="true" outlineLevel="0" collapsed="false">
      <c r="A70" s="184" t="s">
        <v>486</v>
      </c>
    </row>
    <row r="71" customFormat="false" ht="15" hidden="false" customHeight="true" outlineLevel="0" collapsed="false">
      <c r="A71" s="184" t="s">
        <v>487</v>
      </c>
    </row>
    <row r="72" customFormat="false" ht="15" hidden="false" customHeight="true" outlineLevel="0" collapsed="false">
      <c r="A72" s="184" t="s">
        <v>488</v>
      </c>
    </row>
    <row r="73" customFormat="false" ht="15" hidden="false" customHeight="true" outlineLevel="0" collapsed="false">
      <c r="A73" s="184" t="s">
        <v>489</v>
      </c>
    </row>
    <row r="74" customFormat="false" ht="15" hidden="false" customHeight="true" outlineLevel="0" collapsed="false">
      <c r="A74" s="184" t="s">
        <v>490</v>
      </c>
    </row>
    <row r="75" customFormat="false" ht="15" hidden="false" customHeight="true" outlineLevel="0" collapsed="false">
      <c r="A75" s="184" t="s">
        <v>491</v>
      </c>
    </row>
    <row r="76" customFormat="false" ht="15" hidden="false" customHeight="true" outlineLevel="0" collapsed="false">
      <c r="A76" s="184" t="s">
        <v>492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I47"/>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C8" activeCellId="0" sqref="C8"/>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61.34"/>
    <col collapsed="false" customWidth="true" hidden="false" outlineLevel="0" max="3" min="3" style="1" width="12"/>
    <col collapsed="false" customWidth="true" hidden="false" outlineLevel="0" max="6" min="4" style="1" width="11"/>
    <col collapsed="false" customWidth="true" hidden="false" outlineLevel="0" max="7" min="7" style="1" width="95"/>
  </cols>
  <sheetData>
    <row r="1" customFormat="false" ht="15" hidden="false" customHeight="true" outlineLevel="0" collapsed="false">
      <c r="A1" s="185" t="s">
        <v>493</v>
      </c>
      <c r="B1" s="126"/>
      <c r="C1" s="126"/>
      <c r="D1" s="126"/>
      <c r="E1" s="126"/>
      <c r="F1" s="126"/>
      <c r="G1" s="126"/>
      <c r="H1" s="126"/>
      <c r="I1" s="126"/>
    </row>
    <row r="2" customFormat="false" ht="15" hidden="false" customHeight="true" outlineLevel="0" collapsed="false">
      <c r="A2" s="23" t="s">
        <v>494</v>
      </c>
    </row>
    <row r="3" customFormat="false" ht="15" hidden="false" customHeight="true" outlineLevel="0" collapsed="false">
      <c r="A3" s="23" t="s">
        <v>495</v>
      </c>
    </row>
    <row r="5" customFormat="false" ht="15" hidden="false" customHeight="true" outlineLevel="0" collapsed="false">
      <c r="A5" s="186" t="s">
        <v>496</v>
      </c>
      <c r="B5" s="25"/>
      <c r="C5" s="25"/>
      <c r="D5" s="25"/>
      <c r="E5" s="25"/>
      <c r="F5" s="25"/>
      <c r="G5" s="25"/>
      <c r="H5" s="25"/>
      <c r="I5" s="25"/>
    </row>
    <row r="6" customFormat="false" ht="15" hidden="false" customHeight="true" outlineLevel="0" collapsed="false">
      <c r="B6" s="1" t="s">
        <v>497</v>
      </c>
      <c r="C6" s="187" t="n">
        <v>2</v>
      </c>
      <c r="G6" s="23" t="s">
        <v>498</v>
      </c>
    </row>
    <row r="7" customFormat="false" ht="15" hidden="false" customHeight="true" outlineLevel="0" collapsed="false">
      <c r="B7" s="1" t="s">
        <v>499</v>
      </c>
      <c r="C7" s="178" t="str">
        <f aca="false">CHOOSE($C$6,"BÁSICO","MEDIO","ALTO")</f>
        <v>MEDIO</v>
      </c>
    </row>
    <row r="8" customFormat="false" ht="15" hidden="false" customHeight="true" outlineLevel="0" collapsed="false">
      <c r="B8" s="1" t="s">
        <v>500</v>
      </c>
      <c r="C8" s="188" t="n">
        <f aca="false">CHOOSE($C$6,SUP_VOLUMEN!$C$23,SUP_VOLUMEN!$D$23,SUP_VOLUMEN!$E$23)</f>
        <v>4200</v>
      </c>
      <c r="G8" s="23" t="s">
        <v>501</v>
      </c>
    </row>
    <row r="10" customFormat="false" ht="15" hidden="false" customHeight="true" outlineLevel="0" collapsed="false">
      <c r="A10" s="186" t="s">
        <v>502</v>
      </c>
      <c r="B10" s="25"/>
      <c r="C10" s="25"/>
      <c r="D10" s="25"/>
      <c r="E10" s="25"/>
      <c r="F10" s="25"/>
      <c r="G10" s="25"/>
      <c r="H10" s="25"/>
      <c r="I10" s="25"/>
    </row>
    <row r="11" customFormat="false" ht="15" hidden="false" customHeight="true" outlineLevel="0" collapsed="false">
      <c r="B11" s="1" t="s">
        <v>503</v>
      </c>
      <c r="C11" s="187" t="n">
        <v>1</v>
      </c>
      <c r="G11" s="23" t="s">
        <v>504</v>
      </c>
    </row>
    <row r="12" customFormat="false" ht="15" hidden="false" customHeight="true" outlineLevel="0" collapsed="false">
      <c r="B12" s="1" t="s">
        <v>505</v>
      </c>
      <c r="C12" s="187" t="n">
        <v>0</v>
      </c>
      <c r="G12" s="23" t="s">
        <v>506</v>
      </c>
    </row>
    <row r="13" customFormat="false" ht="15" hidden="false" customHeight="true" outlineLevel="0" collapsed="false">
      <c r="B13" s="1" t="s">
        <v>507</v>
      </c>
      <c r="C13" s="187" t="n">
        <v>1</v>
      </c>
      <c r="G13" s="23" t="s">
        <v>508</v>
      </c>
    </row>
    <row r="14" customFormat="false" ht="15" hidden="false" customHeight="true" outlineLevel="0" collapsed="false">
      <c r="B14" s="1" t="s">
        <v>509</v>
      </c>
      <c r="C14" s="187" t="n">
        <v>0</v>
      </c>
      <c r="G14" s="23" t="s">
        <v>510</v>
      </c>
    </row>
    <row r="16" customFormat="false" ht="15" hidden="false" customHeight="true" outlineLevel="0" collapsed="false">
      <c r="A16" s="186" t="s">
        <v>511</v>
      </c>
      <c r="B16" s="25"/>
      <c r="C16" s="25"/>
      <c r="D16" s="25"/>
      <c r="E16" s="25"/>
      <c r="F16" s="25"/>
      <c r="G16" s="25"/>
      <c r="H16" s="25"/>
      <c r="I16" s="25"/>
    </row>
    <row r="17" customFormat="false" ht="15" hidden="false" customHeight="true" outlineLevel="0" collapsed="false">
      <c r="B17" s="1" t="s">
        <v>512</v>
      </c>
      <c r="C17" s="189" t="n">
        <v>7</v>
      </c>
      <c r="G17" s="23" t="s">
        <v>513</v>
      </c>
    </row>
    <row r="18" customFormat="false" ht="15" hidden="false" customHeight="true" outlineLevel="0" collapsed="false">
      <c r="B18" s="1" t="s">
        <v>514</v>
      </c>
      <c r="C18" s="189" t="n">
        <v>3</v>
      </c>
      <c r="G18" s="23" t="s">
        <v>515</v>
      </c>
    </row>
    <row r="19" customFormat="false" ht="15" hidden="false" customHeight="true" outlineLevel="0" collapsed="false">
      <c r="B19" s="1" t="s">
        <v>516</v>
      </c>
      <c r="C19" s="189" t="n">
        <v>1</v>
      </c>
      <c r="G19" s="23" t="s">
        <v>517</v>
      </c>
    </row>
    <row r="20" customFormat="false" ht="15" hidden="false" customHeight="true" outlineLevel="0" collapsed="false">
      <c r="B20" s="1" t="s">
        <v>518</v>
      </c>
      <c r="C20" s="189" t="n">
        <v>30</v>
      </c>
      <c r="G20" s="23" t="s">
        <v>519</v>
      </c>
    </row>
    <row r="21" customFormat="false" ht="15" hidden="false" customHeight="true" outlineLevel="0" collapsed="false">
      <c r="B21" s="1" t="s">
        <v>520</v>
      </c>
      <c r="C21" s="190" t="n">
        <v>50</v>
      </c>
      <c r="G21" s="23" t="s">
        <v>521</v>
      </c>
    </row>
    <row r="22" customFormat="false" ht="15" hidden="false" customHeight="true" outlineLevel="0" collapsed="false">
      <c r="B22" s="1" t="s">
        <v>522</v>
      </c>
      <c r="C22" s="190" t="n">
        <v>36</v>
      </c>
      <c r="G22" s="23" t="s">
        <v>523</v>
      </c>
    </row>
    <row r="23" customFormat="false" ht="15" hidden="false" customHeight="true" outlineLevel="0" collapsed="false">
      <c r="B23" s="1" t="s">
        <v>524</v>
      </c>
      <c r="C23" s="190" t="n">
        <v>120</v>
      </c>
      <c r="G23" s="23" t="s">
        <v>525</v>
      </c>
    </row>
    <row r="24" customFormat="false" ht="15" hidden="false" customHeight="true" outlineLevel="0" collapsed="false">
      <c r="B24" s="1" t="s">
        <v>526</v>
      </c>
      <c r="C24" s="191" t="n">
        <v>0</v>
      </c>
      <c r="D24" s="1" t="s">
        <v>527</v>
      </c>
      <c r="E24" s="192" t="n">
        <v>13</v>
      </c>
      <c r="F24" s="23" t="s">
        <v>528</v>
      </c>
    </row>
    <row r="25" customFormat="false" ht="15" hidden="false" customHeight="true" outlineLevel="0" collapsed="false">
      <c r="A25" s="186" t="s">
        <v>529</v>
      </c>
      <c r="B25" s="25"/>
      <c r="C25" s="25"/>
      <c r="D25" s="25"/>
      <c r="E25" s="25"/>
      <c r="F25" s="25"/>
      <c r="G25" s="25"/>
      <c r="H25" s="25"/>
      <c r="I25" s="25"/>
    </row>
    <row r="26" customFormat="false" ht="15" hidden="false" customHeight="true" outlineLevel="0" collapsed="false">
      <c r="B26" s="1" t="s">
        <v>530</v>
      </c>
      <c r="C26" s="193" t="n">
        <f aca="false">SUP_PRECIOS!$J$25/SUP_VOLUMEN!$D$30</f>
        <v>12.9240927176905</v>
      </c>
      <c r="G26" s="23" t="s">
        <v>531</v>
      </c>
    </row>
    <row r="27" customFormat="false" ht="15" hidden="false" customHeight="true" outlineLevel="0" collapsed="false">
      <c r="B27" s="1" t="s">
        <v>532</v>
      </c>
      <c r="C27" s="193" t="n">
        <f aca="false">SUP_PRECIOS!$K$25/SUP_VOLUMEN!$D$30</f>
        <v>5.6840367238306</v>
      </c>
      <c r="G27" s="23" t="s">
        <v>533</v>
      </c>
    </row>
    <row r="28" customFormat="false" ht="15" hidden="false" customHeight="true" outlineLevel="0" collapsed="false">
      <c r="B28" s="1" t="s">
        <v>534</v>
      </c>
      <c r="C28" s="194" t="n">
        <f aca="false">SUP_COSTOS!$C$6</f>
        <v>1.65</v>
      </c>
      <c r="G28" s="23" t="s">
        <v>535</v>
      </c>
    </row>
    <row r="29" customFormat="false" ht="15" hidden="false" customHeight="true" outlineLevel="0" collapsed="false">
      <c r="B29" s="195" t="s">
        <v>536</v>
      </c>
      <c r="C29" s="196" t="n">
        <f aca="false">SUP_POLLO!$C$13</f>
        <v>2.2</v>
      </c>
      <c r="G29" s="127" t="str">
        <f aca="false">SUP_POLLO!$C$14&amp;" · "&amp;SUP_POLLO!$C$15&amp;" · banda "&amp;TEXT(SUP_POLLO!$C$59,"0.00")&amp;"-"&amp;TEXT(SUP_POLLO!$C$60,"0.00")&amp;" → "&amp;SUP_POLLO!$C$65</f>
        <v>3 · Finanzas — base de planeación v12 · USD tasa BCV · banda 2.02-2.38 → ✓ EN BANDA</v>
      </c>
    </row>
    <row r="30" customFormat="false" ht="15" hidden="false" customHeight="true" outlineLevel="0" collapsed="false">
      <c r="A30" s="186" t="s">
        <v>537</v>
      </c>
      <c r="B30" s="25"/>
      <c r="C30" s="25"/>
      <c r="D30" s="25"/>
      <c r="E30" s="25"/>
      <c r="F30" s="25"/>
      <c r="G30" s="25"/>
      <c r="H30" s="25"/>
      <c r="I30" s="25"/>
    </row>
    <row r="31" customFormat="false" ht="15" hidden="false" customHeight="true" outlineLevel="0" collapsed="false">
      <c r="B31" s="1" t="s">
        <v>538</v>
      </c>
      <c r="C31" s="197" t="n">
        <v>0.2</v>
      </c>
      <c r="G31" s="23" t="s">
        <v>539</v>
      </c>
    </row>
    <row r="32" customFormat="false" ht="15" hidden="false" customHeight="true" outlineLevel="0" collapsed="false">
      <c r="B32" s="1" t="s">
        <v>540</v>
      </c>
      <c r="C32" s="198" t="n">
        <f aca="false">(1+$C$31)^(1/12)-1</f>
        <v>0.0153094704997312</v>
      </c>
    </row>
    <row r="33" customFormat="false" ht="15" hidden="false" customHeight="true" outlineLevel="0" collapsed="false">
      <c r="B33" s="1" t="s">
        <v>541</v>
      </c>
      <c r="C33" s="199" t="n">
        <v>0.34</v>
      </c>
      <c r="G33" s="23" t="s">
        <v>542</v>
      </c>
    </row>
    <row r="34" customFormat="false" ht="15" hidden="false" customHeight="true" outlineLevel="0" collapsed="false">
      <c r="B34" s="1" t="s">
        <v>543</v>
      </c>
      <c r="C34" s="200" t="n">
        <f aca="false">SUP_PRECIOS!$C$4</f>
        <v>0.16</v>
      </c>
    </row>
    <row r="36" customFormat="false" ht="15" hidden="false" customHeight="true" outlineLevel="0" collapsed="false">
      <c r="A36" s="186" t="s">
        <v>544</v>
      </c>
      <c r="B36" s="25"/>
      <c r="C36" s="25"/>
      <c r="D36" s="25"/>
      <c r="E36" s="25"/>
      <c r="F36" s="25"/>
      <c r="G36" s="25"/>
      <c r="H36" s="25"/>
      <c r="I36" s="25"/>
    </row>
    <row r="37" customFormat="false" ht="15" hidden="false" customHeight="true" outlineLevel="0" collapsed="false">
      <c r="B37" s="1" t="s">
        <v>545</v>
      </c>
      <c r="C37" s="197" t="n">
        <v>0.05</v>
      </c>
      <c r="G37" s="23" t="s">
        <v>546</v>
      </c>
    </row>
    <row r="38" customFormat="false" ht="15" hidden="false" customHeight="true" outlineLevel="0" collapsed="false">
      <c r="B38" s="1" t="s">
        <v>547</v>
      </c>
      <c r="C38" s="199" t="n">
        <v>0.5</v>
      </c>
      <c r="G38" s="23" t="s">
        <v>548</v>
      </c>
    </row>
    <row r="40" customFormat="false" ht="15" hidden="false" customHeight="true" outlineLevel="0" collapsed="false">
      <c r="A40" s="186" t="s">
        <v>549</v>
      </c>
      <c r="B40" s="25"/>
      <c r="C40" s="25"/>
      <c r="D40" s="25"/>
      <c r="E40" s="25"/>
      <c r="F40" s="25"/>
      <c r="G40" s="25"/>
      <c r="H40" s="25"/>
      <c r="I40" s="25"/>
    </row>
    <row r="41" customFormat="false" ht="15" hidden="false" customHeight="true" outlineLevel="0" collapsed="false">
      <c r="B41" s="178" t="s">
        <v>550</v>
      </c>
      <c r="C41" s="201" t="s">
        <v>6</v>
      </c>
      <c r="D41" s="201"/>
      <c r="E41" s="201"/>
      <c r="F41" s="201"/>
      <c r="G41" s="23" t="s">
        <v>551</v>
      </c>
    </row>
    <row r="42" customFormat="false" ht="15" hidden="false" customHeight="true" outlineLevel="0" collapsed="false">
      <c r="B42" s="178" t="s">
        <v>552</v>
      </c>
      <c r="C42" s="201" t="s">
        <v>49</v>
      </c>
      <c r="D42" s="201"/>
      <c r="E42" s="201"/>
      <c r="F42" s="201"/>
      <c r="G42" s="23" t="s">
        <v>553</v>
      </c>
    </row>
    <row r="43" customFormat="false" ht="15" hidden="false" customHeight="true" outlineLevel="0" collapsed="false">
      <c r="B43" s="178" t="s">
        <v>554</v>
      </c>
      <c r="C43" s="201" t="s">
        <v>555</v>
      </c>
      <c r="D43" s="201"/>
      <c r="E43" s="201"/>
      <c r="F43" s="201"/>
      <c r="G43" s="23" t="s">
        <v>556</v>
      </c>
    </row>
    <row r="44" customFormat="false" ht="15" hidden="false" customHeight="true" outlineLevel="0" collapsed="false">
      <c r="B44" s="178" t="s">
        <v>557</v>
      </c>
      <c r="C44" s="201" t="s">
        <v>558</v>
      </c>
      <c r="D44" s="201"/>
      <c r="E44" s="201"/>
      <c r="F44" s="201"/>
      <c r="G44" s="23" t="s">
        <v>559</v>
      </c>
    </row>
    <row r="45" customFormat="false" ht="15" hidden="false" customHeight="true" outlineLevel="0" collapsed="false">
      <c r="B45" s="178" t="s">
        <v>560</v>
      </c>
      <c r="C45" s="201" t="s">
        <v>561</v>
      </c>
      <c r="D45" s="201"/>
      <c r="E45" s="201"/>
      <c r="F45" s="201"/>
      <c r="G45" s="23" t="s">
        <v>562</v>
      </c>
    </row>
    <row r="46" customFormat="false" ht="15" hidden="false" customHeight="true" outlineLevel="0" collapsed="false">
      <c r="B46" s="178" t="s">
        <v>563</v>
      </c>
      <c r="C46" s="201" t="s">
        <v>564</v>
      </c>
      <c r="D46" s="201"/>
      <c r="E46" s="201"/>
      <c r="F46" s="201"/>
      <c r="G46" s="23" t="s">
        <v>565</v>
      </c>
    </row>
    <row r="47" customFormat="false" ht="15" hidden="false" customHeight="true" outlineLevel="0" collapsed="false">
      <c r="B47" s="178" t="s">
        <v>566</v>
      </c>
      <c r="C47" s="201" t="s">
        <v>65</v>
      </c>
      <c r="D47" s="201"/>
      <c r="E47" s="201"/>
      <c r="F47" s="201"/>
      <c r="G47" s="23" t="s">
        <v>567</v>
      </c>
    </row>
  </sheetData>
  <mergeCells count="7">
    <mergeCell ref="C41:F41"/>
    <mergeCell ref="C42:F42"/>
    <mergeCell ref="C43:F43"/>
    <mergeCell ref="C44:F44"/>
    <mergeCell ref="C45:F45"/>
    <mergeCell ref="C46:F46"/>
    <mergeCell ref="C47:F4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G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62"/>
    <col collapsed="false" customWidth="true" hidden="false" outlineLevel="0" max="4" min="3" style="1" width="14"/>
    <col collapsed="false" customWidth="true" hidden="false" outlineLevel="0" max="6" min="5" style="1" width="3"/>
    <col collapsed="false" customWidth="true" hidden="false" outlineLevel="0" max="7" min="7" style="1" width="95"/>
  </cols>
  <sheetData>
    <row r="1" customFormat="false" ht="15" hidden="false" customHeight="true" outlineLevel="0" collapsed="false">
      <c r="A1" s="125" t="s">
        <v>568</v>
      </c>
      <c r="B1" s="126"/>
      <c r="C1" s="126"/>
      <c r="D1" s="126"/>
      <c r="E1" s="126"/>
      <c r="F1" s="126"/>
      <c r="G1" s="126"/>
    </row>
    <row r="2" customFormat="false" ht="15" hidden="false" customHeight="true" outlineLevel="0" collapsed="false">
      <c r="A2" s="127" t="s">
        <v>569</v>
      </c>
    </row>
    <row r="3" customFormat="false" ht="15" hidden="false" customHeight="true" outlineLevel="0" collapsed="false">
      <c r="A3" s="127" t="s">
        <v>570</v>
      </c>
    </row>
    <row r="5" customFormat="false" ht="15" hidden="false" customHeight="true" outlineLevel="0" collapsed="false">
      <c r="A5" s="128" t="s">
        <v>571</v>
      </c>
      <c r="B5" s="25"/>
      <c r="C5" s="25"/>
      <c r="D5" s="25"/>
      <c r="E5" s="25"/>
      <c r="F5" s="25"/>
      <c r="G5" s="25"/>
    </row>
    <row r="6" customFormat="false" ht="21.75" hidden="false" customHeight="true" outlineLevel="0" collapsed="false">
      <c r="B6" s="129" t="s">
        <v>572</v>
      </c>
      <c r="C6" s="202" t="n">
        <v>3</v>
      </c>
      <c r="G6" s="131" t="s">
        <v>573</v>
      </c>
    </row>
    <row r="7" customFormat="false" ht="15" hidden="false" customHeight="true" outlineLevel="0" collapsed="false">
      <c r="B7" s="132" t="s">
        <v>574</v>
      </c>
      <c r="C7" s="132" t="s">
        <v>575</v>
      </c>
      <c r="D7" s="132" t="s">
        <v>576</v>
      </c>
    </row>
    <row r="8" customFormat="false" ht="15" hidden="false" customHeight="true" outlineLevel="0" collapsed="false">
      <c r="B8" s="152" t="s">
        <v>577</v>
      </c>
      <c r="C8" s="130" t="n">
        <v>1.7</v>
      </c>
      <c r="D8" s="203" t="s">
        <v>578</v>
      </c>
      <c r="G8" s="131" t="s">
        <v>579</v>
      </c>
    </row>
    <row r="9" customFormat="false" ht="15" hidden="false" customHeight="true" outlineLevel="0" collapsed="false">
      <c r="B9" s="152" t="s">
        <v>580</v>
      </c>
      <c r="C9" s="130" t="n">
        <v>1.815</v>
      </c>
      <c r="D9" s="203" t="s">
        <v>578</v>
      </c>
      <c r="G9" s="131" t="s">
        <v>581</v>
      </c>
    </row>
    <row r="10" customFormat="false" ht="15" hidden="false" customHeight="true" outlineLevel="0" collapsed="false">
      <c r="B10" s="152" t="s">
        <v>582</v>
      </c>
      <c r="C10" s="130" t="n">
        <v>2.2</v>
      </c>
      <c r="D10" s="203" t="s">
        <v>583</v>
      </c>
      <c r="G10" s="131" t="s">
        <v>584</v>
      </c>
    </row>
    <row r="11" customFormat="false" ht="15" hidden="false" customHeight="true" outlineLevel="0" collapsed="false">
      <c r="B11" s="152" t="s">
        <v>585</v>
      </c>
      <c r="C11" s="130" t="n">
        <v>2.42</v>
      </c>
      <c r="D11" s="203" t="s">
        <v>583</v>
      </c>
      <c r="G11" s="131" t="s">
        <v>586</v>
      </c>
    </row>
    <row r="12" customFormat="false" ht="15" hidden="false" customHeight="true" outlineLevel="0" collapsed="false">
      <c r="B12" s="152" t="s">
        <v>587</v>
      </c>
      <c r="C12" s="130" t="n">
        <v>2.6</v>
      </c>
      <c r="D12" s="203" t="s">
        <v>360</v>
      </c>
      <c r="G12" s="131" t="s">
        <v>588</v>
      </c>
    </row>
    <row r="13" customFormat="false" ht="23.25" hidden="false" customHeight="true" outlineLevel="0" collapsed="false">
      <c r="B13" s="129" t="s">
        <v>589</v>
      </c>
      <c r="C13" s="204" t="n">
        <f aca="false">INDEX($C$8:$C$12,$C$6)</f>
        <v>2.2</v>
      </c>
    </row>
    <row r="14" customFormat="false" ht="15" hidden="false" customHeight="true" outlineLevel="0" collapsed="false">
      <c r="B14" s="152" t="s">
        <v>499</v>
      </c>
      <c r="C14" s="205" t="str">
        <f aca="false">INDEX($B$8:$B$12,$C$6)</f>
        <v>3 · Finanzas — base de planeación v12</v>
      </c>
    </row>
    <row r="15" customFormat="false" ht="21.75" hidden="false" customHeight="true" outlineLevel="0" collapsed="false">
      <c r="B15" s="152" t="s">
        <v>590</v>
      </c>
      <c r="C15" s="205" t="str">
        <f aca="false">INDEX($D$8:$D$12,$C$6)</f>
        <v>USD tasa BCV</v>
      </c>
      <c r="G15" s="131" t="s">
        <v>591</v>
      </c>
    </row>
    <row r="16" customFormat="false" ht="15" hidden="false" customHeight="true" outlineLevel="0" collapsed="false">
      <c r="B16" s="152" t="s">
        <v>592</v>
      </c>
      <c r="C16" s="166" t="str">
        <f aca="false">IF(AND($C$6&gt;=1,$C$6&lt;=5,INT($C$6)=$C$6),"✓","⚠ elegir 1-5")</f>
        <v>✓</v>
      </c>
    </row>
    <row r="17" customFormat="false" ht="15" hidden="false" customHeight="true" outlineLevel="0" collapsed="false">
      <c r="A17" s="128" t="s">
        <v>593</v>
      </c>
      <c r="B17" s="25"/>
      <c r="C17" s="25"/>
      <c r="D17" s="25"/>
      <c r="E17" s="25"/>
      <c r="F17" s="25"/>
      <c r="G17" s="25"/>
    </row>
    <row r="18" customFormat="false" ht="32.25" hidden="false" customHeight="true" outlineLevel="0" collapsed="false">
      <c r="B18" s="129" t="s">
        <v>594</v>
      </c>
      <c r="C18" s="206" t="n">
        <v>1.65</v>
      </c>
      <c r="G18" s="131" t="s">
        <v>595</v>
      </c>
    </row>
    <row r="19" customFormat="false" ht="15" hidden="false" customHeight="true" outlineLevel="0" collapsed="false">
      <c r="B19" s="152" t="s">
        <v>596</v>
      </c>
      <c r="C19" s="207" t="n">
        <v>2</v>
      </c>
    </row>
    <row r="20" customFormat="false" ht="21.75" hidden="false" customHeight="true" outlineLevel="0" collapsed="false">
      <c r="B20" s="152" t="s">
        <v>597</v>
      </c>
      <c r="C20" s="208" t="n">
        <v>0.74</v>
      </c>
      <c r="G20" s="131" t="s">
        <v>598</v>
      </c>
    </row>
    <row r="21" customFormat="false" ht="15" hidden="false" customHeight="true" outlineLevel="0" collapsed="false">
      <c r="B21" s="152" t="s">
        <v>599</v>
      </c>
      <c r="C21" s="135" t="n">
        <f aca="false">C18/C20</f>
        <v>2.22972972972973</v>
      </c>
    </row>
    <row r="22" customFormat="false" ht="15" hidden="false" customHeight="true" outlineLevel="0" collapsed="false">
      <c r="B22" s="152" t="s">
        <v>600</v>
      </c>
      <c r="C22" s="207" t="n">
        <v>2.19</v>
      </c>
    </row>
    <row r="23" customFormat="false" ht="21.75" hidden="false" customHeight="true" outlineLevel="0" collapsed="false">
      <c r="B23" s="152" t="s">
        <v>601</v>
      </c>
      <c r="C23" s="135" t="n">
        <f aca="false">C22*C20</f>
        <v>1.6206</v>
      </c>
      <c r="G23" s="131" t="s">
        <v>602</v>
      </c>
    </row>
    <row r="24" customFormat="false" ht="15" hidden="false" customHeight="true" outlineLevel="0" collapsed="false">
      <c r="B24" s="152" t="s">
        <v>603</v>
      </c>
      <c r="C24" s="165" t="n">
        <f aca="false">SUP_COSTOS!$C$9</f>
        <v>9</v>
      </c>
    </row>
    <row r="25" customFormat="false" ht="15" hidden="false" customHeight="true" outlineLevel="0" collapsed="false">
      <c r="B25" s="152" t="s">
        <v>604</v>
      </c>
      <c r="C25" s="161" t="n">
        <f aca="false">C18/C24*1000</f>
        <v>183.333333333333</v>
      </c>
    </row>
    <row r="26" customFormat="false" ht="15" hidden="false" customHeight="true" outlineLevel="0" collapsed="false">
      <c r="B26" s="152" t="s">
        <v>605</v>
      </c>
      <c r="C26" s="138" t="n">
        <f aca="false">C18/C19-1</f>
        <v>-0.175</v>
      </c>
    </row>
    <row r="28" customFormat="false" ht="15" hidden="false" customHeight="true" outlineLevel="0" collapsed="false">
      <c r="A28" s="128" t="s">
        <v>606</v>
      </c>
      <c r="B28" s="25"/>
      <c r="C28" s="25"/>
      <c r="D28" s="25"/>
      <c r="E28" s="25"/>
      <c r="F28" s="25"/>
      <c r="G28" s="25"/>
    </row>
    <row r="29" customFormat="false" ht="21.75" hidden="false" customHeight="true" outlineLevel="0" collapsed="false">
      <c r="B29" s="129" t="s">
        <v>607</v>
      </c>
      <c r="C29" s="202" t="n">
        <v>150</v>
      </c>
      <c r="G29" s="131" t="s">
        <v>608</v>
      </c>
    </row>
    <row r="30" customFormat="false" ht="21.75" hidden="false" customHeight="true" outlineLevel="0" collapsed="false">
      <c r="B30" s="152" t="s">
        <v>609</v>
      </c>
      <c r="C30" s="208" t="n">
        <v>0.1</v>
      </c>
      <c r="G30" s="131" t="s">
        <v>610</v>
      </c>
    </row>
    <row r="31" customFormat="false" ht="23.25" hidden="false" customHeight="true" outlineLevel="0" collapsed="false">
      <c r="B31" s="152" t="s">
        <v>611</v>
      </c>
      <c r="C31" s="208" t="n">
        <v>0.8</v>
      </c>
      <c r="G31" s="131" t="s">
        <v>612</v>
      </c>
    </row>
    <row r="32" customFormat="false" ht="15" hidden="false" customHeight="true" outlineLevel="0" collapsed="false">
      <c r="B32" s="152" t="s">
        <v>613</v>
      </c>
      <c r="C32" s="208" t="n">
        <v>0.72</v>
      </c>
      <c r="G32" s="131" t="s">
        <v>614</v>
      </c>
    </row>
    <row r="33" customFormat="false" ht="15" hidden="false" customHeight="true" outlineLevel="0" collapsed="false">
      <c r="B33" s="152" t="s">
        <v>615</v>
      </c>
      <c r="C33" s="140" t="n">
        <f aca="false">C18*(1+C30)</f>
        <v>1.815</v>
      </c>
    </row>
    <row r="34" customFormat="false" ht="15" hidden="false" customHeight="true" outlineLevel="0" collapsed="false">
      <c r="B34" s="129" t="s">
        <v>616</v>
      </c>
      <c r="C34" s="204" t="n">
        <f aca="false">C33*C31</f>
        <v>1.452</v>
      </c>
    </row>
    <row r="35" customFormat="false" ht="15" hidden="false" customHeight="true" outlineLevel="0" collapsed="false">
      <c r="B35" s="129" t="s">
        <v>617</v>
      </c>
      <c r="C35" s="204" t="n">
        <f aca="false">C34/C32</f>
        <v>2.01666666666667</v>
      </c>
    </row>
    <row r="36" customFormat="false" ht="15" hidden="false" customHeight="true" outlineLevel="0" collapsed="false">
      <c r="B36" s="152" t="s">
        <v>618</v>
      </c>
      <c r="C36" s="138" t="n">
        <f aca="false">C35/C18-1</f>
        <v>0.222222222222222</v>
      </c>
    </row>
    <row r="37" customFormat="false" ht="15" hidden="false" customHeight="true" outlineLevel="0" collapsed="false">
      <c r="B37" s="152" t="s">
        <v>619</v>
      </c>
      <c r="C37" s="166" t="str">
        <f aca="false">IF(C30&lt;=C29/1000,"✓","⚠ revisar")</f>
        <v>✓</v>
      </c>
    </row>
    <row r="38" customFormat="false" ht="15" hidden="false" customHeight="true" outlineLevel="0" collapsed="false">
      <c r="B38" s="152" t="s">
        <v>620</v>
      </c>
      <c r="C38" s="209" t="n">
        <f aca="false">C18*SUP_COSTOS!$E$20</f>
        <v>0.18315</v>
      </c>
    </row>
    <row r="40" customFormat="false" ht="15" hidden="false" customHeight="true" outlineLevel="0" collapsed="false">
      <c r="A40" s="128" t="s">
        <v>621</v>
      </c>
      <c r="B40" s="25"/>
      <c r="C40" s="210" t="s">
        <v>622</v>
      </c>
      <c r="D40" s="210" t="s">
        <v>623</v>
      </c>
      <c r="E40" s="25"/>
      <c r="F40" s="25"/>
      <c r="G40" s="25"/>
    </row>
    <row r="41" customFormat="false" ht="15" hidden="false" customHeight="true" outlineLevel="0" collapsed="false">
      <c r="B41" s="152" t="s">
        <v>624</v>
      </c>
      <c r="C41" s="165" t="n">
        <f aca="false">SUP_PRODUCCION!$C$16</f>
        <v>250</v>
      </c>
      <c r="D41" s="165" t="n">
        <f aca="false">SUP_PRODUCCION!$C$16</f>
        <v>250</v>
      </c>
    </row>
    <row r="42" customFormat="false" ht="15" hidden="false" customHeight="true" outlineLevel="0" collapsed="false">
      <c r="B42" s="152" t="s">
        <v>625</v>
      </c>
      <c r="C42" s="161" t="n">
        <f aca="false">C41/$C$18</f>
        <v>151.515151515152</v>
      </c>
      <c r="D42" s="161" t="n">
        <f aca="false">D41/$C$19</f>
        <v>125</v>
      </c>
    </row>
    <row r="43" customFormat="false" ht="15" hidden="false" customHeight="true" outlineLevel="0" collapsed="false">
      <c r="B43" s="152" t="s">
        <v>626</v>
      </c>
      <c r="C43" s="162" t="n">
        <f aca="false">SUP_PRODUCCION!$C$18*1000/$C$18</f>
        <v>55545.4545454546</v>
      </c>
      <c r="D43" s="162" t="n">
        <f aca="false">SUP_PRODUCCION!$C$18*1000/$C$19</f>
        <v>45825</v>
      </c>
    </row>
    <row r="44" customFormat="false" ht="15" hidden="false" customHeight="true" outlineLevel="0" collapsed="false">
      <c r="B44" s="152" t="s">
        <v>627</v>
      </c>
      <c r="C44" s="170" t="n">
        <f aca="false">INDEX(SUP_VOLUMEN!$C$48:$E$48,SUP_CONTROL!$C$6)</f>
        <v>45780</v>
      </c>
      <c r="D44" s="170" t="n">
        <f aca="false">C44</f>
        <v>45780</v>
      </c>
    </row>
    <row r="45" customFormat="false" ht="21.75" hidden="false" customHeight="true" outlineLevel="0" collapsed="false">
      <c r="B45" s="152" t="s">
        <v>628</v>
      </c>
      <c r="C45" s="138" t="n">
        <f aca="false">C44/C43</f>
        <v>0.824189852700491</v>
      </c>
      <c r="D45" s="138" t="n">
        <f aca="false">D44/D43</f>
        <v>0.999018003273323</v>
      </c>
      <c r="G45" s="131" t="s">
        <v>629</v>
      </c>
    </row>
    <row r="46" customFormat="false" ht="15" hidden="false" customHeight="true" outlineLevel="0" collapsed="false">
      <c r="B46" s="152" t="s">
        <v>630</v>
      </c>
      <c r="C46" s="211" t="n">
        <v>8</v>
      </c>
      <c r="D46" s="161" t="n">
        <f aca="false">C46</f>
        <v>8</v>
      </c>
    </row>
    <row r="47" customFormat="false" ht="15" hidden="false" customHeight="true" outlineLevel="0" collapsed="false">
      <c r="B47" s="152" t="s">
        <v>631</v>
      </c>
      <c r="C47" s="212" t="n">
        <v>11</v>
      </c>
      <c r="G47" s="131" t="s">
        <v>632</v>
      </c>
    </row>
    <row r="48" customFormat="false" ht="15" hidden="false" customHeight="true" outlineLevel="0" collapsed="false">
      <c r="B48" s="152" t="s">
        <v>633</v>
      </c>
      <c r="C48" s="161" t="n">
        <f aca="false">INT(C47/C33)</f>
        <v>6</v>
      </c>
      <c r="D48" s="161" t="n">
        <f aca="false">INT(C47/($C$19*(1+$C$30)))</f>
        <v>5</v>
      </c>
    </row>
    <row r="49" customFormat="false" ht="15" hidden="false" customHeight="true" outlineLevel="0" collapsed="false">
      <c r="B49" s="152" t="s">
        <v>634</v>
      </c>
      <c r="C49" s="161" t="n">
        <f aca="false">C46*C48</f>
        <v>48</v>
      </c>
      <c r="D49" s="161" t="n">
        <f aca="false">D46*D48</f>
        <v>40</v>
      </c>
    </row>
    <row r="50" customFormat="false" ht="15" hidden="false" customHeight="true" outlineLevel="0" collapsed="false">
      <c r="B50" s="152" t="s">
        <v>635</v>
      </c>
      <c r="C50" s="211" t="n">
        <v>90</v>
      </c>
    </row>
    <row r="51" customFormat="false" ht="15" hidden="false" customHeight="true" outlineLevel="0" collapsed="false">
      <c r="B51" s="152" t="s">
        <v>636</v>
      </c>
      <c r="C51" s="207" t="n">
        <v>0.67</v>
      </c>
    </row>
    <row r="52" customFormat="false" ht="15" hidden="false" customHeight="true" outlineLevel="0" collapsed="false">
      <c r="B52" s="152" t="s">
        <v>637</v>
      </c>
      <c r="C52" s="161" t="n">
        <f aca="false">C50*(C33/($C$19*(1+$C$30)))^C51</f>
        <v>79.1164250389801</v>
      </c>
      <c r="D52" s="161" t="n">
        <f aca="false">C50</f>
        <v>90</v>
      </c>
    </row>
    <row r="53" customFormat="false" ht="15" hidden="false" customHeight="true" outlineLevel="0" collapsed="false">
      <c r="B53" s="152" t="s">
        <v>638</v>
      </c>
      <c r="C53" s="163" t="n">
        <f aca="false">C49/(C52/60)</f>
        <v>36.4020492404838</v>
      </c>
      <c r="D53" s="163" t="n">
        <f aca="false">D49/(D52/60)</f>
        <v>26.6666666666667</v>
      </c>
    </row>
    <row r="54" customFormat="false" ht="21.75" hidden="false" customHeight="true" outlineLevel="0" collapsed="false">
      <c r="B54" s="129" t="s">
        <v>639</v>
      </c>
      <c r="C54" s="213" t="n">
        <f aca="false">C53/D53-1</f>
        <v>0.365076846518144</v>
      </c>
      <c r="G54" s="131" t="s">
        <v>640</v>
      </c>
    </row>
    <row r="56" customFormat="false" ht="15" hidden="false" customHeight="true" outlineLevel="0" collapsed="false">
      <c r="A56" s="128" t="s">
        <v>641</v>
      </c>
      <c r="B56" s="25"/>
      <c r="C56" s="25"/>
      <c r="D56" s="25"/>
      <c r="E56" s="25"/>
      <c r="F56" s="25"/>
      <c r="G56" s="25"/>
    </row>
    <row r="57" customFormat="false" ht="21.75" hidden="false" customHeight="true" outlineLevel="0" collapsed="false">
      <c r="B57" s="129" t="s">
        <v>642</v>
      </c>
      <c r="C57" s="214" t="n">
        <v>2.2</v>
      </c>
      <c r="G57" s="131" t="s">
        <v>643</v>
      </c>
    </row>
    <row r="58" customFormat="false" ht="15" hidden="false" customHeight="true" outlineLevel="0" collapsed="false">
      <c r="B58" s="152" t="s">
        <v>644</v>
      </c>
      <c r="C58" s="208" t="n">
        <v>0.08</v>
      </c>
    </row>
    <row r="59" customFormat="false" ht="15" hidden="false" customHeight="true" outlineLevel="0" collapsed="false">
      <c r="B59" s="152" t="s">
        <v>645</v>
      </c>
      <c r="C59" s="140" t="n">
        <f aca="false">C57*(1-C58)</f>
        <v>2.024</v>
      </c>
    </row>
    <row r="60" customFormat="false" ht="15" hidden="false" customHeight="true" outlineLevel="0" collapsed="false">
      <c r="B60" s="152" t="s">
        <v>646</v>
      </c>
      <c r="C60" s="140" t="n">
        <f aca="false">C57*(1+C58)</f>
        <v>2.376</v>
      </c>
    </row>
    <row r="61" customFormat="false" ht="15" hidden="false" customHeight="true" outlineLevel="0" collapsed="false">
      <c r="B61" s="152" t="s">
        <v>647</v>
      </c>
      <c r="C61" s="208" t="n">
        <v>0.4</v>
      </c>
      <c r="G61" s="1" t="s">
        <v>648</v>
      </c>
    </row>
    <row r="62" customFormat="false" ht="15" hidden="false" customHeight="true" outlineLevel="0" collapsed="false">
      <c r="B62" s="152" t="s">
        <v>649</v>
      </c>
      <c r="C62" s="140" t="n">
        <f aca="false">C18*C13*(1+SUP_COSTOS!$C$15)^2</f>
        <v>4.002075</v>
      </c>
    </row>
    <row r="63" customFormat="false" ht="15" hidden="false" customHeight="true" outlineLevel="0" collapsed="false">
      <c r="B63" s="152" t="s">
        <v>650</v>
      </c>
      <c r="C63" s="138" t="n">
        <f aca="false">C62/SUP_PRECIOS!$E$8</f>
        <v>0.390118235294118</v>
      </c>
    </row>
    <row r="64" customFormat="false" ht="15" hidden="false" customHeight="true" outlineLevel="0" collapsed="false">
      <c r="B64" s="129" t="s">
        <v>651</v>
      </c>
      <c r="C64" s="204" t="n">
        <f aca="false">C61*SUP_PRECIOS!$E$8/((1+SUP_COSTOS!$C$15)^2*C18)</f>
        <v>2.25572639365743</v>
      </c>
    </row>
    <row r="65" customFormat="false" ht="21.75" hidden="false" customHeight="true" outlineLevel="0" collapsed="false">
      <c r="B65" s="152" t="s">
        <v>652</v>
      </c>
      <c r="C65" s="166" t="str">
        <f aca="false">IF(C13&gt;C60,"⚠ SOBRE EL TECHO",IF(C13&lt;C59,"✓ BAJO EL PISO","✓ EN BANDA"))</f>
        <v>✓ EN BANDA</v>
      </c>
      <c r="G65" s="131" t="s">
        <v>653</v>
      </c>
    </row>
    <row r="66" customFormat="false" ht="15" hidden="false" customHeight="true" outlineLevel="0" collapsed="false">
      <c r="B66" s="152" t="s">
        <v>654</v>
      </c>
      <c r="C66" s="166" t="str">
        <f aca="false">IF(C63&gt;C61,"⚠ SOBRE LA META","✓ DENTRO DE LA META")</f>
        <v>✓ DENTRO DE LA META</v>
      </c>
    </row>
    <row r="67" customFormat="false" ht="15" hidden="false" customHeight="true" outlineLevel="0" collapsed="false">
      <c r="B67" s="152" t="s">
        <v>655</v>
      </c>
      <c r="C67" s="140" t="n">
        <f aca="false">C60-C13</f>
        <v>0.176</v>
      </c>
    </row>
    <row r="69" customFormat="false" ht="15" hidden="false" customHeight="true" outlineLevel="0" collapsed="false">
      <c r="A69" s="128" t="s">
        <v>656</v>
      </c>
      <c r="B69" s="25"/>
      <c r="C69" s="25"/>
      <c r="D69" s="25"/>
      <c r="E69" s="25"/>
      <c r="F69" s="25"/>
      <c r="G69" s="25"/>
    </row>
    <row r="70" customFormat="false" ht="34.5" hidden="false" customHeight="true" outlineLevel="0" collapsed="false">
      <c r="B70" s="152" t="s">
        <v>657</v>
      </c>
    </row>
    <row r="71" customFormat="false" ht="23.25" hidden="false" customHeight="true" outlineLevel="0" collapsed="false">
      <c r="B71" s="152" t="s">
        <v>658</v>
      </c>
    </row>
    <row r="72" customFormat="false" ht="34.5" hidden="false" customHeight="true" outlineLevel="0" collapsed="false">
      <c r="B72" s="152" t="s">
        <v>659</v>
      </c>
    </row>
    <row r="73" customFormat="false" ht="23.25" hidden="false" customHeight="true" outlineLevel="0" collapsed="false">
      <c r="B73" s="152" t="s">
        <v>660</v>
      </c>
    </row>
    <row r="74" customFormat="false" ht="23.25" hidden="false" customHeight="true" outlineLevel="0" collapsed="false">
      <c r="B74" s="152" t="s">
        <v>661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H73"/>
  <sheetViews>
    <sheetView showFormulas="false" showGridLines="false" showRowColHeaders="true" showZeros="true" rightToLeft="false" tabSelected="false" showOutlineSymbols="true" defaultGridColor="true" view="normal" topLeftCell="A40" colorId="64" zoomScale="140" zoomScaleNormal="140" zoomScalePageLayoutView="100" workbookViewId="0">
      <selection pane="topLeft" activeCell="A40" activeCellId="0" sqref="A40"/>
    </sheetView>
  </sheetViews>
  <sheetFormatPr defaultColWidth="8.66796875" defaultRowHeight="15" zeroHeight="false" outlineLevelRow="0" outlineLevelCol="0"/>
  <cols>
    <col collapsed="false" customWidth="true" hidden="false" outlineLevel="0" max="1" min="1" style="1" width="9"/>
    <col collapsed="false" customWidth="true" hidden="false" outlineLevel="0" max="2" min="2" style="1" width="16"/>
    <col collapsed="false" customWidth="true" hidden="false" outlineLevel="0" max="3" min="3" style="1" width="46"/>
    <col collapsed="false" customWidth="true" hidden="false" outlineLevel="0" max="4" min="4" style="1" width="62"/>
    <col collapsed="false" customWidth="true" hidden="false" outlineLevel="0" max="7" min="5" style="1" width="16"/>
    <col collapsed="false" customWidth="true" hidden="false" outlineLevel="0" max="8" min="8" style="1" width="60"/>
  </cols>
  <sheetData>
    <row r="1" customFormat="false" ht="18.75" hidden="false" customHeight="true" outlineLevel="0" collapsed="false">
      <c r="A1" s="215" t="s">
        <v>662</v>
      </c>
      <c r="B1" s="126"/>
      <c r="C1" s="126"/>
      <c r="D1" s="126"/>
      <c r="E1" s="126"/>
      <c r="F1" s="126"/>
      <c r="G1" s="126"/>
      <c r="H1" s="126"/>
    </row>
    <row r="2" customFormat="false" ht="15" hidden="false" customHeight="true" outlineLevel="0" collapsed="false">
      <c r="A2" s="175" t="s">
        <v>663</v>
      </c>
    </row>
    <row r="3" customFormat="false" ht="15" hidden="false" customHeight="true" outlineLevel="0" collapsed="false">
      <c r="A3" s="216" t="s">
        <v>495</v>
      </c>
    </row>
    <row r="5" customFormat="false" ht="15" hidden="false" customHeight="true" outlineLevel="0" collapsed="false">
      <c r="A5" s="217" t="s">
        <v>664</v>
      </c>
      <c r="B5" s="218"/>
      <c r="C5" s="218"/>
      <c r="D5" s="218"/>
      <c r="E5" s="218"/>
      <c r="F5" s="218"/>
      <c r="G5" s="218"/>
      <c r="H5" s="218"/>
    </row>
    <row r="6" customFormat="false" ht="15" hidden="false" customHeight="true" outlineLevel="0" collapsed="false">
      <c r="A6" s="219" t="s">
        <v>665</v>
      </c>
      <c r="B6" s="219" t="s">
        <v>666</v>
      </c>
      <c r="C6" s="219" t="s">
        <v>667</v>
      </c>
      <c r="D6" s="219" t="s">
        <v>668</v>
      </c>
      <c r="E6" s="219"/>
      <c r="F6" s="219"/>
      <c r="G6" s="219"/>
      <c r="H6" s="219" t="s">
        <v>669</v>
      </c>
    </row>
    <row r="7" customFormat="false" ht="15" hidden="false" customHeight="true" outlineLevel="0" collapsed="false">
      <c r="A7" s="220" t="s">
        <v>670</v>
      </c>
      <c r="B7" s="220" t="s">
        <v>671</v>
      </c>
      <c r="C7" s="220" t="s">
        <v>672</v>
      </c>
      <c r="D7" s="221" t="s">
        <v>673</v>
      </c>
      <c r="H7" s="179" t="s">
        <v>674</v>
      </c>
    </row>
    <row r="8" customFormat="false" ht="15" hidden="false" customHeight="true" outlineLevel="0" collapsed="false">
      <c r="A8" s="220" t="s">
        <v>675</v>
      </c>
      <c r="B8" s="220" t="s">
        <v>671</v>
      </c>
      <c r="C8" s="220" t="s">
        <v>676</v>
      </c>
      <c r="D8" s="221" t="s">
        <v>677</v>
      </c>
      <c r="H8" s="179" t="s">
        <v>678</v>
      </c>
    </row>
    <row r="9" customFormat="false" ht="15" hidden="false" customHeight="true" outlineLevel="0" collapsed="false">
      <c r="A9" s="220" t="s">
        <v>679</v>
      </c>
      <c r="B9" s="220" t="s">
        <v>671</v>
      </c>
      <c r="C9" s="220" t="s">
        <v>680</v>
      </c>
      <c r="D9" s="221" t="s">
        <v>681</v>
      </c>
      <c r="H9" s="179" t="s">
        <v>682</v>
      </c>
    </row>
    <row r="10" customFormat="false" ht="15" hidden="false" customHeight="true" outlineLevel="0" collapsed="false">
      <c r="A10" s="220" t="s">
        <v>683</v>
      </c>
      <c r="B10" s="220" t="s">
        <v>671</v>
      </c>
      <c r="C10" s="220" t="s">
        <v>684</v>
      </c>
      <c r="D10" s="221" t="s">
        <v>685</v>
      </c>
      <c r="H10" s="179" t="s">
        <v>686</v>
      </c>
    </row>
    <row r="11" customFormat="false" ht="15" hidden="false" customHeight="true" outlineLevel="0" collapsed="false">
      <c r="A11" s="220" t="s">
        <v>687</v>
      </c>
      <c r="B11" s="220" t="s">
        <v>671</v>
      </c>
      <c r="C11" s="220" t="s">
        <v>688</v>
      </c>
      <c r="D11" s="221" t="s">
        <v>689</v>
      </c>
      <c r="H11" s="179" t="s">
        <v>690</v>
      </c>
    </row>
    <row r="12" customFormat="false" ht="15" hidden="false" customHeight="true" outlineLevel="0" collapsed="false">
      <c r="A12" s="220" t="s">
        <v>691</v>
      </c>
      <c r="B12" s="220" t="s">
        <v>692</v>
      </c>
      <c r="C12" s="220" t="s">
        <v>693</v>
      </c>
      <c r="D12" s="221" t="s">
        <v>694</v>
      </c>
      <c r="H12" s="179" t="s">
        <v>695</v>
      </c>
    </row>
    <row r="13" customFormat="false" ht="15" hidden="false" customHeight="true" outlineLevel="0" collapsed="false">
      <c r="A13" s="220" t="s">
        <v>696</v>
      </c>
      <c r="B13" s="220" t="s">
        <v>692</v>
      </c>
      <c r="C13" s="220" t="s">
        <v>697</v>
      </c>
      <c r="D13" s="221" t="s">
        <v>698</v>
      </c>
      <c r="H13" s="179" t="s">
        <v>699</v>
      </c>
    </row>
    <row r="14" customFormat="false" ht="15" hidden="false" customHeight="true" outlineLevel="0" collapsed="false">
      <c r="A14" s="220" t="s">
        <v>700</v>
      </c>
      <c r="B14" s="220" t="s">
        <v>692</v>
      </c>
      <c r="C14" s="220" t="s">
        <v>701</v>
      </c>
      <c r="D14" s="221" t="s">
        <v>702</v>
      </c>
      <c r="H14" s="179" t="s">
        <v>703</v>
      </c>
    </row>
    <row r="15" customFormat="false" ht="15" hidden="false" customHeight="true" outlineLevel="0" collapsed="false">
      <c r="A15" s="220" t="s">
        <v>704</v>
      </c>
      <c r="B15" s="220" t="s">
        <v>692</v>
      </c>
      <c r="C15" s="220" t="s">
        <v>705</v>
      </c>
      <c r="D15" s="221" t="s">
        <v>706</v>
      </c>
      <c r="H15" s="179" t="s">
        <v>707</v>
      </c>
    </row>
    <row r="16" customFormat="false" ht="15" hidden="false" customHeight="true" outlineLevel="0" collapsed="false">
      <c r="A16" s="220" t="s">
        <v>708</v>
      </c>
      <c r="B16" s="222" t="s">
        <v>709</v>
      </c>
      <c r="C16" s="222" t="s">
        <v>710</v>
      </c>
      <c r="D16" s="221" t="s">
        <v>711</v>
      </c>
      <c r="H16" s="179" t="s">
        <v>712</v>
      </c>
    </row>
    <row r="17" customFormat="false" ht="15" hidden="false" customHeight="true" outlineLevel="0" collapsed="false">
      <c r="A17" s="220" t="s">
        <v>713</v>
      </c>
      <c r="B17" s="220" t="s">
        <v>714</v>
      </c>
      <c r="C17" s="220" t="s">
        <v>715</v>
      </c>
      <c r="D17" s="221" t="s">
        <v>716</v>
      </c>
      <c r="H17" s="179" t="s">
        <v>717</v>
      </c>
    </row>
    <row r="18" customFormat="false" ht="23.25" hidden="false" customHeight="true" outlineLevel="0" collapsed="false">
      <c r="A18" s="220" t="s">
        <v>718</v>
      </c>
      <c r="B18" s="220" t="s">
        <v>719</v>
      </c>
      <c r="C18" s="220" t="s">
        <v>720</v>
      </c>
      <c r="D18" s="221" t="s">
        <v>721</v>
      </c>
      <c r="H18" s="179" t="s">
        <v>722</v>
      </c>
    </row>
    <row r="19" customFormat="false" ht="15" hidden="false" customHeight="true" outlineLevel="0" collapsed="false">
      <c r="A19" s="220" t="s">
        <v>723</v>
      </c>
      <c r="B19" s="220" t="s">
        <v>724</v>
      </c>
      <c r="C19" s="220" t="s">
        <v>725</v>
      </c>
      <c r="D19" s="221" t="s">
        <v>726</v>
      </c>
      <c r="H19" s="179" t="s">
        <v>727</v>
      </c>
    </row>
    <row r="20" customFormat="false" ht="15" hidden="false" customHeight="true" outlineLevel="0" collapsed="false">
      <c r="A20" s="220" t="s">
        <v>728</v>
      </c>
      <c r="B20" s="220" t="s">
        <v>724</v>
      </c>
      <c r="C20" s="220" t="s">
        <v>729</v>
      </c>
      <c r="D20" s="221" t="s">
        <v>730</v>
      </c>
      <c r="H20" s="179" t="s">
        <v>731</v>
      </c>
    </row>
    <row r="21" customFormat="false" ht="15" hidden="false" customHeight="true" outlineLevel="0" collapsed="false">
      <c r="A21" s="220" t="s">
        <v>732</v>
      </c>
      <c r="B21" s="220" t="s">
        <v>733</v>
      </c>
      <c r="C21" s="220" t="s">
        <v>734</v>
      </c>
      <c r="D21" s="221" t="s">
        <v>735</v>
      </c>
      <c r="H21" s="179" t="s">
        <v>736</v>
      </c>
    </row>
    <row r="22" customFormat="false" ht="15" hidden="false" customHeight="true" outlineLevel="0" collapsed="false">
      <c r="A22" s="220" t="s">
        <v>737</v>
      </c>
      <c r="B22" s="220" t="s">
        <v>733</v>
      </c>
      <c r="C22" s="220" t="s">
        <v>738</v>
      </c>
      <c r="D22" s="221" t="s">
        <v>739</v>
      </c>
      <c r="H22" s="179" t="s">
        <v>740</v>
      </c>
    </row>
    <row r="23" customFormat="false" ht="15" hidden="false" customHeight="true" outlineLevel="0" collapsed="false">
      <c r="A23" s="220" t="s">
        <v>741</v>
      </c>
      <c r="B23" s="220" t="s">
        <v>733</v>
      </c>
      <c r="C23" s="220" t="s">
        <v>742</v>
      </c>
      <c r="D23" s="221" t="s">
        <v>743</v>
      </c>
      <c r="H23" s="179" t="s">
        <v>744</v>
      </c>
    </row>
    <row r="25" customFormat="false" ht="36" hidden="false" customHeight="true" outlineLevel="0" collapsed="false">
      <c r="C25" s="179" t="s">
        <v>745</v>
      </c>
    </row>
    <row r="27" customFormat="false" ht="15" hidden="false" customHeight="true" outlineLevel="0" collapsed="false">
      <c r="A27" s="217" t="s">
        <v>746</v>
      </c>
      <c r="B27" s="218"/>
      <c r="C27" s="218"/>
      <c r="D27" s="218"/>
      <c r="E27" s="218"/>
      <c r="F27" s="218"/>
      <c r="G27" s="218"/>
      <c r="H27" s="218"/>
    </row>
    <row r="28" customFormat="false" ht="15" hidden="false" customHeight="true" outlineLevel="0" collapsed="false">
      <c r="B28" s="182"/>
      <c r="C28" s="182" t="s">
        <v>747</v>
      </c>
      <c r="E28" s="223" t="n">
        <v>0.5</v>
      </c>
      <c r="H28" s="216" t="s">
        <v>748</v>
      </c>
    </row>
    <row r="29" customFormat="false" ht="15" hidden="false" customHeight="true" outlineLevel="0" collapsed="false">
      <c r="B29" s="182"/>
      <c r="C29" s="182" t="s">
        <v>749</v>
      </c>
      <c r="E29" s="224" t="n">
        <v>0.35</v>
      </c>
      <c r="H29" s="216" t="s">
        <v>750</v>
      </c>
    </row>
    <row r="30" customFormat="false" ht="15" hidden="false" customHeight="true" outlineLevel="0" collapsed="false">
      <c r="B30" s="182"/>
      <c r="C30" s="182" t="s">
        <v>751</v>
      </c>
      <c r="E30" s="224" t="n">
        <v>0.15</v>
      </c>
      <c r="H30" s="216" t="s">
        <v>752</v>
      </c>
    </row>
    <row r="31" customFormat="false" ht="15" hidden="false" customHeight="true" outlineLevel="0" collapsed="false">
      <c r="B31" s="182"/>
      <c r="C31" s="182" t="s">
        <v>753</v>
      </c>
      <c r="E31" s="225" t="n">
        <f aca="false">SUM(E28:E30)</f>
        <v>1</v>
      </c>
      <c r="H31" s="216"/>
    </row>
    <row r="32" customFormat="false" ht="15" hidden="false" customHeight="true" outlineLevel="0" collapsed="false">
      <c r="B32" s="182"/>
      <c r="C32" s="182" t="s">
        <v>754</v>
      </c>
      <c r="E32" s="224" t="n">
        <v>0.45</v>
      </c>
      <c r="H32" s="216" t="s">
        <v>755</v>
      </c>
    </row>
    <row r="33" customFormat="false" ht="15" hidden="false" customHeight="true" outlineLevel="0" collapsed="false">
      <c r="B33" s="182"/>
      <c r="C33" s="182" t="s">
        <v>756</v>
      </c>
      <c r="E33" s="224" t="n">
        <v>0.35</v>
      </c>
      <c r="H33" s="216"/>
    </row>
    <row r="34" customFormat="false" ht="15" hidden="false" customHeight="true" outlineLevel="0" collapsed="false">
      <c r="B34" s="182"/>
      <c r="C34" s="182" t="s">
        <v>757</v>
      </c>
      <c r="E34" s="224" t="n">
        <v>0.2</v>
      </c>
      <c r="H34" s="216" t="s">
        <v>758</v>
      </c>
    </row>
    <row r="35" customFormat="false" ht="15" hidden="false" customHeight="true" outlineLevel="0" collapsed="false">
      <c r="B35" s="182"/>
      <c r="C35" s="182" t="s">
        <v>759</v>
      </c>
      <c r="E35" s="225" t="n">
        <f aca="false">SUM(E32:E34)</f>
        <v>1</v>
      </c>
      <c r="H35" s="216"/>
    </row>
    <row r="36" customFormat="false" ht="15" hidden="false" customHeight="true" outlineLevel="0" collapsed="false">
      <c r="B36" s="182"/>
      <c r="C36" s="182" t="s">
        <v>760</v>
      </c>
      <c r="E36" s="223" t="n">
        <v>0.35</v>
      </c>
      <c r="H36" s="216" t="s">
        <v>761</v>
      </c>
    </row>
    <row r="37" customFormat="false" ht="15" hidden="false" customHeight="true" outlineLevel="0" collapsed="false">
      <c r="B37" s="182"/>
      <c r="C37" s="182" t="s">
        <v>762</v>
      </c>
      <c r="E37" s="224" t="n">
        <v>0.12</v>
      </c>
      <c r="H37" s="216" t="s">
        <v>763</v>
      </c>
    </row>
    <row r="38" customFormat="false" ht="15" hidden="false" customHeight="true" outlineLevel="0" collapsed="false">
      <c r="B38" s="182"/>
      <c r="C38" s="182" t="s">
        <v>764</v>
      </c>
      <c r="E38" s="223" t="n">
        <v>0.2</v>
      </c>
      <c r="H38" s="216" t="s">
        <v>765</v>
      </c>
    </row>
    <row r="39" customFormat="false" ht="15" hidden="false" customHeight="true" outlineLevel="0" collapsed="false">
      <c r="B39" s="182"/>
      <c r="C39" s="182" t="s">
        <v>766</v>
      </c>
      <c r="E39" s="224" t="n">
        <v>0</v>
      </c>
      <c r="H39" s="216"/>
    </row>
    <row r="40" customFormat="false" ht="15" hidden="false" customHeight="true" outlineLevel="0" collapsed="false">
      <c r="B40" s="182"/>
      <c r="C40" s="182" t="s">
        <v>767</v>
      </c>
      <c r="E40" s="226" t="n">
        <v>300</v>
      </c>
      <c r="H40" s="216" t="s">
        <v>768</v>
      </c>
    </row>
    <row r="41" customFormat="false" ht="15" hidden="false" customHeight="true" outlineLevel="0" collapsed="false">
      <c r="B41" s="182"/>
      <c r="C41" s="182" t="s">
        <v>769</v>
      </c>
      <c r="E41" s="226" t="n">
        <v>120</v>
      </c>
      <c r="H41" s="216"/>
    </row>
    <row r="43" customFormat="false" ht="15" hidden="false" customHeight="true" outlineLevel="0" collapsed="false">
      <c r="A43" s="217" t="s">
        <v>770</v>
      </c>
      <c r="B43" s="218"/>
      <c r="C43" s="218"/>
      <c r="D43" s="218"/>
      <c r="E43" s="218"/>
      <c r="F43" s="218"/>
      <c r="G43" s="218"/>
      <c r="H43" s="218"/>
    </row>
    <row r="44" customFormat="false" ht="15" hidden="false" customHeight="true" outlineLevel="0" collapsed="false">
      <c r="C44" s="182" t="s">
        <v>771</v>
      </c>
      <c r="E44" s="227" t="n">
        <f aca="false">SUP_VOLUMEN!$D$23</f>
        <v>4200</v>
      </c>
    </row>
    <row r="45" customFormat="false" ht="15" hidden="false" customHeight="true" outlineLevel="0" collapsed="false">
      <c r="C45" s="220" t="s">
        <v>772</v>
      </c>
      <c r="E45" s="228" t="n">
        <f aca="false">$E$44*SUP_VOLUMEN!$C$35</f>
        <v>2100</v>
      </c>
      <c r="H45" s="216" t="s">
        <v>773</v>
      </c>
    </row>
    <row r="46" customFormat="false" ht="15" hidden="false" customHeight="true" outlineLevel="0" collapsed="false">
      <c r="C46" s="220" t="s">
        <v>774</v>
      </c>
      <c r="E46" s="228" t="n">
        <f aca="false">$E$44*SUP_VOLUMEN!$C$36</f>
        <v>1260</v>
      </c>
    </row>
    <row r="47" customFormat="false" ht="15" hidden="false" customHeight="true" outlineLevel="0" collapsed="false">
      <c r="C47" s="220" t="s">
        <v>775</v>
      </c>
      <c r="E47" s="228" t="n">
        <f aca="false">$E$44*SUP_VOLUMEN!$C$37</f>
        <v>252</v>
      </c>
    </row>
    <row r="48" customFormat="false" ht="15" hidden="false" customHeight="true" outlineLevel="0" collapsed="false">
      <c r="C48" s="220" t="s">
        <v>776</v>
      </c>
      <c r="E48" s="228" t="n">
        <f aca="false">$E$44*SUP_VOLUMEN!$C$38</f>
        <v>336</v>
      </c>
    </row>
    <row r="49" customFormat="false" ht="15" hidden="false" customHeight="true" outlineLevel="0" collapsed="false">
      <c r="C49" s="220" t="s">
        <v>777</v>
      </c>
      <c r="E49" s="228" t="n">
        <f aca="false">$E$44*SUP_VOLUMEN!$C$39</f>
        <v>252</v>
      </c>
    </row>
    <row r="51" customFormat="false" ht="15" hidden="false" customHeight="true" outlineLevel="0" collapsed="false">
      <c r="A51" s="217" t="s">
        <v>778</v>
      </c>
      <c r="B51" s="218"/>
      <c r="C51" s="218"/>
      <c r="D51" s="218"/>
      <c r="E51" s="218"/>
      <c r="F51" s="218"/>
      <c r="G51" s="218"/>
      <c r="H51" s="218"/>
    </row>
    <row r="52" customFormat="false" ht="15" hidden="false" customHeight="true" outlineLevel="0" collapsed="false">
      <c r="A52" s="219" t="s">
        <v>665</v>
      </c>
      <c r="B52" s="219"/>
      <c r="C52" s="219" t="s">
        <v>667</v>
      </c>
      <c r="D52" s="219"/>
      <c r="E52" s="219" t="s">
        <v>162</v>
      </c>
      <c r="F52" s="219" t="s">
        <v>163</v>
      </c>
      <c r="G52" s="219" t="s">
        <v>164</v>
      </c>
      <c r="H52" s="219" t="s">
        <v>779</v>
      </c>
    </row>
    <row r="53" customFormat="false" ht="15" hidden="false" customHeight="true" outlineLevel="0" collapsed="false">
      <c r="A53" s="220" t="s">
        <v>670</v>
      </c>
      <c r="C53" s="220" t="s">
        <v>672</v>
      </c>
      <c r="E53" s="228" t="n">
        <f aca="false">$E$45*$E$28*(1-$E$36)</f>
        <v>682.5</v>
      </c>
      <c r="F53" s="227" t="n">
        <f aca="false">E53*(1+SUP_VOLUMEN!$C$26)</f>
        <v>887.25</v>
      </c>
      <c r="G53" s="227" t="n">
        <f aca="false">E53*(1+SUP_VOLUMEN!$C$27)</f>
        <v>1365</v>
      </c>
      <c r="H53" s="216" t="s">
        <v>780</v>
      </c>
    </row>
    <row r="54" customFormat="false" ht="15" hidden="false" customHeight="true" outlineLevel="0" collapsed="false">
      <c r="A54" s="220" t="s">
        <v>675</v>
      </c>
      <c r="C54" s="220" t="s">
        <v>676</v>
      </c>
      <c r="E54" s="228" t="n">
        <f aca="false">$E$45*$E$28*$E$36</f>
        <v>367.5</v>
      </c>
      <c r="F54" s="227" t="n">
        <f aca="false">E54*(1+SUP_VOLUMEN!$C$26)</f>
        <v>477.75</v>
      </c>
      <c r="G54" s="227" t="n">
        <f aca="false">E54*(1+SUP_VOLUMEN!$C$27)</f>
        <v>735</v>
      </c>
      <c r="H54" s="216" t="s">
        <v>781</v>
      </c>
    </row>
    <row r="55" customFormat="false" ht="15" hidden="false" customHeight="true" outlineLevel="0" collapsed="false">
      <c r="A55" s="220" t="s">
        <v>679</v>
      </c>
      <c r="C55" s="220" t="s">
        <v>680</v>
      </c>
      <c r="E55" s="228" t="n">
        <f aca="false">$E$45*$E$29*2*(1-$E$36)</f>
        <v>955.5</v>
      </c>
      <c r="F55" s="227" t="n">
        <f aca="false">E55*(1+SUP_VOLUMEN!$C$26)</f>
        <v>1242.15</v>
      </c>
      <c r="G55" s="227" t="n">
        <f aca="false">E55*(1+SUP_VOLUMEN!$C$27)</f>
        <v>1911</v>
      </c>
      <c r="H55" s="216" t="s">
        <v>782</v>
      </c>
    </row>
    <row r="56" customFormat="false" ht="15" hidden="false" customHeight="true" outlineLevel="0" collapsed="false">
      <c r="A56" s="220" t="s">
        <v>683</v>
      </c>
      <c r="C56" s="220" t="s">
        <v>684</v>
      </c>
      <c r="E56" s="228" t="n">
        <f aca="false">$E$45*$E$29*2*$E$36</f>
        <v>514.5</v>
      </c>
      <c r="F56" s="227" t="n">
        <f aca="false">E56*(1+SUP_VOLUMEN!$C$26)</f>
        <v>668.85</v>
      </c>
      <c r="G56" s="227" t="n">
        <f aca="false">E56*(1+SUP_VOLUMEN!$C$27)</f>
        <v>1029</v>
      </c>
      <c r="H56" s="216" t="s">
        <v>783</v>
      </c>
    </row>
    <row r="57" customFormat="false" ht="15" hidden="false" customHeight="true" outlineLevel="0" collapsed="false">
      <c r="A57" s="220" t="s">
        <v>687</v>
      </c>
      <c r="C57" s="220" t="s">
        <v>688</v>
      </c>
      <c r="E57" s="228" t="n">
        <f aca="false">$E$45*$E$30*4</f>
        <v>1260</v>
      </c>
      <c r="F57" s="227" t="n">
        <f aca="false">E57*(1+SUP_VOLUMEN!$C$26)</f>
        <v>1638</v>
      </c>
      <c r="G57" s="227" t="n">
        <f aca="false">E57*(1+SUP_VOLUMEN!$C$27)</f>
        <v>2520</v>
      </c>
      <c r="H57" s="216" t="s">
        <v>784</v>
      </c>
    </row>
    <row r="58" customFormat="false" ht="15" hidden="false" customHeight="true" outlineLevel="0" collapsed="false">
      <c r="A58" s="220" t="s">
        <v>691</v>
      </c>
      <c r="C58" s="220" t="s">
        <v>693</v>
      </c>
      <c r="E58" s="228" t="n">
        <f aca="false">$E$46*SUP_COSTOS!$C$9*$E$32/8*(1-$E$36)</f>
        <v>414.61875</v>
      </c>
      <c r="F58" s="227" t="n">
        <f aca="false">E58*(1+SUP_VOLUMEN!$C$26)</f>
        <v>539.004375</v>
      </c>
      <c r="G58" s="227" t="n">
        <f aca="false">E58*(1+SUP_VOLUMEN!$C$27)</f>
        <v>829.2375</v>
      </c>
      <c r="H58" s="216" t="s">
        <v>785</v>
      </c>
    </row>
    <row r="59" customFormat="false" ht="15" hidden="false" customHeight="true" outlineLevel="0" collapsed="false">
      <c r="A59" s="220" t="s">
        <v>696</v>
      </c>
      <c r="C59" s="220" t="s">
        <v>697</v>
      </c>
      <c r="E59" s="228" t="n">
        <f aca="false">$E$46*SUP_COSTOS!$C$9*$E$32/8*$E$36</f>
        <v>223.25625</v>
      </c>
      <c r="F59" s="227" t="n">
        <f aca="false">E59*(1+SUP_VOLUMEN!$C$26)</f>
        <v>290.233125</v>
      </c>
      <c r="G59" s="227" t="n">
        <f aca="false">E59*(1+SUP_VOLUMEN!$C$27)</f>
        <v>446.5125</v>
      </c>
      <c r="H59" s="216" t="s">
        <v>786</v>
      </c>
    </row>
    <row r="60" customFormat="false" ht="15" hidden="false" customHeight="true" outlineLevel="0" collapsed="false">
      <c r="A60" s="220" t="s">
        <v>700</v>
      </c>
      <c r="C60" s="220" t="s">
        <v>701</v>
      </c>
      <c r="E60" s="228" t="n">
        <f aca="false">$E$46*SUP_COSTOS!$C$9*$E$33/4</f>
        <v>992.25</v>
      </c>
      <c r="F60" s="227" t="n">
        <f aca="false">E60*(1+SUP_VOLUMEN!$C$26)</f>
        <v>1289.925</v>
      </c>
      <c r="G60" s="227" t="n">
        <f aca="false">E60*(1+SUP_VOLUMEN!$C$27)</f>
        <v>1984.5</v>
      </c>
      <c r="H60" s="216" t="s">
        <v>787</v>
      </c>
    </row>
    <row r="61" customFormat="false" ht="15" hidden="false" customHeight="true" outlineLevel="0" collapsed="false">
      <c r="A61" s="220" t="s">
        <v>704</v>
      </c>
      <c r="C61" s="220" t="s">
        <v>705</v>
      </c>
      <c r="E61" s="228" t="n">
        <f aca="false">$E$46*SUP_COSTOS!$C$9*$E$34/2</f>
        <v>1134</v>
      </c>
      <c r="F61" s="227" t="n">
        <f aca="false">E61*(1+SUP_VOLUMEN!$C$26)</f>
        <v>1474.2</v>
      </c>
      <c r="G61" s="227" t="n">
        <f aca="false">E61*(1+SUP_VOLUMEN!$C$27)</f>
        <v>2268</v>
      </c>
      <c r="H61" s="216" t="s">
        <v>788</v>
      </c>
    </row>
    <row r="62" customFormat="false" ht="15" hidden="false" customHeight="true" outlineLevel="0" collapsed="false">
      <c r="A62" s="220" t="s">
        <v>708</v>
      </c>
      <c r="C62" s="220" t="s">
        <v>710</v>
      </c>
      <c r="E62" s="228" t="n">
        <f aca="false">$E$47*SUP_COSTOS!$C$10</f>
        <v>2016</v>
      </c>
      <c r="F62" s="227" t="n">
        <f aca="false">E62*(1+SUP_VOLUMEN!$C$26)</f>
        <v>2620.8</v>
      </c>
      <c r="G62" s="227" t="n">
        <f aca="false">E62*(1+SUP_VOLUMEN!$C$27)</f>
        <v>4032</v>
      </c>
      <c r="H62" s="216" t="s">
        <v>789</v>
      </c>
    </row>
    <row r="63" customFormat="false" ht="15" hidden="false" customHeight="true" outlineLevel="0" collapsed="false">
      <c r="A63" s="220" t="s">
        <v>713</v>
      </c>
      <c r="C63" s="220" t="s">
        <v>715</v>
      </c>
      <c r="E63" s="228" t="n">
        <f aca="false">$E$48*SUP_COSTOS!$C$6/SUP_COSTOS!$C$12</f>
        <v>1008</v>
      </c>
      <c r="F63" s="227" t="n">
        <f aca="false">E63*(1+SUP_VOLUMEN!$C$26)</f>
        <v>1310.4</v>
      </c>
      <c r="G63" s="227" t="n">
        <f aca="false">E63*(1+SUP_VOLUMEN!$C$27)</f>
        <v>2016</v>
      </c>
      <c r="H63" s="216" t="str">
        <f aca="false">"Pollos crudo × "&amp;TEXT(SUP_COSTOS!$C$6,"0.00")&amp;" kg ÷ "&amp;TEXT(SUP_COSTOS!$C$12,"0.00")&amp;" kg por bandeja"</f>
        <v>Pollos crudo × 1.65 kg ÷ 0.55 kg por bandeja</v>
      </c>
    </row>
    <row r="64" customFormat="false" ht="15" hidden="false" customHeight="true" outlineLevel="0" collapsed="false">
      <c r="A64" s="220" t="s">
        <v>718</v>
      </c>
      <c r="C64" s="220" t="s">
        <v>720</v>
      </c>
      <c r="E64" s="228" t="n">
        <f aca="false">$E$49/(1+8/9)</f>
        <v>133.411764705882</v>
      </c>
      <c r="F64" s="227" t="n">
        <f aca="false">E64*(1+SUP_VOLUMEN!$C$26)</f>
        <v>173.435294117647</v>
      </c>
      <c r="G64" s="227" t="n">
        <f aca="false">E64*(1+SUP_VOLUMEN!$C$27)</f>
        <v>266.823529411765</v>
      </c>
      <c r="H64" s="216" t="s">
        <v>790</v>
      </c>
    </row>
    <row r="65" customFormat="false" ht="15" hidden="false" customHeight="true" outlineLevel="0" collapsed="false">
      <c r="A65" s="220" t="s">
        <v>723</v>
      </c>
      <c r="C65" s="220" t="s">
        <v>725</v>
      </c>
      <c r="E65" s="228" t="n">
        <f aca="false">$E$40</f>
        <v>300</v>
      </c>
      <c r="F65" s="227" t="n">
        <f aca="false">E65*(1+SUP_VOLUMEN!$C$26)</f>
        <v>390</v>
      </c>
      <c r="G65" s="227" t="n">
        <f aca="false">E65*(1+SUP_VOLUMEN!$C$27)</f>
        <v>600</v>
      </c>
      <c r="H65" s="216" t="s">
        <v>791</v>
      </c>
    </row>
    <row r="66" customFormat="false" ht="15" hidden="false" customHeight="true" outlineLevel="0" collapsed="false">
      <c r="A66" s="220" t="s">
        <v>728</v>
      </c>
      <c r="C66" s="220" t="s">
        <v>729</v>
      </c>
      <c r="E66" s="228" t="n">
        <f aca="false">$E$41</f>
        <v>120</v>
      </c>
      <c r="F66" s="227" t="n">
        <f aca="false">E66*(1+SUP_VOLUMEN!$C$26)</f>
        <v>156</v>
      </c>
      <c r="G66" s="227" t="n">
        <f aca="false">E66*(1+SUP_VOLUMEN!$C$27)</f>
        <v>240</v>
      </c>
      <c r="H66" s="216" t="s">
        <v>791</v>
      </c>
    </row>
    <row r="67" customFormat="false" ht="15" hidden="false" customHeight="true" outlineLevel="0" collapsed="false">
      <c r="A67" s="220" t="s">
        <v>732</v>
      </c>
      <c r="C67" s="220" t="s">
        <v>734</v>
      </c>
      <c r="E67" s="228" t="n">
        <f aca="false">$E$71*$E$37</f>
        <v>1214.58441176471</v>
      </c>
      <c r="F67" s="227" t="n">
        <f aca="false">E67*(1+SUP_VOLUMEN!$C$26)</f>
        <v>1578.95973529412</v>
      </c>
      <c r="G67" s="227" t="n">
        <f aca="false">E67*(1+SUP_VOLUMEN!$C$27)</f>
        <v>2429.16882352941</v>
      </c>
      <c r="H67" s="216" t="s">
        <v>792</v>
      </c>
    </row>
    <row r="68" customFormat="false" ht="15" hidden="false" customHeight="true" outlineLevel="0" collapsed="false">
      <c r="A68" s="220" t="s">
        <v>737</v>
      </c>
      <c r="C68" s="220" t="s">
        <v>738</v>
      </c>
      <c r="E68" s="228" t="n">
        <f aca="false">$E$71*$E$38</f>
        <v>2024.30735294118</v>
      </c>
      <c r="F68" s="227" t="n">
        <f aca="false">E68*(1+SUP_VOLUMEN!$C$26)</f>
        <v>2631.59955882353</v>
      </c>
      <c r="G68" s="227" t="n">
        <f aca="false">E68*(1+SUP_VOLUMEN!$C$27)</f>
        <v>4048.61470588235</v>
      </c>
      <c r="H68" s="216" t="s">
        <v>793</v>
      </c>
    </row>
    <row r="69" customFormat="false" ht="15" hidden="false" customHeight="true" outlineLevel="0" collapsed="false">
      <c r="A69" s="220" t="s">
        <v>741</v>
      </c>
      <c r="C69" s="220" t="s">
        <v>742</v>
      </c>
      <c r="E69" s="228" t="n">
        <f aca="false">$E$71*$E$39</f>
        <v>0</v>
      </c>
      <c r="F69" s="227" t="n">
        <f aca="false">E69*(1+SUP_VOLUMEN!$C$26)</f>
        <v>0</v>
      </c>
      <c r="G69" s="227" t="n">
        <f aca="false">E69*(1+SUP_VOLUMEN!$C$27)</f>
        <v>0</v>
      </c>
      <c r="H69" s="216" t="s">
        <v>794</v>
      </c>
    </row>
    <row r="71" customFormat="false" ht="15" hidden="false" customHeight="true" outlineLevel="0" collapsed="false">
      <c r="C71" s="178" t="s">
        <v>795</v>
      </c>
      <c r="E71" s="229" t="n">
        <f aca="false">SUM(E53:E66)</f>
        <v>10121.5367647059</v>
      </c>
      <c r="H71" s="216" t="s">
        <v>796</v>
      </c>
    </row>
    <row r="73" customFormat="false" ht="36" hidden="false" customHeight="true" outlineLevel="0" collapsed="false">
      <c r="C73" s="179" t="s">
        <v>797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M30"/>
  <sheetViews>
    <sheetView showFormulas="false" showGridLines="false" showRowColHeaders="true" showZeros="true" rightToLeft="false" tabSelected="false" showOutlineSymbols="true" defaultGridColor="true" view="normal" topLeftCell="A1" colorId="64" zoomScale="130" zoomScaleNormal="130" zoomScalePageLayoutView="100" workbookViewId="0">
      <selection pane="topLeft" activeCell="D19" activeCellId="0" sqref="D19"/>
    </sheetView>
  </sheetViews>
  <sheetFormatPr defaultColWidth="8.66796875" defaultRowHeight="15" zeroHeight="false" outlineLevelRow="0" outlineLevelCol="0"/>
  <cols>
    <col collapsed="false" customWidth="true" hidden="false" outlineLevel="0" max="1" min="1" style="1" width="9"/>
    <col collapsed="false" customWidth="true" hidden="false" outlineLevel="0" max="2" min="2" style="1" width="58"/>
    <col collapsed="false" customWidth="true" hidden="false" outlineLevel="0" max="3" min="3" style="1" width="46"/>
    <col collapsed="false" customWidth="true" hidden="false" outlineLevel="0" max="5" min="4" style="1" width="13"/>
    <col collapsed="false" customWidth="true" hidden="false" outlineLevel="0" max="7" min="6" style="1" width="12"/>
    <col collapsed="false" customWidth="true" hidden="false" outlineLevel="0" max="8" min="8" style="1" width="11"/>
    <col collapsed="false" customWidth="true" hidden="false" outlineLevel="0" max="9" min="9" style="1" width="13"/>
    <col collapsed="false" customWidth="true" hidden="false" outlineLevel="0" max="10" min="10" style="1" width="15"/>
    <col collapsed="false" customWidth="true" hidden="false" outlineLevel="0" max="11" min="11" style="1" width="16"/>
    <col collapsed="false" customWidth="true" hidden="false" outlineLevel="0" max="13" min="12" style="1" width="12"/>
  </cols>
  <sheetData>
    <row r="1" customFormat="false" ht="18.75" hidden="false" customHeight="true" outlineLevel="0" collapsed="false">
      <c r="A1" s="215" t="s">
        <v>798</v>
      </c>
      <c r="B1" s="126"/>
      <c r="C1" s="126"/>
      <c r="D1" s="126"/>
      <c r="E1" s="126"/>
      <c r="F1" s="126"/>
      <c r="G1" s="126"/>
      <c r="H1" s="126"/>
      <c r="I1" s="126"/>
      <c r="J1" s="126"/>
      <c r="K1" s="126"/>
      <c r="L1" s="126"/>
      <c r="M1" s="126"/>
    </row>
    <row r="2" customFormat="false" ht="15" hidden="false" customHeight="true" outlineLevel="0" collapsed="false">
      <c r="A2" s="175" t="s">
        <v>799</v>
      </c>
    </row>
    <row r="3" customFormat="false" ht="15" hidden="false" customHeight="true" outlineLevel="0" collapsed="false">
      <c r="A3" s="216" t="s">
        <v>495</v>
      </c>
    </row>
    <row r="4" customFormat="false" ht="15" hidden="false" customHeight="true" outlineLevel="0" collapsed="false">
      <c r="B4" s="182" t="s">
        <v>800</v>
      </c>
      <c r="C4" s="223" t="n">
        <v>0.16</v>
      </c>
      <c r="E4" s="216" t="s">
        <v>801</v>
      </c>
    </row>
    <row r="5" customFormat="false" ht="15" hidden="false" customHeight="true" outlineLevel="0" collapsed="false">
      <c r="B5" s="182" t="s">
        <v>802</v>
      </c>
      <c r="C5" s="216" t="s">
        <v>803</v>
      </c>
    </row>
    <row r="7" customFormat="false" ht="30" hidden="false" customHeight="true" outlineLevel="0" collapsed="false">
      <c r="A7" s="219" t="s">
        <v>665</v>
      </c>
      <c r="B7" s="219" t="s">
        <v>667</v>
      </c>
      <c r="C7" s="219" t="s">
        <v>804</v>
      </c>
      <c r="D7" s="219" t="s">
        <v>805</v>
      </c>
      <c r="E7" s="219" t="s">
        <v>806</v>
      </c>
      <c r="F7" s="219" t="s">
        <v>807</v>
      </c>
      <c r="G7" s="219" t="s">
        <v>808</v>
      </c>
      <c r="H7" s="219" t="s">
        <v>809</v>
      </c>
      <c r="I7" s="219" t="s">
        <v>810</v>
      </c>
      <c r="J7" s="219" t="s">
        <v>811</v>
      </c>
      <c r="K7" s="219" t="s">
        <v>812</v>
      </c>
      <c r="L7" s="219" t="s">
        <v>813</v>
      </c>
      <c r="M7" s="219" t="s">
        <v>814</v>
      </c>
    </row>
    <row r="8" customFormat="false" ht="20.25" hidden="false" customHeight="true" outlineLevel="0" collapsed="false">
      <c r="A8" s="220" t="s">
        <v>670</v>
      </c>
      <c r="B8" s="220" t="s">
        <v>672</v>
      </c>
      <c r="C8" s="230" t="s">
        <v>674</v>
      </c>
      <c r="D8" s="231" t="n">
        <v>11.9</v>
      </c>
      <c r="E8" s="232" t="n">
        <f aca="false">D8/(1+$C$4)</f>
        <v>10.2586206896552</v>
      </c>
      <c r="F8" s="233" t="n">
        <f aca="false">SUP_COSTOS!$C$48</f>
        <v>5.60705042625</v>
      </c>
      <c r="G8" s="232" t="n">
        <f aca="false">E8-F8</f>
        <v>4.65157026340517</v>
      </c>
      <c r="H8" s="234" t="n">
        <f aca="false">IF(E8=0,0,G8/E8)</f>
        <v>0.453430378617647</v>
      </c>
      <c r="I8" s="227" t="n">
        <f aca="false">SUP_MENU!$E$53</f>
        <v>682.5</v>
      </c>
      <c r="J8" s="228" t="n">
        <f aca="false">E8*I8</f>
        <v>7001.50862068966</v>
      </c>
      <c r="K8" s="228" t="n">
        <f aca="false">G8*I8</f>
        <v>3174.69670477403</v>
      </c>
      <c r="L8" s="234" t="n">
        <f aca="false">IF($J$25=0,0,J8/$J$25)</f>
        <v>0.128985910151135</v>
      </c>
      <c r="M8" s="234" t="n">
        <f aca="false">IF($K$25=0,0,K8/$K$25)</f>
        <v>0.132982984545873</v>
      </c>
    </row>
    <row r="9" customFormat="false" ht="15" hidden="false" customHeight="true" outlineLevel="0" collapsed="false">
      <c r="A9" s="220" t="s">
        <v>675</v>
      </c>
      <c r="B9" s="220" t="s">
        <v>676</v>
      </c>
      <c r="C9" s="230" t="s">
        <v>678</v>
      </c>
      <c r="D9" s="235" t="n">
        <v>13.9</v>
      </c>
      <c r="E9" s="232" t="n">
        <f aca="false">D9/(1+$C$4)</f>
        <v>11.9827586206897</v>
      </c>
      <c r="F9" s="233" t="n">
        <f aca="false">SUP_COSTOS!$C$49</f>
        <v>6.86705042625</v>
      </c>
      <c r="G9" s="232" t="n">
        <f aca="false">E9-F9</f>
        <v>5.11570819443966</v>
      </c>
      <c r="H9" s="234" t="n">
        <f aca="false">IF(E9=0,0,G9/E9)</f>
        <v>0.426922410471223</v>
      </c>
      <c r="I9" s="227" t="n">
        <f aca="false">SUP_MENU!$E$54</f>
        <v>367.5</v>
      </c>
      <c r="J9" s="228" t="n">
        <f aca="false">E9*I9</f>
        <v>4403.66379310345</v>
      </c>
      <c r="K9" s="228" t="n">
        <f aca="false">G9*I9</f>
        <v>1880.02276145657</v>
      </c>
      <c r="L9" s="234" t="n">
        <f aca="false">IF($J$25=0,0,J9/$J$25)</f>
        <v>0.0811268846651934</v>
      </c>
      <c r="M9" s="234" t="n">
        <f aca="false">IF($K$25=0,0,K9/$K$25)</f>
        <v>0.0787511567504099</v>
      </c>
    </row>
    <row r="10" customFormat="false" ht="15" hidden="false" customHeight="true" outlineLevel="0" collapsed="false">
      <c r="A10" s="220" t="s">
        <v>679</v>
      </c>
      <c r="B10" s="220" t="s">
        <v>680</v>
      </c>
      <c r="C10" s="230" t="s">
        <v>682</v>
      </c>
      <c r="D10" s="235" t="n">
        <v>5.9</v>
      </c>
      <c r="E10" s="232" t="n">
        <f aca="false">D10/(1+$C$4)</f>
        <v>5.08620689655173</v>
      </c>
      <c r="F10" s="233" t="n">
        <f aca="false">SUP_COSTOS!$C$50</f>
        <v>2.921125213125</v>
      </c>
      <c r="G10" s="232" t="n">
        <f aca="false">E10-F10</f>
        <v>2.16508168342673</v>
      </c>
      <c r="H10" s="234" t="n">
        <f aca="false">IF(E10=0,0,G10/E10)</f>
        <v>0.425677076741526</v>
      </c>
      <c r="I10" s="227" t="n">
        <f aca="false">SUP_MENU!$E$55</f>
        <v>955.5</v>
      </c>
      <c r="J10" s="228" t="n">
        <f aca="false">E10*I10</f>
        <v>4859.87068965517</v>
      </c>
      <c r="K10" s="228" t="n">
        <f aca="false">G10*I10</f>
        <v>2068.73554851424</v>
      </c>
      <c r="L10" s="234" t="n">
        <f aca="false">IF($J$25=0,0,J10/$J$25)</f>
        <v>0.0895313964578465</v>
      </c>
      <c r="M10" s="234" t="n">
        <f aca="false">IF($K$25=0,0,K10/$K$25)</f>
        <v>0.0866560345950115</v>
      </c>
    </row>
    <row r="11" customFormat="false" ht="15" hidden="false" customHeight="true" outlineLevel="0" collapsed="false">
      <c r="A11" s="220" t="s">
        <v>683</v>
      </c>
      <c r="B11" s="220" t="s">
        <v>684</v>
      </c>
      <c r="C11" s="230" t="s">
        <v>686</v>
      </c>
      <c r="D11" s="235" t="n">
        <v>7.9</v>
      </c>
      <c r="E11" s="232" t="n">
        <f aca="false">D11/(1+$C$4)</f>
        <v>6.81034482758621</v>
      </c>
      <c r="F11" s="233" t="n">
        <f aca="false">SUP_COSTOS!$C$51</f>
        <v>4.181125213125</v>
      </c>
      <c r="G11" s="232" t="n">
        <f aca="false">E11-F11</f>
        <v>2.62921961446121</v>
      </c>
      <c r="H11" s="234" t="n">
        <f aca="false">IF(E11=0,0,G11/E11)</f>
        <v>0.386062626933544</v>
      </c>
      <c r="I11" s="227" t="n">
        <f aca="false">SUP_MENU!$E$56</f>
        <v>514.5</v>
      </c>
      <c r="J11" s="228" t="n">
        <f aca="false">E11*I11</f>
        <v>3503.9224137931</v>
      </c>
      <c r="K11" s="228" t="n">
        <f aca="false">G11*I11</f>
        <v>1352.73349164029</v>
      </c>
      <c r="L11" s="234" t="n">
        <f aca="false">IF($J$25=0,0,J11/$J$25)</f>
        <v>0.0645513197407942</v>
      </c>
      <c r="M11" s="234" t="n">
        <f aca="false">IF($K$25=0,0,K11/$K$25)</f>
        <v>0.056663849728691</v>
      </c>
    </row>
    <row r="12" customFormat="false" ht="15" hidden="false" customHeight="true" outlineLevel="0" collapsed="false">
      <c r="A12" s="220" t="s">
        <v>687</v>
      </c>
      <c r="B12" s="220" t="s">
        <v>688</v>
      </c>
      <c r="C12" s="230" t="s">
        <v>690</v>
      </c>
      <c r="D12" s="235" t="n">
        <v>3</v>
      </c>
      <c r="E12" s="232" t="n">
        <f aca="false">D12/(1+$C$4)</f>
        <v>2.58620689655172</v>
      </c>
      <c r="F12" s="233" t="n">
        <f aca="false">SUP_COSTOS!$C$52</f>
        <v>1.48586746875</v>
      </c>
      <c r="G12" s="232" t="n">
        <f aca="false">E12-F12</f>
        <v>1.10033942780172</v>
      </c>
      <c r="H12" s="234" t="n">
        <f aca="false">IF(E12=0,0,G12/E12)</f>
        <v>0.42546457875</v>
      </c>
      <c r="I12" s="227" t="n">
        <f aca="false">SUP_MENU!$E$57</f>
        <v>1260</v>
      </c>
      <c r="J12" s="228" t="n">
        <f aca="false">E12*I12</f>
        <v>3258.62068965517</v>
      </c>
      <c r="K12" s="228" t="n">
        <f aca="false">G12*I12</f>
        <v>1386.42767903017</v>
      </c>
      <c r="L12" s="234" t="n">
        <f aca="false">IF($J$25=0,0,J12/$J$25)</f>
        <v>0.0600322270903795</v>
      </c>
      <c r="M12" s="234" t="n">
        <f aca="false">IF($K$25=0,0,K12/$K$25)</f>
        <v>0.0580752455304431</v>
      </c>
    </row>
    <row r="13" customFormat="false" ht="15" hidden="false" customHeight="true" outlineLevel="0" collapsed="false">
      <c r="A13" s="220" t="s">
        <v>691</v>
      </c>
      <c r="B13" s="220" t="s">
        <v>693</v>
      </c>
      <c r="C13" s="230" t="s">
        <v>695</v>
      </c>
      <c r="D13" s="231" t="n">
        <v>12.9</v>
      </c>
      <c r="E13" s="232" t="n">
        <f aca="false">D13/(1+$C$4)</f>
        <v>11.1206896551724</v>
      </c>
      <c r="F13" s="233" t="n">
        <f aca="false">SUP_COSTOS!$C$53</f>
        <v>5.95902502125</v>
      </c>
      <c r="G13" s="232" t="n">
        <f aca="false">E13-F13</f>
        <v>5.16166463392241</v>
      </c>
      <c r="H13" s="234" t="n">
        <f aca="false">IF(E13=0,0,G13/E13)</f>
        <v>0.464149688011628</v>
      </c>
      <c r="I13" s="227" t="n">
        <f aca="false">SUP_MENU!$E$58</f>
        <v>414.61875</v>
      </c>
      <c r="J13" s="228" t="n">
        <f aca="false">E13*I13</f>
        <v>4610.84644396552</v>
      </c>
      <c r="K13" s="228" t="n">
        <f aca="false">G13*I13</f>
        <v>2140.12293843612</v>
      </c>
      <c r="L13" s="234" t="n">
        <f aca="false">IF($J$25=0,0,J13/$J$25)</f>
        <v>0.0849437253257904</v>
      </c>
      <c r="M13" s="234" t="n">
        <f aca="false">IF($K$25=0,0,K13/$K$25)</f>
        <v>0.0896463385684513</v>
      </c>
    </row>
    <row r="14" customFormat="false" ht="15" hidden="false" customHeight="true" outlineLevel="0" collapsed="false">
      <c r="A14" s="220" t="s">
        <v>696</v>
      </c>
      <c r="B14" s="220" t="s">
        <v>697</v>
      </c>
      <c r="C14" s="230" t="s">
        <v>699</v>
      </c>
      <c r="D14" s="235" t="n">
        <v>14.9</v>
      </c>
      <c r="E14" s="232" t="n">
        <f aca="false">D14/(1+$C$4)</f>
        <v>12.8448275862069</v>
      </c>
      <c r="F14" s="233" t="n">
        <f aca="false">SUP_COSTOS!$C$54</f>
        <v>7.21902502125</v>
      </c>
      <c r="G14" s="232" t="n">
        <f aca="false">E14-F14</f>
        <v>5.6258025649569</v>
      </c>
      <c r="H14" s="234" t="n">
        <f aca="false">IF(E14=0,0,G14/E14)</f>
        <v>0.437981944654362</v>
      </c>
      <c r="I14" s="227" t="n">
        <f aca="false">SUP_MENU!$E$59</f>
        <v>223.25625</v>
      </c>
      <c r="J14" s="228" t="n">
        <f aca="false">E14*I14</f>
        <v>2867.6880387931</v>
      </c>
      <c r="K14" s="228" t="n">
        <f aca="false">G14*I14</f>
        <v>1255.99558389266</v>
      </c>
      <c r="L14" s="234" t="n">
        <f aca="false">IF($J$25=0,0,J14/$J$25)</f>
        <v>0.0528302358466305</v>
      </c>
      <c r="M14" s="234" t="n">
        <f aca="false">IF($K$25=0,0,K14/$K$25)</f>
        <v>0.0526116529718612</v>
      </c>
    </row>
    <row r="15" customFormat="false" ht="15" hidden="false" customHeight="true" outlineLevel="0" collapsed="false">
      <c r="A15" s="220" t="s">
        <v>700</v>
      </c>
      <c r="B15" s="220" t="s">
        <v>701</v>
      </c>
      <c r="C15" s="230" t="s">
        <v>703</v>
      </c>
      <c r="D15" s="235" t="n">
        <v>6.5</v>
      </c>
      <c r="E15" s="232" t="n">
        <f aca="false">D15/(1+$C$4)</f>
        <v>5.60344827586207</v>
      </c>
      <c r="F15" s="233" t="n">
        <f aca="false">SUP_COSTOS!$C$55</f>
        <v>3.053012510625</v>
      </c>
      <c r="G15" s="232" t="n">
        <f aca="false">E15-F15</f>
        <v>2.55043576523707</v>
      </c>
      <c r="H15" s="234" t="n">
        <f aca="false">IF(E15=0,0,G15/E15)</f>
        <v>0.455154690411538</v>
      </c>
      <c r="I15" s="227" t="n">
        <f aca="false">SUP_MENU!$E$60</f>
        <v>992.25</v>
      </c>
      <c r="J15" s="228" t="n">
        <f aca="false">E15*I15</f>
        <v>5560.02155172414</v>
      </c>
      <c r="K15" s="228" t="n">
        <f aca="false">G15*I15</f>
        <v>2530.66988805648</v>
      </c>
      <c r="L15" s="234" t="n">
        <f aca="false">IF($J$25=0,0,J15/$J$25)</f>
        <v>0.10242998747296</v>
      </c>
      <c r="M15" s="234" t="n">
        <f aca="false">IF($K$25=0,0,K15/$K$25)</f>
        <v>0.106005727762292</v>
      </c>
    </row>
    <row r="16" customFormat="false" ht="15" hidden="false" customHeight="true" outlineLevel="0" collapsed="false">
      <c r="A16" s="220" t="s">
        <v>704</v>
      </c>
      <c r="B16" s="220" t="s">
        <v>705</v>
      </c>
      <c r="C16" s="230" t="s">
        <v>707</v>
      </c>
      <c r="D16" s="235" t="n">
        <v>2.9</v>
      </c>
      <c r="E16" s="232" t="n">
        <f aca="false">D16/(1+$C$4)</f>
        <v>2.5</v>
      </c>
      <c r="F16" s="233" t="n">
        <f aca="false">SUP_COSTOS!$C$56</f>
        <v>1.6379111175</v>
      </c>
      <c r="G16" s="232" t="n">
        <f aca="false">E16-F16</f>
        <v>0.8620888825</v>
      </c>
      <c r="H16" s="234" t="n">
        <f aca="false">IF(E16=0,0,G16/E16)</f>
        <v>0.344835553</v>
      </c>
      <c r="I16" s="227" t="n">
        <f aca="false">SUP_MENU!$E$61</f>
        <v>1134</v>
      </c>
      <c r="J16" s="228" t="n">
        <f aca="false">E16*I16</f>
        <v>2835</v>
      </c>
      <c r="K16" s="228" t="n">
        <f aca="false">G16*I16</f>
        <v>977.608792755</v>
      </c>
      <c r="L16" s="234" t="n">
        <f aca="false">IF($J$25=0,0,J16/$J$25)</f>
        <v>0.0522280375686301</v>
      </c>
      <c r="M16" s="234" t="n">
        <f aca="false">IF($K$25=0,0,K16/$K$25)</f>
        <v>0.0409504740353147</v>
      </c>
    </row>
    <row r="17" customFormat="false" ht="15" hidden="false" customHeight="true" outlineLevel="0" collapsed="false">
      <c r="A17" s="220" t="s">
        <v>708</v>
      </c>
      <c r="B17" s="220" t="s">
        <v>710</v>
      </c>
      <c r="C17" s="230" t="s">
        <v>712</v>
      </c>
      <c r="D17" s="231" t="n">
        <v>1.2</v>
      </c>
      <c r="E17" s="232" t="n">
        <f aca="false">D17/(1+$C$4)</f>
        <v>1.03448275862069</v>
      </c>
      <c r="F17" s="233" t="n">
        <f aca="false">SUP_COSTOS!$C$57</f>
        <v>0.808232840625</v>
      </c>
      <c r="G17" s="232" t="n">
        <f aca="false">E17-F17</f>
        <v>0.22624991799569</v>
      </c>
      <c r="H17" s="234" t="n">
        <f aca="false">IF(E17=0,0,G17/E17)</f>
        <v>0.2187082540625</v>
      </c>
      <c r="I17" s="227" t="n">
        <f aca="false">SUP_MENU!$E$62</f>
        <v>2016</v>
      </c>
      <c r="J17" s="228" t="n">
        <f aca="false">E17*I17</f>
        <v>2085.51724137931</v>
      </c>
      <c r="K17" s="228" t="n">
        <f aca="false">G17*I17</f>
        <v>456.119834679311</v>
      </c>
      <c r="L17" s="234" t="n">
        <f aca="false">IF($J$25=0,0,J17/$J$25)</f>
        <v>0.0384206253378429</v>
      </c>
      <c r="M17" s="234" t="n">
        <f aca="false">IF($K$25=0,0,K17/$K$25)</f>
        <v>0.0191061328268026</v>
      </c>
    </row>
    <row r="18" customFormat="false" ht="15" hidden="false" customHeight="true" outlineLevel="0" collapsed="false">
      <c r="A18" s="220" t="s">
        <v>713</v>
      </c>
      <c r="B18" s="220" t="s">
        <v>715</v>
      </c>
      <c r="C18" s="230" t="s">
        <v>717</v>
      </c>
      <c r="D18" s="235" t="n">
        <v>3.5</v>
      </c>
      <c r="E18" s="232" t="n">
        <f aca="false">D18/(1+$C$4)</f>
        <v>3.01724137931035</v>
      </c>
      <c r="F18" s="233" t="n">
        <f aca="false">SUP_COSTOS!$C$58</f>
        <v>1.5236025</v>
      </c>
      <c r="G18" s="232" t="n">
        <f aca="false">E18-F18</f>
        <v>1.49363887931035</v>
      </c>
      <c r="H18" s="234" t="n">
        <f aca="false">IF(E18=0,0,G18/E18)</f>
        <v>0.4950346</v>
      </c>
      <c r="I18" s="227" t="n">
        <f aca="false">SUP_MENU!$E$63</f>
        <v>1008</v>
      </c>
      <c r="J18" s="228" t="n">
        <f aca="false">E18*I18</f>
        <v>3041.37931034483</v>
      </c>
      <c r="K18" s="228" t="n">
        <f aca="false">G18*I18</f>
        <v>1505.58799034483</v>
      </c>
      <c r="L18" s="234" t="n">
        <f aca="false">IF($J$25=0,0,J18/$J$25)</f>
        <v>0.0560300786176875</v>
      </c>
      <c r="M18" s="234" t="n">
        <f aca="false">IF($K$25=0,0,K18/$K$25)</f>
        <v>0.0630666810317333</v>
      </c>
    </row>
    <row r="19" customFormat="false" ht="15" hidden="false" customHeight="true" outlineLevel="0" collapsed="false">
      <c r="A19" s="220" t="s">
        <v>718</v>
      </c>
      <c r="B19" s="220" t="s">
        <v>720</v>
      </c>
      <c r="C19" s="230" t="s">
        <v>722</v>
      </c>
      <c r="D19" s="235" t="n">
        <v>22.9</v>
      </c>
      <c r="E19" s="232" t="n">
        <f aca="false">D19/(1+$C$4)</f>
        <v>19.7413793103448</v>
      </c>
      <c r="F19" s="233" t="n">
        <f aca="false">SUP_COSTOS!$C$59</f>
        <v>12.03412289625</v>
      </c>
      <c r="G19" s="232" t="n">
        <f aca="false">E19-F19</f>
        <v>7.70725641409483</v>
      </c>
      <c r="H19" s="234" t="n">
        <f aca="false">IF(E19=0,0,G19/E19)</f>
        <v>0.390411241936681</v>
      </c>
      <c r="I19" s="227" t="n">
        <f aca="false">SUP_MENU!$E$64</f>
        <v>133.411764705882</v>
      </c>
      <c r="J19" s="228" t="n">
        <f aca="false">E19*I19</f>
        <v>2633.7322515213</v>
      </c>
      <c r="K19" s="228" t="n">
        <f aca="false">G19*I19</f>
        <v>1028.23867924512</v>
      </c>
      <c r="L19" s="234" t="n">
        <f aca="false">IF($J$25=0,0,J19/$J$25)</f>
        <v>0.0485201647189302</v>
      </c>
      <c r="M19" s="234" t="n">
        <f aca="false">IF($K$25=0,0,K19/$K$25)</f>
        <v>0.0430712792771352</v>
      </c>
    </row>
    <row r="20" customFormat="false" ht="15" hidden="false" customHeight="true" outlineLevel="0" collapsed="false">
      <c r="A20" s="220" t="s">
        <v>723</v>
      </c>
      <c r="B20" s="220" t="s">
        <v>725</v>
      </c>
      <c r="C20" s="230" t="s">
        <v>727</v>
      </c>
      <c r="D20" s="235" t="n">
        <v>7.9</v>
      </c>
      <c r="E20" s="232" t="n">
        <f aca="false">D20/(1+$C$4)</f>
        <v>6.81034482758621</v>
      </c>
      <c r="F20" s="233" t="n">
        <f aca="false">SUP_COSTOS!$C$60</f>
        <v>2.589818</v>
      </c>
      <c r="G20" s="232" t="n">
        <f aca="false">E20-F20</f>
        <v>4.22052682758621</v>
      </c>
      <c r="H20" s="234" t="n">
        <f aca="false">IF(E20=0,0,G20/E20)</f>
        <v>0.619722926582279</v>
      </c>
      <c r="I20" s="227" t="n">
        <f aca="false">SUP_MENU!$E$65</f>
        <v>300</v>
      </c>
      <c r="J20" s="228" t="n">
        <f aca="false">E20*I20</f>
        <v>2043.10344827586</v>
      </c>
      <c r="K20" s="228" t="n">
        <f aca="false">G20*I20</f>
        <v>1266.15804827586</v>
      </c>
      <c r="L20" s="234" t="n">
        <f aca="false">IF($J$25=0,0,J20/$J$25)</f>
        <v>0.0376392534931744</v>
      </c>
      <c r="M20" s="234" t="n">
        <f aca="false">IF($K$25=0,0,K20/$K$25)</f>
        <v>0.0530373424060636</v>
      </c>
    </row>
    <row r="21" customFormat="false" ht="15" hidden="false" customHeight="true" outlineLevel="0" collapsed="false">
      <c r="A21" s="220" t="s">
        <v>728</v>
      </c>
      <c r="B21" s="220" t="s">
        <v>729</v>
      </c>
      <c r="C21" s="230" t="s">
        <v>731</v>
      </c>
      <c r="D21" s="235" t="n">
        <v>11.9</v>
      </c>
      <c r="E21" s="232" t="n">
        <f aca="false">D21/(1+$C$4)</f>
        <v>10.2586206896552</v>
      </c>
      <c r="F21" s="233" t="n">
        <f aca="false">SUP_COSTOS!$C$61</f>
        <v>5.022136</v>
      </c>
      <c r="G21" s="232" t="n">
        <f aca="false">E21-F21</f>
        <v>5.23648468965517</v>
      </c>
      <c r="H21" s="234" t="n">
        <f aca="false">IF(E21=0,0,G21/E21)</f>
        <v>0.510447247058824</v>
      </c>
      <c r="I21" s="227" t="n">
        <f aca="false">SUP_MENU!$E$66</f>
        <v>120</v>
      </c>
      <c r="J21" s="228" t="n">
        <f aca="false">E21*I21</f>
        <v>1231.03448275862</v>
      </c>
      <c r="K21" s="228" t="n">
        <f aca="false">G21*I21</f>
        <v>628.378162758621</v>
      </c>
      <c r="L21" s="234" t="n">
        <f aca="false">IF($J$25=0,0,J21/$J$25)</f>
        <v>0.0226788413452545</v>
      </c>
      <c r="M21" s="234" t="n">
        <f aca="false">IF($K$25=0,0,K21/$K$25)</f>
        <v>0.0263217596129523</v>
      </c>
    </row>
    <row r="22" customFormat="false" ht="15" hidden="false" customHeight="true" outlineLevel="0" collapsed="false">
      <c r="A22" s="220" t="s">
        <v>732</v>
      </c>
      <c r="B22" s="220" t="s">
        <v>734</v>
      </c>
      <c r="C22" s="230" t="s">
        <v>736</v>
      </c>
      <c r="D22" s="235" t="n">
        <v>2.5</v>
      </c>
      <c r="E22" s="232" t="n">
        <f aca="false">D22/(1+$C$4)</f>
        <v>2.1551724137931</v>
      </c>
      <c r="F22" s="233" t="n">
        <f aca="false">SUP_COSTOS!$C$62</f>
        <v>1.26</v>
      </c>
      <c r="G22" s="232" t="n">
        <f aca="false">E22-F22</f>
        <v>0.895172413793104</v>
      </c>
      <c r="H22" s="234" t="n">
        <f aca="false">IF(E22=0,0,G22/E22)</f>
        <v>0.41536</v>
      </c>
      <c r="I22" s="227" t="n">
        <f aca="false">SUP_MENU!$E$67</f>
        <v>1214.58441176471</v>
      </c>
      <c r="J22" s="228" t="n">
        <f aca="false">E22*I22</f>
        <v>2617.63881845842</v>
      </c>
      <c r="K22" s="228" t="n">
        <f aca="false">G22*I22</f>
        <v>1087.26245963489</v>
      </c>
      <c r="L22" s="234" t="n">
        <f aca="false">IF($J$25=0,0,J22/$J$25)</f>
        <v>0.0482236820287657</v>
      </c>
      <c r="M22" s="234" t="n">
        <f aca="false">IF($K$25=0,0,K22/$K$25)</f>
        <v>0.0455436913546757</v>
      </c>
    </row>
    <row r="23" customFormat="false" ht="15" hidden="false" customHeight="true" outlineLevel="0" collapsed="false">
      <c r="A23" s="220" t="s">
        <v>737</v>
      </c>
      <c r="B23" s="220" t="s">
        <v>738</v>
      </c>
      <c r="C23" s="230" t="s">
        <v>740</v>
      </c>
      <c r="D23" s="235" t="n">
        <v>0.99</v>
      </c>
      <c r="E23" s="232" t="n">
        <f aca="false">D23/(1+$C$4)</f>
        <v>0.853448275862069</v>
      </c>
      <c r="F23" s="233" t="n">
        <f aca="false">SUP_COSTOS!$C$63</f>
        <v>0.29316</v>
      </c>
      <c r="G23" s="232" t="n">
        <f aca="false">E23-F23</f>
        <v>0.560288275862069</v>
      </c>
      <c r="H23" s="234" t="n">
        <f aca="false">IF(E23=0,0,G23/E23)</f>
        <v>0.656499393939394</v>
      </c>
      <c r="I23" s="227" t="n">
        <f aca="false">SUP_MENU!$E$68</f>
        <v>2024.30735294118</v>
      </c>
      <c r="J23" s="228" t="n">
        <f aca="false">E23*I23</f>
        <v>1727.64162018256</v>
      </c>
      <c r="K23" s="228" t="n">
        <f aca="false">G23*I23</f>
        <v>1134.19567659432</v>
      </c>
      <c r="L23" s="234" t="n">
        <f aca="false">IF($J$25=0,0,J23/$J$25)</f>
        <v>0.0318276301389854</v>
      </c>
      <c r="M23" s="234" t="n">
        <f aca="false">IF($K$25=0,0,K23/$K$25)</f>
        <v>0.0475096490022894</v>
      </c>
    </row>
    <row r="24" customFormat="false" ht="15" hidden="false" customHeight="true" outlineLevel="0" collapsed="false">
      <c r="A24" s="220" t="s">
        <v>741</v>
      </c>
      <c r="B24" s="220" t="s">
        <v>815</v>
      </c>
      <c r="C24" s="230" t="s">
        <v>744</v>
      </c>
      <c r="D24" s="235" t="n">
        <v>0.99</v>
      </c>
      <c r="E24" s="232" t="n">
        <f aca="false">D24/(1+$C$4)</f>
        <v>0.853448275862069</v>
      </c>
      <c r="F24" s="233" t="n">
        <f aca="false">SUP_COSTOS!$C$64/4</f>
        <v>0.192633275625</v>
      </c>
      <c r="G24" s="232" t="n">
        <f aca="false">E24-F24</f>
        <v>0.660815000237069</v>
      </c>
      <c r="H24" s="234" t="n">
        <f aca="false">IF(E24=0,0,G24/E24)</f>
        <v>0.774288283106061</v>
      </c>
      <c r="I24" s="227" t="n">
        <f aca="false">SUP_MENU!$E$69</f>
        <v>0</v>
      </c>
      <c r="J24" s="228" t="n">
        <f aca="false">E24*I24</f>
        <v>0</v>
      </c>
      <c r="K24" s="228" t="n">
        <f aca="false">G24*I24</f>
        <v>0</v>
      </c>
      <c r="L24" s="234" t="n">
        <f aca="false">IF($J$25=0,0,J24/$J$25)</f>
        <v>0</v>
      </c>
      <c r="M24" s="234" t="n">
        <f aca="false">IF($K$25=0,0,K24/$K$25)</f>
        <v>0</v>
      </c>
    </row>
    <row r="25" customFormat="false" ht="15" hidden="false" customHeight="true" outlineLevel="0" collapsed="false">
      <c r="B25" s="178" t="s">
        <v>816</v>
      </c>
      <c r="I25" s="229" t="n">
        <f aca="false">SUM(I8:I24)</f>
        <v>13360.4285294118</v>
      </c>
      <c r="J25" s="236" t="n">
        <f aca="false">SUM(J8:J24)</f>
        <v>54281.1894143002</v>
      </c>
      <c r="K25" s="236" t="n">
        <f aca="false">SUM(K8:K24)</f>
        <v>23872.9542400885</v>
      </c>
    </row>
    <row r="26" customFormat="false" ht="15" hidden="false" customHeight="true" outlineLevel="0" collapsed="false">
      <c r="B26" s="178" t="s">
        <v>817</v>
      </c>
      <c r="C26" s="237" t="n">
        <f aca="false">K25/J25</f>
        <v>0.439801605264738</v>
      </c>
      <c r="E26" s="216" t="s">
        <v>818</v>
      </c>
    </row>
    <row r="27" customFormat="false" ht="15" hidden="false" customHeight="true" outlineLevel="0" collapsed="false">
      <c r="B27" s="182" t="s">
        <v>819</v>
      </c>
      <c r="C27" s="232" t="n">
        <f aca="false">J25/SUP_MENU!$E$71</f>
        <v>5.36293950969782</v>
      </c>
    </row>
    <row r="29" customFormat="false" ht="70.5" hidden="false" customHeight="true" outlineLevel="0" collapsed="false">
      <c r="B29" s="179" t="s">
        <v>820</v>
      </c>
    </row>
    <row r="30" customFormat="false" ht="36" hidden="false" customHeight="true" outlineLevel="0" collapsed="false">
      <c r="B30" s="179" t="s">
        <v>821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L322"/>
  <sheetViews>
    <sheetView showFormulas="false" showGridLines="true" showRowColHeaders="true" showZeros="true" rightToLeft="false" tabSelected="false" showOutlineSymbols="true" defaultGridColor="true" view="normal" topLeftCell="B203" colorId="64" zoomScale="140" zoomScaleNormal="140" zoomScalePageLayoutView="100" workbookViewId="0">
      <selection pane="topLeft" activeCell="C212" activeCellId="0" sqref="C212"/>
    </sheetView>
  </sheetViews>
  <sheetFormatPr defaultColWidth="10.66796875" defaultRowHeight="15" zeroHeight="false" outlineLevelRow="0" outlineLevelCol="0"/>
  <cols>
    <col collapsed="false" customWidth="true" hidden="false" outlineLevel="0" max="1" min="1" style="1" width="9.16"/>
    <col collapsed="false" customWidth="true" hidden="false" outlineLevel="0" max="2" min="2" style="1" width="55"/>
    <col collapsed="false" customWidth="true" hidden="false" outlineLevel="0" max="3" min="3" style="1" width="16.67"/>
    <col collapsed="false" customWidth="true" hidden="false" outlineLevel="0" max="4" min="4" style="1" width="12.5"/>
    <col collapsed="false" customWidth="true" hidden="false" outlineLevel="0" max="5" min="5" style="1" width="13.34"/>
    <col collapsed="false" customWidth="true" hidden="false" outlineLevel="0" max="6" min="6" style="1" width="47.5"/>
    <col collapsed="false" customWidth="true" hidden="false" outlineLevel="0" max="7" min="7" style="1" width="160.5"/>
  </cols>
  <sheetData>
    <row r="1" customFormat="false" ht="15.75" hidden="false" customHeight="true" outlineLevel="0" collapsed="false">
      <c r="A1" s="238" t="s">
        <v>822</v>
      </c>
    </row>
    <row r="2" customFormat="false" ht="15" hidden="false" customHeight="true" outlineLevel="0" collapsed="false">
      <c r="A2" s="239" t="s">
        <v>823</v>
      </c>
    </row>
    <row r="3" customFormat="false" ht="15" hidden="false" customHeight="true" outlineLevel="0" collapsed="false">
      <c r="A3" s="239" t="s">
        <v>495</v>
      </c>
    </row>
    <row r="5" customFormat="false" ht="15" hidden="false" customHeight="true" outlineLevel="0" collapsed="false">
      <c r="A5" s="60" t="s">
        <v>824</v>
      </c>
      <c r="B5" s="60"/>
      <c r="C5" s="60"/>
      <c r="D5" s="60"/>
      <c r="E5" s="60"/>
      <c r="F5" s="60"/>
      <c r="G5" s="60"/>
    </row>
    <row r="6" customFormat="false" ht="15" hidden="false" customHeight="true" outlineLevel="0" collapsed="false">
      <c r="B6" s="1" t="s">
        <v>825</v>
      </c>
      <c r="C6" s="240" t="n">
        <f aca="false">SUP_POLLO!$C$18</f>
        <v>1.65</v>
      </c>
      <c r="D6" s="1" t="s">
        <v>826</v>
      </c>
      <c r="G6" s="1" t="s">
        <v>827</v>
      </c>
    </row>
    <row r="7" customFormat="false" ht="15" hidden="false" customHeight="true" outlineLevel="0" collapsed="false">
      <c r="B7" s="1" t="s">
        <v>828</v>
      </c>
      <c r="C7" s="241" t="n">
        <f aca="false">SUP_POLLO!$C$29*$C$6/1000</f>
        <v>0.2475</v>
      </c>
      <c r="G7" s="1" t="s">
        <v>829</v>
      </c>
    </row>
    <row r="8" customFormat="false" ht="15" hidden="false" customHeight="true" outlineLevel="0" collapsed="false">
      <c r="B8" s="1" t="s">
        <v>830</v>
      </c>
      <c r="C8" s="241" t="n">
        <f aca="false">SUP_POLLO!$C$29*$C$6/1000</f>
        <v>0.2475</v>
      </c>
      <c r="G8" s="1" t="s">
        <v>831</v>
      </c>
    </row>
    <row r="9" customFormat="false" ht="15" hidden="false" customHeight="true" outlineLevel="0" collapsed="false">
      <c r="B9" s="1" t="s">
        <v>832</v>
      </c>
      <c r="C9" s="106" t="n">
        <v>9</v>
      </c>
      <c r="G9" s="1" t="s">
        <v>833</v>
      </c>
    </row>
    <row r="10" customFormat="false" ht="15" hidden="false" customHeight="true" outlineLevel="0" collapsed="false">
      <c r="B10" s="1" t="s">
        <v>834</v>
      </c>
      <c r="C10" s="106" t="n">
        <v>8</v>
      </c>
      <c r="G10" s="1" t="s">
        <v>835</v>
      </c>
    </row>
    <row r="11" customFormat="false" ht="15" hidden="false" customHeight="true" outlineLevel="0" collapsed="false">
      <c r="B11" s="1" t="s">
        <v>836</v>
      </c>
      <c r="C11" s="106" t="n">
        <v>80</v>
      </c>
      <c r="G11" s="1" t="s">
        <v>837</v>
      </c>
      <c r="H11" s="1" t="n">
        <v>2500</v>
      </c>
      <c r="I11" s="1" t="n">
        <v>6.5</v>
      </c>
      <c r="J11" s="1" t="n">
        <f aca="false">+I11/H11</f>
        <v>0.0026</v>
      </c>
      <c r="K11" s="1" t="n">
        <v>80</v>
      </c>
      <c r="L11" s="1" t="n">
        <f aca="false">+J11*K11</f>
        <v>0.208</v>
      </c>
    </row>
    <row r="12" customFormat="false" ht="15" hidden="false" customHeight="true" outlineLevel="0" collapsed="false">
      <c r="B12" s="1" t="s">
        <v>838</v>
      </c>
      <c r="C12" s="106" t="n">
        <v>0.55</v>
      </c>
      <c r="G12" s="1" t="s">
        <v>839</v>
      </c>
    </row>
    <row r="13" customFormat="false" ht="15" hidden="false" customHeight="true" outlineLevel="0" collapsed="false">
      <c r="B13" s="1" t="s">
        <v>840</v>
      </c>
      <c r="C13" s="242" t="n">
        <v>0.25</v>
      </c>
      <c r="G13" s="1" t="s">
        <v>841</v>
      </c>
    </row>
    <row r="14" customFormat="false" ht="15" hidden="false" customHeight="true" outlineLevel="0" collapsed="false">
      <c r="B14" s="1" t="s">
        <v>842</v>
      </c>
      <c r="C14" s="106" t="n">
        <v>0.6</v>
      </c>
      <c r="G14" s="1" t="s">
        <v>843</v>
      </c>
    </row>
    <row r="15" customFormat="false" ht="15" hidden="false" customHeight="true" outlineLevel="0" collapsed="false">
      <c r="B15" s="1" t="s">
        <v>844</v>
      </c>
      <c r="C15" s="242" t="n">
        <v>0.05</v>
      </c>
      <c r="G15" s="1" t="s">
        <v>845</v>
      </c>
    </row>
    <row r="17" customFormat="false" ht="15" hidden="false" customHeight="true" outlineLevel="0" collapsed="false">
      <c r="A17" s="60" t="s">
        <v>846</v>
      </c>
      <c r="B17" s="60"/>
      <c r="C17" s="60"/>
      <c r="D17" s="60"/>
      <c r="E17" s="60"/>
      <c r="F17" s="60"/>
      <c r="G17" s="60"/>
    </row>
    <row r="18" customFormat="false" ht="15" hidden="false" customHeight="true" outlineLevel="0" collapsed="false">
      <c r="A18" s="116" t="s">
        <v>847</v>
      </c>
      <c r="B18" s="116" t="s">
        <v>848</v>
      </c>
      <c r="C18" s="116" t="s">
        <v>849</v>
      </c>
      <c r="D18" s="116" t="s">
        <v>850</v>
      </c>
      <c r="E18" s="116" t="s">
        <v>807</v>
      </c>
      <c r="F18" s="116" t="s">
        <v>851</v>
      </c>
      <c r="G18" s="116" t="s">
        <v>852</v>
      </c>
    </row>
    <row r="19" customFormat="false" ht="15" hidden="false" customHeight="true" outlineLevel="0" collapsed="false">
      <c r="A19" s="1" t="s">
        <v>853</v>
      </c>
      <c r="B19" s="1" t="s">
        <v>854</v>
      </c>
      <c r="C19" s="1" t="s">
        <v>366</v>
      </c>
      <c r="D19" s="106" t="n">
        <v>1</v>
      </c>
      <c r="E19" s="243" t="n">
        <f aca="false">IFERROR(D19*VLOOKUP(F19,SUP_INSUMOS!B:F,4,0),0)</f>
        <v>2.2</v>
      </c>
      <c r="F19" s="1" t="s">
        <v>854</v>
      </c>
      <c r="G19" s="1" t="s">
        <v>855</v>
      </c>
    </row>
    <row r="20" customFormat="false" ht="15" hidden="false" customHeight="true" outlineLevel="0" collapsed="false">
      <c r="A20" s="1" t="s">
        <v>856</v>
      </c>
      <c r="B20" s="1" t="s">
        <v>857</v>
      </c>
      <c r="C20" s="1" t="s">
        <v>858</v>
      </c>
      <c r="D20" s="244" t="n">
        <f aca="false">SUP_POLLO!$C$29</f>
        <v>150</v>
      </c>
      <c r="E20" s="243" t="n">
        <f aca="false">IFERROR(D20*VLOOKUP(F20,SUP_INSUMOS!B:F,4,0),0)</f>
        <v>0.111</v>
      </c>
      <c r="F20" s="1" t="s">
        <v>859</v>
      </c>
      <c r="G20" s="1" t="s">
        <v>860</v>
      </c>
    </row>
    <row r="21" customFormat="false" ht="15" hidden="false" customHeight="true" outlineLevel="0" collapsed="false">
      <c r="A21" s="1" t="s">
        <v>861</v>
      </c>
      <c r="B21" s="1" t="s">
        <v>862</v>
      </c>
      <c r="C21" s="1" t="s">
        <v>858</v>
      </c>
      <c r="D21" s="245" t="n">
        <f aca="false">D20</f>
        <v>150</v>
      </c>
      <c r="E21" s="243" t="n">
        <f aca="false">IFERROR(D21*VLOOKUP(F21,SUP_INSUMOS!B:F,4,0),0)</f>
        <v>0.3165</v>
      </c>
      <c r="F21" s="1" t="s">
        <v>863</v>
      </c>
    </row>
    <row r="22" customFormat="false" ht="15" hidden="false" customHeight="true" outlineLevel="0" collapsed="false">
      <c r="A22" s="1" t="s">
        <v>864</v>
      </c>
      <c r="B22" s="1" t="s">
        <v>865</v>
      </c>
      <c r="C22" s="1" t="s">
        <v>858</v>
      </c>
      <c r="D22" s="245" t="n">
        <f aca="false">D21</f>
        <v>150</v>
      </c>
      <c r="E22" s="243" t="n">
        <f aca="false">IFERROR(D22*VLOOKUP(F22,SUP_INSUMOS!B:F,4,0),0)</f>
        <v>0.681</v>
      </c>
      <c r="F22" s="1" t="s">
        <v>866</v>
      </c>
    </row>
    <row r="23" customFormat="false" ht="15" hidden="false" customHeight="true" outlineLevel="0" collapsed="false">
      <c r="A23" s="1" t="s">
        <v>867</v>
      </c>
      <c r="B23" s="1" t="s">
        <v>868</v>
      </c>
      <c r="C23" s="1" t="s">
        <v>858</v>
      </c>
      <c r="D23" s="245" t="n">
        <f aca="false">D22</f>
        <v>150</v>
      </c>
      <c r="E23" s="243" t="n">
        <f aca="false">IFERROR(D23*VLOOKUP(F23,SUP_INSUMOS!B:F,4,0),0)</f>
        <v>0.33</v>
      </c>
      <c r="F23" s="1" t="s">
        <v>869</v>
      </c>
    </row>
    <row r="24" customFormat="false" ht="15" hidden="false" customHeight="true" outlineLevel="0" collapsed="false">
      <c r="A24" s="1" t="s">
        <v>870</v>
      </c>
      <c r="B24" s="1" t="s">
        <v>871</v>
      </c>
      <c r="C24" s="1" t="s">
        <v>858</v>
      </c>
      <c r="D24" s="245" t="n">
        <f aca="false">D23</f>
        <v>150</v>
      </c>
      <c r="E24" s="243" t="n">
        <f aca="false">IFERROR(D24*VLOOKUP(F24,SUP_INSUMOS!B:F,4,0),0)</f>
        <v>0.597</v>
      </c>
      <c r="F24" s="1" t="s">
        <v>872</v>
      </c>
    </row>
    <row r="25" customFormat="false" ht="15" hidden="false" customHeight="true" outlineLevel="0" collapsed="false">
      <c r="A25" s="1" t="s">
        <v>873</v>
      </c>
      <c r="B25" s="1" t="s">
        <v>874</v>
      </c>
      <c r="C25" s="1" t="s">
        <v>858</v>
      </c>
      <c r="D25" s="246" t="n">
        <v>100</v>
      </c>
      <c r="E25" s="243" t="n">
        <f aca="false">IFERROR(D25*VLOOKUP(F25,SUP_INSUMOS!B:F,4,0),0)</f>
        <v>0.0765</v>
      </c>
      <c r="F25" s="1" t="s">
        <v>875</v>
      </c>
    </row>
    <row r="26" customFormat="false" ht="15" hidden="false" customHeight="true" outlineLevel="0" collapsed="false">
      <c r="A26" s="1" t="s">
        <v>876</v>
      </c>
      <c r="B26" s="1" t="s">
        <v>877</v>
      </c>
      <c r="C26" s="1" t="s">
        <v>858</v>
      </c>
      <c r="D26" s="246" t="n">
        <v>200</v>
      </c>
      <c r="E26" s="243" t="n">
        <f aca="false">IFERROR(D26*VLOOKUP(F26,SUP_INSUMOS!B:F,4,0),0)</f>
        <v>0.44641</v>
      </c>
      <c r="F26" s="1" t="s">
        <v>878</v>
      </c>
    </row>
    <row r="27" customFormat="false" ht="15" hidden="false" customHeight="true" outlineLevel="0" collapsed="false">
      <c r="A27" s="1" t="s">
        <v>879</v>
      </c>
      <c r="B27" s="1" t="s">
        <v>880</v>
      </c>
      <c r="C27" s="1" t="s">
        <v>858</v>
      </c>
      <c r="D27" s="106"/>
      <c r="E27" s="247" t="n">
        <f aca="false">E25+E26</f>
        <v>0.52291</v>
      </c>
      <c r="G27" s="1" t="s">
        <v>881</v>
      </c>
    </row>
    <row r="28" customFormat="false" ht="15" hidden="false" customHeight="true" outlineLevel="0" collapsed="false">
      <c r="A28" s="1" t="s">
        <v>882</v>
      </c>
      <c r="B28" s="1" t="s">
        <v>883</v>
      </c>
      <c r="C28" s="1" t="s">
        <v>884</v>
      </c>
      <c r="D28" s="106" t="n">
        <v>1</v>
      </c>
      <c r="E28" s="248" t="n">
        <f aca="false">+SUP_INSUMOS!E10</f>
        <v>0.01</v>
      </c>
      <c r="F28" s="1" t="s">
        <v>885</v>
      </c>
      <c r="G28" s="1" t="s">
        <v>886</v>
      </c>
    </row>
    <row r="29" customFormat="false" ht="15" hidden="false" customHeight="true" outlineLevel="0" collapsed="false">
      <c r="A29" s="1" t="s">
        <v>887</v>
      </c>
      <c r="B29" s="1" t="s">
        <v>888</v>
      </c>
      <c r="C29" s="1" t="s">
        <v>366</v>
      </c>
      <c r="D29" s="106" t="n">
        <v>2500</v>
      </c>
      <c r="E29" s="248" t="n">
        <f aca="false">6.5/2500</f>
        <v>0.0026</v>
      </c>
      <c r="F29" s="1" t="s">
        <v>889</v>
      </c>
      <c r="G29" s="1" t="s">
        <v>890</v>
      </c>
    </row>
    <row r="30" customFormat="false" ht="15" hidden="false" customHeight="true" outlineLevel="0" collapsed="false">
      <c r="A30" s="1" t="s">
        <v>891</v>
      </c>
      <c r="B30" s="1" t="s">
        <v>892</v>
      </c>
      <c r="C30" s="1" t="s">
        <v>893</v>
      </c>
      <c r="D30" s="106" t="n">
        <v>1</v>
      </c>
      <c r="E30" s="243" t="n">
        <f aca="false">D30*$F$321</f>
        <v>0.1709602625</v>
      </c>
      <c r="F30" s="1" t="s">
        <v>894</v>
      </c>
      <c r="G30" s="1" t="s">
        <v>895</v>
      </c>
    </row>
    <row r="31" customFormat="false" ht="15" hidden="false" customHeight="true" outlineLevel="0" collapsed="false">
      <c r="A31" s="1" t="s">
        <v>896</v>
      </c>
      <c r="B31" s="1" t="s">
        <v>897</v>
      </c>
      <c r="C31" s="1" t="s">
        <v>366</v>
      </c>
      <c r="D31" s="106" t="n">
        <v>1</v>
      </c>
      <c r="E31" s="243" t="n">
        <f aca="false">IFERROR(D31*VLOOKUP(F31,SUP_INSUMOS!B:F,4,0),0)</f>
        <v>5.95</v>
      </c>
      <c r="F31" s="1" t="s">
        <v>897</v>
      </c>
      <c r="G31" s="1" t="s">
        <v>898</v>
      </c>
    </row>
    <row r="32" customFormat="false" ht="15" hidden="false" customHeight="true" outlineLevel="0" collapsed="false">
      <c r="A32" s="1" t="s">
        <v>899</v>
      </c>
      <c r="B32" s="1" t="s">
        <v>900</v>
      </c>
      <c r="C32" s="1" t="s">
        <v>893</v>
      </c>
      <c r="D32" s="106" t="n">
        <v>1</v>
      </c>
      <c r="E32" s="243" t="n">
        <f aca="false">IFERROR(D32*VLOOKUP(F32,SUP_INSUMOS!B:F,4,0),0)</f>
        <v>1.2</v>
      </c>
      <c r="F32" s="1" t="s">
        <v>734</v>
      </c>
      <c r="G32" s="1" t="s">
        <v>901</v>
      </c>
    </row>
    <row r="33" customFormat="false" ht="15" hidden="false" customHeight="true" outlineLevel="0" collapsed="false">
      <c r="A33" s="1" t="s">
        <v>902</v>
      </c>
      <c r="B33" s="1" t="s">
        <v>903</v>
      </c>
      <c r="C33" s="1" t="s">
        <v>904</v>
      </c>
      <c r="D33" s="106" t="n">
        <v>1</v>
      </c>
      <c r="E33" s="243" t="n">
        <f aca="false">IFERROR(D33*VLOOKUP(F33,SUP_INSUMOS!B:F,4,0),0)</f>
        <v>0.05</v>
      </c>
      <c r="F33" s="1" t="s">
        <v>905</v>
      </c>
      <c r="G33" s="1" t="s">
        <v>906</v>
      </c>
    </row>
    <row r="34" customFormat="false" ht="15" hidden="false" customHeight="true" outlineLevel="0" collapsed="false">
      <c r="A34" s="1" t="s">
        <v>907</v>
      </c>
      <c r="B34" s="1" t="s">
        <v>908</v>
      </c>
      <c r="C34" s="1" t="s">
        <v>893</v>
      </c>
      <c r="D34" s="106" t="n">
        <v>1</v>
      </c>
      <c r="E34" s="243" t="n">
        <f aca="false">IFERROR(D34*VLOOKUP(F34,SUP_INSUMOS!B:F,4,0),0)</f>
        <v>0.1</v>
      </c>
      <c r="F34" s="1" t="s">
        <v>909</v>
      </c>
      <c r="G34" s="1" t="s">
        <v>910</v>
      </c>
    </row>
    <row r="35" customFormat="false" ht="15" hidden="false" customHeight="true" outlineLevel="0" collapsed="false">
      <c r="A35" s="1" t="s">
        <v>911</v>
      </c>
      <c r="B35" s="1" t="s">
        <v>912</v>
      </c>
      <c r="C35" s="1" t="s">
        <v>893</v>
      </c>
      <c r="D35" s="106" t="n">
        <v>0.25</v>
      </c>
      <c r="E35" s="249" t="n">
        <v>0.25</v>
      </c>
      <c r="G35" s="1" t="s">
        <v>913</v>
      </c>
    </row>
    <row r="36" customFormat="false" ht="15" hidden="false" customHeight="true" outlineLevel="0" collapsed="false">
      <c r="A36" s="1" t="s">
        <v>914</v>
      </c>
      <c r="B36" s="1" t="s">
        <v>915</v>
      </c>
      <c r="C36" s="1" t="s">
        <v>893</v>
      </c>
      <c r="D36" s="106" t="n">
        <v>0.15</v>
      </c>
      <c r="E36" s="249" t="n">
        <v>0.15</v>
      </c>
      <c r="G36" s="1" t="s">
        <v>916</v>
      </c>
    </row>
    <row r="37" customFormat="false" ht="15" hidden="false" customHeight="true" outlineLevel="0" collapsed="false">
      <c r="A37" s="1" t="s">
        <v>917</v>
      </c>
      <c r="B37" s="1" t="s">
        <v>918</v>
      </c>
      <c r="C37" s="1" t="s">
        <v>893</v>
      </c>
      <c r="D37" s="106" t="n">
        <v>0.03</v>
      </c>
      <c r="E37" s="249" t="n">
        <v>0.03</v>
      </c>
      <c r="G37" s="1" t="s">
        <v>919</v>
      </c>
    </row>
    <row r="38" customFormat="false" ht="15" hidden="false" customHeight="true" outlineLevel="0" collapsed="false">
      <c r="A38" s="1" t="s">
        <v>920</v>
      </c>
      <c r="B38" s="1" t="s">
        <v>921</v>
      </c>
      <c r="C38" s="1" t="s">
        <v>893</v>
      </c>
      <c r="D38" s="106" t="n">
        <v>0.01</v>
      </c>
      <c r="E38" s="249" t="n">
        <v>0.01</v>
      </c>
      <c r="G38" s="1" t="s">
        <v>922</v>
      </c>
    </row>
    <row r="39" customFormat="false" ht="15" hidden="false" customHeight="true" outlineLevel="0" collapsed="false">
      <c r="A39" s="1" t="s">
        <v>923</v>
      </c>
      <c r="B39" s="1" t="s">
        <v>924</v>
      </c>
      <c r="C39" s="1" t="s">
        <v>893</v>
      </c>
      <c r="D39" s="106" t="n">
        <v>0.03</v>
      </c>
      <c r="E39" s="249" t="n">
        <v>0.03</v>
      </c>
      <c r="G39" s="1" t="s">
        <v>925</v>
      </c>
    </row>
    <row r="40" customFormat="false" ht="15" hidden="false" customHeight="true" outlineLevel="0" collapsed="false">
      <c r="A40" s="1" t="s">
        <v>926</v>
      </c>
      <c r="B40" s="1" t="s">
        <v>927</v>
      </c>
      <c r="C40" s="1" t="s">
        <v>928</v>
      </c>
      <c r="D40" s="106" t="n">
        <v>0.08</v>
      </c>
      <c r="E40" s="249" t="n">
        <v>0.08</v>
      </c>
      <c r="G40" s="1" t="s">
        <v>929</v>
      </c>
    </row>
    <row r="41" customFormat="false" ht="15" hidden="false" customHeight="true" outlineLevel="0" collapsed="false">
      <c r="A41" s="1" t="s">
        <v>930</v>
      </c>
      <c r="B41" s="1" t="s">
        <v>931</v>
      </c>
      <c r="C41" s="1" t="s">
        <v>932</v>
      </c>
      <c r="D41" s="106" t="n">
        <v>0.04</v>
      </c>
      <c r="E41" s="249" t="n">
        <v>0.04</v>
      </c>
      <c r="G41" s="1" t="s">
        <v>933</v>
      </c>
    </row>
    <row r="42" customFormat="false" ht="15" hidden="false" customHeight="true" outlineLevel="0" collapsed="false">
      <c r="A42" s="1" t="s">
        <v>934</v>
      </c>
      <c r="B42" s="1" t="s">
        <v>935</v>
      </c>
      <c r="C42" s="1" t="s">
        <v>904</v>
      </c>
      <c r="D42" s="106" t="n">
        <v>1</v>
      </c>
      <c r="E42" s="243" t="n">
        <f aca="false">IFERROR(D42*VLOOKUP(F42,SUP_INSUMOS!B:F,4,0),0)</f>
        <v>0.124</v>
      </c>
      <c r="F42" s="1" t="s">
        <v>936</v>
      </c>
      <c r="G42" s="1" t="s">
        <v>937</v>
      </c>
    </row>
    <row r="43" customFormat="false" ht="15" hidden="false" customHeight="true" outlineLevel="0" collapsed="false">
      <c r="A43" s="1" t="s">
        <v>938</v>
      </c>
      <c r="B43" s="1" t="s">
        <v>939</v>
      </c>
      <c r="C43" s="1" t="s">
        <v>893</v>
      </c>
      <c r="D43" s="106" t="n">
        <v>0.05</v>
      </c>
      <c r="E43" s="249" t="n">
        <v>0.05</v>
      </c>
      <c r="G43" s="1" t="s">
        <v>940</v>
      </c>
    </row>
    <row r="44" customFormat="false" ht="15" hidden="false" customHeight="true" outlineLevel="0" collapsed="false">
      <c r="A44" s="1" t="s">
        <v>941</v>
      </c>
      <c r="B44" s="1" t="s">
        <v>942</v>
      </c>
      <c r="C44" s="1" t="s">
        <v>884</v>
      </c>
      <c r="D44" s="106" t="n">
        <v>0.015</v>
      </c>
      <c r="E44" s="249" t="n">
        <v>0.015</v>
      </c>
      <c r="G44" s="1" t="s">
        <v>943</v>
      </c>
    </row>
    <row r="46" customFormat="false" ht="15" hidden="false" customHeight="true" outlineLevel="0" collapsed="false">
      <c r="A46" s="60" t="s">
        <v>944</v>
      </c>
      <c r="B46" s="60"/>
      <c r="C46" s="60"/>
      <c r="D46" s="60"/>
      <c r="E46" s="60"/>
      <c r="F46" s="60"/>
      <c r="G46" s="60"/>
    </row>
    <row r="47" customFormat="false" ht="15" hidden="false" customHeight="true" outlineLevel="0" collapsed="false">
      <c r="A47" s="116" t="s">
        <v>665</v>
      </c>
      <c r="B47" s="116" t="s">
        <v>667</v>
      </c>
      <c r="C47" s="116" t="s">
        <v>945</v>
      </c>
      <c r="D47" s="116"/>
      <c r="E47" s="116" t="s">
        <v>946</v>
      </c>
    </row>
    <row r="48" customFormat="false" ht="15" hidden="false" customHeight="true" outlineLevel="0" collapsed="false">
      <c r="A48" s="1" t="s">
        <v>670</v>
      </c>
      <c r="B48" s="1" t="s">
        <v>672</v>
      </c>
      <c r="C48" s="250" t="n">
        <f aca="false">$F$101</f>
        <v>5.60705042625</v>
      </c>
      <c r="E48" s="1" t="s">
        <v>947</v>
      </c>
    </row>
    <row r="49" customFormat="false" ht="15" hidden="false" customHeight="true" outlineLevel="0" collapsed="false">
      <c r="A49" s="1" t="s">
        <v>675</v>
      </c>
      <c r="B49" s="1" t="s">
        <v>676</v>
      </c>
      <c r="C49" s="250" t="n">
        <f aca="false">$F$116</f>
        <v>6.86705042625</v>
      </c>
      <c r="E49" s="1" t="s">
        <v>948</v>
      </c>
    </row>
    <row r="50" customFormat="false" ht="15" hidden="false" customHeight="true" outlineLevel="0" collapsed="false">
      <c r="A50" s="1" t="s">
        <v>679</v>
      </c>
      <c r="B50" s="1" t="s">
        <v>680</v>
      </c>
      <c r="C50" s="250" t="n">
        <f aca="false">$F$129</f>
        <v>2.921125213125</v>
      </c>
      <c r="E50" s="1" t="s">
        <v>949</v>
      </c>
    </row>
    <row r="51" customFormat="false" ht="15" hidden="false" customHeight="true" outlineLevel="0" collapsed="false">
      <c r="A51" s="1" t="s">
        <v>683</v>
      </c>
      <c r="B51" s="1" t="s">
        <v>684</v>
      </c>
      <c r="C51" s="250" t="n">
        <f aca="false">$F$143</f>
        <v>4.181125213125</v>
      </c>
      <c r="E51" s="1" t="s">
        <v>950</v>
      </c>
    </row>
    <row r="52" customFormat="false" ht="15" hidden="false" customHeight="true" outlineLevel="0" collapsed="false">
      <c r="A52" s="1" t="s">
        <v>687</v>
      </c>
      <c r="B52" s="1" t="s">
        <v>688</v>
      </c>
      <c r="C52" s="250" t="n">
        <f aca="false">$F$154</f>
        <v>1.48586746875</v>
      </c>
      <c r="E52" s="1" t="s">
        <v>951</v>
      </c>
    </row>
    <row r="53" customFormat="false" ht="15" hidden="false" customHeight="true" outlineLevel="0" collapsed="false">
      <c r="A53" s="1" t="s">
        <v>691</v>
      </c>
      <c r="B53" s="1" t="s">
        <v>693</v>
      </c>
      <c r="C53" s="250" t="n">
        <f aca="false">$F$167</f>
        <v>5.95902502125</v>
      </c>
      <c r="E53" s="1" t="s">
        <v>952</v>
      </c>
    </row>
    <row r="54" customFormat="false" ht="15" hidden="false" customHeight="true" outlineLevel="0" collapsed="false">
      <c r="A54" s="1" t="s">
        <v>696</v>
      </c>
      <c r="B54" s="1" t="s">
        <v>697</v>
      </c>
      <c r="C54" s="250" t="n">
        <f aca="false">$F$182</f>
        <v>7.21902502125</v>
      </c>
      <c r="E54" s="1" t="s">
        <v>953</v>
      </c>
    </row>
    <row r="55" customFormat="false" ht="15" hidden="false" customHeight="true" outlineLevel="0" collapsed="false">
      <c r="A55" s="1" t="s">
        <v>700</v>
      </c>
      <c r="B55" s="1" t="s">
        <v>701</v>
      </c>
      <c r="C55" s="250" t="n">
        <f aca="false">$F$195</f>
        <v>3.053012510625</v>
      </c>
      <c r="E55" s="1" t="s">
        <v>954</v>
      </c>
    </row>
    <row r="56" customFormat="false" ht="15" hidden="false" customHeight="true" outlineLevel="0" collapsed="false">
      <c r="A56" s="1" t="s">
        <v>704</v>
      </c>
      <c r="B56" s="1" t="s">
        <v>705</v>
      </c>
      <c r="C56" s="250" t="n">
        <f aca="false">$F$207</f>
        <v>1.6379111175</v>
      </c>
      <c r="E56" s="1" t="s">
        <v>955</v>
      </c>
    </row>
    <row r="57" customFormat="false" ht="15" hidden="false" customHeight="true" outlineLevel="0" collapsed="false">
      <c r="A57" s="1" t="s">
        <v>708</v>
      </c>
      <c r="B57" s="1" t="s">
        <v>710</v>
      </c>
      <c r="C57" s="250" t="n">
        <f aca="false">$F$221</f>
        <v>0.808232840625</v>
      </c>
      <c r="E57" s="1" t="s">
        <v>956</v>
      </c>
    </row>
    <row r="58" customFormat="false" ht="15" hidden="false" customHeight="true" outlineLevel="0" collapsed="false">
      <c r="A58" s="1" t="s">
        <v>713</v>
      </c>
      <c r="B58" s="1" t="s">
        <v>715</v>
      </c>
      <c r="C58" s="250" t="n">
        <f aca="false">$F$232</f>
        <v>1.5236025</v>
      </c>
      <c r="E58" s="1" t="s">
        <v>957</v>
      </c>
    </row>
    <row r="59" customFormat="false" ht="15" hidden="false" customHeight="true" outlineLevel="0" collapsed="false">
      <c r="A59" s="1" t="s">
        <v>718</v>
      </c>
      <c r="B59" s="1" t="s">
        <v>720</v>
      </c>
      <c r="C59" s="250" t="n">
        <f aca="false">$F$249</f>
        <v>12.03412289625</v>
      </c>
      <c r="E59" s="1" t="s">
        <v>958</v>
      </c>
    </row>
    <row r="60" customFormat="false" ht="15" hidden="false" customHeight="true" outlineLevel="0" collapsed="false">
      <c r="A60" s="1" t="s">
        <v>723</v>
      </c>
      <c r="B60" s="1" t="s">
        <v>725</v>
      </c>
      <c r="C60" s="250" t="n">
        <f aca="false">$F$262</f>
        <v>2.589818</v>
      </c>
      <c r="E60" s="1" t="s">
        <v>959</v>
      </c>
    </row>
    <row r="61" customFormat="false" ht="15" hidden="false" customHeight="true" outlineLevel="0" collapsed="false">
      <c r="A61" s="1" t="s">
        <v>728</v>
      </c>
      <c r="B61" s="1" t="s">
        <v>729</v>
      </c>
      <c r="C61" s="250" t="n">
        <f aca="false">$F$275</f>
        <v>5.022136</v>
      </c>
      <c r="E61" s="1" t="s">
        <v>960</v>
      </c>
    </row>
    <row r="62" customFormat="false" ht="15" hidden="false" customHeight="true" outlineLevel="0" collapsed="false">
      <c r="A62" s="1" t="s">
        <v>732</v>
      </c>
      <c r="B62" s="1" t="s">
        <v>734</v>
      </c>
      <c r="C62" s="250" t="n">
        <f aca="false">$F$282</f>
        <v>1.26</v>
      </c>
      <c r="E62" s="1" t="s">
        <v>961</v>
      </c>
    </row>
    <row r="63" customFormat="false" ht="15" hidden="false" customHeight="true" outlineLevel="0" collapsed="false">
      <c r="A63" s="1" t="s">
        <v>737</v>
      </c>
      <c r="B63" s="1" t="s">
        <v>738</v>
      </c>
      <c r="C63" s="250" t="n">
        <f aca="false">$F$292</f>
        <v>0.29316</v>
      </c>
      <c r="E63" s="1" t="s">
        <v>962</v>
      </c>
    </row>
    <row r="64" customFormat="false" ht="15" hidden="false" customHeight="true" outlineLevel="0" collapsed="false">
      <c r="A64" s="1" t="s">
        <v>741</v>
      </c>
      <c r="B64" s="1" t="s">
        <v>742</v>
      </c>
      <c r="C64" s="250" t="n">
        <f aca="false">$F$300</f>
        <v>0.7705331025</v>
      </c>
      <c r="E64" s="1" t="s">
        <v>963</v>
      </c>
    </row>
    <row r="68" customFormat="false" ht="15" hidden="false" customHeight="true" outlineLevel="0" collapsed="false">
      <c r="A68" s="251" t="s">
        <v>964</v>
      </c>
      <c r="B68" s="251" t="s">
        <v>965</v>
      </c>
      <c r="C68" s="251"/>
      <c r="D68" s="251"/>
      <c r="E68" s="251"/>
      <c r="F68" s="251"/>
      <c r="G68" s="251"/>
    </row>
    <row r="69" customFormat="false" ht="15" hidden="false" customHeight="true" outlineLevel="0" collapsed="false">
      <c r="B69" s="252" t="s">
        <v>966</v>
      </c>
      <c r="C69" s="252" t="s">
        <v>967</v>
      </c>
      <c r="D69" s="252" t="s">
        <v>849</v>
      </c>
      <c r="E69" s="252" t="s">
        <v>968</v>
      </c>
      <c r="F69" s="252" t="s">
        <v>969</v>
      </c>
      <c r="G69" s="252" t="s">
        <v>970</v>
      </c>
    </row>
    <row r="70" customFormat="false" ht="15" hidden="false" customHeight="true" outlineLevel="0" collapsed="false">
      <c r="B70" s="1" t="s">
        <v>971</v>
      </c>
      <c r="C70" s="253" t="n">
        <f aca="false">$C$6</f>
        <v>1.65</v>
      </c>
      <c r="D70" s="1" t="s">
        <v>972</v>
      </c>
      <c r="E70" s="254" t="n">
        <f aca="false">$E$19</f>
        <v>2.2</v>
      </c>
      <c r="F70" s="1" t="n">
        <f aca="false">C70*E70</f>
        <v>3.63</v>
      </c>
    </row>
    <row r="71" customFormat="false" ht="15" hidden="false" customHeight="true" outlineLevel="0" collapsed="false">
      <c r="B71" s="1" t="s">
        <v>973</v>
      </c>
      <c r="C71" s="253" t="n">
        <f aca="false">$C$6</f>
        <v>1.65</v>
      </c>
      <c r="D71" s="1" t="s">
        <v>972</v>
      </c>
      <c r="E71" s="254" t="n">
        <f aca="false">$E$20</f>
        <v>0.111</v>
      </c>
      <c r="F71" s="1" t="n">
        <f aca="false">C71*E71</f>
        <v>0.18315</v>
      </c>
    </row>
    <row r="72" customFormat="false" ht="15" hidden="false" customHeight="true" outlineLevel="0" collapsed="false">
      <c r="B72" s="1" t="s">
        <v>974</v>
      </c>
      <c r="C72" s="1" t="n">
        <v>1</v>
      </c>
      <c r="D72" s="1" t="s">
        <v>975</v>
      </c>
      <c r="E72" s="254" t="n">
        <f aca="false">$E$40</f>
        <v>0.08</v>
      </c>
      <c r="F72" s="1" t="n">
        <f aca="false">C72*E72</f>
        <v>0.08</v>
      </c>
    </row>
    <row r="73" customFormat="false" ht="15" hidden="false" customHeight="true" outlineLevel="0" collapsed="false">
      <c r="B73" s="1" t="s">
        <v>976</v>
      </c>
      <c r="F73" s="1" t="n">
        <f aca="false">SUM(F70:F72)</f>
        <v>3.89315</v>
      </c>
    </row>
    <row r="74" customFormat="false" ht="15" hidden="false" customHeight="true" outlineLevel="0" collapsed="false">
      <c r="B74" s="1" t="s">
        <v>977</v>
      </c>
      <c r="F74" s="1" t="n">
        <f aca="false">F73*$C$15</f>
        <v>0.1946575</v>
      </c>
    </row>
    <row r="75" customFormat="false" ht="15" hidden="false" customHeight="true" outlineLevel="0" collapsed="false">
      <c r="B75" s="29" t="s">
        <v>978</v>
      </c>
      <c r="C75" s="29"/>
      <c r="D75" s="29"/>
      <c r="E75" s="29"/>
      <c r="F75" s="29" t="n">
        <f aca="false">F73+F74</f>
        <v>4.0878075</v>
      </c>
    </row>
    <row r="76" customFormat="false" ht="15" hidden="false" customHeight="true" outlineLevel="0" collapsed="false">
      <c r="B76" s="1" t="s">
        <v>979</v>
      </c>
    </row>
    <row r="78" customFormat="false" ht="15" hidden="false" customHeight="true" outlineLevel="0" collapsed="false">
      <c r="A78" s="251" t="s">
        <v>980</v>
      </c>
      <c r="B78" s="251" t="s">
        <v>981</v>
      </c>
      <c r="C78" s="251"/>
      <c r="D78" s="251"/>
      <c r="E78" s="251"/>
      <c r="F78" s="251"/>
      <c r="G78" s="251"/>
    </row>
    <row r="79" customFormat="false" ht="15" hidden="false" customHeight="true" outlineLevel="0" collapsed="false">
      <c r="B79" s="252" t="s">
        <v>966</v>
      </c>
      <c r="C79" s="252" t="s">
        <v>967</v>
      </c>
      <c r="D79" s="252" t="s">
        <v>849</v>
      </c>
      <c r="E79" s="252" t="s">
        <v>968</v>
      </c>
      <c r="F79" s="252" t="s">
        <v>969</v>
      </c>
      <c r="G79" s="252" t="s">
        <v>970</v>
      </c>
    </row>
    <row r="80" customFormat="false" ht="15" hidden="false" customHeight="true" outlineLevel="0" collapsed="false">
      <c r="B80" s="1" t="str">
        <f aca="false">"Pollo crudo ("&amp;TEXT($C$6,"0.00")&amp;" kg ÷ "&amp;$C$9&amp;" piezas = "&amp;TEXT($C$6/$C$9*1000,"0")&amp;" g/pieza)"</f>
        <v>Pollo crudo (1.65 kg ÷ 9 piezas = 183 g/pieza)</v>
      </c>
      <c r="C80" s="1" t="n">
        <f aca="false">$C$6/$C$9</f>
        <v>0.183333333333333</v>
      </c>
      <c r="D80" s="1" t="s">
        <v>972</v>
      </c>
      <c r="E80" s="254" t="n">
        <f aca="false">$E$19</f>
        <v>2.2</v>
      </c>
      <c r="F80" s="1" t="n">
        <f aca="false">C80*E80</f>
        <v>0.403333333333333</v>
      </c>
      <c r="G80" s="1" t="str">
        <f aca="false">"Beneficio del corte 9 piezas: 8 piezas = "&amp;TEXT($C$6*8/$C$9*1000,"#,##0")&amp;" g de ave, no un pollo completo"</f>
        <v>Beneficio del corte 9 piezas: 8 piezas = 1,467 g de ave, no un pollo completo</v>
      </c>
    </row>
    <row r="81" customFormat="false" ht="15" hidden="false" customHeight="true" outlineLevel="0" collapsed="false">
      <c r="B81" s="1" t="s">
        <v>973</v>
      </c>
      <c r="C81" s="1" t="n">
        <f aca="false">$C$6/$C$9</f>
        <v>0.183333333333333</v>
      </c>
      <c r="D81" s="1" t="s">
        <v>972</v>
      </c>
      <c r="E81" s="254" t="n">
        <f aca="false">$E$20</f>
        <v>0.111</v>
      </c>
      <c r="F81" s="1" t="n">
        <f aca="false">C81*E81</f>
        <v>0.02035</v>
      </c>
    </row>
    <row r="82" customFormat="false" ht="15" hidden="false" customHeight="true" outlineLevel="0" collapsed="false">
      <c r="B82" s="1" t="s">
        <v>982</v>
      </c>
      <c r="C82" s="1" t="n">
        <f aca="false">$C$6/$C$9</f>
        <v>0.183333333333333</v>
      </c>
      <c r="D82" s="1" t="s">
        <v>972</v>
      </c>
      <c r="E82" s="254" t="n">
        <f aca="false">$E$27</f>
        <v>0.52291</v>
      </c>
      <c r="F82" s="1" t="n">
        <f aca="false">C82*E82</f>
        <v>0.0958668333333333</v>
      </c>
    </row>
    <row r="83" customFormat="false" ht="15" hidden="false" customHeight="true" outlineLevel="0" collapsed="false">
      <c r="B83" s="1" t="s">
        <v>983</v>
      </c>
      <c r="C83" s="1" t="n">
        <v>0.2</v>
      </c>
      <c r="D83" s="1" t="s">
        <v>984</v>
      </c>
      <c r="E83" s="254" t="n">
        <f aca="false">$E$28</f>
        <v>0.01</v>
      </c>
      <c r="F83" s="1" t="n">
        <f aca="false">C83*E83</f>
        <v>0.002</v>
      </c>
    </row>
    <row r="84" customFormat="false" ht="15" hidden="false" customHeight="true" outlineLevel="0" collapsed="false">
      <c r="B84" s="1" t="s">
        <v>985</v>
      </c>
      <c r="C84" s="1" t="n">
        <v>1</v>
      </c>
      <c r="D84" s="1" t="s">
        <v>984</v>
      </c>
      <c r="E84" s="254" t="n">
        <f aca="false">$E$44</f>
        <v>0.015</v>
      </c>
      <c r="F84" s="1" t="n">
        <f aca="false">C84*E84</f>
        <v>0.015</v>
      </c>
    </row>
    <row r="85" customFormat="false" ht="15" hidden="false" customHeight="true" outlineLevel="0" collapsed="false">
      <c r="B85" s="1" t="s">
        <v>976</v>
      </c>
      <c r="F85" s="1" t="n">
        <f aca="false">SUM(F80:F84)</f>
        <v>0.536550166666667</v>
      </c>
    </row>
    <row r="86" customFormat="false" ht="15" hidden="false" customHeight="true" outlineLevel="0" collapsed="false">
      <c r="B86" s="1" t="s">
        <v>977</v>
      </c>
      <c r="F86" s="1" t="n">
        <f aca="false">F85*$C$15</f>
        <v>0.0268275083333333</v>
      </c>
    </row>
    <row r="87" customFormat="false" ht="15" hidden="false" customHeight="true" outlineLevel="0" collapsed="false">
      <c r="B87" s="29" t="s">
        <v>978</v>
      </c>
      <c r="C87" s="29"/>
      <c r="D87" s="29"/>
      <c r="E87" s="29"/>
      <c r="F87" s="29" t="n">
        <f aca="false">F85+F86</f>
        <v>0.563377675</v>
      </c>
    </row>
    <row r="88" customFormat="false" ht="15" hidden="false" customHeight="true" outlineLevel="0" collapsed="false">
      <c r="B88" s="1" t="s">
        <v>986</v>
      </c>
    </row>
    <row r="90" customFormat="false" ht="15" hidden="false" customHeight="true" outlineLevel="0" collapsed="false">
      <c r="A90" s="251" t="s">
        <v>670</v>
      </c>
      <c r="B90" s="251" t="s">
        <v>987</v>
      </c>
      <c r="C90" s="251"/>
      <c r="D90" s="251"/>
      <c r="E90" s="251"/>
      <c r="F90" s="251"/>
      <c r="G90" s="251"/>
    </row>
    <row r="91" customFormat="false" ht="15" hidden="false" customHeight="true" outlineLevel="0" collapsed="false">
      <c r="B91" s="252" t="s">
        <v>966</v>
      </c>
      <c r="C91" s="252" t="s">
        <v>967</v>
      </c>
      <c r="D91" s="252" t="s">
        <v>849</v>
      </c>
      <c r="E91" s="252" t="s">
        <v>968</v>
      </c>
      <c r="F91" s="252" t="s">
        <v>969</v>
      </c>
      <c r="G91" s="252" t="s">
        <v>970</v>
      </c>
    </row>
    <row r="92" customFormat="false" ht="15" hidden="false" customHeight="true" outlineLevel="0" collapsed="false">
      <c r="B92" s="1" t="s">
        <v>988</v>
      </c>
      <c r="C92" s="1" t="n">
        <v>1</v>
      </c>
      <c r="D92" s="1" t="s">
        <v>975</v>
      </c>
      <c r="E92" s="1" t="n">
        <f aca="false">$F$75</f>
        <v>4.0878075</v>
      </c>
      <c r="F92" s="1" t="n">
        <f aca="false">C92*E92</f>
        <v>4.0878075</v>
      </c>
    </row>
    <row r="93" customFormat="false" ht="15" hidden="false" customHeight="true" outlineLevel="0" collapsed="false">
      <c r="B93" s="1" t="s">
        <v>989</v>
      </c>
      <c r="C93" s="1" t="n">
        <v>2</v>
      </c>
      <c r="D93" s="1" t="s">
        <v>990</v>
      </c>
      <c r="E93" s="1" t="n">
        <f aca="false">$F$292</f>
        <v>0.29316</v>
      </c>
      <c r="F93" s="1" t="n">
        <f aca="false">C93*E93</f>
        <v>0.58632</v>
      </c>
    </row>
    <row r="94" customFormat="false" ht="15" hidden="false" customHeight="true" outlineLevel="0" collapsed="false">
      <c r="B94" s="1" t="s">
        <v>991</v>
      </c>
      <c r="C94" s="1" t="n">
        <v>2</v>
      </c>
      <c r="D94" s="1" t="s">
        <v>992</v>
      </c>
      <c r="E94" s="254" t="n">
        <f aca="false">$E$30</f>
        <v>0.1709602625</v>
      </c>
      <c r="F94" s="1" t="n">
        <f aca="false">C94*E94</f>
        <v>0.341920525</v>
      </c>
    </row>
    <row r="95" customFormat="false" ht="15" hidden="false" customHeight="true" outlineLevel="0" collapsed="false">
      <c r="B95" s="1" t="s">
        <v>993</v>
      </c>
      <c r="C95" s="1" t="n">
        <v>1</v>
      </c>
      <c r="D95" s="1" t="s">
        <v>990</v>
      </c>
      <c r="E95" s="254" t="n">
        <f aca="false">$E$42</f>
        <v>0.124</v>
      </c>
      <c r="F95" s="1" t="n">
        <f aca="false">C95*E95</f>
        <v>0.124</v>
      </c>
    </row>
    <row r="96" customFormat="false" ht="15" hidden="false" customHeight="true" outlineLevel="0" collapsed="false">
      <c r="B96" s="1" t="s">
        <v>909</v>
      </c>
      <c r="C96" s="1" t="n">
        <v>1</v>
      </c>
      <c r="D96" s="1" t="s">
        <v>992</v>
      </c>
      <c r="E96" s="254" t="n">
        <f aca="false">$E$34</f>
        <v>0.1</v>
      </c>
      <c r="F96" s="1" t="n">
        <f aca="false">C96*E96</f>
        <v>0.1</v>
      </c>
    </row>
    <row r="97" customFormat="false" ht="15" hidden="false" customHeight="true" outlineLevel="0" collapsed="false">
      <c r="B97" s="1" t="s">
        <v>994</v>
      </c>
      <c r="C97" s="1" t="n">
        <v>4</v>
      </c>
      <c r="D97" s="1" t="s">
        <v>992</v>
      </c>
      <c r="E97" s="254" t="n">
        <f aca="false">$E$38</f>
        <v>0.01</v>
      </c>
      <c r="F97" s="1" t="n">
        <f aca="false">C97*E97</f>
        <v>0.04</v>
      </c>
    </row>
    <row r="98" customFormat="false" ht="15" hidden="false" customHeight="true" outlineLevel="0" collapsed="false">
      <c r="B98" s="1" t="s">
        <v>995</v>
      </c>
      <c r="C98" s="1" t="n">
        <v>2</v>
      </c>
      <c r="D98" s="1" t="s">
        <v>992</v>
      </c>
      <c r="E98" s="254" t="n">
        <f aca="false">$E$39</f>
        <v>0.03</v>
      </c>
      <c r="F98" s="1" t="n">
        <f aca="false">C98*E98</f>
        <v>0.06</v>
      </c>
    </row>
    <row r="99" customFormat="false" ht="15" hidden="false" customHeight="true" outlineLevel="0" collapsed="false">
      <c r="B99" s="1" t="s">
        <v>976</v>
      </c>
      <c r="F99" s="1" t="n">
        <f aca="false">SUM(F92:F98)</f>
        <v>5.340048025</v>
      </c>
    </row>
    <row r="100" customFormat="false" ht="15" hidden="false" customHeight="true" outlineLevel="0" collapsed="false">
      <c r="B100" s="1" t="s">
        <v>977</v>
      </c>
      <c r="F100" s="1" t="n">
        <f aca="false">F99*$C$15</f>
        <v>0.26700240125</v>
      </c>
    </row>
    <row r="101" customFormat="false" ht="15" hidden="false" customHeight="true" outlineLevel="0" collapsed="false">
      <c r="B101" s="29" t="s">
        <v>978</v>
      </c>
      <c r="C101" s="29"/>
      <c r="D101" s="29"/>
      <c r="E101" s="29"/>
      <c r="F101" s="29" t="n">
        <f aca="false">F99+F100</f>
        <v>5.60705042625</v>
      </c>
    </row>
    <row r="102" customFormat="false" ht="15" hidden="false" customHeight="true" outlineLevel="0" collapsed="false">
      <c r="B102" s="1" t="s">
        <v>996</v>
      </c>
    </row>
    <row r="104" customFormat="false" ht="15" hidden="false" customHeight="true" outlineLevel="0" collapsed="false">
      <c r="A104" s="251" t="s">
        <v>675</v>
      </c>
      <c r="B104" s="251" t="s">
        <v>997</v>
      </c>
      <c r="C104" s="251"/>
      <c r="D104" s="251"/>
      <c r="E104" s="251"/>
      <c r="F104" s="251"/>
      <c r="G104" s="251"/>
    </row>
    <row r="105" customFormat="false" ht="15" hidden="false" customHeight="true" outlineLevel="0" collapsed="false">
      <c r="B105" s="252" t="s">
        <v>966</v>
      </c>
      <c r="C105" s="252" t="s">
        <v>967</v>
      </c>
      <c r="D105" s="252" t="s">
        <v>849</v>
      </c>
      <c r="E105" s="252" t="s">
        <v>968</v>
      </c>
      <c r="F105" s="252" t="s">
        <v>969</v>
      </c>
      <c r="G105" s="252" t="s">
        <v>970</v>
      </c>
    </row>
    <row r="106" customFormat="false" ht="15" hidden="false" customHeight="true" outlineLevel="0" collapsed="false">
      <c r="B106" s="1" t="s">
        <v>988</v>
      </c>
      <c r="C106" s="1" t="n">
        <v>1</v>
      </c>
      <c r="D106" s="1" t="s">
        <v>975</v>
      </c>
      <c r="E106" s="1" t="n">
        <f aca="false">$F$75</f>
        <v>4.0878075</v>
      </c>
      <c r="F106" s="1" t="n">
        <f aca="false">C106*E106</f>
        <v>4.0878075</v>
      </c>
    </row>
    <row r="107" customFormat="false" ht="15" hidden="false" customHeight="true" outlineLevel="0" collapsed="false">
      <c r="B107" s="1" t="s">
        <v>989</v>
      </c>
      <c r="C107" s="1" t="n">
        <v>2</v>
      </c>
      <c r="D107" s="1" t="s">
        <v>990</v>
      </c>
      <c r="E107" s="1" t="n">
        <f aca="false">$F$292</f>
        <v>0.29316</v>
      </c>
      <c r="F107" s="1" t="n">
        <f aca="false">C107*E107</f>
        <v>0.58632</v>
      </c>
    </row>
    <row r="108" customFormat="false" ht="15" hidden="false" customHeight="true" outlineLevel="0" collapsed="false">
      <c r="B108" s="1" t="s">
        <v>991</v>
      </c>
      <c r="C108" s="1" t="n">
        <v>2</v>
      </c>
      <c r="D108" s="1" t="s">
        <v>992</v>
      </c>
      <c r="E108" s="254" t="n">
        <f aca="false">$E$30</f>
        <v>0.1709602625</v>
      </c>
      <c r="F108" s="1" t="n">
        <f aca="false">C108*E108</f>
        <v>0.341920525</v>
      </c>
    </row>
    <row r="109" customFormat="false" ht="15" hidden="false" customHeight="true" outlineLevel="0" collapsed="false">
      <c r="B109" s="1" t="s">
        <v>993</v>
      </c>
      <c r="C109" s="1" t="n">
        <v>1</v>
      </c>
      <c r="D109" s="1" t="s">
        <v>990</v>
      </c>
      <c r="E109" s="254" t="n">
        <f aca="false">$E$42</f>
        <v>0.124</v>
      </c>
      <c r="F109" s="1" t="n">
        <f aca="false">C109*E109</f>
        <v>0.124</v>
      </c>
    </row>
    <row r="110" customFormat="false" ht="15" hidden="false" customHeight="true" outlineLevel="0" collapsed="false">
      <c r="B110" s="1" t="s">
        <v>909</v>
      </c>
      <c r="C110" s="1" t="n">
        <v>1</v>
      </c>
      <c r="D110" s="1" t="s">
        <v>992</v>
      </c>
      <c r="E110" s="254" t="n">
        <f aca="false">$E$34</f>
        <v>0.1</v>
      </c>
      <c r="F110" s="1" t="n">
        <f aca="false">C110*E110</f>
        <v>0.1</v>
      </c>
    </row>
    <row r="111" customFormat="false" ht="15" hidden="false" customHeight="true" outlineLevel="0" collapsed="false">
      <c r="B111" s="1" t="s">
        <v>994</v>
      </c>
      <c r="C111" s="1" t="n">
        <v>4</v>
      </c>
      <c r="D111" s="1" t="s">
        <v>992</v>
      </c>
      <c r="E111" s="254" t="n">
        <f aca="false">$E$38</f>
        <v>0.01</v>
      </c>
      <c r="F111" s="1" t="n">
        <f aca="false">C111*E111</f>
        <v>0.04</v>
      </c>
    </row>
    <row r="112" customFormat="false" ht="15" hidden="false" customHeight="true" outlineLevel="0" collapsed="false">
      <c r="B112" s="1" t="s">
        <v>995</v>
      </c>
      <c r="C112" s="1" t="n">
        <v>2</v>
      </c>
      <c r="D112" s="1" t="s">
        <v>992</v>
      </c>
      <c r="E112" s="254" t="n">
        <f aca="false">$E$39</f>
        <v>0.03</v>
      </c>
      <c r="F112" s="1" t="n">
        <f aca="false">C112*E112</f>
        <v>0.06</v>
      </c>
    </row>
    <row r="113" customFormat="false" ht="15" hidden="false" customHeight="true" outlineLevel="0" collapsed="false">
      <c r="B113" s="1" t="s">
        <v>998</v>
      </c>
      <c r="C113" s="1" t="n">
        <v>1</v>
      </c>
      <c r="D113" s="1" t="s">
        <v>992</v>
      </c>
      <c r="E113" s="254" t="n">
        <f aca="false">$E$32</f>
        <v>1.2</v>
      </c>
      <c r="F113" s="1" t="n">
        <f aca="false">C113*E113</f>
        <v>1.2</v>
      </c>
    </row>
    <row r="114" customFormat="false" ht="15" hidden="false" customHeight="true" outlineLevel="0" collapsed="false">
      <c r="B114" s="1" t="s">
        <v>976</v>
      </c>
      <c r="F114" s="1" t="n">
        <f aca="false">SUM(F106:F113)</f>
        <v>6.540048025</v>
      </c>
    </row>
    <row r="115" customFormat="false" ht="15" hidden="false" customHeight="true" outlineLevel="0" collapsed="false">
      <c r="B115" s="1" t="s">
        <v>977</v>
      </c>
      <c r="F115" s="1" t="n">
        <f aca="false">F114*$C$15</f>
        <v>0.32700240125</v>
      </c>
    </row>
    <row r="116" customFormat="false" ht="15" hidden="false" customHeight="true" outlineLevel="0" collapsed="false">
      <c r="B116" s="29" t="s">
        <v>978</v>
      </c>
      <c r="C116" s="29"/>
      <c r="D116" s="29"/>
      <c r="E116" s="29"/>
      <c r="F116" s="29" t="n">
        <f aca="false">F114+F115</f>
        <v>6.86705042625</v>
      </c>
    </row>
    <row r="118" customFormat="false" ht="15" hidden="false" customHeight="true" outlineLevel="0" collapsed="false">
      <c r="A118" s="251" t="s">
        <v>679</v>
      </c>
      <c r="B118" s="251" t="s">
        <v>999</v>
      </c>
      <c r="C118" s="251"/>
      <c r="D118" s="251"/>
      <c r="E118" s="251"/>
      <c r="F118" s="251"/>
      <c r="G118" s="251"/>
    </row>
    <row r="119" customFormat="false" ht="15" hidden="false" customHeight="true" outlineLevel="0" collapsed="false">
      <c r="B119" s="252" t="s">
        <v>966</v>
      </c>
      <c r="C119" s="252" t="s">
        <v>967</v>
      </c>
      <c r="D119" s="252" t="s">
        <v>849</v>
      </c>
      <c r="E119" s="252" t="s">
        <v>968</v>
      </c>
      <c r="F119" s="252" t="s">
        <v>969</v>
      </c>
      <c r="G119" s="252" t="s">
        <v>970</v>
      </c>
    </row>
    <row r="120" customFormat="false" ht="15" hidden="false" customHeight="true" outlineLevel="0" collapsed="false">
      <c r="B120" s="1" t="s">
        <v>988</v>
      </c>
      <c r="C120" s="1" t="n">
        <v>0.5</v>
      </c>
      <c r="D120" s="1" t="s">
        <v>975</v>
      </c>
      <c r="E120" s="1" t="n">
        <f aca="false">$F$75</f>
        <v>4.0878075</v>
      </c>
      <c r="F120" s="1" t="n">
        <f aca="false">C120*E120</f>
        <v>2.04390375</v>
      </c>
    </row>
    <row r="121" customFormat="false" ht="15" hidden="false" customHeight="true" outlineLevel="0" collapsed="false">
      <c r="B121" s="1" t="s">
        <v>1000</v>
      </c>
      <c r="C121" s="1" t="n">
        <v>1</v>
      </c>
      <c r="D121" s="1" t="s">
        <v>990</v>
      </c>
      <c r="E121" s="1" t="n">
        <f aca="false">$F$292</f>
        <v>0.29316</v>
      </c>
      <c r="F121" s="1" t="n">
        <f aca="false">C121*E121</f>
        <v>0.29316</v>
      </c>
    </row>
    <row r="122" customFormat="false" ht="15" hidden="false" customHeight="true" outlineLevel="0" collapsed="false">
      <c r="B122" s="1" t="s">
        <v>1001</v>
      </c>
      <c r="C122" s="1" t="n">
        <v>1</v>
      </c>
      <c r="D122" s="1" t="s">
        <v>992</v>
      </c>
      <c r="E122" s="254" t="n">
        <f aca="false">$E$30</f>
        <v>0.1709602625</v>
      </c>
      <c r="F122" s="1" t="n">
        <f aca="false">C122*E122</f>
        <v>0.1709602625</v>
      </c>
    </row>
    <row r="123" customFormat="false" ht="15" hidden="false" customHeight="true" outlineLevel="0" collapsed="false">
      <c r="B123" s="1" t="s">
        <v>993</v>
      </c>
      <c r="C123" s="1" t="n">
        <v>1</v>
      </c>
      <c r="D123" s="1" t="s">
        <v>990</v>
      </c>
      <c r="E123" s="254" t="n">
        <f aca="false">$E$42</f>
        <v>0.124</v>
      </c>
      <c r="F123" s="1" t="n">
        <f aca="false">C123*E123</f>
        <v>0.124</v>
      </c>
    </row>
    <row r="124" customFormat="false" ht="15" hidden="false" customHeight="true" outlineLevel="0" collapsed="false">
      <c r="B124" s="1" t="s">
        <v>909</v>
      </c>
      <c r="C124" s="1" t="n">
        <v>1</v>
      </c>
      <c r="D124" s="1" t="s">
        <v>992</v>
      </c>
      <c r="E124" s="254" t="n">
        <f aca="false">$E$34</f>
        <v>0.1</v>
      </c>
      <c r="F124" s="1" t="n">
        <f aca="false">C124*E124</f>
        <v>0.1</v>
      </c>
    </row>
    <row r="125" customFormat="false" ht="15" hidden="false" customHeight="true" outlineLevel="0" collapsed="false">
      <c r="B125" s="1" t="s">
        <v>994</v>
      </c>
      <c r="C125" s="1" t="n">
        <v>2</v>
      </c>
      <c r="D125" s="1" t="s">
        <v>992</v>
      </c>
      <c r="E125" s="254" t="n">
        <f aca="false">$E$38</f>
        <v>0.01</v>
      </c>
      <c r="F125" s="1" t="n">
        <f aca="false">C125*E125</f>
        <v>0.02</v>
      </c>
    </row>
    <row r="126" customFormat="false" ht="15" hidden="false" customHeight="true" outlineLevel="0" collapsed="false">
      <c r="B126" s="1" t="s">
        <v>1002</v>
      </c>
      <c r="C126" s="1" t="n">
        <v>1</v>
      </c>
      <c r="D126" s="1" t="s">
        <v>992</v>
      </c>
      <c r="E126" s="254" t="n">
        <f aca="false">$E$39</f>
        <v>0.03</v>
      </c>
      <c r="F126" s="1" t="n">
        <f aca="false">C126*E126</f>
        <v>0.03</v>
      </c>
    </row>
    <row r="127" customFormat="false" ht="15" hidden="false" customHeight="true" outlineLevel="0" collapsed="false">
      <c r="B127" s="1" t="s">
        <v>976</v>
      </c>
      <c r="F127" s="1" t="n">
        <f aca="false">SUM(F120:F126)</f>
        <v>2.7820240125</v>
      </c>
    </row>
    <row r="128" customFormat="false" ht="15" hidden="false" customHeight="true" outlineLevel="0" collapsed="false">
      <c r="B128" s="1" t="s">
        <v>977</v>
      </c>
      <c r="F128" s="1" t="n">
        <f aca="false">F127*$C$15</f>
        <v>0.139101200625</v>
      </c>
    </row>
    <row r="129" customFormat="false" ht="15" hidden="false" customHeight="true" outlineLevel="0" collapsed="false">
      <c r="B129" s="29" t="s">
        <v>978</v>
      </c>
      <c r="C129" s="29"/>
      <c r="D129" s="29"/>
      <c r="E129" s="29"/>
      <c r="F129" s="29" t="n">
        <f aca="false">F127+F128</f>
        <v>2.921125213125</v>
      </c>
    </row>
    <row r="131" customFormat="false" ht="15" hidden="false" customHeight="true" outlineLevel="0" collapsed="false">
      <c r="A131" s="251" t="s">
        <v>683</v>
      </c>
      <c r="B131" s="251" t="s">
        <v>1003</v>
      </c>
      <c r="C131" s="251"/>
      <c r="D131" s="251"/>
      <c r="E131" s="251"/>
      <c r="F131" s="251"/>
      <c r="G131" s="251"/>
    </row>
    <row r="132" customFormat="false" ht="15" hidden="false" customHeight="true" outlineLevel="0" collapsed="false">
      <c r="B132" s="252" t="s">
        <v>966</v>
      </c>
      <c r="C132" s="252" t="s">
        <v>967</v>
      </c>
      <c r="D132" s="252" t="s">
        <v>849</v>
      </c>
      <c r="E132" s="252" t="s">
        <v>968</v>
      </c>
      <c r="F132" s="252" t="s">
        <v>969</v>
      </c>
      <c r="G132" s="252" t="s">
        <v>970</v>
      </c>
    </row>
    <row r="133" customFormat="false" ht="15" hidden="false" customHeight="true" outlineLevel="0" collapsed="false">
      <c r="B133" s="1" t="s">
        <v>988</v>
      </c>
      <c r="C133" s="1" t="n">
        <v>0.5</v>
      </c>
      <c r="D133" s="1" t="s">
        <v>975</v>
      </c>
      <c r="E133" s="1" t="n">
        <f aca="false">$F$75</f>
        <v>4.0878075</v>
      </c>
      <c r="F133" s="1" t="n">
        <f aca="false">C133*E133</f>
        <v>2.04390375</v>
      </c>
    </row>
    <row r="134" customFormat="false" ht="15" hidden="false" customHeight="true" outlineLevel="0" collapsed="false">
      <c r="B134" s="1" t="s">
        <v>1000</v>
      </c>
      <c r="C134" s="1" t="n">
        <v>1</v>
      </c>
      <c r="D134" s="1" t="s">
        <v>990</v>
      </c>
      <c r="E134" s="1" t="n">
        <f aca="false">$F$292</f>
        <v>0.29316</v>
      </c>
      <c r="F134" s="1" t="n">
        <f aca="false">C134*E134</f>
        <v>0.29316</v>
      </c>
    </row>
    <row r="135" customFormat="false" ht="15" hidden="false" customHeight="true" outlineLevel="0" collapsed="false">
      <c r="B135" s="1" t="s">
        <v>1001</v>
      </c>
      <c r="C135" s="1" t="n">
        <v>1</v>
      </c>
      <c r="D135" s="1" t="s">
        <v>992</v>
      </c>
      <c r="E135" s="254" t="n">
        <f aca="false">$E$30</f>
        <v>0.1709602625</v>
      </c>
      <c r="F135" s="1" t="n">
        <f aca="false">C135*E135</f>
        <v>0.1709602625</v>
      </c>
    </row>
    <row r="136" customFormat="false" ht="15" hidden="false" customHeight="true" outlineLevel="0" collapsed="false">
      <c r="B136" s="1" t="s">
        <v>993</v>
      </c>
      <c r="C136" s="1" t="n">
        <v>1</v>
      </c>
      <c r="D136" s="1" t="s">
        <v>990</v>
      </c>
      <c r="E136" s="254" t="n">
        <f aca="false">$E$42</f>
        <v>0.124</v>
      </c>
      <c r="F136" s="1" t="n">
        <f aca="false">C136*E136</f>
        <v>0.124</v>
      </c>
    </row>
    <row r="137" customFormat="false" ht="15" hidden="false" customHeight="true" outlineLevel="0" collapsed="false">
      <c r="B137" s="1" t="s">
        <v>909</v>
      </c>
      <c r="C137" s="1" t="n">
        <v>1</v>
      </c>
      <c r="D137" s="1" t="s">
        <v>992</v>
      </c>
      <c r="E137" s="254" t="n">
        <f aca="false">$E$34</f>
        <v>0.1</v>
      </c>
      <c r="F137" s="1" t="n">
        <f aca="false">C137*E137</f>
        <v>0.1</v>
      </c>
    </row>
    <row r="138" customFormat="false" ht="15" hidden="false" customHeight="true" outlineLevel="0" collapsed="false">
      <c r="B138" s="1" t="s">
        <v>994</v>
      </c>
      <c r="C138" s="1" t="n">
        <v>2</v>
      </c>
      <c r="D138" s="1" t="s">
        <v>992</v>
      </c>
      <c r="E138" s="254" t="n">
        <f aca="false">$E$38</f>
        <v>0.01</v>
      </c>
      <c r="F138" s="1" t="n">
        <f aca="false">C138*E138</f>
        <v>0.02</v>
      </c>
    </row>
    <row r="139" customFormat="false" ht="15" hidden="false" customHeight="true" outlineLevel="0" collapsed="false">
      <c r="B139" s="1" t="s">
        <v>1002</v>
      </c>
      <c r="C139" s="1" t="n">
        <v>1</v>
      </c>
      <c r="D139" s="1" t="s">
        <v>992</v>
      </c>
      <c r="E139" s="254" t="n">
        <f aca="false">$E$39</f>
        <v>0.03</v>
      </c>
      <c r="F139" s="1" t="n">
        <f aca="false">C139*E139</f>
        <v>0.03</v>
      </c>
    </row>
    <row r="140" customFormat="false" ht="15" hidden="false" customHeight="true" outlineLevel="0" collapsed="false">
      <c r="B140" s="1" t="s">
        <v>998</v>
      </c>
      <c r="C140" s="1" t="n">
        <v>1</v>
      </c>
      <c r="D140" s="1" t="s">
        <v>992</v>
      </c>
      <c r="E140" s="254" t="n">
        <f aca="false">$E$32</f>
        <v>1.2</v>
      </c>
      <c r="F140" s="1" t="n">
        <f aca="false">C140*E140</f>
        <v>1.2</v>
      </c>
    </row>
    <row r="141" customFormat="false" ht="15" hidden="false" customHeight="true" outlineLevel="0" collapsed="false">
      <c r="B141" s="1" t="s">
        <v>976</v>
      </c>
      <c r="F141" s="1" t="n">
        <f aca="false">SUM(F133:F140)</f>
        <v>3.9820240125</v>
      </c>
    </row>
    <row r="142" customFormat="false" ht="15" hidden="false" customHeight="true" outlineLevel="0" collapsed="false">
      <c r="B142" s="1" t="s">
        <v>977</v>
      </c>
      <c r="F142" s="1" t="n">
        <f aca="false">F141*$C$15</f>
        <v>0.199101200625</v>
      </c>
    </row>
    <row r="143" customFormat="false" ht="15" hidden="false" customHeight="true" outlineLevel="0" collapsed="false">
      <c r="B143" s="29" t="s">
        <v>978</v>
      </c>
      <c r="C143" s="29"/>
      <c r="D143" s="29"/>
      <c r="E143" s="29"/>
      <c r="F143" s="29" t="n">
        <f aca="false">F141+F142</f>
        <v>4.181125213125</v>
      </c>
    </row>
    <row r="145" customFormat="false" ht="15" hidden="false" customHeight="true" outlineLevel="0" collapsed="false">
      <c r="A145" s="251" t="s">
        <v>687</v>
      </c>
      <c r="B145" s="251" t="s">
        <v>1004</v>
      </c>
      <c r="C145" s="251"/>
      <c r="D145" s="251"/>
      <c r="E145" s="251"/>
      <c r="F145" s="251"/>
      <c r="G145" s="251"/>
    </row>
    <row r="146" customFormat="false" ht="15" hidden="false" customHeight="true" outlineLevel="0" collapsed="false">
      <c r="B146" s="252" t="s">
        <v>966</v>
      </c>
      <c r="C146" s="252" t="s">
        <v>967</v>
      </c>
      <c r="D146" s="252" t="s">
        <v>849</v>
      </c>
      <c r="E146" s="252" t="s">
        <v>968</v>
      </c>
      <c r="F146" s="252" t="s">
        <v>969</v>
      </c>
      <c r="G146" s="252" t="s">
        <v>970</v>
      </c>
    </row>
    <row r="147" customFormat="false" ht="15" hidden="false" customHeight="true" outlineLevel="0" collapsed="false">
      <c r="B147" s="1" t="s">
        <v>1005</v>
      </c>
      <c r="C147" s="1" t="n">
        <f aca="false">2/$C$10</f>
        <v>0.25</v>
      </c>
      <c r="D147" s="1" t="s">
        <v>975</v>
      </c>
      <c r="E147" s="1" t="n">
        <f aca="false">$F$75</f>
        <v>4.0878075</v>
      </c>
      <c r="F147" s="1" t="n">
        <f aca="false">C147*E147</f>
        <v>1.021951875</v>
      </c>
    </row>
    <row r="148" customFormat="false" ht="15" hidden="false" customHeight="true" outlineLevel="0" collapsed="false">
      <c r="B148" s="1" t="s">
        <v>1000</v>
      </c>
      <c r="C148" s="1" t="n">
        <v>1</v>
      </c>
      <c r="D148" s="1" t="s">
        <v>990</v>
      </c>
      <c r="E148" s="1" t="n">
        <f aca="false">$F$292</f>
        <v>0.29316</v>
      </c>
      <c r="F148" s="1" t="n">
        <f aca="false">C148*E148</f>
        <v>0.29316</v>
      </c>
    </row>
    <row r="149" customFormat="false" ht="15" hidden="false" customHeight="true" outlineLevel="0" collapsed="false">
      <c r="B149" s="1" t="s">
        <v>1006</v>
      </c>
      <c r="C149" s="1" t="n">
        <v>1</v>
      </c>
      <c r="D149" s="1" t="s">
        <v>992</v>
      </c>
      <c r="E149" s="254" t="n">
        <f aca="false">$E$43</f>
        <v>0.05</v>
      </c>
      <c r="F149" s="1" t="n">
        <f aca="false">C149*E149</f>
        <v>0.05</v>
      </c>
    </row>
    <row r="150" customFormat="false" ht="15" hidden="false" customHeight="true" outlineLevel="0" collapsed="false">
      <c r="B150" s="1" t="s">
        <v>994</v>
      </c>
      <c r="C150" s="1" t="n">
        <v>2</v>
      </c>
      <c r="D150" s="1" t="s">
        <v>992</v>
      </c>
      <c r="E150" s="254" t="n">
        <f aca="false">$E$38</f>
        <v>0.01</v>
      </c>
      <c r="F150" s="1" t="n">
        <f aca="false">C150*E150</f>
        <v>0.02</v>
      </c>
    </row>
    <row r="151" customFormat="false" ht="15" hidden="false" customHeight="true" outlineLevel="0" collapsed="false">
      <c r="B151" s="1" t="s">
        <v>1002</v>
      </c>
      <c r="C151" s="1" t="n">
        <v>1</v>
      </c>
      <c r="D151" s="1" t="s">
        <v>992</v>
      </c>
      <c r="E151" s="254" t="n">
        <f aca="false">$E$39</f>
        <v>0.03</v>
      </c>
      <c r="F151" s="1" t="n">
        <f aca="false">C151*E151</f>
        <v>0.03</v>
      </c>
    </row>
    <row r="152" customFormat="false" ht="15" hidden="false" customHeight="true" outlineLevel="0" collapsed="false">
      <c r="B152" s="1" t="s">
        <v>976</v>
      </c>
      <c r="F152" s="1" t="n">
        <f aca="false">SUM(F147:F151)</f>
        <v>1.415111875</v>
      </c>
    </row>
    <row r="153" customFormat="false" ht="15" hidden="false" customHeight="true" outlineLevel="0" collapsed="false">
      <c r="B153" s="1" t="s">
        <v>977</v>
      </c>
      <c r="F153" s="1" t="n">
        <f aca="false">F152*$C$15</f>
        <v>0.07075559375</v>
      </c>
    </row>
    <row r="154" customFormat="false" ht="15" hidden="false" customHeight="true" outlineLevel="0" collapsed="false">
      <c r="B154" s="29" t="s">
        <v>978</v>
      </c>
      <c r="C154" s="29"/>
      <c r="D154" s="29"/>
      <c r="E154" s="29"/>
      <c r="F154" s="29" t="n">
        <f aca="false">F152+F153</f>
        <v>1.48586746875</v>
      </c>
    </row>
    <row r="156" customFormat="false" ht="15" hidden="false" customHeight="true" outlineLevel="0" collapsed="false">
      <c r="A156" s="251" t="s">
        <v>691</v>
      </c>
      <c r="B156" s="251" t="s">
        <v>1007</v>
      </c>
      <c r="C156" s="251"/>
      <c r="D156" s="251"/>
      <c r="E156" s="251"/>
      <c r="F156" s="251"/>
      <c r="G156" s="251"/>
    </row>
    <row r="157" customFormat="false" ht="15" hidden="false" customHeight="true" outlineLevel="0" collapsed="false">
      <c r="B157" s="252" t="s">
        <v>966</v>
      </c>
      <c r="C157" s="252" t="s">
        <v>967</v>
      </c>
      <c r="D157" s="252" t="s">
        <v>849</v>
      </c>
      <c r="E157" s="252" t="s">
        <v>968</v>
      </c>
      <c r="F157" s="252" t="s">
        <v>969</v>
      </c>
      <c r="G157" s="252" t="s">
        <v>970</v>
      </c>
    </row>
    <row r="158" customFormat="false" ht="15" hidden="false" customHeight="true" outlineLevel="0" collapsed="false">
      <c r="B158" s="1" t="s">
        <v>1008</v>
      </c>
      <c r="C158" s="1" t="n">
        <v>8</v>
      </c>
      <c r="D158" s="1" t="s">
        <v>984</v>
      </c>
      <c r="E158" s="1" t="n">
        <f aca="false">$F$87</f>
        <v>0.563377675</v>
      </c>
      <c r="F158" s="1" t="n">
        <f aca="false">C158*E158</f>
        <v>4.5070214</v>
      </c>
    </row>
    <row r="159" customFormat="false" ht="15" hidden="false" customHeight="true" outlineLevel="0" collapsed="false">
      <c r="B159" s="1" t="s">
        <v>989</v>
      </c>
      <c r="C159" s="1" t="n">
        <v>2</v>
      </c>
      <c r="D159" s="1" t="s">
        <v>990</v>
      </c>
      <c r="E159" s="1" t="n">
        <f aca="false">$F$292</f>
        <v>0.29316</v>
      </c>
      <c r="F159" s="1" t="n">
        <f aca="false">C159*E159</f>
        <v>0.58632</v>
      </c>
    </row>
    <row r="160" customFormat="false" ht="15" hidden="false" customHeight="true" outlineLevel="0" collapsed="false">
      <c r="B160" s="1" t="s">
        <v>991</v>
      </c>
      <c r="C160" s="1" t="n">
        <v>2</v>
      </c>
      <c r="D160" s="1" t="s">
        <v>992</v>
      </c>
      <c r="E160" s="254" t="n">
        <f aca="false">$E$30</f>
        <v>0.1709602625</v>
      </c>
      <c r="F160" s="1" t="n">
        <f aca="false">C160*E160</f>
        <v>0.341920525</v>
      </c>
    </row>
    <row r="161" customFormat="false" ht="15" hidden="false" customHeight="true" outlineLevel="0" collapsed="false">
      <c r="B161" s="1" t="s">
        <v>1009</v>
      </c>
      <c r="C161" s="1" t="n">
        <v>1</v>
      </c>
      <c r="D161" s="1" t="s">
        <v>992</v>
      </c>
      <c r="E161" s="254" t="n">
        <f aca="false">$E$34</f>
        <v>0.1</v>
      </c>
      <c r="F161" s="1" t="n">
        <f aca="false">C161*E161</f>
        <v>0.1</v>
      </c>
    </row>
    <row r="162" customFormat="false" ht="15" hidden="false" customHeight="true" outlineLevel="0" collapsed="false">
      <c r="B162" s="1" t="s">
        <v>994</v>
      </c>
      <c r="C162" s="1" t="n">
        <v>4</v>
      </c>
      <c r="D162" s="1" t="s">
        <v>992</v>
      </c>
      <c r="E162" s="254" t="n">
        <f aca="false">$E$38</f>
        <v>0.01</v>
      </c>
      <c r="F162" s="1" t="n">
        <f aca="false">C162*E162</f>
        <v>0.04</v>
      </c>
    </row>
    <row r="163" customFormat="false" ht="15" hidden="false" customHeight="true" outlineLevel="0" collapsed="false">
      <c r="B163" s="1" t="s">
        <v>995</v>
      </c>
      <c r="C163" s="1" t="n">
        <v>2</v>
      </c>
      <c r="D163" s="1" t="s">
        <v>992</v>
      </c>
      <c r="E163" s="254" t="n">
        <f aca="false">$E$39</f>
        <v>0.03</v>
      </c>
      <c r="F163" s="1" t="n">
        <f aca="false">C163*E163</f>
        <v>0.06</v>
      </c>
    </row>
    <row r="164" customFormat="false" ht="15" hidden="false" customHeight="true" outlineLevel="0" collapsed="false">
      <c r="B164" s="1" t="s">
        <v>1010</v>
      </c>
      <c r="C164" s="1" t="n">
        <v>1</v>
      </c>
      <c r="D164" s="1" t="s">
        <v>1011</v>
      </c>
      <c r="E164" s="254" t="n">
        <f aca="false">$E$41</f>
        <v>0.04</v>
      </c>
      <c r="F164" s="1" t="n">
        <f aca="false">C164*E164</f>
        <v>0.04</v>
      </c>
    </row>
    <row r="165" customFormat="false" ht="15" hidden="false" customHeight="true" outlineLevel="0" collapsed="false">
      <c r="B165" s="1" t="s">
        <v>976</v>
      </c>
      <c r="F165" s="1" t="n">
        <f aca="false">SUM(F158:F164)</f>
        <v>5.675261925</v>
      </c>
    </row>
    <row r="166" customFormat="false" ht="15" hidden="false" customHeight="true" outlineLevel="0" collapsed="false">
      <c r="B166" s="1" t="s">
        <v>977</v>
      </c>
      <c r="F166" s="1" t="n">
        <f aca="false">F165*$C$15</f>
        <v>0.28376309625</v>
      </c>
    </row>
    <row r="167" customFormat="false" ht="15" hidden="false" customHeight="true" outlineLevel="0" collapsed="false">
      <c r="B167" s="29" t="s">
        <v>978</v>
      </c>
      <c r="C167" s="29"/>
      <c r="D167" s="29"/>
      <c r="E167" s="29"/>
      <c r="F167" s="29" t="n">
        <f aca="false">F165+F166</f>
        <v>5.95902502125</v>
      </c>
    </row>
    <row r="168" customFormat="false" ht="15" hidden="false" customHeight="true" outlineLevel="0" collapsed="false">
      <c r="B168" s="1" t="str">
        <f aca="false">"8 piezas = 8/9 de ave ("&amp;TEXT($C$6*8/$C$9*1000,"#,##0")&amp;" g crudo + apanado): el beneficio de costo del corte de 9 piezas en planta."</f>
        <v>8 piezas = 8/9 de ave (1,467 g crudo + apanado): el beneficio de costo del corte de 9 piezas en planta.</v>
      </c>
    </row>
    <row r="170" customFormat="false" ht="15" hidden="false" customHeight="true" outlineLevel="0" collapsed="false">
      <c r="A170" s="251" t="s">
        <v>696</v>
      </c>
      <c r="B170" s="251" t="s">
        <v>1012</v>
      </c>
      <c r="C170" s="251"/>
      <c r="D170" s="251"/>
      <c r="E170" s="251"/>
      <c r="F170" s="251"/>
      <c r="G170" s="251"/>
    </row>
    <row r="171" customFormat="false" ht="15" hidden="false" customHeight="true" outlineLevel="0" collapsed="false">
      <c r="B171" s="252" t="s">
        <v>966</v>
      </c>
      <c r="C171" s="252" t="s">
        <v>967</v>
      </c>
      <c r="D171" s="252" t="s">
        <v>849</v>
      </c>
      <c r="E171" s="252" t="s">
        <v>968</v>
      </c>
      <c r="F171" s="252" t="s">
        <v>969</v>
      </c>
      <c r="G171" s="252" t="s">
        <v>970</v>
      </c>
    </row>
    <row r="172" customFormat="false" ht="15" hidden="false" customHeight="true" outlineLevel="0" collapsed="false">
      <c r="B172" s="1" t="s">
        <v>1008</v>
      </c>
      <c r="C172" s="1" t="n">
        <v>8</v>
      </c>
      <c r="D172" s="1" t="s">
        <v>984</v>
      </c>
      <c r="E172" s="1" t="n">
        <f aca="false">$F$87</f>
        <v>0.563377675</v>
      </c>
      <c r="F172" s="1" t="n">
        <f aca="false">C172*E172</f>
        <v>4.5070214</v>
      </c>
    </row>
    <row r="173" customFormat="false" ht="15" hidden="false" customHeight="true" outlineLevel="0" collapsed="false">
      <c r="B173" s="1" t="s">
        <v>989</v>
      </c>
      <c r="C173" s="1" t="n">
        <v>2</v>
      </c>
      <c r="D173" s="1" t="s">
        <v>990</v>
      </c>
      <c r="E173" s="1" t="n">
        <f aca="false">$F$292</f>
        <v>0.29316</v>
      </c>
      <c r="F173" s="1" t="n">
        <f aca="false">C173*E173</f>
        <v>0.58632</v>
      </c>
    </row>
    <row r="174" customFormat="false" ht="15" hidden="false" customHeight="true" outlineLevel="0" collapsed="false">
      <c r="B174" s="1" t="s">
        <v>991</v>
      </c>
      <c r="C174" s="1" t="n">
        <v>2</v>
      </c>
      <c r="D174" s="1" t="s">
        <v>992</v>
      </c>
      <c r="E174" s="254" t="n">
        <f aca="false">$E$30</f>
        <v>0.1709602625</v>
      </c>
      <c r="F174" s="1" t="n">
        <f aca="false">C174*E174</f>
        <v>0.341920525</v>
      </c>
    </row>
    <row r="175" customFormat="false" ht="15" hidden="false" customHeight="true" outlineLevel="0" collapsed="false">
      <c r="B175" s="1" t="s">
        <v>1009</v>
      </c>
      <c r="C175" s="1" t="n">
        <v>1</v>
      </c>
      <c r="D175" s="1" t="s">
        <v>992</v>
      </c>
      <c r="E175" s="254" t="n">
        <f aca="false">$E$34</f>
        <v>0.1</v>
      </c>
      <c r="F175" s="1" t="n">
        <f aca="false">C175*E175</f>
        <v>0.1</v>
      </c>
    </row>
    <row r="176" customFormat="false" ht="15" hidden="false" customHeight="true" outlineLevel="0" collapsed="false">
      <c r="B176" s="1" t="s">
        <v>994</v>
      </c>
      <c r="C176" s="1" t="n">
        <v>4</v>
      </c>
      <c r="D176" s="1" t="s">
        <v>992</v>
      </c>
      <c r="E176" s="254" t="n">
        <f aca="false">$E$38</f>
        <v>0.01</v>
      </c>
      <c r="F176" s="1" t="n">
        <f aca="false">C176*E176</f>
        <v>0.04</v>
      </c>
    </row>
    <row r="177" customFormat="false" ht="15" hidden="false" customHeight="true" outlineLevel="0" collapsed="false">
      <c r="B177" s="1" t="s">
        <v>995</v>
      </c>
      <c r="C177" s="1" t="n">
        <v>2</v>
      </c>
      <c r="D177" s="1" t="s">
        <v>992</v>
      </c>
      <c r="E177" s="254" t="n">
        <f aca="false">$E$39</f>
        <v>0.03</v>
      </c>
      <c r="F177" s="1" t="n">
        <f aca="false">C177*E177</f>
        <v>0.06</v>
      </c>
    </row>
    <row r="178" customFormat="false" ht="15" hidden="false" customHeight="true" outlineLevel="0" collapsed="false">
      <c r="B178" s="1" t="s">
        <v>1010</v>
      </c>
      <c r="C178" s="1" t="n">
        <v>1</v>
      </c>
      <c r="D178" s="1" t="s">
        <v>1011</v>
      </c>
      <c r="E178" s="254" t="n">
        <f aca="false">$E$41</f>
        <v>0.04</v>
      </c>
      <c r="F178" s="1" t="n">
        <f aca="false">C178*E178</f>
        <v>0.04</v>
      </c>
    </row>
    <row r="179" customFormat="false" ht="15" hidden="false" customHeight="true" outlineLevel="0" collapsed="false">
      <c r="B179" s="1" t="s">
        <v>998</v>
      </c>
      <c r="C179" s="1" t="n">
        <v>1</v>
      </c>
      <c r="D179" s="1" t="s">
        <v>992</v>
      </c>
      <c r="E179" s="254" t="n">
        <f aca="false">$E$32</f>
        <v>1.2</v>
      </c>
      <c r="F179" s="1" t="n">
        <f aca="false">C179*E179</f>
        <v>1.2</v>
      </c>
    </row>
    <row r="180" customFormat="false" ht="15" hidden="false" customHeight="true" outlineLevel="0" collapsed="false">
      <c r="B180" s="1" t="s">
        <v>976</v>
      </c>
      <c r="F180" s="1" t="n">
        <f aca="false">SUM(F172:F179)</f>
        <v>6.875261925</v>
      </c>
    </row>
    <row r="181" customFormat="false" ht="15" hidden="false" customHeight="true" outlineLevel="0" collapsed="false">
      <c r="B181" s="1" t="s">
        <v>977</v>
      </c>
      <c r="F181" s="1" t="n">
        <f aca="false">F180*$C$15</f>
        <v>0.34376309625</v>
      </c>
    </row>
    <row r="182" customFormat="false" ht="15" hidden="false" customHeight="true" outlineLevel="0" collapsed="false">
      <c r="B182" s="29" t="s">
        <v>978</v>
      </c>
      <c r="C182" s="29"/>
      <c r="D182" s="29"/>
      <c r="E182" s="29"/>
      <c r="F182" s="29" t="n">
        <f aca="false">F180+F181</f>
        <v>7.21902502125</v>
      </c>
    </row>
    <row r="184" customFormat="false" ht="15" hidden="false" customHeight="true" outlineLevel="0" collapsed="false">
      <c r="A184" s="251" t="s">
        <v>700</v>
      </c>
      <c r="B184" s="251" t="s">
        <v>1013</v>
      </c>
      <c r="C184" s="251"/>
      <c r="D184" s="251"/>
      <c r="E184" s="251"/>
      <c r="F184" s="251"/>
      <c r="G184" s="251"/>
    </row>
    <row r="185" customFormat="false" ht="15" hidden="false" customHeight="true" outlineLevel="0" collapsed="false">
      <c r="B185" s="252" t="s">
        <v>966</v>
      </c>
      <c r="C185" s="252" t="s">
        <v>967</v>
      </c>
      <c r="D185" s="252" t="s">
        <v>849</v>
      </c>
      <c r="E185" s="252" t="s">
        <v>968</v>
      </c>
      <c r="F185" s="252" t="s">
        <v>969</v>
      </c>
      <c r="G185" s="252" t="s">
        <v>970</v>
      </c>
    </row>
    <row r="186" customFormat="false" ht="15" hidden="false" customHeight="true" outlineLevel="0" collapsed="false">
      <c r="B186" s="1" t="s">
        <v>1008</v>
      </c>
      <c r="C186" s="1" t="n">
        <v>4</v>
      </c>
      <c r="D186" s="1" t="s">
        <v>984</v>
      </c>
      <c r="E186" s="1" t="n">
        <f aca="false">$F$87</f>
        <v>0.563377675</v>
      </c>
      <c r="F186" s="1" t="n">
        <f aca="false">C186*E186</f>
        <v>2.2535107</v>
      </c>
    </row>
    <row r="187" customFormat="false" ht="15" hidden="false" customHeight="true" outlineLevel="0" collapsed="false">
      <c r="B187" s="1" t="s">
        <v>1000</v>
      </c>
      <c r="C187" s="1" t="n">
        <v>1</v>
      </c>
      <c r="D187" s="1" t="s">
        <v>990</v>
      </c>
      <c r="E187" s="1" t="n">
        <f aca="false">$F$292</f>
        <v>0.29316</v>
      </c>
      <c r="F187" s="1" t="n">
        <f aca="false">C187*E187</f>
        <v>0.29316</v>
      </c>
    </row>
    <row r="188" customFormat="false" ht="15" hidden="false" customHeight="true" outlineLevel="0" collapsed="false">
      <c r="B188" s="1" t="s">
        <v>991</v>
      </c>
      <c r="C188" s="1" t="n">
        <v>1</v>
      </c>
      <c r="D188" s="1" t="s">
        <v>992</v>
      </c>
      <c r="E188" s="254" t="n">
        <f aca="false">$E$30</f>
        <v>0.1709602625</v>
      </c>
      <c r="F188" s="1" t="n">
        <f aca="false">C188*E188</f>
        <v>0.1709602625</v>
      </c>
    </row>
    <row r="189" customFormat="false" ht="15" hidden="false" customHeight="true" outlineLevel="0" collapsed="false">
      <c r="B189" s="1" t="s">
        <v>1009</v>
      </c>
      <c r="C189" s="1" t="n">
        <v>1</v>
      </c>
      <c r="D189" s="1" t="s">
        <v>992</v>
      </c>
      <c r="E189" s="254" t="n">
        <f aca="false">$E$34</f>
        <v>0.1</v>
      </c>
      <c r="F189" s="1" t="n">
        <f aca="false">C189*E189</f>
        <v>0.1</v>
      </c>
    </row>
    <row r="190" customFormat="false" ht="15" hidden="false" customHeight="true" outlineLevel="0" collapsed="false">
      <c r="B190" s="1" t="s">
        <v>994</v>
      </c>
      <c r="C190" s="1" t="n">
        <v>2</v>
      </c>
      <c r="D190" s="1" t="s">
        <v>992</v>
      </c>
      <c r="E190" s="254" t="n">
        <f aca="false">$E$38</f>
        <v>0.01</v>
      </c>
      <c r="F190" s="1" t="n">
        <f aca="false">C190*E190</f>
        <v>0.02</v>
      </c>
    </row>
    <row r="191" customFormat="false" ht="15" hidden="false" customHeight="true" outlineLevel="0" collapsed="false">
      <c r="B191" s="1" t="s">
        <v>995</v>
      </c>
      <c r="C191" s="1" t="n">
        <v>1</v>
      </c>
      <c r="D191" s="1" t="s">
        <v>992</v>
      </c>
      <c r="E191" s="254" t="n">
        <f aca="false">$E$39</f>
        <v>0.03</v>
      </c>
      <c r="F191" s="1" t="n">
        <f aca="false">C191*E191</f>
        <v>0.03</v>
      </c>
    </row>
    <row r="192" customFormat="false" ht="15" hidden="false" customHeight="true" outlineLevel="0" collapsed="false">
      <c r="B192" s="1" t="s">
        <v>1010</v>
      </c>
      <c r="C192" s="1" t="n">
        <v>1</v>
      </c>
      <c r="D192" s="1" t="s">
        <v>1011</v>
      </c>
      <c r="E192" s="254" t="n">
        <f aca="false">$E$41</f>
        <v>0.04</v>
      </c>
      <c r="F192" s="1" t="n">
        <f aca="false">C192*E192</f>
        <v>0.04</v>
      </c>
    </row>
    <row r="193" customFormat="false" ht="15" hidden="false" customHeight="true" outlineLevel="0" collapsed="false">
      <c r="B193" s="1" t="s">
        <v>976</v>
      </c>
      <c r="F193" s="1" t="n">
        <f aca="false">SUM(F186:F192)</f>
        <v>2.9076309625</v>
      </c>
    </row>
    <row r="194" customFormat="false" ht="15" hidden="false" customHeight="true" outlineLevel="0" collapsed="false">
      <c r="B194" s="1" t="s">
        <v>977</v>
      </c>
      <c r="F194" s="1" t="n">
        <f aca="false">F193*$C$15</f>
        <v>0.145381548125</v>
      </c>
    </row>
    <row r="195" customFormat="false" ht="15" hidden="false" customHeight="true" outlineLevel="0" collapsed="false">
      <c r="B195" s="29" t="s">
        <v>978</v>
      </c>
      <c r="C195" s="29"/>
      <c r="D195" s="29"/>
      <c r="E195" s="29"/>
      <c r="F195" s="29" t="n">
        <f aca="false">F193+F194</f>
        <v>3.053012510625</v>
      </c>
    </row>
    <row r="197" customFormat="false" ht="15" hidden="false" customHeight="true" outlineLevel="0" collapsed="false">
      <c r="A197" s="251" t="s">
        <v>704</v>
      </c>
      <c r="B197" s="251" t="s">
        <v>1014</v>
      </c>
      <c r="C197" s="251"/>
      <c r="D197" s="251"/>
      <c r="E197" s="251"/>
      <c r="F197" s="251"/>
      <c r="G197" s="251"/>
    </row>
    <row r="198" customFormat="false" ht="15" hidden="false" customHeight="true" outlineLevel="0" collapsed="false">
      <c r="B198" s="252" t="s">
        <v>966</v>
      </c>
      <c r="C198" s="252" t="s">
        <v>967</v>
      </c>
      <c r="D198" s="252" t="s">
        <v>849</v>
      </c>
      <c r="E198" s="252" t="s">
        <v>968</v>
      </c>
      <c r="F198" s="252" t="s">
        <v>969</v>
      </c>
      <c r="G198" s="252" t="s">
        <v>970</v>
      </c>
    </row>
    <row r="199" customFormat="false" ht="15" hidden="false" customHeight="true" outlineLevel="0" collapsed="false">
      <c r="B199" s="1" t="s">
        <v>1008</v>
      </c>
      <c r="C199" s="1" t="n">
        <v>2</v>
      </c>
      <c r="D199" s="1" t="s">
        <v>984</v>
      </c>
      <c r="E199" s="1" t="n">
        <f aca="false">$F$87</f>
        <v>0.563377675</v>
      </c>
      <c r="F199" s="1" t="n">
        <f aca="false">C199*E199</f>
        <v>1.12675535</v>
      </c>
    </row>
    <row r="200" customFormat="false" ht="15" hidden="false" customHeight="true" outlineLevel="0" collapsed="false">
      <c r="B200" s="1" t="s">
        <v>1000</v>
      </c>
      <c r="C200" s="1" t="n">
        <v>1</v>
      </c>
      <c r="D200" s="1" t="s">
        <v>990</v>
      </c>
      <c r="E200" s="1" t="n">
        <f aca="false">$F$292</f>
        <v>0.29316</v>
      </c>
      <c r="F200" s="1" t="n">
        <f aca="false">C200*E200</f>
        <v>0.29316</v>
      </c>
    </row>
    <row r="201" customFormat="false" ht="15" hidden="false" customHeight="true" outlineLevel="0" collapsed="false">
      <c r="B201" s="1" t="s">
        <v>1009</v>
      </c>
      <c r="C201" s="1" t="n">
        <v>1</v>
      </c>
      <c r="D201" s="1" t="s">
        <v>992</v>
      </c>
      <c r="E201" s="254" t="n">
        <f aca="false">$E$43</f>
        <v>0.05</v>
      </c>
      <c r="F201" s="1" t="n">
        <f aca="false">C201*E201</f>
        <v>0.05</v>
      </c>
    </row>
    <row r="202" customFormat="false" ht="15" hidden="false" customHeight="true" outlineLevel="0" collapsed="false">
      <c r="B202" s="1" t="s">
        <v>994</v>
      </c>
      <c r="C202" s="1" t="n">
        <v>2</v>
      </c>
      <c r="D202" s="1" t="s">
        <v>992</v>
      </c>
      <c r="E202" s="254" t="n">
        <f aca="false">$E$38</f>
        <v>0.01</v>
      </c>
      <c r="F202" s="1" t="n">
        <f aca="false">C202*E202</f>
        <v>0.02</v>
      </c>
    </row>
    <row r="203" customFormat="false" ht="15" hidden="false" customHeight="true" outlineLevel="0" collapsed="false">
      <c r="B203" s="1" t="s">
        <v>995</v>
      </c>
      <c r="C203" s="1" t="n">
        <v>1</v>
      </c>
      <c r="D203" s="1" t="s">
        <v>992</v>
      </c>
      <c r="E203" s="254" t="n">
        <f aca="false">$E$39</f>
        <v>0.03</v>
      </c>
      <c r="F203" s="1" t="n">
        <f aca="false">C203*E203</f>
        <v>0.03</v>
      </c>
    </row>
    <row r="204" customFormat="false" ht="15" hidden="false" customHeight="true" outlineLevel="0" collapsed="false">
      <c r="B204" s="1" t="s">
        <v>1010</v>
      </c>
      <c r="C204" s="1" t="n">
        <v>1</v>
      </c>
      <c r="D204" s="1" t="s">
        <v>1011</v>
      </c>
      <c r="E204" s="254" t="n">
        <f aca="false">$E$41</f>
        <v>0.04</v>
      </c>
      <c r="F204" s="1" t="n">
        <f aca="false">C204*E204</f>
        <v>0.04</v>
      </c>
    </row>
    <row r="205" customFormat="false" ht="15" hidden="false" customHeight="true" outlineLevel="0" collapsed="false">
      <c r="B205" s="1" t="s">
        <v>976</v>
      </c>
      <c r="F205" s="1" t="n">
        <f aca="false">SUM(F199:F204)</f>
        <v>1.55991535</v>
      </c>
    </row>
    <row r="206" customFormat="false" ht="15" hidden="false" customHeight="true" outlineLevel="0" collapsed="false">
      <c r="B206" s="1" t="s">
        <v>977</v>
      </c>
      <c r="F206" s="1" t="n">
        <f aca="false">F205*$C$15</f>
        <v>0.0779957675</v>
      </c>
    </row>
    <row r="207" customFormat="false" ht="15" hidden="false" customHeight="true" outlineLevel="0" collapsed="false">
      <c r="B207" s="29" t="s">
        <v>978</v>
      </c>
      <c r="C207" s="29"/>
      <c r="D207" s="29"/>
      <c r="E207" s="29"/>
      <c r="F207" s="29" t="n">
        <f aca="false">F205+F206</f>
        <v>1.6379111175</v>
      </c>
    </row>
    <row r="208" customFormat="false" ht="15" hidden="false" customHeight="true" outlineLevel="0" collapsed="false">
      <c r="B208" s="1" t="s">
        <v>1015</v>
      </c>
    </row>
    <row r="210" customFormat="false" ht="15" hidden="false" customHeight="true" outlineLevel="0" collapsed="false">
      <c r="A210" s="251" t="s">
        <v>708</v>
      </c>
      <c r="B210" s="251" t="s">
        <v>1016</v>
      </c>
      <c r="C210" s="251"/>
      <c r="D210" s="251"/>
      <c r="E210" s="251"/>
      <c r="F210" s="251"/>
      <c r="G210" s="251"/>
    </row>
    <row r="211" customFormat="false" ht="15" hidden="false" customHeight="true" outlineLevel="0" collapsed="false">
      <c r="B211" s="252" t="s">
        <v>966</v>
      </c>
      <c r="C211" s="252" t="s">
        <v>967</v>
      </c>
      <c r="D211" s="252" t="s">
        <v>849</v>
      </c>
      <c r="E211" s="252" t="s">
        <v>968</v>
      </c>
      <c r="F211" s="252" t="s">
        <v>969</v>
      </c>
      <c r="G211" s="252" t="s">
        <v>970</v>
      </c>
    </row>
    <row r="212" customFormat="false" ht="15" hidden="false" customHeight="true" outlineLevel="0" collapsed="false">
      <c r="B212" s="1" t="s">
        <v>1017</v>
      </c>
      <c r="C212" s="1" t="n">
        <f aca="false">$C$14/$C$10</f>
        <v>0.075</v>
      </c>
      <c r="D212" s="1" t="s">
        <v>975</v>
      </c>
      <c r="E212" s="1" t="n">
        <f aca="false">$F$75</f>
        <v>4.0878075</v>
      </c>
      <c r="F212" s="1" t="n">
        <f aca="false">C212*E212</f>
        <v>0.3065855625</v>
      </c>
      <c r="G212" s="1" t="s">
        <v>1018</v>
      </c>
    </row>
    <row r="213" customFormat="false" ht="15" hidden="false" customHeight="true" outlineLevel="0" collapsed="false">
      <c r="B213" s="1" t="s">
        <v>905</v>
      </c>
      <c r="C213" s="1" t="n">
        <v>1</v>
      </c>
      <c r="D213" s="1" t="s">
        <v>990</v>
      </c>
      <c r="E213" s="254" t="n">
        <f aca="false">$E$33</f>
        <v>0.05</v>
      </c>
      <c r="F213" s="1" t="n">
        <f aca="false">C213*E213</f>
        <v>0.05</v>
      </c>
    </row>
    <row r="214" customFormat="false" ht="15" hidden="false" customHeight="true" outlineLevel="0" collapsed="false">
      <c r="B214" s="1" t="s">
        <v>1000</v>
      </c>
      <c r="C214" s="1" t="n">
        <v>1</v>
      </c>
      <c r="D214" s="1" t="s">
        <v>990</v>
      </c>
      <c r="E214" s="1" t="n">
        <f aca="false">$F$292</f>
        <v>0.29316</v>
      </c>
      <c r="F214" s="1" t="n">
        <f aca="false">C214*E214</f>
        <v>0.29316</v>
      </c>
    </row>
    <row r="215" customFormat="false" ht="15" hidden="false" customHeight="true" outlineLevel="0" collapsed="false">
      <c r="B215" s="1" t="s">
        <v>1019</v>
      </c>
      <c r="C215" s="1" t="n">
        <v>1</v>
      </c>
      <c r="D215" s="1" t="s">
        <v>984</v>
      </c>
      <c r="E215" s="254" t="n">
        <f aca="false">$E$28</f>
        <v>0.01</v>
      </c>
      <c r="F215" s="1" t="n">
        <f aca="false">C215*E215</f>
        <v>0.01</v>
      </c>
    </row>
    <row r="216" customFormat="false" ht="15" hidden="false" customHeight="true" outlineLevel="0" collapsed="false">
      <c r="B216" s="1" t="s">
        <v>1006</v>
      </c>
      <c r="C216" s="1" t="n">
        <v>1</v>
      </c>
      <c r="D216" s="1" t="s">
        <v>992</v>
      </c>
      <c r="E216" s="254" t="n">
        <f aca="false">$E$43</f>
        <v>0.05</v>
      </c>
      <c r="F216" s="1" t="n">
        <f aca="false">C216*E216</f>
        <v>0.05</v>
      </c>
    </row>
    <row r="217" customFormat="false" ht="15" hidden="false" customHeight="true" outlineLevel="0" collapsed="false">
      <c r="B217" s="1" t="s">
        <v>994</v>
      </c>
      <c r="C217" s="1" t="n">
        <v>2</v>
      </c>
      <c r="D217" s="1" t="s">
        <v>992</v>
      </c>
      <c r="E217" s="254" t="n">
        <f aca="false">$E$38</f>
        <v>0.01</v>
      </c>
      <c r="F217" s="1" t="n">
        <f aca="false">C217*E217</f>
        <v>0.02</v>
      </c>
    </row>
    <row r="218" customFormat="false" ht="15" hidden="false" customHeight="true" outlineLevel="0" collapsed="false">
      <c r="B218" s="1" t="s">
        <v>1020</v>
      </c>
      <c r="C218" s="1" t="n">
        <v>1</v>
      </c>
      <c r="D218" s="1" t="s">
        <v>1011</v>
      </c>
      <c r="E218" s="254" t="n">
        <f aca="false">$E$41</f>
        <v>0.04</v>
      </c>
      <c r="F218" s="1" t="n">
        <f aca="false">C218*E218</f>
        <v>0.04</v>
      </c>
    </row>
    <row r="219" customFormat="false" ht="15" hidden="false" customHeight="true" outlineLevel="0" collapsed="false">
      <c r="B219" s="1" t="s">
        <v>976</v>
      </c>
      <c r="F219" s="1" t="n">
        <f aca="false">SUM(F212:F218)</f>
        <v>0.7697455625</v>
      </c>
    </row>
    <row r="220" customFormat="false" ht="15" hidden="false" customHeight="true" outlineLevel="0" collapsed="false">
      <c r="B220" s="1" t="s">
        <v>977</v>
      </c>
      <c r="F220" s="1" t="n">
        <f aca="false">F219*$C$15</f>
        <v>0.038487278125</v>
      </c>
    </row>
    <row r="221" customFormat="false" ht="15" hidden="false" customHeight="true" outlineLevel="0" collapsed="false">
      <c r="B221" s="29" t="s">
        <v>978</v>
      </c>
      <c r="C221" s="29"/>
      <c r="D221" s="29"/>
      <c r="E221" s="29"/>
      <c r="F221" s="29" t="n">
        <f aca="false">F219+F220</f>
        <v>0.808232840625</v>
      </c>
    </row>
    <row r="222" customFormat="false" ht="15" hidden="false" customHeight="true" outlineLevel="0" collapsed="false">
      <c r="B222" s="1" t="s">
        <v>1021</v>
      </c>
    </row>
    <row r="224" customFormat="false" ht="15" hidden="false" customHeight="true" outlineLevel="0" collapsed="false">
      <c r="A224" s="251" t="s">
        <v>713</v>
      </c>
      <c r="B224" s="251" t="s">
        <v>1022</v>
      </c>
      <c r="C224" s="251"/>
      <c r="D224" s="251"/>
      <c r="E224" s="251"/>
      <c r="F224" s="251"/>
      <c r="G224" s="251"/>
    </row>
    <row r="225" customFormat="false" ht="15" hidden="false" customHeight="true" outlineLevel="0" collapsed="false">
      <c r="B225" s="252" t="s">
        <v>966</v>
      </c>
      <c r="C225" s="252" t="s">
        <v>967</v>
      </c>
      <c r="D225" s="252" t="s">
        <v>849</v>
      </c>
      <c r="E225" s="252" t="s">
        <v>968</v>
      </c>
      <c r="F225" s="252" t="s">
        <v>969</v>
      </c>
      <c r="G225" s="252" t="s">
        <v>970</v>
      </c>
    </row>
    <row r="226" customFormat="false" ht="15" hidden="false" customHeight="true" outlineLevel="0" collapsed="false">
      <c r="B226" s="1" t="s">
        <v>1023</v>
      </c>
      <c r="C226" s="1" t="n">
        <f aca="false">$C$12</f>
        <v>0.55</v>
      </c>
      <c r="D226" s="1" t="s">
        <v>972</v>
      </c>
      <c r="E226" s="254" t="n">
        <f aca="false">$E$19</f>
        <v>2.2</v>
      </c>
      <c r="F226" s="1" t="n">
        <f aca="false">C226*E226</f>
        <v>1.21</v>
      </c>
    </row>
    <row r="227" customFormat="false" ht="15" hidden="false" customHeight="true" outlineLevel="0" collapsed="false">
      <c r="B227" s="1" t="s">
        <v>973</v>
      </c>
      <c r="C227" s="1" t="n">
        <f aca="false">$C$12</f>
        <v>0.55</v>
      </c>
      <c r="D227" s="1" t="s">
        <v>972</v>
      </c>
      <c r="E227" s="254" t="n">
        <f aca="false">$E$20</f>
        <v>0.111</v>
      </c>
      <c r="F227" s="1" t="n">
        <f aca="false">C227*E227</f>
        <v>0.06105</v>
      </c>
    </row>
    <row r="228" customFormat="false" ht="15" hidden="false" customHeight="true" outlineLevel="0" collapsed="false">
      <c r="B228" s="1" t="s">
        <v>1024</v>
      </c>
      <c r="C228" s="1" t="n">
        <v>1</v>
      </c>
      <c r="D228" s="1" t="s">
        <v>992</v>
      </c>
      <c r="E228" s="254" t="n">
        <f aca="false">$E$36</f>
        <v>0.15</v>
      </c>
      <c r="F228" s="1" t="n">
        <f aca="false">C228*E228</f>
        <v>0.15</v>
      </c>
    </row>
    <row r="229" customFormat="false" ht="15" hidden="false" customHeight="true" outlineLevel="0" collapsed="false">
      <c r="B229" s="1" t="s">
        <v>1025</v>
      </c>
      <c r="C229" s="1" t="n">
        <v>1</v>
      </c>
      <c r="D229" s="1" t="s">
        <v>992</v>
      </c>
      <c r="E229" s="254" t="n">
        <f aca="false">$E$37</f>
        <v>0.03</v>
      </c>
      <c r="F229" s="1" t="n">
        <f aca="false">C229*E229</f>
        <v>0.03</v>
      </c>
    </row>
    <row r="230" customFormat="false" ht="15" hidden="false" customHeight="true" outlineLevel="0" collapsed="false">
      <c r="B230" s="1" t="s">
        <v>976</v>
      </c>
      <c r="F230" s="1" t="n">
        <f aca="false">SUM(F226:F229)</f>
        <v>1.45105</v>
      </c>
    </row>
    <row r="231" customFormat="false" ht="15" hidden="false" customHeight="true" outlineLevel="0" collapsed="false">
      <c r="B231" s="1" t="s">
        <v>977</v>
      </c>
      <c r="F231" s="1" t="n">
        <f aca="false">F230*$C$15</f>
        <v>0.0725525</v>
      </c>
    </row>
    <row r="232" customFormat="false" ht="15" hidden="false" customHeight="true" outlineLevel="0" collapsed="false">
      <c r="B232" s="29" t="s">
        <v>978</v>
      </c>
      <c r="C232" s="29"/>
      <c r="D232" s="29"/>
      <c r="E232" s="29"/>
      <c r="F232" s="29" t="n">
        <f aca="false">F230+F231</f>
        <v>1.5236025</v>
      </c>
    </row>
    <row r="233" customFormat="false" ht="15" hidden="false" customHeight="true" outlineLevel="0" collapsed="false">
      <c r="B233" s="1" t="s">
        <v>1026</v>
      </c>
    </row>
    <row r="235" customFormat="false" ht="15" hidden="false" customHeight="true" outlineLevel="0" collapsed="false">
      <c r="A235" s="251" t="s">
        <v>718</v>
      </c>
      <c r="B235" s="251" t="s">
        <v>1027</v>
      </c>
      <c r="C235" s="251"/>
      <c r="D235" s="251"/>
      <c r="E235" s="251"/>
      <c r="F235" s="251"/>
      <c r="G235" s="251"/>
    </row>
    <row r="236" customFormat="false" ht="15" hidden="false" customHeight="true" outlineLevel="0" collapsed="false">
      <c r="B236" s="252" t="s">
        <v>966</v>
      </c>
      <c r="C236" s="252" t="s">
        <v>967</v>
      </c>
      <c r="D236" s="252" t="s">
        <v>849</v>
      </c>
      <c r="E236" s="252" t="s">
        <v>968</v>
      </c>
      <c r="F236" s="252" t="s">
        <v>969</v>
      </c>
      <c r="G236" s="252" t="s">
        <v>970</v>
      </c>
    </row>
    <row r="237" customFormat="false" ht="15" hidden="false" customHeight="true" outlineLevel="0" collapsed="false">
      <c r="B237" s="1" t="s">
        <v>1028</v>
      </c>
      <c r="C237" s="1" t="n">
        <v>1</v>
      </c>
      <c r="D237" s="1" t="s">
        <v>975</v>
      </c>
      <c r="E237" s="1" t="n">
        <f aca="false">$F$75</f>
        <v>4.0878075</v>
      </c>
      <c r="F237" s="1" t="n">
        <f aca="false">C237*E237</f>
        <v>4.0878075</v>
      </c>
    </row>
    <row r="238" customFormat="false" ht="15" hidden="false" customHeight="true" outlineLevel="0" collapsed="false">
      <c r="B238" s="1" t="s">
        <v>1029</v>
      </c>
      <c r="C238" s="1" t="n">
        <v>8</v>
      </c>
      <c r="D238" s="1" t="s">
        <v>984</v>
      </c>
      <c r="E238" s="1" t="n">
        <f aca="false">$F$87</f>
        <v>0.563377675</v>
      </c>
      <c r="F238" s="1" t="n">
        <f aca="false">C238*E238</f>
        <v>4.5070214</v>
      </c>
    </row>
    <row r="239" customFormat="false" ht="15" hidden="false" customHeight="true" outlineLevel="0" collapsed="false">
      <c r="B239" s="1" t="s">
        <v>989</v>
      </c>
      <c r="C239" s="1" t="n">
        <v>2</v>
      </c>
      <c r="D239" s="1" t="s">
        <v>990</v>
      </c>
      <c r="E239" s="1" t="n">
        <f aca="false">$F$292</f>
        <v>0.29316</v>
      </c>
      <c r="F239" s="1" t="n">
        <f aca="false">C239*E239</f>
        <v>0.58632</v>
      </c>
    </row>
    <row r="240" customFormat="false" ht="15" hidden="false" customHeight="true" outlineLevel="0" collapsed="false">
      <c r="B240" s="1" t="s">
        <v>991</v>
      </c>
      <c r="C240" s="1" t="n">
        <v>2</v>
      </c>
      <c r="D240" s="1" t="s">
        <v>992</v>
      </c>
      <c r="E240" s="254" t="n">
        <f aca="false">$E$30</f>
        <v>0.1709602625</v>
      </c>
      <c r="F240" s="1" t="n">
        <f aca="false">C240*E240</f>
        <v>0.341920525</v>
      </c>
    </row>
    <row r="241" customFormat="false" ht="15" hidden="false" customHeight="true" outlineLevel="0" collapsed="false">
      <c r="B241" s="1" t="s">
        <v>993</v>
      </c>
      <c r="C241" s="1" t="n">
        <v>2</v>
      </c>
      <c r="D241" s="1" t="s">
        <v>990</v>
      </c>
      <c r="E241" s="254" t="n">
        <f aca="false">$E$42</f>
        <v>0.124</v>
      </c>
      <c r="F241" s="1" t="n">
        <f aca="false">C241*E241</f>
        <v>0.248</v>
      </c>
    </row>
    <row r="242" customFormat="false" ht="15" hidden="false" customHeight="true" outlineLevel="0" collapsed="false">
      <c r="B242" s="1" t="s">
        <v>998</v>
      </c>
      <c r="C242" s="1" t="n">
        <v>1</v>
      </c>
      <c r="D242" s="1" t="s">
        <v>992</v>
      </c>
      <c r="E242" s="254" t="n">
        <f aca="false">$E$32</f>
        <v>1.2</v>
      </c>
      <c r="F242" s="1" t="n">
        <f aca="false">C242*E242</f>
        <v>1.2</v>
      </c>
    </row>
    <row r="243" customFormat="false" ht="15" hidden="false" customHeight="true" outlineLevel="0" collapsed="false">
      <c r="B243" s="1" t="s">
        <v>912</v>
      </c>
      <c r="C243" s="1" t="n">
        <v>1</v>
      </c>
      <c r="D243" s="1" t="s">
        <v>992</v>
      </c>
      <c r="E243" s="254" t="n">
        <f aca="false">$E$35</f>
        <v>0.25</v>
      </c>
      <c r="F243" s="1" t="n">
        <f aca="false">C243*E243</f>
        <v>0.25</v>
      </c>
    </row>
    <row r="244" customFormat="false" ht="15" hidden="false" customHeight="true" outlineLevel="0" collapsed="false">
      <c r="B244" s="1" t="s">
        <v>994</v>
      </c>
      <c r="C244" s="1" t="n">
        <v>8</v>
      </c>
      <c r="D244" s="1" t="s">
        <v>992</v>
      </c>
      <c r="E244" s="254" t="n">
        <f aca="false">$E$38</f>
        <v>0.01</v>
      </c>
      <c r="F244" s="1" t="n">
        <f aca="false">C244*E244</f>
        <v>0.08</v>
      </c>
    </row>
    <row r="245" customFormat="false" ht="15" hidden="false" customHeight="true" outlineLevel="0" collapsed="false">
      <c r="B245" s="1" t="s">
        <v>995</v>
      </c>
      <c r="C245" s="1" t="n">
        <v>4</v>
      </c>
      <c r="D245" s="1" t="s">
        <v>992</v>
      </c>
      <c r="E245" s="254" t="n">
        <f aca="false">$E$39</f>
        <v>0.03</v>
      </c>
      <c r="F245" s="1" t="n">
        <f aca="false">C245*E245</f>
        <v>0.12</v>
      </c>
    </row>
    <row r="246" customFormat="false" ht="15" hidden="false" customHeight="true" outlineLevel="0" collapsed="false">
      <c r="B246" s="1" t="s">
        <v>1020</v>
      </c>
      <c r="C246" s="1" t="n">
        <v>1</v>
      </c>
      <c r="D246" s="1" t="s">
        <v>1011</v>
      </c>
      <c r="E246" s="254" t="n">
        <f aca="false">$E$41</f>
        <v>0.04</v>
      </c>
      <c r="F246" s="1" t="n">
        <f aca="false">C246*E246</f>
        <v>0.04</v>
      </c>
    </row>
    <row r="247" customFormat="false" ht="15" hidden="false" customHeight="true" outlineLevel="0" collapsed="false">
      <c r="B247" s="1" t="s">
        <v>976</v>
      </c>
      <c r="F247" s="1" t="n">
        <f aca="false">SUM(F237:F246)</f>
        <v>11.461069425</v>
      </c>
    </row>
    <row r="248" customFormat="false" ht="15" hidden="false" customHeight="true" outlineLevel="0" collapsed="false">
      <c r="B248" s="1" t="s">
        <v>977</v>
      </c>
      <c r="F248" s="1" t="n">
        <f aca="false">F247*$C$15</f>
        <v>0.57305347125</v>
      </c>
    </row>
    <row r="249" customFormat="false" ht="15" hidden="false" customHeight="true" outlineLevel="0" collapsed="false">
      <c r="B249" s="29" t="s">
        <v>978</v>
      </c>
      <c r="C249" s="29"/>
      <c r="D249" s="29"/>
      <c r="E249" s="29"/>
      <c r="F249" s="29" t="n">
        <f aca="false">F247+F248</f>
        <v>12.03412289625</v>
      </c>
    </row>
    <row r="250" customFormat="false" ht="15" hidden="false" customHeight="true" outlineLevel="0" collapsed="false">
      <c r="B250" s="1" t="s">
        <v>1030</v>
      </c>
    </row>
    <row r="252" customFormat="false" ht="15" hidden="false" customHeight="true" outlineLevel="0" collapsed="false">
      <c r="A252" s="251" t="s">
        <v>723</v>
      </c>
      <c r="B252" s="251" t="s">
        <v>1031</v>
      </c>
      <c r="C252" s="251"/>
      <c r="D252" s="251"/>
      <c r="E252" s="251"/>
      <c r="F252" s="251"/>
      <c r="G252" s="251"/>
    </row>
    <row r="253" customFormat="false" ht="15" hidden="false" customHeight="true" outlineLevel="0" collapsed="false">
      <c r="B253" s="252" t="s">
        <v>966</v>
      </c>
      <c r="C253" s="252" t="s">
        <v>967</v>
      </c>
      <c r="D253" s="252" t="s">
        <v>849</v>
      </c>
      <c r="E253" s="252" t="s">
        <v>968</v>
      </c>
      <c r="F253" s="252" t="s">
        <v>969</v>
      </c>
      <c r="G253" s="252" t="s">
        <v>970</v>
      </c>
    </row>
    <row r="254" customFormat="false" ht="15" hidden="false" customHeight="true" outlineLevel="0" collapsed="false">
      <c r="B254" s="1" t="s">
        <v>1032</v>
      </c>
      <c r="C254" s="1" t="n">
        <f aca="false">0.25/(1-$C$13)</f>
        <v>0.333333333333333</v>
      </c>
      <c r="D254" s="1" t="s">
        <v>972</v>
      </c>
      <c r="E254" s="254" t="n">
        <f aca="false">$E$31</f>
        <v>5.95</v>
      </c>
      <c r="F254" s="1" t="n">
        <f aca="false">C254*E254</f>
        <v>1.98333333333333</v>
      </c>
    </row>
    <row r="255" customFormat="false" ht="15" hidden="false" customHeight="true" outlineLevel="0" collapsed="false">
      <c r="B255" s="1" t="s">
        <v>1000</v>
      </c>
      <c r="C255" s="1" t="n">
        <v>1</v>
      </c>
      <c r="D255" s="1" t="s">
        <v>990</v>
      </c>
      <c r="E255" s="1" t="n">
        <f aca="false">$F$292</f>
        <v>0.29316</v>
      </c>
      <c r="F255" s="1" t="n">
        <f aca="false">C255*E255</f>
        <v>0.29316</v>
      </c>
    </row>
    <row r="256" customFormat="false" ht="15" hidden="false" customHeight="true" outlineLevel="0" collapsed="false">
      <c r="B256" s="1" t="s">
        <v>909</v>
      </c>
      <c r="C256" s="1" t="n">
        <v>1</v>
      </c>
      <c r="D256" s="1" t="s">
        <v>992</v>
      </c>
      <c r="E256" s="254" t="n">
        <f aca="false">$E$34</f>
        <v>0.1</v>
      </c>
      <c r="F256" s="1" t="n">
        <f aca="false">C256*E256</f>
        <v>0.1</v>
      </c>
    </row>
    <row r="257" customFormat="false" ht="15" hidden="false" customHeight="true" outlineLevel="0" collapsed="false">
      <c r="B257" s="1" t="s">
        <v>994</v>
      </c>
      <c r="C257" s="1" t="n">
        <v>2</v>
      </c>
      <c r="D257" s="1" t="s">
        <v>992</v>
      </c>
      <c r="E257" s="254" t="n">
        <f aca="false">$E$38</f>
        <v>0.01</v>
      </c>
      <c r="F257" s="1" t="n">
        <f aca="false">C257*E257</f>
        <v>0.02</v>
      </c>
    </row>
    <row r="258" customFormat="false" ht="15" hidden="false" customHeight="true" outlineLevel="0" collapsed="false">
      <c r="B258" s="1" t="s">
        <v>1002</v>
      </c>
      <c r="C258" s="1" t="n">
        <v>1</v>
      </c>
      <c r="D258" s="1" t="s">
        <v>992</v>
      </c>
      <c r="E258" s="254" t="n">
        <f aca="false">$E$39</f>
        <v>0.03</v>
      </c>
      <c r="F258" s="1" t="n">
        <f aca="false">C258*E258</f>
        <v>0.03</v>
      </c>
    </row>
    <row r="259" customFormat="false" ht="15" hidden="false" customHeight="true" outlineLevel="0" collapsed="false">
      <c r="B259" s="1" t="s">
        <v>1033</v>
      </c>
      <c r="C259" s="1" t="n">
        <v>0.5</v>
      </c>
      <c r="D259" s="1" t="s">
        <v>1034</v>
      </c>
      <c r="E259" s="254" t="n">
        <f aca="false">$E$40</f>
        <v>0.08</v>
      </c>
      <c r="F259" s="1" t="n">
        <f aca="false">C259*E259</f>
        <v>0.04</v>
      </c>
    </row>
    <row r="260" customFormat="false" ht="15" hidden="false" customHeight="true" outlineLevel="0" collapsed="false">
      <c r="B260" s="1" t="s">
        <v>976</v>
      </c>
      <c r="F260" s="1" t="n">
        <f aca="false">SUM(F254:F259)</f>
        <v>2.46649333333333</v>
      </c>
    </row>
    <row r="261" customFormat="false" ht="15" hidden="false" customHeight="true" outlineLevel="0" collapsed="false">
      <c r="B261" s="1" t="s">
        <v>977</v>
      </c>
      <c r="F261" s="1" t="n">
        <f aca="false">F260*$C$15</f>
        <v>0.123324666666667</v>
      </c>
    </row>
    <row r="262" customFormat="false" ht="15" hidden="false" customHeight="true" outlineLevel="0" collapsed="false">
      <c r="B262" s="29" t="s">
        <v>978</v>
      </c>
      <c r="C262" s="29"/>
      <c r="D262" s="29"/>
      <c r="E262" s="29"/>
      <c r="F262" s="29" t="n">
        <f aca="false">F260+F261</f>
        <v>2.589818</v>
      </c>
    </row>
    <row r="263" customFormat="false" ht="15" hidden="false" customHeight="true" outlineLevel="0" collapsed="false">
      <c r="B263" s="1" t="s">
        <v>1035</v>
      </c>
    </row>
    <row r="265" customFormat="false" ht="15" hidden="false" customHeight="true" outlineLevel="0" collapsed="false">
      <c r="A265" s="251" t="s">
        <v>728</v>
      </c>
      <c r="B265" s="251" t="s">
        <v>1036</v>
      </c>
      <c r="C265" s="251"/>
      <c r="D265" s="251"/>
      <c r="E265" s="251"/>
      <c r="F265" s="251"/>
      <c r="G265" s="251"/>
    </row>
    <row r="266" customFormat="false" ht="15" hidden="false" customHeight="true" outlineLevel="0" collapsed="false">
      <c r="B266" s="252" t="s">
        <v>966</v>
      </c>
      <c r="C266" s="252" t="s">
        <v>967</v>
      </c>
      <c r="D266" s="252" t="s">
        <v>849</v>
      </c>
      <c r="E266" s="252" t="s">
        <v>968</v>
      </c>
      <c r="F266" s="252" t="s">
        <v>969</v>
      </c>
      <c r="G266" s="252" t="s">
        <v>970</v>
      </c>
    </row>
    <row r="267" customFormat="false" ht="15" hidden="false" customHeight="true" outlineLevel="0" collapsed="false">
      <c r="B267" s="1" t="s">
        <v>1037</v>
      </c>
      <c r="C267" s="1" t="n">
        <f aca="false">0.5/(1-$C$13)</f>
        <v>0.666666666666667</v>
      </c>
      <c r="D267" s="1" t="s">
        <v>972</v>
      </c>
      <c r="E267" s="254" t="n">
        <f aca="false">$E$31</f>
        <v>5.95</v>
      </c>
      <c r="F267" s="1" t="n">
        <f aca="false">C267*E267</f>
        <v>3.96666666666667</v>
      </c>
    </row>
    <row r="268" customFormat="false" ht="15" hidden="false" customHeight="true" outlineLevel="0" collapsed="false">
      <c r="B268" s="1" t="s">
        <v>989</v>
      </c>
      <c r="C268" s="1" t="n">
        <v>2</v>
      </c>
      <c r="D268" s="1" t="s">
        <v>990</v>
      </c>
      <c r="E268" s="1" t="n">
        <f aca="false">$F$292</f>
        <v>0.29316</v>
      </c>
      <c r="F268" s="1" t="n">
        <f aca="false">C268*E268</f>
        <v>0.58632</v>
      </c>
    </row>
    <row r="269" customFormat="false" ht="15" hidden="false" customHeight="true" outlineLevel="0" collapsed="false">
      <c r="B269" s="1" t="s">
        <v>909</v>
      </c>
      <c r="C269" s="1" t="n">
        <v>1</v>
      </c>
      <c r="D269" s="1" t="s">
        <v>992</v>
      </c>
      <c r="E269" s="254" t="n">
        <f aca="false">$E$34</f>
        <v>0.1</v>
      </c>
      <c r="F269" s="1" t="n">
        <f aca="false">C269*E269</f>
        <v>0.1</v>
      </c>
    </row>
    <row r="270" customFormat="false" ht="15" hidden="false" customHeight="true" outlineLevel="0" collapsed="false">
      <c r="B270" s="1" t="s">
        <v>994</v>
      </c>
      <c r="C270" s="1" t="n">
        <v>2</v>
      </c>
      <c r="D270" s="1" t="s">
        <v>992</v>
      </c>
      <c r="E270" s="254" t="n">
        <f aca="false">$E$38</f>
        <v>0.01</v>
      </c>
      <c r="F270" s="1" t="n">
        <f aca="false">C270*E270</f>
        <v>0.02</v>
      </c>
    </row>
    <row r="271" customFormat="false" ht="15" hidden="false" customHeight="true" outlineLevel="0" collapsed="false">
      <c r="B271" s="1" t="s">
        <v>1002</v>
      </c>
      <c r="C271" s="1" t="n">
        <v>1</v>
      </c>
      <c r="D271" s="1" t="s">
        <v>992</v>
      </c>
      <c r="E271" s="254" t="n">
        <f aca="false">$E$39</f>
        <v>0.03</v>
      </c>
      <c r="F271" s="1" t="n">
        <f aca="false">C271*E271</f>
        <v>0.03</v>
      </c>
    </row>
    <row r="272" customFormat="false" ht="15" hidden="false" customHeight="true" outlineLevel="0" collapsed="false">
      <c r="B272" s="1" t="s">
        <v>1033</v>
      </c>
      <c r="C272" s="1" t="n">
        <v>1</v>
      </c>
      <c r="D272" s="1" t="s">
        <v>1034</v>
      </c>
      <c r="E272" s="254" t="n">
        <f aca="false">$E$40</f>
        <v>0.08</v>
      </c>
      <c r="F272" s="1" t="n">
        <f aca="false">C272*E272</f>
        <v>0.08</v>
      </c>
    </row>
    <row r="273" customFormat="false" ht="15" hidden="false" customHeight="true" outlineLevel="0" collapsed="false">
      <c r="B273" s="1" t="s">
        <v>976</v>
      </c>
      <c r="F273" s="1" t="n">
        <f aca="false">SUM(F267:F272)</f>
        <v>4.78298666666667</v>
      </c>
    </row>
    <row r="274" customFormat="false" ht="15" hidden="false" customHeight="true" outlineLevel="0" collapsed="false">
      <c r="B274" s="1" t="s">
        <v>977</v>
      </c>
      <c r="F274" s="1" t="n">
        <f aca="false">F273*$C$15</f>
        <v>0.239149333333333</v>
      </c>
    </row>
    <row r="275" customFormat="false" ht="15" hidden="false" customHeight="true" outlineLevel="0" collapsed="false">
      <c r="B275" s="29" t="s">
        <v>978</v>
      </c>
      <c r="C275" s="29"/>
      <c r="D275" s="29"/>
      <c r="E275" s="29"/>
      <c r="F275" s="29" t="n">
        <f aca="false">F273+F274</f>
        <v>5.022136</v>
      </c>
    </row>
    <row r="277" customFormat="false" ht="15" hidden="false" customHeight="true" outlineLevel="0" collapsed="false">
      <c r="A277" s="251" t="s">
        <v>732</v>
      </c>
      <c r="B277" s="251" t="s">
        <v>1038</v>
      </c>
      <c r="C277" s="251"/>
      <c r="D277" s="251"/>
      <c r="E277" s="251"/>
      <c r="F277" s="251"/>
      <c r="G277" s="251"/>
    </row>
    <row r="278" customFormat="false" ht="15" hidden="false" customHeight="true" outlineLevel="0" collapsed="false">
      <c r="B278" s="252" t="s">
        <v>966</v>
      </c>
      <c r="C278" s="252" t="s">
        <v>967</v>
      </c>
      <c r="D278" s="252" t="s">
        <v>849</v>
      </c>
      <c r="E278" s="252" t="s">
        <v>968</v>
      </c>
      <c r="F278" s="252" t="s">
        <v>969</v>
      </c>
      <c r="G278" s="252" t="s">
        <v>970</v>
      </c>
    </row>
    <row r="279" customFormat="false" ht="15" hidden="false" customHeight="true" outlineLevel="0" collapsed="false">
      <c r="B279" s="1" t="s">
        <v>998</v>
      </c>
      <c r="C279" s="1" t="n">
        <v>1</v>
      </c>
      <c r="D279" s="1" t="s">
        <v>992</v>
      </c>
      <c r="E279" s="254" t="n">
        <f aca="false">$E$32</f>
        <v>1.2</v>
      </c>
      <c r="F279" s="1" t="n">
        <f aca="false">C279*E279</f>
        <v>1.2</v>
      </c>
    </row>
    <row r="280" customFormat="false" ht="15" hidden="false" customHeight="true" outlineLevel="0" collapsed="false">
      <c r="B280" s="1" t="s">
        <v>976</v>
      </c>
      <c r="F280" s="1" t="n">
        <f aca="false">SUM(F279:F279)</f>
        <v>1.2</v>
      </c>
    </row>
    <row r="281" customFormat="false" ht="15" hidden="false" customHeight="true" outlineLevel="0" collapsed="false">
      <c r="B281" s="1" t="s">
        <v>977</v>
      </c>
      <c r="F281" s="1" t="n">
        <f aca="false">F280*$C$15</f>
        <v>0.06</v>
      </c>
    </row>
    <row r="282" customFormat="false" ht="15" hidden="false" customHeight="true" outlineLevel="0" collapsed="false">
      <c r="B282" s="29" t="s">
        <v>978</v>
      </c>
      <c r="C282" s="29"/>
      <c r="D282" s="29"/>
      <c r="E282" s="29"/>
      <c r="F282" s="29" t="n">
        <f aca="false">F280+F281</f>
        <v>1.26</v>
      </c>
    </row>
    <row r="284" customFormat="false" ht="15" hidden="false" customHeight="true" outlineLevel="0" collapsed="false">
      <c r="A284" s="251" t="s">
        <v>737</v>
      </c>
      <c r="B284" s="251" t="s">
        <v>1039</v>
      </c>
      <c r="C284" s="251"/>
      <c r="D284" s="251"/>
      <c r="E284" s="251"/>
      <c r="F284" s="251"/>
      <c r="G284" s="251"/>
    </row>
    <row r="285" customFormat="false" ht="15" hidden="false" customHeight="true" outlineLevel="0" collapsed="false">
      <c r="B285" s="252" t="s">
        <v>966</v>
      </c>
      <c r="C285" s="252" t="s">
        <v>967</v>
      </c>
      <c r="D285" s="252" t="s">
        <v>849</v>
      </c>
      <c r="E285" s="252" t="s">
        <v>968</v>
      </c>
      <c r="F285" s="252" t="s">
        <v>969</v>
      </c>
      <c r="G285" s="252" t="s">
        <v>970</v>
      </c>
    </row>
    <row r="286" customFormat="false" ht="15" hidden="false" customHeight="true" outlineLevel="0" collapsed="false">
      <c r="B286" s="1" t="s">
        <v>1040</v>
      </c>
      <c r="C286" s="1" t="n">
        <f aca="false">$C$11</f>
        <v>80</v>
      </c>
      <c r="D286" s="1" t="s">
        <v>1041</v>
      </c>
      <c r="E286" s="254" t="n">
        <f aca="false">$E$29</f>
        <v>0.0026</v>
      </c>
      <c r="F286" s="1" t="n">
        <f aca="false">C286*E286</f>
        <v>0.208</v>
      </c>
    </row>
    <row r="287" customFormat="false" ht="15" hidden="false" customHeight="true" outlineLevel="0" collapsed="false">
      <c r="B287" s="1" t="s">
        <v>1006</v>
      </c>
      <c r="C287" s="1" t="n">
        <v>1</v>
      </c>
      <c r="D287" s="1" t="s">
        <v>992</v>
      </c>
      <c r="E287" s="254" t="n">
        <f aca="false">$E$43</f>
        <v>0.05</v>
      </c>
      <c r="F287" s="1" t="n">
        <f aca="false">C287*E287</f>
        <v>0.05</v>
      </c>
    </row>
    <row r="288" customFormat="false" ht="15" hidden="false" customHeight="true" outlineLevel="0" collapsed="false">
      <c r="B288" s="1" t="s">
        <v>1042</v>
      </c>
      <c r="C288" s="1" t="n">
        <v>0.12</v>
      </c>
      <c r="D288" s="1" t="s">
        <v>1041</v>
      </c>
      <c r="E288" s="255" t="n">
        <f aca="false">+E28</f>
        <v>0.01</v>
      </c>
      <c r="F288" s="1" t="n">
        <f aca="false">+C288*E288</f>
        <v>0.0012</v>
      </c>
    </row>
    <row r="289" customFormat="false" ht="15" hidden="false" customHeight="true" outlineLevel="0" collapsed="false">
      <c r="B289" s="1" t="s">
        <v>1043</v>
      </c>
      <c r="C289" s="1" t="n">
        <v>0.5</v>
      </c>
      <c r="D289" s="1" t="s">
        <v>1011</v>
      </c>
      <c r="E289" s="254" t="n">
        <f aca="false">$E$41</f>
        <v>0.04</v>
      </c>
      <c r="F289" s="1" t="n">
        <f aca="false">C289*E289</f>
        <v>0.02</v>
      </c>
    </row>
    <row r="290" customFormat="false" ht="15" hidden="false" customHeight="true" outlineLevel="0" collapsed="false">
      <c r="B290" s="1" t="s">
        <v>976</v>
      </c>
      <c r="F290" s="1" t="n">
        <f aca="false">SUM(F286:F289)</f>
        <v>0.2792</v>
      </c>
    </row>
    <row r="291" customFormat="false" ht="15" hidden="false" customHeight="true" outlineLevel="0" collapsed="false">
      <c r="B291" s="1" t="s">
        <v>977</v>
      </c>
      <c r="F291" s="1" t="n">
        <f aca="false">F290*$C$15</f>
        <v>0.01396</v>
      </c>
    </row>
    <row r="292" customFormat="false" ht="15" hidden="false" customHeight="true" outlineLevel="0" collapsed="false">
      <c r="B292" s="29" t="s">
        <v>978</v>
      </c>
      <c r="C292" s="29"/>
      <c r="D292" s="29"/>
      <c r="E292" s="29"/>
      <c r="F292" s="29" t="n">
        <f aca="false">F290+F291</f>
        <v>0.29316</v>
      </c>
    </row>
    <row r="294" customFormat="false" ht="15" hidden="false" customHeight="true" outlineLevel="0" collapsed="false">
      <c r="A294" s="251" t="s">
        <v>741</v>
      </c>
      <c r="B294" s="251" t="s">
        <v>1044</v>
      </c>
      <c r="C294" s="251"/>
      <c r="D294" s="251"/>
      <c r="E294" s="251"/>
      <c r="F294" s="251"/>
      <c r="G294" s="251"/>
    </row>
    <row r="295" customFormat="false" ht="15" hidden="false" customHeight="true" outlineLevel="0" collapsed="false">
      <c r="B295" s="252" t="s">
        <v>966</v>
      </c>
      <c r="C295" s="252" t="s">
        <v>967</v>
      </c>
      <c r="D295" s="252" t="s">
        <v>849</v>
      </c>
      <c r="E295" s="252" t="s">
        <v>968</v>
      </c>
      <c r="F295" s="252" t="s">
        <v>969</v>
      </c>
      <c r="G295" s="252" t="s">
        <v>970</v>
      </c>
    </row>
    <row r="296" customFormat="false" ht="15" hidden="false" customHeight="true" outlineLevel="0" collapsed="false">
      <c r="B296" s="1" t="s">
        <v>991</v>
      </c>
      <c r="C296" s="1" t="n">
        <v>4</v>
      </c>
      <c r="D296" s="1" t="s">
        <v>992</v>
      </c>
      <c r="E296" s="254" t="n">
        <f aca="false">$E$30</f>
        <v>0.1709602625</v>
      </c>
      <c r="F296" s="1" t="n">
        <f aca="false">C296*E296</f>
        <v>0.68384105</v>
      </c>
    </row>
    <row r="297" customFormat="false" ht="15" hidden="false" customHeight="true" outlineLevel="0" collapsed="false">
      <c r="B297" s="1" t="s">
        <v>1006</v>
      </c>
      <c r="C297" s="1" t="n">
        <v>1</v>
      </c>
      <c r="D297" s="1" t="s">
        <v>992</v>
      </c>
      <c r="E297" s="254" t="n">
        <f aca="false">$E$43</f>
        <v>0.05</v>
      </c>
      <c r="F297" s="1" t="n">
        <f aca="false">C297*E297</f>
        <v>0.05</v>
      </c>
    </row>
    <row r="298" customFormat="false" ht="15" hidden="false" customHeight="true" outlineLevel="0" collapsed="false">
      <c r="B298" s="1" t="s">
        <v>976</v>
      </c>
      <c r="F298" s="1" t="n">
        <f aca="false">SUM(F296:F297)</f>
        <v>0.73384105</v>
      </c>
    </row>
    <row r="299" customFormat="false" ht="15" hidden="false" customHeight="true" outlineLevel="0" collapsed="false">
      <c r="B299" s="1" t="s">
        <v>977</v>
      </c>
      <c r="F299" s="1" t="n">
        <f aca="false">F298*$C$15</f>
        <v>0.0366920525</v>
      </c>
    </row>
    <row r="300" customFormat="false" ht="15" hidden="false" customHeight="true" outlineLevel="0" collapsed="false">
      <c r="B300" s="29" t="s">
        <v>978</v>
      </c>
      <c r="C300" s="29"/>
      <c r="D300" s="29"/>
      <c r="E300" s="29"/>
      <c r="F300" s="29" t="n">
        <f aca="false">F298+F299</f>
        <v>0.7705331025</v>
      </c>
    </row>
    <row r="304" customFormat="false" ht="15" hidden="false" customHeight="true" outlineLevel="0" collapsed="false">
      <c r="B304" s="29" t="s">
        <v>1045</v>
      </c>
    </row>
    <row r="305" customFormat="false" ht="15" hidden="false" customHeight="true" outlineLevel="0" collapsed="false">
      <c r="B305" s="1" t="s">
        <v>1046</v>
      </c>
      <c r="C305" s="1" t="s">
        <v>1047</v>
      </c>
      <c r="D305" s="1" t="s">
        <v>1048</v>
      </c>
      <c r="E305" s="1" t="s">
        <v>968</v>
      </c>
      <c r="F305" s="1" t="s">
        <v>1049</v>
      </c>
    </row>
    <row r="306" customFormat="false" ht="15" hidden="false" customHeight="true" outlineLevel="0" collapsed="false">
      <c r="B306" s="1" t="s">
        <v>1050</v>
      </c>
      <c r="C306" s="1" t="n">
        <v>3500</v>
      </c>
      <c r="D306" s="1" t="s">
        <v>1041</v>
      </c>
      <c r="E306" s="1" t="n">
        <f aca="false">VLOOKUP(B306,SUP_INSUMOS!B:F,4,0)</f>
        <v>0.0011</v>
      </c>
      <c r="F306" s="1" t="n">
        <f aca="false">C306*E306</f>
        <v>3.85</v>
      </c>
    </row>
    <row r="307" customFormat="false" ht="15" hidden="false" customHeight="true" outlineLevel="0" collapsed="false">
      <c r="B307" s="1" t="s">
        <v>1051</v>
      </c>
      <c r="C307" s="1" t="n">
        <v>5300</v>
      </c>
      <c r="D307" s="1" t="s">
        <v>1041</v>
      </c>
      <c r="E307" s="1" t="n">
        <f aca="false">VLOOKUP(B307,SUP_INSUMOS!B:F,4,0)</f>
        <v>1E-006</v>
      </c>
      <c r="F307" s="1" t="n">
        <f aca="false">C307*E307</f>
        <v>0.0053</v>
      </c>
    </row>
    <row r="308" customFormat="false" ht="15" hidden="false" customHeight="true" outlineLevel="0" collapsed="false">
      <c r="B308" s="1" t="s">
        <v>1052</v>
      </c>
      <c r="C308" s="1" t="n">
        <v>350</v>
      </c>
      <c r="D308" s="1" t="s">
        <v>1041</v>
      </c>
      <c r="E308" s="1" t="n">
        <f aca="false">VLOOKUP(B308,SUP_INSUMOS!B:F,4,0)</f>
        <v>0.0028</v>
      </c>
      <c r="F308" s="1" t="n">
        <f aca="false">C308*E308</f>
        <v>0.98</v>
      </c>
    </row>
    <row r="309" customFormat="false" ht="15" hidden="false" customHeight="true" outlineLevel="0" collapsed="false">
      <c r="B309" s="1" t="s">
        <v>1053</v>
      </c>
      <c r="C309" s="1" t="n">
        <v>5</v>
      </c>
      <c r="D309" s="1" t="s">
        <v>1041</v>
      </c>
      <c r="E309" s="1" t="n">
        <f aca="false">VLOOKUP(B309,SUP_INSUMOS!B:F,4,0)</f>
        <v>0.0035</v>
      </c>
      <c r="F309" s="1" t="n">
        <f aca="false">C309*E309</f>
        <v>0.0175</v>
      </c>
    </row>
    <row r="310" customFormat="false" ht="15" hidden="false" customHeight="true" outlineLevel="0" collapsed="false">
      <c r="B310" s="1" t="s">
        <v>1054</v>
      </c>
      <c r="C310" s="1" t="n">
        <v>75</v>
      </c>
      <c r="D310" s="1" t="s">
        <v>1041</v>
      </c>
      <c r="E310" s="1" t="n">
        <f aca="false">VLOOKUP(B310,SUP_INSUMOS!B:F,4,0)</f>
        <v>0.0005</v>
      </c>
      <c r="F310" s="1" t="n">
        <f aca="false">C310*E310</f>
        <v>0.0375</v>
      </c>
    </row>
    <row r="311" customFormat="false" ht="15" hidden="false" customHeight="true" outlineLevel="0" collapsed="false">
      <c r="B311" s="1" t="s">
        <v>1055</v>
      </c>
      <c r="C311" s="1" t="n">
        <v>35</v>
      </c>
      <c r="D311" s="1" t="s">
        <v>1041</v>
      </c>
      <c r="E311" s="1" t="n">
        <f aca="false">VLOOKUP(B311,SUP_INSUMOS!B:F,4,0)</f>
        <v>0.0072</v>
      </c>
      <c r="F311" s="1" t="n">
        <f aca="false">C311*E311</f>
        <v>0.252</v>
      </c>
    </row>
    <row r="312" customFormat="false" ht="15" hidden="false" customHeight="true" outlineLevel="0" collapsed="false">
      <c r="B312" s="1" t="s">
        <v>1056</v>
      </c>
      <c r="C312" s="1" t="n">
        <v>25</v>
      </c>
      <c r="D312" s="1" t="s">
        <v>1041</v>
      </c>
      <c r="E312" s="1" t="n">
        <f aca="false">VLOOKUP(B312,SUP_INSUMOS!B:F,4,0)</f>
        <v>0.00125</v>
      </c>
      <c r="F312" s="1" t="n">
        <f aca="false">C312*E312</f>
        <v>0.03125</v>
      </c>
    </row>
    <row r="313" customFormat="false" ht="15" hidden="false" customHeight="true" outlineLevel="0" collapsed="false">
      <c r="B313" s="1" t="s">
        <v>1057</v>
      </c>
      <c r="C313" s="1" t="n">
        <v>5</v>
      </c>
      <c r="D313" s="1" t="s">
        <v>1041</v>
      </c>
      <c r="E313" s="1" t="n">
        <f aca="false">VLOOKUP(B313,SUP_INSUMOS!B:F,4,0)</f>
        <v>0.012</v>
      </c>
      <c r="F313" s="1" t="n">
        <f aca="false">C313*E313</f>
        <v>0.06</v>
      </c>
    </row>
    <row r="314" customFormat="false" ht="15" hidden="false" customHeight="true" outlineLevel="0" collapsed="false">
      <c r="B314" s="1" t="s">
        <v>1058</v>
      </c>
      <c r="C314" s="1" t="n">
        <v>15</v>
      </c>
      <c r="D314" s="1" t="s">
        <v>1041</v>
      </c>
      <c r="E314" s="1" t="n">
        <f aca="false">VLOOKUP(B314,SUP_INSUMOS!B:F,4,0)</f>
        <v>0.0065</v>
      </c>
      <c r="F314" s="1" t="n">
        <f aca="false">C314*E314</f>
        <v>0.0975</v>
      </c>
    </row>
    <row r="315" customFormat="false" ht="15" hidden="false" customHeight="true" outlineLevel="0" collapsed="false">
      <c r="B315" s="1" t="s">
        <v>1059</v>
      </c>
      <c r="C315" s="1" t="n">
        <v>8</v>
      </c>
      <c r="D315" s="1" t="s">
        <v>1041</v>
      </c>
      <c r="E315" s="1" t="n">
        <f aca="false">VLOOKUP(B315,SUP_INSUMOS!B:F,4,0)</f>
        <v>0.006</v>
      </c>
      <c r="F315" s="1" t="n">
        <f aca="false">C315*E315</f>
        <v>0.048</v>
      </c>
    </row>
    <row r="316" customFormat="false" ht="15" hidden="false" customHeight="true" outlineLevel="0" collapsed="false">
      <c r="B316" s="1" t="s">
        <v>1060</v>
      </c>
      <c r="C316" s="1" t="n">
        <v>100</v>
      </c>
      <c r="D316" s="1" t="s">
        <v>992</v>
      </c>
      <c r="E316" s="1" t="n">
        <f aca="false">VLOOKUP(B316,SUP_INSUMOS!B:F,4,0)</f>
        <v>0.095</v>
      </c>
      <c r="F316" s="1" t="n">
        <f aca="false">C316*E316</f>
        <v>9.5</v>
      </c>
    </row>
    <row r="317" customFormat="false" ht="15" hidden="false" customHeight="true" outlineLevel="0" collapsed="false">
      <c r="B317" s="1" t="s">
        <v>1061</v>
      </c>
      <c r="C317" s="1" t="n">
        <v>60</v>
      </c>
      <c r="D317" s="1" t="s">
        <v>1062</v>
      </c>
      <c r="E317" s="1" t="n">
        <f aca="false">VLOOKUP(B317,SUP_INSUMOS!B:F,4,0)</f>
        <v>0.03</v>
      </c>
      <c r="F317" s="1" t="n">
        <f aca="false">C317*E317</f>
        <v>1.8</v>
      </c>
    </row>
    <row r="318" customFormat="false" ht="15" hidden="false" customHeight="true" outlineLevel="0" collapsed="false">
      <c r="B318" s="1" t="s">
        <v>1063</v>
      </c>
      <c r="F318" s="1" t="n">
        <f aca="false">SUM(F306:F317)</f>
        <v>16.67905</v>
      </c>
    </row>
    <row r="319" customFormat="false" ht="15" hidden="false" customHeight="true" outlineLevel="0" collapsed="false">
      <c r="B319" s="1" t="s">
        <v>1064</v>
      </c>
      <c r="C319" s="118" t="n">
        <v>0.025</v>
      </c>
      <c r="F319" s="1" t="n">
        <f aca="false">F318*C319</f>
        <v>0.41697625</v>
      </c>
    </row>
    <row r="320" customFormat="false" ht="15" hidden="false" customHeight="true" outlineLevel="0" collapsed="false">
      <c r="B320" s="1" t="s">
        <v>1065</v>
      </c>
      <c r="F320" s="1" t="n">
        <f aca="false">F318+F319</f>
        <v>17.09602625</v>
      </c>
    </row>
    <row r="321" customFormat="false" ht="15" hidden="false" customHeight="true" outlineLevel="0" collapsed="false">
      <c r="B321" s="29" t="s">
        <v>1066</v>
      </c>
      <c r="C321" s="1" t="n">
        <v>100</v>
      </c>
      <c r="D321" s="1" t="s">
        <v>1067</v>
      </c>
      <c r="F321" s="29" t="n">
        <f aca="false">F320/C321</f>
        <v>0.1709602625</v>
      </c>
    </row>
    <row r="322" customFormat="false" ht="15" hidden="false" customHeight="true" outlineLevel="0" collapsed="false">
      <c r="B322" s="1" t="s">
        <v>1068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G248"/>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2" topLeftCell="A3" activePane="bottomLeft" state="frozen"/>
      <selection pane="topLeft" activeCell="A1" activeCellId="0" sqref="A1"/>
      <selection pane="bottomLeft" activeCell="C122" activeCellId="0" sqref="C122"/>
    </sheetView>
  </sheetViews>
  <sheetFormatPr defaultColWidth="10.66796875" defaultRowHeight="15" zeroHeight="false" outlineLevelRow="0" outlineLevelCol="0"/>
  <cols>
    <col collapsed="false" customWidth="true" hidden="false" outlineLevel="0" max="2" min="2" style="1" width="53.33"/>
    <col collapsed="false" customWidth="true" hidden="false" outlineLevel="0" max="3" min="3" style="1" width="15"/>
    <col collapsed="false" customWidth="true" hidden="false" outlineLevel="0" max="5" min="4" style="1" width="13.34"/>
    <col collapsed="false" customWidth="true" hidden="false" outlineLevel="0" max="6" min="6" style="1" width="50"/>
  </cols>
  <sheetData>
    <row r="1" customFormat="false" ht="15" hidden="false" customHeight="true" outlineLevel="0" collapsed="false">
      <c r="A1" s="256" t="s">
        <v>1069</v>
      </c>
    </row>
    <row r="2" customFormat="false" ht="15" hidden="false" customHeight="true" outlineLevel="0" collapsed="false">
      <c r="B2" s="60" t="s">
        <v>851</v>
      </c>
      <c r="C2" s="60" t="s">
        <v>1070</v>
      </c>
      <c r="D2" s="60" t="s">
        <v>1071</v>
      </c>
      <c r="E2" s="60" t="s">
        <v>1072</v>
      </c>
      <c r="F2" s="60" t="s">
        <v>1073</v>
      </c>
    </row>
    <row r="3" customFormat="false" ht="15" hidden="false" customHeight="true" outlineLevel="0" collapsed="false">
      <c r="B3" s="1" t="s">
        <v>688</v>
      </c>
      <c r="D3" s="106" t="n">
        <v>2.294341875</v>
      </c>
    </row>
    <row r="4" customFormat="false" ht="15" hidden="false" customHeight="true" outlineLevel="0" collapsed="false">
      <c r="B4" s="1" t="s">
        <v>705</v>
      </c>
      <c r="D4" s="106" t="n">
        <v>2.3594025</v>
      </c>
    </row>
    <row r="5" customFormat="false" ht="15" hidden="false" customHeight="true" outlineLevel="0" collapsed="false">
      <c r="B5" s="1" t="s">
        <v>701</v>
      </c>
      <c r="D5" s="106" t="n">
        <v>4.672605</v>
      </c>
    </row>
    <row r="6" customFormat="false" ht="15" hidden="false" customHeight="true" outlineLevel="0" collapsed="false">
      <c r="B6" s="1" t="s">
        <v>693</v>
      </c>
      <c r="D6" s="106" t="n">
        <v>9.19821</v>
      </c>
    </row>
    <row r="7" customFormat="false" ht="15" hidden="false" customHeight="true" outlineLevel="0" collapsed="false">
      <c r="B7" s="1" t="s">
        <v>697</v>
      </c>
      <c r="D7" s="106" t="n">
        <v>10.03821</v>
      </c>
    </row>
    <row r="8" customFormat="false" ht="15" hidden="false" customHeight="true" outlineLevel="0" collapsed="false">
      <c r="B8" s="1" t="s">
        <v>983</v>
      </c>
      <c r="C8" s="1" t="s">
        <v>1074</v>
      </c>
      <c r="D8" s="106" t="n">
        <v>2.2</v>
      </c>
      <c r="E8" s="1" t="n">
        <f aca="false">SUM(D8/1000)</f>
        <v>0.0022</v>
      </c>
      <c r="F8" s="1" t="s">
        <v>1075</v>
      </c>
    </row>
    <row r="9" customFormat="false" ht="15" hidden="false" customHeight="true" outlineLevel="0" collapsed="false">
      <c r="B9" s="1" t="s">
        <v>883</v>
      </c>
      <c r="D9" s="106"/>
      <c r="E9" s="1" t="n">
        <f aca="false">SUM(D9/1000)</f>
        <v>0</v>
      </c>
    </row>
    <row r="10" customFormat="false" ht="15" hidden="false" customHeight="true" outlineLevel="0" collapsed="false">
      <c r="B10" s="1" t="s">
        <v>1076</v>
      </c>
      <c r="C10" s="1" t="s">
        <v>984</v>
      </c>
      <c r="D10" s="106" t="n">
        <v>0.01</v>
      </c>
      <c r="E10" s="1" t="n">
        <v>0.01</v>
      </c>
    </row>
    <row r="11" customFormat="false" ht="15" hidden="false" customHeight="true" outlineLevel="0" collapsed="false">
      <c r="B11" s="1" t="s">
        <v>1052</v>
      </c>
      <c r="C11" s="1" t="s">
        <v>1074</v>
      </c>
      <c r="D11" s="106" t="n">
        <v>2.8</v>
      </c>
      <c r="E11" s="1" t="n">
        <v>0.0028</v>
      </c>
      <c r="F11" s="1" t="s">
        <v>1077</v>
      </c>
    </row>
    <row r="12" customFormat="false" ht="15" hidden="false" customHeight="true" outlineLevel="0" collapsed="false">
      <c r="B12" s="1" t="s">
        <v>885</v>
      </c>
      <c r="C12" s="1" t="s">
        <v>1078</v>
      </c>
      <c r="D12" s="106" t="n">
        <f aca="false">SUM(E8*7)</f>
        <v>0.0154</v>
      </c>
      <c r="E12" s="1" t="n">
        <v>0.0154</v>
      </c>
      <c r="F12" s="1" t="s">
        <v>1079</v>
      </c>
    </row>
    <row r="13" customFormat="false" ht="15" hidden="false" customHeight="true" outlineLevel="0" collapsed="false">
      <c r="B13" s="1" t="s">
        <v>1080</v>
      </c>
      <c r="C13" s="1" t="s">
        <v>984</v>
      </c>
      <c r="D13" s="106" t="n">
        <f aca="false">SUM(E8*7)</f>
        <v>0.0154</v>
      </c>
      <c r="E13" s="1" t="n">
        <v>0.0154</v>
      </c>
      <c r="F13" s="1" t="s">
        <v>1079</v>
      </c>
    </row>
    <row r="14" customFormat="false" ht="15" hidden="false" customHeight="true" outlineLevel="0" collapsed="false">
      <c r="B14" s="1" t="s">
        <v>1055</v>
      </c>
      <c r="C14" s="1" t="s">
        <v>1081</v>
      </c>
      <c r="D14" s="106" t="n">
        <v>7.2</v>
      </c>
      <c r="E14" s="1" t="n">
        <v>0.0072</v>
      </c>
    </row>
    <row r="15" customFormat="false" ht="15" hidden="false" customHeight="true" outlineLevel="0" collapsed="false">
      <c r="B15" s="1" t="s">
        <v>1082</v>
      </c>
      <c r="C15" s="1" t="s">
        <v>1081</v>
      </c>
      <c r="D15" s="106" t="n">
        <v>8.5</v>
      </c>
      <c r="E15" s="1" t="n">
        <v>0.0085</v>
      </c>
      <c r="F15" s="1" t="s">
        <v>1083</v>
      </c>
    </row>
    <row r="16" customFormat="false" ht="15" hidden="false" customHeight="true" outlineLevel="0" collapsed="false">
      <c r="B16" s="1" t="s">
        <v>1084</v>
      </c>
      <c r="C16" s="1" t="s">
        <v>1081</v>
      </c>
      <c r="D16" s="106" t="n">
        <v>9.5</v>
      </c>
      <c r="E16" s="1" t="n">
        <v>0.0095</v>
      </c>
    </row>
    <row r="17" customFormat="false" ht="15" hidden="false" customHeight="true" outlineLevel="0" collapsed="false">
      <c r="B17" s="1" t="s">
        <v>1085</v>
      </c>
      <c r="C17" s="1" t="s">
        <v>1074</v>
      </c>
      <c r="D17" s="106" t="n">
        <v>0.001</v>
      </c>
      <c r="E17" s="1" t="n">
        <v>1E-006</v>
      </c>
    </row>
    <row r="18" customFormat="false" ht="15" hidden="false" customHeight="true" outlineLevel="0" collapsed="false">
      <c r="B18" s="1" t="s">
        <v>1086</v>
      </c>
      <c r="C18" s="1" t="s">
        <v>1081</v>
      </c>
      <c r="D18" s="106" t="n">
        <v>8.2</v>
      </c>
      <c r="E18" s="1" t="n">
        <v>0.0082</v>
      </c>
      <c r="F18" s="1" t="s">
        <v>1087</v>
      </c>
    </row>
    <row r="19" customFormat="false" ht="15" hidden="false" customHeight="true" outlineLevel="0" collapsed="false">
      <c r="B19" s="1" t="s">
        <v>1059</v>
      </c>
      <c r="C19" s="1" t="s">
        <v>1081</v>
      </c>
      <c r="D19" s="106" t="n">
        <v>6</v>
      </c>
      <c r="E19" s="1" t="n">
        <v>0.006</v>
      </c>
      <c r="F19" s="1" t="s">
        <v>1088</v>
      </c>
    </row>
    <row r="20" customFormat="false" ht="15" hidden="false" customHeight="true" outlineLevel="0" collapsed="false">
      <c r="B20" s="1" t="s">
        <v>1089</v>
      </c>
      <c r="C20" s="1" t="s">
        <v>1081</v>
      </c>
      <c r="D20" s="106" t="n">
        <v>5.4</v>
      </c>
      <c r="E20" s="1" t="n">
        <v>0.0054</v>
      </c>
      <c r="F20" s="1" t="s">
        <v>1090</v>
      </c>
    </row>
    <row r="21" customFormat="false" ht="15" hidden="false" customHeight="true" outlineLevel="0" collapsed="false">
      <c r="B21" s="1" t="s">
        <v>1091</v>
      </c>
      <c r="C21" s="1" t="s">
        <v>1081</v>
      </c>
      <c r="D21" s="106" t="n">
        <v>5.7</v>
      </c>
      <c r="E21" s="1" t="n">
        <v>0.0057</v>
      </c>
    </row>
    <row r="22" customFormat="false" ht="15" hidden="false" customHeight="true" outlineLevel="0" collapsed="false">
      <c r="B22" s="1" t="s">
        <v>1092</v>
      </c>
      <c r="C22" s="1" t="s">
        <v>1081</v>
      </c>
      <c r="D22" s="106" t="n">
        <v>3.8</v>
      </c>
      <c r="E22" s="1" t="n">
        <v>0.0038</v>
      </c>
      <c r="F22" s="1" t="s">
        <v>1093</v>
      </c>
    </row>
    <row r="23" customFormat="false" ht="15" hidden="false" customHeight="true" outlineLevel="0" collapsed="false">
      <c r="B23" s="1" t="s">
        <v>1094</v>
      </c>
      <c r="C23" s="1" t="s">
        <v>1081</v>
      </c>
      <c r="D23" s="106" t="n">
        <v>4.2</v>
      </c>
      <c r="E23" s="1" t="n">
        <v>0.0042</v>
      </c>
    </row>
    <row r="24" customFormat="false" ht="15" hidden="false" customHeight="true" outlineLevel="0" collapsed="false">
      <c r="B24" s="1" t="s">
        <v>1095</v>
      </c>
      <c r="C24" s="1" t="s">
        <v>1081</v>
      </c>
      <c r="D24" s="106" t="n">
        <v>7.5</v>
      </c>
      <c r="E24" s="1" t="n">
        <v>0.0075</v>
      </c>
      <c r="F24" s="1" t="s">
        <v>1096</v>
      </c>
    </row>
    <row r="25" customFormat="false" ht="15" hidden="false" customHeight="true" outlineLevel="0" collapsed="false">
      <c r="B25" s="1" t="s">
        <v>1097</v>
      </c>
      <c r="C25" s="1" t="s">
        <v>849</v>
      </c>
      <c r="D25" s="106" t="n">
        <v>0.4</v>
      </c>
      <c r="E25" s="1" t="n">
        <v>0.4</v>
      </c>
      <c r="F25" s="1" t="s">
        <v>1098</v>
      </c>
    </row>
    <row r="26" customFormat="false" ht="15" hidden="false" customHeight="true" outlineLevel="0" collapsed="false">
      <c r="B26" s="1" t="s">
        <v>1056</v>
      </c>
      <c r="C26" s="1" t="s">
        <v>1081</v>
      </c>
      <c r="D26" s="106" t="n">
        <v>1.25</v>
      </c>
      <c r="E26" s="1" t="n">
        <v>0.00125</v>
      </c>
      <c r="F26" s="1" t="s">
        <v>1099</v>
      </c>
    </row>
    <row r="27" customFormat="false" ht="15" hidden="false" customHeight="true" outlineLevel="0" collapsed="false">
      <c r="B27" s="1" t="s">
        <v>1024</v>
      </c>
      <c r="C27" s="1" t="s">
        <v>992</v>
      </c>
      <c r="D27" s="106" t="n">
        <v>0.15</v>
      </c>
    </row>
    <row r="28" customFormat="false" ht="15" hidden="false" customHeight="true" outlineLevel="0" collapsed="false">
      <c r="B28" s="1" t="s">
        <v>1100</v>
      </c>
      <c r="C28" s="1" t="s">
        <v>1048</v>
      </c>
      <c r="D28" s="106" t="n">
        <v>0.2</v>
      </c>
      <c r="E28" s="1" t="n">
        <v>0.2</v>
      </c>
    </row>
    <row r="29" customFormat="false" ht="15" hidden="false" customHeight="true" outlineLevel="0" collapsed="false">
      <c r="B29" s="1" t="s">
        <v>1101</v>
      </c>
      <c r="C29" s="1" t="s">
        <v>1048</v>
      </c>
      <c r="D29" s="106" t="n">
        <v>0.28</v>
      </c>
      <c r="E29" s="1" t="n">
        <v>0.28</v>
      </c>
    </row>
    <row r="30" customFormat="false" ht="15" hidden="false" customHeight="true" outlineLevel="0" collapsed="false">
      <c r="B30" s="1" t="s">
        <v>1102</v>
      </c>
      <c r="C30" s="1" t="s">
        <v>972</v>
      </c>
      <c r="D30" s="106" t="n">
        <v>9</v>
      </c>
      <c r="E30" s="1" t="n">
        <v>0.009</v>
      </c>
    </row>
    <row r="31" customFormat="false" ht="15" hidden="false" customHeight="true" outlineLevel="0" collapsed="false">
      <c r="B31" s="1" t="s">
        <v>875</v>
      </c>
      <c r="C31" s="1" t="s">
        <v>1081</v>
      </c>
      <c r="D31" s="106" t="n">
        <v>0.765</v>
      </c>
      <c r="E31" s="1" t="n">
        <v>0.000765</v>
      </c>
    </row>
    <row r="32" customFormat="false" ht="15" hidden="false" customHeight="true" outlineLevel="0" collapsed="false">
      <c r="B32" s="1" t="s">
        <v>1103</v>
      </c>
      <c r="C32" s="1" t="s">
        <v>1081</v>
      </c>
      <c r="D32" s="106" t="n">
        <v>2</v>
      </c>
      <c r="E32" s="1" t="n">
        <v>0.002</v>
      </c>
      <c r="F32" s="1" t="s">
        <v>1104</v>
      </c>
    </row>
    <row r="33" customFormat="false" ht="15" hidden="false" customHeight="true" outlineLevel="0" collapsed="false">
      <c r="B33" s="1" t="s">
        <v>909</v>
      </c>
      <c r="C33" s="1" t="s">
        <v>992</v>
      </c>
      <c r="D33" s="106" t="n">
        <v>0.1</v>
      </c>
      <c r="E33" s="1" t="n">
        <v>0.1</v>
      </c>
    </row>
    <row r="34" customFormat="false" ht="15" hidden="false" customHeight="true" outlineLevel="0" collapsed="false">
      <c r="B34" s="1" t="s">
        <v>1105</v>
      </c>
      <c r="C34" s="1" t="s">
        <v>1081</v>
      </c>
      <c r="D34" s="106" t="n">
        <v>6.2</v>
      </c>
      <c r="E34" s="1" t="n">
        <v>0.0062</v>
      </c>
      <c r="F34" s="1" t="s">
        <v>1106</v>
      </c>
    </row>
    <row r="35" customFormat="false" ht="15" hidden="false" customHeight="true" outlineLevel="0" collapsed="false">
      <c r="B35" s="1" t="s">
        <v>912</v>
      </c>
      <c r="C35" s="1" t="s">
        <v>1048</v>
      </c>
      <c r="D35" s="106" t="n">
        <v>0.4</v>
      </c>
      <c r="E35" s="1" t="n">
        <v>0.4</v>
      </c>
    </row>
    <row r="36" customFormat="false" ht="15" hidden="false" customHeight="true" outlineLevel="0" collapsed="false">
      <c r="B36" s="1" t="s">
        <v>1107</v>
      </c>
      <c r="C36" s="1" t="s">
        <v>1081</v>
      </c>
      <c r="D36" s="106" t="n">
        <v>10.5</v>
      </c>
      <c r="E36" s="1" t="n">
        <v>0.0105</v>
      </c>
    </row>
    <row r="37" customFormat="false" ht="15" hidden="false" customHeight="true" outlineLevel="0" collapsed="false">
      <c r="B37" s="1" t="s">
        <v>1108</v>
      </c>
      <c r="C37" s="1" t="s">
        <v>1081</v>
      </c>
      <c r="D37" s="106" t="n">
        <v>2.7</v>
      </c>
      <c r="E37" s="1" t="n">
        <v>0.0027</v>
      </c>
      <c r="F37" s="1" t="s">
        <v>1109</v>
      </c>
    </row>
    <row r="38" customFormat="false" ht="15" hidden="false" customHeight="true" outlineLevel="0" collapsed="false">
      <c r="B38" s="1" t="s">
        <v>1058</v>
      </c>
      <c r="C38" s="1" t="s">
        <v>1081</v>
      </c>
      <c r="D38" s="106" t="n">
        <v>6.5</v>
      </c>
      <c r="E38" s="1" t="n">
        <v>0.0065</v>
      </c>
      <c r="F38" s="1" t="s">
        <v>1110</v>
      </c>
    </row>
    <row r="39" customFormat="false" ht="15" hidden="false" customHeight="true" outlineLevel="0" collapsed="false">
      <c r="B39" s="1" t="s">
        <v>1111</v>
      </c>
      <c r="C39" s="1" t="s">
        <v>1081</v>
      </c>
      <c r="D39" s="106" t="n">
        <v>7</v>
      </c>
      <c r="E39" s="1" t="n">
        <v>0.007</v>
      </c>
      <c r="F39" s="1" t="s">
        <v>1112</v>
      </c>
    </row>
    <row r="40" customFormat="false" ht="15" hidden="false" customHeight="true" outlineLevel="0" collapsed="false">
      <c r="B40" s="1" t="s">
        <v>1113</v>
      </c>
      <c r="C40" s="1" t="s">
        <v>1081</v>
      </c>
      <c r="D40" s="106" t="n">
        <v>3</v>
      </c>
      <c r="E40" s="1" t="n">
        <f aca="false">SUM(D40/1000)</f>
        <v>0.003</v>
      </c>
    </row>
    <row r="41" customFormat="false" ht="15" hidden="false" customHeight="true" outlineLevel="0" collapsed="false">
      <c r="B41" s="1" t="s">
        <v>1114</v>
      </c>
      <c r="C41" s="1" t="s">
        <v>1081</v>
      </c>
      <c r="D41" s="106" t="n">
        <v>3.8</v>
      </c>
      <c r="E41" s="1" t="n">
        <v>0.0038</v>
      </c>
      <c r="F41" s="1" t="s">
        <v>1115</v>
      </c>
    </row>
    <row r="42" customFormat="false" ht="15" hidden="false" customHeight="true" outlineLevel="0" collapsed="false">
      <c r="B42" s="1" t="s">
        <v>720</v>
      </c>
      <c r="C42" s="1" t="s">
        <v>1048</v>
      </c>
      <c r="D42" s="106" t="n">
        <v>18.7472775</v>
      </c>
      <c r="E42" s="1" t="n">
        <v>18.7472775</v>
      </c>
    </row>
    <row r="43" customFormat="false" ht="15" hidden="false" customHeight="true" outlineLevel="0" collapsed="false">
      <c r="B43" s="1" t="s">
        <v>1116</v>
      </c>
      <c r="C43" s="1" t="s">
        <v>1081</v>
      </c>
      <c r="D43" s="106" t="n">
        <v>8</v>
      </c>
      <c r="E43" s="1" t="n">
        <v>0.008</v>
      </c>
      <c r="F43" s="1" t="s">
        <v>1117</v>
      </c>
    </row>
    <row r="44" customFormat="false" ht="15" hidden="false" customHeight="true" outlineLevel="0" collapsed="false">
      <c r="B44" s="1" t="s">
        <v>1118</v>
      </c>
      <c r="C44" s="1" t="s">
        <v>1081</v>
      </c>
      <c r="D44" s="106" t="n">
        <v>5.35</v>
      </c>
      <c r="E44" s="1" t="n">
        <v>0.00535</v>
      </c>
      <c r="F44" s="1" t="s">
        <v>1106</v>
      </c>
    </row>
    <row r="45" customFormat="false" ht="15" hidden="false" customHeight="true" outlineLevel="0" collapsed="false">
      <c r="B45" s="1" t="s">
        <v>1119</v>
      </c>
      <c r="C45" s="1" t="s">
        <v>1074</v>
      </c>
      <c r="D45" s="106" t="n">
        <v>4.2</v>
      </c>
      <c r="E45" s="1" t="n">
        <v>0.0042</v>
      </c>
      <c r="F45" s="1" t="s">
        <v>1120</v>
      </c>
    </row>
    <row r="46" customFormat="false" ht="15" hidden="false" customHeight="true" outlineLevel="0" collapsed="false">
      <c r="B46" s="1" t="s">
        <v>1121</v>
      </c>
      <c r="C46" s="1" t="s">
        <v>1122</v>
      </c>
      <c r="D46" s="106" t="n">
        <v>10</v>
      </c>
      <c r="E46" s="1" t="n">
        <f aca="false">SUM(D46/1000)</f>
        <v>0.01</v>
      </c>
    </row>
    <row r="47" customFormat="false" ht="15" hidden="false" customHeight="true" outlineLevel="0" collapsed="false">
      <c r="B47" s="1" t="s">
        <v>1123</v>
      </c>
      <c r="C47" s="1" t="s">
        <v>1081</v>
      </c>
      <c r="D47" s="106" t="n">
        <v>3.2</v>
      </c>
      <c r="E47" s="1" t="n">
        <v>0.0032</v>
      </c>
      <c r="F47" s="1" t="s">
        <v>1124</v>
      </c>
    </row>
    <row r="48" customFormat="false" ht="15" hidden="false" customHeight="true" outlineLevel="0" collapsed="false">
      <c r="B48" s="1" t="s">
        <v>1009</v>
      </c>
      <c r="C48" s="1" t="s">
        <v>992</v>
      </c>
      <c r="D48" s="106" t="n">
        <v>0.1</v>
      </c>
      <c r="E48" s="1" t="n">
        <v>0.1</v>
      </c>
    </row>
    <row r="49" customFormat="false" ht="15" hidden="false" customHeight="true" outlineLevel="0" collapsed="false">
      <c r="B49" s="1" t="s">
        <v>1020</v>
      </c>
      <c r="C49" s="1" t="s">
        <v>1011</v>
      </c>
      <c r="D49" s="106" t="n">
        <v>0.04</v>
      </c>
      <c r="E49" s="1" t="n">
        <v>0.04</v>
      </c>
    </row>
    <row r="50" customFormat="false" ht="15" hidden="false" customHeight="true" outlineLevel="0" collapsed="false">
      <c r="B50" s="1" t="s">
        <v>1010</v>
      </c>
      <c r="C50" s="1" t="s">
        <v>1011</v>
      </c>
      <c r="D50" s="106" t="n">
        <v>0.04</v>
      </c>
      <c r="E50" s="1" t="n">
        <v>0.04</v>
      </c>
    </row>
    <row r="51" customFormat="false" ht="15" hidden="false" customHeight="true" outlineLevel="0" collapsed="false">
      <c r="B51" s="1" t="s">
        <v>931</v>
      </c>
      <c r="D51" s="106"/>
    </row>
    <row r="52" customFormat="false" ht="15" hidden="false" customHeight="true" outlineLevel="0" collapsed="false">
      <c r="B52" s="1" t="s">
        <v>1043</v>
      </c>
      <c r="C52" s="1" t="s">
        <v>1011</v>
      </c>
      <c r="D52" s="106" t="n">
        <v>0.04</v>
      </c>
      <c r="E52" s="1" t="n">
        <v>0.04</v>
      </c>
    </row>
    <row r="53" customFormat="false" ht="15" hidden="false" customHeight="true" outlineLevel="0" collapsed="false">
      <c r="B53" s="1" t="s">
        <v>1125</v>
      </c>
      <c r="C53" s="1" t="s">
        <v>1081</v>
      </c>
      <c r="D53" s="106" t="n">
        <v>2.54</v>
      </c>
      <c r="E53" s="1" t="n">
        <f aca="false">SUM(D53/1000)</f>
        <v>0.00254</v>
      </c>
    </row>
    <row r="54" customFormat="false" ht="15" hidden="false" customHeight="true" outlineLevel="0" collapsed="false">
      <c r="B54" s="1" t="s">
        <v>1126</v>
      </c>
      <c r="C54" s="1" t="s">
        <v>1127</v>
      </c>
      <c r="D54" s="106" t="n">
        <v>2.543</v>
      </c>
    </row>
    <row r="55" customFormat="false" ht="15" hidden="false" customHeight="true" outlineLevel="0" collapsed="false">
      <c r="B55" s="1" t="s">
        <v>1128</v>
      </c>
      <c r="C55" s="1" t="s">
        <v>1081</v>
      </c>
      <c r="D55" s="106" t="n">
        <v>6.8</v>
      </c>
      <c r="E55" s="1" t="n">
        <v>0.0068</v>
      </c>
      <c r="F55" s="1" t="s">
        <v>1129</v>
      </c>
    </row>
    <row r="56" customFormat="false" ht="15" hidden="false" customHeight="true" outlineLevel="0" collapsed="false">
      <c r="B56" s="1" t="s">
        <v>1025</v>
      </c>
      <c r="C56" s="1" t="s">
        <v>992</v>
      </c>
      <c r="D56" s="106" t="n">
        <v>0.03</v>
      </c>
      <c r="E56" s="1" t="n">
        <v>0.03</v>
      </c>
    </row>
    <row r="57" customFormat="false" ht="15" hidden="false" customHeight="true" outlineLevel="0" collapsed="false">
      <c r="B57" s="1" t="s">
        <v>918</v>
      </c>
      <c r="D57" s="106"/>
    </row>
    <row r="58" customFormat="false" ht="15" hidden="false" customHeight="true" outlineLevel="0" collapsed="false">
      <c r="B58" s="1" t="s">
        <v>1130</v>
      </c>
      <c r="C58" s="1" t="s">
        <v>1081</v>
      </c>
      <c r="D58" s="106" t="n">
        <v>50</v>
      </c>
      <c r="E58" s="1" t="n">
        <v>0.05</v>
      </c>
      <c r="F58" s="1" t="s">
        <v>1129</v>
      </c>
    </row>
    <row r="59" customFormat="false" ht="15" hidden="false" customHeight="true" outlineLevel="0" collapsed="false">
      <c r="B59" s="1" t="s">
        <v>1131</v>
      </c>
      <c r="C59" s="1" t="s">
        <v>1081</v>
      </c>
      <c r="D59" s="106" t="n">
        <v>9.5</v>
      </c>
      <c r="E59" s="1" t="n">
        <v>0.0095</v>
      </c>
    </row>
    <row r="60" customFormat="false" ht="15" hidden="false" customHeight="true" outlineLevel="0" collapsed="false">
      <c r="B60" s="1" t="s">
        <v>842</v>
      </c>
      <c r="D60" s="106"/>
    </row>
    <row r="61" customFormat="false" ht="15" hidden="false" customHeight="true" outlineLevel="0" collapsed="false">
      <c r="B61" s="1" t="s">
        <v>1132</v>
      </c>
      <c r="C61" s="1" t="s">
        <v>1081</v>
      </c>
      <c r="D61" s="106" t="n">
        <v>2.1</v>
      </c>
      <c r="E61" s="1" t="n">
        <f aca="false">SUM(D61/1000)</f>
        <v>0.0021</v>
      </c>
      <c r="F61" s="1" t="s">
        <v>1133</v>
      </c>
    </row>
    <row r="62" customFormat="false" ht="15" hidden="false" customHeight="true" outlineLevel="0" collapsed="false">
      <c r="B62" s="1" t="s">
        <v>1134</v>
      </c>
      <c r="C62" s="1" t="s">
        <v>1081</v>
      </c>
      <c r="D62" s="106" t="n">
        <v>15.5</v>
      </c>
      <c r="E62" s="1" t="n">
        <v>0.0155</v>
      </c>
      <c r="F62" s="1" t="s">
        <v>1135</v>
      </c>
    </row>
    <row r="63" customFormat="false" ht="15" hidden="false" customHeight="true" outlineLevel="0" collapsed="false">
      <c r="B63" s="1" t="s">
        <v>1136</v>
      </c>
      <c r="C63" s="1" t="s">
        <v>1137</v>
      </c>
      <c r="D63" s="106" t="n">
        <v>30</v>
      </c>
      <c r="E63" s="1" t="n">
        <f aca="false">SUM(D63/300)</f>
        <v>0.1</v>
      </c>
      <c r="F63" s="1" t="s">
        <v>1138</v>
      </c>
    </row>
    <row r="64" customFormat="false" ht="15" hidden="false" customHeight="true" outlineLevel="0" collapsed="false">
      <c r="B64" s="1" t="s">
        <v>1139</v>
      </c>
      <c r="C64" s="1" t="s">
        <v>1081</v>
      </c>
      <c r="D64" s="106" t="n">
        <v>4.5</v>
      </c>
      <c r="E64" s="1" t="n">
        <v>0.0045</v>
      </c>
      <c r="F64" s="1" t="s">
        <v>1140</v>
      </c>
    </row>
    <row r="65" customFormat="false" ht="15" hidden="false" customHeight="true" outlineLevel="0" collapsed="false">
      <c r="B65" s="1" t="s">
        <v>1141</v>
      </c>
      <c r="C65" s="1" t="s">
        <v>1048</v>
      </c>
      <c r="D65" s="106" t="n">
        <v>0.08</v>
      </c>
      <c r="E65" s="1" t="n">
        <v>0.08</v>
      </c>
    </row>
    <row r="66" customFormat="false" ht="15" hidden="false" customHeight="true" outlineLevel="0" collapsed="false">
      <c r="B66" s="1" t="s">
        <v>1033</v>
      </c>
      <c r="D66" s="106" t="n">
        <v>0.08</v>
      </c>
      <c r="E66" s="1" t="n">
        <v>0.08</v>
      </c>
      <c r="F66" s="1" t="s">
        <v>1034</v>
      </c>
    </row>
    <row r="67" customFormat="false" ht="15" hidden="false" customHeight="true" outlineLevel="0" collapsed="false">
      <c r="B67" s="1" t="s">
        <v>1142</v>
      </c>
      <c r="C67" s="1" t="s">
        <v>1081</v>
      </c>
      <c r="D67" s="106" t="n">
        <v>4</v>
      </c>
      <c r="E67" s="1" t="n">
        <f aca="false">SUM(D67/1000)</f>
        <v>0.004</v>
      </c>
      <c r="F67" s="1" t="s">
        <v>1143</v>
      </c>
    </row>
    <row r="68" customFormat="false" ht="15" hidden="false" customHeight="true" outlineLevel="0" collapsed="false">
      <c r="B68" s="1" t="s">
        <v>1144</v>
      </c>
      <c r="C68" s="1" t="s">
        <v>1081</v>
      </c>
      <c r="D68" s="106" t="n">
        <v>4.5</v>
      </c>
      <c r="E68" s="1" t="n">
        <v>0.0045</v>
      </c>
      <c r="F68" s="1" t="s">
        <v>1145</v>
      </c>
    </row>
    <row r="69" customFormat="false" ht="15" hidden="false" customHeight="true" outlineLevel="0" collapsed="false">
      <c r="B69" s="1" t="s">
        <v>1146</v>
      </c>
      <c r="C69" s="1" t="s">
        <v>1081</v>
      </c>
      <c r="D69" s="106" t="n">
        <v>9.5</v>
      </c>
      <c r="E69" s="1" t="n">
        <v>0.0095</v>
      </c>
      <c r="F69" s="1" t="s">
        <v>1147</v>
      </c>
    </row>
    <row r="70" customFormat="false" ht="15" hidden="false" customHeight="true" outlineLevel="0" collapsed="false">
      <c r="B70" s="1" t="s">
        <v>1148</v>
      </c>
      <c r="C70" s="1" t="s">
        <v>1081</v>
      </c>
      <c r="D70" s="106" t="n">
        <v>11</v>
      </c>
      <c r="E70" s="1" t="n">
        <f aca="false">SUM(D70/1000)</f>
        <v>0.011</v>
      </c>
      <c r="F70" s="1" t="s">
        <v>1149</v>
      </c>
    </row>
    <row r="71" customFormat="false" ht="15" hidden="false" customHeight="true" outlineLevel="0" collapsed="false">
      <c r="B71" s="1" t="s">
        <v>1150</v>
      </c>
      <c r="C71" s="1" t="s">
        <v>849</v>
      </c>
      <c r="D71" s="106" t="n">
        <v>0.7</v>
      </c>
      <c r="E71" s="1" t="n">
        <v>0.7</v>
      </c>
      <c r="F71" s="1" t="s">
        <v>1151</v>
      </c>
    </row>
    <row r="72" customFormat="false" ht="15" hidden="false" customHeight="true" outlineLevel="0" collapsed="false">
      <c r="B72" s="1" t="s">
        <v>1152</v>
      </c>
      <c r="D72" s="106" t="n">
        <v>5</v>
      </c>
    </row>
    <row r="73" customFormat="false" ht="15" hidden="false" customHeight="true" outlineLevel="0" collapsed="false">
      <c r="B73" s="1" t="s">
        <v>1153</v>
      </c>
      <c r="C73" s="1" t="s">
        <v>1081</v>
      </c>
      <c r="D73" s="106" t="n">
        <v>1.1</v>
      </c>
      <c r="E73" s="1" t="n">
        <v>0.0011</v>
      </c>
      <c r="F73" s="1" t="s">
        <v>1154</v>
      </c>
    </row>
    <row r="74" customFormat="false" ht="15" hidden="false" customHeight="true" outlineLevel="0" collapsed="false">
      <c r="B74" s="1" t="s">
        <v>1155</v>
      </c>
      <c r="C74" s="1" t="s">
        <v>1081</v>
      </c>
      <c r="D74" s="106" t="n">
        <v>1.3</v>
      </c>
      <c r="E74" s="1" t="n">
        <f aca="false">SUM(D74/1000)</f>
        <v>0.0013</v>
      </c>
      <c r="F74" s="1" t="s">
        <v>1156</v>
      </c>
    </row>
    <row r="75" customFormat="false" ht="15" hidden="false" customHeight="true" outlineLevel="0" collapsed="false">
      <c r="B75" s="1" t="s">
        <v>1157</v>
      </c>
      <c r="C75" s="1" t="s">
        <v>1081</v>
      </c>
      <c r="D75" s="106" t="n">
        <v>2</v>
      </c>
      <c r="E75" s="1" t="n">
        <v>0.002</v>
      </c>
    </row>
    <row r="76" customFormat="false" ht="15" hidden="false" customHeight="true" outlineLevel="0" collapsed="false">
      <c r="B76" s="1" t="s">
        <v>1158</v>
      </c>
      <c r="C76" s="1" t="s">
        <v>972</v>
      </c>
      <c r="D76" s="106" t="n">
        <v>4</v>
      </c>
      <c r="E76" s="1" t="n">
        <v>0.004</v>
      </c>
    </row>
    <row r="77" customFormat="false" ht="15" hidden="false" customHeight="true" outlineLevel="0" collapsed="false">
      <c r="B77" s="1" t="s">
        <v>1159</v>
      </c>
      <c r="C77" s="1" t="s">
        <v>1074</v>
      </c>
      <c r="D77" s="106" t="n">
        <v>3.5</v>
      </c>
      <c r="E77" s="1" t="n">
        <v>0.0035</v>
      </c>
    </row>
    <row r="78" customFormat="false" ht="15" hidden="false" customHeight="true" outlineLevel="0" collapsed="false">
      <c r="B78" s="1" t="s">
        <v>1160</v>
      </c>
      <c r="C78" s="1" t="s">
        <v>1081</v>
      </c>
      <c r="D78" s="106" t="n">
        <v>5</v>
      </c>
      <c r="E78" s="1" t="n">
        <v>0.005</v>
      </c>
    </row>
    <row r="79" customFormat="false" ht="15" hidden="false" customHeight="true" outlineLevel="0" collapsed="false">
      <c r="B79" s="1" t="s">
        <v>1161</v>
      </c>
      <c r="C79" s="1" t="s">
        <v>1081</v>
      </c>
      <c r="D79" s="106" t="n">
        <v>5.5</v>
      </c>
      <c r="E79" s="1" t="n">
        <v>0.0055</v>
      </c>
      <c r="F79" s="1" t="s">
        <v>1162</v>
      </c>
    </row>
    <row r="80" customFormat="false" ht="15" hidden="false" customHeight="true" outlineLevel="0" collapsed="false">
      <c r="B80" s="1" t="s">
        <v>1163</v>
      </c>
      <c r="C80" s="1" t="s">
        <v>1081</v>
      </c>
      <c r="D80" s="106" t="n">
        <v>4.5</v>
      </c>
      <c r="E80" s="1" t="n">
        <v>0.0045</v>
      </c>
      <c r="F80" s="1" t="s">
        <v>1106</v>
      </c>
    </row>
    <row r="81" customFormat="false" ht="15" hidden="false" customHeight="true" outlineLevel="0" collapsed="false">
      <c r="B81" s="1" t="s">
        <v>844</v>
      </c>
      <c r="D81" s="106" t="n">
        <v>0.1</v>
      </c>
      <c r="E81" s="1" t="n">
        <v>0.1</v>
      </c>
    </row>
    <row r="82" customFormat="false" ht="15" hidden="false" customHeight="true" outlineLevel="0" collapsed="false">
      <c r="B82" s="1" t="s">
        <v>1164</v>
      </c>
      <c r="C82" s="1" t="s">
        <v>1081</v>
      </c>
      <c r="D82" s="106" t="n">
        <v>0.95</v>
      </c>
      <c r="E82" s="1" t="n">
        <f aca="false">SUM(D82/1000)</f>
        <v>0.00095</v>
      </c>
    </row>
    <row r="83" customFormat="false" ht="15" hidden="false" customHeight="true" outlineLevel="0" collapsed="false">
      <c r="B83" s="1" t="s">
        <v>859</v>
      </c>
      <c r="C83" s="1" t="s">
        <v>1081</v>
      </c>
      <c r="D83" s="106" t="n">
        <v>0.74</v>
      </c>
      <c r="E83" s="1" t="n">
        <f aca="false">SUM(D83/1000)</f>
        <v>0.00074</v>
      </c>
    </row>
    <row r="84" customFormat="false" ht="15" hidden="false" customHeight="true" outlineLevel="0" collapsed="false">
      <c r="B84" s="1" t="s">
        <v>1165</v>
      </c>
      <c r="C84" s="1" t="s">
        <v>1081</v>
      </c>
      <c r="D84" s="106" t="n">
        <v>4.8</v>
      </c>
      <c r="E84" s="1" t="n">
        <f aca="false">SUM(D84/1000)</f>
        <v>0.0048</v>
      </c>
      <c r="F84" s="1" t="s">
        <v>1166</v>
      </c>
    </row>
    <row r="85" customFormat="false" ht="15" hidden="false" customHeight="true" outlineLevel="0" collapsed="false">
      <c r="B85" s="1" t="s">
        <v>680</v>
      </c>
      <c r="D85" s="106" t="n">
        <v>4.64748375</v>
      </c>
    </row>
    <row r="86" customFormat="false" ht="15" hidden="false" customHeight="true" outlineLevel="0" collapsed="false">
      <c r="B86" s="1" t="s">
        <v>684</v>
      </c>
      <c r="D86" s="106" t="n">
        <v>5.48748375</v>
      </c>
    </row>
    <row r="87" customFormat="false" ht="15" hidden="false" customHeight="true" outlineLevel="0" collapsed="false">
      <c r="B87" s="1" t="s">
        <v>840</v>
      </c>
      <c r="D87" s="106" t="n">
        <v>0.3</v>
      </c>
      <c r="E87" s="1" t="n">
        <v>0.3</v>
      </c>
    </row>
    <row r="88" customFormat="false" ht="15" hidden="false" customHeight="true" outlineLevel="0" collapsed="false">
      <c r="B88" s="1" t="s">
        <v>1167</v>
      </c>
      <c r="C88" s="1" t="s">
        <v>1081</v>
      </c>
      <c r="D88" s="106" t="n">
        <v>11</v>
      </c>
      <c r="E88" s="1" t="n">
        <v>0.011</v>
      </c>
    </row>
    <row r="89" customFormat="false" ht="15" hidden="false" customHeight="true" outlineLevel="0" collapsed="false">
      <c r="B89" s="1" t="s">
        <v>1168</v>
      </c>
      <c r="C89" s="1" t="s">
        <v>1074</v>
      </c>
      <c r="D89" s="106" t="n">
        <v>24</v>
      </c>
      <c r="E89" s="1" t="n">
        <v>0.024</v>
      </c>
    </row>
    <row r="90" customFormat="false" ht="15" hidden="false" customHeight="true" outlineLevel="0" collapsed="false">
      <c r="B90" s="1" t="s">
        <v>863</v>
      </c>
      <c r="C90" s="1" t="s">
        <v>1081</v>
      </c>
      <c r="D90" s="106" t="n">
        <v>2.11</v>
      </c>
      <c r="E90" s="1" t="n">
        <f aca="false">SUM(D90/1000)</f>
        <v>0.00211</v>
      </c>
    </row>
    <row r="91" customFormat="false" ht="15" hidden="false" customHeight="true" outlineLevel="0" collapsed="false">
      <c r="B91" s="1" t="s">
        <v>866</v>
      </c>
      <c r="C91" s="1" t="s">
        <v>1081</v>
      </c>
      <c r="D91" s="106" t="n">
        <v>4.54</v>
      </c>
      <c r="E91" s="1" t="n">
        <f aca="false">SUM(D91/1000)</f>
        <v>0.00454</v>
      </c>
    </row>
    <row r="92" customFormat="false" ht="15" hidden="false" customHeight="true" outlineLevel="0" collapsed="false">
      <c r="B92" s="1" t="s">
        <v>869</v>
      </c>
      <c r="C92" s="1" t="s">
        <v>1081</v>
      </c>
      <c r="D92" s="106" t="n">
        <v>2.2</v>
      </c>
      <c r="E92" s="1" t="n">
        <f aca="false">SUM(D92/1000)</f>
        <v>0.0022</v>
      </c>
    </row>
    <row r="93" customFormat="false" ht="15" hidden="false" customHeight="true" outlineLevel="0" collapsed="false">
      <c r="B93" s="1" t="s">
        <v>872</v>
      </c>
      <c r="C93" s="1" t="s">
        <v>1081</v>
      </c>
      <c r="D93" s="106" t="n">
        <v>3.98</v>
      </c>
      <c r="E93" s="1" t="n">
        <f aca="false">SUM(D93/1000)</f>
        <v>0.00398</v>
      </c>
    </row>
    <row r="94" customFormat="false" ht="15" hidden="false" customHeight="true" outlineLevel="0" collapsed="false">
      <c r="B94" s="1" t="s">
        <v>1169</v>
      </c>
      <c r="C94" s="1" t="s">
        <v>1081</v>
      </c>
      <c r="D94" s="106" t="n">
        <v>3</v>
      </c>
      <c r="E94" s="1" t="n">
        <v>0.003</v>
      </c>
      <c r="F94" s="1" t="s">
        <v>1170</v>
      </c>
    </row>
    <row r="95" customFormat="false" ht="15" hidden="false" customHeight="true" outlineLevel="0" collapsed="false">
      <c r="B95" s="1" t="s">
        <v>1171</v>
      </c>
      <c r="C95" s="1" t="s">
        <v>1081</v>
      </c>
      <c r="D95" s="106" t="n">
        <v>9</v>
      </c>
      <c r="E95" s="1" t="n">
        <f aca="false">SUM(D95/1000)</f>
        <v>0.009</v>
      </c>
      <c r="F95" s="1" t="s">
        <v>1172</v>
      </c>
    </row>
    <row r="96" customFormat="false" ht="15" hidden="false" customHeight="true" outlineLevel="0" collapsed="false">
      <c r="B96" s="1" t="s">
        <v>1173</v>
      </c>
      <c r="C96" s="1" t="s">
        <v>1081</v>
      </c>
      <c r="D96" s="106" t="n">
        <v>8.5</v>
      </c>
      <c r="E96" s="1" t="n">
        <v>0.0085</v>
      </c>
      <c r="F96" s="1" t="s">
        <v>1174</v>
      </c>
    </row>
    <row r="97" customFormat="false" ht="15" hidden="false" customHeight="true" outlineLevel="0" collapsed="false">
      <c r="B97" s="1" t="s">
        <v>1175</v>
      </c>
      <c r="C97" s="1" t="s">
        <v>1081</v>
      </c>
      <c r="D97" s="106" t="n">
        <v>4.95</v>
      </c>
      <c r="E97" s="1" t="n">
        <v>0.00495</v>
      </c>
      <c r="F97" s="1" t="s">
        <v>1106</v>
      </c>
    </row>
    <row r="98" customFormat="false" ht="15" hidden="false" customHeight="true" outlineLevel="0" collapsed="false">
      <c r="B98" s="1" t="s">
        <v>1176</v>
      </c>
      <c r="C98" s="1" t="s">
        <v>1081</v>
      </c>
      <c r="D98" s="106" t="n">
        <v>5.95</v>
      </c>
      <c r="E98" s="1" t="n">
        <v>0.00595</v>
      </c>
      <c r="F98" s="1" t="s">
        <v>1106</v>
      </c>
    </row>
    <row r="99" customFormat="false" ht="15" hidden="false" customHeight="true" outlineLevel="0" collapsed="false">
      <c r="B99" s="1" t="s">
        <v>1177</v>
      </c>
      <c r="C99" s="1" t="s">
        <v>1127</v>
      </c>
      <c r="D99" s="106" t="n">
        <v>0.7464</v>
      </c>
    </row>
    <row r="100" customFormat="false" ht="15" hidden="false" customHeight="true" outlineLevel="0" collapsed="false">
      <c r="B100" s="1" t="s">
        <v>1178</v>
      </c>
      <c r="C100" s="1" t="s">
        <v>1127</v>
      </c>
      <c r="D100" s="106" t="n">
        <v>0.72</v>
      </c>
    </row>
    <row r="101" customFormat="false" ht="15" hidden="false" customHeight="true" outlineLevel="0" collapsed="false">
      <c r="B101" s="1" t="s">
        <v>889</v>
      </c>
      <c r="C101" s="1" t="s">
        <v>1081</v>
      </c>
      <c r="D101" s="106" t="n">
        <v>2.8</v>
      </c>
      <c r="E101" s="1" t="n">
        <v>0.0028</v>
      </c>
      <c r="F101" s="1" t="s">
        <v>1179</v>
      </c>
    </row>
    <row r="102" customFormat="false" ht="15" hidden="false" customHeight="true" outlineLevel="0" collapsed="false">
      <c r="B102" s="1" t="s">
        <v>1180</v>
      </c>
      <c r="C102" s="1" t="s">
        <v>1081</v>
      </c>
      <c r="D102" s="106" t="n">
        <v>7.5</v>
      </c>
      <c r="E102" s="1" t="n">
        <f aca="false">SUM(D102/1000)</f>
        <v>0.0075</v>
      </c>
      <c r="F102" s="1" t="s">
        <v>1181</v>
      </c>
    </row>
    <row r="103" customFormat="false" ht="15" hidden="false" customHeight="true" outlineLevel="0" collapsed="false">
      <c r="B103" s="1" t="s">
        <v>985</v>
      </c>
      <c r="C103" s="1" t="s">
        <v>984</v>
      </c>
      <c r="D103" s="106" t="n">
        <v>0.015</v>
      </c>
    </row>
    <row r="104" customFormat="false" ht="15" hidden="false" customHeight="true" outlineLevel="0" collapsed="false">
      <c r="B104" s="1" t="s">
        <v>1182</v>
      </c>
      <c r="C104" s="1" t="s">
        <v>1081</v>
      </c>
      <c r="D104" s="106" t="n">
        <v>8.5</v>
      </c>
      <c r="E104" s="1" t="n">
        <f aca="false">SUM(D104/1000)</f>
        <v>0.0085</v>
      </c>
      <c r="F104" s="1" t="s">
        <v>1183</v>
      </c>
    </row>
    <row r="105" customFormat="false" ht="15" hidden="false" customHeight="true" outlineLevel="0" collapsed="false">
      <c r="B105" s="1" t="s">
        <v>1184</v>
      </c>
      <c r="C105" s="1" t="s">
        <v>1081</v>
      </c>
      <c r="D105" s="106" t="n">
        <v>8</v>
      </c>
      <c r="E105" s="1" t="n">
        <f aca="false">SUM(D105/1000)</f>
        <v>0.008</v>
      </c>
      <c r="F105" s="1" t="s">
        <v>1185</v>
      </c>
    </row>
    <row r="106" customFormat="false" ht="15" hidden="false" customHeight="true" outlineLevel="0" collapsed="false">
      <c r="B106" s="1" t="s">
        <v>1186</v>
      </c>
      <c r="C106" s="1" t="s">
        <v>1081</v>
      </c>
      <c r="D106" s="106" t="n">
        <v>3.5</v>
      </c>
      <c r="E106" s="1" t="n">
        <v>0.0035</v>
      </c>
    </row>
    <row r="107" customFormat="false" ht="15" hidden="false" customHeight="true" outlineLevel="0" collapsed="false">
      <c r="B107" s="1" t="s">
        <v>1187</v>
      </c>
      <c r="C107" s="1" t="s">
        <v>1081</v>
      </c>
      <c r="D107" s="106" t="n">
        <v>4.3</v>
      </c>
      <c r="E107" s="1" t="n">
        <v>0.0043</v>
      </c>
      <c r="F107" s="1" t="s">
        <v>1106</v>
      </c>
    </row>
    <row r="108" customFormat="false" ht="15" hidden="false" customHeight="true" outlineLevel="0" collapsed="false">
      <c r="B108" s="1" t="s">
        <v>1188</v>
      </c>
      <c r="D108" s="257" t="n">
        <f aca="false">SUP_COSTOS!$C$6</f>
        <v>1.65</v>
      </c>
    </row>
    <row r="109" customFormat="false" ht="15" hidden="false" customHeight="true" outlineLevel="0" collapsed="false">
      <c r="B109" s="1" t="s">
        <v>1017</v>
      </c>
      <c r="C109" s="1" t="s">
        <v>975</v>
      </c>
      <c r="D109" s="106" t="n">
        <v>7.92435</v>
      </c>
    </row>
    <row r="110" customFormat="false" ht="15" hidden="false" customHeight="true" outlineLevel="0" collapsed="false">
      <c r="B110" s="1" t="s">
        <v>710</v>
      </c>
      <c r="D110" s="106" t="n">
        <v>0.9327425625</v>
      </c>
    </row>
    <row r="111" customFormat="false" ht="15" hidden="false" customHeight="true" outlineLevel="0" collapsed="false">
      <c r="B111" s="1" t="s">
        <v>1008</v>
      </c>
      <c r="C111" s="1" t="s">
        <v>984</v>
      </c>
      <c r="D111" s="106" t="n">
        <v>1.001525</v>
      </c>
    </row>
    <row r="112" customFormat="false" ht="15" hidden="false" customHeight="true" outlineLevel="0" collapsed="false">
      <c r="B112" s="1" t="s">
        <v>1189</v>
      </c>
      <c r="C112" s="1" t="s">
        <v>1081</v>
      </c>
      <c r="D112" s="106" t="n">
        <v>4</v>
      </c>
      <c r="E112" s="1" t="n">
        <v>0.004</v>
      </c>
    </row>
    <row r="113" customFormat="false" ht="15" hidden="false" customHeight="true" outlineLevel="0" collapsed="false">
      <c r="B113" s="1" t="s">
        <v>1190</v>
      </c>
      <c r="C113" s="1" t="s">
        <v>1081</v>
      </c>
      <c r="D113" s="106" t="n">
        <v>3</v>
      </c>
      <c r="E113" s="1" t="n">
        <v>0.003</v>
      </c>
    </row>
    <row r="114" customFormat="false" ht="15" hidden="false" customHeight="true" outlineLevel="0" collapsed="false">
      <c r="B114" s="1" t="s">
        <v>1057</v>
      </c>
      <c r="C114" s="1" t="s">
        <v>1081</v>
      </c>
      <c r="D114" s="106" t="n">
        <v>12</v>
      </c>
      <c r="E114" s="1" t="n">
        <v>0.012</v>
      </c>
      <c r="F114" s="1" t="s">
        <v>1191</v>
      </c>
    </row>
    <row r="115" customFormat="false" ht="15" hidden="false" customHeight="true" outlineLevel="0" collapsed="false">
      <c r="B115" s="1" t="s">
        <v>1192</v>
      </c>
      <c r="C115" s="1" t="s">
        <v>1081</v>
      </c>
      <c r="D115" s="106" t="n">
        <v>10</v>
      </c>
      <c r="E115" s="1" t="n">
        <f aca="false">SUM(D115/1000)</f>
        <v>0.01</v>
      </c>
      <c r="F115" s="1" t="s">
        <v>1193</v>
      </c>
    </row>
    <row r="116" customFormat="false" ht="15" hidden="false" customHeight="true" outlineLevel="0" collapsed="false">
      <c r="B116" s="1" t="s">
        <v>1194</v>
      </c>
      <c r="C116" s="1" t="s">
        <v>1081</v>
      </c>
      <c r="D116" s="106" t="n">
        <v>21</v>
      </c>
      <c r="E116" s="1" t="n">
        <v>0.021</v>
      </c>
    </row>
    <row r="117" customFormat="false" ht="15" hidden="false" customHeight="true" outlineLevel="0" collapsed="false">
      <c r="B117" s="1" t="s">
        <v>1028</v>
      </c>
      <c r="C117" s="1" t="s">
        <v>975</v>
      </c>
      <c r="D117" s="106" t="n">
        <v>7.92435</v>
      </c>
    </row>
    <row r="118" customFormat="false" ht="15" hidden="false" customHeight="true" outlineLevel="0" collapsed="false">
      <c r="B118" s="1" t="s">
        <v>1195</v>
      </c>
      <c r="C118" s="1" t="s">
        <v>849</v>
      </c>
      <c r="D118" s="106" t="n">
        <f aca="false">$D$108*$D$120</f>
        <v>3.63</v>
      </c>
    </row>
    <row r="119" customFormat="false" ht="15" hidden="false" customHeight="true" outlineLevel="0" collapsed="false">
      <c r="B119" s="1" t="s">
        <v>1023</v>
      </c>
      <c r="C119" s="1" t="s">
        <v>849</v>
      </c>
      <c r="D119" s="106" t="n">
        <f aca="false">$D$108*$D$120</f>
        <v>3.63</v>
      </c>
    </row>
    <row r="120" customFormat="false" ht="15" hidden="false" customHeight="true" outlineLevel="0" collapsed="false">
      <c r="B120" s="1" t="s">
        <v>854</v>
      </c>
      <c r="D120" s="258" t="n">
        <f aca="false">E120</f>
        <v>2.2</v>
      </c>
      <c r="E120" s="258" t="n">
        <f aca="false">SUP_POLLO!$C$13</f>
        <v>2.2</v>
      </c>
      <c r="F120" s="1" t="s">
        <v>969</v>
      </c>
      <c r="G120" s="127" t="s">
        <v>1196</v>
      </c>
    </row>
    <row r="121" customFormat="false" ht="15" hidden="false" customHeight="true" outlineLevel="0" collapsed="false">
      <c r="B121" s="1" t="s">
        <v>1197</v>
      </c>
      <c r="D121" s="106" t="n">
        <v>2.85</v>
      </c>
      <c r="F121" s="1" t="s">
        <v>969</v>
      </c>
    </row>
    <row r="122" customFormat="false" ht="15" hidden="false" customHeight="true" outlineLevel="0" collapsed="false">
      <c r="B122" s="1" t="s">
        <v>672</v>
      </c>
      <c r="D122" s="106" t="n">
        <v>9.1269675</v>
      </c>
    </row>
    <row r="123" customFormat="false" ht="15" hidden="false" customHeight="true" outlineLevel="0" collapsed="false">
      <c r="B123" s="1" t="s">
        <v>676</v>
      </c>
      <c r="D123" s="106" t="n">
        <v>9.9669675</v>
      </c>
    </row>
    <row r="124" customFormat="false" ht="15" hidden="false" customHeight="true" outlineLevel="0" collapsed="false">
      <c r="B124" s="1" t="s">
        <v>1198</v>
      </c>
      <c r="C124" s="1" t="s">
        <v>1081</v>
      </c>
      <c r="D124" s="106" t="n">
        <v>3.2</v>
      </c>
      <c r="E124" s="1" t="n">
        <v>0.0032</v>
      </c>
      <c r="F124" s="1" t="s">
        <v>1199</v>
      </c>
    </row>
    <row r="125" customFormat="false" ht="15" hidden="false" customHeight="true" outlineLevel="0" collapsed="false">
      <c r="B125" s="1" t="s">
        <v>725</v>
      </c>
      <c r="D125" s="106" t="n">
        <v>1.7087</v>
      </c>
    </row>
    <row r="126" customFormat="false" ht="15" hidden="false" customHeight="true" outlineLevel="0" collapsed="false">
      <c r="B126" s="1" t="s">
        <v>729</v>
      </c>
      <c r="D126" s="106" t="n">
        <v>3.2599</v>
      </c>
    </row>
    <row r="127" customFormat="false" ht="15" hidden="false" customHeight="true" outlineLevel="0" collapsed="false">
      <c r="B127" s="1" t="s">
        <v>1032</v>
      </c>
      <c r="C127" s="1" t="s">
        <v>972</v>
      </c>
      <c r="D127" s="106" t="n">
        <v>4</v>
      </c>
    </row>
    <row r="128" customFormat="false" ht="15" hidden="false" customHeight="true" outlineLevel="0" collapsed="false">
      <c r="B128" s="1" t="s">
        <v>1037</v>
      </c>
      <c r="C128" s="1" t="s">
        <v>972</v>
      </c>
      <c r="D128" s="106" t="n">
        <v>4</v>
      </c>
    </row>
    <row r="129" customFormat="false" ht="15" hidden="false" customHeight="true" outlineLevel="0" collapsed="false">
      <c r="B129" s="1" t="s">
        <v>897</v>
      </c>
      <c r="C129" s="1" t="s">
        <v>1081</v>
      </c>
      <c r="D129" s="106" t="n">
        <v>5.95</v>
      </c>
      <c r="E129" s="1" t="n">
        <v>5.95</v>
      </c>
      <c r="F129" s="1" t="s">
        <v>1200</v>
      </c>
    </row>
    <row r="130" customFormat="false" ht="15" hidden="false" customHeight="true" outlineLevel="0" collapsed="false">
      <c r="B130" s="1" t="s">
        <v>878</v>
      </c>
      <c r="C130" s="1" t="s">
        <v>1081</v>
      </c>
      <c r="D130" s="106" t="n">
        <v>2.23205</v>
      </c>
      <c r="E130" s="1" t="n">
        <f aca="false">SUM(D130/1000)</f>
        <v>0.00223205</v>
      </c>
    </row>
    <row r="131" customFormat="false" ht="15" hidden="false" customHeight="true" outlineLevel="0" collapsed="false">
      <c r="B131" s="1" t="s">
        <v>1201</v>
      </c>
      <c r="C131" s="1" t="s">
        <v>1081</v>
      </c>
      <c r="D131" s="106" t="n">
        <v>6</v>
      </c>
      <c r="E131" s="1" t="n">
        <v>0.006</v>
      </c>
    </row>
    <row r="132" customFormat="false" ht="15" hidden="false" customHeight="true" outlineLevel="0" collapsed="false">
      <c r="B132" s="1" t="s">
        <v>1202</v>
      </c>
      <c r="C132" s="1" t="s">
        <v>1081</v>
      </c>
      <c r="D132" s="106" t="n">
        <v>3.5</v>
      </c>
      <c r="E132" s="1" t="n">
        <v>0.0035</v>
      </c>
    </row>
    <row r="133" customFormat="false" ht="15" hidden="false" customHeight="true" outlineLevel="0" collapsed="false">
      <c r="B133" s="1" t="s">
        <v>1203</v>
      </c>
      <c r="C133" s="1" t="s">
        <v>1081</v>
      </c>
      <c r="D133" s="106" t="n">
        <v>4.8</v>
      </c>
      <c r="F133" s="1" t="s">
        <v>1204</v>
      </c>
    </row>
    <row r="134" customFormat="false" ht="15" hidden="false" customHeight="true" outlineLevel="0" collapsed="false">
      <c r="B134" s="1" t="s">
        <v>734</v>
      </c>
      <c r="C134" s="1" t="s">
        <v>849</v>
      </c>
      <c r="D134" s="106" t="n">
        <v>1.2</v>
      </c>
      <c r="E134" s="1" t="n">
        <v>1.2</v>
      </c>
      <c r="F134" s="1" t="s">
        <v>1205</v>
      </c>
    </row>
    <row r="135" customFormat="false" ht="15" hidden="false" customHeight="true" outlineLevel="0" collapsed="false">
      <c r="B135" s="1" t="s">
        <v>1206</v>
      </c>
      <c r="C135" s="1" t="s">
        <v>1081</v>
      </c>
      <c r="D135" s="106" t="n">
        <v>2.2</v>
      </c>
      <c r="F135" s="1" t="s">
        <v>1207</v>
      </c>
    </row>
    <row r="136" customFormat="false" ht="15" hidden="false" customHeight="true" outlineLevel="0" collapsed="false">
      <c r="B136" s="1" t="s">
        <v>1208</v>
      </c>
      <c r="C136" s="1" t="s">
        <v>1081</v>
      </c>
      <c r="D136" s="106" t="n">
        <v>3.5</v>
      </c>
      <c r="E136" s="1" t="n">
        <f aca="false">SUM(D136/1000)</f>
        <v>0.0035</v>
      </c>
    </row>
    <row r="137" customFormat="false" ht="15" hidden="false" customHeight="true" outlineLevel="0" collapsed="false">
      <c r="B137" s="1" t="s">
        <v>995</v>
      </c>
      <c r="C137" s="1" t="s">
        <v>992</v>
      </c>
      <c r="D137" s="106" t="n">
        <v>0.03</v>
      </c>
      <c r="E137" s="1" t="n">
        <v>0.03</v>
      </c>
    </row>
    <row r="138" customFormat="false" ht="15" hidden="false" customHeight="true" outlineLevel="0" collapsed="false">
      <c r="B138" s="1" t="s">
        <v>1054</v>
      </c>
      <c r="C138" s="1" t="s">
        <v>1081</v>
      </c>
      <c r="D138" s="106" t="n">
        <v>0.5</v>
      </c>
      <c r="E138" s="1" t="n">
        <f aca="false">D138/1000</f>
        <v>0.0005</v>
      </c>
      <c r="F138" s="1" t="s">
        <v>1209</v>
      </c>
    </row>
    <row r="139" customFormat="false" ht="15" hidden="false" customHeight="true" outlineLevel="0" collapsed="false">
      <c r="B139" s="1" t="s">
        <v>905</v>
      </c>
      <c r="C139" s="1" t="s">
        <v>990</v>
      </c>
      <c r="D139" s="106" t="n">
        <v>0.05</v>
      </c>
      <c r="E139" s="1" t="n">
        <v>0.05</v>
      </c>
    </row>
    <row r="140" customFormat="false" ht="15" hidden="false" customHeight="true" outlineLevel="0" collapsed="false">
      <c r="B140" s="1" t="s">
        <v>1210</v>
      </c>
      <c r="C140" s="1" t="s">
        <v>1211</v>
      </c>
      <c r="D140" s="106" t="n">
        <v>3.5</v>
      </c>
      <c r="E140" s="1" t="n">
        <f aca="false">SUM(D140/1000)</f>
        <v>0.0035</v>
      </c>
    </row>
    <row r="141" customFormat="false" ht="15" hidden="false" customHeight="true" outlineLevel="0" collapsed="false">
      <c r="B141" s="1" t="s">
        <v>1212</v>
      </c>
      <c r="C141" s="1" t="s">
        <v>1081</v>
      </c>
      <c r="D141" s="106" t="n">
        <v>4.13</v>
      </c>
      <c r="E141" s="1" t="n">
        <f aca="false">SUM(D141/1000)</f>
        <v>0.00413</v>
      </c>
    </row>
    <row r="142" customFormat="false" ht="15" hidden="false" customHeight="true" outlineLevel="0" collapsed="false">
      <c r="B142" s="1" t="s">
        <v>936</v>
      </c>
      <c r="C142" s="1" t="s">
        <v>1048</v>
      </c>
      <c r="D142" s="106" t="n">
        <f aca="false">SUM(E141*30)</f>
        <v>0.1239</v>
      </c>
      <c r="E142" s="1" t="n">
        <v>0.124</v>
      </c>
    </row>
    <row r="143" customFormat="false" ht="15" hidden="false" customHeight="true" outlineLevel="0" collapsed="false">
      <c r="B143" s="1" t="s">
        <v>1213</v>
      </c>
      <c r="C143" s="1" t="s">
        <v>1074</v>
      </c>
      <c r="D143" s="106" t="n">
        <v>7</v>
      </c>
      <c r="E143" s="1" t="n">
        <v>0.007</v>
      </c>
    </row>
    <row r="144" customFormat="false" ht="15" hidden="false" customHeight="true" outlineLevel="0" collapsed="false">
      <c r="B144" s="1" t="s">
        <v>903</v>
      </c>
      <c r="D144" s="106"/>
    </row>
    <row r="145" customFormat="false" ht="15" hidden="false" customHeight="true" outlineLevel="0" collapsed="false">
      <c r="B145" s="1" t="s">
        <v>921</v>
      </c>
      <c r="D145" s="106"/>
    </row>
    <row r="146" customFormat="false" ht="15" hidden="false" customHeight="true" outlineLevel="0" collapsed="false">
      <c r="B146" s="1" t="s">
        <v>994</v>
      </c>
      <c r="C146" s="1" t="s">
        <v>992</v>
      </c>
      <c r="D146" s="106" t="n">
        <v>0.01</v>
      </c>
      <c r="F146" s="1" t="s">
        <v>1214</v>
      </c>
    </row>
    <row r="147" customFormat="false" ht="15" hidden="false" customHeight="true" outlineLevel="0" collapsed="false">
      <c r="B147" s="1" t="s">
        <v>1215</v>
      </c>
      <c r="C147" s="1" t="s">
        <v>1081</v>
      </c>
      <c r="D147" s="106" t="n">
        <v>14</v>
      </c>
      <c r="F147" s="1" t="s">
        <v>1216</v>
      </c>
    </row>
    <row r="148" customFormat="false" ht="15" hidden="false" customHeight="true" outlineLevel="0" collapsed="false">
      <c r="B148" s="1" t="s">
        <v>1217</v>
      </c>
      <c r="C148" s="1" t="s">
        <v>1081</v>
      </c>
      <c r="D148" s="106" t="n">
        <v>7.2</v>
      </c>
      <c r="E148" s="1" t="n">
        <v>0.0072</v>
      </c>
      <c r="F148" s="1" t="s">
        <v>1218</v>
      </c>
    </row>
    <row r="149" customFormat="false" ht="15" hidden="false" customHeight="true" outlineLevel="0" collapsed="false">
      <c r="B149" s="1" t="s">
        <v>1219</v>
      </c>
      <c r="C149" s="1" t="s">
        <v>972</v>
      </c>
      <c r="D149" s="106" t="n">
        <v>3.5</v>
      </c>
      <c r="E149" s="1" t="n">
        <v>0.0035</v>
      </c>
    </row>
    <row r="150" customFormat="false" ht="15" hidden="false" customHeight="true" outlineLevel="0" collapsed="false">
      <c r="B150" s="1" t="s">
        <v>1220</v>
      </c>
      <c r="C150" s="1" t="s">
        <v>1074</v>
      </c>
      <c r="D150" s="106" t="n">
        <v>1.1</v>
      </c>
      <c r="E150" s="1" t="n">
        <v>0.0011</v>
      </c>
      <c r="F150" s="1" t="s">
        <v>1221</v>
      </c>
    </row>
    <row r="151" customFormat="false" ht="15" hidden="false" customHeight="true" outlineLevel="0" collapsed="false">
      <c r="B151" s="1" t="s">
        <v>1222</v>
      </c>
      <c r="C151" s="1" t="s">
        <v>1074</v>
      </c>
      <c r="D151" s="106" t="n">
        <v>3</v>
      </c>
      <c r="E151" s="1" t="n">
        <v>0.003</v>
      </c>
    </row>
    <row r="152" customFormat="false" ht="15" hidden="false" customHeight="true" outlineLevel="0" collapsed="false">
      <c r="B152" s="1" t="s">
        <v>1223</v>
      </c>
      <c r="C152" s="1" t="s">
        <v>1074</v>
      </c>
      <c r="D152" s="106" t="n">
        <v>3.5</v>
      </c>
      <c r="E152" s="1" t="n">
        <v>0.0035</v>
      </c>
    </row>
    <row r="153" customFormat="false" ht="15" hidden="false" customHeight="true" outlineLevel="0" collapsed="false">
      <c r="B153" s="1" t="s">
        <v>1224</v>
      </c>
      <c r="C153" s="1" t="s">
        <v>1081</v>
      </c>
      <c r="D153" s="106" t="n">
        <v>2.4</v>
      </c>
      <c r="E153" s="1" t="n">
        <f aca="false">SUM(D153/1000)</f>
        <v>0.0024</v>
      </c>
      <c r="F153" s="1" t="s">
        <v>1225</v>
      </c>
    </row>
    <row r="154" customFormat="false" ht="15" hidden="false" customHeight="true" outlineLevel="0" collapsed="false">
      <c r="B154" s="1" t="s">
        <v>983</v>
      </c>
      <c r="C154" s="1" t="s">
        <v>1074</v>
      </c>
      <c r="D154" s="106" t="n">
        <v>2.2</v>
      </c>
    </row>
    <row r="155" customFormat="false" ht="15" hidden="false" customHeight="true" outlineLevel="0" collapsed="false">
      <c r="B155" s="1" t="s">
        <v>1052</v>
      </c>
      <c r="C155" s="1" t="s">
        <v>1074</v>
      </c>
      <c r="D155" s="106" t="n">
        <v>2.8</v>
      </c>
    </row>
    <row r="156" customFormat="false" ht="15" hidden="false" customHeight="true" outlineLevel="0" collapsed="false">
      <c r="B156" s="1" t="s">
        <v>1055</v>
      </c>
      <c r="C156" s="1" t="s">
        <v>1081</v>
      </c>
      <c r="D156" s="106" t="n">
        <v>2.8</v>
      </c>
    </row>
    <row r="157" customFormat="false" ht="15" hidden="false" customHeight="true" outlineLevel="0" collapsed="false">
      <c r="B157" s="1" t="s">
        <v>1226</v>
      </c>
      <c r="C157" s="1" t="s">
        <v>1081</v>
      </c>
      <c r="D157" s="106" t="n">
        <v>8.5</v>
      </c>
    </row>
    <row r="158" customFormat="false" ht="15" hidden="false" customHeight="true" outlineLevel="0" collapsed="false">
      <c r="B158" s="1" t="s">
        <v>1084</v>
      </c>
      <c r="C158" s="1" t="s">
        <v>1081</v>
      </c>
      <c r="D158" s="106" t="n">
        <v>9.5</v>
      </c>
    </row>
    <row r="159" customFormat="false" ht="15" hidden="false" customHeight="true" outlineLevel="0" collapsed="false">
      <c r="B159" s="1" t="s">
        <v>1085</v>
      </c>
      <c r="C159" s="1" t="s">
        <v>1074</v>
      </c>
      <c r="D159" s="106" t="n">
        <v>0.001</v>
      </c>
    </row>
    <row r="160" customFormat="false" ht="15" hidden="false" customHeight="true" outlineLevel="0" collapsed="false">
      <c r="B160" s="1" t="s">
        <v>1086</v>
      </c>
      <c r="C160" s="1" t="s">
        <v>1081</v>
      </c>
      <c r="D160" s="106" t="n">
        <v>8.2</v>
      </c>
    </row>
    <row r="161" customFormat="false" ht="15" hidden="false" customHeight="true" outlineLevel="0" collapsed="false">
      <c r="B161" s="1" t="s">
        <v>1059</v>
      </c>
      <c r="C161" s="1" t="s">
        <v>1081</v>
      </c>
      <c r="D161" s="106" t="n">
        <v>6</v>
      </c>
    </row>
    <row r="162" customFormat="false" ht="15" hidden="false" customHeight="true" outlineLevel="0" collapsed="false">
      <c r="B162" s="1" t="s">
        <v>1089</v>
      </c>
      <c r="C162" s="1" t="s">
        <v>1081</v>
      </c>
      <c r="D162" s="106" t="n">
        <v>5.4</v>
      </c>
    </row>
    <row r="163" customFormat="false" ht="15" hidden="false" customHeight="true" outlineLevel="0" collapsed="false">
      <c r="B163" s="1" t="s">
        <v>1091</v>
      </c>
      <c r="C163" s="1" t="s">
        <v>1081</v>
      </c>
      <c r="D163" s="106" t="n">
        <v>5.7</v>
      </c>
    </row>
    <row r="164" customFormat="false" ht="15" hidden="false" customHeight="true" outlineLevel="0" collapsed="false">
      <c r="B164" s="1" t="s">
        <v>1227</v>
      </c>
      <c r="C164" s="1" t="s">
        <v>1081</v>
      </c>
      <c r="D164" s="106" t="n">
        <v>3.8</v>
      </c>
    </row>
    <row r="165" customFormat="false" ht="15" hidden="false" customHeight="true" outlineLevel="0" collapsed="false">
      <c r="B165" s="1" t="s">
        <v>1094</v>
      </c>
      <c r="C165" s="1" t="s">
        <v>1081</v>
      </c>
      <c r="D165" s="106" t="n">
        <v>4.2</v>
      </c>
    </row>
    <row r="166" customFormat="false" ht="15" hidden="false" customHeight="true" outlineLevel="0" collapsed="false">
      <c r="B166" s="1" t="s">
        <v>1095</v>
      </c>
      <c r="C166" s="1" t="s">
        <v>1081</v>
      </c>
      <c r="D166" s="106" t="n">
        <v>7.5</v>
      </c>
    </row>
    <row r="167" customFormat="false" ht="15" hidden="false" customHeight="true" outlineLevel="0" collapsed="false">
      <c r="B167" s="1" t="s">
        <v>1097</v>
      </c>
      <c r="C167" s="1" t="s">
        <v>849</v>
      </c>
      <c r="D167" s="106" t="n">
        <v>0.4</v>
      </c>
    </row>
    <row r="168" customFormat="false" ht="15" hidden="false" customHeight="true" outlineLevel="0" collapsed="false">
      <c r="B168" s="1" t="s">
        <v>1228</v>
      </c>
      <c r="C168" s="1" t="s">
        <v>1081</v>
      </c>
      <c r="D168" s="106" t="n">
        <v>1.25</v>
      </c>
    </row>
    <row r="169" customFormat="false" ht="15" hidden="false" customHeight="true" outlineLevel="0" collapsed="false">
      <c r="B169" s="1" t="s">
        <v>1102</v>
      </c>
      <c r="C169" s="1" t="s">
        <v>972</v>
      </c>
      <c r="D169" s="106" t="n">
        <v>9</v>
      </c>
    </row>
    <row r="170" customFormat="false" ht="15" hidden="false" customHeight="true" outlineLevel="0" collapsed="false">
      <c r="B170" s="1" t="s">
        <v>1103</v>
      </c>
      <c r="C170" s="1" t="s">
        <v>972</v>
      </c>
      <c r="D170" s="106" t="n">
        <v>2</v>
      </c>
    </row>
    <row r="171" customFormat="false" ht="15" hidden="false" customHeight="true" outlineLevel="0" collapsed="false">
      <c r="B171" s="1" t="s">
        <v>1105</v>
      </c>
      <c r="C171" s="1" t="s">
        <v>972</v>
      </c>
      <c r="D171" s="106" t="n">
        <v>6.2</v>
      </c>
    </row>
    <row r="172" customFormat="false" ht="15" hidden="false" customHeight="true" outlineLevel="0" collapsed="false">
      <c r="B172" s="1" t="s">
        <v>1107</v>
      </c>
      <c r="C172" s="1" t="s">
        <v>972</v>
      </c>
      <c r="D172" s="106" t="n">
        <v>10.5</v>
      </c>
    </row>
    <row r="173" customFormat="false" ht="15" hidden="false" customHeight="true" outlineLevel="0" collapsed="false">
      <c r="B173" s="1" t="s">
        <v>1108</v>
      </c>
      <c r="C173" s="1" t="s">
        <v>972</v>
      </c>
      <c r="D173" s="106" t="n">
        <v>2.7</v>
      </c>
    </row>
    <row r="174" customFormat="false" ht="15" hidden="false" customHeight="true" outlineLevel="0" collapsed="false">
      <c r="B174" s="1" t="s">
        <v>1229</v>
      </c>
      <c r="C174" s="1" t="s">
        <v>972</v>
      </c>
      <c r="D174" s="106" t="n">
        <v>6.5</v>
      </c>
    </row>
    <row r="175" customFormat="false" ht="15" hidden="false" customHeight="true" outlineLevel="0" collapsed="false">
      <c r="B175" s="1" t="s">
        <v>1111</v>
      </c>
      <c r="C175" s="1" t="s">
        <v>972</v>
      </c>
      <c r="D175" s="106" t="n">
        <v>7</v>
      </c>
    </row>
    <row r="176" customFormat="false" ht="15" hidden="false" customHeight="true" outlineLevel="0" collapsed="false">
      <c r="B176" s="1" t="s">
        <v>1114</v>
      </c>
      <c r="C176" s="1" t="s">
        <v>972</v>
      </c>
      <c r="D176" s="106" t="n">
        <v>3.8</v>
      </c>
    </row>
    <row r="177" customFormat="false" ht="15" hidden="false" customHeight="true" outlineLevel="0" collapsed="false">
      <c r="B177" s="1" t="s">
        <v>1113</v>
      </c>
      <c r="C177" s="1" t="s">
        <v>972</v>
      </c>
      <c r="D177" s="106" t="n">
        <v>3</v>
      </c>
    </row>
    <row r="178" customFormat="false" ht="15" hidden="false" customHeight="true" outlineLevel="0" collapsed="false">
      <c r="B178" s="1" t="s">
        <v>1116</v>
      </c>
      <c r="C178" s="1" t="s">
        <v>972</v>
      </c>
      <c r="D178" s="106" t="n">
        <v>8</v>
      </c>
    </row>
    <row r="179" customFormat="false" ht="15" hidden="false" customHeight="true" outlineLevel="0" collapsed="false">
      <c r="B179" s="1" t="s">
        <v>1118</v>
      </c>
      <c r="C179" s="1" t="s">
        <v>972</v>
      </c>
      <c r="D179" s="106" t="n">
        <v>5.35</v>
      </c>
    </row>
    <row r="180" customFormat="false" ht="15" hidden="false" customHeight="true" outlineLevel="0" collapsed="false">
      <c r="B180" s="1" t="s">
        <v>1119</v>
      </c>
      <c r="C180" s="1" t="s">
        <v>972</v>
      </c>
      <c r="D180" s="106" t="n">
        <v>4.2</v>
      </c>
    </row>
    <row r="181" customFormat="false" ht="15" hidden="false" customHeight="true" outlineLevel="0" collapsed="false">
      <c r="B181" s="1" t="s">
        <v>1121</v>
      </c>
      <c r="C181" s="1" t="s">
        <v>972</v>
      </c>
      <c r="D181" s="106" t="n">
        <v>10</v>
      </c>
    </row>
    <row r="182" customFormat="false" ht="15" hidden="false" customHeight="true" outlineLevel="0" collapsed="false">
      <c r="B182" s="1" t="s">
        <v>1123</v>
      </c>
      <c r="C182" s="1" t="s">
        <v>972</v>
      </c>
      <c r="D182" s="106" t="n">
        <v>3.2</v>
      </c>
    </row>
    <row r="183" customFormat="false" ht="15" hidden="false" customHeight="true" outlineLevel="0" collapsed="false">
      <c r="B183" s="1" t="s">
        <v>1125</v>
      </c>
      <c r="C183" s="1" t="s">
        <v>972</v>
      </c>
      <c r="D183" s="106" t="n">
        <v>2.54</v>
      </c>
    </row>
    <row r="184" customFormat="false" ht="15" hidden="false" customHeight="true" outlineLevel="0" collapsed="false">
      <c r="B184" s="1" t="s">
        <v>1230</v>
      </c>
      <c r="C184" s="1" t="s">
        <v>1127</v>
      </c>
      <c r="D184" s="106" t="n">
        <v>0.30516</v>
      </c>
    </row>
    <row r="185" customFormat="false" ht="15" hidden="false" customHeight="true" outlineLevel="0" collapsed="false">
      <c r="B185" s="1" t="s">
        <v>1128</v>
      </c>
      <c r="C185" s="1" t="s">
        <v>1081</v>
      </c>
      <c r="D185" s="106" t="n">
        <v>6.8</v>
      </c>
    </row>
    <row r="186" customFormat="false" ht="15" hidden="false" customHeight="true" outlineLevel="0" collapsed="false">
      <c r="B186" s="1" t="s">
        <v>1130</v>
      </c>
      <c r="C186" s="1" t="s">
        <v>1081</v>
      </c>
      <c r="D186" s="106" t="n">
        <v>12</v>
      </c>
    </row>
    <row r="187" customFormat="false" ht="15" hidden="false" customHeight="true" outlineLevel="0" collapsed="false">
      <c r="B187" s="1" t="s">
        <v>1131</v>
      </c>
      <c r="C187" s="1" t="s">
        <v>1081</v>
      </c>
      <c r="D187" s="106" t="n">
        <v>9.5</v>
      </c>
    </row>
    <row r="188" customFormat="false" ht="15" hidden="false" customHeight="true" outlineLevel="0" collapsed="false">
      <c r="B188" s="1" t="s">
        <v>1231</v>
      </c>
      <c r="C188" s="1" t="s">
        <v>1081</v>
      </c>
      <c r="D188" s="106" t="n">
        <v>2.1</v>
      </c>
    </row>
    <row r="189" customFormat="false" ht="15" hidden="false" customHeight="true" outlineLevel="0" collapsed="false">
      <c r="B189" s="1" t="s">
        <v>1134</v>
      </c>
      <c r="C189" s="1" t="s">
        <v>1081</v>
      </c>
      <c r="D189" s="106" t="n">
        <v>8.5</v>
      </c>
    </row>
    <row r="190" customFormat="false" ht="15" hidden="false" customHeight="true" outlineLevel="0" collapsed="false">
      <c r="B190" s="1" t="s">
        <v>1139</v>
      </c>
      <c r="C190" s="1" t="s">
        <v>1081</v>
      </c>
      <c r="D190" s="106" t="n">
        <v>4.5</v>
      </c>
    </row>
    <row r="191" customFormat="false" ht="15" hidden="false" customHeight="true" outlineLevel="0" collapsed="false">
      <c r="B191" s="1" t="s">
        <v>1142</v>
      </c>
      <c r="C191" s="1" t="s">
        <v>1081</v>
      </c>
      <c r="D191" s="106" t="n">
        <v>4</v>
      </c>
    </row>
    <row r="192" customFormat="false" ht="15" hidden="false" customHeight="true" outlineLevel="0" collapsed="false">
      <c r="B192" s="1" t="s">
        <v>1144</v>
      </c>
      <c r="C192" s="1" t="s">
        <v>1081</v>
      </c>
      <c r="D192" s="106" t="n">
        <v>4.5</v>
      </c>
    </row>
    <row r="193" customFormat="false" ht="15" hidden="false" customHeight="true" outlineLevel="0" collapsed="false">
      <c r="B193" s="1" t="s">
        <v>1146</v>
      </c>
      <c r="C193" s="1" t="s">
        <v>1081</v>
      </c>
      <c r="D193" s="106" t="n">
        <v>9.5</v>
      </c>
    </row>
    <row r="194" customFormat="false" ht="15" hidden="false" customHeight="true" outlineLevel="0" collapsed="false">
      <c r="B194" s="1" t="s">
        <v>1148</v>
      </c>
      <c r="C194" s="1" t="s">
        <v>1081</v>
      </c>
      <c r="D194" s="106" t="n">
        <v>11</v>
      </c>
    </row>
    <row r="195" customFormat="false" ht="15" hidden="false" customHeight="true" outlineLevel="0" collapsed="false">
      <c r="B195" s="1" t="s">
        <v>1232</v>
      </c>
      <c r="C195" s="1" t="s">
        <v>849</v>
      </c>
      <c r="D195" s="106" t="n">
        <v>0.7</v>
      </c>
      <c r="E195" s="1" t="n">
        <v>0.7</v>
      </c>
    </row>
    <row r="196" customFormat="false" ht="15" hidden="false" customHeight="true" outlineLevel="0" collapsed="false">
      <c r="B196" s="1" t="s">
        <v>1233</v>
      </c>
      <c r="C196" s="1" t="s">
        <v>1081</v>
      </c>
      <c r="D196" s="106" t="n">
        <v>2.23</v>
      </c>
    </row>
    <row r="197" customFormat="false" ht="15" hidden="false" customHeight="true" outlineLevel="0" collapsed="false">
      <c r="B197" s="1" t="s">
        <v>1234</v>
      </c>
      <c r="C197" s="1" t="s">
        <v>1081</v>
      </c>
      <c r="D197" s="106" t="n">
        <v>0.9</v>
      </c>
    </row>
    <row r="198" customFormat="false" ht="15" hidden="false" customHeight="true" outlineLevel="0" collapsed="false">
      <c r="B198" s="1" t="s">
        <v>1235</v>
      </c>
      <c r="C198" s="1" t="s">
        <v>1081</v>
      </c>
      <c r="D198" s="106" t="n">
        <v>0.77</v>
      </c>
    </row>
    <row r="199" customFormat="false" ht="15" hidden="false" customHeight="true" outlineLevel="0" collapsed="false">
      <c r="B199" s="1" t="s">
        <v>1153</v>
      </c>
      <c r="C199" s="1" t="s">
        <v>1081</v>
      </c>
      <c r="D199" s="106" t="n">
        <v>1.1</v>
      </c>
    </row>
    <row r="200" customFormat="false" ht="15" hidden="false" customHeight="true" outlineLevel="0" collapsed="false">
      <c r="B200" s="1" t="s">
        <v>1155</v>
      </c>
      <c r="C200" s="1" t="s">
        <v>1081</v>
      </c>
      <c r="D200" s="106" t="n">
        <v>1.3</v>
      </c>
    </row>
    <row r="201" customFormat="false" ht="15" hidden="false" customHeight="true" outlineLevel="0" collapsed="false">
      <c r="B201" s="1" t="s">
        <v>1157</v>
      </c>
      <c r="C201" s="1" t="s">
        <v>1081</v>
      </c>
      <c r="D201" s="106" t="n">
        <v>2</v>
      </c>
    </row>
    <row r="202" customFormat="false" ht="15" hidden="false" customHeight="true" outlineLevel="0" collapsed="false">
      <c r="B202" s="1" t="s">
        <v>1158</v>
      </c>
      <c r="C202" s="1" t="s">
        <v>972</v>
      </c>
      <c r="D202" s="106" t="n">
        <v>4</v>
      </c>
    </row>
    <row r="203" customFormat="false" ht="15" hidden="false" customHeight="true" outlineLevel="0" collapsed="false">
      <c r="B203" s="1" t="s">
        <v>1159</v>
      </c>
      <c r="C203" s="1" t="s">
        <v>1074</v>
      </c>
      <c r="D203" s="106" t="n">
        <v>3.5</v>
      </c>
    </row>
    <row r="204" customFormat="false" ht="15" hidden="false" customHeight="true" outlineLevel="0" collapsed="false">
      <c r="B204" s="1" t="s">
        <v>1160</v>
      </c>
      <c r="C204" s="1" t="s">
        <v>1081</v>
      </c>
      <c r="D204" s="106" t="n">
        <v>5</v>
      </c>
    </row>
    <row r="205" customFormat="false" ht="15" hidden="false" customHeight="true" outlineLevel="0" collapsed="false">
      <c r="B205" s="1" t="s">
        <v>1161</v>
      </c>
      <c r="C205" s="1" t="s">
        <v>1081</v>
      </c>
      <c r="D205" s="106" t="n">
        <v>5.5</v>
      </c>
    </row>
    <row r="206" customFormat="false" ht="15" hidden="false" customHeight="true" outlineLevel="0" collapsed="false">
      <c r="B206" s="1" t="s">
        <v>1163</v>
      </c>
      <c r="C206" s="1" t="s">
        <v>1081</v>
      </c>
      <c r="D206" s="106" t="n">
        <v>4.5</v>
      </c>
    </row>
    <row r="207" customFormat="false" ht="15" hidden="false" customHeight="true" outlineLevel="0" collapsed="false">
      <c r="B207" s="1" t="s">
        <v>1165</v>
      </c>
      <c r="C207" s="1" t="s">
        <v>1081</v>
      </c>
      <c r="D207" s="106" t="n">
        <v>4.8</v>
      </c>
    </row>
    <row r="208" customFormat="false" ht="15" hidden="false" customHeight="true" outlineLevel="0" collapsed="false">
      <c r="B208" s="1" t="s">
        <v>1167</v>
      </c>
      <c r="C208" s="1" t="s">
        <v>1081</v>
      </c>
      <c r="D208" s="106" t="n">
        <v>11</v>
      </c>
    </row>
    <row r="209" customFormat="false" ht="15" hidden="false" customHeight="true" outlineLevel="0" collapsed="false">
      <c r="B209" s="1" t="s">
        <v>1168</v>
      </c>
      <c r="C209" s="1" t="s">
        <v>1074</v>
      </c>
      <c r="D209" s="106" t="n">
        <v>24</v>
      </c>
    </row>
    <row r="210" customFormat="false" ht="15" hidden="false" customHeight="true" outlineLevel="0" collapsed="false">
      <c r="B210" s="1" t="s">
        <v>1169</v>
      </c>
      <c r="C210" s="1" t="s">
        <v>1081</v>
      </c>
      <c r="D210" s="106" t="n">
        <v>3</v>
      </c>
    </row>
    <row r="211" customFormat="false" ht="15" hidden="false" customHeight="true" outlineLevel="0" collapsed="false">
      <c r="B211" s="1" t="s">
        <v>1171</v>
      </c>
      <c r="C211" s="1" t="s">
        <v>1081</v>
      </c>
      <c r="D211" s="106" t="n">
        <v>9</v>
      </c>
    </row>
    <row r="212" customFormat="false" ht="15" hidden="false" customHeight="true" outlineLevel="0" collapsed="false">
      <c r="B212" s="1" t="s">
        <v>1173</v>
      </c>
      <c r="C212" s="1" t="s">
        <v>1081</v>
      </c>
      <c r="D212" s="106" t="n">
        <v>8.5</v>
      </c>
    </row>
    <row r="213" customFormat="false" ht="15" hidden="false" customHeight="true" outlineLevel="0" collapsed="false">
      <c r="B213" s="1" t="s">
        <v>1175</v>
      </c>
      <c r="C213" s="1" t="s">
        <v>1081</v>
      </c>
      <c r="D213" s="106" t="n">
        <v>4.95</v>
      </c>
    </row>
    <row r="214" customFormat="false" ht="15" hidden="false" customHeight="true" outlineLevel="0" collapsed="false">
      <c r="B214" s="1" t="s">
        <v>1176</v>
      </c>
      <c r="C214" s="1" t="s">
        <v>1081</v>
      </c>
      <c r="D214" s="106" t="n">
        <v>5.95</v>
      </c>
    </row>
    <row r="215" customFormat="false" ht="15" hidden="false" customHeight="true" outlineLevel="0" collapsed="false">
      <c r="B215" s="1" t="s">
        <v>889</v>
      </c>
      <c r="C215" s="1" t="s">
        <v>1081</v>
      </c>
      <c r="D215" s="106" t="n">
        <v>2.8</v>
      </c>
    </row>
    <row r="216" customFormat="false" ht="15" hidden="false" customHeight="true" outlineLevel="0" collapsed="false">
      <c r="B216" s="1" t="s">
        <v>1180</v>
      </c>
      <c r="C216" s="1" t="s">
        <v>1081</v>
      </c>
      <c r="D216" s="106" t="n">
        <v>7.5</v>
      </c>
    </row>
    <row r="217" customFormat="false" ht="15" hidden="false" customHeight="true" outlineLevel="0" collapsed="false">
      <c r="B217" s="1" t="s">
        <v>1182</v>
      </c>
      <c r="C217" s="1" t="s">
        <v>1081</v>
      </c>
      <c r="D217" s="106" t="n">
        <v>8.5</v>
      </c>
    </row>
    <row r="218" customFormat="false" ht="15" hidden="false" customHeight="true" outlineLevel="0" collapsed="false">
      <c r="B218" s="1" t="s">
        <v>1184</v>
      </c>
      <c r="C218" s="1" t="s">
        <v>1081</v>
      </c>
      <c r="D218" s="106" t="n">
        <v>8</v>
      </c>
    </row>
    <row r="219" customFormat="false" ht="15" hidden="false" customHeight="true" outlineLevel="0" collapsed="false">
      <c r="B219" s="1" t="s">
        <v>1186</v>
      </c>
      <c r="C219" s="1" t="s">
        <v>1081</v>
      </c>
      <c r="D219" s="106" t="n">
        <v>3.5</v>
      </c>
    </row>
    <row r="220" customFormat="false" ht="15" hidden="false" customHeight="true" outlineLevel="0" collapsed="false">
      <c r="B220" s="1" t="s">
        <v>1187</v>
      </c>
      <c r="C220" s="1" t="s">
        <v>1081</v>
      </c>
      <c r="D220" s="106" t="n">
        <v>4.3</v>
      </c>
    </row>
    <row r="221" customFormat="false" ht="15" hidden="false" customHeight="true" outlineLevel="0" collapsed="false">
      <c r="B221" s="1" t="s">
        <v>1189</v>
      </c>
      <c r="C221" s="1" t="s">
        <v>1081</v>
      </c>
      <c r="D221" s="106" t="n">
        <v>4</v>
      </c>
    </row>
    <row r="222" customFormat="false" ht="15" hidden="false" customHeight="true" outlineLevel="0" collapsed="false">
      <c r="B222" s="1" t="s">
        <v>1190</v>
      </c>
      <c r="C222" s="1" t="s">
        <v>1081</v>
      </c>
      <c r="D222" s="106" t="n">
        <v>3</v>
      </c>
    </row>
    <row r="223" customFormat="false" ht="15" hidden="false" customHeight="true" outlineLevel="0" collapsed="false">
      <c r="B223" s="1" t="s">
        <v>1057</v>
      </c>
      <c r="C223" s="1" t="s">
        <v>1081</v>
      </c>
      <c r="D223" s="106" t="n">
        <v>12</v>
      </c>
    </row>
    <row r="224" customFormat="false" ht="15" hidden="false" customHeight="true" outlineLevel="0" collapsed="false">
      <c r="B224" s="1" t="s">
        <v>1192</v>
      </c>
      <c r="C224" s="1" t="s">
        <v>1081</v>
      </c>
      <c r="D224" s="106" t="n">
        <v>10</v>
      </c>
    </row>
    <row r="225" customFormat="false" ht="15" hidden="false" customHeight="true" outlineLevel="0" collapsed="false">
      <c r="B225" s="1" t="s">
        <v>1194</v>
      </c>
      <c r="C225" s="1" t="s">
        <v>1081</v>
      </c>
      <c r="D225" s="106" t="n">
        <v>21</v>
      </c>
    </row>
    <row r="226" customFormat="false" ht="15" hidden="false" customHeight="true" outlineLevel="0" collapsed="false">
      <c r="B226" s="1" t="s">
        <v>1198</v>
      </c>
      <c r="C226" s="1" t="s">
        <v>1081</v>
      </c>
      <c r="D226" s="106" t="n">
        <v>3.2</v>
      </c>
    </row>
    <row r="227" customFormat="false" ht="15" hidden="false" customHeight="true" outlineLevel="0" collapsed="false">
      <c r="B227" s="1" t="s">
        <v>1201</v>
      </c>
      <c r="C227" s="1" t="s">
        <v>1081</v>
      </c>
      <c r="D227" s="106" t="n">
        <v>6</v>
      </c>
    </row>
    <row r="228" customFormat="false" ht="15" hidden="false" customHeight="true" outlineLevel="0" collapsed="false">
      <c r="B228" s="1" t="s">
        <v>1202</v>
      </c>
      <c r="C228" s="1" t="s">
        <v>1081</v>
      </c>
      <c r="D228" s="106" t="n">
        <v>3.5</v>
      </c>
    </row>
    <row r="229" customFormat="false" ht="15" hidden="false" customHeight="true" outlineLevel="0" collapsed="false">
      <c r="B229" s="1" t="s">
        <v>1203</v>
      </c>
      <c r="C229" s="1" t="s">
        <v>1081</v>
      </c>
      <c r="D229" s="106" t="n">
        <v>4.8</v>
      </c>
    </row>
    <row r="230" customFormat="false" ht="15" hidden="false" customHeight="true" outlineLevel="0" collapsed="false">
      <c r="B230" s="1" t="s">
        <v>734</v>
      </c>
      <c r="C230" s="1" t="s">
        <v>849</v>
      </c>
      <c r="D230" s="106" t="n">
        <v>1.2</v>
      </c>
      <c r="E230" s="1" t="n">
        <v>1.2</v>
      </c>
    </row>
    <row r="231" customFormat="false" ht="15" hidden="false" customHeight="true" outlineLevel="0" collapsed="false">
      <c r="B231" s="1" t="s">
        <v>1206</v>
      </c>
      <c r="C231" s="1" t="s">
        <v>1081</v>
      </c>
      <c r="D231" s="106" t="n">
        <v>2.2</v>
      </c>
    </row>
    <row r="232" customFormat="false" ht="15" hidden="false" customHeight="true" outlineLevel="0" collapsed="false">
      <c r="B232" s="1" t="s">
        <v>1236</v>
      </c>
      <c r="C232" s="1" t="s">
        <v>1081</v>
      </c>
      <c r="D232" s="106" t="n">
        <v>3.5</v>
      </c>
    </row>
    <row r="233" customFormat="false" ht="15" hidden="false" customHeight="true" outlineLevel="0" collapsed="false">
      <c r="B233" s="1" t="s">
        <v>1054</v>
      </c>
      <c r="C233" s="1" t="s">
        <v>1081</v>
      </c>
      <c r="D233" s="106" t="n">
        <v>0.5</v>
      </c>
    </row>
    <row r="234" customFormat="false" ht="15" hidden="false" customHeight="true" outlineLevel="0" collapsed="false">
      <c r="B234" s="1" t="s">
        <v>1237</v>
      </c>
      <c r="C234" s="1" t="s">
        <v>1074</v>
      </c>
      <c r="D234" s="106" t="n">
        <v>3.5</v>
      </c>
    </row>
    <row r="235" customFormat="false" ht="15" hidden="false" customHeight="true" outlineLevel="0" collapsed="false">
      <c r="B235" s="1" t="s">
        <v>1213</v>
      </c>
      <c r="C235" s="1" t="s">
        <v>1074</v>
      </c>
      <c r="D235" s="106" t="n">
        <v>7</v>
      </c>
    </row>
    <row r="236" customFormat="false" ht="15" hidden="false" customHeight="true" outlineLevel="0" collapsed="false">
      <c r="B236" s="1" t="s">
        <v>994</v>
      </c>
      <c r="C236" s="1" t="s">
        <v>1238</v>
      </c>
      <c r="D236" s="106" t="n">
        <v>1</v>
      </c>
    </row>
    <row r="237" customFormat="false" ht="15" hidden="false" customHeight="true" outlineLevel="0" collapsed="false">
      <c r="B237" s="1" t="s">
        <v>1215</v>
      </c>
      <c r="C237" s="1" t="s">
        <v>1081</v>
      </c>
      <c r="D237" s="106" t="n">
        <v>14</v>
      </c>
    </row>
    <row r="238" customFormat="false" ht="15" hidden="false" customHeight="true" outlineLevel="0" collapsed="false">
      <c r="B238" s="1" t="s">
        <v>1217</v>
      </c>
      <c r="C238" s="1" t="s">
        <v>1081</v>
      </c>
      <c r="D238" s="106" t="n">
        <v>7.2</v>
      </c>
    </row>
    <row r="239" customFormat="false" ht="15" hidden="false" customHeight="true" outlineLevel="0" collapsed="false">
      <c r="B239" s="1" t="s">
        <v>1219</v>
      </c>
      <c r="C239" s="1" t="s">
        <v>1081</v>
      </c>
      <c r="D239" s="106" t="n">
        <v>3.5</v>
      </c>
    </row>
    <row r="240" customFormat="false" ht="15" hidden="false" customHeight="true" outlineLevel="0" collapsed="false">
      <c r="B240" s="1" t="s">
        <v>1220</v>
      </c>
      <c r="C240" s="1" t="s">
        <v>1074</v>
      </c>
      <c r="D240" s="106" t="n">
        <v>1.1</v>
      </c>
    </row>
    <row r="241" customFormat="false" ht="15" hidden="false" customHeight="true" outlineLevel="0" collapsed="false">
      <c r="B241" s="1" t="s">
        <v>1222</v>
      </c>
      <c r="C241" s="1" t="s">
        <v>1074</v>
      </c>
      <c r="D241" s="106" t="n">
        <v>3</v>
      </c>
    </row>
    <row r="242" customFormat="false" ht="15" hidden="false" customHeight="true" outlineLevel="0" collapsed="false">
      <c r="B242" s="1" t="s">
        <v>1223</v>
      </c>
      <c r="C242" s="1" t="s">
        <v>1074</v>
      </c>
      <c r="D242" s="106" t="n">
        <v>3.5</v>
      </c>
    </row>
    <row r="243" customFormat="false" ht="15" hidden="false" customHeight="true" outlineLevel="0" collapsed="false">
      <c r="B243" s="1" t="s">
        <v>1224</v>
      </c>
      <c r="C243" s="1" t="s">
        <v>1081</v>
      </c>
      <c r="D243" s="106" t="n">
        <v>2.4</v>
      </c>
    </row>
    <row r="244" customFormat="false" ht="15" hidden="false" customHeight="true" outlineLevel="0" collapsed="false">
      <c r="B244" s="1" t="s">
        <v>1050</v>
      </c>
      <c r="C244" s="1" t="s">
        <v>1081</v>
      </c>
      <c r="D244" s="106" t="n">
        <v>1.1</v>
      </c>
      <c r="E244" s="1" t="n">
        <f aca="false">D244/1000</f>
        <v>0.0011</v>
      </c>
      <c r="F244" s="1" t="s">
        <v>1239</v>
      </c>
    </row>
    <row r="245" customFormat="false" ht="15" hidden="false" customHeight="true" outlineLevel="0" collapsed="false">
      <c r="B245" s="1" t="s">
        <v>1053</v>
      </c>
      <c r="C245" s="1" t="s">
        <v>1081</v>
      </c>
      <c r="D245" s="106" t="n">
        <v>3.5</v>
      </c>
      <c r="E245" s="1" t="n">
        <f aca="false">D245/1000</f>
        <v>0.0035</v>
      </c>
    </row>
    <row r="246" customFormat="false" ht="15" hidden="false" customHeight="true" outlineLevel="0" collapsed="false">
      <c r="B246" s="1" t="s">
        <v>1060</v>
      </c>
      <c r="C246" s="1" t="s">
        <v>849</v>
      </c>
      <c r="D246" s="106" t="n">
        <v>0.095</v>
      </c>
      <c r="E246" s="1" t="n">
        <f aca="false">D246</f>
        <v>0.095</v>
      </c>
    </row>
    <row r="247" customFormat="false" ht="15" hidden="false" customHeight="true" outlineLevel="0" collapsed="false">
      <c r="B247" s="1" t="s">
        <v>1061</v>
      </c>
      <c r="C247" s="1" t="s">
        <v>1240</v>
      </c>
      <c r="D247" s="106" t="n">
        <v>0.03</v>
      </c>
      <c r="E247" s="1" t="n">
        <f aca="false">D247</f>
        <v>0.03</v>
      </c>
    </row>
    <row r="248" customFormat="false" ht="15" hidden="false" customHeight="true" outlineLevel="0" collapsed="false">
      <c r="B248" s="1" t="s">
        <v>1051</v>
      </c>
      <c r="C248" s="1" t="s">
        <v>1081</v>
      </c>
      <c r="D248" s="106" t="n">
        <v>0.001</v>
      </c>
      <c r="E248" s="1" t="n">
        <f aca="false">D248/1000</f>
        <v>1E-006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G62"/>
  <sheetViews>
    <sheetView showFormulas="false" showGridLines="false" showRowColHeaders="true" showZeros="true" rightToLeft="false" tabSelected="false" showOutlineSymbols="true" defaultGridColor="true" view="normal" topLeftCell="A1" colorId="64" zoomScale="140" zoomScaleNormal="140" zoomScalePageLayoutView="100" workbookViewId="0">
      <selection pane="topLeft" activeCell="E17" activeCellId="0" sqref="E17"/>
    </sheetView>
  </sheetViews>
  <sheetFormatPr defaultColWidth="8.66796875" defaultRowHeight="15" zeroHeight="false" outlineLevelRow="0" outlineLevelCol="0"/>
  <cols>
    <col collapsed="false" customWidth="true" hidden="false" outlineLevel="0" max="1" min="1" style="1" width="3"/>
    <col collapsed="false" customWidth="true" hidden="false" outlineLevel="0" max="2" min="2" style="1" width="58"/>
    <col collapsed="false" customWidth="true" hidden="false" outlineLevel="0" max="5" min="3" style="1" width="14"/>
    <col collapsed="false" customWidth="true" hidden="false" outlineLevel="0" max="6" min="6" style="1" width="3"/>
    <col collapsed="false" customWidth="true" hidden="false" outlineLevel="0" max="7" min="7" style="1" width="75"/>
  </cols>
  <sheetData>
    <row r="1" customFormat="false" ht="18.75" hidden="false" customHeight="true" outlineLevel="0" collapsed="false">
      <c r="A1" s="215" t="s">
        <v>1241</v>
      </c>
      <c r="B1" s="126"/>
      <c r="C1" s="126"/>
      <c r="D1" s="126"/>
      <c r="E1" s="126"/>
      <c r="F1" s="126"/>
      <c r="G1" s="126"/>
    </row>
    <row r="2" customFormat="false" ht="15" hidden="false" customHeight="true" outlineLevel="0" collapsed="false">
      <c r="A2" s="175" t="s">
        <v>1242</v>
      </c>
    </row>
    <row r="3" customFormat="false" ht="15" hidden="false" customHeight="true" outlineLevel="0" collapsed="false">
      <c r="A3" s="216" t="s">
        <v>495</v>
      </c>
    </row>
    <row r="5" customFormat="false" ht="15" hidden="false" customHeight="true" outlineLevel="0" collapsed="false">
      <c r="A5" s="217" t="s">
        <v>1243</v>
      </c>
      <c r="B5" s="218"/>
      <c r="C5" s="218"/>
      <c r="D5" s="218"/>
      <c r="E5" s="218"/>
      <c r="F5" s="218"/>
      <c r="G5" s="218"/>
    </row>
    <row r="6" customFormat="false" ht="15" hidden="false" customHeight="true" outlineLevel="0" collapsed="false">
      <c r="B6" s="182" t="s">
        <v>1244</v>
      </c>
      <c r="C6" s="226" t="n">
        <v>972</v>
      </c>
      <c r="G6" s="216" t="s">
        <v>1245</v>
      </c>
    </row>
    <row r="7" customFormat="false" ht="15" hidden="false" customHeight="true" outlineLevel="0" collapsed="false">
      <c r="B7" s="182" t="s">
        <v>1246</v>
      </c>
      <c r="C7" s="226" t="n">
        <v>972</v>
      </c>
      <c r="G7" s="216" t="s">
        <v>1247</v>
      </c>
    </row>
    <row r="8" customFormat="false" ht="15" hidden="false" customHeight="true" outlineLevel="0" collapsed="false">
      <c r="B8" s="182" t="s">
        <v>1248</v>
      </c>
      <c r="C8" s="259" t="n">
        <v>4.33</v>
      </c>
    </row>
    <row r="9" customFormat="false" ht="15" hidden="false" customHeight="true" outlineLevel="0" collapsed="false">
      <c r="B9" s="182" t="s">
        <v>1249</v>
      </c>
      <c r="C9" s="226" t="n">
        <v>1000</v>
      </c>
      <c r="G9" s="216" t="s">
        <v>1250</v>
      </c>
    </row>
    <row r="10" customFormat="false" ht="15" hidden="false" customHeight="true" outlineLevel="0" collapsed="false">
      <c r="B10" s="182" t="s">
        <v>1251</v>
      </c>
      <c r="C10" s="228" t="n">
        <f aca="false">C6*C8</f>
        <v>4208.76</v>
      </c>
    </row>
    <row r="11" customFormat="false" ht="15" hidden="false" customHeight="true" outlineLevel="0" collapsed="false">
      <c r="B11" s="178" t="s">
        <v>1252</v>
      </c>
      <c r="C11" s="236" t="n">
        <f aca="false">C7*C8</f>
        <v>4208.76</v>
      </c>
      <c r="D11" s="1" t="n">
        <v>60</v>
      </c>
      <c r="E11" s="1" t="n">
        <f aca="false">+D11*30</f>
        <v>1800</v>
      </c>
    </row>
    <row r="12" customFormat="false" ht="15" hidden="false" customHeight="true" outlineLevel="0" collapsed="false">
      <c r="C12" s="1" t="n">
        <v>0</v>
      </c>
      <c r="D12" s="1" t="n">
        <v>2000</v>
      </c>
      <c r="E12" s="1" t="n">
        <f aca="false">+(C11+E11)/2</f>
        <v>3004.38</v>
      </c>
      <c r="F12" s="1" t="s">
        <v>1253</v>
      </c>
    </row>
    <row r="13" customFormat="false" ht="15" hidden="false" customHeight="true" outlineLevel="0" collapsed="false">
      <c r="A13" s="217" t="s">
        <v>1254</v>
      </c>
      <c r="B13" s="218"/>
      <c r="C13" s="218"/>
      <c r="D13" s="218"/>
      <c r="E13" s="218"/>
      <c r="F13" s="218"/>
      <c r="G13" s="218"/>
    </row>
    <row r="14" customFormat="false" ht="15" hidden="false" customHeight="true" outlineLevel="0" collapsed="false">
      <c r="A14" s="219"/>
      <c r="B14" s="219"/>
      <c r="C14" s="219" t="s">
        <v>225</v>
      </c>
      <c r="D14" s="219" t="s">
        <v>226</v>
      </c>
      <c r="E14" s="219" t="s">
        <v>227</v>
      </c>
    </row>
    <row r="15" customFormat="false" ht="15" hidden="false" customHeight="true" outlineLevel="0" collapsed="false">
      <c r="B15" s="182" t="s">
        <v>1255</v>
      </c>
      <c r="C15" s="260" t="n">
        <f aca="false">C16/$C$11</f>
        <v>0.831598855719975</v>
      </c>
      <c r="D15" s="260" t="n">
        <f aca="false">D16/$C$11</f>
        <v>0.997918626863969</v>
      </c>
      <c r="E15" s="260" t="n">
        <f aca="false">E16/$C$11</f>
        <v>1.18799836531425</v>
      </c>
      <c r="G15" s="23" t="s">
        <v>1256</v>
      </c>
    </row>
    <row r="16" customFormat="false" ht="15" hidden="false" customHeight="true" outlineLevel="0" collapsed="false">
      <c r="B16" s="178" t="s">
        <v>1257</v>
      </c>
      <c r="C16" s="261" t="n">
        <v>3500</v>
      </c>
      <c r="D16" s="261" t="n">
        <v>4200</v>
      </c>
      <c r="E16" s="261" t="n">
        <v>5000</v>
      </c>
      <c r="G16" s="23" t="s">
        <v>1258</v>
      </c>
    </row>
    <row r="18" customFormat="false" ht="15" hidden="false" customHeight="true" outlineLevel="0" collapsed="false">
      <c r="A18" s="217" t="s">
        <v>1259</v>
      </c>
      <c r="B18" s="218"/>
      <c r="C18" s="218"/>
      <c r="D18" s="218"/>
      <c r="E18" s="218"/>
      <c r="F18" s="218"/>
      <c r="G18" s="218"/>
    </row>
    <row r="19" customFormat="false" ht="15" hidden="false" customHeight="true" outlineLevel="0" collapsed="false">
      <c r="B19" s="182" t="s">
        <v>1260</v>
      </c>
      <c r="C19" s="235" t="n">
        <v>11.9</v>
      </c>
      <c r="G19" s="216" t="s">
        <v>1261</v>
      </c>
    </row>
    <row r="20" customFormat="false" ht="15" hidden="false" customHeight="true" outlineLevel="0" collapsed="false">
      <c r="B20" s="182" t="s">
        <v>1262</v>
      </c>
      <c r="C20" s="233" t="n">
        <f aca="false">SUP_PRECIOS!$D$8</f>
        <v>11.9</v>
      </c>
    </row>
    <row r="21" customFormat="false" ht="15" hidden="false" customHeight="true" outlineLevel="0" collapsed="false">
      <c r="B21" s="182" t="s">
        <v>1263</v>
      </c>
      <c r="C21" s="262" t="n">
        <v>-0.7</v>
      </c>
      <c r="D21" s="262" t="n">
        <v>-1</v>
      </c>
      <c r="E21" s="262" t="n">
        <v>-1.3</v>
      </c>
      <c r="G21" s="216" t="s">
        <v>1264</v>
      </c>
    </row>
    <row r="22" customFormat="false" ht="15" hidden="false" customHeight="true" outlineLevel="0" collapsed="false">
      <c r="B22" s="182" t="s">
        <v>1265</v>
      </c>
      <c r="C22" s="263" t="n">
        <f aca="false">($C$20/$C$19)^C21</f>
        <v>1</v>
      </c>
      <c r="D22" s="263" t="n">
        <f aca="false">($C$20/$C$19)^D21</f>
        <v>1</v>
      </c>
      <c r="E22" s="263" t="n">
        <f aca="false">($C$20/$C$19)^E21</f>
        <v>1</v>
      </c>
    </row>
    <row r="23" customFormat="false" ht="15" hidden="false" customHeight="true" outlineLevel="0" collapsed="false">
      <c r="B23" s="178" t="s">
        <v>1266</v>
      </c>
      <c r="C23" s="236" t="n">
        <f aca="false">C16*C22</f>
        <v>3500</v>
      </c>
      <c r="D23" s="236" t="n">
        <f aca="false">D16*D22</f>
        <v>4200</v>
      </c>
      <c r="E23" s="236" t="n">
        <f aca="false">E16*E22</f>
        <v>5000</v>
      </c>
      <c r="G23" s="216" t="s">
        <v>1267</v>
      </c>
    </row>
    <row r="25" customFormat="false" ht="15" hidden="false" customHeight="true" outlineLevel="0" collapsed="false">
      <c r="A25" s="217" t="s">
        <v>1268</v>
      </c>
      <c r="B25" s="218"/>
      <c r="C25" s="218"/>
      <c r="D25" s="218"/>
      <c r="E25" s="218"/>
      <c r="F25" s="218"/>
      <c r="G25" s="218"/>
    </row>
    <row r="26" customFormat="false" ht="15" hidden="false" customHeight="true" outlineLevel="0" collapsed="false">
      <c r="B26" s="182" t="s">
        <v>1269</v>
      </c>
      <c r="C26" s="224" t="n">
        <v>0.3</v>
      </c>
      <c r="G26" s="216" t="s">
        <v>1270</v>
      </c>
    </row>
    <row r="27" customFormat="false" ht="15" hidden="false" customHeight="true" outlineLevel="0" collapsed="false">
      <c r="B27" s="182" t="s">
        <v>1271</v>
      </c>
      <c r="C27" s="223" t="n">
        <v>1</v>
      </c>
      <c r="G27" s="23" t="s">
        <v>1272</v>
      </c>
    </row>
    <row r="29" customFormat="false" ht="15" hidden="false" customHeight="true" outlineLevel="0" collapsed="false">
      <c r="A29" s="219"/>
      <c r="B29" s="219" t="s">
        <v>1273</v>
      </c>
      <c r="C29" s="219" t="s">
        <v>225</v>
      </c>
      <c r="D29" s="219" t="s">
        <v>226</v>
      </c>
      <c r="E29" s="219" t="s">
        <v>227</v>
      </c>
    </row>
    <row r="30" customFormat="false" ht="15" hidden="false" customHeight="true" outlineLevel="0" collapsed="false">
      <c r="B30" s="220" t="s">
        <v>1274</v>
      </c>
      <c r="C30" s="228" t="n">
        <f aca="false">C23</f>
        <v>3500</v>
      </c>
      <c r="D30" s="228" t="n">
        <f aca="false">D23</f>
        <v>4200</v>
      </c>
      <c r="E30" s="228" t="n">
        <f aca="false">E23</f>
        <v>5000</v>
      </c>
    </row>
    <row r="31" customFormat="false" ht="15" hidden="false" customHeight="true" outlineLevel="0" collapsed="false">
      <c r="B31" s="220" t="s">
        <v>1275</v>
      </c>
      <c r="C31" s="228" t="n">
        <f aca="false">C23*(1+$C$26)</f>
        <v>4550</v>
      </c>
      <c r="D31" s="228" t="n">
        <f aca="false">D23*(1+$C$26)</f>
        <v>5460</v>
      </c>
      <c r="E31" s="228" t="n">
        <f aca="false">E23*(1+$C$26)</f>
        <v>6500</v>
      </c>
    </row>
    <row r="32" customFormat="false" ht="15" hidden="false" customHeight="true" outlineLevel="0" collapsed="false">
      <c r="B32" s="220" t="s">
        <v>164</v>
      </c>
      <c r="C32" s="228" t="n">
        <f aca="false">C23*(1+$C$27)</f>
        <v>7000</v>
      </c>
      <c r="D32" s="228" t="n">
        <f aca="false">D23*(1+$C$27)</f>
        <v>8400</v>
      </c>
      <c r="E32" s="228" t="n">
        <f aca="false">E23*(1+$C$27)</f>
        <v>10000</v>
      </c>
    </row>
    <row r="34" customFormat="false" ht="15" hidden="false" customHeight="true" outlineLevel="0" collapsed="false">
      <c r="A34" s="217" t="s">
        <v>1276</v>
      </c>
      <c r="B34" s="218"/>
      <c r="C34" s="218"/>
      <c r="D34" s="218"/>
      <c r="E34" s="218"/>
      <c r="F34" s="218"/>
      <c r="G34" s="218"/>
    </row>
    <row r="35" customFormat="false" ht="15" hidden="false" customHeight="true" outlineLevel="0" collapsed="false">
      <c r="B35" s="220" t="s">
        <v>1277</v>
      </c>
      <c r="C35" s="224" t="n">
        <v>0.5</v>
      </c>
      <c r="G35" s="216" t="s">
        <v>1278</v>
      </c>
    </row>
    <row r="36" customFormat="false" ht="15" hidden="false" customHeight="true" outlineLevel="0" collapsed="false">
      <c r="B36" s="220" t="s">
        <v>1279</v>
      </c>
      <c r="C36" s="224" t="n">
        <v>0.3</v>
      </c>
      <c r="G36" s="216" t="s">
        <v>1280</v>
      </c>
    </row>
    <row r="37" customFormat="false" ht="15" hidden="false" customHeight="true" outlineLevel="0" collapsed="false">
      <c r="B37" s="220" t="s">
        <v>1281</v>
      </c>
      <c r="C37" s="224" t="n">
        <v>0.06</v>
      </c>
      <c r="G37" s="216" t="s">
        <v>1282</v>
      </c>
    </row>
    <row r="38" customFormat="false" ht="15" hidden="false" customHeight="true" outlineLevel="0" collapsed="false">
      <c r="B38" s="220" t="s">
        <v>1283</v>
      </c>
      <c r="C38" s="224" t="n">
        <v>0.08</v>
      </c>
      <c r="G38" s="216" t="s">
        <v>1284</v>
      </c>
    </row>
    <row r="39" customFormat="false" ht="15" hidden="false" customHeight="true" outlineLevel="0" collapsed="false">
      <c r="B39" s="220" t="s">
        <v>1285</v>
      </c>
      <c r="C39" s="224" t="n">
        <v>0.06</v>
      </c>
      <c r="G39" s="216" t="s">
        <v>1286</v>
      </c>
    </row>
    <row r="40" customFormat="false" ht="15" hidden="false" customHeight="true" outlineLevel="0" collapsed="false">
      <c r="B40" s="178" t="s">
        <v>1287</v>
      </c>
      <c r="C40" s="225" t="n">
        <f aca="false">SUM(C35:C39)</f>
        <v>1</v>
      </c>
      <c r="G40" s="216" t="s">
        <v>1288</v>
      </c>
    </row>
    <row r="42" customFormat="false" ht="15" hidden="false" customHeight="true" outlineLevel="0" collapsed="false">
      <c r="A42" s="217" t="s">
        <v>1289</v>
      </c>
      <c r="B42" s="218"/>
      <c r="C42" s="218"/>
      <c r="D42" s="218"/>
      <c r="E42" s="218"/>
      <c r="F42" s="218"/>
      <c r="G42" s="218"/>
    </row>
    <row r="43" customFormat="false" ht="15" hidden="false" customHeight="true" outlineLevel="0" collapsed="false">
      <c r="B43" s="182" t="s">
        <v>1290</v>
      </c>
      <c r="C43" s="226" t="n">
        <v>7</v>
      </c>
      <c r="G43" s="23" t="s">
        <v>1291</v>
      </c>
    </row>
    <row r="44" customFormat="false" ht="15" hidden="false" customHeight="true" outlineLevel="0" collapsed="false">
      <c r="B44" s="182" t="s">
        <v>1292</v>
      </c>
      <c r="C44" s="226" t="n">
        <v>3</v>
      </c>
    </row>
    <row r="45" customFormat="false" ht="15" hidden="false" customHeight="true" outlineLevel="0" collapsed="false">
      <c r="B45" s="182" t="s">
        <v>1293</v>
      </c>
      <c r="C45" s="227" t="n">
        <f aca="false">SUP_CONTROL!$C$12</f>
        <v>0</v>
      </c>
    </row>
    <row r="47" customFormat="false" ht="15" hidden="false" customHeight="true" outlineLevel="0" collapsed="false">
      <c r="A47" s="219"/>
      <c r="B47" s="219" t="s">
        <v>1294</v>
      </c>
      <c r="C47" s="219" t="s">
        <v>225</v>
      </c>
      <c r="D47" s="219" t="s">
        <v>226</v>
      </c>
      <c r="E47" s="219" t="s">
        <v>227</v>
      </c>
    </row>
    <row r="48" customFormat="false" ht="15" hidden="false" customHeight="true" outlineLevel="0" collapsed="false">
      <c r="B48" s="220" t="s">
        <v>1295</v>
      </c>
      <c r="C48" s="228" t="n">
        <f aca="false">$C$43*C30+$C$44*C31+$C$45*C32</f>
        <v>38150</v>
      </c>
      <c r="D48" s="228" t="n">
        <f aca="false">$C$43*D30+$C$44*D31+$C$45*D32</f>
        <v>45780</v>
      </c>
      <c r="E48" s="228" t="n">
        <f aca="false">$C$43*E30+$C$44*E31+$C$45*E32</f>
        <v>54500</v>
      </c>
      <c r="G48" s="216" t="s">
        <v>1296</v>
      </c>
    </row>
    <row r="49" customFormat="false" ht="15" hidden="false" customHeight="true" outlineLevel="0" collapsed="false">
      <c r="B49" s="220" t="s">
        <v>1297</v>
      </c>
      <c r="C49" s="227" t="n">
        <f aca="false">C48*SUP_COSTOS!$C$6</f>
        <v>62947.5</v>
      </c>
      <c r="D49" s="227" t="n">
        <f aca="false">D48*SUP_COSTOS!$C$6</f>
        <v>75537</v>
      </c>
      <c r="E49" s="227" t="n">
        <f aca="false">E48*SUP_COSTOS!$C$6</f>
        <v>89925</v>
      </c>
    </row>
    <row r="50" customFormat="false" ht="15" hidden="false" customHeight="true" outlineLevel="0" collapsed="false">
      <c r="B50" s="220" t="s">
        <v>1298</v>
      </c>
      <c r="C50" s="264" t="n">
        <f aca="false">C49/1000</f>
        <v>62.9475</v>
      </c>
      <c r="D50" s="264" t="n">
        <f aca="false">D49/1000</f>
        <v>75.537</v>
      </c>
      <c r="E50" s="264" t="n">
        <f aca="false">E49/1000</f>
        <v>89.925</v>
      </c>
    </row>
    <row r="51" customFormat="false" ht="15" hidden="false" customHeight="true" outlineLevel="0" collapsed="false">
      <c r="B51" s="220" t="s">
        <v>1299</v>
      </c>
      <c r="C51" s="234" t="n">
        <f aca="false">C50/200</f>
        <v>0.3147375</v>
      </c>
      <c r="D51" s="234" t="n">
        <f aca="false">D50/200</f>
        <v>0.377685</v>
      </c>
      <c r="E51" s="234" t="n">
        <f aca="false">E50/200</f>
        <v>0.449625</v>
      </c>
    </row>
    <row r="53" customFormat="false" ht="15" hidden="false" customHeight="true" outlineLevel="0" collapsed="false">
      <c r="B53" s="182" t="s">
        <v>1300</v>
      </c>
      <c r="C53" s="227" t="n">
        <f aca="false">SUP_PRECIOS!$J$25</f>
        <v>54281.1894143002</v>
      </c>
    </row>
    <row r="54" customFormat="false" ht="15" hidden="false" customHeight="true" outlineLevel="0" collapsed="false">
      <c r="B54" s="182" t="s">
        <v>1301</v>
      </c>
      <c r="C54" s="227" t="n">
        <f aca="false">SUP_PRECIOS!$K$25</f>
        <v>23872.9542400885</v>
      </c>
    </row>
    <row r="55" customFormat="false" ht="15" hidden="false" customHeight="true" outlineLevel="0" collapsed="false">
      <c r="B55" s="182" t="s">
        <v>1302</v>
      </c>
      <c r="C55" s="228" t="n">
        <f aca="false">C53*($C$43+$C$44*(1+$C$26)+$C$45*(1+$C$27))</f>
        <v>591664.964615872</v>
      </c>
      <c r="D55" s="97"/>
      <c r="G55" s="216" t="s">
        <v>1303</v>
      </c>
    </row>
    <row r="56" customFormat="false" ht="15" hidden="false" customHeight="true" outlineLevel="0" collapsed="false">
      <c r="E56" s="265"/>
    </row>
    <row r="57" customFormat="false" ht="15" hidden="false" customHeight="true" outlineLevel="0" collapsed="false">
      <c r="A57" s="217" t="s">
        <v>1304</v>
      </c>
      <c r="B57" s="218"/>
      <c r="C57" s="218"/>
      <c r="D57" s="218"/>
      <c r="E57" s="218"/>
      <c r="F57" s="218"/>
      <c r="G57" s="218"/>
    </row>
    <row r="58" customFormat="false" ht="24" hidden="false" customHeight="true" outlineLevel="0" collapsed="false">
      <c r="B58" s="179" t="s">
        <v>1305</v>
      </c>
    </row>
    <row r="59" customFormat="false" ht="24" hidden="false" customHeight="true" outlineLevel="0" collapsed="false">
      <c r="B59" s="179" t="s">
        <v>1306</v>
      </c>
    </row>
    <row r="60" customFormat="false" ht="24" hidden="false" customHeight="true" outlineLevel="0" collapsed="false">
      <c r="B60" s="179" t="s">
        <v>1307</v>
      </c>
    </row>
    <row r="61" customFormat="false" ht="24" hidden="false" customHeight="true" outlineLevel="0" collapsed="false">
      <c r="B61" s="179" t="s">
        <v>1308</v>
      </c>
    </row>
    <row r="62" customFormat="false" ht="24" hidden="false" customHeight="true" outlineLevel="0" collapsed="false">
      <c r="B62" s="179" t="s">
        <v>1309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I130"/>
  <sheetViews>
    <sheetView showFormulas="false" showGridLines="true" showRowColHeaders="true" showZeros="true" rightToLeft="false" tabSelected="false" showOutlineSymbols="true" defaultGridColor="true" view="normal" topLeftCell="A80" colorId="64" zoomScale="120" zoomScaleNormal="120" zoomScalePageLayoutView="100" workbookViewId="0">
      <selection pane="topLeft" activeCell="G63" activeCellId="0" sqref="G63"/>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2"/>
    <col collapsed="false" customWidth="true" hidden="false" outlineLevel="0" max="3" min="3" style="1" width="12"/>
    <col collapsed="false" customWidth="true" hidden="false" outlineLevel="0" max="6" min="4" style="1" width="11"/>
    <col collapsed="false" customWidth="true" hidden="false" outlineLevel="0" max="7" min="7" style="1" width="95"/>
  </cols>
  <sheetData>
    <row r="1" customFormat="false" ht="15" hidden="false" customHeight="true" outlineLevel="0" collapsed="false">
      <c r="A1" s="185" t="s">
        <v>1310</v>
      </c>
      <c r="B1" s="126"/>
      <c r="C1" s="126"/>
      <c r="D1" s="126"/>
      <c r="E1" s="126"/>
      <c r="F1" s="126"/>
      <c r="G1" s="126"/>
      <c r="H1" s="126"/>
      <c r="I1" s="126"/>
    </row>
    <row r="2" customFormat="false" ht="15" hidden="false" customHeight="true" outlineLevel="0" collapsed="false">
      <c r="A2" s="23" t="s">
        <v>1311</v>
      </c>
    </row>
    <row r="3" customFormat="false" ht="15" hidden="false" customHeight="true" outlineLevel="0" collapsed="false">
      <c r="A3" s="23" t="s">
        <v>495</v>
      </c>
    </row>
    <row r="5" customFormat="false" ht="15" hidden="false" customHeight="true" outlineLevel="0" collapsed="false">
      <c r="A5" s="186" t="s">
        <v>1312</v>
      </c>
      <c r="B5" s="25"/>
      <c r="C5" s="25"/>
      <c r="D5" s="25"/>
      <c r="E5" s="25"/>
      <c r="F5" s="25"/>
      <c r="G5" s="25"/>
      <c r="H5" s="25"/>
      <c r="I5" s="25"/>
    </row>
    <row r="6" customFormat="false" ht="15" hidden="false" customHeight="true" outlineLevel="0" collapsed="false">
      <c r="B6" s="178" t="s">
        <v>1313</v>
      </c>
      <c r="C6" s="178" t="s">
        <v>1314</v>
      </c>
      <c r="D6" s="178" t="s">
        <v>162</v>
      </c>
      <c r="E6" s="178" t="s">
        <v>163</v>
      </c>
      <c r="F6" s="178" t="s">
        <v>164</v>
      </c>
    </row>
    <row r="7" customFormat="false" ht="15" hidden="false" customHeight="true" outlineLevel="0" collapsed="false">
      <c r="B7" s="182" t="s">
        <v>1315</v>
      </c>
      <c r="C7" s="266" t="n">
        <v>800</v>
      </c>
      <c r="D7" s="267" t="n">
        <f aca="false">CHOOSE($C$129,$C$57,$D$57,$E$57)</f>
        <v>1</v>
      </c>
      <c r="E7" s="267" t="n">
        <f aca="false">CHOOSE($C$129,$C$67,$D$67,$E$67)</f>
        <v>1</v>
      </c>
      <c r="F7" s="267" t="n">
        <f aca="false">CHOOSE($C$129,$C$77,$D$77,$E$77)</f>
        <v>1</v>
      </c>
    </row>
    <row r="8" customFormat="false" ht="15" hidden="false" customHeight="true" outlineLevel="0" collapsed="false">
      <c r="B8" s="182" t="s">
        <v>1316</v>
      </c>
      <c r="C8" s="266" t="n">
        <v>400</v>
      </c>
      <c r="D8" s="267" t="n">
        <f aca="false">CHOOSE($C$129,$C$58,$D$58,$E$58)</f>
        <v>1</v>
      </c>
      <c r="E8" s="267" t="n">
        <f aca="false">CHOOSE($C$129,$C$68,$D$68,$E$68)</f>
        <v>1</v>
      </c>
      <c r="F8" s="267" t="n">
        <f aca="false">CHOOSE($C$129,$C$78,$D$78,$E$78)</f>
        <v>3</v>
      </c>
    </row>
    <row r="9" customFormat="false" ht="15" hidden="false" customHeight="true" outlineLevel="0" collapsed="false">
      <c r="B9" s="1" t="s">
        <v>1317</v>
      </c>
      <c r="C9" s="266" t="n">
        <v>250</v>
      </c>
      <c r="D9" s="267" t="n">
        <f aca="false">CHOOSE($C$129,$C$59,$D$59,$E$59)</f>
        <v>4</v>
      </c>
      <c r="E9" s="267" t="n">
        <f aca="false">CHOOSE($C$129,$C$69,$D$69,$E$69)</f>
        <v>5</v>
      </c>
      <c r="F9" s="267" t="n">
        <f aca="false">CHOOSE($C$129,$C$79,$D$79,$E$79)</f>
        <v>6</v>
      </c>
    </row>
    <row r="10" customFormat="false" ht="15" hidden="false" customHeight="true" outlineLevel="0" collapsed="false">
      <c r="B10" s="1" t="s">
        <v>1318</v>
      </c>
      <c r="C10" s="266" t="n">
        <v>300</v>
      </c>
      <c r="D10" s="267" t="n">
        <f aca="false">CHOOSE($C$129,$C$60,$D$60,$E$60)</f>
        <v>1</v>
      </c>
      <c r="E10" s="267" t="n">
        <f aca="false">CHOOSE($C$129,$C$70,$D$70,$E$70)</f>
        <v>1</v>
      </c>
      <c r="F10" s="267" t="n">
        <f aca="false">CHOOSE($C$129,$C$80,$D$80,$E$80)</f>
        <v>4</v>
      </c>
    </row>
    <row r="11" customFormat="false" ht="15" hidden="false" customHeight="true" outlineLevel="0" collapsed="false">
      <c r="B11" s="1" t="s">
        <v>1319</v>
      </c>
      <c r="C11" s="266" t="n">
        <v>250</v>
      </c>
      <c r="D11" s="267" t="n">
        <f aca="false">CHOOSE($C$129,$C$61,$D$61,$E$61)</f>
        <v>0</v>
      </c>
      <c r="E11" s="267" t="n">
        <f aca="false">CHOOSE($C$129,$C$71,$D$71,$E$71)</f>
        <v>1</v>
      </c>
      <c r="F11" s="267" t="n">
        <f aca="false">CHOOSE($C$129,$C$81,$D$81,$E$81)</f>
        <v>2</v>
      </c>
    </row>
    <row r="12" customFormat="false" ht="15" hidden="false" customHeight="true" outlineLevel="0" collapsed="false">
      <c r="B12" s="1" t="s">
        <v>1320</v>
      </c>
      <c r="C12" s="266" t="n">
        <v>350</v>
      </c>
      <c r="D12" s="267" t="n">
        <f aca="false">CHOOSE($C$129,$C$62,$D$62,$E$62)</f>
        <v>0</v>
      </c>
      <c r="E12" s="267" t="n">
        <f aca="false">CHOOSE($C$129,$C$72,$D$72,$E$72)</f>
        <v>0</v>
      </c>
      <c r="F12" s="267" t="n">
        <f aca="false">CHOOSE($C$129,$C$82,$D$82,$E$82)</f>
        <v>2</v>
      </c>
    </row>
    <row r="13" customFormat="false" ht="15" hidden="false" customHeight="true" outlineLevel="0" collapsed="false">
      <c r="B13" s="182" t="s">
        <v>1321</v>
      </c>
      <c r="D13" s="268" t="n">
        <f aca="false">SUMPRODUCT($C$7:$C$12,D7:D12)</f>
        <v>2500</v>
      </c>
      <c r="E13" s="268" t="n">
        <f aca="false">SUMPRODUCT($C$7:$C$12,E7:E12)</f>
        <v>3000</v>
      </c>
      <c r="F13" s="268" t="n">
        <f aca="false">SUMPRODUCT($C$7:$C$12,F7:F12)</f>
        <v>5900</v>
      </c>
    </row>
    <row r="14" customFormat="false" ht="15" hidden="false" customHeight="true" outlineLevel="0" collapsed="false">
      <c r="B14" s="1" t="s">
        <v>1322</v>
      </c>
      <c r="C14" s="197" t="n">
        <v>0.4</v>
      </c>
      <c r="G14" s="23" t="s">
        <v>1323</v>
      </c>
    </row>
    <row r="15" customFormat="false" ht="15" hidden="false" customHeight="true" outlineLevel="0" collapsed="false">
      <c r="B15" s="182" t="s">
        <v>1324</v>
      </c>
      <c r="D15" s="268" t="n">
        <f aca="false">(D13+CHOOSE($C$129,$C$96,$D$96,$E$96)+CHOOSE($C$129,$C$97,$D$97,$E$97))*(1+$C$14)</f>
        <v>4245</v>
      </c>
      <c r="E15" s="268" t="n">
        <f aca="false">(E13+CHOOSE($C$129,$C$106,$D$106,$E$106)+CHOOSE($C$129,$C$107,$D$107,$E$107))*(1+$C$14)</f>
        <v>5325</v>
      </c>
      <c r="F15" s="268" t="n">
        <f aca="false">(F13+CHOOSE($C$129,$C$116,$D$116,$E$116)+CHOOSE($C$129,$C$117,$D$117,$E$117))*(1+$C$14)</f>
        <v>9963.75</v>
      </c>
    </row>
    <row r="17" customFormat="false" ht="15" hidden="false" customHeight="true" outlineLevel="0" collapsed="false">
      <c r="A17" s="186" t="s">
        <v>1325</v>
      </c>
      <c r="B17" s="25"/>
      <c r="C17" s="25"/>
      <c r="D17" s="25"/>
      <c r="E17" s="25"/>
      <c r="F17" s="25"/>
      <c r="G17" s="25"/>
      <c r="H17" s="25"/>
      <c r="I17" s="25"/>
    </row>
    <row r="18" customFormat="false" ht="15" hidden="false" customHeight="true" outlineLevel="0" collapsed="false">
      <c r="B18" s="1" t="s">
        <v>1326</v>
      </c>
      <c r="D18" s="267" t="n">
        <f aca="false">SUP_CAPEX_VENTANA!$C$6</f>
        <v>40</v>
      </c>
      <c r="E18" s="267" t="n">
        <f aca="false">SUP_CAPEX_DINEIN!$C$6</f>
        <v>80</v>
      </c>
      <c r="F18" s="267" t="n">
        <f aca="false">SUP_CAPEX_FLAGSHIP!$C$6</f>
        <v>400</v>
      </c>
    </row>
    <row r="19" customFormat="false" ht="15" hidden="false" customHeight="true" outlineLevel="0" collapsed="false">
      <c r="B19" s="1" t="s">
        <v>1327</v>
      </c>
      <c r="D19" s="266" t="n">
        <v>50</v>
      </c>
      <c r="E19" s="266" t="n">
        <v>40</v>
      </c>
      <c r="F19" s="266" t="n">
        <v>25</v>
      </c>
      <c r="G19" s="23" t="s">
        <v>1328</v>
      </c>
    </row>
    <row r="20" customFormat="false" ht="15" hidden="false" customHeight="true" outlineLevel="0" collapsed="false">
      <c r="B20" s="1" t="s">
        <v>1329</v>
      </c>
      <c r="D20" s="268" t="n">
        <f aca="false">D18*D19</f>
        <v>2000</v>
      </c>
      <c r="E20" s="268" t="n">
        <f aca="false">E18*E19</f>
        <v>3200</v>
      </c>
      <c r="F20" s="268" t="n">
        <f aca="false">F18*F19</f>
        <v>10000</v>
      </c>
    </row>
    <row r="21" customFormat="false" ht="15" hidden="false" customHeight="true" outlineLevel="0" collapsed="false">
      <c r="B21" s="269" t="s">
        <v>1330</v>
      </c>
      <c r="D21" s="270" t="n">
        <f aca="false">(D7+D8)*$C$47+(D9+D10+D11+D12)*$C$46+CHOOSE($C$129,$C$100,$D$100,$E$100)</f>
        <v>194</v>
      </c>
      <c r="E21" s="270" t="n">
        <f aca="false">(E7+E8)*$C$47+(E9+E10+E11+E12)*$C$46+CHOOSE($C$129,$C$110,$D$110,$E$110)</f>
        <v>250</v>
      </c>
      <c r="F21" s="270" t="n">
        <f aca="false">(F7+F8)*$C$47+(F9+F10+F11+F12)*$C$46+CHOOSE($C$129,$C$120,$D$120,$E$120)</f>
        <v>474</v>
      </c>
    </row>
    <row r="22" customFormat="false" ht="15" hidden="false" customHeight="true" outlineLevel="0" collapsed="false">
      <c r="A22" s="186" t="s">
        <v>1331</v>
      </c>
      <c r="B22" s="25"/>
      <c r="C22" s="25"/>
      <c r="D22" s="25"/>
      <c r="E22" s="25"/>
      <c r="F22" s="25"/>
      <c r="G22" s="25"/>
      <c r="H22" s="25"/>
      <c r="I22" s="25"/>
    </row>
    <row r="23" customFormat="false" ht="15" hidden="false" customHeight="true" outlineLevel="0" collapsed="false">
      <c r="B23" s="1" t="s">
        <v>1332</v>
      </c>
      <c r="D23" s="271" t="n">
        <f aca="false">D15+D20+D21</f>
        <v>6439</v>
      </c>
      <c r="E23" s="271" t="n">
        <f aca="false">E15+E20+E21</f>
        <v>8775</v>
      </c>
      <c r="F23" s="271" t="n">
        <f aca="false">F15+F20+F21</f>
        <v>20437.75</v>
      </c>
    </row>
    <row r="25" customFormat="false" ht="15" hidden="false" customHeight="true" outlineLevel="0" collapsed="false">
      <c r="A25" s="186" t="s">
        <v>1333</v>
      </c>
      <c r="B25" s="25"/>
      <c r="C25" s="25"/>
      <c r="D25" s="25"/>
      <c r="E25" s="25"/>
      <c r="F25" s="25"/>
      <c r="G25" s="25"/>
      <c r="H25" s="25"/>
      <c r="I25" s="25"/>
    </row>
    <row r="26" customFormat="false" ht="15" hidden="false" customHeight="true" outlineLevel="0" collapsed="false">
      <c r="B26" s="1" t="s">
        <v>1334</v>
      </c>
      <c r="C26" s="199" t="n">
        <v>0.05</v>
      </c>
    </row>
    <row r="27" customFormat="false" ht="15" hidden="false" customHeight="true" outlineLevel="0" collapsed="false">
      <c r="B27" s="1" t="s">
        <v>1335</v>
      </c>
      <c r="C27" s="199" t="n">
        <v>0.01</v>
      </c>
    </row>
    <row r="28" customFormat="false" ht="15" hidden="false" customHeight="true" outlineLevel="0" collapsed="false">
      <c r="B28" s="1" t="s">
        <v>1336</v>
      </c>
      <c r="C28" s="199" t="n">
        <v>0.03</v>
      </c>
    </row>
    <row r="29" customFormat="false" ht="15" hidden="false" customHeight="true" outlineLevel="0" collapsed="false">
      <c r="B29" s="1" t="s">
        <v>1337</v>
      </c>
      <c r="C29" s="199" t="n">
        <v>0.005</v>
      </c>
    </row>
    <row r="30" customFormat="false" ht="15" hidden="false" customHeight="true" outlineLevel="0" collapsed="false">
      <c r="B30" s="1" t="s">
        <v>1338</v>
      </c>
      <c r="C30" s="272" t="n">
        <f aca="false">SUM(C26:C29)</f>
        <v>0.095</v>
      </c>
    </row>
    <row r="31" customFormat="false" ht="15" hidden="false" customHeight="true" outlineLevel="0" collapsed="false">
      <c r="B31" s="1" t="s">
        <v>1339</v>
      </c>
      <c r="C31" s="199" t="n">
        <v>0.03</v>
      </c>
      <c r="G31" s="23" t="s">
        <v>1340</v>
      </c>
    </row>
    <row r="33" customFormat="false" ht="15" hidden="false" customHeight="true" outlineLevel="0" collapsed="false">
      <c r="A33" s="186" t="s">
        <v>1341</v>
      </c>
      <c r="B33" s="25"/>
      <c r="C33" s="25"/>
      <c r="D33" s="25"/>
      <c r="E33" s="25"/>
      <c r="F33" s="25"/>
      <c r="G33" s="25"/>
      <c r="H33" s="25"/>
      <c r="I33" s="25"/>
    </row>
    <row r="34" customFormat="false" ht="15" hidden="false" customHeight="true" outlineLevel="0" collapsed="false">
      <c r="B34" s="1" t="s">
        <v>1342</v>
      </c>
      <c r="C34" s="273" t="n">
        <v>0</v>
      </c>
      <c r="G34" s="23" t="s">
        <v>1343</v>
      </c>
    </row>
    <row r="35" customFormat="false" ht="15" hidden="false" customHeight="true" outlineLevel="0" collapsed="false">
      <c r="B35" s="23" t="s">
        <v>1344</v>
      </c>
    </row>
    <row r="37" customFormat="false" ht="15" hidden="false" customHeight="true" outlineLevel="0" collapsed="false">
      <c r="A37" s="186" t="s">
        <v>1345</v>
      </c>
      <c r="B37" s="25"/>
      <c r="C37" s="25"/>
      <c r="D37" s="25"/>
      <c r="E37" s="25"/>
      <c r="F37" s="25"/>
      <c r="G37" s="25"/>
      <c r="H37" s="25"/>
      <c r="I37" s="25"/>
    </row>
    <row r="38" customFormat="false" ht="15" hidden="false" customHeight="true" outlineLevel="0" collapsed="false">
      <c r="B38" s="1" t="s">
        <v>1346</v>
      </c>
      <c r="C38" s="199" t="n">
        <v>0.7</v>
      </c>
    </row>
    <row r="39" customFormat="false" ht="15" hidden="false" customHeight="true" outlineLevel="0" collapsed="false">
      <c r="B39" s="1" t="s">
        <v>1347</v>
      </c>
      <c r="C39" s="199" t="n">
        <v>0.85</v>
      </c>
    </row>
    <row r="40" customFormat="false" ht="15" hidden="false" customHeight="true" outlineLevel="0" collapsed="false">
      <c r="B40" s="1" t="s">
        <v>1348</v>
      </c>
      <c r="C40" s="199" t="n">
        <v>1</v>
      </c>
      <c r="G40" s="23" t="s">
        <v>1349</v>
      </c>
    </row>
    <row r="42" customFormat="false" ht="15" hidden="false" customHeight="true" outlineLevel="0" collapsed="false">
      <c r="A42" s="186" t="s">
        <v>1350</v>
      </c>
      <c r="B42" s="25"/>
      <c r="C42" s="25"/>
      <c r="D42" s="25"/>
      <c r="E42" s="25"/>
      <c r="F42" s="25"/>
      <c r="G42" s="25"/>
      <c r="H42" s="25"/>
      <c r="I42" s="25"/>
    </row>
    <row r="43" customFormat="false" ht="15" hidden="false" customHeight="true" outlineLevel="0" collapsed="false">
      <c r="B43" s="1" t="s">
        <v>1351</v>
      </c>
      <c r="C43" s="190" t="n">
        <v>10</v>
      </c>
      <c r="G43" s="23" t="s">
        <v>1352</v>
      </c>
    </row>
    <row r="45" customFormat="false" ht="15" hidden="false" customHeight="true" outlineLevel="0" collapsed="false">
      <c r="B45" s="269" t="s">
        <v>1353</v>
      </c>
    </row>
    <row r="46" customFormat="false" ht="15" hidden="false" customHeight="true" outlineLevel="0" collapsed="false">
      <c r="B46" s="1" t="s">
        <v>1354</v>
      </c>
      <c r="C46" s="274" t="n">
        <v>20</v>
      </c>
    </row>
    <row r="47" customFormat="false" ht="15" hidden="false" customHeight="true" outlineLevel="0" collapsed="false">
      <c r="B47" s="1" t="s">
        <v>1355</v>
      </c>
      <c r="C47" s="274" t="n">
        <v>35</v>
      </c>
    </row>
    <row r="48" customFormat="false" ht="15" hidden="false" customHeight="true" outlineLevel="0" collapsed="false">
      <c r="B48" s="1" t="s">
        <v>1356</v>
      </c>
      <c r="C48" s="274" t="n">
        <v>100</v>
      </c>
    </row>
    <row r="49" customFormat="false" ht="15" hidden="false" customHeight="true" outlineLevel="0" collapsed="false">
      <c r="B49" s="182" t="s">
        <v>1357</v>
      </c>
    </row>
    <row r="51" customFormat="false" ht="15" hidden="false" customHeight="true" outlineLevel="0" collapsed="false">
      <c r="A51" s="178" t="s">
        <v>1358</v>
      </c>
    </row>
    <row r="52" customFormat="false" ht="15" hidden="false" customHeight="true" outlineLevel="0" collapsed="false">
      <c r="B52" s="182" t="s">
        <v>1359</v>
      </c>
    </row>
    <row r="53" customFormat="false" ht="15" hidden="false" customHeight="true" outlineLevel="0" collapsed="false">
      <c r="B53" s="182" t="s">
        <v>1360</v>
      </c>
    </row>
    <row r="55" customFormat="false" ht="15" hidden="false" customHeight="true" outlineLevel="0" collapsed="false">
      <c r="A55" s="178" t="s">
        <v>1361</v>
      </c>
    </row>
    <row r="56" customFormat="false" ht="15" hidden="false" customHeight="true" outlineLevel="0" collapsed="false">
      <c r="B56" s="178" t="s">
        <v>1362</v>
      </c>
      <c r="C56" s="178" t="s">
        <v>225</v>
      </c>
      <c r="D56" s="178" t="s">
        <v>226</v>
      </c>
      <c r="E56" s="178" t="s">
        <v>227</v>
      </c>
    </row>
    <row r="57" customFormat="false" ht="15" hidden="false" customHeight="true" outlineLevel="0" collapsed="false">
      <c r="B57" s="182" t="str">
        <f aca="false">B7</f>
        <v>Gerente / administrador de punto</v>
      </c>
      <c r="C57" s="190" t="n">
        <v>1</v>
      </c>
      <c r="D57" s="190" t="n">
        <v>1</v>
      </c>
      <c r="E57" s="190" t="n">
        <v>1</v>
      </c>
    </row>
    <row r="58" customFormat="false" ht="15" hidden="false" customHeight="true" outlineLevel="0" collapsed="false">
      <c r="B58" s="182" t="str">
        <f aca="false">B8</f>
        <v>Cajero (frente de caja)</v>
      </c>
      <c r="C58" s="190" t="n">
        <v>1</v>
      </c>
      <c r="D58" s="190" t="n">
        <v>1</v>
      </c>
      <c r="E58" s="190" t="n">
        <v>1</v>
      </c>
    </row>
    <row r="59" customFormat="false" ht="15" hidden="false" customHeight="true" outlineLevel="0" collapsed="false">
      <c r="B59" s="182" t="str">
        <f aca="false">B9</f>
        <v>Operario de cocina</v>
      </c>
      <c r="C59" s="190" t="n">
        <v>3</v>
      </c>
      <c r="D59" s="190" t="n">
        <v>4</v>
      </c>
      <c r="E59" s="190" t="n">
        <v>4</v>
      </c>
    </row>
    <row r="60" customFormat="false" ht="15" hidden="false" customHeight="true" outlineLevel="0" collapsed="false">
      <c r="B60" s="182" t="str">
        <f aca="false">B10</f>
        <v>Ensamblador / despacho</v>
      </c>
      <c r="C60" s="190" t="n">
        <v>1</v>
      </c>
      <c r="D60" s="190" t="n">
        <v>1</v>
      </c>
      <c r="E60" s="190" t="n">
        <v>2</v>
      </c>
    </row>
    <row r="61" customFormat="false" ht="15" hidden="false" customHeight="true" outlineLevel="0" collapsed="false">
      <c r="B61" s="182" t="str">
        <f aca="false">B11</f>
        <v>Aseo de salón</v>
      </c>
      <c r="C61" s="190" t="n">
        <v>0</v>
      </c>
      <c r="D61" s="190" t="n">
        <v>0</v>
      </c>
      <c r="E61" s="190" t="n">
        <v>0</v>
      </c>
    </row>
    <row r="62" customFormat="false" ht="15" hidden="false" customHeight="true" outlineLevel="0" collapsed="false">
      <c r="B62" s="182" t="str">
        <f aca="false">B12</f>
        <v>Coordinador drive-thru / delivery (flagship)</v>
      </c>
      <c r="C62" s="190" t="n">
        <v>0</v>
      </c>
      <c r="D62" s="190" t="n">
        <v>0</v>
      </c>
      <c r="E62" s="190" t="n">
        <v>0</v>
      </c>
    </row>
    <row r="63" customFormat="false" ht="15" hidden="false" customHeight="true" outlineLevel="0" collapsed="false">
      <c r="B63" s="182" t="s">
        <v>1363</v>
      </c>
      <c r="C63" s="275" t="n">
        <f aca="false">SUM(C57:C62)</f>
        <v>6</v>
      </c>
      <c r="D63" s="275" t="n">
        <f aca="false">SUM(D57:D62)</f>
        <v>7</v>
      </c>
      <c r="E63" s="275" t="n">
        <f aca="false">SUM(E57:E62)</f>
        <v>8</v>
      </c>
    </row>
    <row r="64" customFormat="false" ht="15" hidden="false" customHeight="true" outlineLevel="0" collapsed="false">
      <c r="B64" s="182" t="s">
        <v>1364</v>
      </c>
      <c r="C64" s="268" t="n">
        <f aca="false">SUMPRODUCT($C$7:$C$12,C57:C62)</f>
        <v>2250</v>
      </c>
      <c r="D64" s="268" t="n">
        <f aca="false">SUMPRODUCT($C$7:$C$12,D57:D62)</f>
        <v>2500</v>
      </c>
      <c r="E64" s="268" t="n">
        <f aca="false">SUMPRODUCT($C$7:$C$12,E57:E62)</f>
        <v>2800</v>
      </c>
    </row>
    <row r="66" customFormat="false" ht="15" hidden="false" customHeight="true" outlineLevel="0" collapsed="false">
      <c r="B66" s="178" t="s">
        <v>1365</v>
      </c>
      <c r="C66" s="178" t="s">
        <v>225</v>
      </c>
      <c r="D66" s="178" t="s">
        <v>226</v>
      </c>
      <c r="E66" s="178" t="s">
        <v>227</v>
      </c>
    </row>
    <row r="67" customFormat="false" ht="15" hidden="false" customHeight="true" outlineLevel="0" collapsed="false">
      <c r="B67" s="182" t="str">
        <f aca="false">B7</f>
        <v>Gerente / administrador de punto</v>
      </c>
      <c r="C67" s="190" t="n">
        <v>1</v>
      </c>
      <c r="D67" s="190" t="n">
        <v>1</v>
      </c>
      <c r="E67" s="190" t="n">
        <v>1</v>
      </c>
    </row>
    <row r="68" customFormat="false" ht="15" hidden="false" customHeight="true" outlineLevel="0" collapsed="false">
      <c r="B68" s="182" t="str">
        <f aca="false">B8</f>
        <v>Cajero (frente de caja)</v>
      </c>
      <c r="C68" s="190" t="n">
        <v>1</v>
      </c>
      <c r="D68" s="190" t="n">
        <v>1</v>
      </c>
      <c r="E68" s="190" t="n">
        <v>1</v>
      </c>
    </row>
    <row r="69" customFormat="false" ht="15" hidden="false" customHeight="true" outlineLevel="0" collapsed="false">
      <c r="B69" s="182" t="str">
        <f aca="false">B9</f>
        <v>Operario de cocina</v>
      </c>
      <c r="C69" s="190" t="n">
        <v>4</v>
      </c>
      <c r="D69" s="190" t="n">
        <v>5</v>
      </c>
      <c r="E69" s="190" t="n">
        <v>5</v>
      </c>
    </row>
    <row r="70" customFormat="false" ht="15" hidden="false" customHeight="true" outlineLevel="0" collapsed="false">
      <c r="B70" s="182" t="str">
        <f aca="false">B10</f>
        <v>Ensamblador / despacho</v>
      </c>
      <c r="C70" s="190" t="n">
        <v>1</v>
      </c>
      <c r="D70" s="190" t="n">
        <v>1</v>
      </c>
      <c r="E70" s="190" t="n">
        <v>2</v>
      </c>
    </row>
    <row r="71" customFormat="false" ht="15" hidden="false" customHeight="true" outlineLevel="0" collapsed="false">
      <c r="B71" s="182" t="str">
        <f aca="false">B11</f>
        <v>Aseo de salón</v>
      </c>
      <c r="C71" s="190" t="n">
        <v>1</v>
      </c>
      <c r="D71" s="190" t="n">
        <v>1</v>
      </c>
      <c r="E71" s="190" t="n">
        <v>1</v>
      </c>
    </row>
    <row r="72" customFormat="false" ht="15" hidden="false" customHeight="true" outlineLevel="0" collapsed="false">
      <c r="B72" s="182" t="str">
        <f aca="false">B12</f>
        <v>Coordinador drive-thru / delivery (flagship)</v>
      </c>
      <c r="C72" s="190" t="n">
        <v>0</v>
      </c>
      <c r="D72" s="190" t="n">
        <v>0</v>
      </c>
      <c r="E72" s="190" t="n">
        <v>0</v>
      </c>
    </row>
    <row r="73" customFormat="false" ht="15" hidden="false" customHeight="true" outlineLevel="0" collapsed="false">
      <c r="B73" s="182" t="s">
        <v>1366</v>
      </c>
      <c r="C73" s="275" t="n">
        <f aca="false">SUM(C67:C72)</f>
        <v>8</v>
      </c>
      <c r="D73" s="275" t="n">
        <f aca="false">SUM(D67:D72)</f>
        <v>9</v>
      </c>
      <c r="E73" s="275" t="n">
        <f aca="false">SUM(E67:E72)</f>
        <v>10</v>
      </c>
    </row>
    <row r="74" customFormat="false" ht="15" hidden="false" customHeight="true" outlineLevel="0" collapsed="false">
      <c r="B74" s="182" t="s">
        <v>1367</v>
      </c>
      <c r="C74" s="268" t="n">
        <f aca="false">SUMPRODUCT($C$7:$C$12,C67:C72)</f>
        <v>2750</v>
      </c>
      <c r="D74" s="268" t="n">
        <f aca="false">SUMPRODUCT($C$7:$C$12,D67:D72)</f>
        <v>3000</v>
      </c>
      <c r="E74" s="268" t="n">
        <f aca="false">SUMPRODUCT($C$7:$C$12,E67:E72)</f>
        <v>3300</v>
      </c>
    </row>
    <row r="76" customFormat="false" ht="15" hidden="false" customHeight="true" outlineLevel="0" collapsed="false">
      <c r="B76" s="178" t="s">
        <v>1368</v>
      </c>
      <c r="C76" s="178" t="s">
        <v>225</v>
      </c>
      <c r="D76" s="178" t="s">
        <v>226</v>
      </c>
      <c r="E76" s="178" t="s">
        <v>227</v>
      </c>
    </row>
    <row r="77" customFormat="false" ht="15" hidden="false" customHeight="true" outlineLevel="0" collapsed="false">
      <c r="B77" s="182" t="str">
        <f aca="false">B7</f>
        <v>Gerente / administrador de punto</v>
      </c>
      <c r="C77" s="190" t="n">
        <v>1</v>
      </c>
      <c r="D77" s="190" t="n">
        <v>1</v>
      </c>
      <c r="E77" s="190" t="n">
        <v>1</v>
      </c>
    </row>
    <row r="78" customFormat="false" ht="15" hidden="false" customHeight="true" outlineLevel="0" collapsed="false">
      <c r="B78" s="182" t="str">
        <f aca="false">B8</f>
        <v>Cajero (frente de caja)</v>
      </c>
      <c r="C78" s="190" t="n">
        <v>3</v>
      </c>
      <c r="D78" s="190" t="n">
        <v>3</v>
      </c>
      <c r="E78" s="190" t="n">
        <v>3</v>
      </c>
    </row>
    <row r="79" customFormat="false" ht="15" hidden="false" customHeight="true" outlineLevel="0" collapsed="false">
      <c r="B79" s="182" t="str">
        <f aca="false">B9</f>
        <v>Operario de cocina</v>
      </c>
      <c r="C79" s="190" t="n">
        <v>5</v>
      </c>
      <c r="D79" s="190" t="n">
        <v>6</v>
      </c>
      <c r="E79" s="190" t="n">
        <v>7</v>
      </c>
    </row>
    <row r="80" customFormat="false" ht="15" hidden="false" customHeight="true" outlineLevel="0" collapsed="false">
      <c r="B80" s="182" t="str">
        <f aca="false">B10</f>
        <v>Ensamblador / despacho</v>
      </c>
      <c r="C80" s="190" t="n">
        <v>3</v>
      </c>
      <c r="D80" s="190" t="n">
        <v>4</v>
      </c>
      <c r="E80" s="190" t="n">
        <v>4</v>
      </c>
    </row>
    <row r="81" customFormat="false" ht="15" hidden="false" customHeight="true" outlineLevel="0" collapsed="false">
      <c r="B81" s="182" t="str">
        <f aca="false">B11</f>
        <v>Aseo de salón</v>
      </c>
      <c r="C81" s="190" t="n">
        <v>2</v>
      </c>
      <c r="D81" s="190" t="n">
        <v>2</v>
      </c>
      <c r="E81" s="190" t="n">
        <v>2</v>
      </c>
    </row>
    <row r="82" customFormat="false" ht="15" hidden="false" customHeight="true" outlineLevel="0" collapsed="false">
      <c r="B82" s="182" t="str">
        <f aca="false">B12</f>
        <v>Coordinador drive-thru / delivery (flagship)</v>
      </c>
      <c r="C82" s="190" t="n">
        <v>2</v>
      </c>
      <c r="D82" s="190" t="n">
        <v>2</v>
      </c>
      <c r="E82" s="190" t="n">
        <v>2</v>
      </c>
    </row>
    <row r="83" customFormat="false" ht="15" hidden="false" customHeight="true" outlineLevel="0" collapsed="false">
      <c r="B83" s="182" t="s">
        <v>1369</v>
      </c>
      <c r="C83" s="275" t="n">
        <f aca="false">SUM(C77:C82)</f>
        <v>16</v>
      </c>
      <c r="D83" s="275" t="n">
        <f aca="false">SUM(D77:D82)</f>
        <v>18</v>
      </c>
      <c r="E83" s="275" t="n">
        <f aca="false">SUM(E77:E82)</f>
        <v>19</v>
      </c>
    </row>
    <row r="84" customFormat="false" ht="15" hidden="false" customHeight="true" outlineLevel="0" collapsed="false">
      <c r="B84" s="182" t="s">
        <v>1370</v>
      </c>
      <c r="C84" s="268" t="n">
        <f aca="false">SUMPRODUCT($C$7:$C$12,C77:C82)</f>
        <v>5350</v>
      </c>
      <c r="D84" s="268" t="n">
        <f aca="false">SUMPRODUCT($C$7:$C$12,D77:D82)</f>
        <v>5900</v>
      </c>
      <c r="E84" s="268" t="n">
        <f aca="false">SUMPRODUCT($C$7:$C$12,E77:E82)</f>
        <v>6150</v>
      </c>
    </row>
    <row r="86" customFormat="false" ht="15" hidden="false" customHeight="true" outlineLevel="0" collapsed="false">
      <c r="A86" s="178" t="s">
        <v>1371</v>
      </c>
    </row>
    <row r="87" customFormat="false" ht="15" hidden="false" customHeight="true" outlineLevel="0" collapsed="false">
      <c r="B87" s="182" t="s">
        <v>1372</v>
      </c>
      <c r="C87" s="270" t="n">
        <f aca="false">C9</f>
        <v>250</v>
      </c>
    </row>
    <row r="88" customFormat="false" ht="15" hidden="false" customHeight="true" outlineLevel="0" collapsed="false">
      <c r="B88" s="182" t="s">
        <v>1373</v>
      </c>
      <c r="C88" s="276" t="n">
        <v>0.1</v>
      </c>
      <c r="G88" s="182" t="s">
        <v>1374</v>
      </c>
    </row>
    <row r="89" customFormat="false" ht="15" hidden="false" customHeight="true" outlineLevel="0" collapsed="false">
      <c r="B89" s="182" t="s">
        <v>1375</v>
      </c>
      <c r="C89" s="276" t="n">
        <v>0.5</v>
      </c>
      <c r="G89" s="182" t="s">
        <v>1376</v>
      </c>
    </row>
    <row r="90" customFormat="false" ht="15" hidden="false" customHeight="true" outlineLevel="0" collapsed="false">
      <c r="B90" s="182" t="s">
        <v>1377</v>
      </c>
      <c r="C90" s="277" t="n">
        <f aca="false">1/7</f>
        <v>0.142857142857143</v>
      </c>
    </row>
    <row r="92" customFormat="false" ht="15" hidden="false" customHeight="true" outlineLevel="0" collapsed="false">
      <c r="B92" s="178" t="s">
        <v>1378</v>
      </c>
      <c r="C92" s="178" t="s">
        <v>225</v>
      </c>
      <c r="D92" s="178" t="s">
        <v>226</v>
      </c>
      <c r="E92" s="178" t="s">
        <v>227</v>
      </c>
    </row>
    <row r="93" customFormat="false" ht="15" hidden="false" customHeight="true" outlineLevel="0" collapsed="false">
      <c r="B93" s="182" t="s">
        <v>1379</v>
      </c>
      <c r="C93" s="190" t="n">
        <v>5</v>
      </c>
      <c r="D93" s="190" t="n">
        <v>5</v>
      </c>
      <c r="E93" s="190" t="n">
        <v>6</v>
      </c>
    </row>
    <row r="94" customFormat="false" ht="15" hidden="false" customHeight="true" outlineLevel="0" collapsed="false">
      <c r="B94" s="182" t="s">
        <v>1380</v>
      </c>
      <c r="C94" s="278" t="n">
        <f aca="false">MAX(0,C93-0.6*C63)</f>
        <v>1.4</v>
      </c>
      <c r="D94" s="278" t="n">
        <f aca="false">MAX(0,D93-0.6*D63)</f>
        <v>0.8</v>
      </c>
      <c r="E94" s="278" t="n">
        <f aca="false">MAX(0,E93-0.6*E63)</f>
        <v>1.2</v>
      </c>
    </row>
    <row r="95" customFormat="false" ht="15" hidden="false" customHeight="true" outlineLevel="0" collapsed="false">
      <c r="B95" s="182" t="s">
        <v>1381</v>
      </c>
      <c r="C95" s="279" t="n">
        <v>0</v>
      </c>
      <c r="D95" s="279" t="n">
        <v>0.4</v>
      </c>
      <c r="E95" s="279" t="n">
        <v>0.9</v>
      </c>
    </row>
    <row r="96" customFormat="false" ht="15" hidden="false" customHeight="true" outlineLevel="0" collapsed="false">
      <c r="B96" s="182" t="s">
        <v>1382</v>
      </c>
      <c r="C96" s="270" t="n">
        <f aca="false">(C94+C95)*$C$87*(1+$C$88)</f>
        <v>385</v>
      </c>
      <c r="D96" s="270" t="n">
        <f aca="false">(D94+D95)*$C$87*(1+$C$88)</f>
        <v>330</v>
      </c>
      <c r="E96" s="270" t="n">
        <f aca="false">(E94+E95)*$C$87*(1+$C$88)</f>
        <v>577.5</v>
      </c>
    </row>
    <row r="97" customFormat="false" ht="15" hidden="false" customHeight="true" outlineLevel="0" collapsed="false">
      <c r="B97" s="182" t="s">
        <v>1383</v>
      </c>
      <c r="C97" s="270" t="n">
        <f aca="false">(C64+C96)*$C$90*$C$89</f>
        <v>188.214285714286</v>
      </c>
      <c r="D97" s="270" t="n">
        <f aca="false">(D64+D96)*$C$90*$C$89</f>
        <v>202.142857142857</v>
      </c>
      <c r="E97" s="270" t="n">
        <f aca="false">(E64+E96)*$C$90*$C$89</f>
        <v>241.25</v>
      </c>
    </row>
    <row r="98" customFormat="false" ht="15" hidden="false" customHeight="true" outlineLevel="0" collapsed="false">
      <c r="B98" s="182" t="s">
        <v>1384</v>
      </c>
      <c r="C98" s="268" t="n">
        <f aca="false">C64+C96+C97</f>
        <v>2823.21428571429</v>
      </c>
      <c r="D98" s="268" t="n">
        <f aca="false">D64+D96+D97</f>
        <v>3032.14285714286</v>
      </c>
      <c r="E98" s="268" t="n">
        <f aca="false">E64+E96+E97</f>
        <v>3618.75</v>
      </c>
    </row>
    <row r="99" customFormat="false" ht="15" hidden="false" customHeight="true" outlineLevel="0" collapsed="false">
      <c r="B99" s="182" t="s">
        <v>1385</v>
      </c>
      <c r="C99" s="280" t="n">
        <f aca="false">C63+C94+C95</f>
        <v>7.4</v>
      </c>
      <c r="D99" s="280" t="n">
        <f aca="false">D63+D94+D95</f>
        <v>8.2</v>
      </c>
      <c r="E99" s="280" t="n">
        <f aca="false">E63+E94+E95</f>
        <v>10.1</v>
      </c>
    </row>
    <row r="100" customFormat="false" ht="15" hidden="false" customHeight="true" outlineLevel="0" collapsed="false">
      <c r="B100" s="182" t="s">
        <v>1386</v>
      </c>
      <c r="C100" s="270" t="n">
        <f aca="false">(C94+C95)*$C$46</f>
        <v>28</v>
      </c>
      <c r="D100" s="270" t="n">
        <f aca="false">(D94+D95)*$C$46</f>
        <v>24</v>
      </c>
      <c r="E100" s="270" t="n">
        <f aca="false">(E94+E95)*$C$46</f>
        <v>42</v>
      </c>
    </row>
    <row r="102" customFormat="false" ht="15" hidden="false" customHeight="true" outlineLevel="0" collapsed="false">
      <c r="B102" s="178" t="s">
        <v>1387</v>
      </c>
      <c r="C102" s="178" t="s">
        <v>225</v>
      </c>
      <c r="D102" s="178" t="s">
        <v>226</v>
      </c>
      <c r="E102" s="178" t="s">
        <v>227</v>
      </c>
    </row>
    <row r="103" customFormat="false" ht="15" hidden="false" customHeight="true" outlineLevel="0" collapsed="false">
      <c r="B103" s="182" t="s">
        <v>1379</v>
      </c>
      <c r="C103" s="190" t="n">
        <v>6</v>
      </c>
      <c r="D103" s="190" t="n">
        <v>7</v>
      </c>
      <c r="E103" s="190" t="n">
        <v>7</v>
      </c>
    </row>
    <row r="104" customFormat="false" ht="15" hidden="false" customHeight="true" outlineLevel="0" collapsed="false">
      <c r="B104" s="182" t="s">
        <v>1380</v>
      </c>
      <c r="C104" s="278" t="n">
        <f aca="false">MAX(0,C103-0.6*C73)</f>
        <v>1.2</v>
      </c>
      <c r="D104" s="278" t="n">
        <f aca="false">MAX(0,D103-0.6*D73)</f>
        <v>1.6</v>
      </c>
      <c r="E104" s="278" t="n">
        <f aca="false">MAX(0,E103-0.6*E73)</f>
        <v>1</v>
      </c>
    </row>
    <row r="105" customFormat="false" ht="15" hidden="false" customHeight="true" outlineLevel="0" collapsed="false">
      <c r="B105" s="182" t="s">
        <v>1381</v>
      </c>
      <c r="C105" s="279" t="n">
        <v>0.4</v>
      </c>
      <c r="D105" s="279" t="n">
        <v>0.4</v>
      </c>
      <c r="E105" s="279" t="n">
        <v>0.9</v>
      </c>
    </row>
    <row r="106" customFormat="false" ht="15" hidden="false" customHeight="true" outlineLevel="0" collapsed="false">
      <c r="B106" s="182" t="s">
        <v>1382</v>
      </c>
      <c r="C106" s="270" t="n">
        <f aca="false">(C104+C105)*$C$87*(1+$C$88)</f>
        <v>440</v>
      </c>
      <c r="D106" s="270" t="n">
        <f aca="false">(D104+D105)*$C$87*(1+$C$88)</f>
        <v>550</v>
      </c>
      <c r="E106" s="270" t="n">
        <f aca="false">(E104+E105)*$C$87*(1+$C$88)</f>
        <v>522.5</v>
      </c>
    </row>
    <row r="107" customFormat="false" ht="15" hidden="false" customHeight="true" outlineLevel="0" collapsed="false">
      <c r="B107" s="182" t="s">
        <v>1383</v>
      </c>
      <c r="C107" s="270" t="n">
        <f aca="false">(C74+C106)*$C$90*$C$89</f>
        <v>227.857142857143</v>
      </c>
      <c r="D107" s="270" t="n">
        <f aca="false">(D74+D106)*$C$90*$C$89</f>
        <v>253.571428571429</v>
      </c>
      <c r="E107" s="270" t="n">
        <f aca="false">(E74+E106)*$C$90*$C$89</f>
        <v>273.035714285714</v>
      </c>
    </row>
    <row r="108" customFormat="false" ht="15" hidden="false" customHeight="true" outlineLevel="0" collapsed="false">
      <c r="B108" s="182" t="s">
        <v>1388</v>
      </c>
      <c r="C108" s="268" t="n">
        <f aca="false">C74+C106+C107</f>
        <v>3417.85714285714</v>
      </c>
      <c r="D108" s="268" t="n">
        <f aca="false">D74+D106+D107</f>
        <v>3803.57142857143</v>
      </c>
      <c r="E108" s="268" t="n">
        <f aca="false">E74+E106+E107</f>
        <v>4095.53571428571</v>
      </c>
    </row>
    <row r="109" customFormat="false" ht="15" hidden="false" customHeight="true" outlineLevel="0" collapsed="false">
      <c r="B109" s="182" t="s">
        <v>1385</v>
      </c>
      <c r="C109" s="280" t="n">
        <f aca="false">C73+C104+C105</f>
        <v>9.6</v>
      </c>
      <c r="D109" s="280" t="n">
        <f aca="false">D73+D104+D105</f>
        <v>11</v>
      </c>
      <c r="E109" s="280" t="n">
        <f aca="false">E73+E104+E105</f>
        <v>11.9</v>
      </c>
    </row>
    <row r="110" customFormat="false" ht="15" hidden="false" customHeight="true" outlineLevel="0" collapsed="false">
      <c r="B110" s="182" t="s">
        <v>1386</v>
      </c>
      <c r="C110" s="270" t="n">
        <f aca="false">(C104+C105)*$C$46</f>
        <v>32</v>
      </c>
      <c r="D110" s="270" t="n">
        <f aca="false">(D104+D105)*$C$46</f>
        <v>40</v>
      </c>
      <c r="E110" s="270" t="n">
        <f aca="false">(E104+E105)*$C$46</f>
        <v>38</v>
      </c>
    </row>
    <row r="112" customFormat="false" ht="15" hidden="false" customHeight="true" outlineLevel="0" collapsed="false">
      <c r="B112" s="178" t="s">
        <v>1389</v>
      </c>
      <c r="C112" s="178" t="s">
        <v>225</v>
      </c>
      <c r="D112" s="178" t="s">
        <v>226</v>
      </c>
      <c r="E112" s="178" t="s">
        <v>227</v>
      </c>
    </row>
    <row r="113" customFormat="false" ht="15" hidden="false" customHeight="true" outlineLevel="0" collapsed="false">
      <c r="B113" s="182" t="s">
        <v>1379</v>
      </c>
      <c r="C113" s="190" t="n">
        <v>12</v>
      </c>
      <c r="D113" s="190" t="n">
        <v>13</v>
      </c>
      <c r="E113" s="190" t="n">
        <v>14</v>
      </c>
    </row>
    <row r="114" customFormat="false" ht="15" hidden="false" customHeight="true" outlineLevel="0" collapsed="false">
      <c r="B114" s="182" t="s">
        <v>1380</v>
      </c>
      <c r="C114" s="278" t="n">
        <f aca="false">MAX(0,C113-0.6*C83)</f>
        <v>2.4</v>
      </c>
      <c r="D114" s="278" t="n">
        <f aca="false">MAX(0,D113-0.6*D83)</f>
        <v>2.2</v>
      </c>
      <c r="E114" s="278" t="n">
        <f aca="false">MAX(0,E113-0.6*E83)</f>
        <v>2.6</v>
      </c>
    </row>
    <row r="115" customFormat="false" ht="15" hidden="false" customHeight="true" outlineLevel="0" collapsed="false">
      <c r="B115" s="182" t="s">
        <v>1381</v>
      </c>
      <c r="C115" s="279" t="n">
        <v>0</v>
      </c>
      <c r="D115" s="279" t="n">
        <v>0.5</v>
      </c>
      <c r="E115" s="279" t="n">
        <v>1</v>
      </c>
    </row>
    <row r="116" customFormat="false" ht="15" hidden="false" customHeight="true" outlineLevel="0" collapsed="false">
      <c r="B116" s="182" t="s">
        <v>1382</v>
      </c>
      <c r="C116" s="270" t="n">
        <f aca="false">(C114+C115)*$C$87*(1+$C$88)</f>
        <v>660</v>
      </c>
      <c r="D116" s="270" t="n">
        <f aca="false">(D114+D115)*$C$87*(1+$C$88)</f>
        <v>742.5</v>
      </c>
      <c r="E116" s="270" t="n">
        <f aca="false">(E114+E115)*$C$87*(1+$C$88)</f>
        <v>990</v>
      </c>
    </row>
    <row r="117" customFormat="false" ht="15" hidden="false" customHeight="true" outlineLevel="0" collapsed="false">
      <c r="B117" s="182" t="s">
        <v>1383</v>
      </c>
      <c r="C117" s="270" t="n">
        <f aca="false">(C84+C116)*$C$90*$C$89</f>
        <v>429.285714285714</v>
      </c>
      <c r="D117" s="270" t="n">
        <f aca="false">(D84+D116)*$C$90*$C$89</f>
        <v>474.464285714286</v>
      </c>
      <c r="E117" s="270" t="n">
        <f aca="false">(E84+E116)*$C$90*$C$89</f>
        <v>510</v>
      </c>
    </row>
    <row r="118" customFormat="false" ht="15" hidden="false" customHeight="true" outlineLevel="0" collapsed="false">
      <c r="B118" s="182" t="s">
        <v>1390</v>
      </c>
      <c r="C118" s="268" t="n">
        <f aca="false">C84+C116+C117</f>
        <v>6439.28571428572</v>
      </c>
      <c r="D118" s="268" t="n">
        <f aca="false">D84+D116+D117</f>
        <v>7116.96428571429</v>
      </c>
      <c r="E118" s="268" t="n">
        <f aca="false">E84+E116+E117</f>
        <v>7650</v>
      </c>
    </row>
    <row r="119" customFormat="false" ht="15" hidden="false" customHeight="true" outlineLevel="0" collapsed="false">
      <c r="B119" s="182" t="s">
        <v>1385</v>
      </c>
      <c r="C119" s="280" t="n">
        <f aca="false">C83+C114+C115</f>
        <v>18.4</v>
      </c>
      <c r="D119" s="280" t="n">
        <f aca="false">D83+D114+D115</f>
        <v>20.7</v>
      </c>
      <c r="E119" s="280" t="n">
        <f aca="false">E83+E114+E115</f>
        <v>22.6</v>
      </c>
    </row>
    <row r="120" customFormat="false" ht="15" hidden="false" customHeight="true" outlineLevel="0" collapsed="false">
      <c r="B120" s="182" t="s">
        <v>1386</v>
      </c>
      <c r="C120" s="270" t="n">
        <f aca="false">(C114+C115)*$C$46</f>
        <v>48</v>
      </c>
      <c r="D120" s="270" t="n">
        <f aca="false">(D114+D115)*$C$46</f>
        <v>54</v>
      </c>
      <c r="E120" s="270" t="n">
        <f aca="false">(E114+E115)*$C$46</f>
        <v>72</v>
      </c>
    </row>
    <row r="122" customFormat="false" ht="15" hidden="false" customHeight="true" outlineLevel="0" collapsed="false">
      <c r="B122" s="182" t="s">
        <v>1391</v>
      </c>
    </row>
    <row r="124" customFormat="false" ht="15" hidden="false" customHeight="true" outlineLevel="0" collapsed="false">
      <c r="A124" s="281" t="s">
        <v>1392</v>
      </c>
      <c r="B124" s="25"/>
      <c r="C124" s="25"/>
      <c r="D124" s="25"/>
      <c r="E124" s="25"/>
      <c r="F124" s="25"/>
      <c r="G124" s="25"/>
      <c r="H124" s="25"/>
    </row>
    <row r="125" customFormat="false" ht="39.75" hidden="false" customHeight="true" outlineLevel="0" collapsed="false">
      <c r="B125" s="282" t="s">
        <v>1393</v>
      </c>
      <c r="C125" s="282"/>
      <c r="D125" s="282"/>
      <c r="E125" s="282"/>
      <c r="F125" s="282"/>
      <c r="G125" s="282"/>
      <c r="H125" s="282"/>
    </row>
    <row r="126" customFormat="false" ht="15" hidden="false" customHeight="true" outlineLevel="0" collapsed="false">
      <c r="B126" s="283" t="s">
        <v>1394</v>
      </c>
      <c r="C126" s="284" t="n">
        <f aca="false">INDEX(SUP_VOLUMEN!$C$16:$E$16,SUP_CONTROL!$C$6)</f>
        <v>4200</v>
      </c>
    </row>
    <row r="127" customFormat="false" ht="15" hidden="false" customHeight="true" outlineLevel="0" collapsed="false">
      <c r="B127" s="283" t="s">
        <v>1395</v>
      </c>
      <c r="C127" s="285" t="n">
        <v>3850</v>
      </c>
      <c r="D127" s="286" t="s">
        <v>1396</v>
      </c>
    </row>
    <row r="128" customFormat="false" ht="15" hidden="false" customHeight="true" outlineLevel="0" collapsed="false">
      <c r="B128" s="283" t="s">
        <v>1397</v>
      </c>
      <c r="C128" s="285" t="n">
        <v>4600</v>
      </c>
      <c r="D128" s="286" t="s">
        <v>1398</v>
      </c>
    </row>
    <row r="129" customFormat="false" ht="15" hidden="false" customHeight="true" outlineLevel="0" collapsed="false">
      <c r="B129" s="287" t="s">
        <v>1399</v>
      </c>
      <c r="C129" s="288" t="n">
        <f aca="false">IF(C126&lt;C127,1,IF(C126&lt;C128,2,3))</f>
        <v>2</v>
      </c>
      <c r="D129" s="183" t="str">
        <f aca="false">CHOOSE(C129,"dotación BÁSICA","dotación MEDIA","dotación ALTA")</f>
        <v>dotación MEDIA</v>
      </c>
    </row>
    <row r="130" customFormat="false" ht="15" hidden="false" customHeight="true" outlineLevel="0" collapsed="false">
      <c r="B130" s="286" t="s">
        <v>1400</v>
      </c>
      <c r="C130" s="289" t="str">
        <f aca="false">IF(AND(C127=(SUP_VOLUMEN!$C$16+SUP_VOLUMEN!$D$16)/2,C128=(SUP_VOLUMEN!$D$16+SUP_VOLUMEN!$E$16)/2),"✓","⚠ revisar")</f>
        <v>✓</v>
      </c>
      <c r="D130" s="286" t="s">
        <v>1401</v>
      </c>
    </row>
  </sheetData>
  <mergeCells count="1">
    <mergeCell ref="B125:H1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DS43"/>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J34" activeCellId="0" sqref="J34"/>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79.16"/>
    <col collapsed="false" customWidth="true" hidden="false" outlineLevel="0" max="3" min="3" style="1" width="11"/>
    <col collapsed="false" customWidth="true" hidden="false" outlineLevel="0" max="123" min="4" style="1" width="10"/>
  </cols>
  <sheetData>
    <row r="1" customFormat="false" ht="15" hidden="false" customHeight="true" outlineLevel="0" collapsed="false">
      <c r="A1" s="185" t="s">
        <v>1402</v>
      </c>
      <c r="B1" s="126"/>
      <c r="C1" s="126"/>
      <c r="D1" s="126"/>
      <c r="E1" s="126"/>
      <c r="F1" s="126"/>
      <c r="G1" s="126"/>
      <c r="H1" s="126"/>
      <c r="I1" s="126"/>
    </row>
    <row r="2" customFormat="false" ht="15" hidden="false" customHeight="true" outlineLevel="0" collapsed="false">
      <c r="A2" s="23" t="s">
        <v>1403</v>
      </c>
    </row>
    <row r="3" customFormat="false" ht="15" hidden="false" customHeight="true" outlineLevel="0" collapsed="false">
      <c r="A3" s="23" t="s">
        <v>495</v>
      </c>
    </row>
    <row r="5" customFormat="false" ht="15" hidden="false" customHeight="true" outlineLevel="0" collapsed="false">
      <c r="A5" s="186" t="s">
        <v>1404</v>
      </c>
      <c r="B5" s="25"/>
      <c r="C5" s="25"/>
      <c r="D5" s="25"/>
      <c r="E5" s="25"/>
      <c r="F5" s="25"/>
      <c r="G5" s="25"/>
      <c r="H5" s="25"/>
      <c r="I5" s="25"/>
    </row>
    <row r="6" customFormat="false" ht="15" hidden="false" customHeight="true" outlineLevel="0" collapsed="false">
      <c r="B6" s="1" t="s">
        <v>1405</v>
      </c>
      <c r="C6" s="266" t="n">
        <v>4000</v>
      </c>
    </row>
    <row r="7" customFormat="false" ht="15" hidden="false" customHeight="true" outlineLevel="0" collapsed="false">
      <c r="B7" s="1" t="s">
        <v>1406</v>
      </c>
      <c r="C7" s="266" t="n">
        <v>3000</v>
      </c>
    </row>
    <row r="8" customFormat="false" ht="15" hidden="false" customHeight="true" outlineLevel="0" collapsed="false">
      <c r="B8" s="1" t="s">
        <v>1407</v>
      </c>
      <c r="C8" s="266" t="n">
        <v>1000</v>
      </c>
    </row>
    <row r="9" customFormat="false" ht="15" hidden="false" customHeight="true" outlineLevel="0" collapsed="false">
      <c r="B9" s="1" t="s">
        <v>1408</v>
      </c>
      <c r="C9" s="266" t="n">
        <v>500</v>
      </c>
    </row>
    <row r="10" customFormat="false" ht="15" hidden="false" customHeight="true" outlineLevel="0" collapsed="false">
      <c r="B10" s="1" t="s">
        <v>1409</v>
      </c>
      <c r="C10" s="268" t="n">
        <f aca="false">SUM(C6:C9)+C13+C14</f>
        <v>10500</v>
      </c>
    </row>
    <row r="11" customFormat="false" ht="15" hidden="false" customHeight="true" outlineLevel="0" collapsed="false">
      <c r="B11" s="1" t="s">
        <v>1410</v>
      </c>
      <c r="C11" s="200" t="n">
        <f aca="false">SUP_OPEX!$C$14</f>
        <v>0.4</v>
      </c>
    </row>
    <row r="12" customFormat="false" ht="15" hidden="false" customHeight="true" outlineLevel="0" collapsed="false">
      <c r="B12" s="1" t="s">
        <v>1411</v>
      </c>
      <c r="C12" s="290" t="n">
        <f aca="false">C10*(1+C11)+C18</f>
        <v>15040</v>
      </c>
      <c r="G12" s="23" t="s">
        <v>1412</v>
      </c>
    </row>
    <row r="13" customFormat="false" ht="15" hidden="false" customHeight="true" outlineLevel="0" collapsed="false">
      <c r="B13" s="1" t="s">
        <v>1413</v>
      </c>
      <c r="C13" s="274" t="n">
        <v>1200</v>
      </c>
    </row>
    <row r="14" customFormat="false" ht="15" hidden="false" customHeight="true" outlineLevel="0" collapsed="false">
      <c r="A14" s="186" t="s">
        <v>1414</v>
      </c>
      <c r="B14" s="25" t="s">
        <v>1415</v>
      </c>
      <c r="C14" s="291" t="n">
        <v>800</v>
      </c>
      <c r="D14" s="25"/>
      <c r="E14" s="25"/>
      <c r="F14" s="25"/>
      <c r="G14" s="25"/>
      <c r="H14" s="25"/>
      <c r="I14" s="25"/>
    </row>
    <row r="15" customFormat="false" ht="15" hidden="false" customHeight="true" outlineLevel="0" collapsed="false">
      <c r="B15" s="1" t="s">
        <v>1416</v>
      </c>
      <c r="C15" s="266" t="n">
        <v>1200</v>
      </c>
    </row>
    <row r="16" customFormat="false" ht="15" hidden="false" customHeight="true" outlineLevel="0" collapsed="false">
      <c r="B16" s="1" t="s">
        <v>1417</v>
      </c>
      <c r="C16" s="190" t="n">
        <v>10</v>
      </c>
      <c r="G16" s="23" t="s">
        <v>1418</v>
      </c>
    </row>
    <row r="17" customFormat="false" ht="15" hidden="false" customHeight="true" outlineLevel="0" collapsed="false">
      <c r="B17" s="1" t="s">
        <v>1419</v>
      </c>
      <c r="C17" s="190" t="n">
        <v>10</v>
      </c>
    </row>
    <row r="18" customFormat="false" ht="15" hidden="false" customHeight="true" outlineLevel="0" collapsed="false">
      <c r="B18" s="269" t="s">
        <v>1420</v>
      </c>
      <c r="C18" s="1" t="n">
        <f aca="false">2*SUP_OPEX!$C$48+4*SUP_OPEX!$C$47</f>
        <v>340</v>
      </c>
    </row>
    <row r="19" customFormat="false" ht="15" hidden="false" customHeight="true" outlineLevel="0" collapsed="false">
      <c r="A19" s="186" t="s">
        <v>1421</v>
      </c>
      <c r="B19" s="292" t="s">
        <v>1422</v>
      </c>
      <c r="C19" s="25" t="n">
        <f aca="false">SUP_OPEX!$C$47</f>
        <v>35</v>
      </c>
      <c r="D19" s="25"/>
      <c r="E19" s="25"/>
      <c r="F19" s="25"/>
      <c r="G19" s="25"/>
      <c r="H19" s="25"/>
      <c r="I19" s="25"/>
    </row>
    <row r="20" customFormat="false" ht="15" hidden="false" customHeight="true" outlineLevel="0" collapsed="false">
      <c r="B20" s="1" t="s">
        <v>1423</v>
      </c>
      <c r="C20" s="275" t="n">
        <v>1</v>
      </c>
      <c r="D20" s="275" t="n">
        <v>2</v>
      </c>
      <c r="E20" s="275" t="n">
        <v>3</v>
      </c>
      <c r="F20" s="275" t="n">
        <v>4</v>
      </c>
      <c r="G20" s="275" t="n">
        <v>5</v>
      </c>
      <c r="H20" s="275" t="n">
        <v>6</v>
      </c>
      <c r="I20" s="275" t="n">
        <v>7</v>
      </c>
      <c r="J20" s="275" t="n">
        <v>8</v>
      </c>
      <c r="K20" s="275" t="n">
        <v>9</v>
      </c>
      <c r="L20" s="275" t="n">
        <v>10</v>
      </c>
    </row>
    <row r="21" customFormat="false" ht="15" hidden="false" customHeight="true" outlineLevel="0" collapsed="false">
      <c r="B21" s="1" t="s">
        <v>1424</v>
      </c>
      <c r="C21" s="199" t="n">
        <v>0.08</v>
      </c>
      <c r="D21" s="199" t="n">
        <v>0.07</v>
      </c>
      <c r="E21" s="199" t="n">
        <v>0.06</v>
      </c>
      <c r="F21" s="199" t="n">
        <v>0.055</v>
      </c>
      <c r="G21" s="199" t="n">
        <v>0.05</v>
      </c>
      <c r="H21" s="199" t="n">
        <v>0.045</v>
      </c>
      <c r="I21" s="199" t="n">
        <v>0.04</v>
      </c>
      <c r="J21" s="199" t="n">
        <v>0.04</v>
      </c>
      <c r="K21" s="199" t="n">
        <v>0.04</v>
      </c>
      <c r="L21" s="199" t="n">
        <v>0.04</v>
      </c>
    </row>
    <row r="22" customFormat="false" ht="45" hidden="false" customHeight="true" outlineLevel="0" collapsed="false">
      <c r="B22" s="293" t="s">
        <v>1425</v>
      </c>
      <c r="C22" s="293"/>
      <c r="D22" s="293"/>
      <c r="E22" s="293"/>
      <c r="F22" s="293"/>
      <c r="G22" s="293"/>
      <c r="H22" s="293"/>
      <c r="I22" s="293"/>
      <c r="J22" s="293"/>
      <c r="K22" s="293"/>
      <c r="L22" s="293"/>
    </row>
    <row r="24" customFormat="false" ht="15" hidden="false" customHeight="true" outlineLevel="0" collapsed="false">
      <c r="A24" s="186" t="s">
        <v>1426</v>
      </c>
      <c r="B24" s="25"/>
      <c r="C24" s="25"/>
      <c r="D24" s="25"/>
      <c r="E24" s="25"/>
      <c r="F24" s="25"/>
      <c r="G24" s="25"/>
      <c r="H24" s="25"/>
      <c r="I24" s="25"/>
    </row>
    <row r="25" customFormat="false" ht="34.5" hidden="false" customHeight="true" outlineLevel="0" collapsed="false">
      <c r="B25" s="1" t="s">
        <v>1427</v>
      </c>
      <c r="C25" s="294" t="n">
        <f aca="false">SUP_TECNOLOGIA!$C$23</f>
        <v>675</v>
      </c>
    </row>
    <row r="27" customFormat="false" ht="15" hidden="false" customHeight="true" outlineLevel="0" collapsed="false">
      <c r="B27" s="295" t="s">
        <v>1428</v>
      </c>
      <c r="C27" s="274" t="n">
        <v>2</v>
      </c>
    </row>
    <row r="28" customFormat="false" ht="15" hidden="false" customHeight="true" outlineLevel="0" collapsed="false">
      <c r="A28" s="186" t="s">
        <v>1429</v>
      </c>
      <c r="B28" s="25"/>
      <c r="C28" s="25"/>
    </row>
    <row r="29" customFormat="false" ht="15" hidden="false" customHeight="true" outlineLevel="0" collapsed="false">
      <c r="B29" s="178" t="s">
        <v>1430</v>
      </c>
      <c r="D29" s="296" t="n">
        <v>1</v>
      </c>
      <c r="E29" s="296" t="n">
        <v>2</v>
      </c>
      <c r="F29" s="296" t="n">
        <v>3</v>
      </c>
      <c r="G29" s="296" t="n">
        <v>4</v>
      </c>
      <c r="H29" s="296" t="n">
        <v>5</v>
      </c>
      <c r="I29" s="296" t="n">
        <v>6</v>
      </c>
      <c r="J29" s="296" t="n">
        <v>7</v>
      </c>
      <c r="K29" s="296" t="n">
        <v>8</v>
      </c>
      <c r="L29" s="296" t="n">
        <v>9</v>
      </c>
      <c r="M29" s="296" t="n">
        <v>10</v>
      </c>
      <c r="N29" s="296" t="n">
        <v>11</v>
      </c>
      <c r="O29" s="296" t="n">
        <v>12</v>
      </c>
      <c r="P29" s="296" t="n">
        <v>13</v>
      </c>
      <c r="Q29" s="296" t="n">
        <v>14</v>
      </c>
      <c r="R29" s="296" t="n">
        <v>15</v>
      </c>
      <c r="S29" s="296" t="n">
        <v>16</v>
      </c>
      <c r="T29" s="296" t="n">
        <v>17</v>
      </c>
      <c r="U29" s="296" t="n">
        <v>18</v>
      </c>
      <c r="V29" s="296" t="n">
        <v>19</v>
      </c>
      <c r="W29" s="296" t="n">
        <v>20</v>
      </c>
      <c r="X29" s="296" t="n">
        <v>21</v>
      </c>
      <c r="Y29" s="296" t="n">
        <v>22</v>
      </c>
      <c r="Z29" s="296" t="n">
        <v>23</v>
      </c>
      <c r="AA29" s="296" t="n">
        <v>24</v>
      </c>
      <c r="AB29" s="296" t="n">
        <v>25</v>
      </c>
      <c r="AC29" s="296" t="n">
        <v>26</v>
      </c>
      <c r="AD29" s="296" t="n">
        <v>27</v>
      </c>
      <c r="AE29" s="296" t="n">
        <v>28</v>
      </c>
      <c r="AF29" s="296" t="n">
        <v>29</v>
      </c>
      <c r="AG29" s="296" t="n">
        <v>30</v>
      </c>
      <c r="AH29" s="296" t="n">
        <v>31</v>
      </c>
      <c r="AI29" s="296" t="n">
        <v>32</v>
      </c>
      <c r="AJ29" s="296" t="n">
        <v>33</v>
      </c>
      <c r="AK29" s="296" t="n">
        <v>34</v>
      </c>
      <c r="AL29" s="296" t="n">
        <v>35</v>
      </c>
      <c r="AM29" s="296" t="n">
        <v>36</v>
      </c>
      <c r="AN29" s="296" t="n">
        <v>37</v>
      </c>
      <c r="AO29" s="296" t="n">
        <v>38</v>
      </c>
      <c r="AP29" s="296" t="n">
        <v>39</v>
      </c>
      <c r="AQ29" s="296" t="n">
        <v>40</v>
      </c>
      <c r="AR29" s="296" t="n">
        <v>41</v>
      </c>
      <c r="AS29" s="296" t="n">
        <v>42</v>
      </c>
      <c r="AT29" s="296" t="n">
        <v>43</v>
      </c>
      <c r="AU29" s="296" t="n">
        <v>44</v>
      </c>
      <c r="AV29" s="296" t="n">
        <v>45</v>
      </c>
      <c r="AW29" s="296" t="n">
        <v>46</v>
      </c>
      <c r="AX29" s="296" t="n">
        <v>47</v>
      </c>
      <c r="AY29" s="296" t="n">
        <v>48</v>
      </c>
      <c r="AZ29" s="296" t="n">
        <v>49</v>
      </c>
      <c r="BA29" s="296" t="n">
        <v>50</v>
      </c>
      <c r="BB29" s="296" t="n">
        <v>51</v>
      </c>
      <c r="BC29" s="296" t="n">
        <v>52</v>
      </c>
      <c r="BD29" s="296" t="n">
        <v>53</v>
      </c>
      <c r="BE29" s="296" t="n">
        <v>54</v>
      </c>
      <c r="BF29" s="296" t="n">
        <v>55</v>
      </c>
      <c r="BG29" s="296" t="n">
        <v>56</v>
      </c>
      <c r="BH29" s="296" t="n">
        <v>57</v>
      </c>
      <c r="BI29" s="296" t="n">
        <v>58</v>
      </c>
      <c r="BJ29" s="296" t="n">
        <v>59</v>
      </c>
      <c r="BK29" s="296" t="n">
        <v>60</v>
      </c>
      <c r="BL29" s="296" t="n">
        <v>61</v>
      </c>
      <c r="BM29" s="296" t="n">
        <v>62</v>
      </c>
      <c r="BN29" s="296" t="n">
        <v>63</v>
      </c>
      <c r="BO29" s="296" t="n">
        <v>64</v>
      </c>
      <c r="BP29" s="296" t="n">
        <v>65</v>
      </c>
      <c r="BQ29" s="296" t="n">
        <v>66</v>
      </c>
      <c r="BR29" s="296" t="n">
        <v>67</v>
      </c>
      <c r="BS29" s="296" t="n">
        <v>68</v>
      </c>
      <c r="BT29" s="296" t="n">
        <v>69</v>
      </c>
      <c r="BU29" s="296" t="n">
        <v>70</v>
      </c>
      <c r="BV29" s="296" t="n">
        <v>71</v>
      </c>
      <c r="BW29" s="296" t="n">
        <v>72</v>
      </c>
      <c r="BX29" s="296" t="n">
        <v>73</v>
      </c>
      <c r="BY29" s="296" t="n">
        <v>74</v>
      </c>
      <c r="BZ29" s="296" t="n">
        <v>75</v>
      </c>
      <c r="CA29" s="296" t="n">
        <v>76</v>
      </c>
      <c r="CB29" s="296" t="n">
        <v>77</v>
      </c>
      <c r="CC29" s="296" t="n">
        <v>78</v>
      </c>
      <c r="CD29" s="296" t="n">
        <v>79</v>
      </c>
      <c r="CE29" s="296" t="n">
        <v>80</v>
      </c>
      <c r="CF29" s="296" t="n">
        <v>81</v>
      </c>
      <c r="CG29" s="296" t="n">
        <v>82</v>
      </c>
      <c r="CH29" s="296" t="n">
        <v>83</v>
      </c>
      <c r="CI29" s="296" t="n">
        <v>84</v>
      </c>
      <c r="CJ29" s="296" t="n">
        <v>85</v>
      </c>
      <c r="CK29" s="296" t="n">
        <v>86</v>
      </c>
      <c r="CL29" s="296" t="n">
        <v>87</v>
      </c>
      <c r="CM29" s="296" t="n">
        <v>88</v>
      </c>
      <c r="CN29" s="296" t="n">
        <v>89</v>
      </c>
      <c r="CO29" s="296" t="n">
        <v>90</v>
      </c>
      <c r="CP29" s="296" t="n">
        <v>91</v>
      </c>
      <c r="CQ29" s="296" t="n">
        <v>92</v>
      </c>
      <c r="CR29" s="296" t="n">
        <v>93</v>
      </c>
      <c r="CS29" s="296" t="n">
        <v>94</v>
      </c>
      <c r="CT29" s="296" t="n">
        <v>95</v>
      </c>
      <c r="CU29" s="296" t="n">
        <v>96</v>
      </c>
      <c r="CV29" s="296" t="n">
        <v>97</v>
      </c>
      <c r="CW29" s="296" t="n">
        <v>98</v>
      </c>
      <c r="CX29" s="296" t="n">
        <v>99</v>
      </c>
      <c r="CY29" s="296" t="n">
        <v>100</v>
      </c>
      <c r="CZ29" s="296" t="n">
        <v>101</v>
      </c>
      <c r="DA29" s="296" t="n">
        <v>102</v>
      </c>
      <c r="DB29" s="296" t="n">
        <v>103</v>
      </c>
      <c r="DC29" s="296" t="n">
        <v>104</v>
      </c>
      <c r="DD29" s="296" t="n">
        <v>105</v>
      </c>
      <c r="DE29" s="296" t="n">
        <v>106</v>
      </c>
      <c r="DF29" s="296" t="n">
        <v>107</v>
      </c>
      <c r="DG29" s="296" t="n">
        <v>108</v>
      </c>
      <c r="DH29" s="296" t="n">
        <v>109</v>
      </c>
      <c r="DI29" s="296" t="n">
        <v>110</v>
      </c>
      <c r="DJ29" s="296" t="n">
        <v>111</v>
      </c>
      <c r="DK29" s="296" t="n">
        <v>112</v>
      </c>
      <c r="DL29" s="296" t="n">
        <v>113</v>
      </c>
      <c r="DM29" s="296" t="n">
        <v>114</v>
      </c>
      <c r="DN29" s="296" t="n">
        <v>115</v>
      </c>
      <c r="DO29" s="296" t="n">
        <v>116</v>
      </c>
      <c r="DP29" s="296" t="n">
        <v>117</v>
      </c>
      <c r="DQ29" s="296" t="n">
        <v>118</v>
      </c>
      <c r="DR29" s="296" t="n">
        <v>119</v>
      </c>
      <c r="DS29" s="296" t="n">
        <v>120</v>
      </c>
    </row>
    <row r="30" customFormat="false" ht="15" hidden="false" customHeight="true" outlineLevel="0" collapsed="false">
      <c r="B30" s="297" t="s">
        <v>1431</v>
      </c>
      <c r="D30" s="298" t="n">
        <f aca="false">CAPA3_EXPANSION!D35</f>
        <v>0</v>
      </c>
      <c r="E30" s="298" t="n">
        <f aca="false">CAPA3_EXPANSION!E35</f>
        <v>0</v>
      </c>
      <c r="F30" s="298" t="n">
        <f aca="false">CAPA3_EXPANSION!F35</f>
        <v>0</v>
      </c>
      <c r="G30" s="298" t="n">
        <f aca="false">CAPA3_EXPANSION!G35</f>
        <v>2</v>
      </c>
      <c r="H30" s="298" t="n">
        <f aca="false">CAPA3_EXPANSION!H35</f>
        <v>4</v>
      </c>
      <c r="I30" s="298" t="n">
        <f aca="false">CAPA3_EXPANSION!I35</f>
        <v>6</v>
      </c>
      <c r="J30" s="298" t="n">
        <f aca="false">CAPA3_EXPANSION!J35</f>
        <v>8</v>
      </c>
      <c r="K30" s="298" t="n">
        <f aca="false">CAPA3_EXPANSION!K35</f>
        <v>10</v>
      </c>
      <c r="L30" s="298" t="n">
        <f aca="false">CAPA3_EXPANSION!L35</f>
        <v>10</v>
      </c>
      <c r="M30" s="298" t="n">
        <f aca="false">CAPA3_EXPANSION!M35</f>
        <v>10</v>
      </c>
      <c r="N30" s="298" t="n">
        <f aca="false">CAPA3_EXPANSION!N35</f>
        <v>10</v>
      </c>
      <c r="O30" s="298" t="n">
        <f aca="false">CAPA3_EXPANSION!O35</f>
        <v>10</v>
      </c>
      <c r="P30" s="298" t="n">
        <f aca="false">CAPA3_EXPANSION!P35</f>
        <v>10</v>
      </c>
      <c r="Q30" s="298" t="n">
        <f aca="false">CAPA3_EXPANSION!Q35</f>
        <v>10</v>
      </c>
      <c r="R30" s="298" t="n">
        <f aca="false">CAPA3_EXPANSION!R35</f>
        <v>10</v>
      </c>
      <c r="S30" s="298" t="n">
        <f aca="false">CAPA3_EXPANSION!S35</f>
        <v>11</v>
      </c>
      <c r="T30" s="298" t="n">
        <f aca="false">CAPA3_EXPANSION!T35</f>
        <v>12</v>
      </c>
      <c r="U30" s="298" t="n">
        <f aca="false">CAPA3_EXPANSION!U35</f>
        <v>12</v>
      </c>
      <c r="V30" s="298" t="n">
        <f aca="false">CAPA3_EXPANSION!V35</f>
        <v>13</v>
      </c>
      <c r="W30" s="298" t="n">
        <f aca="false">CAPA3_EXPANSION!W35</f>
        <v>13</v>
      </c>
      <c r="X30" s="298" t="n">
        <f aca="false">CAPA3_EXPANSION!X35</f>
        <v>13</v>
      </c>
      <c r="Y30" s="298" t="n">
        <f aca="false">CAPA3_EXPANSION!Y35</f>
        <v>13</v>
      </c>
      <c r="Z30" s="298" t="n">
        <f aca="false">CAPA3_EXPANSION!Z35</f>
        <v>13</v>
      </c>
      <c r="AA30" s="298" t="n">
        <f aca="false">CAPA3_EXPANSION!AA35</f>
        <v>13</v>
      </c>
      <c r="AB30" s="298" t="n">
        <f aca="false">CAPA3_EXPANSION!AB35</f>
        <v>13</v>
      </c>
      <c r="AC30" s="298" t="n">
        <f aca="false">CAPA3_EXPANSION!AC35</f>
        <v>13</v>
      </c>
      <c r="AD30" s="298" t="n">
        <f aca="false">CAPA3_EXPANSION!AD35</f>
        <v>13</v>
      </c>
      <c r="AE30" s="298" t="n">
        <f aca="false">CAPA3_EXPANSION!AE35</f>
        <v>13</v>
      </c>
      <c r="AF30" s="298" t="n">
        <f aca="false">CAPA3_EXPANSION!AF35</f>
        <v>14</v>
      </c>
      <c r="AG30" s="298" t="n">
        <f aca="false">CAPA3_EXPANSION!AG35</f>
        <v>15</v>
      </c>
      <c r="AH30" s="298" t="n">
        <f aca="false">CAPA3_EXPANSION!AH35</f>
        <v>15</v>
      </c>
      <c r="AI30" s="298" t="n">
        <f aca="false">CAPA3_EXPANSION!AI35</f>
        <v>16</v>
      </c>
      <c r="AJ30" s="298" t="n">
        <f aca="false">CAPA3_EXPANSION!AJ35</f>
        <v>16</v>
      </c>
      <c r="AK30" s="298" t="n">
        <f aca="false">CAPA3_EXPANSION!AK35</f>
        <v>17</v>
      </c>
      <c r="AL30" s="298" t="n">
        <f aca="false">CAPA3_EXPANSION!AL35</f>
        <v>17</v>
      </c>
      <c r="AM30" s="298" t="n">
        <f aca="false">CAPA3_EXPANSION!AM35</f>
        <v>17</v>
      </c>
      <c r="AN30" s="298" t="n">
        <f aca="false">CAPA3_EXPANSION!AN35</f>
        <v>18</v>
      </c>
      <c r="AO30" s="298" t="n">
        <f aca="false">CAPA3_EXPANSION!AO35</f>
        <v>19</v>
      </c>
      <c r="AP30" s="298" t="n">
        <f aca="false">CAPA3_EXPANSION!AP35</f>
        <v>20</v>
      </c>
      <c r="AQ30" s="298" t="n">
        <f aca="false">CAPA3_EXPANSION!AQ35</f>
        <v>21</v>
      </c>
      <c r="AR30" s="298" t="n">
        <f aca="false">CAPA3_EXPANSION!AR35</f>
        <v>21</v>
      </c>
      <c r="AS30" s="298" t="n">
        <f aca="false">CAPA3_EXPANSION!AS35</f>
        <v>21</v>
      </c>
      <c r="AT30" s="298" t="n">
        <f aca="false">CAPA3_EXPANSION!AT35</f>
        <v>22</v>
      </c>
      <c r="AU30" s="298" t="n">
        <f aca="false">CAPA3_EXPANSION!AU35</f>
        <v>22</v>
      </c>
      <c r="AV30" s="298" t="n">
        <f aca="false">CAPA3_EXPANSION!AV35</f>
        <v>23</v>
      </c>
      <c r="AW30" s="298" t="n">
        <f aca="false">CAPA3_EXPANSION!AW35</f>
        <v>24</v>
      </c>
      <c r="AX30" s="298" t="n">
        <f aca="false">CAPA3_EXPANSION!AX35</f>
        <v>24</v>
      </c>
      <c r="AY30" s="298" t="n">
        <f aca="false">CAPA3_EXPANSION!AY35</f>
        <v>24</v>
      </c>
      <c r="AZ30" s="298" t="n">
        <f aca="false">CAPA3_EXPANSION!AZ35</f>
        <v>24</v>
      </c>
      <c r="BA30" s="298" t="n">
        <f aca="false">CAPA3_EXPANSION!BA35</f>
        <v>24</v>
      </c>
      <c r="BB30" s="298" t="n">
        <f aca="false">CAPA3_EXPANSION!BB35</f>
        <v>24</v>
      </c>
      <c r="BC30" s="298" t="n">
        <f aca="false">CAPA3_EXPANSION!BC35</f>
        <v>24</v>
      </c>
      <c r="BD30" s="298" t="n">
        <f aca="false">CAPA3_EXPANSION!BD35</f>
        <v>24</v>
      </c>
      <c r="BE30" s="298" t="n">
        <f aca="false">CAPA3_EXPANSION!BE35</f>
        <v>24</v>
      </c>
      <c r="BF30" s="298" t="n">
        <f aca="false">CAPA3_EXPANSION!BF35</f>
        <v>25</v>
      </c>
      <c r="BG30" s="298" t="n">
        <f aca="false">CAPA3_EXPANSION!BG35</f>
        <v>26</v>
      </c>
      <c r="BH30" s="298" t="n">
        <f aca="false">CAPA3_EXPANSION!BH35</f>
        <v>27</v>
      </c>
      <c r="BI30" s="298" t="n">
        <f aca="false">CAPA3_EXPANSION!BI35</f>
        <v>28</v>
      </c>
      <c r="BJ30" s="298" t="n">
        <f aca="false">CAPA3_EXPANSION!BJ35</f>
        <v>29</v>
      </c>
      <c r="BK30" s="298" t="n">
        <f aca="false">CAPA3_EXPANSION!BK35</f>
        <v>30</v>
      </c>
      <c r="BL30" s="298" t="n">
        <f aca="false">CAPA3_EXPANSION!BL35</f>
        <v>30</v>
      </c>
      <c r="BM30" s="298" t="n">
        <f aca="false">CAPA3_EXPANSION!BM35</f>
        <v>31</v>
      </c>
      <c r="BN30" s="298" t="n">
        <f aca="false">CAPA3_EXPANSION!BN35</f>
        <v>32</v>
      </c>
      <c r="BO30" s="298" t="n">
        <f aca="false">CAPA3_EXPANSION!BO35</f>
        <v>33</v>
      </c>
      <c r="BP30" s="298" t="n">
        <f aca="false">CAPA3_EXPANSION!BP35</f>
        <v>34</v>
      </c>
      <c r="BQ30" s="298" t="n">
        <f aca="false">CAPA3_EXPANSION!BQ35</f>
        <v>35</v>
      </c>
      <c r="BR30" s="298" t="n">
        <f aca="false">CAPA3_EXPANSION!BR35</f>
        <v>36</v>
      </c>
      <c r="BS30" s="298" t="n">
        <f aca="false">CAPA3_EXPANSION!BS35</f>
        <v>37</v>
      </c>
      <c r="BT30" s="298" t="n">
        <f aca="false">CAPA3_EXPANSION!BT35</f>
        <v>38</v>
      </c>
      <c r="BU30" s="298" t="n">
        <f aca="false">CAPA3_EXPANSION!BU35</f>
        <v>39</v>
      </c>
      <c r="BV30" s="298" t="n">
        <f aca="false">CAPA3_EXPANSION!BV35</f>
        <v>39</v>
      </c>
      <c r="BW30" s="298" t="n">
        <f aca="false">CAPA3_EXPANSION!BW35</f>
        <v>40</v>
      </c>
      <c r="BX30" s="298" t="n">
        <f aca="false">CAPA3_EXPANSION!BX35</f>
        <v>41</v>
      </c>
      <c r="BY30" s="298" t="n">
        <f aca="false">CAPA3_EXPANSION!BY35</f>
        <v>42</v>
      </c>
      <c r="BZ30" s="298" t="n">
        <f aca="false">CAPA3_EXPANSION!BZ35</f>
        <v>43</v>
      </c>
      <c r="CA30" s="298" t="n">
        <f aca="false">CAPA3_EXPANSION!CA35</f>
        <v>44</v>
      </c>
      <c r="CB30" s="298" t="n">
        <f aca="false">CAPA3_EXPANSION!CB35</f>
        <v>45</v>
      </c>
      <c r="CC30" s="298" t="n">
        <f aca="false">CAPA3_EXPANSION!CC35</f>
        <v>46</v>
      </c>
      <c r="CD30" s="298" t="n">
        <f aca="false">CAPA3_EXPANSION!CD35</f>
        <v>47</v>
      </c>
      <c r="CE30" s="298" t="n">
        <f aca="false">CAPA3_EXPANSION!CE35</f>
        <v>48</v>
      </c>
      <c r="CF30" s="298" t="n">
        <f aca="false">CAPA3_EXPANSION!CF35</f>
        <v>49</v>
      </c>
      <c r="CG30" s="298" t="n">
        <f aca="false">CAPA3_EXPANSION!CG35</f>
        <v>50</v>
      </c>
      <c r="CH30" s="298" t="n">
        <f aca="false">CAPA3_EXPANSION!CH35</f>
        <v>50</v>
      </c>
      <c r="CI30" s="298" t="n">
        <f aca="false">CAPA3_EXPANSION!CI35</f>
        <v>50</v>
      </c>
      <c r="CJ30" s="298" t="n">
        <f aca="false">CAPA3_EXPANSION!CJ35</f>
        <v>50</v>
      </c>
      <c r="CK30" s="298" t="n">
        <f aca="false">CAPA3_EXPANSION!CK35</f>
        <v>50</v>
      </c>
      <c r="CL30" s="298" t="n">
        <f aca="false">CAPA3_EXPANSION!CL35</f>
        <v>50</v>
      </c>
      <c r="CM30" s="298" t="n">
        <f aca="false">CAPA3_EXPANSION!CM35</f>
        <v>50</v>
      </c>
      <c r="CN30" s="298" t="n">
        <f aca="false">CAPA3_EXPANSION!CN35</f>
        <v>50</v>
      </c>
      <c r="CO30" s="298" t="n">
        <f aca="false">CAPA3_EXPANSION!CO35</f>
        <v>50</v>
      </c>
      <c r="CP30" s="298" t="n">
        <f aca="false">CAPA3_EXPANSION!CP35</f>
        <v>50</v>
      </c>
      <c r="CQ30" s="298" t="n">
        <f aca="false">CAPA3_EXPANSION!CQ35</f>
        <v>50</v>
      </c>
      <c r="CR30" s="298" t="n">
        <f aca="false">CAPA3_EXPANSION!CR35</f>
        <v>50</v>
      </c>
      <c r="CS30" s="298" t="n">
        <f aca="false">CAPA3_EXPANSION!CS35</f>
        <v>50</v>
      </c>
      <c r="CT30" s="298" t="n">
        <f aca="false">CAPA3_EXPANSION!CT35</f>
        <v>50</v>
      </c>
      <c r="CU30" s="298" t="n">
        <f aca="false">CAPA3_EXPANSION!CU35</f>
        <v>50</v>
      </c>
      <c r="CV30" s="298" t="n">
        <f aca="false">CAPA3_EXPANSION!CV35</f>
        <v>50</v>
      </c>
      <c r="CW30" s="298" t="n">
        <f aca="false">CAPA3_EXPANSION!CW35</f>
        <v>50</v>
      </c>
      <c r="CX30" s="298" t="n">
        <f aca="false">CAPA3_EXPANSION!CX35</f>
        <v>50</v>
      </c>
      <c r="CY30" s="298" t="n">
        <f aca="false">CAPA3_EXPANSION!CY35</f>
        <v>50</v>
      </c>
      <c r="CZ30" s="298" t="n">
        <f aca="false">CAPA3_EXPANSION!CZ35</f>
        <v>50</v>
      </c>
      <c r="DA30" s="298" t="n">
        <f aca="false">CAPA3_EXPANSION!DA35</f>
        <v>50</v>
      </c>
      <c r="DB30" s="298" t="n">
        <f aca="false">CAPA3_EXPANSION!DB35</f>
        <v>50</v>
      </c>
      <c r="DC30" s="298" t="n">
        <f aca="false">CAPA3_EXPANSION!DC35</f>
        <v>50</v>
      </c>
      <c r="DD30" s="298" t="n">
        <f aca="false">CAPA3_EXPANSION!DD35</f>
        <v>50</v>
      </c>
      <c r="DE30" s="298" t="n">
        <f aca="false">CAPA3_EXPANSION!DE35</f>
        <v>50</v>
      </c>
      <c r="DF30" s="298" t="n">
        <f aca="false">CAPA3_EXPANSION!DF35</f>
        <v>50</v>
      </c>
      <c r="DG30" s="298" t="n">
        <f aca="false">CAPA3_EXPANSION!DG35</f>
        <v>50</v>
      </c>
      <c r="DH30" s="298" t="n">
        <f aca="false">CAPA3_EXPANSION!DH35</f>
        <v>50</v>
      </c>
      <c r="DI30" s="298" t="n">
        <f aca="false">CAPA3_EXPANSION!DI35</f>
        <v>50</v>
      </c>
      <c r="DJ30" s="298" t="n">
        <f aca="false">CAPA3_EXPANSION!DJ35</f>
        <v>50</v>
      </c>
      <c r="DK30" s="298" t="n">
        <f aca="false">CAPA3_EXPANSION!DK35</f>
        <v>50</v>
      </c>
      <c r="DL30" s="298" t="n">
        <f aca="false">CAPA3_EXPANSION!DL35</f>
        <v>50</v>
      </c>
      <c r="DM30" s="298" t="n">
        <f aca="false">CAPA3_EXPANSION!DM35</f>
        <v>50</v>
      </c>
      <c r="DN30" s="298" t="n">
        <f aca="false">CAPA3_EXPANSION!DN35</f>
        <v>50</v>
      </c>
      <c r="DO30" s="298" t="n">
        <f aca="false">CAPA3_EXPANSION!DO35</f>
        <v>50</v>
      </c>
      <c r="DP30" s="298" t="n">
        <f aca="false">CAPA3_EXPANSION!DP35</f>
        <v>50</v>
      </c>
      <c r="DQ30" s="298" t="n">
        <f aca="false">CAPA3_EXPANSION!DQ35</f>
        <v>50</v>
      </c>
      <c r="DR30" s="298" t="n">
        <f aca="false">CAPA3_EXPANSION!DR35</f>
        <v>50</v>
      </c>
      <c r="DS30" s="298" t="n">
        <f aca="false">CAPA3_EXPANSION!DS35</f>
        <v>50</v>
      </c>
    </row>
    <row r="31" customFormat="false" ht="15" hidden="false" customHeight="true" outlineLevel="0" collapsed="false">
      <c r="B31" s="297" t="s">
        <v>1432</v>
      </c>
      <c r="D31" s="298" t="n">
        <f aca="false">IF(D30&lt;=$C$17,0,ROUNDUP(D30/$C$16,0))</f>
        <v>0</v>
      </c>
      <c r="E31" s="298" t="n">
        <f aca="false">IF(E30&lt;=$C$17,0,ROUNDUP(E30/$C$16,0))</f>
        <v>0</v>
      </c>
      <c r="F31" s="298" t="n">
        <f aca="false">IF(F30&lt;=$C$17,0,ROUNDUP(F30/$C$16,0))</f>
        <v>0</v>
      </c>
      <c r="G31" s="298" t="n">
        <f aca="false">IF(G30&lt;=$C$17,0,ROUNDUP(G30/$C$16,0))</f>
        <v>0</v>
      </c>
      <c r="H31" s="298" t="n">
        <f aca="false">IF(H30&lt;=$C$17,0,ROUNDUP(H30/$C$16,0))</f>
        <v>0</v>
      </c>
      <c r="I31" s="298" t="n">
        <f aca="false">IF(I30&lt;=$C$17,0,ROUNDUP(I30/$C$16,0))</f>
        <v>0</v>
      </c>
      <c r="J31" s="298" t="n">
        <f aca="false">IF(J30&lt;=$C$17,0,ROUNDUP(J30/$C$16,0))</f>
        <v>0</v>
      </c>
      <c r="K31" s="298" t="n">
        <f aca="false">IF(K30&lt;=$C$17,0,ROUNDUP(K30/$C$16,0))</f>
        <v>0</v>
      </c>
      <c r="L31" s="298" t="n">
        <f aca="false">IF(L30&lt;=$C$17,0,ROUNDUP(L30/$C$16,0))</f>
        <v>0</v>
      </c>
      <c r="M31" s="298" t="n">
        <f aca="false">IF(M30&lt;=$C$17,0,ROUNDUP(M30/$C$16,0))</f>
        <v>0</v>
      </c>
      <c r="N31" s="298" t="n">
        <f aca="false">IF(N30&lt;=$C$17,0,ROUNDUP(N30/$C$16,0))</f>
        <v>0</v>
      </c>
      <c r="O31" s="298" t="n">
        <f aca="false">IF(O30&lt;=$C$17,0,ROUNDUP(O30/$C$16,0))</f>
        <v>0</v>
      </c>
      <c r="P31" s="298" t="n">
        <f aca="false">IF(P30&lt;=$C$17,0,ROUNDUP(P30/$C$16,0))</f>
        <v>0</v>
      </c>
      <c r="Q31" s="298" t="n">
        <f aca="false">IF(Q30&lt;=$C$17,0,ROUNDUP(Q30/$C$16,0))</f>
        <v>0</v>
      </c>
      <c r="R31" s="298" t="n">
        <f aca="false">IF(R30&lt;=$C$17,0,ROUNDUP(R30/$C$16,0))</f>
        <v>0</v>
      </c>
      <c r="S31" s="298" t="n">
        <f aca="false">IF(S30&lt;=$C$17,0,ROUNDUP(S30/$C$16,0))</f>
        <v>2</v>
      </c>
      <c r="T31" s="298" t="n">
        <f aca="false">IF(T30&lt;=$C$17,0,ROUNDUP(T30/$C$16,0))</f>
        <v>2</v>
      </c>
      <c r="U31" s="298" t="n">
        <f aca="false">IF(U30&lt;=$C$17,0,ROUNDUP(U30/$C$16,0))</f>
        <v>2</v>
      </c>
      <c r="V31" s="298" t="n">
        <f aca="false">IF(V30&lt;=$C$17,0,ROUNDUP(V30/$C$16,0))</f>
        <v>2</v>
      </c>
      <c r="W31" s="298" t="n">
        <f aca="false">IF(W30&lt;=$C$17,0,ROUNDUP(W30/$C$16,0))</f>
        <v>2</v>
      </c>
      <c r="X31" s="298" t="n">
        <f aca="false">IF(X30&lt;=$C$17,0,ROUNDUP(X30/$C$16,0))</f>
        <v>2</v>
      </c>
      <c r="Y31" s="298" t="n">
        <f aca="false">IF(Y30&lt;=$C$17,0,ROUNDUP(Y30/$C$16,0))</f>
        <v>2</v>
      </c>
      <c r="Z31" s="298" t="n">
        <f aca="false">IF(Z30&lt;=$C$17,0,ROUNDUP(Z30/$C$16,0))</f>
        <v>2</v>
      </c>
      <c r="AA31" s="298" t="n">
        <f aca="false">IF(AA30&lt;=$C$17,0,ROUNDUP(AA30/$C$16,0))</f>
        <v>2</v>
      </c>
      <c r="AB31" s="298" t="n">
        <f aca="false">IF(AB30&lt;=$C$17,0,ROUNDUP(AB30/$C$16,0))</f>
        <v>2</v>
      </c>
      <c r="AC31" s="298" t="n">
        <f aca="false">IF(AC30&lt;=$C$17,0,ROUNDUP(AC30/$C$16,0))</f>
        <v>2</v>
      </c>
      <c r="AD31" s="298" t="n">
        <f aca="false">IF(AD30&lt;=$C$17,0,ROUNDUP(AD30/$C$16,0))</f>
        <v>2</v>
      </c>
      <c r="AE31" s="298" t="n">
        <f aca="false">IF(AE30&lt;=$C$17,0,ROUNDUP(AE30/$C$16,0))</f>
        <v>2</v>
      </c>
      <c r="AF31" s="298" t="n">
        <f aca="false">IF(AF30&lt;=$C$17,0,ROUNDUP(AF30/$C$16,0))</f>
        <v>2</v>
      </c>
      <c r="AG31" s="298" t="n">
        <f aca="false">IF(AG30&lt;=$C$17,0,ROUNDUP(AG30/$C$16,0))</f>
        <v>2</v>
      </c>
      <c r="AH31" s="298" t="n">
        <f aca="false">IF(AH30&lt;=$C$17,0,ROUNDUP(AH30/$C$16,0))</f>
        <v>2</v>
      </c>
      <c r="AI31" s="298" t="n">
        <f aca="false">IF(AI30&lt;=$C$17,0,ROUNDUP(AI30/$C$16,0))</f>
        <v>2</v>
      </c>
      <c r="AJ31" s="298" t="n">
        <f aca="false">IF(AJ30&lt;=$C$17,0,ROUNDUP(AJ30/$C$16,0))</f>
        <v>2</v>
      </c>
      <c r="AK31" s="298" t="n">
        <f aca="false">IF(AK30&lt;=$C$17,0,ROUNDUP(AK30/$C$16,0))</f>
        <v>2</v>
      </c>
      <c r="AL31" s="298" t="n">
        <f aca="false">IF(AL30&lt;=$C$17,0,ROUNDUP(AL30/$C$16,0))</f>
        <v>2</v>
      </c>
      <c r="AM31" s="298" t="n">
        <f aca="false">IF(AM30&lt;=$C$17,0,ROUNDUP(AM30/$C$16,0))</f>
        <v>2</v>
      </c>
      <c r="AN31" s="298" t="n">
        <f aca="false">IF(AN30&lt;=$C$17,0,ROUNDUP(AN30/$C$16,0))</f>
        <v>2</v>
      </c>
      <c r="AO31" s="298" t="n">
        <f aca="false">IF(AO30&lt;=$C$17,0,ROUNDUP(AO30/$C$16,0))</f>
        <v>2</v>
      </c>
      <c r="AP31" s="298" t="n">
        <f aca="false">IF(AP30&lt;=$C$17,0,ROUNDUP(AP30/$C$16,0))</f>
        <v>2</v>
      </c>
      <c r="AQ31" s="298" t="n">
        <f aca="false">IF(AQ30&lt;=$C$17,0,ROUNDUP(AQ30/$C$16,0))</f>
        <v>3</v>
      </c>
      <c r="AR31" s="298" t="n">
        <f aca="false">IF(AR30&lt;=$C$17,0,ROUNDUP(AR30/$C$16,0))</f>
        <v>3</v>
      </c>
      <c r="AS31" s="298" t="n">
        <f aca="false">IF(AS30&lt;=$C$17,0,ROUNDUP(AS30/$C$16,0))</f>
        <v>3</v>
      </c>
      <c r="AT31" s="298" t="n">
        <f aca="false">IF(AT30&lt;=$C$17,0,ROUNDUP(AT30/$C$16,0))</f>
        <v>3</v>
      </c>
      <c r="AU31" s="298" t="n">
        <f aca="false">IF(AU30&lt;=$C$17,0,ROUNDUP(AU30/$C$16,0))</f>
        <v>3</v>
      </c>
      <c r="AV31" s="298" t="n">
        <f aca="false">IF(AV30&lt;=$C$17,0,ROUNDUP(AV30/$C$16,0))</f>
        <v>3</v>
      </c>
      <c r="AW31" s="298" t="n">
        <f aca="false">IF(AW30&lt;=$C$17,0,ROUNDUP(AW30/$C$16,0))</f>
        <v>3</v>
      </c>
      <c r="AX31" s="298" t="n">
        <f aca="false">IF(AX30&lt;=$C$17,0,ROUNDUP(AX30/$C$16,0))</f>
        <v>3</v>
      </c>
      <c r="AY31" s="298" t="n">
        <f aca="false">IF(AY30&lt;=$C$17,0,ROUNDUP(AY30/$C$16,0))</f>
        <v>3</v>
      </c>
      <c r="AZ31" s="298" t="n">
        <f aca="false">IF(AZ30&lt;=$C$17,0,ROUNDUP(AZ30/$C$16,0))</f>
        <v>3</v>
      </c>
      <c r="BA31" s="298" t="n">
        <f aca="false">IF(BA30&lt;=$C$17,0,ROUNDUP(BA30/$C$16,0))</f>
        <v>3</v>
      </c>
      <c r="BB31" s="298" t="n">
        <f aca="false">IF(BB30&lt;=$C$17,0,ROUNDUP(BB30/$C$16,0))</f>
        <v>3</v>
      </c>
      <c r="BC31" s="298" t="n">
        <f aca="false">IF(BC30&lt;=$C$17,0,ROUNDUP(BC30/$C$16,0))</f>
        <v>3</v>
      </c>
      <c r="BD31" s="298" t="n">
        <f aca="false">IF(BD30&lt;=$C$17,0,ROUNDUP(BD30/$C$16,0))</f>
        <v>3</v>
      </c>
      <c r="BE31" s="298" t="n">
        <f aca="false">IF(BE30&lt;=$C$17,0,ROUNDUP(BE30/$C$16,0))</f>
        <v>3</v>
      </c>
      <c r="BF31" s="298" t="n">
        <f aca="false">IF(BF30&lt;=$C$17,0,ROUNDUP(BF30/$C$16,0))</f>
        <v>3</v>
      </c>
      <c r="BG31" s="298" t="n">
        <f aca="false">IF(BG30&lt;=$C$17,0,ROUNDUP(BG30/$C$16,0))</f>
        <v>3</v>
      </c>
      <c r="BH31" s="298" t="n">
        <f aca="false">IF(BH30&lt;=$C$17,0,ROUNDUP(BH30/$C$16,0))</f>
        <v>3</v>
      </c>
      <c r="BI31" s="298" t="n">
        <f aca="false">IF(BI30&lt;=$C$17,0,ROUNDUP(BI30/$C$16,0))</f>
        <v>3</v>
      </c>
      <c r="BJ31" s="298" t="n">
        <f aca="false">IF(BJ30&lt;=$C$17,0,ROUNDUP(BJ30/$C$16,0))</f>
        <v>3</v>
      </c>
      <c r="BK31" s="298" t="n">
        <f aca="false">IF(BK30&lt;=$C$17,0,ROUNDUP(BK30/$C$16,0))</f>
        <v>3</v>
      </c>
      <c r="BL31" s="298" t="n">
        <f aca="false">IF(BL30&lt;=$C$17,0,ROUNDUP(BL30/$C$16,0))</f>
        <v>3</v>
      </c>
      <c r="BM31" s="298" t="n">
        <f aca="false">IF(BM30&lt;=$C$17,0,ROUNDUP(BM30/$C$16,0))</f>
        <v>4</v>
      </c>
      <c r="BN31" s="298" t="n">
        <f aca="false">IF(BN30&lt;=$C$17,0,ROUNDUP(BN30/$C$16,0))</f>
        <v>4</v>
      </c>
      <c r="BO31" s="298" t="n">
        <f aca="false">IF(BO30&lt;=$C$17,0,ROUNDUP(BO30/$C$16,0))</f>
        <v>4</v>
      </c>
      <c r="BP31" s="298" t="n">
        <f aca="false">IF(BP30&lt;=$C$17,0,ROUNDUP(BP30/$C$16,0))</f>
        <v>4</v>
      </c>
      <c r="BQ31" s="298" t="n">
        <f aca="false">IF(BQ30&lt;=$C$17,0,ROUNDUP(BQ30/$C$16,0))</f>
        <v>4</v>
      </c>
      <c r="BR31" s="298" t="n">
        <f aca="false">IF(BR30&lt;=$C$17,0,ROUNDUP(BR30/$C$16,0))</f>
        <v>4</v>
      </c>
      <c r="BS31" s="298" t="n">
        <f aca="false">IF(BS30&lt;=$C$17,0,ROUNDUP(BS30/$C$16,0))</f>
        <v>4</v>
      </c>
      <c r="BT31" s="298" t="n">
        <f aca="false">IF(BT30&lt;=$C$17,0,ROUNDUP(BT30/$C$16,0))</f>
        <v>4</v>
      </c>
      <c r="BU31" s="298" t="n">
        <f aca="false">IF(BU30&lt;=$C$17,0,ROUNDUP(BU30/$C$16,0))</f>
        <v>4</v>
      </c>
      <c r="BV31" s="298" t="n">
        <f aca="false">IF(BV30&lt;=$C$17,0,ROUNDUP(BV30/$C$16,0))</f>
        <v>4</v>
      </c>
      <c r="BW31" s="298" t="n">
        <f aca="false">IF(BW30&lt;=$C$17,0,ROUNDUP(BW30/$C$16,0))</f>
        <v>4</v>
      </c>
      <c r="BX31" s="298" t="n">
        <f aca="false">IF(BX30&lt;=$C$17,0,ROUNDUP(BX30/$C$16,0))</f>
        <v>5</v>
      </c>
      <c r="BY31" s="298" t="n">
        <f aca="false">IF(BY30&lt;=$C$17,0,ROUNDUP(BY30/$C$16,0))</f>
        <v>5</v>
      </c>
      <c r="BZ31" s="298" t="n">
        <f aca="false">IF(BZ30&lt;=$C$17,0,ROUNDUP(BZ30/$C$16,0))</f>
        <v>5</v>
      </c>
      <c r="CA31" s="298" t="n">
        <f aca="false">IF(CA30&lt;=$C$17,0,ROUNDUP(CA30/$C$16,0))</f>
        <v>5</v>
      </c>
      <c r="CB31" s="298" t="n">
        <f aca="false">IF(CB30&lt;=$C$17,0,ROUNDUP(CB30/$C$16,0))</f>
        <v>5</v>
      </c>
      <c r="CC31" s="298" t="n">
        <f aca="false">IF(CC30&lt;=$C$17,0,ROUNDUP(CC30/$C$16,0))</f>
        <v>5</v>
      </c>
      <c r="CD31" s="298" t="n">
        <f aca="false">IF(CD30&lt;=$C$17,0,ROUNDUP(CD30/$C$16,0))</f>
        <v>5</v>
      </c>
      <c r="CE31" s="298" t="n">
        <f aca="false">IF(CE30&lt;=$C$17,0,ROUNDUP(CE30/$C$16,0))</f>
        <v>5</v>
      </c>
      <c r="CF31" s="298" t="n">
        <f aca="false">IF(CF30&lt;=$C$17,0,ROUNDUP(CF30/$C$16,0))</f>
        <v>5</v>
      </c>
      <c r="CG31" s="298" t="n">
        <f aca="false">IF(CG30&lt;=$C$17,0,ROUNDUP(CG30/$C$16,0))</f>
        <v>5</v>
      </c>
      <c r="CH31" s="298" t="n">
        <f aca="false">IF(CH30&lt;=$C$17,0,ROUNDUP(CH30/$C$16,0))</f>
        <v>5</v>
      </c>
      <c r="CI31" s="298" t="n">
        <f aca="false">IF(CI30&lt;=$C$17,0,ROUNDUP(CI30/$C$16,0))</f>
        <v>5</v>
      </c>
      <c r="CJ31" s="298" t="n">
        <f aca="false">IF(CJ30&lt;=$C$17,0,ROUNDUP(CJ30/$C$16,0))</f>
        <v>5</v>
      </c>
      <c r="CK31" s="298" t="n">
        <f aca="false">IF(CK30&lt;=$C$17,0,ROUNDUP(CK30/$C$16,0))</f>
        <v>5</v>
      </c>
      <c r="CL31" s="298" t="n">
        <f aca="false">IF(CL30&lt;=$C$17,0,ROUNDUP(CL30/$C$16,0))</f>
        <v>5</v>
      </c>
      <c r="CM31" s="298" t="n">
        <f aca="false">IF(CM30&lt;=$C$17,0,ROUNDUP(CM30/$C$16,0))</f>
        <v>5</v>
      </c>
      <c r="CN31" s="298" t="n">
        <f aca="false">IF(CN30&lt;=$C$17,0,ROUNDUP(CN30/$C$16,0))</f>
        <v>5</v>
      </c>
      <c r="CO31" s="298" t="n">
        <f aca="false">IF(CO30&lt;=$C$17,0,ROUNDUP(CO30/$C$16,0))</f>
        <v>5</v>
      </c>
      <c r="CP31" s="298" t="n">
        <f aca="false">IF(CP30&lt;=$C$17,0,ROUNDUP(CP30/$C$16,0))</f>
        <v>5</v>
      </c>
      <c r="CQ31" s="298" t="n">
        <f aca="false">IF(CQ30&lt;=$C$17,0,ROUNDUP(CQ30/$C$16,0))</f>
        <v>5</v>
      </c>
      <c r="CR31" s="298" t="n">
        <f aca="false">IF(CR30&lt;=$C$17,0,ROUNDUP(CR30/$C$16,0))</f>
        <v>5</v>
      </c>
      <c r="CS31" s="298" t="n">
        <f aca="false">IF(CS30&lt;=$C$17,0,ROUNDUP(CS30/$C$16,0))</f>
        <v>5</v>
      </c>
      <c r="CT31" s="298" t="n">
        <f aca="false">IF(CT30&lt;=$C$17,0,ROUNDUP(CT30/$C$16,0))</f>
        <v>5</v>
      </c>
      <c r="CU31" s="298" t="n">
        <f aca="false">IF(CU30&lt;=$C$17,0,ROUNDUP(CU30/$C$16,0))</f>
        <v>5</v>
      </c>
      <c r="CV31" s="298" t="n">
        <f aca="false">IF(CV30&lt;=$C$17,0,ROUNDUP(CV30/$C$16,0))</f>
        <v>5</v>
      </c>
      <c r="CW31" s="298" t="n">
        <f aca="false">IF(CW30&lt;=$C$17,0,ROUNDUP(CW30/$C$16,0))</f>
        <v>5</v>
      </c>
      <c r="CX31" s="298" t="n">
        <f aca="false">IF(CX30&lt;=$C$17,0,ROUNDUP(CX30/$C$16,0))</f>
        <v>5</v>
      </c>
      <c r="CY31" s="298" t="n">
        <f aca="false">IF(CY30&lt;=$C$17,0,ROUNDUP(CY30/$C$16,0))</f>
        <v>5</v>
      </c>
      <c r="CZ31" s="298" t="n">
        <f aca="false">IF(CZ30&lt;=$C$17,0,ROUNDUP(CZ30/$C$16,0))</f>
        <v>5</v>
      </c>
      <c r="DA31" s="298" t="n">
        <f aca="false">IF(DA30&lt;=$C$17,0,ROUNDUP(DA30/$C$16,0))</f>
        <v>5</v>
      </c>
      <c r="DB31" s="298" t="n">
        <f aca="false">IF(DB30&lt;=$C$17,0,ROUNDUP(DB30/$C$16,0))</f>
        <v>5</v>
      </c>
      <c r="DC31" s="298" t="n">
        <f aca="false">IF(DC30&lt;=$C$17,0,ROUNDUP(DC30/$C$16,0))</f>
        <v>5</v>
      </c>
      <c r="DD31" s="298" t="n">
        <f aca="false">IF(DD30&lt;=$C$17,0,ROUNDUP(DD30/$C$16,0))</f>
        <v>5</v>
      </c>
      <c r="DE31" s="298" t="n">
        <f aca="false">IF(DE30&lt;=$C$17,0,ROUNDUP(DE30/$C$16,0))</f>
        <v>5</v>
      </c>
      <c r="DF31" s="298" t="n">
        <f aca="false">IF(DF30&lt;=$C$17,0,ROUNDUP(DF30/$C$16,0))</f>
        <v>5</v>
      </c>
      <c r="DG31" s="298" t="n">
        <f aca="false">IF(DG30&lt;=$C$17,0,ROUNDUP(DG30/$C$16,0))</f>
        <v>5</v>
      </c>
      <c r="DH31" s="298" t="n">
        <f aca="false">IF(DH30&lt;=$C$17,0,ROUNDUP(DH30/$C$16,0))</f>
        <v>5</v>
      </c>
      <c r="DI31" s="298" t="n">
        <f aca="false">IF(DI30&lt;=$C$17,0,ROUNDUP(DI30/$C$16,0))</f>
        <v>5</v>
      </c>
      <c r="DJ31" s="298" t="n">
        <f aca="false">IF(DJ30&lt;=$C$17,0,ROUNDUP(DJ30/$C$16,0))</f>
        <v>5</v>
      </c>
      <c r="DK31" s="298" t="n">
        <f aca="false">IF(DK30&lt;=$C$17,0,ROUNDUP(DK30/$C$16,0))</f>
        <v>5</v>
      </c>
      <c r="DL31" s="298" t="n">
        <f aca="false">IF(DL30&lt;=$C$17,0,ROUNDUP(DL30/$C$16,0))</f>
        <v>5</v>
      </c>
      <c r="DM31" s="298" t="n">
        <f aca="false">IF(DM30&lt;=$C$17,0,ROUNDUP(DM30/$C$16,0))</f>
        <v>5</v>
      </c>
      <c r="DN31" s="298" t="n">
        <f aca="false">IF(DN30&lt;=$C$17,0,ROUNDUP(DN30/$C$16,0))</f>
        <v>5</v>
      </c>
      <c r="DO31" s="298" t="n">
        <f aca="false">IF(DO30&lt;=$C$17,0,ROUNDUP(DO30/$C$16,0))</f>
        <v>5</v>
      </c>
      <c r="DP31" s="298" t="n">
        <f aca="false">IF(DP30&lt;=$C$17,0,ROUNDUP(DP30/$C$16,0))</f>
        <v>5</v>
      </c>
      <c r="DQ31" s="298" t="n">
        <f aca="false">IF(DQ30&lt;=$C$17,0,ROUNDUP(DQ30/$C$16,0))</f>
        <v>5</v>
      </c>
      <c r="DR31" s="298" t="n">
        <f aca="false">IF(DR30&lt;=$C$17,0,ROUNDUP(DR30/$C$16,0))</f>
        <v>5</v>
      </c>
      <c r="DS31" s="298" t="n">
        <f aca="false">IF(DS30&lt;=$C$17,0,ROUNDUP(DS30/$C$16,0))</f>
        <v>5</v>
      </c>
    </row>
    <row r="32" customFormat="false" ht="15" hidden="false" customHeight="true" outlineLevel="0" collapsed="false">
      <c r="B32" s="297" t="s">
        <v>1433</v>
      </c>
      <c r="D32" s="273" t="n">
        <f aca="false">IF(D$29&gt;=$C$27,$C$12+$C$25,0)+D31*($C$15*(1+$C$11)+$C$19)</f>
        <v>0</v>
      </c>
      <c r="E32" s="273" t="n">
        <f aca="false">IF(E$29&gt;=$C$27,$C$12+$C$25,0)+E31*($C$15*(1+$C$11)+$C$19)</f>
        <v>15715</v>
      </c>
      <c r="F32" s="273" t="n">
        <f aca="false">IF(F$29&gt;=$C$27,$C$12+$C$25,0)+F31*($C$15*(1+$C$11)+$C$19)</f>
        <v>15715</v>
      </c>
      <c r="G32" s="273" t="n">
        <f aca="false">IF(G$29&gt;=$C$27,$C$12+$C$25,0)+G31*($C$15*(1+$C$11)+$C$19)</f>
        <v>15715</v>
      </c>
      <c r="H32" s="273" t="n">
        <f aca="false">IF(H$29&gt;=$C$27,$C$12+$C$25,0)+H31*($C$15*(1+$C$11)+$C$19)</f>
        <v>15715</v>
      </c>
      <c r="I32" s="273" t="n">
        <f aca="false">IF(I$29&gt;=$C$27,$C$12+$C$25,0)+I31*($C$15*(1+$C$11)+$C$19)</f>
        <v>15715</v>
      </c>
      <c r="J32" s="273" t="n">
        <f aca="false">IF(J$29&gt;=$C$27,$C$12+$C$25,0)+J31*($C$15*(1+$C$11)+$C$19)</f>
        <v>15715</v>
      </c>
      <c r="K32" s="273" t="n">
        <f aca="false">IF(K$29&gt;=$C$27,$C$12+$C$25,0)+K31*($C$15*(1+$C$11)+$C$19)</f>
        <v>15715</v>
      </c>
      <c r="L32" s="273" t="n">
        <f aca="false">IF(L$29&gt;=$C$27,$C$12+$C$25,0)+L31*($C$15*(1+$C$11)+$C$19)</f>
        <v>15715</v>
      </c>
      <c r="M32" s="273" t="n">
        <f aca="false">IF(M$29&gt;=$C$27,$C$12+$C$25,0)+M31*($C$15*(1+$C$11)+$C$19)</f>
        <v>15715</v>
      </c>
      <c r="N32" s="273" t="n">
        <f aca="false">IF(N$29&gt;=$C$27,$C$12+$C$25,0)+N31*($C$15*(1+$C$11)+$C$19)</f>
        <v>15715</v>
      </c>
      <c r="O32" s="273" t="n">
        <f aca="false">IF(O$29&gt;=$C$27,$C$12+$C$25,0)+O31*($C$15*(1+$C$11)+$C$19)</f>
        <v>15715</v>
      </c>
      <c r="P32" s="273" t="n">
        <f aca="false">IF(P$29&gt;=$C$27,$C$12+$C$25,0)+P31*($C$15*(1+$C$11)+$C$19)</f>
        <v>15715</v>
      </c>
      <c r="Q32" s="273" t="n">
        <f aca="false">IF(Q$29&gt;=$C$27,$C$12+$C$25,0)+Q31*($C$15*(1+$C$11)+$C$19)</f>
        <v>15715</v>
      </c>
      <c r="R32" s="273" t="n">
        <f aca="false">IF(R$29&gt;=$C$27,$C$12+$C$25,0)+R31*($C$15*(1+$C$11)+$C$19)</f>
        <v>15715</v>
      </c>
      <c r="S32" s="273" t="n">
        <f aca="false">IF(S$29&gt;=$C$27,$C$12+$C$25,0)+S31*($C$15*(1+$C$11)+$C$19)</f>
        <v>19145</v>
      </c>
      <c r="T32" s="273" t="n">
        <f aca="false">IF(T$29&gt;=$C$27,$C$12+$C$25,0)+T31*($C$15*(1+$C$11)+$C$19)</f>
        <v>19145</v>
      </c>
      <c r="U32" s="273" t="n">
        <f aca="false">IF(U$29&gt;=$C$27,$C$12+$C$25,0)+U31*($C$15*(1+$C$11)+$C$19)</f>
        <v>19145</v>
      </c>
      <c r="V32" s="273" t="n">
        <f aca="false">IF(V$29&gt;=$C$27,$C$12+$C$25,0)+V31*($C$15*(1+$C$11)+$C$19)</f>
        <v>19145</v>
      </c>
      <c r="W32" s="273" t="n">
        <f aca="false">IF(W$29&gt;=$C$27,$C$12+$C$25,0)+W31*($C$15*(1+$C$11)+$C$19)</f>
        <v>19145</v>
      </c>
      <c r="X32" s="273" t="n">
        <f aca="false">IF(X$29&gt;=$C$27,$C$12+$C$25,0)+X31*($C$15*(1+$C$11)+$C$19)</f>
        <v>19145</v>
      </c>
      <c r="Y32" s="273" t="n">
        <f aca="false">IF(Y$29&gt;=$C$27,$C$12+$C$25,0)+Y31*($C$15*(1+$C$11)+$C$19)</f>
        <v>19145</v>
      </c>
      <c r="Z32" s="273" t="n">
        <f aca="false">IF(Z$29&gt;=$C$27,$C$12+$C$25,0)+Z31*($C$15*(1+$C$11)+$C$19)</f>
        <v>19145</v>
      </c>
      <c r="AA32" s="273" t="n">
        <f aca="false">IF(AA$29&gt;=$C$27,$C$12+$C$25,0)+AA31*($C$15*(1+$C$11)+$C$19)</f>
        <v>19145</v>
      </c>
      <c r="AB32" s="273" t="n">
        <f aca="false">IF(AB$29&gt;=$C$27,$C$12+$C$25,0)+AB31*($C$15*(1+$C$11)+$C$19)</f>
        <v>19145</v>
      </c>
      <c r="AC32" s="273" t="n">
        <f aca="false">IF(AC$29&gt;=$C$27,$C$12+$C$25,0)+AC31*($C$15*(1+$C$11)+$C$19)</f>
        <v>19145</v>
      </c>
      <c r="AD32" s="273" t="n">
        <f aca="false">IF(AD$29&gt;=$C$27,$C$12+$C$25,0)+AD31*($C$15*(1+$C$11)+$C$19)</f>
        <v>19145</v>
      </c>
      <c r="AE32" s="273" t="n">
        <f aca="false">IF(AE$29&gt;=$C$27,$C$12+$C$25,0)+AE31*($C$15*(1+$C$11)+$C$19)</f>
        <v>19145</v>
      </c>
      <c r="AF32" s="273" t="n">
        <f aca="false">IF(AF$29&gt;=$C$27,$C$12+$C$25,0)+AF31*($C$15*(1+$C$11)+$C$19)</f>
        <v>19145</v>
      </c>
      <c r="AG32" s="273" t="n">
        <f aca="false">IF(AG$29&gt;=$C$27,$C$12+$C$25,0)+AG31*($C$15*(1+$C$11)+$C$19)</f>
        <v>19145</v>
      </c>
      <c r="AH32" s="273" t="n">
        <f aca="false">IF(AH$29&gt;=$C$27,$C$12+$C$25,0)+AH31*($C$15*(1+$C$11)+$C$19)</f>
        <v>19145</v>
      </c>
      <c r="AI32" s="273" t="n">
        <f aca="false">IF(AI$29&gt;=$C$27,$C$12+$C$25,0)+AI31*($C$15*(1+$C$11)+$C$19)</f>
        <v>19145</v>
      </c>
      <c r="AJ32" s="273" t="n">
        <f aca="false">IF(AJ$29&gt;=$C$27,$C$12+$C$25,0)+AJ31*($C$15*(1+$C$11)+$C$19)</f>
        <v>19145</v>
      </c>
      <c r="AK32" s="273" t="n">
        <f aca="false">IF(AK$29&gt;=$C$27,$C$12+$C$25,0)+AK31*($C$15*(1+$C$11)+$C$19)</f>
        <v>19145</v>
      </c>
      <c r="AL32" s="273" t="n">
        <f aca="false">IF(AL$29&gt;=$C$27,$C$12+$C$25,0)+AL31*($C$15*(1+$C$11)+$C$19)</f>
        <v>19145</v>
      </c>
      <c r="AM32" s="273" t="n">
        <f aca="false">IF(AM$29&gt;=$C$27,$C$12+$C$25,0)+AM31*($C$15*(1+$C$11)+$C$19)</f>
        <v>19145</v>
      </c>
      <c r="AN32" s="273" t="n">
        <f aca="false">IF(AN$29&gt;=$C$27,$C$12+$C$25,0)+AN31*($C$15*(1+$C$11)+$C$19)</f>
        <v>19145</v>
      </c>
      <c r="AO32" s="273" t="n">
        <f aca="false">IF(AO$29&gt;=$C$27,$C$12+$C$25,0)+AO31*($C$15*(1+$C$11)+$C$19)</f>
        <v>19145</v>
      </c>
      <c r="AP32" s="273" t="n">
        <f aca="false">IF(AP$29&gt;=$C$27,$C$12+$C$25,0)+AP31*($C$15*(1+$C$11)+$C$19)</f>
        <v>19145</v>
      </c>
      <c r="AQ32" s="273" t="n">
        <f aca="false">IF(AQ$29&gt;=$C$27,$C$12+$C$25,0)+AQ31*($C$15*(1+$C$11)+$C$19)</f>
        <v>20860</v>
      </c>
      <c r="AR32" s="273" t="n">
        <f aca="false">IF(AR$29&gt;=$C$27,$C$12+$C$25,0)+AR31*($C$15*(1+$C$11)+$C$19)</f>
        <v>20860</v>
      </c>
      <c r="AS32" s="273" t="n">
        <f aca="false">IF(AS$29&gt;=$C$27,$C$12+$C$25,0)+AS31*($C$15*(1+$C$11)+$C$19)</f>
        <v>20860</v>
      </c>
      <c r="AT32" s="273" t="n">
        <f aca="false">IF(AT$29&gt;=$C$27,$C$12+$C$25,0)+AT31*($C$15*(1+$C$11)+$C$19)</f>
        <v>20860</v>
      </c>
      <c r="AU32" s="273" t="n">
        <f aca="false">IF(AU$29&gt;=$C$27,$C$12+$C$25,0)+AU31*($C$15*(1+$C$11)+$C$19)</f>
        <v>20860</v>
      </c>
      <c r="AV32" s="273" t="n">
        <f aca="false">IF(AV$29&gt;=$C$27,$C$12+$C$25,0)+AV31*($C$15*(1+$C$11)+$C$19)</f>
        <v>20860</v>
      </c>
      <c r="AW32" s="273" t="n">
        <f aca="false">IF(AW$29&gt;=$C$27,$C$12+$C$25,0)+AW31*($C$15*(1+$C$11)+$C$19)</f>
        <v>20860</v>
      </c>
      <c r="AX32" s="273" t="n">
        <f aca="false">IF(AX$29&gt;=$C$27,$C$12+$C$25,0)+AX31*($C$15*(1+$C$11)+$C$19)</f>
        <v>20860</v>
      </c>
      <c r="AY32" s="273" t="n">
        <f aca="false">IF(AY$29&gt;=$C$27,$C$12+$C$25,0)+AY31*($C$15*(1+$C$11)+$C$19)</f>
        <v>20860</v>
      </c>
      <c r="AZ32" s="273" t="n">
        <f aca="false">IF(AZ$29&gt;=$C$27,$C$12+$C$25,0)+AZ31*($C$15*(1+$C$11)+$C$19)</f>
        <v>20860</v>
      </c>
      <c r="BA32" s="273" t="n">
        <f aca="false">IF(BA$29&gt;=$C$27,$C$12+$C$25,0)+BA31*($C$15*(1+$C$11)+$C$19)</f>
        <v>20860</v>
      </c>
      <c r="BB32" s="273" t="n">
        <f aca="false">IF(BB$29&gt;=$C$27,$C$12+$C$25,0)+BB31*($C$15*(1+$C$11)+$C$19)</f>
        <v>20860</v>
      </c>
      <c r="BC32" s="273" t="n">
        <f aca="false">IF(BC$29&gt;=$C$27,$C$12+$C$25,0)+BC31*($C$15*(1+$C$11)+$C$19)</f>
        <v>20860</v>
      </c>
      <c r="BD32" s="273" t="n">
        <f aca="false">IF(BD$29&gt;=$C$27,$C$12+$C$25,0)+BD31*($C$15*(1+$C$11)+$C$19)</f>
        <v>20860</v>
      </c>
      <c r="BE32" s="273" t="n">
        <f aca="false">IF(BE$29&gt;=$C$27,$C$12+$C$25,0)+BE31*($C$15*(1+$C$11)+$C$19)</f>
        <v>20860</v>
      </c>
      <c r="BF32" s="273" t="n">
        <f aca="false">IF(BF$29&gt;=$C$27,$C$12+$C$25,0)+BF31*($C$15*(1+$C$11)+$C$19)</f>
        <v>20860</v>
      </c>
      <c r="BG32" s="273" t="n">
        <f aca="false">IF(BG$29&gt;=$C$27,$C$12+$C$25,0)+BG31*($C$15*(1+$C$11)+$C$19)</f>
        <v>20860</v>
      </c>
      <c r="BH32" s="273" t="n">
        <f aca="false">IF(BH$29&gt;=$C$27,$C$12+$C$25,0)+BH31*($C$15*(1+$C$11)+$C$19)</f>
        <v>20860</v>
      </c>
      <c r="BI32" s="273" t="n">
        <f aca="false">IF(BI$29&gt;=$C$27,$C$12+$C$25,0)+BI31*($C$15*(1+$C$11)+$C$19)</f>
        <v>20860</v>
      </c>
      <c r="BJ32" s="273" t="n">
        <f aca="false">IF(BJ$29&gt;=$C$27,$C$12+$C$25,0)+BJ31*($C$15*(1+$C$11)+$C$19)</f>
        <v>20860</v>
      </c>
      <c r="BK32" s="273" t="n">
        <f aca="false">IF(BK$29&gt;=$C$27,$C$12+$C$25,0)+BK31*($C$15*(1+$C$11)+$C$19)</f>
        <v>20860</v>
      </c>
      <c r="BL32" s="273" t="n">
        <f aca="false">IF(BL$29&gt;=$C$27,$C$12+$C$25,0)+BL31*($C$15*(1+$C$11)+$C$19)</f>
        <v>20860</v>
      </c>
      <c r="BM32" s="273" t="n">
        <f aca="false">IF(BM$29&gt;=$C$27,$C$12+$C$25,0)+BM31*($C$15*(1+$C$11)+$C$19)</f>
        <v>22575</v>
      </c>
      <c r="BN32" s="273" t="n">
        <f aca="false">IF(BN$29&gt;=$C$27,$C$12+$C$25,0)+BN31*($C$15*(1+$C$11)+$C$19)</f>
        <v>22575</v>
      </c>
      <c r="BO32" s="273" t="n">
        <f aca="false">IF(BO$29&gt;=$C$27,$C$12+$C$25,0)+BO31*($C$15*(1+$C$11)+$C$19)</f>
        <v>22575</v>
      </c>
      <c r="BP32" s="273" t="n">
        <f aca="false">IF(BP$29&gt;=$C$27,$C$12+$C$25,0)+BP31*($C$15*(1+$C$11)+$C$19)</f>
        <v>22575</v>
      </c>
      <c r="BQ32" s="273" t="n">
        <f aca="false">IF(BQ$29&gt;=$C$27,$C$12+$C$25,0)+BQ31*($C$15*(1+$C$11)+$C$19)</f>
        <v>22575</v>
      </c>
      <c r="BR32" s="273" t="n">
        <f aca="false">IF(BR$29&gt;=$C$27,$C$12+$C$25,0)+BR31*($C$15*(1+$C$11)+$C$19)</f>
        <v>22575</v>
      </c>
      <c r="BS32" s="273" t="n">
        <f aca="false">IF(BS$29&gt;=$C$27,$C$12+$C$25,0)+BS31*($C$15*(1+$C$11)+$C$19)</f>
        <v>22575</v>
      </c>
      <c r="BT32" s="273" t="n">
        <f aca="false">IF(BT$29&gt;=$C$27,$C$12+$C$25,0)+BT31*($C$15*(1+$C$11)+$C$19)</f>
        <v>22575</v>
      </c>
      <c r="BU32" s="273" t="n">
        <f aca="false">IF(BU$29&gt;=$C$27,$C$12+$C$25,0)+BU31*($C$15*(1+$C$11)+$C$19)</f>
        <v>22575</v>
      </c>
      <c r="BV32" s="273" t="n">
        <f aca="false">IF(BV$29&gt;=$C$27,$C$12+$C$25,0)+BV31*($C$15*(1+$C$11)+$C$19)</f>
        <v>22575</v>
      </c>
      <c r="BW32" s="273" t="n">
        <f aca="false">IF(BW$29&gt;=$C$27,$C$12+$C$25,0)+BW31*($C$15*(1+$C$11)+$C$19)</f>
        <v>22575</v>
      </c>
      <c r="BX32" s="273" t="n">
        <f aca="false">IF(BX$29&gt;=$C$27,$C$12+$C$25,0)+BX31*($C$15*(1+$C$11)+$C$19)</f>
        <v>24290</v>
      </c>
      <c r="BY32" s="273" t="n">
        <f aca="false">IF(BY$29&gt;=$C$27,$C$12+$C$25,0)+BY31*($C$15*(1+$C$11)+$C$19)</f>
        <v>24290</v>
      </c>
      <c r="BZ32" s="273" t="n">
        <f aca="false">IF(BZ$29&gt;=$C$27,$C$12+$C$25,0)+BZ31*($C$15*(1+$C$11)+$C$19)</f>
        <v>24290</v>
      </c>
      <c r="CA32" s="273" t="n">
        <f aca="false">IF(CA$29&gt;=$C$27,$C$12+$C$25,0)+CA31*($C$15*(1+$C$11)+$C$19)</f>
        <v>24290</v>
      </c>
      <c r="CB32" s="273" t="n">
        <f aca="false">IF(CB$29&gt;=$C$27,$C$12+$C$25,0)+CB31*($C$15*(1+$C$11)+$C$19)</f>
        <v>24290</v>
      </c>
      <c r="CC32" s="273" t="n">
        <f aca="false">IF(CC$29&gt;=$C$27,$C$12+$C$25,0)+CC31*($C$15*(1+$C$11)+$C$19)</f>
        <v>24290</v>
      </c>
      <c r="CD32" s="273" t="n">
        <f aca="false">IF(CD$29&gt;=$C$27,$C$12+$C$25,0)+CD31*($C$15*(1+$C$11)+$C$19)</f>
        <v>24290</v>
      </c>
      <c r="CE32" s="273" t="n">
        <f aca="false">IF(CE$29&gt;=$C$27,$C$12+$C$25,0)+CE31*($C$15*(1+$C$11)+$C$19)</f>
        <v>24290</v>
      </c>
      <c r="CF32" s="273" t="n">
        <f aca="false">IF(CF$29&gt;=$C$27,$C$12+$C$25,0)+CF31*($C$15*(1+$C$11)+$C$19)</f>
        <v>24290</v>
      </c>
      <c r="CG32" s="273" t="n">
        <f aca="false">IF(CG$29&gt;=$C$27,$C$12+$C$25,0)+CG31*($C$15*(1+$C$11)+$C$19)</f>
        <v>24290</v>
      </c>
      <c r="CH32" s="273" t="n">
        <f aca="false">IF(CH$29&gt;=$C$27,$C$12+$C$25,0)+CH31*($C$15*(1+$C$11)+$C$19)</f>
        <v>24290</v>
      </c>
      <c r="CI32" s="273" t="n">
        <f aca="false">IF(CI$29&gt;=$C$27,$C$12+$C$25,0)+CI31*($C$15*(1+$C$11)+$C$19)</f>
        <v>24290</v>
      </c>
      <c r="CJ32" s="273" t="n">
        <f aca="false">IF(CJ$29&gt;=$C$27,$C$12+$C$25,0)+CJ31*($C$15*(1+$C$11)+$C$19)</f>
        <v>24290</v>
      </c>
      <c r="CK32" s="273" t="n">
        <f aca="false">IF(CK$29&gt;=$C$27,$C$12+$C$25,0)+CK31*($C$15*(1+$C$11)+$C$19)</f>
        <v>24290</v>
      </c>
      <c r="CL32" s="273" t="n">
        <f aca="false">IF(CL$29&gt;=$C$27,$C$12+$C$25,0)+CL31*($C$15*(1+$C$11)+$C$19)</f>
        <v>24290</v>
      </c>
      <c r="CM32" s="273" t="n">
        <f aca="false">IF(CM$29&gt;=$C$27,$C$12+$C$25,0)+CM31*($C$15*(1+$C$11)+$C$19)</f>
        <v>24290</v>
      </c>
      <c r="CN32" s="273" t="n">
        <f aca="false">IF(CN$29&gt;=$C$27,$C$12+$C$25,0)+CN31*($C$15*(1+$C$11)+$C$19)</f>
        <v>24290</v>
      </c>
      <c r="CO32" s="273" t="n">
        <f aca="false">IF(CO$29&gt;=$C$27,$C$12+$C$25,0)+CO31*($C$15*(1+$C$11)+$C$19)</f>
        <v>24290</v>
      </c>
      <c r="CP32" s="273" t="n">
        <f aca="false">IF(CP$29&gt;=$C$27,$C$12+$C$25,0)+CP31*($C$15*(1+$C$11)+$C$19)</f>
        <v>24290</v>
      </c>
      <c r="CQ32" s="273" t="n">
        <f aca="false">IF(CQ$29&gt;=$C$27,$C$12+$C$25,0)+CQ31*($C$15*(1+$C$11)+$C$19)</f>
        <v>24290</v>
      </c>
      <c r="CR32" s="273" t="n">
        <f aca="false">IF(CR$29&gt;=$C$27,$C$12+$C$25,0)+CR31*($C$15*(1+$C$11)+$C$19)</f>
        <v>24290</v>
      </c>
      <c r="CS32" s="273" t="n">
        <f aca="false">IF(CS$29&gt;=$C$27,$C$12+$C$25,0)+CS31*($C$15*(1+$C$11)+$C$19)</f>
        <v>24290</v>
      </c>
      <c r="CT32" s="273" t="n">
        <f aca="false">IF(CT$29&gt;=$C$27,$C$12+$C$25,0)+CT31*($C$15*(1+$C$11)+$C$19)</f>
        <v>24290</v>
      </c>
      <c r="CU32" s="273" t="n">
        <f aca="false">IF(CU$29&gt;=$C$27,$C$12+$C$25,0)+CU31*($C$15*(1+$C$11)+$C$19)</f>
        <v>24290</v>
      </c>
      <c r="CV32" s="273" t="n">
        <f aca="false">IF(CV$29&gt;=$C$27,$C$12+$C$25,0)+CV31*($C$15*(1+$C$11)+$C$19)</f>
        <v>24290</v>
      </c>
      <c r="CW32" s="273" t="n">
        <f aca="false">IF(CW$29&gt;=$C$27,$C$12+$C$25,0)+CW31*($C$15*(1+$C$11)+$C$19)</f>
        <v>24290</v>
      </c>
      <c r="CX32" s="273" t="n">
        <f aca="false">IF(CX$29&gt;=$C$27,$C$12+$C$25,0)+CX31*($C$15*(1+$C$11)+$C$19)</f>
        <v>24290</v>
      </c>
      <c r="CY32" s="273" t="n">
        <f aca="false">IF(CY$29&gt;=$C$27,$C$12+$C$25,0)+CY31*($C$15*(1+$C$11)+$C$19)</f>
        <v>24290</v>
      </c>
      <c r="CZ32" s="273" t="n">
        <f aca="false">IF(CZ$29&gt;=$C$27,$C$12+$C$25,0)+CZ31*($C$15*(1+$C$11)+$C$19)</f>
        <v>24290</v>
      </c>
      <c r="DA32" s="273" t="n">
        <f aca="false">IF(DA$29&gt;=$C$27,$C$12+$C$25,0)+DA31*($C$15*(1+$C$11)+$C$19)</f>
        <v>24290</v>
      </c>
      <c r="DB32" s="273" t="n">
        <f aca="false">IF(DB$29&gt;=$C$27,$C$12+$C$25,0)+DB31*($C$15*(1+$C$11)+$C$19)</f>
        <v>24290</v>
      </c>
      <c r="DC32" s="273" t="n">
        <f aca="false">IF(DC$29&gt;=$C$27,$C$12+$C$25,0)+DC31*($C$15*(1+$C$11)+$C$19)</f>
        <v>24290</v>
      </c>
      <c r="DD32" s="273" t="n">
        <f aca="false">IF(DD$29&gt;=$C$27,$C$12+$C$25,0)+DD31*($C$15*(1+$C$11)+$C$19)</f>
        <v>24290</v>
      </c>
      <c r="DE32" s="273" t="n">
        <f aca="false">IF(DE$29&gt;=$C$27,$C$12+$C$25,0)+DE31*($C$15*(1+$C$11)+$C$19)</f>
        <v>24290</v>
      </c>
      <c r="DF32" s="273" t="n">
        <f aca="false">IF(DF$29&gt;=$C$27,$C$12+$C$25,0)+DF31*($C$15*(1+$C$11)+$C$19)</f>
        <v>24290</v>
      </c>
      <c r="DG32" s="273" t="n">
        <f aca="false">IF(DG$29&gt;=$C$27,$C$12+$C$25,0)+DG31*($C$15*(1+$C$11)+$C$19)</f>
        <v>24290</v>
      </c>
      <c r="DH32" s="273" t="n">
        <f aca="false">IF(DH$29&gt;=$C$27,$C$12+$C$25,0)+DH31*($C$15*(1+$C$11)+$C$19)</f>
        <v>24290</v>
      </c>
      <c r="DI32" s="273" t="n">
        <f aca="false">IF(DI$29&gt;=$C$27,$C$12+$C$25,0)+DI31*($C$15*(1+$C$11)+$C$19)</f>
        <v>24290</v>
      </c>
      <c r="DJ32" s="273" t="n">
        <f aca="false">IF(DJ$29&gt;=$C$27,$C$12+$C$25,0)+DJ31*($C$15*(1+$C$11)+$C$19)</f>
        <v>24290</v>
      </c>
      <c r="DK32" s="273" t="n">
        <f aca="false">IF(DK$29&gt;=$C$27,$C$12+$C$25,0)+DK31*($C$15*(1+$C$11)+$C$19)</f>
        <v>24290</v>
      </c>
      <c r="DL32" s="273" t="n">
        <f aca="false">IF(DL$29&gt;=$C$27,$C$12+$C$25,0)+DL31*($C$15*(1+$C$11)+$C$19)</f>
        <v>24290</v>
      </c>
      <c r="DM32" s="273" t="n">
        <f aca="false">IF(DM$29&gt;=$C$27,$C$12+$C$25,0)+DM31*($C$15*(1+$C$11)+$C$19)</f>
        <v>24290</v>
      </c>
      <c r="DN32" s="273" t="n">
        <f aca="false">IF(DN$29&gt;=$C$27,$C$12+$C$25,0)+DN31*($C$15*(1+$C$11)+$C$19)</f>
        <v>24290</v>
      </c>
      <c r="DO32" s="273" t="n">
        <f aca="false">IF(DO$29&gt;=$C$27,$C$12+$C$25,0)+DO31*($C$15*(1+$C$11)+$C$19)</f>
        <v>24290</v>
      </c>
      <c r="DP32" s="273" t="n">
        <f aca="false">IF(DP$29&gt;=$C$27,$C$12+$C$25,0)+DP31*($C$15*(1+$C$11)+$C$19)</f>
        <v>24290</v>
      </c>
      <c r="DQ32" s="273" t="n">
        <f aca="false">IF(DQ$29&gt;=$C$27,$C$12+$C$25,0)+DQ31*($C$15*(1+$C$11)+$C$19)</f>
        <v>24290</v>
      </c>
      <c r="DR32" s="273" t="n">
        <f aca="false">IF(DR$29&gt;=$C$27,$C$12+$C$25,0)+DR31*($C$15*(1+$C$11)+$C$19)</f>
        <v>24290</v>
      </c>
      <c r="DS32" s="273" t="n">
        <f aca="false">IF(DS$29&gt;=$C$27,$C$12+$C$25,0)+DS31*($C$15*(1+$C$11)+$C$19)</f>
        <v>24290</v>
      </c>
    </row>
    <row r="33" customFormat="false" ht="15" hidden="false" customHeight="true" outlineLevel="0" collapsed="false">
      <c r="B33" s="297" t="s">
        <v>1434</v>
      </c>
      <c r="D33" s="273" t="n">
        <f aca="false">SUP_CONTROL!$C$11*CAPA1_PILOTO!D15+SUP_CONTROL!$C$12*CAPA2_FLAGSHIP!D11+SUP_CONTROL!$C$13*CAPA3_EXPANSION!D39+SUP_CONTROL!$C$14*CAPA4_RETAIL!D8</f>
        <v>0</v>
      </c>
      <c r="E33" s="273" t="n">
        <f aca="false">SUP_CONTROL!$C$11*CAPA1_PILOTO!E15+SUP_CONTROL!$C$12*CAPA2_FLAGSHIP!E11+SUP_CONTROL!$C$13*CAPA3_EXPANSION!E39+SUP_CONTROL!$C$14*CAPA4_RETAIL!E8</f>
        <v>0</v>
      </c>
      <c r="F33" s="273" t="n">
        <f aca="false">SUP_CONTROL!$C$11*CAPA1_PILOTO!F15+SUP_CONTROL!$C$12*CAPA2_FLAGSHIP!F11+SUP_CONTROL!$C$13*CAPA3_EXPANSION!F39+SUP_CONTROL!$C$14*CAPA4_RETAIL!F8</f>
        <v>0</v>
      </c>
      <c r="G33" s="273" t="n">
        <f aca="false">SUP_CONTROL!$C$11*CAPA1_PILOTO!G15+SUP_CONTROL!$C$12*CAPA2_FLAGSHIP!G11+SUP_CONTROL!$C$13*CAPA3_EXPANSION!G39+SUP_CONTROL!$C$14*CAPA4_RETAIL!G8</f>
        <v>75993.6651800203</v>
      </c>
      <c r="H33" s="273" t="n">
        <f aca="false">SUP_CONTROL!$C$11*CAPA1_PILOTO!H15+SUP_CONTROL!$C$12*CAPA2_FLAGSHIP!H11+SUP_CONTROL!$C$13*CAPA3_EXPANSION!H39+SUP_CONTROL!$C$14*CAPA4_RETAIL!H8</f>
        <v>168271.687184331</v>
      </c>
      <c r="I33" s="273" t="n">
        <f aca="false">SUP_CONTROL!$C$11*CAPA1_PILOTO!I15+SUP_CONTROL!$C$12*CAPA2_FLAGSHIP!I11+SUP_CONTROL!$C$13*CAPA3_EXPANSION!I39+SUP_CONTROL!$C$14*CAPA4_RETAIL!I8</f>
        <v>276834.066012931</v>
      </c>
      <c r="J33" s="273" t="n">
        <f aca="false">SUP_CONTROL!$C$11*CAPA1_PILOTO!J15+SUP_CONTROL!$C$12*CAPA2_FLAGSHIP!J11+SUP_CONTROL!$C$13*CAPA3_EXPANSION!J39+SUP_CONTROL!$C$14*CAPA4_RETAIL!J8</f>
        <v>396795.494618535</v>
      </c>
      <c r="K33" s="273" t="n">
        <f aca="false">SUP_CONTROL!$C$11*CAPA1_PILOTO!K15+SUP_CONTROL!$C$12*CAPA2_FLAGSHIP!K11+SUP_CONTROL!$C$13*CAPA3_EXPANSION!K39+SUP_CONTROL!$C$14*CAPA4_RETAIL!K8</f>
        <v>530598.626524785</v>
      </c>
      <c r="L33" s="273" t="n">
        <f aca="false">SUP_CONTROL!$C$11*CAPA1_PILOTO!L15+SUP_CONTROL!$C$12*CAPA2_FLAGSHIP!L11+SUP_CONTROL!$C$13*CAPA3_EXPANSION!L39+SUP_CONTROL!$C$14*CAPA4_RETAIL!L8</f>
        <v>570495.300744295</v>
      </c>
      <c r="M33" s="273" t="n">
        <f aca="false">SUP_CONTROL!$C$11*CAPA1_PILOTO!M15+SUP_CONTROL!$C$12*CAPA2_FLAGSHIP!M11+SUP_CONTROL!$C$13*CAPA3_EXPANSION!M39+SUP_CONTROL!$C$14*CAPA4_RETAIL!M8</f>
        <v>591664.964615872</v>
      </c>
      <c r="N33" s="273" t="n">
        <f aca="false">SUP_CONTROL!$C$11*CAPA1_PILOTO!N15+SUP_CONTROL!$C$12*CAPA2_FLAGSHIP!N11+SUP_CONTROL!$C$13*CAPA3_EXPANSION!N39+SUP_CONTROL!$C$14*CAPA4_RETAIL!N8</f>
        <v>591664.964615872</v>
      </c>
      <c r="O33" s="273" t="n">
        <f aca="false">SUP_CONTROL!$C$11*CAPA1_PILOTO!O15+SUP_CONTROL!$C$12*CAPA2_FLAGSHIP!O11+SUP_CONTROL!$C$13*CAPA3_EXPANSION!O39+SUP_CONTROL!$C$14*CAPA4_RETAIL!O8</f>
        <v>591664.964615872</v>
      </c>
      <c r="P33" s="273" t="n">
        <f aca="false">SUP_CONTROL!$C$11*CAPA1_PILOTO!P15+SUP_CONTROL!$C$12*CAPA2_FLAGSHIP!P11+SUP_CONTROL!$C$13*CAPA3_EXPANSION!P39+SUP_CONTROL!$C$14*CAPA4_RETAIL!P8</f>
        <v>591664.964615872</v>
      </c>
      <c r="Q33" s="273" t="n">
        <f aca="false">SUP_CONTROL!$C$11*CAPA1_PILOTO!Q15+SUP_CONTROL!$C$12*CAPA2_FLAGSHIP!Q11+SUP_CONTROL!$C$13*CAPA3_EXPANSION!Q39+SUP_CONTROL!$C$14*CAPA4_RETAIL!Q8</f>
        <v>591664.964615872</v>
      </c>
      <c r="R33" s="273" t="n">
        <f aca="false">SUP_CONTROL!$C$11*CAPA1_PILOTO!R15+SUP_CONTROL!$C$12*CAPA2_FLAGSHIP!R11+SUP_CONTROL!$C$13*CAPA3_EXPANSION!R39+SUP_CONTROL!$C$14*CAPA4_RETAIL!R8</f>
        <v>591664.964615872</v>
      </c>
      <c r="S33" s="273" t="n">
        <f aca="false">SUP_CONTROL!$C$11*CAPA1_PILOTO!S15+SUP_CONTROL!$C$12*CAPA2_FLAGSHIP!S11+SUP_CONTROL!$C$13*CAPA3_EXPANSION!S39+SUP_CONTROL!$C$14*CAPA4_RETAIL!S8</f>
        <v>591664.964615872</v>
      </c>
      <c r="T33" s="273" t="n">
        <f aca="false">SUP_CONTROL!$C$11*CAPA1_PILOTO!T15+SUP_CONTROL!$C$12*CAPA2_FLAGSHIP!T11+SUP_CONTROL!$C$13*CAPA3_EXPANSION!T39+SUP_CONTROL!$C$14*CAPA4_RETAIL!T8</f>
        <v>591664.964615872</v>
      </c>
      <c r="U33" s="273" t="n">
        <f aca="false">SUP_CONTROL!$C$11*CAPA1_PILOTO!U15+SUP_CONTROL!$C$12*CAPA2_FLAGSHIP!U11+SUP_CONTROL!$C$13*CAPA3_EXPANSION!U39+SUP_CONTROL!$C$14*CAPA4_RETAIL!U8</f>
        <v>591664.964615872</v>
      </c>
      <c r="V33" s="273" t="n">
        <f aca="false">SUP_CONTROL!$C$11*CAPA1_PILOTO!V15+SUP_CONTROL!$C$12*CAPA2_FLAGSHIP!V11+SUP_CONTROL!$C$13*CAPA3_EXPANSION!V39+SUP_CONTROL!$C$14*CAPA4_RETAIL!V8</f>
        <v>626947.737735167</v>
      </c>
      <c r="W33" s="273" t="n">
        <f aca="false">SUP_CONTROL!$C$11*CAPA1_PILOTO!W15+SUP_CONTROL!$C$12*CAPA2_FLAGSHIP!W11+SUP_CONTROL!$C$13*CAPA3_EXPANSION!W39+SUP_CONTROL!$C$14*CAPA4_RETAIL!W8</f>
        <v>670372.689266608</v>
      </c>
      <c r="X33" s="273" t="n">
        <f aca="false">SUP_CONTROL!$C$11*CAPA1_PILOTO!X15+SUP_CONTROL!$C$12*CAPA2_FLAGSHIP!X11+SUP_CONTROL!$C$13*CAPA3_EXPANSION!X39+SUP_CONTROL!$C$14*CAPA4_RETAIL!X8</f>
        <v>683942.986620183</v>
      </c>
      <c r="Y33" s="273" t="n">
        <f aca="false">SUP_CONTROL!$C$11*CAPA1_PILOTO!Y15+SUP_CONTROL!$C$12*CAPA2_FLAGSHIP!Y11+SUP_CONTROL!$C$13*CAPA3_EXPANSION!Y39+SUP_CONTROL!$C$14*CAPA4_RETAIL!Y8</f>
        <v>730081.997622338</v>
      </c>
      <c r="Z33" s="273" t="n">
        <f aca="false">SUP_CONTROL!$C$11*CAPA1_PILOTO!Z15+SUP_CONTROL!$C$12*CAPA2_FLAGSHIP!Z11+SUP_CONTROL!$C$13*CAPA3_EXPANSION!Z39+SUP_CONTROL!$C$14*CAPA4_RETAIL!Z8</f>
        <v>743652.294975913</v>
      </c>
      <c r="AA33" s="273" t="n">
        <f aca="false">SUP_CONTROL!$C$11*CAPA1_PILOTO!AA15+SUP_CONTROL!$C$12*CAPA2_FLAGSHIP!AA11+SUP_CONTROL!$C$13*CAPA3_EXPANSION!AA39+SUP_CONTROL!$C$14*CAPA4_RETAIL!AA8</f>
        <v>749080.413917343</v>
      </c>
      <c r="AB33" s="273" t="n">
        <f aca="false">SUP_CONTROL!$C$11*CAPA1_PILOTO!AB15+SUP_CONTROL!$C$12*CAPA2_FLAGSHIP!AB11+SUP_CONTROL!$C$13*CAPA3_EXPANSION!AB39+SUP_CONTROL!$C$14*CAPA4_RETAIL!AB8</f>
        <v>754508.532858773</v>
      </c>
      <c r="AC33" s="273" t="n">
        <f aca="false">SUP_CONTROL!$C$11*CAPA1_PILOTO!AC15+SUP_CONTROL!$C$12*CAPA2_FLAGSHIP!AC11+SUP_CONTROL!$C$13*CAPA3_EXPANSION!AC39+SUP_CONTROL!$C$14*CAPA4_RETAIL!AC8</f>
        <v>754508.532858773</v>
      </c>
      <c r="AD33" s="273" t="n">
        <f aca="false">SUP_CONTROL!$C$11*CAPA1_PILOTO!AD15+SUP_CONTROL!$C$12*CAPA2_FLAGSHIP!AD11+SUP_CONTROL!$C$13*CAPA3_EXPANSION!AD39+SUP_CONTROL!$C$14*CAPA4_RETAIL!AD8</f>
        <v>754508.532858773</v>
      </c>
      <c r="AE33" s="273" t="n">
        <f aca="false">SUP_CONTROL!$C$11*CAPA1_PILOTO!AE15+SUP_CONTROL!$C$12*CAPA2_FLAGSHIP!AE11+SUP_CONTROL!$C$13*CAPA3_EXPANSION!AE39+SUP_CONTROL!$C$14*CAPA4_RETAIL!AE8</f>
        <v>754508.532858773</v>
      </c>
      <c r="AF33" s="273" t="n">
        <f aca="false">SUP_CONTROL!$C$11*CAPA1_PILOTO!AF15+SUP_CONTROL!$C$12*CAPA2_FLAGSHIP!AF11+SUP_CONTROL!$C$13*CAPA3_EXPANSION!AF39+SUP_CONTROL!$C$14*CAPA4_RETAIL!AF8</f>
        <v>754508.532858773</v>
      </c>
      <c r="AG33" s="273" t="n">
        <f aca="false">SUP_CONTROL!$C$11*CAPA1_PILOTO!AG15+SUP_CONTROL!$C$12*CAPA2_FLAGSHIP!AG11+SUP_CONTROL!$C$13*CAPA3_EXPANSION!AG39+SUP_CONTROL!$C$14*CAPA4_RETAIL!AG8</f>
        <v>749623.225811486</v>
      </c>
      <c r="AH33" s="273" t="n">
        <f aca="false">SUP_CONTROL!$C$11*CAPA1_PILOTO!AH15+SUP_CONTROL!$C$12*CAPA2_FLAGSHIP!AH11+SUP_CONTROL!$C$13*CAPA3_EXPANSION!AH39+SUP_CONTROL!$C$14*CAPA4_RETAIL!AH8</f>
        <v>749623.225811486</v>
      </c>
      <c r="AI33" s="273" t="n">
        <f aca="false">SUP_CONTROL!$C$11*CAPA1_PILOTO!AI15+SUP_CONTROL!$C$12*CAPA2_FLAGSHIP!AI11+SUP_CONTROL!$C$13*CAPA3_EXPANSION!AI39+SUP_CONTROL!$C$14*CAPA4_RETAIL!AI8</f>
        <v>794114.802714917</v>
      </c>
      <c r="AJ33" s="273" t="n">
        <f aca="false">SUP_CONTROL!$C$11*CAPA1_PILOTO!AJ15+SUP_CONTROL!$C$12*CAPA2_FLAGSHIP!AJ11+SUP_CONTROL!$C$13*CAPA3_EXPANSION!AJ39+SUP_CONTROL!$C$14*CAPA4_RETAIL!AJ8</f>
        <v>838606.379618348</v>
      </c>
      <c r="AK33" s="273" t="n">
        <f aca="false">SUP_CONTROL!$C$11*CAPA1_PILOTO!AK15+SUP_CONTROL!$C$12*CAPA2_FLAGSHIP!AK11+SUP_CONTROL!$C$13*CAPA3_EXPANSION!AK39+SUP_CONTROL!$C$14*CAPA4_RETAIL!AK8</f>
        <v>853349.150663272</v>
      </c>
      <c r="AL33" s="273" t="n">
        <f aca="false">SUP_CONTROL!$C$11*CAPA1_PILOTO!AL15+SUP_CONTROL!$C$12*CAPA2_FLAGSHIP!AL11+SUP_CONTROL!$C$13*CAPA3_EXPANSION!AL39+SUP_CONTROL!$C$14*CAPA4_RETAIL!AL8</f>
        <v>899683.573947319</v>
      </c>
      <c r="AM33" s="273" t="n">
        <f aca="false">SUP_CONTROL!$C$11*CAPA1_PILOTO!AM15+SUP_CONTROL!$C$12*CAPA2_FLAGSHIP!AM11+SUP_CONTROL!$C$13*CAPA3_EXPANSION!AM39+SUP_CONTROL!$C$14*CAPA4_RETAIL!AM8</f>
        <v>912846.762380287</v>
      </c>
      <c r="AN33" s="273" t="n">
        <f aca="false">SUP_CONTROL!$C$11*CAPA1_PILOTO!AN15+SUP_CONTROL!$C$12*CAPA2_FLAGSHIP!AN11+SUP_CONTROL!$C$13*CAPA3_EXPANSION!AN39+SUP_CONTROL!$C$14*CAPA4_RETAIL!AN8</f>
        <v>952336.32767919</v>
      </c>
      <c r="AO33" s="273" t="n">
        <f aca="false">SUP_CONTROL!$C$11*CAPA1_PILOTO!AO15+SUP_CONTROL!$C$12*CAPA2_FLAGSHIP!AO11+SUP_CONTROL!$C$13*CAPA3_EXPANSION!AO39+SUP_CONTROL!$C$14*CAPA4_RETAIL!AO8</f>
        <v>965499.516112158</v>
      </c>
      <c r="AP33" s="273" t="n">
        <f aca="false">SUP_CONTROL!$C$11*CAPA1_PILOTO!AP15+SUP_CONTROL!$C$12*CAPA2_FLAGSHIP!AP11+SUP_CONTROL!$C$13*CAPA3_EXPANSION!AP39+SUP_CONTROL!$C$14*CAPA4_RETAIL!AP8</f>
        <v>960994.177390771</v>
      </c>
      <c r="AQ33" s="273" t="n">
        <f aca="false">SUP_CONTROL!$C$11*CAPA1_PILOTO!AQ15+SUP_CONTROL!$C$12*CAPA2_FLAGSHIP!AQ11+SUP_CONTROL!$C$13*CAPA3_EXPANSION!AQ39+SUP_CONTROL!$C$14*CAPA4_RETAIL!AQ8</f>
        <v>1009468.63656748</v>
      </c>
      <c r="AR33" s="273" t="n">
        <f aca="false">SUP_CONTROL!$C$11*CAPA1_PILOTO!AR15+SUP_CONTROL!$C$12*CAPA2_FLAGSHIP!AR11+SUP_CONTROL!$C$13*CAPA3_EXPANSION!AR39+SUP_CONTROL!$C$14*CAPA4_RETAIL!AR8</f>
        <v>1052813.52334453</v>
      </c>
      <c r="AS33" s="273" t="n">
        <f aca="false">SUP_CONTROL!$C$11*CAPA1_PILOTO!AS15+SUP_CONTROL!$C$12*CAPA2_FLAGSHIP!AS11+SUP_CONTROL!$C$13*CAPA3_EXPANSION!AS39+SUP_CONTROL!$C$14*CAPA4_RETAIL!AS8</f>
        <v>1100518.54666129</v>
      </c>
      <c r="AT33" s="273" t="n">
        <f aca="false">SUP_CONTROL!$C$11*CAPA1_PILOTO!AT15+SUP_CONTROL!$C$12*CAPA2_FLAGSHIP!AT11+SUP_CONTROL!$C$13*CAPA3_EXPANSION!AT39+SUP_CONTROL!$C$14*CAPA4_RETAIL!AT8</f>
        <v>1153353.1423777</v>
      </c>
      <c r="AU33" s="273" t="n">
        <f aca="false">SUP_CONTROL!$C$11*CAPA1_PILOTO!AU15+SUP_CONTROL!$C$12*CAPA2_FLAGSHIP!AU11+SUP_CONTROL!$C$13*CAPA3_EXPANSION!AU39+SUP_CONTROL!$C$14*CAPA4_RETAIL!AU8</f>
        <v>1171306.64577648</v>
      </c>
      <c r="AV33" s="273" t="n">
        <f aca="false">SUP_CONTROL!$C$11*CAPA1_PILOTO!AV15+SUP_CONTROL!$C$12*CAPA2_FLAGSHIP!AV11+SUP_CONTROL!$C$13*CAPA3_EXPANSION!AV39+SUP_CONTROL!$C$14*CAPA4_RETAIL!AV8</f>
        <v>1181565.79057578</v>
      </c>
      <c r="AW33" s="273" t="n">
        <f aca="false">SUP_CONTROL!$C$11*CAPA1_PILOTO!AW15+SUP_CONTROL!$C$12*CAPA2_FLAGSHIP!AW11+SUP_CONTROL!$C$13*CAPA3_EXPANSION!AW39+SUP_CONTROL!$C$14*CAPA4_RETAIL!AW8</f>
        <v>1230040.24975249</v>
      </c>
      <c r="AX33" s="273" t="n">
        <f aca="false">SUP_CONTROL!$C$11*CAPA1_PILOTO!AX15+SUP_CONTROL!$C$12*CAPA2_FLAGSHIP!AX11+SUP_CONTROL!$C$13*CAPA3_EXPANSION!AX39+SUP_CONTROL!$C$14*CAPA4_RETAIL!AX8</f>
        <v>1240042.91593181</v>
      </c>
      <c r="AY33" s="273" t="n">
        <f aca="false">SUP_CONTROL!$C$11*CAPA1_PILOTO!AY15+SUP_CONTROL!$C$12*CAPA2_FLAGSHIP!AY11+SUP_CONTROL!$C$13*CAPA3_EXPANSION!AY39+SUP_CONTROL!$C$14*CAPA4_RETAIL!AY8</f>
        <v>1280053.58064909</v>
      </c>
      <c r="AZ33" s="273" t="n">
        <f aca="false">SUP_CONTROL!$C$11*CAPA1_PILOTO!AZ15+SUP_CONTROL!$C$12*CAPA2_FLAGSHIP!AZ11+SUP_CONTROL!$C$13*CAPA3_EXPANSION!AZ39+SUP_CONTROL!$C$14*CAPA4_RETAIL!AZ8</f>
        <v>1327758.60396584</v>
      </c>
      <c r="BA33" s="273" t="n">
        <f aca="false">SUP_CONTROL!$C$11*CAPA1_PILOTO!BA15+SUP_CONTROL!$C$12*CAPA2_FLAGSHIP!BA11+SUP_CONTROL!$C$13*CAPA3_EXPANSION!BA39+SUP_CONTROL!$C$14*CAPA4_RETAIL!BA8</f>
        <v>1340582.53496497</v>
      </c>
      <c r="BB33" s="273" t="n">
        <f aca="false">SUP_CONTROL!$C$11*CAPA1_PILOTO!BB15+SUP_CONTROL!$C$12*CAPA2_FLAGSHIP!BB11+SUP_CONTROL!$C$13*CAPA3_EXPANSION!BB39+SUP_CONTROL!$C$14*CAPA4_RETAIL!BB8</f>
        <v>1350841.67976428</v>
      </c>
      <c r="BC33" s="273" t="n">
        <f aca="false">SUP_CONTROL!$C$11*CAPA1_PILOTO!BC15+SUP_CONTROL!$C$12*CAPA2_FLAGSHIP!BC11+SUP_CONTROL!$C$13*CAPA3_EXPANSION!BC39+SUP_CONTROL!$C$14*CAPA4_RETAIL!BC8</f>
        <v>1355971.25216393</v>
      </c>
      <c r="BD33" s="273" t="n">
        <f aca="false">SUP_CONTROL!$C$11*CAPA1_PILOTO!BD15+SUP_CONTROL!$C$12*CAPA2_FLAGSHIP!BD11+SUP_CONTROL!$C$13*CAPA3_EXPANSION!BD39+SUP_CONTROL!$C$14*CAPA4_RETAIL!BD8</f>
        <v>1355971.25216393</v>
      </c>
      <c r="BE33" s="273" t="n">
        <f aca="false">SUP_CONTROL!$C$11*CAPA1_PILOTO!BE15+SUP_CONTROL!$C$12*CAPA2_FLAGSHIP!BE11+SUP_CONTROL!$C$13*CAPA3_EXPANSION!BE39+SUP_CONTROL!$C$14*CAPA4_RETAIL!BE8</f>
        <v>1355971.25216393</v>
      </c>
      <c r="BF33" s="273" t="n">
        <f aca="false">SUP_CONTROL!$C$11*CAPA1_PILOTO!BF15+SUP_CONTROL!$C$12*CAPA2_FLAGSHIP!BF11+SUP_CONTROL!$C$13*CAPA3_EXPANSION!BF39+SUP_CONTROL!$C$14*CAPA4_RETAIL!BF8</f>
        <v>1335751.5091071</v>
      </c>
      <c r="BG33" s="273" t="n">
        <f aca="false">SUP_CONTROL!$C$11*CAPA1_PILOTO!BG15+SUP_CONTROL!$C$12*CAPA2_FLAGSHIP!BG11+SUP_CONTROL!$C$13*CAPA3_EXPANSION!BG39+SUP_CONTROL!$C$14*CAPA4_RETAIL!BG8</f>
        <v>1335751.5091071</v>
      </c>
      <c r="BH33" s="273" t="n">
        <f aca="false">SUP_CONTROL!$C$11*CAPA1_PILOTO!BH15+SUP_CONTROL!$C$12*CAPA2_FLAGSHIP!BH11+SUP_CONTROL!$C$13*CAPA3_EXPANSION!BH39+SUP_CONTROL!$C$14*CAPA4_RETAIL!BH8</f>
        <v>1335751.5091071</v>
      </c>
      <c r="BI33" s="273" t="n">
        <f aca="false">SUP_CONTROL!$C$11*CAPA1_PILOTO!BI15+SUP_CONTROL!$C$12*CAPA2_FLAGSHIP!BI11+SUP_CONTROL!$C$13*CAPA3_EXPANSION!BI39+SUP_CONTROL!$C$14*CAPA4_RETAIL!BI8</f>
        <v>1400671.8116466</v>
      </c>
      <c r="BJ33" s="273" t="n">
        <f aca="false">SUP_CONTROL!$C$11*CAPA1_PILOTO!BJ15+SUP_CONTROL!$C$12*CAPA2_FLAGSHIP!BJ11+SUP_CONTROL!$C$13*CAPA3_EXPANSION!BJ39+SUP_CONTROL!$C$14*CAPA4_RETAIL!BJ8</f>
        <v>1448113.5711947</v>
      </c>
      <c r="BK33" s="273" t="n">
        <f aca="false">SUP_CONTROL!$C$11*CAPA1_PILOTO!BK15+SUP_CONTROL!$C$12*CAPA2_FLAGSHIP!BK11+SUP_CONTROL!$C$13*CAPA3_EXPANSION!BK39+SUP_CONTROL!$C$14*CAPA4_RETAIL!BK8</f>
        <v>1487874.54244068</v>
      </c>
      <c r="BL33" s="273" t="n">
        <f aca="false">SUP_CONTROL!$C$11*CAPA1_PILOTO!BL15+SUP_CONTROL!$C$12*CAPA2_FLAGSHIP!BL11+SUP_CONTROL!$C$13*CAPA3_EXPANSION!BL39+SUP_CONTROL!$C$14*CAPA4_RETAIL!BL8</f>
        <v>1543811.30813211</v>
      </c>
      <c r="BM33" s="273" t="n">
        <f aca="false">SUP_CONTROL!$C$11*CAPA1_PILOTO!BM15+SUP_CONTROL!$C$12*CAPA2_FLAGSHIP!BM11+SUP_CONTROL!$C$13*CAPA3_EXPANSION!BM39+SUP_CONTROL!$C$14*CAPA4_RETAIL!BM8</f>
        <v>1594129.97071917</v>
      </c>
      <c r="BN33" s="273" t="n">
        <f aca="false">SUP_CONTROL!$C$11*CAPA1_PILOTO!BN15+SUP_CONTROL!$C$12*CAPA2_FLAGSHIP!BN11+SUP_CONTROL!$C$13*CAPA3_EXPANSION!BN39+SUP_CONTROL!$C$14*CAPA4_RETAIL!BN8</f>
        <v>1644448.63330622</v>
      </c>
      <c r="BO33" s="273" t="n">
        <f aca="false">SUP_CONTROL!$C$11*CAPA1_PILOTO!BO15+SUP_CONTROL!$C$12*CAPA2_FLAGSHIP!BO11+SUP_CONTROL!$C$13*CAPA3_EXPANSION!BO39+SUP_CONTROL!$C$14*CAPA4_RETAIL!BO8</f>
        <v>1661547.20797173</v>
      </c>
      <c r="BP33" s="273" t="n">
        <f aca="false">SUP_CONTROL!$C$11*CAPA1_PILOTO!BP15+SUP_CONTROL!$C$12*CAPA2_FLAGSHIP!BP11+SUP_CONTROL!$C$13*CAPA3_EXPANSION!BP39+SUP_CONTROL!$C$14*CAPA4_RETAIL!BP8</f>
        <v>1712598.66661588</v>
      </c>
      <c r="BQ33" s="273" t="n">
        <f aca="false">SUP_CONTROL!$C$11*CAPA1_PILOTO!BQ15+SUP_CONTROL!$C$12*CAPA2_FLAGSHIP!BQ11+SUP_CONTROL!$C$13*CAPA3_EXPANSION!BQ39+SUP_CONTROL!$C$14*CAPA4_RETAIL!BQ8</f>
        <v>1732829.26591059</v>
      </c>
      <c r="BR33" s="273" t="n">
        <f aca="false">SUP_CONTROL!$C$11*CAPA1_PILOTO!BR15+SUP_CONTROL!$C$12*CAPA2_FLAGSHIP!BR11+SUP_CONTROL!$C$13*CAPA3_EXPANSION!BR39+SUP_CONTROL!$C$14*CAPA4_RETAIL!BR8</f>
        <v>1777252.99132725</v>
      </c>
      <c r="BS33" s="273" t="n">
        <f aca="false">SUP_CONTROL!$C$11*CAPA1_PILOTO!BS15+SUP_CONTROL!$C$12*CAPA2_FLAGSHIP!BS11+SUP_CONTROL!$C$13*CAPA3_EXPANSION!BS39+SUP_CONTROL!$C$14*CAPA4_RETAIL!BS8</f>
        <v>1826453.46141237</v>
      </c>
      <c r="BT33" s="273" t="n">
        <f aca="false">SUP_CONTROL!$C$11*CAPA1_PILOTO!BT15+SUP_CONTROL!$C$12*CAPA2_FLAGSHIP!BT11+SUP_CONTROL!$C$13*CAPA3_EXPANSION!BT39+SUP_CONTROL!$C$14*CAPA4_RETAIL!BT8</f>
        <v>1883535.56020045</v>
      </c>
      <c r="BU33" s="273" t="n">
        <f aca="false">SUP_CONTROL!$C$11*CAPA1_PILOTO!BU15+SUP_CONTROL!$C$12*CAPA2_FLAGSHIP!BU11+SUP_CONTROL!$C$13*CAPA3_EXPANSION!BU39+SUP_CONTROL!$C$14*CAPA4_RETAIL!BU8</f>
        <v>1933452.54198584</v>
      </c>
      <c r="BV33" s="273" t="n">
        <f aca="false">SUP_CONTROL!$C$11*CAPA1_PILOTO!BV15+SUP_CONTROL!$C$12*CAPA2_FLAGSHIP!BV11+SUP_CONTROL!$C$13*CAPA3_EXPANSION!BV39+SUP_CONTROL!$C$14*CAPA4_RETAIL!BV8</f>
        <v>1982653.01207096</v>
      </c>
      <c r="BW33" s="273" t="n">
        <f aca="false">SUP_CONTROL!$C$11*CAPA1_PILOTO!BW15+SUP_CONTROL!$C$12*CAPA2_FLAGSHIP!BW11+SUP_CONTROL!$C$13*CAPA3_EXPANSION!BW39+SUP_CONTROL!$C$14*CAPA4_RETAIL!BW8</f>
        <v>2007304.81424347</v>
      </c>
      <c r="BX33" s="273" t="n">
        <f aca="false">SUP_CONTROL!$C$11*CAPA1_PILOTO!BX15+SUP_CONTROL!$C$12*CAPA2_FLAGSHIP!BX11+SUP_CONTROL!$C$13*CAPA3_EXPANSION!BX39+SUP_CONTROL!$C$14*CAPA4_RETAIL!BX8</f>
        <v>2063413.92271129</v>
      </c>
      <c r="BY33" s="273" t="n">
        <f aca="false">SUP_CONTROL!$C$11*CAPA1_PILOTO!BY15+SUP_CONTROL!$C$12*CAPA2_FLAGSHIP!BY11+SUP_CONTROL!$C$13*CAPA3_EXPANSION!BY39+SUP_CONTROL!$C$14*CAPA4_RETAIL!BY8</f>
        <v>2081960.44810443</v>
      </c>
      <c r="BZ33" s="273" t="n">
        <f aca="false">SUP_CONTROL!$C$11*CAPA1_PILOTO!BZ15+SUP_CONTROL!$C$12*CAPA2_FLAGSHIP!BZ11+SUP_CONTROL!$C$13*CAPA3_EXPANSION!BZ39+SUP_CONTROL!$C$14*CAPA4_RETAIL!BZ8</f>
        <v>2153798.88823478</v>
      </c>
      <c r="CA33" s="273" t="n">
        <f aca="false">SUP_CONTROL!$C$11*CAPA1_PILOTO!CA15+SUP_CONTROL!$C$12*CAPA2_FLAGSHIP!CA11+SUP_CONTROL!$C$13*CAPA3_EXPANSION!CA39+SUP_CONTROL!$C$14*CAPA4_RETAIL!CA8</f>
        <v>2204508.37538562</v>
      </c>
      <c r="CB33" s="273" t="n">
        <f aca="false">SUP_CONTROL!$C$11*CAPA1_PILOTO!CB15+SUP_CONTROL!$C$12*CAPA2_FLAGSHIP!CB11+SUP_CONTROL!$C$13*CAPA3_EXPANSION!CB39+SUP_CONTROL!$C$14*CAPA4_RETAIL!CB8</f>
        <v>2222679.00354206</v>
      </c>
      <c r="CC33" s="273" t="n">
        <f aca="false">SUP_CONTROL!$C$11*CAPA1_PILOTO!CC15+SUP_CONTROL!$C$12*CAPA2_FLAGSHIP!CC11+SUP_CONTROL!$C$13*CAPA3_EXPANSION!CC39+SUP_CONTROL!$C$14*CAPA4_RETAIL!CC8</f>
        <v>2273431.91564443</v>
      </c>
      <c r="CD33" s="273" t="n">
        <f aca="false">SUP_CONTROL!$C$11*CAPA1_PILOTO!CD15+SUP_CONTROL!$C$12*CAPA2_FLAGSHIP!CD11+SUP_CONTROL!$C$13*CAPA3_EXPANSION!CD39+SUP_CONTROL!$C$14*CAPA4_RETAIL!CD8</f>
        <v>2328568.033792</v>
      </c>
      <c r="CE33" s="273" t="n">
        <f aca="false">SUP_CONTROL!$C$11*CAPA1_PILOTO!CE15+SUP_CONTROL!$C$12*CAPA2_FLAGSHIP!CE11+SUP_CONTROL!$C$13*CAPA3_EXPANSION!CE39+SUP_CONTROL!$C$14*CAPA4_RETAIL!CE8</f>
        <v>2376783.30028926</v>
      </c>
      <c r="CF33" s="273" t="n">
        <f aca="false">SUP_CONTROL!$C$11*CAPA1_PILOTO!CF15+SUP_CONTROL!$C$12*CAPA2_FLAGSHIP!CF11+SUP_CONTROL!$C$13*CAPA3_EXPANSION!CF39+SUP_CONTROL!$C$14*CAPA4_RETAIL!CF8</f>
        <v>2424306.48162148</v>
      </c>
      <c r="CG33" s="273" t="n">
        <f aca="false">SUP_CONTROL!$C$11*CAPA1_PILOTO!CG15+SUP_CONTROL!$C$12*CAPA2_FLAGSHIP!CG11+SUP_CONTROL!$C$13*CAPA3_EXPANSION!CG39+SUP_CONTROL!$C$14*CAPA4_RETAIL!CG8</f>
        <v>2479347.60768758</v>
      </c>
      <c r="CH33" s="273" t="n">
        <f aca="false">SUP_CONTROL!$C$11*CAPA1_PILOTO!CH15+SUP_CONTROL!$C$12*CAPA2_FLAGSHIP!CH11+SUP_CONTROL!$C$13*CAPA3_EXPANSION!CH39+SUP_CONTROL!$C$14*CAPA4_RETAIL!CH8</f>
        <v>2540674.49548785</v>
      </c>
      <c r="CI33" s="273" t="n">
        <f aca="false">SUP_CONTROL!$C$11*CAPA1_PILOTO!CI15+SUP_CONTROL!$C$12*CAPA2_FLAGSHIP!CI11+SUP_CONTROL!$C$13*CAPA3_EXPANSION!CI39+SUP_CONTROL!$C$14*CAPA4_RETAIL!CI8</f>
        <v>2592882.14346653</v>
      </c>
      <c r="CJ33" s="273" t="n">
        <f aca="false">SUP_CONTROL!$C$11*CAPA1_PILOTO!CJ15+SUP_CONTROL!$C$12*CAPA2_FLAGSHIP!CJ11+SUP_CONTROL!$C$13*CAPA3_EXPANSION!CJ39+SUP_CONTROL!$C$14*CAPA4_RETAIL!CJ8</f>
        <v>2614768.31903837</v>
      </c>
      <c r="CK33" s="273" t="n">
        <f aca="false">SUP_CONTROL!$C$11*CAPA1_PILOTO!CK15+SUP_CONTROL!$C$12*CAPA2_FLAGSHIP!CK11+SUP_CONTROL!$C$13*CAPA3_EXPANSION!CK39+SUP_CONTROL!$C$14*CAPA4_RETAIL!CK8</f>
        <v>2625255.44483322</v>
      </c>
      <c r="CL33" s="273" t="n">
        <f aca="false">SUP_CONTROL!$C$11*CAPA1_PILOTO!CL15+SUP_CONTROL!$C$12*CAPA2_FLAGSHIP!CL11+SUP_CONTROL!$C$13*CAPA3_EXPANSION!CL39+SUP_CONTROL!$C$14*CAPA4_RETAIL!CL8</f>
        <v>2629815.06474402</v>
      </c>
      <c r="CM33" s="273" t="n">
        <f aca="false">SUP_CONTROL!$C$11*CAPA1_PILOTO!CM15+SUP_CONTROL!$C$12*CAPA2_FLAGSHIP!CM11+SUP_CONTROL!$C$13*CAPA3_EXPANSION!CM39+SUP_CONTROL!$C$14*CAPA4_RETAIL!CM8</f>
        <v>2629815.06474402</v>
      </c>
      <c r="CN33" s="273" t="n">
        <f aca="false">SUP_CONTROL!$C$11*CAPA1_PILOTO!CN15+SUP_CONTROL!$C$12*CAPA2_FLAGSHIP!CN11+SUP_CONTROL!$C$13*CAPA3_EXPANSION!CN39+SUP_CONTROL!$C$14*CAPA4_RETAIL!CN8</f>
        <v>2629815.06474402</v>
      </c>
      <c r="CO33" s="273" t="n">
        <f aca="false">SUP_CONTROL!$C$11*CAPA1_PILOTO!CO15+SUP_CONTROL!$C$12*CAPA2_FLAGSHIP!CO11+SUP_CONTROL!$C$13*CAPA3_EXPANSION!CO39+SUP_CONTROL!$C$14*CAPA4_RETAIL!CO8</f>
        <v>2629815.06474402</v>
      </c>
      <c r="CP33" s="273" t="n">
        <f aca="false">SUP_CONTROL!$C$11*CAPA1_PILOTO!CP15+SUP_CONTROL!$C$12*CAPA2_FLAGSHIP!CP11+SUP_CONTROL!$C$13*CAPA3_EXPANSION!CP39+SUP_CONTROL!$C$14*CAPA4_RETAIL!CP8</f>
        <v>2629815.06474402</v>
      </c>
      <c r="CQ33" s="273" t="n">
        <f aca="false">SUP_CONTROL!$C$11*CAPA1_PILOTO!CQ15+SUP_CONTROL!$C$12*CAPA2_FLAGSHIP!CQ11+SUP_CONTROL!$C$13*CAPA3_EXPANSION!CQ39+SUP_CONTROL!$C$14*CAPA4_RETAIL!CQ8</f>
        <v>2629815.06474402</v>
      </c>
      <c r="CR33" s="273" t="n">
        <f aca="false">SUP_CONTROL!$C$11*CAPA1_PILOTO!CR15+SUP_CONTROL!$C$12*CAPA2_FLAGSHIP!CR11+SUP_CONTROL!$C$13*CAPA3_EXPANSION!CR39+SUP_CONTROL!$C$14*CAPA4_RETAIL!CR8</f>
        <v>2629815.06474402</v>
      </c>
      <c r="CS33" s="273" t="n">
        <f aca="false">SUP_CONTROL!$C$11*CAPA1_PILOTO!CS15+SUP_CONTROL!$C$12*CAPA2_FLAGSHIP!CS11+SUP_CONTROL!$C$13*CAPA3_EXPANSION!CS39+SUP_CONTROL!$C$14*CAPA4_RETAIL!CS8</f>
        <v>2629815.06474402</v>
      </c>
      <c r="CT33" s="273" t="n">
        <f aca="false">SUP_CONTROL!$C$11*CAPA1_PILOTO!CT15+SUP_CONTROL!$C$12*CAPA2_FLAGSHIP!CT11+SUP_CONTROL!$C$13*CAPA3_EXPANSION!CT39+SUP_CONTROL!$C$14*CAPA4_RETAIL!CT8</f>
        <v>2629815.06474402</v>
      </c>
      <c r="CU33" s="273" t="n">
        <f aca="false">SUP_CONTROL!$C$11*CAPA1_PILOTO!CU15+SUP_CONTROL!$C$12*CAPA2_FLAGSHIP!CU11+SUP_CONTROL!$C$13*CAPA3_EXPANSION!CU39+SUP_CONTROL!$C$14*CAPA4_RETAIL!CU8</f>
        <v>2629815.06474402</v>
      </c>
      <c r="CV33" s="273" t="n">
        <f aca="false">SUP_CONTROL!$C$11*CAPA1_PILOTO!CV15+SUP_CONTROL!$C$12*CAPA2_FLAGSHIP!CV11+SUP_CONTROL!$C$13*CAPA3_EXPANSION!CV39+SUP_CONTROL!$C$14*CAPA4_RETAIL!CV8</f>
        <v>2629815.06474402</v>
      </c>
      <c r="CW33" s="273" t="n">
        <f aca="false">SUP_CONTROL!$C$11*CAPA1_PILOTO!CW15+SUP_CONTROL!$C$12*CAPA2_FLAGSHIP!CW11+SUP_CONTROL!$C$13*CAPA3_EXPANSION!CW39+SUP_CONTROL!$C$14*CAPA4_RETAIL!CW8</f>
        <v>2629815.06474402</v>
      </c>
      <c r="CX33" s="273" t="n">
        <f aca="false">SUP_CONTROL!$C$11*CAPA1_PILOTO!CX15+SUP_CONTROL!$C$12*CAPA2_FLAGSHIP!CX11+SUP_CONTROL!$C$13*CAPA3_EXPANSION!CX39+SUP_CONTROL!$C$14*CAPA4_RETAIL!CX8</f>
        <v>2629815.06474402</v>
      </c>
      <c r="CY33" s="273" t="n">
        <f aca="false">SUP_CONTROL!$C$11*CAPA1_PILOTO!CY15+SUP_CONTROL!$C$12*CAPA2_FLAGSHIP!CY11+SUP_CONTROL!$C$13*CAPA3_EXPANSION!CY39+SUP_CONTROL!$C$14*CAPA4_RETAIL!CY8</f>
        <v>2629815.06474402</v>
      </c>
      <c r="CZ33" s="273" t="n">
        <f aca="false">SUP_CONTROL!$C$11*CAPA1_PILOTO!CZ15+SUP_CONTROL!$C$12*CAPA2_FLAGSHIP!CZ11+SUP_CONTROL!$C$13*CAPA3_EXPANSION!CZ39+SUP_CONTROL!$C$14*CAPA4_RETAIL!CZ8</f>
        <v>2629815.06474402</v>
      </c>
      <c r="DA33" s="273" t="n">
        <f aca="false">SUP_CONTROL!$C$11*CAPA1_PILOTO!DA15+SUP_CONTROL!$C$12*CAPA2_FLAGSHIP!DA11+SUP_CONTROL!$C$13*CAPA3_EXPANSION!DA39+SUP_CONTROL!$C$14*CAPA4_RETAIL!DA8</f>
        <v>2629815.06474402</v>
      </c>
      <c r="DB33" s="273" t="n">
        <f aca="false">SUP_CONTROL!$C$11*CAPA1_PILOTO!DB15+SUP_CONTROL!$C$12*CAPA2_FLAGSHIP!DB11+SUP_CONTROL!$C$13*CAPA3_EXPANSION!DB39+SUP_CONTROL!$C$14*CAPA4_RETAIL!DB8</f>
        <v>2629815.06474402</v>
      </c>
      <c r="DC33" s="273" t="n">
        <f aca="false">SUP_CONTROL!$C$11*CAPA1_PILOTO!DC15+SUP_CONTROL!$C$12*CAPA2_FLAGSHIP!DC11+SUP_CONTROL!$C$13*CAPA3_EXPANSION!DC39+SUP_CONTROL!$C$14*CAPA4_RETAIL!DC8</f>
        <v>2629815.06474402</v>
      </c>
      <c r="DD33" s="273" t="n">
        <f aca="false">SUP_CONTROL!$C$11*CAPA1_PILOTO!DD15+SUP_CONTROL!$C$12*CAPA2_FLAGSHIP!DD11+SUP_CONTROL!$C$13*CAPA3_EXPANSION!DD39+SUP_CONTROL!$C$14*CAPA4_RETAIL!DD8</f>
        <v>2629815.06474402</v>
      </c>
      <c r="DE33" s="273" t="n">
        <f aca="false">SUP_CONTROL!$C$11*CAPA1_PILOTO!DE15+SUP_CONTROL!$C$12*CAPA2_FLAGSHIP!DE11+SUP_CONTROL!$C$13*CAPA3_EXPANSION!DE39+SUP_CONTROL!$C$14*CAPA4_RETAIL!DE8</f>
        <v>2629815.06474402</v>
      </c>
      <c r="DF33" s="273" t="n">
        <f aca="false">SUP_CONTROL!$C$11*CAPA1_PILOTO!DF15+SUP_CONTROL!$C$12*CAPA2_FLAGSHIP!DF11+SUP_CONTROL!$C$13*CAPA3_EXPANSION!DF39+SUP_CONTROL!$C$14*CAPA4_RETAIL!DF8</f>
        <v>2629815.06474402</v>
      </c>
      <c r="DG33" s="273" t="n">
        <f aca="false">SUP_CONTROL!$C$11*CAPA1_PILOTO!DG15+SUP_CONTROL!$C$12*CAPA2_FLAGSHIP!DG11+SUP_CONTROL!$C$13*CAPA3_EXPANSION!DG39+SUP_CONTROL!$C$14*CAPA4_RETAIL!DG8</f>
        <v>2629815.06474402</v>
      </c>
      <c r="DH33" s="273" t="n">
        <f aca="false">SUP_CONTROL!$C$11*CAPA1_PILOTO!DH15+SUP_CONTROL!$C$12*CAPA2_FLAGSHIP!DH11+SUP_CONTROL!$C$13*CAPA3_EXPANSION!DH39+SUP_CONTROL!$C$14*CAPA4_RETAIL!DH8</f>
        <v>2629815.06474402</v>
      </c>
      <c r="DI33" s="273" t="n">
        <f aca="false">SUP_CONTROL!$C$11*CAPA1_PILOTO!DI15+SUP_CONTROL!$C$12*CAPA2_FLAGSHIP!DI11+SUP_CONTROL!$C$13*CAPA3_EXPANSION!DI39+SUP_CONTROL!$C$14*CAPA4_RETAIL!DI8</f>
        <v>2629815.06474402</v>
      </c>
      <c r="DJ33" s="273" t="n">
        <f aca="false">SUP_CONTROL!$C$11*CAPA1_PILOTO!DJ15+SUP_CONTROL!$C$12*CAPA2_FLAGSHIP!DJ11+SUP_CONTROL!$C$13*CAPA3_EXPANSION!DJ39+SUP_CONTROL!$C$14*CAPA4_RETAIL!DJ8</f>
        <v>2629815.06474402</v>
      </c>
      <c r="DK33" s="273" t="n">
        <f aca="false">SUP_CONTROL!$C$11*CAPA1_PILOTO!DK15+SUP_CONTROL!$C$12*CAPA2_FLAGSHIP!DK11+SUP_CONTROL!$C$13*CAPA3_EXPANSION!DK39+SUP_CONTROL!$C$14*CAPA4_RETAIL!DK8</f>
        <v>2629815.06474402</v>
      </c>
      <c r="DL33" s="273" t="n">
        <f aca="false">SUP_CONTROL!$C$11*CAPA1_PILOTO!DL15+SUP_CONTROL!$C$12*CAPA2_FLAGSHIP!DL11+SUP_CONTROL!$C$13*CAPA3_EXPANSION!DL39+SUP_CONTROL!$C$14*CAPA4_RETAIL!DL8</f>
        <v>2629815.06474402</v>
      </c>
      <c r="DM33" s="273" t="n">
        <f aca="false">SUP_CONTROL!$C$11*CAPA1_PILOTO!DM15+SUP_CONTROL!$C$12*CAPA2_FLAGSHIP!DM11+SUP_CONTROL!$C$13*CAPA3_EXPANSION!DM39+SUP_CONTROL!$C$14*CAPA4_RETAIL!DM8</f>
        <v>2629815.06474402</v>
      </c>
      <c r="DN33" s="273" t="n">
        <f aca="false">SUP_CONTROL!$C$11*CAPA1_PILOTO!DN15+SUP_CONTROL!$C$12*CAPA2_FLAGSHIP!DN11+SUP_CONTROL!$C$13*CAPA3_EXPANSION!DN39+SUP_CONTROL!$C$14*CAPA4_RETAIL!DN8</f>
        <v>2629815.06474402</v>
      </c>
      <c r="DO33" s="273" t="n">
        <f aca="false">SUP_CONTROL!$C$11*CAPA1_PILOTO!DO15+SUP_CONTROL!$C$12*CAPA2_FLAGSHIP!DO11+SUP_CONTROL!$C$13*CAPA3_EXPANSION!DO39+SUP_CONTROL!$C$14*CAPA4_RETAIL!DO8</f>
        <v>2629815.06474402</v>
      </c>
      <c r="DP33" s="273" t="n">
        <f aca="false">SUP_CONTROL!$C$11*CAPA1_PILOTO!DP15+SUP_CONTROL!$C$12*CAPA2_FLAGSHIP!DP11+SUP_CONTROL!$C$13*CAPA3_EXPANSION!DP39+SUP_CONTROL!$C$14*CAPA4_RETAIL!DP8</f>
        <v>2629815.06474402</v>
      </c>
      <c r="DQ33" s="273" t="n">
        <f aca="false">SUP_CONTROL!$C$11*CAPA1_PILOTO!DQ15+SUP_CONTROL!$C$12*CAPA2_FLAGSHIP!DQ11+SUP_CONTROL!$C$13*CAPA3_EXPANSION!DQ39+SUP_CONTROL!$C$14*CAPA4_RETAIL!DQ8</f>
        <v>2629815.06474402</v>
      </c>
      <c r="DR33" s="273" t="n">
        <f aca="false">SUP_CONTROL!$C$11*CAPA1_PILOTO!DR15+SUP_CONTROL!$C$12*CAPA2_FLAGSHIP!DR11+SUP_CONTROL!$C$13*CAPA3_EXPANSION!DR39+SUP_CONTROL!$C$14*CAPA4_RETAIL!DR8</f>
        <v>2629815.06474402</v>
      </c>
      <c r="DS33" s="273" t="n">
        <f aca="false">SUP_CONTROL!$C$11*CAPA1_PILOTO!DS15+SUP_CONTROL!$C$12*CAPA2_FLAGSHIP!DS11+SUP_CONTROL!$C$13*CAPA3_EXPANSION!DS39+SUP_CONTROL!$C$14*CAPA4_RETAIL!DS8</f>
        <v>2629815.06474402</v>
      </c>
    </row>
    <row r="34" customFormat="false" ht="15" hidden="false" customHeight="true" outlineLevel="0" collapsed="false">
      <c r="B34" s="297" t="s">
        <v>1435</v>
      </c>
      <c r="D34" s="299" t="n">
        <f aca="false">INDEX($C$21:$L$21,ROUNDUP(D29/12,0))</f>
        <v>0.08</v>
      </c>
      <c r="E34" s="299" t="n">
        <f aca="false">INDEX($C$21:$L$21,ROUNDUP(E29/12,0))</f>
        <v>0.08</v>
      </c>
      <c r="F34" s="299" t="n">
        <f aca="false">INDEX($C$21:$L$21,ROUNDUP(F29/12,0))</f>
        <v>0.08</v>
      </c>
      <c r="G34" s="299" t="n">
        <f aca="false">INDEX($C$21:$L$21,ROUNDUP(G29/12,0))</f>
        <v>0.08</v>
      </c>
      <c r="H34" s="299" t="n">
        <f aca="false">INDEX($C$21:$L$21,ROUNDUP(H29/12,0))</f>
        <v>0.08</v>
      </c>
      <c r="I34" s="299" t="n">
        <f aca="false">INDEX($C$21:$L$21,ROUNDUP(I29/12,0))</f>
        <v>0.08</v>
      </c>
      <c r="J34" s="299" t="n">
        <f aca="false">INDEX($C$21:$L$21,ROUNDUP(J29/12,0))</f>
        <v>0.08</v>
      </c>
      <c r="K34" s="299" t="n">
        <f aca="false">INDEX($C$21:$L$21,ROUNDUP(K29/12,0))</f>
        <v>0.08</v>
      </c>
      <c r="L34" s="299" t="n">
        <f aca="false">INDEX($C$21:$L$21,ROUNDUP(L29/12,0))</f>
        <v>0.08</v>
      </c>
      <c r="M34" s="299" t="n">
        <f aca="false">INDEX($C$21:$L$21,ROUNDUP(M29/12,0))</f>
        <v>0.08</v>
      </c>
      <c r="N34" s="299" t="n">
        <f aca="false">INDEX($C$21:$L$21,ROUNDUP(N29/12,0))</f>
        <v>0.08</v>
      </c>
      <c r="O34" s="299" t="n">
        <f aca="false">INDEX($C$21:$L$21,ROUNDUP(O29/12,0))</f>
        <v>0.08</v>
      </c>
      <c r="P34" s="299" t="n">
        <f aca="false">INDEX($C$21:$L$21,ROUNDUP(P29/12,0))</f>
        <v>0.07</v>
      </c>
      <c r="Q34" s="299" t="n">
        <f aca="false">INDEX($C$21:$L$21,ROUNDUP(Q29/12,0))</f>
        <v>0.07</v>
      </c>
      <c r="R34" s="299" t="n">
        <f aca="false">INDEX($C$21:$L$21,ROUNDUP(R29/12,0))</f>
        <v>0.07</v>
      </c>
      <c r="S34" s="299" t="n">
        <f aca="false">INDEX($C$21:$L$21,ROUNDUP(S29/12,0))</f>
        <v>0.07</v>
      </c>
      <c r="T34" s="299" t="n">
        <f aca="false">INDEX($C$21:$L$21,ROUNDUP(T29/12,0))</f>
        <v>0.07</v>
      </c>
      <c r="U34" s="299" t="n">
        <f aca="false">INDEX($C$21:$L$21,ROUNDUP(U29/12,0))</f>
        <v>0.07</v>
      </c>
      <c r="V34" s="299" t="n">
        <f aca="false">INDEX($C$21:$L$21,ROUNDUP(V29/12,0))</f>
        <v>0.07</v>
      </c>
      <c r="W34" s="299" t="n">
        <f aca="false">INDEX($C$21:$L$21,ROUNDUP(W29/12,0))</f>
        <v>0.07</v>
      </c>
      <c r="X34" s="299" t="n">
        <f aca="false">INDEX($C$21:$L$21,ROUNDUP(X29/12,0))</f>
        <v>0.07</v>
      </c>
      <c r="Y34" s="299" t="n">
        <f aca="false">INDEX($C$21:$L$21,ROUNDUP(Y29/12,0))</f>
        <v>0.07</v>
      </c>
      <c r="Z34" s="299" t="n">
        <f aca="false">INDEX($C$21:$L$21,ROUNDUP(Z29/12,0))</f>
        <v>0.07</v>
      </c>
      <c r="AA34" s="299" t="n">
        <f aca="false">INDEX($C$21:$L$21,ROUNDUP(AA29/12,0))</f>
        <v>0.07</v>
      </c>
      <c r="AB34" s="299" t="n">
        <f aca="false">INDEX($C$21:$L$21,ROUNDUP(AB29/12,0))</f>
        <v>0.06</v>
      </c>
      <c r="AC34" s="299" t="n">
        <f aca="false">INDEX($C$21:$L$21,ROUNDUP(AC29/12,0))</f>
        <v>0.06</v>
      </c>
      <c r="AD34" s="299" t="n">
        <f aca="false">INDEX($C$21:$L$21,ROUNDUP(AD29/12,0))</f>
        <v>0.06</v>
      </c>
      <c r="AE34" s="299" t="n">
        <f aca="false">INDEX($C$21:$L$21,ROUNDUP(AE29/12,0))</f>
        <v>0.06</v>
      </c>
      <c r="AF34" s="299" t="n">
        <f aca="false">INDEX($C$21:$L$21,ROUNDUP(AF29/12,0))</f>
        <v>0.06</v>
      </c>
      <c r="AG34" s="299" t="n">
        <f aca="false">INDEX($C$21:$L$21,ROUNDUP(AG29/12,0))</f>
        <v>0.06</v>
      </c>
      <c r="AH34" s="299" t="n">
        <f aca="false">INDEX($C$21:$L$21,ROUNDUP(AH29/12,0))</f>
        <v>0.06</v>
      </c>
      <c r="AI34" s="299" t="n">
        <f aca="false">INDEX($C$21:$L$21,ROUNDUP(AI29/12,0))</f>
        <v>0.06</v>
      </c>
      <c r="AJ34" s="299" t="n">
        <f aca="false">INDEX($C$21:$L$21,ROUNDUP(AJ29/12,0))</f>
        <v>0.06</v>
      </c>
      <c r="AK34" s="299" t="n">
        <f aca="false">INDEX($C$21:$L$21,ROUNDUP(AK29/12,0))</f>
        <v>0.06</v>
      </c>
      <c r="AL34" s="299" t="n">
        <f aca="false">INDEX($C$21:$L$21,ROUNDUP(AL29/12,0))</f>
        <v>0.06</v>
      </c>
      <c r="AM34" s="299" t="n">
        <f aca="false">INDEX($C$21:$L$21,ROUNDUP(AM29/12,0))</f>
        <v>0.06</v>
      </c>
      <c r="AN34" s="299" t="n">
        <f aca="false">INDEX($C$21:$L$21,ROUNDUP(AN29/12,0))</f>
        <v>0.055</v>
      </c>
      <c r="AO34" s="299" t="n">
        <f aca="false">INDEX($C$21:$L$21,ROUNDUP(AO29/12,0))</f>
        <v>0.055</v>
      </c>
      <c r="AP34" s="299" t="n">
        <f aca="false">INDEX($C$21:$L$21,ROUNDUP(AP29/12,0))</f>
        <v>0.055</v>
      </c>
      <c r="AQ34" s="299" t="n">
        <f aca="false">INDEX($C$21:$L$21,ROUNDUP(AQ29/12,0))</f>
        <v>0.055</v>
      </c>
      <c r="AR34" s="299" t="n">
        <f aca="false">INDEX($C$21:$L$21,ROUNDUP(AR29/12,0))</f>
        <v>0.055</v>
      </c>
      <c r="AS34" s="299" t="n">
        <f aca="false">INDEX($C$21:$L$21,ROUNDUP(AS29/12,0))</f>
        <v>0.055</v>
      </c>
      <c r="AT34" s="299" t="n">
        <f aca="false">INDEX($C$21:$L$21,ROUNDUP(AT29/12,0))</f>
        <v>0.055</v>
      </c>
      <c r="AU34" s="299" t="n">
        <f aca="false">INDEX($C$21:$L$21,ROUNDUP(AU29/12,0))</f>
        <v>0.055</v>
      </c>
      <c r="AV34" s="299" t="n">
        <f aca="false">INDEX($C$21:$L$21,ROUNDUP(AV29/12,0))</f>
        <v>0.055</v>
      </c>
      <c r="AW34" s="299" t="n">
        <f aca="false">INDEX($C$21:$L$21,ROUNDUP(AW29/12,0))</f>
        <v>0.055</v>
      </c>
      <c r="AX34" s="299" t="n">
        <f aca="false">INDEX($C$21:$L$21,ROUNDUP(AX29/12,0))</f>
        <v>0.055</v>
      </c>
      <c r="AY34" s="299" t="n">
        <f aca="false">INDEX($C$21:$L$21,ROUNDUP(AY29/12,0))</f>
        <v>0.055</v>
      </c>
      <c r="AZ34" s="299" t="n">
        <f aca="false">INDEX($C$21:$L$21,ROUNDUP(AZ29/12,0))</f>
        <v>0.05</v>
      </c>
      <c r="BA34" s="299" t="n">
        <f aca="false">INDEX($C$21:$L$21,ROUNDUP(BA29/12,0))</f>
        <v>0.05</v>
      </c>
      <c r="BB34" s="299" t="n">
        <f aca="false">INDEX($C$21:$L$21,ROUNDUP(BB29/12,0))</f>
        <v>0.05</v>
      </c>
      <c r="BC34" s="299" t="n">
        <f aca="false">INDEX($C$21:$L$21,ROUNDUP(BC29/12,0))</f>
        <v>0.05</v>
      </c>
      <c r="BD34" s="299" t="n">
        <f aca="false">INDEX($C$21:$L$21,ROUNDUP(BD29/12,0))</f>
        <v>0.05</v>
      </c>
      <c r="BE34" s="299" t="n">
        <f aca="false">INDEX($C$21:$L$21,ROUNDUP(BE29/12,0))</f>
        <v>0.05</v>
      </c>
      <c r="BF34" s="299" t="n">
        <f aca="false">INDEX($C$21:$L$21,ROUNDUP(BF29/12,0))</f>
        <v>0.05</v>
      </c>
      <c r="BG34" s="299" t="n">
        <f aca="false">INDEX($C$21:$L$21,ROUNDUP(BG29/12,0))</f>
        <v>0.05</v>
      </c>
      <c r="BH34" s="299" t="n">
        <f aca="false">INDEX($C$21:$L$21,ROUNDUP(BH29/12,0))</f>
        <v>0.05</v>
      </c>
      <c r="BI34" s="299" t="n">
        <f aca="false">INDEX($C$21:$L$21,ROUNDUP(BI29/12,0))</f>
        <v>0.05</v>
      </c>
      <c r="BJ34" s="299" t="n">
        <f aca="false">INDEX($C$21:$L$21,ROUNDUP(BJ29/12,0))</f>
        <v>0.05</v>
      </c>
      <c r="BK34" s="299" t="n">
        <f aca="false">INDEX($C$21:$L$21,ROUNDUP(BK29/12,0))</f>
        <v>0.05</v>
      </c>
      <c r="BL34" s="299" t="n">
        <f aca="false">INDEX($C$21:$L$21,ROUNDUP(BL29/12,0))</f>
        <v>0.045</v>
      </c>
      <c r="BM34" s="299" t="n">
        <f aca="false">INDEX($C$21:$L$21,ROUNDUP(BM29/12,0))</f>
        <v>0.045</v>
      </c>
      <c r="BN34" s="299" t="n">
        <f aca="false">INDEX($C$21:$L$21,ROUNDUP(BN29/12,0))</f>
        <v>0.045</v>
      </c>
      <c r="BO34" s="299" t="n">
        <f aca="false">INDEX($C$21:$L$21,ROUNDUP(BO29/12,0))</f>
        <v>0.045</v>
      </c>
      <c r="BP34" s="299" t="n">
        <f aca="false">INDEX($C$21:$L$21,ROUNDUP(BP29/12,0))</f>
        <v>0.045</v>
      </c>
      <c r="BQ34" s="299" t="n">
        <f aca="false">INDEX($C$21:$L$21,ROUNDUP(BQ29/12,0))</f>
        <v>0.045</v>
      </c>
      <c r="BR34" s="299" t="n">
        <f aca="false">INDEX($C$21:$L$21,ROUNDUP(BR29/12,0))</f>
        <v>0.045</v>
      </c>
      <c r="BS34" s="299" t="n">
        <f aca="false">INDEX($C$21:$L$21,ROUNDUP(BS29/12,0))</f>
        <v>0.045</v>
      </c>
      <c r="BT34" s="299" t="n">
        <f aca="false">INDEX($C$21:$L$21,ROUNDUP(BT29/12,0))</f>
        <v>0.045</v>
      </c>
      <c r="BU34" s="299" t="n">
        <f aca="false">INDEX($C$21:$L$21,ROUNDUP(BU29/12,0))</f>
        <v>0.045</v>
      </c>
      <c r="BV34" s="299" t="n">
        <f aca="false">INDEX($C$21:$L$21,ROUNDUP(BV29/12,0))</f>
        <v>0.045</v>
      </c>
      <c r="BW34" s="299" t="n">
        <f aca="false">INDEX($C$21:$L$21,ROUNDUP(BW29/12,0))</f>
        <v>0.045</v>
      </c>
      <c r="BX34" s="299" t="n">
        <f aca="false">INDEX($C$21:$L$21,ROUNDUP(BX29/12,0))</f>
        <v>0.04</v>
      </c>
      <c r="BY34" s="299" t="n">
        <f aca="false">INDEX($C$21:$L$21,ROUNDUP(BY29/12,0))</f>
        <v>0.04</v>
      </c>
      <c r="BZ34" s="299" t="n">
        <f aca="false">INDEX($C$21:$L$21,ROUNDUP(BZ29/12,0))</f>
        <v>0.04</v>
      </c>
      <c r="CA34" s="299" t="n">
        <f aca="false">INDEX($C$21:$L$21,ROUNDUP(CA29/12,0))</f>
        <v>0.04</v>
      </c>
      <c r="CB34" s="299" t="n">
        <f aca="false">INDEX($C$21:$L$21,ROUNDUP(CB29/12,0))</f>
        <v>0.04</v>
      </c>
      <c r="CC34" s="299" t="n">
        <f aca="false">INDEX($C$21:$L$21,ROUNDUP(CC29/12,0))</f>
        <v>0.04</v>
      </c>
      <c r="CD34" s="299" t="n">
        <f aca="false">INDEX($C$21:$L$21,ROUNDUP(CD29/12,0))</f>
        <v>0.04</v>
      </c>
      <c r="CE34" s="299" t="n">
        <f aca="false">INDEX($C$21:$L$21,ROUNDUP(CE29/12,0))</f>
        <v>0.04</v>
      </c>
      <c r="CF34" s="299" t="n">
        <f aca="false">INDEX($C$21:$L$21,ROUNDUP(CF29/12,0))</f>
        <v>0.04</v>
      </c>
      <c r="CG34" s="299" t="n">
        <f aca="false">INDEX($C$21:$L$21,ROUNDUP(CG29/12,0))</f>
        <v>0.04</v>
      </c>
      <c r="CH34" s="299" t="n">
        <f aca="false">INDEX($C$21:$L$21,ROUNDUP(CH29/12,0))</f>
        <v>0.04</v>
      </c>
      <c r="CI34" s="299" t="n">
        <f aca="false">INDEX($C$21:$L$21,ROUNDUP(CI29/12,0))</f>
        <v>0.04</v>
      </c>
      <c r="CJ34" s="299" t="n">
        <f aca="false">INDEX($C$21:$L$21,ROUNDUP(CJ29/12,0))</f>
        <v>0.04</v>
      </c>
      <c r="CK34" s="299" t="n">
        <f aca="false">INDEX($C$21:$L$21,ROUNDUP(CK29/12,0))</f>
        <v>0.04</v>
      </c>
      <c r="CL34" s="299" t="n">
        <f aca="false">INDEX($C$21:$L$21,ROUNDUP(CL29/12,0))</f>
        <v>0.04</v>
      </c>
      <c r="CM34" s="299" t="n">
        <f aca="false">INDEX($C$21:$L$21,ROUNDUP(CM29/12,0))</f>
        <v>0.04</v>
      </c>
      <c r="CN34" s="299" t="n">
        <f aca="false">INDEX($C$21:$L$21,ROUNDUP(CN29/12,0))</f>
        <v>0.04</v>
      </c>
      <c r="CO34" s="299" t="n">
        <f aca="false">INDEX($C$21:$L$21,ROUNDUP(CO29/12,0))</f>
        <v>0.04</v>
      </c>
      <c r="CP34" s="299" t="n">
        <f aca="false">INDEX($C$21:$L$21,ROUNDUP(CP29/12,0))</f>
        <v>0.04</v>
      </c>
      <c r="CQ34" s="299" t="n">
        <f aca="false">INDEX($C$21:$L$21,ROUNDUP(CQ29/12,0))</f>
        <v>0.04</v>
      </c>
      <c r="CR34" s="299" t="n">
        <f aca="false">INDEX($C$21:$L$21,ROUNDUP(CR29/12,0))</f>
        <v>0.04</v>
      </c>
      <c r="CS34" s="299" t="n">
        <f aca="false">INDEX($C$21:$L$21,ROUNDUP(CS29/12,0))</f>
        <v>0.04</v>
      </c>
      <c r="CT34" s="299" t="n">
        <f aca="false">INDEX($C$21:$L$21,ROUNDUP(CT29/12,0))</f>
        <v>0.04</v>
      </c>
      <c r="CU34" s="299" t="n">
        <f aca="false">INDEX($C$21:$L$21,ROUNDUP(CU29/12,0))</f>
        <v>0.04</v>
      </c>
      <c r="CV34" s="299" t="n">
        <f aca="false">INDEX($C$21:$L$21,ROUNDUP(CV29/12,0))</f>
        <v>0.04</v>
      </c>
      <c r="CW34" s="299" t="n">
        <f aca="false">INDEX($C$21:$L$21,ROUNDUP(CW29/12,0))</f>
        <v>0.04</v>
      </c>
      <c r="CX34" s="299" t="n">
        <f aca="false">INDEX($C$21:$L$21,ROUNDUP(CX29/12,0))</f>
        <v>0.04</v>
      </c>
      <c r="CY34" s="299" t="n">
        <f aca="false">INDEX($C$21:$L$21,ROUNDUP(CY29/12,0))</f>
        <v>0.04</v>
      </c>
      <c r="CZ34" s="299" t="n">
        <f aca="false">INDEX($C$21:$L$21,ROUNDUP(CZ29/12,0))</f>
        <v>0.04</v>
      </c>
      <c r="DA34" s="299" t="n">
        <f aca="false">INDEX($C$21:$L$21,ROUNDUP(DA29/12,0))</f>
        <v>0.04</v>
      </c>
      <c r="DB34" s="299" t="n">
        <f aca="false">INDEX($C$21:$L$21,ROUNDUP(DB29/12,0))</f>
        <v>0.04</v>
      </c>
      <c r="DC34" s="299" t="n">
        <f aca="false">INDEX($C$21:$L$21,ROUNDUP(DC29/12,0))</f>
        <v>0.04</v>
      </c>
      <c r="DD34" s="299" t="n">
        <f aca="false">INDEX($C$21:$L$21,ROUNDUP(DD29/12,0))</f>
        <v>0.04</v>
      </c>
      <c r="DE34" s="299" t="n">
        <f aca="false">INDEX($C$21:$L$21,ROUNDUP(DE29/12,0))</f>
        <v>0.04</v>
      </c>
      <c r="DF34" s="299" t="n">
        <f aca="false">INDEX($C$21:$L$21,ROUNDUP(DF29/12,0))</f>
        <v>0.04</v>
      </c>
      <c r="DG34" s="299" t="n">
        <f aca="false">INDEX($C$21:$L$21,ROUNDUP(DG29/12,0))</f>
        <v>0.04</v>
      </c>
      <c r="DH34" s="299" t="n">
        <f aca="false">INDEX($C$21:$L$21,ROUNDUP(DH29/12,0))</f>
        <v>0.04</v>
      </c>
      <c r="DI34" s="299" t="n">
        <f aca="false">INDEX($C$21:$L$21,ROUNDUP(DI29/12,0))</f>
        <v>0.04</v>
      </c>
      <c r="DJ34" s="299" t="n">
        <f aca="false">INDEX($C$21:$L$21,ROUNDUP(DJ29/12,0))</f>
        <v>0.04</v>
      </c>
      <c r="DK34" s="299" t="n">
        <f aca="false">INDEX($C$21:$L$21,ROUNDUP(DK29/12,0))</f>
        <v>0.04</v>
      </c>
      <c r="DL34" s="299" t="n">
        <f aca="false">INDEX($C$21:$L$21,ROUNDUP(DL29/12,0))</f>
        <v>0.04</v>
      </c>
      <c r="DM34" s="299" t="n">
        <f aca="false">INDEX($C$21:$L$21,ROUNDUP(DM29/12,0))</f>
        <v>0.04</v>
      </c>
      <c r="DN34" s="299" t="n">
        <f aca="false">INDEX($C$21:$L$21,ROUNDUP(DN29/12,0))</f>
        <v>0.04</v>
      </c>
      <c r="DO34" s="299" t="n">
        <f aca="false">INDEX($C$21:$L$21,ROUNDUP(DO29/12,0))</f>
        <v>0.04</v>
      </c>
      <c r="DP34" s="299" t="n">
        <f aca="false">INDEX($C$21:$L$21,ROUNDUP(DP29/12,0))</f>
        <v>0.04</v>
      </c>
      <c r="DQ34" s="299" t="n">
        <f aca="false">INDEX($C$21:$L$21,ROUNDUP(DQ29/12,0))</f>
        <v>0.04</v>
      </c>
      <c r="DR34" s="299" t="n">
        <f aca="false">INDEX($C$21:$L$21,ROUNDUP(DR29/12,0))</f>
        <v>0.04</v>
      </c>
      <c r="DS34" s="299" t="n">
        <f aca="false">INDEX($C$21:$L$21,ROUNDUP(DS29/12,0))</f>
        <v>0.04</v>
      </c>
    </row>
    <row r="35" customFormat="false" ht="15" hidden="false" customHeight="true" outlineLevel="0" collapsed="false">
      <c r="B35" s="297" t="s">
        <v>1436</v>
      </c>
      <c r="D35" s="273" t="n">
        <f aca="false">D33*D34</f>
        <v>0</v>
      </c>
      <c r="E35" s="273" t="n">
        <f aca="false">E33*E34</f>
        <v>0</v>
      </c>
      <c r="F35" s="273" t="n">
        <f aca="false">F33*F34</f>
        <v>0</v>
      </c>
      <c r="G35" s="273" t="n">
        <f aca="false">G33*G34</f>
        <v>6079.49321440162</v>
      </c>
      <c r="H35" s="273" t="n">
        <f aca="false">H33*H34</f>
        <v>13461.7349747465</v>
      </c>
      <c r="I35" s="273" t="n">
        <f aca="false">I33*I34</f>
        <v>22146.7252810345</v>
      </c>
      <c r="J35" s="273" t="n">
        <f aca="false">J33*J34</f>
        <v>31743.6395694828</v>
      </c>
      <c r="K35" s="273" t="n">
        <f aca="false">K33*K34</f>
        <v>42447.8901219828</v>
      </c>
      <c r="L35" s="273" t="n">
        <f aca="false">L33*L34</f>
        <v>45639.6240595436</v>
      </c>
      <c r="M35" s="273" t="n">
        <f aca="false">M33*M34</f>
        <v>47333.1971692698</v>
      </c>
      <c r="N35" s="273" t="n">
        <f aca="false">N33*N34</f>
        <v>47333.1971692698</v>
      </c>
      <c r="O35" s="273" t="n">
        <f aca="false">O33*O34</f>
        <v>47333.1971692698</v>
      </c>
      <c r="P35" s="273" t="n">
        <f aca="false">P33*P34</f>
        <v>41416.5475231111</v>
      </c>
      <c r="Q35" s="273" t="n">
        <f aca="false">Q33*Q34</f>
        <v>41416.5475231111</v>
      </c>
      <c r="R35" s="273" t="n">
        <f aca="false">R33*R34</f>
        <v>41416.5475231111</v>
      </c>
      <c r="S35" s="273" t="n">
        <f aca="false">S33*S34</f>
        <v>41416.5475231111</v>
      </c>
      <c r="T35" s="273" t="n">
        <f aca="false">T33*T34</f>
        <v>41416.5475231111</v>
      </c>
      <c r="U35" s="273" t="n">
        <f aca="false">U33*U34</f>
        <v>41416.5475231111</v>
      </c>
      <c r="V35" s="273" t="n">
        <f aca="false">V33*V34</f>
        <v>43886.3416414617</v>
      </c>
      <c r="W35" s="273" t="n">
        <f aca="false">W33*W34</f>
        <v>46926.0882486625</v>
      </c>
      <c r="X35" s="273" t="n">
        <f aca="false">X33*X34</f>
        <v>47876.0090634128</v>
      </c>
      <c r="Y35" s="273" t="n">
        <f aca="false">Y33*Y34</f>
        <v>51105.7398335636</v>
      </c>
      <c r="Z35" s="273" t="n">
        <f aca="false">Z33*Z34</f>
        <v>52055.6606483139</v>
      </c>
      <c r="AA35" s="273" t="n">
        <f aca="false">AA33*AA34</f>
        <v>52435.628974214</v>
      </c>
      <c r="AB35" s="273" t="n">
        <f aca="false">AB33*AB34</f>
        <v>45270.5119715264</v>
      </c>
      <c r="AC35" s="273" t="n">
        <f aca="false">AC33*AC34</f>
        <v>45270.5119715264</v>
      </c>
      <c r="AD35" s="273" t="n">
        <f aca="false">AD33*AD34</f>
        <v>45270.5119715264</v>
      </c>
      <c r="AE35" s="273" t="n">
        <f aca="false">AE33*AE34</f>
        <v>45270.5119715264</v>
      </c>
      <c r="AF35" s="273" t="n">
        <f aca="false">AF33*AF34</f>
        <v>45270.5119715264</v>
      </c>
      <c r="AG35" s="273" t="n">
        <f aca="false">AG33*AG34</f>
        <v>44977.3935486892</v>
      </c>
      <c r="AH35" s="273" t="n">
        <f aca="false">AH33*AH34</f>
        <v>44977.3935486892</v>
      </c>
      <c r="AI35" s="273" t="n">
        <f aca="false">AI33*AI34</f>
        <v>47646.888162895</v>
      </c>
      <c r="AJ35" s="273" t="n">
        <f aca="false">AJ33*AJ34</f>
        <v>50316.3827771009</v>
      </c>
      <c r="AK35" s="273" t="n">
        <f aca="false">AK33*AK34</f>
        <v>51200.9490397963</v>
      </c>
      <c r="AL35" s="273" t="n">
        <f aca="false">AL33*AL34</f>
        <v>53981.0144368391</v>
      </c>
      <c r="AM35" s="273" t="n">
        <f aca="false">AM33*AM34</f>
        <v>54770.8057428172</v>
      </c>
      <c r="AN35" s="273" t="n">
        <f aca="false">AN33*AN34</f>
        <v>52378.4980223555</v>
      </c>
      <c r="AO35" s="273" t="n">
        <f aca="false">AO33*AO34</f>
        <v>53102.4733861687</v>
      </c>
      <c r="AP35" s="273" t="n">
        <f aca="false">AP33*AP34</f>
        <v>52854.6797564924</v>
      </c>
      <c r="AQ35" s="273" t="n">
        <f aca="false">AQ33*AQ34</f>
        <v>55520.7750112112</v>
      </c>
      <c r="AR35" s="273" t="n">
        <f aca="false">AR33*AR34</f>
        <v>57904.7437839492</v>
      </c>
      <c r="AS35" s="273" t="n">
        <f aca="false">AS33*AS34</f>
        <v>60528.5200663708</v>
      </c>
      <c r="AT35" s="273" t="n">
        <f aca="false">AT33*AT34</f>
        <v>63434.4228307733</v>
      </c>
      <c r="AU35" s="273" t="n">
        <f aca="false">AU33*AU34</f>
        <v>64421.8655177062</v>
      </c>
      <c r="AV35" s="273" t="n">
        <f aca="false">AV33*AV34</f>
        <v>64986.1184816679</v>
      </c>
      <c r="AW35" s="273" t="n">
        <f aca="false">AW33*AW34</f>
        <v>67652.2137363867</v>
      </c>
      <c r="AX35" s="273" t="n">
        <f aca="false">AX33*AX34</f>
        <v>68202.3603762493</v>
      </c>
      <c r="AY35" s="273" t="n">
        <f aca="false">AY33*AY34</f>
        <v>70402.9469356997</v>
      </c>
      <c r="AZ35" s="273" t="n">
        <f aca="false">AZ33*AZ34</f>
        <v>66387.9301982922</v>
      </c>
      <c r="BA35" s="273" t="n">
        <f aca="false">BA33*BA34</f>
        <v>67029.1267482486</v>
      </c>
      <c r="BB35" s="273" t="n">
        <f aca="false">BB33*BB34</f>
        <v>67542.0839882138</v>
      </c>
      <c r="BC35" s="273" t="n">
        <f aca="false">BC33*BC34</f>
        <v>67798.5626081963</v>
      </c>
      <c r="BD35" s="273" t="n">
        <f aca="false">BD33*BD34</f>
        <v>67798.5626081963</v>
      </c>
      <c r="BE35" s="273" t="n">
        <f aca="false">BE33*BE34</f>
        <v>67798.5626081963</v>
      </c>
      <c r="BF35" s="273" t="n">
        <f aca="false">BF33*BF34</f>
        <v>66787.575455355</v>
      </c>
      <c r="BG35" s="273" t="n">
        <f aca="false">BG33*BG34</f>
        <v>66787.575455355</v>
      </c>
      <c r="BH35" s="273" t="n">
        <f aca="false">BH33*BH34</f>
        <v>66787.575455355</v>
      </c>
      <c r="BI35" s="273" t="n">
        <f aca="false">BI33*BI34</f>
        <v>70033.5905823301</v>
      </c>
      <c r="BJ35" s="273" t="n">
        <f aca="false">BJ33*BJ34</f>
        <v>72405.6785597351</v>
      </c>
      <c r="BK35" s="273" t="n">
        <f aca="false">BK33*BK34</f>
        <v>74393.7271220338</v>
      </c>
      <c r="BL35" s="273" t="n">
        <f aca="false">BL33*BL34</f>
        <v>69471.508865945</v>
      </c>
      <c r="BM35" s="273" t="n">
        <f aca="false">BM33*BM34</f>
        <v>71735.8486823626</v>
      </c>
      <c r="BN35" s="273" t="n">
        <f aca="false">BN33*BN34</f>
        <v>74000.1884987801</v>
      </c>
      <c r="BO35" s="273" t="n">
        <f aca="false">BO33*BO34</f>
        <v>74769.6243587278</v>
      </c>
      <c r="BP35" s="273" t="n">
        <f aca="false">BP33*BP34</f>
        <v>77066.9399977145</v>
      </c>
      <c r="BQ35" s="273" t="n">
        <f aca="false">BQ33*BQ34</f>
        <v>77977.3169659765</v>
      </c>
      <c r="BR35" s="273" t="n">
        <f aca="false">BR33*BR34</f>
        <v>79976.3846097263</v>
      </c>
      <c r="BS35" s="273" t="n">
        <f aca="false">BS33*BS34</f>
        <v>82190.4057635568</v>
      </c>
      <c r="BT35" s="273" t="n">
        <f aca="false">BT33*BT34</f>
        <v>84759.1002090203</v>
      </c>
      <c r="BU35" s="273" t="n">
        <f aca="false">BU33*BU34</f>
        <v>87005.3643893629</v>
      </c>
      <c r="BV35" s="273" t="n">
        <f aca="false">BV33*BV34</f>
        <v>89219.3855431934</v>
      </c>
      <c r="BW35" s="273" t="n">
        <f aca="false">BW33*BW34</f>
        <v>90328.7166409561</v>
      </c>
      <c r="BX35" s="273" t="n">
        <f aca="false">BX33*BX34</f>
        <v>82536.5569084518</v>
      </c>
      <c r="BY35" s="273" t="n">
        <f aca="false">BY33*BY34</f>
        <v>83278.417924177</v>
      </c>
      <c r="BZ35" s="273" t="n">
        <f aca="false">BZ33*BZ34</f>
        <v>86151.9555293913</v>
      </c>
      <c r="CA35" s="273" t="n">
        <f aca="false">CA33*CA34</f>
        <v>88180.3350154248</v>
      </c>
      <c r="CB35" s="273" t="n">
        <f aca="false">CB33*CB34</f>
        <v>88907.1601416823</v>
      </c>
      <c r="CC35" s="273" t="n">
        <f aca="false">CC33*CC34</f>
        <v>90937.2766257771</v>
      </c>
      <c r="CD35" s="273" t="n">
        <f aca="false">CD33*CD34</f>
        <v>93142.7213516802</v>
      </c>
      <c r="CE35" s="273" t="n">
        <f aca="false">CE33*CE34</f>
        <v>95071.3320115702</v>
      </c>
      <c r="CF35" s="273" t="n">
        <f aca="false">CF33*CF34</f>
        <v>96972.259264859</v>
      </c>
      <c r="CG35" s="273" t="n">
        <f aca="false">CG33*CG34</f>
        <v>99173.9043075031</v>
      </c>
      <c r="CH35" s="273" t="n">
        <f aca="false">CH33*CH34</f>
        <v>101626.979819514</v>
      </c>
      <c r="CI35" s="273" t="n">
        <f aca="false">CI33*CI34</f>
        <v>103715.285738661</v>
      </c>
      <c r="CJ35" s="273" t="n">
        <f aca="false">CJ33*CJ34</f>
        <v>104590.732761535</v>
      </c>
      <c r="CK35" s="273" t="n">
        <f aca="false">CK33*CK34</f>
        <v>105010.217793329</v>
      </c>
      <c r="CL35" s="273" t="n">
        <f aca="false">CL33*CL34</f>
        <v>105192.602589761</v>
      </c>
      <c r="CM35" s="273" t="n">
        <f aca="false">CM33*CM34</f>
        <v>105192.602589761</v>
      </c>
      <c r="CN35" s="273" t="n">
        <f aca="false">CN33*CN34</f>
        <v>105192.602589761</v>
      </c>
      <c r="CO35" s="273" t="n">
        <f aca="false">CO33*CO34</f>
        <v>105192.602589761</v>
      </c>
      <c r="CP35" s="273" t="n">
        <f aca="false">CP33*CP34</f>
        <v>105192.602589761</v>
      </c>
      <c r="CQ35" s="273" t="n">
        <f aca="false">CQ33*CQ34</f>
        <v>105192.602589761</v>
      </c>
      <c r="CR35" s="273" t="n">
        <f aca="false">CR33*CR34</f>
        <v>105192.602589761</v>
      </c>
      <c r="CS35" s="273" t="n">
        <f aca="false">CS33*CS34</f>
        <v>105192.602589761</v>
      </c>
      <c r="CT35" s="273" t="n">
        <f aca="false">CT33*CT34</f>
        <v>105192.602589761</v>
      </c>
      <c r="CU35" s="273" t="n">
        <f aca="false">CU33*CU34</f>
        <v>105192.602589761</v>
      </c>
      <c r="CV35" s="273" t="n">
        <f aca="false">CV33*CV34</f>
        <v>105192.602589761</v>
      </c>
      <c r="CW35" s="273" t="n">
        <f aca="false">CW33*CW34</f>
        <v>105192.602589761</v>
      </c>
      <c r="CX35" s="273" t="n">
        <f aca="false">CX33*CX34</f>
        <v>105192.602589761</v>
      </c>
      <c r="CY35" s="273" t="n">
        <f aca="false">CY33*CY34</f>
        <v>105192.602589761</v>
      </c>
      <c r="CZ35" s="273" t="n">
        <f aca="false">CZ33*CZ34</f>
        <v>105192.602589761</v>
      </c>
      <c r="DA35" s="273" t="n">
        <f aca="false">DA33*DA34</f>
        <v>105192.602589761</v>
      </c>
      <c r="DB35" s="273" t="n">
        <f aca="false">DB33*DB34</f>
        <v>105192.602589761</v>
      </c>
      <c r="DC35" s="273" t="n">
        <f aca="false">DC33*DC34</f>
        <v>105192.602589761</v>
      </c>
      <c r="DD35" s="273" t="n">
        <f aca="false">DD33*DD34</f>
        <v>105192.602589761</v>
      </c>
      <c r="DE35" s="273" t="n">
        <f aca="false">DE33*DE34</f>
        <v>105192.602589761</v>
      </c>
      <c r="DF35" s="273" t="n">
        <f aca="false">DF33*DF34</f>
        <v>105192.602589761</v>
      </c>
      <c r="DG35" s="273" t="n">
        <f aca="false">DG33*DG34</f>
        <v>105192.602589761</v>
      </c>
      <c r="DH35" s="273" t="n">
        <f aca="false">DH33*DH34</f>
        <v>105192.602589761</v>
      </c>
      <c r="DI35" s="273" t="n">
        <f aca="false">DI33*DI34</f>
        <v>105192.602589761</v>
      </c>
      <c r="DJ35" s="273" t="n">
        <f aca="false">DJ33*DJ34</f>
        <v>105192.602589761</v>
      </c>
      <c r="DK35" s="273" t="n">
        <f aca="false">DK33*DK34</f>
        <v>105192.602589761</v>
      </c>
      <c r="DL35" s="273" t="n">
        <f aca="false">DL33*DL34</f>
        <v>105192.602589761</v>
      </c>
      <c r="DM35" s="273" t="n">
        <f aca="false">DM33*DM34</f>
        <v>105192.602589761</v>
      </c>
      <c r="DN35" s="273" t="n">
        <f aca="false">DN33*DN34</f>
        <v>105192.602589761</v>
      </c>
      <c r="DO35" s="273" t="n">
        <f aca="false">DO33*DO34</f>
        <v>105192.602589761</v>
      </c>
      <c r="DP35" s="273" t="n">
        <f aca="false">DP33*DP34</f>
        <v>105192.602589761</v>
      </c>
      <c r="DQ35" s="273" t="n">
        <f aca="false">DQ33*DQ34</f>
        <v>105192.602589761</v>
      </c>
      <c r="DR35" s="273" t="n">
        <f aca="false">DR33*DR34</f>
        <v>105192.602589761</v>
      </c>
      <c r="DS35" s="273" t="n">
        <f aca="false">DS33*DS34</f>
        <v>105192.602589761</v>
      </c>
    </row>
    <row r="36" customFormat="false" ht="15" hidden="false" customHeight="true" outlineLevel="0" collapsed="false">
      <c r="B36" s="178" t="s">
        <v>1437</v>
      </c>
      <c r="D36" s="268" t="n">
        <f aca="false">MAX(D32,D35)</f>
        <v>0</v>
      </c>
      <c r="E36" s="268" t="n">
        <f aca="false">MAX(E32,E35)</f>
        <v>15715</v>
      </c>
      <c r="F36" s="268" t="n">
        <f aca="false">MAX(F32,F35)</f>
        <v>15715</v>
      </c>
      <c r="G36" s="268" t="n">
        <f aca="false">MAX(G32,G35)</f>
        <v>15715</v>
      </c>
      <c r="H36" s="268" t="n">
        <f aca="false">MAX(H32,H35)</f>
        <v>15715</v>
      </c>
      <c r="I36" s="268" t="n">
        <f aca="false">MAX(I32,I35)</f>
        <v>22146.7252810345</v>
      </c>
      <c r="J36" s="268" t="n">
        <f aca="false">MAX(J32,J35)</f>
        <v>31743.6395694828</v>
      </c>
      <c r="K36" s="268" t="n">
        <f aca="false">MAX(K32,K35)</f>
        <v>42447.8901219828</v>
      </c>
      <c r="L36" s="268" t="n">
        <f aca="false">MAX(L32,L35)</f>
        <v>45639.6240595436</v>
      </c>
      <c r="M36" s="268" t="n">
        <f aca="false">MAX(M32,M35)</f>
        <v>47333.1971692698</v>
      </c>
      <c r="N36" s="268" t="n">
        <f aca="false">MAX(N32,N35)</f>
        <v>47333.1971692698</v>
      </c>
      <c r="O36" s="268" t="n">
        <f aca="false">MAX(O32,O35)</f>
        <v>47333.1971692698</v>
      </c>
      <c r="P36" s="268" t="n">
        <f aca="false">MAX(P32,P35)</f>
        <v>41416.5475231111</v>
      </c>
      <c r="Q36" s="268" t="n">
        <f aca="false">MAX(Q32,Q35)</f>
        <v>41416.5475231111</v>
      </c>
      <c r="R36" s="268" t="n">
        <f aca="false">MAX(R32,R35)</f>
        <v>41416.5475231111</v>
      </c>
      <c r="S36" s="268" t="n">
        <f aca="false">MAX(S32,S35)</f>
        <v>41416.5475231111</v>
      </c>
      <c r="T36" s="268" t="n">
        <f aca="false">MAX(T32,T35)</f>
        <v>41416.5475231111</v>
      </c>
      <c r="U36" s="268" t="n">
        <f aca="false">MAX(U32,U35)</f>
        <v>41416.5475231111</v>
      </c>
      <c r="V36" s="268" t="n">
        <f aca="false">MAX(V32,V35)</f>
        <v>43886.3416414617</v>
      </c>
      <c r="W36" s="268" t="n">
        <f aca="false">MAX(W32,W35)</f>
        <v>46926.0882486625</v>
      </c>
      <c r="X36" s="268" t="n">
        <f aca="false">MAX(X32,X35)</f>
        <v>47876.0090634128</v>
      </c>
      <c r="Y36" s="268" t="n">
        <f aca="false">MAX(Y32,Y35)</f>
        <v>51105.7398335636</v>
      </c>
      <c r="Z36" s="268" t="n">
        <f aca="false">MAX(Z32,Z35)</f>
        <v>52055.6606483139</v>
      </c>
      <c r="AA36" s="268" t="n">
        <f aca="false">MAX(AA32,AA35)</f>
        <v>52435.628974214</v>
      </c>
      <c r="AB36" s="268" t="n">
        <f aca="false">MAX(AB32,AB35)</f>
        <v>45270.5119715264</v>
      </c>
      <c r="AC36" s="268" t="n">
        <f aca="false">MAX(AC32,AC35)</f>
        <v>45270.5119715264</v>
      </c>
      <c r="AD36" s="268" t="n">
        <f aca="false">MAX(AD32,AD35)</f>
        <v>45270.5119715264</v>
      </c>
      <c r="AE36" s="268" t="n">
        <f aca="false">MAX(AE32,AE35)</f>
        <v>45270.5119715264</v>
      </c>
      <c r="AF36" s="268" t="n">
        <f aca="false">MAX(AF32,AF35)</f>
        <v>45270.5119715264</v>
      </c>
      <c r="AG36" s="268" t="n">
        <f aca="false">MAX(AG32,AG35)</f>
        <v>44977.3935486892</v>
      </c>
      <c r="AH36" s="268" t="n">
        <f aca="false">MAX(AH32,AH35)</f>
        <v>44977.3935486892</v>
      </c>
      <c r="AI36" s="268" t="n">
        <f aca="false">MAX(AI32,AI35)</f>
        <v>47646.888162895</v>
      </c>
      <c r="AJ36" s="268" t="n">
        <f aca="false">MAX(AJ32,AJ35)</f>
        <v>50316.3827771009</v>
      </c>
      <c r="AK36" s="268" t="n">
        <f aca="false">MAX(AK32,AK35)</f>
        <v>51200.9490397963</v>
      </c>
      <c r="AL36" s="268" t="n">
        <f aca="false">MAX(AL32,AL35)</f>
        <v>53981.0144368391</v>
      </c>
      <c r="AM36" s="268" t="n">
        <f aca="false">MAX(AM32,AM35)</f>
        <v>54770.8057428172</v>
      </c>
      <c r="AN36" s="268" t="n">
        <f aca="false">MAX(AN32,AN35)</f>
        <v>52378.4980223555</v>
      </c>
      <c r="AO36" s="268" t="n">
        <f aca="false">MAX(AO32,AO35)</f>
        <v>53102.4733861687</v>
      </c>
      <c r="AP36" s="268" t="n">
        <f aca="false">MAX(AP32,AP35)</f>
        <v>52854.6797564924</v>
      </c>
      <c r="AQ36" s="268" t="n">
        <f aca="false">MAX(AQ32,AQ35)</f>
        <v>55520.7750112112</v>
      </c>
      <c r="AR36" s="268" t="n">
        <f aca="false">MAX(AR32,AR35)</f>
        <v>57904.7437839492</v>
      </c>
      <c r="AS36" s="268" t="n">
        <f aca="false">MAX(AS32,AS35)</f>
        <v>60528.5200663708</v>
      </c>
      <c r="AT36" s="268" t="n">
        <f aca="false">MAX(AT32,AT35)</f>
        <v>63434.4228307733</v>
      </c>
      <c r="AU36" s="268" t="n">
        <f aca="false">MAX(AU32,AU35)</f>
        <v>64421.8655177062</v>
      </c>
      <c r="AV36" s="268" t="n">
        <f aca="false">MAX(AV32,AV35)</f>
        <v>64986.1184816679</v>
      </c>
      <c r="AW36" s="268" t="n">
        <f aca="false">MAX(AW32,AW35)</f>
        <v>67652.2137363867</v>
      </c>
      <c r="AX36" s="268" t="n">
        <f aca="false">MAX(AX32,AX35)</f>
        <v>68202.3603762493</v>
      </c>
      <c r="AY36" s="268" t="n">
        <f aca="false">MAX(AY32,AY35)</f>
        <v>70402.9469356997</v>
      </c>
      <c r="AZ36" s="268" t="n">
        <f aca="false">MAX(AZ32,AZ35)</f>
        <v>66387.9301982922</v>
      </c>
      <c r="BA36" s="268" t="n">
        <f aca="false">MAX(BA32,BA35)</f>
        <v>67029.1267482486</v>
      </c>
      <c r="BB36" s="268" t="n">
        <f aca="false">MAX(BB32,BB35)</f>
        <v>67542.0839882138</v>
      </c>
      <c r="BC36" s="268" t="n">
        <f aca="false">MAX(BC32,BC35)</f>
        <v>67798.5626081963</v>
      </c>
      <c r="BD36" s="268" t="n">
        <f aca="false">MAX(BD32,BD35)</f>
        <v>67798.5626081963</v>
      </c>
      <c r="BE36" s="268" t="n">
        <f aca="false">MAX(BE32,BE35)</f>
        <v>67798.5626081963</v>
      </c>
      <c r="BF36" s="268" t="n">
        <f aca="false">MAX(BF32,BF35)</f>
        <v>66787.575455355</v>
      </c>
      <c r="BG36" s="268" t="n">
        <f aca="false">MAX(BG32,BG35)</f>
        <v>66787.575455355</v>
      </c>
      <c r="BH36" s="268" t="n">
        <f aca="false">MAX(BH32,BH35)</f>
        <v>66787.575455355</v>
      </c>
      <c r="BI36" s="268" t="n">
        <f aca="false">MAX(BI32,BI35)</f>
        <v>70033.5905823301</v>
      </c>
      <c r="BJ36" s="268" t="n">
        <f aca="false">MAX(BJ32,BJ35)</f>
        <v>72405.6785597351</v>
      </c>
      <c r="BK36" s="268" t="n">
        <f aca="false">MAX(BK32,BK35)</f>
        <v>74393.7271220338</v>
      </c>
      <c r="BL36" s="268" t="n">
        <f aca="false">MAX(BL32,BL35)</f>
        <v>69471.508865945</v>
      </c>
      <c r="BM36" s="268" t="n">
        <f aca="false">MAX(BM32,BM35)</f>
        <v>71735.8486823626</v>
      </c>
      <c r="BN36" s="268" t="n">
        <f aca="false">MAX(BN32,BN35)</f>
        <v>74000.1884987801</v>
      </c>
      <c r="BO36" s="268" t="n">
        <f aca="false">MAX(BO32,BO35)</f>
        <v>74769.6243587278</v>
      </c>
      <c r="BP36" s="268" t="n">
        <f aca="false">MAX(BP32,BP35)</f>
        <v>77066.9399977145</v>
      </c>
      <c r="BQ36" s="268" t="n">
        <f aca="false">MAX(BQ32,BQ35)</f>
        <v>77977.3169659765</v>
      </c>
      <c r="BR36" s="268" t="n">
        <f aca="false">MAX(BR32,BR35)</f>
        <v>79976.3846097263</v>
      </c>
      <c r="BS36" s="268" t="n">
        <f aca="false">MAX(BS32,BS35)</f>
        <v>82190.4057635568</v>
      </c>
      <c r="BT36" s="268" t="n">
        <f aca="false">MAX(BT32,BT35)</f>
        <v>84759.1002090203</v>
      </c>
      <c r="BU36" s="268" t="n">
        <f aca="false">MAX(BU32,BU35)</f>
        <v>87005.3643893629</v>
      </c>
      <c r="BV36" s="268" t="n">
        <f aca="false">MAX(BV32,BV35)</f>
        <v>89219.3855431934</v>
      </c>
      <c r="BW36" s="268" t="n">
        <f aca="false">MAX(BW32,BW35)</f>
        <v>90328.7166409561</v>
      </c>
      <c r="BX36" s="268" t="n">
        <f aca="false">MAX(BX32,BX35)</f>
        <v>82536.5569084518</v>
      </c>
      <c r="BY36" s="268" t="n">
        <f aca="false">MAX(BY32,BY35)</f>
        <v>83278.417924177</v>
      </c>
      <c r="BZ36" s="268" t="n">
        <f aca="false">MAX(BZ32,BZ35)</f>
        <v>86151.9555293913</v>
      </c>
      <c r="CA36" s="268" t="n">
        <f aca="false">MAX(CA32,CA35)</f>
        <v>88180.3350154248</v>
      </c>
      <c r="CB36" s="268" t="n">
        <f aca="false">MAX(CB32,CB35)</f>
        <v>88907.1601416823</v>
      </c>
      <c r="CC36" s="268" t="n">
        <f aca="false">MAX(CC32,CC35)</f>
        <v>90937.2766257771</v>
      </c>
      <c r="CD36" s="268" t="n">
        <f aca="false">MAX(CD32,CD35)</f>
        <v>93142.7213516802</v>
      </c>
      <c r="CE36" s="268" t="n">
        <f aca="false">MAX(CE32,CE35)</f>
        <v>95071.3320115702</v>
      </c>
      <c r="CF36" s="268" t="n">
        <f aca="false">MAX(CF32,CF35)</f>
        <v>96972.259264859</v>
      </c>
      <c r="CG36" s="268" t="n">
        <f aca="false">MAX(CG32,CG35)</f>
        <v>99173.9043075031</v>
      </c>
      <c r="CH36" s="268" t="n">
        <f aca="false">MAX(CH32,CH35)</f>
        <v>101626.979819514</v>
      </c>
      <c r="CI36" s="268" t="n">
        <f aca="false">MAX(CI32,CI35)</f>
        <v>103715.285738661</v>
      </c>
      <c r="CJ36" s="268" t="n">
        <f aca="false">MAX(CJ32,CJ35)</f>
        <v>104590.732761535</v>
      </c>
      <c r="CK36" s="268" t="n">
        <f aca="false">MAX(CK32,CK35)</f>
        <v>105010.217793329</v>
      </c>
      <c r="CL36" s="268" t="n">
        <f aca="false">MAX(CL32,CL35)</f>
        <v>105192.602589761</v>
      </c>
      <c r="CM36" s="268" t="n">
        <f aca="false">MAX(CM32,CM35)</f>
        <v>105192.602589761</v>
      </c>
      <c r="CN36" s="268" t="n">
        <f aca="false">MAX(CN32,CN35)</f>
        <v>105192.602589761</v>
      </c>
      <c r="CO36" s="268" t="n">
        <f aca="false">MAX(CO32,CO35)</f>
        <v>105192.602589761</v>
      </c>
      <c r="CP36" s="268" t="n">
        <f aca="false">MAX(CP32,CP35)</f>
        <v>105192.602589761</v>
      </c>
      <c r="CQ36" s="268" t="n">
        <f aca="false">MAX(CQ32,CQ35)</f>
        <v>105192.602589761</v>
      </c>
      <c r="CR36" s="268" t="n">
        <f aca="false">MAX(CR32,CR35)</f>
        <v>105192.602589761</v>
      </c>
      <c r="CS36" s="268" t="n">
        <f aca="false">MAX(CS32,CS35)</f>
        <v>105192.602589761</v>
      </c>
      <c r="CT36" s="268" t="n">
        <f aca="false">MAX(CT32,CT35)</f>
        <v>105192.602589761</v>
      </c>
      <c r="CU36" s="268" t="n">
        <f aca="false">MAX(CU32,CU35)</f>
        <v>105192.602589761</v>
      </c>
      <c r="CV36" s="268" t="n">
        <f aca="false">MAX(CV32,CV35)</f>
        <v>105192.602589761</v>
      </c>
      <c r="CW36" s="268" t="n">
        <f aca="false">MAX(CW32,CW35)</f>
        <v>105192.602589761</v>
      </c>
      <c r="CX36" s="268" t="n">
        <f aca="false">MAX(CX32,CX35)</f>
        <v>105192.602589761</v>
      </c>
      <c r="CY36" s="268" t="n">
        <f aca="false">MAX(CY32,CY35)</f>
        <v>105192.602589761</v>
      </c>
      <c r="CZ36" s="268" t="n">
        <f aca="false">MAX(CZ32,CZ35)</f>
        <v>105192.602589761</v>
      </c>
      <c r="DA36" s="268" t="n">
        <f aca="false">MAX(DA32,DA35)</f>
        <v>105192.602589761</v>
      </c>
      <c r="DB36" s="268" t="n">
        <f aca="false">MAX(DB32,DB35)</f>
        <v>105192.602589761</v>
      </c>
      <c r="DC36" s="268" t="n">
        <f aca="false">MAX(DC32,DC35)</f>
        <v>105192.602589761</v>
      </c>
      <c r="DD36" s="268" t="n">
        <f aca="false">MAX(DD32,DD35)</f>
        <v>105192.602589761</v>
      </c>
      <c r="DE36" s="268" t="n">
        <f aca="false">MAX(DE32,DE35)</f>
        <v>105192.602589761</v>
      </c>
      <c r="DF36" s="268" t="n">
        <f aca="false">MAX(DF32,DF35)</f>
        <v>105192.602589761</v>
      </c>
      <c r="DG36" s="268" t="n">
        <f aca="false">MAX(DG32,DG35)</f>
        <v>105192.602589761</v>
      </c>
      <c r="DH36" s="268" t="n">
        <f aca="false">MAX(DH32,DH35)</f>
        <v>105192.602589761</v>
      </c>
      <c r="DI36" s="268" t="n">
        <f aca="false">MAX(DI32,DI35)</f>
        <v>105192.602589761</v>
      </c>
      <c r="DJ36" s="268" t="n">
        <f aca="false">MAX(DJ32,DJ35)</f>
        <v>105192.602589761</v>
      </c>
      <c r="DK36" s="268" t="n">
        <f aca="false">MAX(DK32,DK35)</f>
        <v>105192.602589761</v>
      </c>
      <c r="DL36" s="268" t="n">
        <f aca="false">MAX(DL32,DL35)</f>
        <v>105192.602589761</v>
      </c>
      <c r="DM36" s="268" t="n">
        <f aca="false">MAX(DM32,DM35)</f>
        <v>105192.602589761</v>
      </c>
      <c r="DN36" s="268" t="n">
        <f aca="false">MAX(DN32,DN35)</f>
        <v>105192.602589761</v>
      </c>
      <c r="DO36" s="268" t="n">
        <f aca="false">MAX(DO32,DO35)</f>
        <v>105192.602589761</v>
      </c>
      <c r="DP36" s="268" t="n">
        <f aca="false">MAX(DP32,DP35)</f>
        <v>105192.602589761</v>
      </c>
      <c r="DQ36" s="268" t="n">
        <f aca="false">MAX(DQ32,DQ35)</f>
        <v>105192.602589761</v>
      </c>
      <c r="DR36" s="268" t="n">
        <f aca="false">MAX(DR32,DR35)</f>
        <v>105192.602589761</v>
      </c>
      <c r="DS36" s="268" t="n">
        <f aca="false">MAX(DS32,DS35)</f>
        <v>105192.602589761</v>
      </c>
    </row>
    <row r="37" customFormat="false" ht="15" hidden="false" customHeight="true" outlineLevel="0" collapsed="false">
      <c r="B37" s="297" t="s">
        <v>1438</v>
      </c>
      <c r="D37" s="273" t="n">
        <f aca="false">D36-D32</f>
        <v>0</v>
      </c>
      <c r="E37" s="273" t="n">
        <f aca="false">E36-E32</f>
        <v>0</v>
      </c>
      <c r="F37" s="273" t="n">
        <f aca="false">F36-F32</f>
        <v>0</v>
      </c>
      <c r="G37" s="273" t="n">
        <f aca="false">G36-G32</f>
        <v>0</v>
      </c>
      <c r="H37" s="273" t="n">
        <f aca="false">H36-H32</f>
        <v>0</v>
      </c>
      <c r="I37" s="273" t="n">
        <f aca="false">I36-I32</f>
        <v>6431.72528103449</v>
      </c>
      <c r="J37" s="273" t="n">
        <f aca="false">J36-J32</f>
        <v>16028.6395694828</v>
      </c>
      <c r="K37" s="273" t="n">
        <f aca="false">K36-K32</f>
        <v>26732.8901219828</v>
      </c>
      <c r="L37" s="273" t="n">
        <f aca="false">L36-L32</f>
        <v>29924.6240595436</v>
      </c>
      <c r="M37" s="273" t="n">
        <f aca="false">M36-M32</f>
        <v>31618.1971692698</v>
      </c>
      <c r="N37" s="273" t="n">
        <f aca="false">N36-N32</f>
        <v>31618.1971692698</v>
      </c>
      <c r="O37" s="273" t="n">
        <f aca="false">O36-O32</f>
        <v>31618.1971692698</v>
      </c>
      <c r="P37" s="273" t="n">
        <f aca="false">P36-P32</f>
        <v>25701.5475231111</v>
      </c>
      <c r="Q37" s="273" t="n">
        <f aca="false">Q36-Q32</f>
        <v>25701.5475231111</v>
      </c>
      <c r="R37" s="273" t="n">
        <f aca="false">R36-R32</f>
        <v>25701.5475231111</v>
      </c>
      <c r="S37" s="273" t="n">
        <f aca="false">S36-S32</f>
        <v>22271.5475231111</v>
      </c>
      <c r="T37" s="273" t="n">
        <f aca="false">T36-T32</f>
        <v>22271.5475231111</v>
      </c>
      <c r="U37" s="273" t="n">
        <f aca="false">U36-U32</f>
        <v>22271.5475231111</v>
      </c>
      <c r="V37" s="273" t="n">
        <f aca="false">V36-V32</f>
        <v>24741.3416414617</v>
      </c>
      <c r="W37" s="273" t="n">
        <f aca="false">W36-W32</f>
        <v>27781.0882486625</v>
      </c>
      <c r="X37" s="273" t="n">
        <f aca="false">X36-X32</f>
        <v>28731.0090634128</v>
      </c>
      <c r="Y37" s="273" t="n">
        <f aca="false">Y36-Y32</f>
        <v>31960.7398335636</v>
      </c>
      <c r="Z37" s="273" t="n">
        <f aca="false">Z36-Z32</f>
        <v>32910.6606483139</v>
      </c>
      <c r="AA37" s="273" t="n">
        <f aca="false">AA36-AA32</f>
        <v>33290.628974214</v>
      </c>
      <c r="AB37" s="273" t="n">
        <f aca="false">AB36-AB32</f>
        <v>26125.5119715264</v>
      </c>
      <c r="AC37" s="273" t="n">
        <f aca="false">AC36-AC32</f>
        <v>26125.5119715264</v>
      </c>
      <c r="AD37" s="273" t="n">
        <f aca="false">AD36-AD32</f>
        <v>26125.5119715264</v>
      </c>
      <c r="AE37" s="273" t="n">
        <f aca="false">AE36-AE32</f>
        <v>26125.5119715264</v>
      </c>
      <c r="AF37" s="273" t="n">
        <f aca="false">AF36-AF32</f>
        <v>26125.5119715264</v>
      </c>
      <c r="AG37" s="273" t="n">
        <f aca="false">AG36-AG32</f>
        <v>25832.3935486892</v>
      </c>
      <c r="AH37" s="273" t="n">
        <f aca="false">AH36-AH32</f>
        <v>25832.3935486892</v>
      </c>
      <c r="AI37" s="273" t="n">
        <f aca="false">AI36-AI32</f>
        <v>28501.888162895</v>
      </c>
      <c r="AJ37" s="273" t="n">
        <f aca="false">AJ36-AJ32</f>
        <v>31171.3827771009</v>
      </c>
      <c r="AK37" s="273" t="n">
        <f aca="false">AK36-AK32</f>
        <v>32055.9490397963</v>
      </c>
      <c r="AL37" s="273" t="n">
        <f aca="false">AL36-AL32</f>
        <v>34836.0144368391</v>
      </c>
      <c r="AM37" s="273" t="n">
        <f aca="false">AM36-AM32</f>
        <v>35625.8057428172</v>
      </c>
      <c r="AN37" s="273" t="n">
        <f aca="false">AN36-AN32</f>
        <v>33233.4980223555</v>
      </c>
      <c r="AO37" s="273" t="n">
        <f aca="false">AO36-AO32</f>
        <v>33957.4733861687</v>
      </c>
      <c r="AP37" s="273" t="n">
        <f aca="false">AP36-AP32</f>
        <v>33709.6797564924</v>
      </c>
      <c r="AQ37" s="273" t="n">
        <f aca="false">AQ36-AQ32</f>
        <v>34660.7750112112</v>
      </c>
      <c r="AR37" s="273" t="n">
        <f aca="false">AR36-AR32</f>
        <v>37044.7437839492</v>
      </c>
      <c r="AS37" s="273" t="n">
        <f aca="false">AS36-AS32</f>
        <v>39668.5200663708</v>
      </c>
      <c r="AT37" s="273" t="n">
        <f aca="false">AT36-AT32</f>
        <v>42574.4228307733</v>
      </c>
      <c r="AU37" s="273" t="n">
        <f aca="false">AU36-AU32</f>
        <v>43561.8655177062</v>
      </c>
      <c r="AV37" s="273" t="n">
        <f aca="false">AV36-AV32</f>
        <v>44126.1184816679</v>
      </c>
      <c r="AW37" s="273" t="n">
        <f aca="false">AW36-AW32</f>
        <v>46792.2137363867</v>
      </c>
      <c r="AX37" s="273" t="n">
        <f aca="false">AX36-AX32</f>
        <v>47342.3603762493</v>
      </c>
      <c r="AY37" s="273" t="n">
        <f aca="false">AY36-AY32</f>
        <v>49542.9469356997</v>
      </c>
      <c r="AZ37" s="273" t="n">
        <f aca="false">AZ36-AZ32</f>
        <v>45527.9301982922</v>
      </c>
      <c r="BA37" s="273" t="n">
        <f aca="false">BA36-BA32</f>
        <v>46169.1267482486</v>
      </c>
      <c r="BB37" s="273" t="n">
        <f aca="false">BB36-BB32</f>
        <v>46682.0839882138</v>
      </c>
      <c r="BC37" s="273" t="n">
        <f aca="false">BC36-BC32</f>
        <v>46938.5626081963</v>
      </c>
      <c r="BD37" s="273" t="n">
        <f aca="false">BD36-BD32</f>
        <v>46938.5626081963</v>
      </c>
      <c r="BE37" s="273" t="n">
        <f aca="false">BE36-BE32</f>
        <v>46938.5626081963</v>
      </c>
      <c r="BF37" s="273" t="n">
        <f aca="false">BF36-BF32</f>
        <v>45927.575455355</v>
      </c>
      <c r="BG37" s="273" t="n">
        <f aca="false">BG36-BG32</f>
        <v>45927.575455355</v>
      </c>
      <c r="BH37" s="273" t="n">
        <f aca="false">BH36-BH32</f>
        <v>45927.575455355</v>
      </c>
      <c r="BI37" s="273" t="n">
        <f aca="false">BI36-BI32</f>
        <v>49173.5905823301</v>
      </c>
      <c r="BJ37" s="273" t="n">
        <f aca="false">BJ36-BJ32</f>
        <v>51545.6785597351</v>
      </c>
      <c r="BK37" s="273" t="n">
        <f aca="false">BK36-BK32</f>
        <v>53533.7271220338</v>
      </c>
      <c r="BL37" s="273" t="n">
        <f aca="false">BL36-BL32</f>
        <v>48611.508865945</v>
      </c>
      <c r="BM37" s="273" t="n">
        <f aca="false">BM36-BM32</f>
        <v>49160.8486823626</v>
      </c>
      <c r="BN37" s="273" t="n">
        <f aca="false">BN36-BN32</f>
        <v>51425.1884987801</v>
      </c>
      <c r="BO37" s="273" t="n">
        <f aca="false">BO36-BO32</f>
        <v>52194.6243587278</v>
      </c>
      <c r="BP37" s="273" t="n">
        <f aca="false">BP36-BP32</f>
        <v>54491.9399977145</v>
      </c>
      <c r="BQ37" s="273" t="n">
        <f aca="false">BQ36-BQ32</f>
        <v>55402.3169659765</v>
      </c>
      <c r="BR37" s="273" t="n">
        <f aca="false">BR36-BR32</f>
        <v>57401.3846097263</v>
      </c>
      <c r="BS37" s="273" t="n">
        <f aca="false">BS36-BS32</f>
        <v>59615.4057635568</v>
      </c>
      <c r="BT37" s="273" t="n">
        <f aca="false">BT36-BT32</f>
        <v>62184.1002090203</v>
      </c>
      <c r="BU37" s="273" t="n">
        <f aca="false">BU36-BU32</f>
        <v>64430.3643893629</v>
      </c>
      <c r="BV37" s="273" t="n">
        <f aca="false">BV36-BV32</f>
        <v>66644.3855431934</v>
      </c>
      <c r="BW37" s="273" t="n">
        <f aca="false">BW36-BW32</f>
        <v>67753.7166409561</v>
      </c>
      <c r="BX37" s="273" t="n">
        <f aca="false">BX36-BX32</f>
        <v>58246.5569084518</v>
      </c>
      <c r="BY37" s="273" t="n">
        <f aca="false">BY36-BY32</f>
        <v>58988.417924177</v>
      </c>
      <c r="BZ37" s="273" t="n">
        <f aca="false">BZ36-BZ32</f>
        <v>61861.9555293913</v>
      </c>
      <c r="CA37" s="273" t="n">
        <f aca="false">CA36-CA32</f>
        <v>63890.3350154248</v>
      </c>
      <c r="CB37" s="273" t="n">
        <f aca="false">CB36-CB32</f>
        <v>64617.1601416823</v>
      </c>
      <c r="CC37" s="273" t="n">
        <f aca="false">CC36-CC32</f>
        <v>66647.2766257771</v>
      </c>
      <c r="CD37" s="273" t="n">
        <f aca="false">CD36-CD32</f>
        <v>68852.7213516802</v>
      </c>
      <c r="CE37" s="273" t="n">
        <f aca="false">CE36-CE32</f>
        <v>70781.3320115702</v>
      </c>
      <c r="CF37" s="273" t="n">
        <f aca="false">CF36-CF32</f>
        <v>72682.259264859</v>
      </c>
      <c r="CG37" s="273" t="n">
        <f aca="false">CG36-CG32</f>
        <v>74883.9043075031</v>
      </c>
      <c r="CH37" s="273" t="n">
        <f aca="false">CH36-CH32</f>
        <v>77336.9798195141</v>
      </c>
      <c r="CI37" s="273" t="n">
        <f aca="false">CI36-CI32</f>
        <v>79425.2857386611</v>
      </c>
      <c r="CJ37" s="273" t="n">
        <f aca="false">CJ36-CJ32</f>
        <v>80300.7327615349</v>
      </c>
      <c r="CK37" s="273" t="n">
        <f aca="false">CK36-CK32</f>
        <v>80720.2177933286</v>
      </c>
      <c r="CL37" s="273" t="n">
        <f aca="false">CL36-CL32</f>
        <v>80902.6025897607</v>
      </c>
      <c r="CM37" s="273" t="n">
        <f aca="false">CM36-CM32</f>
        <v>80902.6025897607</v>
      </c>
      <c r="CN37" s="273" t="n">
        <f aca="false">CN36-CN32</f>
        <v>80902.6025897607</v>
      </c>
      <c r="CO37" s="273" t="n">
        <f aca="false">CO36-CO32</f>
        <v>80902.6025897607</v>
      </c>
      <c r="CP37" s="273" t="n">
        <f aca="false">CP36-CP32</f>
        <v>80902.6025897607</v>
      </c>
      <c r="CQ37" s="273" t="n">
        <f aca="false">CQ36-CQ32</f>
        <v>80902.6025897607</v>
      </c>
      <c r="CR37" s="273" t="n">
        <f aca="false">CR36-CR32</f>
        <v>80902.6025897607</v>
      </c>
      <c r="CS37" s="273" t="n">
        <f aca="false">CS36-CS32</f>
        <v>80902.6025897607</v>
      </c>
      <c r="CT37" s="273" t="n">
        <f aca="false">CT36-CT32</f>
        <v>80902.6025897607</v>
      </c>
      <c r="CU37" s="273" t="n">
        <f aca="false">CU36-CU32</f>
        <v>80902.6025897607</v>
      </c>
      <c r="CV37" s="273" t="n">
        <f aca="false">CV36-CV32</f>
        <v>80902.6025897607</v>
      </c>
      <c r="CW37" s="273" t="n">
        <f aca="false">CW36-CW32</f>
        <v>80902.6025897607</v>
      </c>
      <c r="CX37" s="273" t="n">
        <f aca="false">CX36-CX32</f>
        <v>80902.6025897607</v>
      </c>
      <c r="CY37" s="273" t="n">
        <f aca="false">CY36-CY32</f>
        <v>80902.6025897607</v>
      </c>
      <c r="CZ37" s="273" t="n">
        <f aca="false">CZ36-CZ32</f>
        <v>80902.6025897607</v>
      </c>
      <c r="DA37" s="273" t="n">
        <f aca="false">DA36-DA32</f>
        <v>80902.6025897607</v>
      </c>
      <c r="DB37" s="273" t="n">
        <f aca="false">DB36-DB32</f>
        <v>80902.6025897607</v>
      </c>
      <c r="DC37" s="273" t="n">
        <f aca="false">DC36-DC32</f>
        <v>80902.6025897607</v>
      </c>
      <c r="DD37" s="273" t="n">
        <f aca="false">DD36-DD32</f>
        <v>80902.6025897607</v>
      </c>
      <c r="DE37" s="273" t="n">
        <f aca="false">DE36-DE32</f>
        <v>80902.6025897607</v>
      </c>
      <c r="DF37" s="273" t="n">
        <f aca="false">DF36-DF32</f>
        <v>80902.6025897607</v>
      </c>
      <c r="DG37" s="273" t="n">
        <f aca="false">DG36-DG32</f>
        <v>80902.6025897607</v>
      </c>
      <c r="DH37" s="273" t="n">
        <f aca="false">DH36-DH32</f>
        <v>80902.6025897607</v>
      </c>
      <c r="DI37" s="273" t="n">
        <f aca="false">DI36-DI32</f>
        <v>80902.6025897607</v>
      </c>
      <c r="DJ37" s="273" t="n">
        <f aca="false">DJ36-DJ32</f>
        <v>80902.6025897607</v>
      </c>
      <c r="DK37" s="273" t="n">
        <f aca="false">DK36-DK32</f>
        <v>80902.6025897607</v>
      </c>
      <c r="DL37" s="273" t="n">
        <f aca="false">DL36-DL32</f>
        <v>80902.6025897607</v>
      </c>
      <c r="DM37" s="273" t="n">
        <f aca="false">DM36-DM32</f>
        <v>80902.6025897607</v>
      </c>
      <c r="DN37" s="273" t="n">
        <f aca="false">DN36-DN32</f>
        <v>80902.6025897607</v>
      </c>
      <c r="DO37" s="273" t="n">
        <f aca="false">DO36-DO32</f>
        <v>80902.6025897607</v>
      </c>
      <c r="DP37" s="273" t="n">
        <f aca="false">DP36-DP32</f>
        <v>80902.6025897607</v>
      </c>
      <c r="DQ37" s="273" t="n">
        <f aca="false">DQ36-DQ32</f>
        <v>80902.6025897607</v>
      </c>
      <c r="DR37" s="273" t="n">
        <f aca="false">DR36-DR32</f>
        <v>80902.6025897607</v>
      </c>
      <c r="DS37" s="273" t="n">
        <f aca="false">DS36-DS32</f>
        <v>80902.6025897607</v>
      </c>
    </row>
    <row r="38" customFormat="false" ht="15" hidden="false" customHeight="true" outlineLevel="0" collapsed="false">
      <c r="B38" s="297" t="s">
        <v>1439</v>
      </c>
      <c r="D38" s="273" t="n">
        <f aca="false">IF(D33=0,D36,D36*SUP_CONTROL!$C$11*CAPA1_PILOTO!D15/D33)</f>
        <v>0</v>
      </c>
      <c r="E38" s="273" t="n">
        <f aca="false">IF(E33=0,E36,E36*SUP_CONTROL!$C$11*CAPA1_PILOTO!E15/E33)</f>
        <v>15715</v>
      </c>
      <c r="F38" s="273" t="n">
        <f aca="false">IF(F33=0,F36,F36*SUP_CONTROL!$C$11*CAPA1_PILOTO!F15/F33)</f>
        <v>15715</v>
      </c>
      <c r="G38" s="273" t="n">
        <f aca="false">IF(G33=0,G36,G36*SUP_CONTROL!$C$11*CAPA1_PILOTO!G15/G33)</f>
        <v>15715</v>
      </c>
      <c r="H38" s="273" t="n">
        <f aca="false">IF(H33=0,H36,H36*SUP_CONTROL!$C$11*CAPA1_PILOTO!H15/H33)</f>
        <v>15715</v>
      </c>
      <c r="I38" s="273" t="n">
        <f aca="false">IF(I33=0,I36,I36*SUP_CONTROL!$C$11*CAPA1_PILOTO!I15/I33)</f>
        <v>22146.7252810345</v>
      </c>
      <c r="J38" s="273" t="n">
        <f aca="false">IF(J33=0,J36,J36*SUP_CONTROL!$C$11*CAPA1_PILOTO!J15/J33)</f>
        <v>31743.6395694828</v>
      </c>
      <c r="K38" s="273" t="n">
        <f aca="false">IF(K33=0,K36,K36*SUP_CONTROL!$C$11*CAPA1_PILOTO!K15/K33)</f>
        <v>42447.8901219828</v>
      </c>
      <c r="L38" s="273" t="n">
        <f aca="false">IF(L33=0,L36,L36*SUP_CONTROL!$C$11*CAPA1_PILOTO!L15/L33)</f>
        <v>45639.6240595436</v>
      </c>
      <c r="M38" s="273" t="n">
        <f aca="false">IF(M33=0,M36,M36*SUP_CONTROL!$C$11*CAPA1_PILOTO!M15/M33)</f>
        <v>47333.1971692698</v>
      </c>
      <c r="N38" s="273" t="n">
        <f aca="false">IF(N33=0,N36,N36*SUP_CONTROL!$C$11*CAPA1_PILOTO!N15/N33)</f>
        <v>47333.1971692698</v>
      </c>
      <c r="O38" s="273" t="n">
        <f aca="false">IF(O33=0,O36,O36*SUP_CONTROL!$C$11*CAPA1_PILOTO!O15/O33)</f>
        <v>47333.1971692698</v>
      </c>
      <c r="P38" s="273" t="n">
        <f aca="false">IF(P33=0,P36,P36*SUP_CONTROL!$C$11*CAPA1_PILOTO!P15/P33)</f>
        <v>41416.5475231111</v>
      </c>
      <c r="Q38" s="273" t="n">
        <f aca="false">IF(Q33=0,Q36,Q36*SUP_CONTROL!$C$11*CAPA1_PILOTO!Q15/Q33)</f>
        <v>41416.5475231111</v>
      </c>
      <c r="R38" s="273" t="n">
        <f aca="false">IF(R33=0,R36,R36*SUP_CONTROL!$C$11*CAPA1_PILOTO!R15/R33)</f>
        <v>41416.5475231111</v>
      </c>
      <c r="S38" s="273" t="n">
        <f aca="false">IF(S33=0,S36,S36*SUP_CONTROL!$C$11*CAPA1_PILOTO!S15/S33)</f>
        <v>41416.5475231111</v>
      </c>
      <c r="T38" s="273" t="n">
        <f aca="false">IF(T33=0,T36,T36*SUP_CONTROL!$C$11*CAPA1_PILOTO!T15/T33)</f>
        <v>41416.5475231111</v>
      </c>
      <c r="U38" s="273" t="n">
        <f aca="false">IF(U33=0,U36,U36*SUP_CONTROL!$C$11*CAPA1_PILOTO!U15/U33)</f>
        <v>41416.5475231111</v>
      </c>
      <c r="V38" s="273" t="n">
        <f aca="false">IF(V33=0,V36,V36*SUP_CONTROL!$C$11*CAPA1_PILOTO!V15/V33)</f>
        <v>41416.5475231111</v>
      </c>
      <c r="W38" s="273" t="n">
        <f aca="false">IF(W33=0,W36,W36*SUP_CONTROL!$C$11*CAPA1_PILOTO!W15/W33)</f>
        <v>41416.5475231111</v>
      </c>
      <c r="X38" s="273" t="n">
        <f aca="false">IF(X33=0,X36,X36*SUP_CONTROL!$C$11*CAPA1_PILOTO!X15/X33)</f>
        <v>41416.5475231111</v>
      </c>
      <c r="Y38" s="273" t="n">
        <f aca="false">IF(Y33=0,Y36,Y36*SUP_CONTROL!$C$11*CAPA1_PILOTO!Y15/Y33)</f>
        <v>41416.5475231111</v>
      </c>
      <c r="Z38" s="273" t="n">
        <f aca="false">IF(Z33=0,Z36,Z36*SUP_CONTROL!$C$11*CAPA1_PILOTO!Z15/Z33)</f>
        <v>41416.5475231111</v>
      </c>
      <c r="AA38" s="273" t="n">
        <f aca="false">IF(AA33=0,AA36,AA36*SUP_CONTROL!$C$11*CAPA1_PILOTO!AA15/AA33)</f>
        <v>41416.5475231111</v>
      </c>
      <c r="AB38" s="273" t="n">
        <f aca="false">IF(AB33=0,AB36,AB36*SUP_CONTROL!$C$11*CAPA1_PILOTO!AB15/AB33)</f>
        <v>35499.8978769523</v>
      </c>
      <c r="AC38" s="273" t="n">
        <f aca="false">IF(AC33=0,AC36,AC36*SUP_CONTROL!$C$11*CAPA1_PILOTO!AC15/AC33)</f>
        <v>35499.8978769523</v>
      </c>
      <c r="AD38" s="273" t="n">
        <f aca="false">IF(AD33=0,AD36,AD36*SUP_CONTROL!$C$11*CAPA1_PILOTO!AD15/AD33)</f>
        <v>35499.8978769523</v>
      </c>
      <c r="AE38" s="273" t="n">
        <f aca="false">IF(AE33=0,AE36,AE36*SUP_CONTROL!$C$11*CAPA1_PILOTO!AE15/AE33)</f>
        <v>35499.8978769523</v>
      </c>
      <c r="AF38" s="273" t="n">
        <f aca="false">IF(AF33=0,AF36,AF36*SUP_CONTROL!$C$11*CAPA1_PILOTO!AF15/AF33)</f>
        <v>35499.8978769523</v>
      </c>
      <c r="AG38" s="273" t="n">
        <f aca="false">IF(AG33=0,AG36,AG36*SUP_CONTROL!$C$11*CAPA1_PILOTO!AG15/AG33)</f>
        <v>35499.8978769523</v>
      </c>
      <c r="AH38" s="273" t="n">
        <f aca="false">IF(AH33=0,AH36,AH36*SUP_CONTROL!$C$11*CAPA1_PILOTO!AH15/AH33)</f>
        <v>35499.8978769523</v>
      </c>
      <c r="AI38" s="273" t="n">
        <f aca="false">IF(AI33=0,AI36,AI36*SUP_CONTROL!$C$11*CAPA1_PILOTO!AI15/AI33)</f>
        <v>35499.8978769523</v>
      </c>
      <c r="AJ38" s="273" t="n">
        <f aca="false">IF(AJ33=0,AJ36,AJ36*SUP_CONTROL!$C$11*CAPA1_PILOTO!AJ15/AJ33)</f>
        <v>35499.8978769523</v>
      </c>
      <c r="AK38" s="273" t="n">
        <f aca="false">IF(AK33=0,AK36,AK36*SUP_CONTROL!$C$11*CAPA1_PILOTO!AK15/AK33)</f>
        <v>35499.8978769523</v>
      </c>
      <c r="AL38" s="273" t="n">
        <f aca="false">IF(AL33=0,AL36,AL36*SUP_CONTROL!$C$11*CAPA1_PILOTO!AL15/AL33)</f>
        <v>35499.8978769523</v>
      </c>
      <c r="AM38" s="273" t="n">
        <f aca="false">IF(AM33=0,AM36,AM36*SUP_CONTROL!$C$11*CAPA1_PILOTO!AM15/AM33)</f>
        <v>35499.8978769523</v>
      </c>
      <c r="AN38" s="273" t="n">
        <f aca="false">IF(AN33=0,AN36,AN36*SUP_CONTROL!$C$11*CAPA1_PILOTO!AN15/AN33)</f>
        <v>32541.573053873</v>
      </c>
      <c r="AO38" s="273" t="n">
        <f aca="false">IF(AO33=0,AO36,AO36*SUP_CONTROL!$C$11*CAPA1_PILOTO!AO15/AO33)</f>
        <v>32541.573053873</v>
      </c>
      <c r="AP38" s="273" t="n">
        <f aca="false">IF(AP33=0,AP36,AP36*SUP_CONTROL!$C$11*CAPA1_PILOTO!AP15/AP33)</f>
        <v>32541.573053873</v>
      </c>
      <c r="AQ38" s="273" t="n">
        <f aca="false">IF(AQ33=0,AQ36,AQ36*SUP_CONTROL!$C$11*CAPA1_PILOTO!AQ15/AQ33)</f>
        <v>32541.573053873</v>
      </c>
      <c r="AR38" s="273" t="n">
        <f aca="false">IF(AR33=0,AR36,AR36*SUP_CONTROL!$C$11*CAPA1_PILOTO!AR15/AR33)</f>
        <v>32541.573053873</v>
      </c>
      <c r="AS38" s="273" t="n">
        <f aca="false">IF(AS33=0,AS36,AS36*SUP_CONTROL!$C$11*CAPA1_PILOTO!AS15/AS33)</f>
        <v>32541.573053873</v>
      </c>
      <c r="AT38" s="273" t="n">
        <f aca="false">IF(AT33=0,AT36,AT36*SUP_CONTROL!$C$11*CAPA1_PILOTO!AT15/AT33)</f>
        <v>32541.573053873</v>
      </c>
      <c r="AU38" s="273" t="n">
        <f aca="false">IF(AU33=0,AU36,AU36*SUP_CONTROL!$C$11*CAPA1_PILOTO!AU15/AU33)</f>
        <v>32541.573053873</v>
      </c>
      <c r="AV38" s="273" t="n">
        <f aca="false">IF(AV33=0,AV36,AV36*SUP_CONTROL!$C$11*CAPA1_PILOTO!AV15/AV33)</f>
        <v>32541.573053873</v>
      </c>
      <c r="AW38" s="273" t="n">
        <f aca="false">IF(AW33=0,AW36,AW36*SUP_CONTROL!$C$11*CAPA1_PILOTO!AW15/AW33)</f>
        <v>32541.573053873</v>
      </c>
      <c r="AX38" s="273" t="n">
        <f aca="false">IF(AX33=0,AX36,AX36*SUP_CONTROL!$C$11*CAPA1_PILOTO!AX15/AX33)</f>
        <v>32541.573053873</v>
      </c>
      <c r="AY38" s="273" t="n">
        <f aca="false">IF(AY33=0,AY36,AY36*SUP_CONTROL!$C$11*CAPA1_PILOTO!AY15/AY33)</f>
        <v>32541.573053873</v>
      </c>
      <c r="AZ38" s="273" t="n">
        <f aca="false">IF(AZ33=0,AZ36,AZ36*SUP_CONTROL!$C$11*CAPA1_PILOTO!AZ15/AZ33)</f>
        <v>29583.2482307936</v>
      </c>
      <c r="BA38" s="273" t="n">
        <f aca="false">IF(BA33=0,BA36,BA36*SUP_CONTROL!$C$11*CAPA1_PILOTO!BA15/BA33)</f>
        <v>29583.2482307936</v>
      </c>
      <c r="BB38" s="273" t="n">
        <f aca="false">IF(BB33=0,BB36,BB36*SUP_CONTROL!$C$11*CAPA1_PILOTO!BB15/BB33)</f>
        <v>29583.2482307936</v>
      </c>
      <c r="BC38" s="273" t="n">
        <f aca="false">IF(BC33=0,BC36,BC36*SUP_CONTROL!$C$11*CAPA1_PILOTO!BC15/BC33)</f>
        <v>29583.2482307936</v>
      </c>
      <c r="BD38" s="273" t="n">
        <f aca="false">IF(BD33=0,BD36,BD36*SUP_CONTROL!$C$11*CAPA1_PILOTO!BD15/BD33)</f>
        <v>29583.2482307936</v>
      </c>
      <c r="BE38" s="273" t="n">
        <f aca="false">IF(BE33=0,BE36,BE36*SUP_CONTROL!$C$11*CAPA1_PILOTO!BE15/BE33)</f>
        <v>29583.2482307936</v>
      </c>
      <c r="BF38" s="273" t="n">
        <f aca="false">IF(BF33=0,BF36,BF36*SUP_CONTROL!$C$11*CAPA1_PILOTO!BF15/BF33)</f>
        <v>29583.2482307936</v>
      </c>
      <c r="BG38" s="273" t="n">
        <f aca="false">IF(BG33=0,BG36,BG36*SUP_CONTROL!$C$11*CAPA1_PILOTO!BG15/BG33)</f>
        <v>29583.2482307936</v>
      </c>
      <c r="BH38" s="273" t="n">
        <f aca="false">IF(BH33=0,BH36,BH36*SUP_CONTROL!$C$11*CAPA1_PILOTO!BH15/BH33)</f>
        <v>29583.2482307936</v>
      </c>
      <c r="BI38" s="273" t="n">
        <f aca="false">IF(BI33=0,BI36,BI36*SUP_CONTROL!$C$11*CAPA1_PILOTO!BI15/BI33)</f>
        <v>29583.2482307936</v>
      </c>
      <c r="BJ38" s="273" t="n">
        <f aca="false">IF(BJ33=0,BJ36,BJ36*SUP_CONTROL!$C$11*CAPA1_PILOTO!BJ15/BJ33)</f>
        <v>29583.2482307936</v>
      </c>
      <c r="BK38" s="273" t="n">
        <f aca="false">IF(BK33=0,BK36,BK36*SUP_CONTROL!$C$11*CAPA1_PILOTO!BK15/BK33)</f>
        <v>29583.2482307936</v>
      </c>
      <c r="BL38" s="273" t="n">
        <f aca="false">IF(BL33=0,BL36,BL36*SUP_CONTROL!$C$11*CAPA1_PILOTO!BL15/BL33)</f>
        <v>26624.9234077143</v>
      </c>
      <c r="BM38" s="273" t="n">
        <f aca="false">IF(BM33=0,BM36,BM36*SUP_CONTROL!$C$11*CAPA1_PILOTO!BM15/BM33)</f>
        <v>26624.9234077142</v>
      </c>
      <c r="BN38" s="273" t="n">
        <f aca="false">IF(BN33=0,BN36,BN36*SUP_CONTROL!$C$11*CAPA1_PILOTO!BN15/BN33)</f>
        <v>26624.9234077143</v>
      </c>
      <c r="BO38" s="273" t="n">
        <f aca="false">IF(BO33=0,BO36,BO36*SUP_CONTROL!$C$11*CAPA1_PILOTO!BO15/BO33)</f>
        <v>26624.9234077143</v>
      </c>
      <c r="BP38" s="273" t="n">
        <f aca="false">IF(BP33=0,BP36,BP36*SUP_CONTROL!$C$11*CAPA1_PILOTO!BP15/BP33)</f>
        <v>26624.9234077143</v>
      </c>
      <c r="BQ38" s="273" t="n">
        <f aca="false">IF(BQ33=0,BQ36,BQ36*SUP_CONTROL!$C$11*CAPA1_PILOTO!BQ15/BQ33)</f>
        <v>26624.9234077143</v>
      </c>
      <c r="BR38" s="273" t="n">
        <f aca="false">IF(BR33=0,BR36,BR36*SUP_CONTROL!$C$11*CAPA1_PILOTO!BR15/BR33)</f>
        <v>26624.9234077143</v>
      </c>
      <c r="BS38" s="273" t="n">
        <f aca="false">IF(BS33=0,BS36,BS36*SUP_CONTROL!$C$11*CAPA1_PILOTO!BS15/BS33)</f>
        <v>26624.9234077143</v>
      </c>
      <c r="BT38" s="273" t="n">
        <f aca="false">IF(BT33=0,BT36,BT36*SUP_CONTROL!$C$11*CAPA1_PILOTO!BT15/BT33)</f>
        <v>26624.9234077143</v>
      </c>
      <c r="BU38" s="273" t="n">
        <f aca="false">IF(BU33=0,BU36,BU36*SUP_CONTROL!$C$11*CAPA1_PILOTO!BU15/BU33)</f>
        <v>26624.9234077143</v>
      </c>
      <c r="BV38" s="273" t="n">
        <f aca="false">IF(BV33=0,BV36,BV36*SUP_CONTROL!$C$11*CAPA1_PILOTO!BV15/BV33)</f>
        <v>26624.9234077143</v>
      </c>
      <c r="BW38" s="273" t="n">
        <f aca="false">IF(BW33=0,BW36,BW36*SUP_CONTROL!$C$11*CAPA1_PILOTO!BW15/BW33)</f>
        <v>26624.9234077143</v>
      </c>
      <c r="BX38" s="273" t="n">
        <f aca="false">IF(BX33=0,BX36,BX36*SUP_CONTROL!$C$11*CAPA1_PILOTO!BX15/BX33)</f>
        <v>23666.5985846349</v>
      </c>
      <c r="BY38" s="273" t="n">
        <f aca="false">IF(BY33=0,BY36,BY36*SUP_CONTROL!$C$11*CAPA1_PILOTO!BY15/BY33)</f>
        <v>23666.5985846349</v>
      </c>
      <c r="BZ38" s="273" t="n">
        <f aca="false">IF(BZ33=0,BZ36,BZ36*SUP_CONTROL!$C$11*CAPA1_PILOTO!BZ15/BZ33)</f>
        <v>23666.5985846349</v>
      </c>
      <c r="CA38" s="273" t="n">
        <f aca="false">IF(CA33=0,CA36,CA36*SUP_CONTROL!$C$11*CAPA1_PILOTO!CA15/CA33)</f>
        <v>23666.5985846349</v>
      </c>
      <c r="CB38" s="273" t="n">
        <f aca="false">IF(CB33=0,CB36,CB36*SUP_CONTROL!$C$11*CAPA1_PILOTO!CB15/CB33)</f>
        <v>23666.5985846349</v>
      </c>
      <c r="CC38" s="273" t="n">
        <f aca="false">IF(CC33=0,CC36,CC36*SUP_CONTROL!$C$11*CAPA1_PILOTO!CC15/CC33)</f>
        <v>23666.5985846349</v>
      </c>
      <c r="CD38" s="273" t="n">
        <f aca="false">IF(CD33=0,CD36,CD36*SUP_CONTROL!$C$11*CAPA1_PILOTO!CD15/CD33)</f>
        <v>23666.5985846349</v>
      </c>
      <c r="CE38" s="273" t="n">
        <f aca="false">IF(CE33=0,CE36,CE36*SUP_CONTROL!$C$11*CAPA1_PILOTO!CE15/CE33)</f>
        <v>23666.5985846349</v>
      </c>
      <c r="CF38" s="273" t="n">
        <f aca="false">IF(CF33=0,CF36,CF36*SUP_CONTROL!$C$11*CAPA1_PILOTO!CF15/CF33)</f>
        <v>23666.5985846349</v>
      </c>
      <c r="CG38" s="273" t="n">
        <f aca="false">IF(CG33=0,CG36,CG36*SUP_CONTROL!$C$11*CAPA1_PILOTO!CG15/CG33)</f>
        <v>23666.5985846349</v>
      </c>
      <c r="CH38" s="273" t="n">
        <f aca="false">IF(CH33=0,CH36,CH36*SUP_CONTROL!$C$11*CAPA1_PILOTO!CH15/CH33)</f>
        <v>23666.5985846349</v>
      </c>
      <c r="CI38" s="273" t="n">
        <f aca="false">IF(CI33=0,CI36,CI36*SUP_CONTROL!$C$11*CAPA1_PILOTO!CI15/CI33)</f>
        <v>23666.5985846349</v>
      </c>
      <c r="CJ38" s="273" t="n">
        <f aca="false">IF(CJ33=0,CJ36,CJ36*SUP_CONTROL!$C$11*CAPA1_PILOTO!CJ15/CJ33)</f>
        <v>23666.5985846349</v>
      </c>
      <c r="CK38" s="273" t="n">
        <f aca="false">IF(CK33=0,CK36,CK36*SUP_CONTROL!$C$11*CAPA1_PILOTO!CK15/CK33)</f>
        <v>23666.5985846349</v>
      </c>
      <c r="CL38" s="273" t="n">
        <f aca="false">IF(CL33=0,CL36,CL36*SUP_CONTROL!$C$11*CAPA1_PILOTO!CL15/CL33)</f>
        <v>23666.5985846349</v>
      </c>
      <c r="CM38" s="273" t="n">
        <f aca="false">IF(CM33=0,CM36,CM36*SUP_CONTROL!$C$11*CAPA1_PILOTO!CM15/CM33)</f>
        <v>23666.5985846349</v>
      </c>
      <c r="CN38" s="273" t="n">
        <f aca="false">IF(CN33=0,CN36,CN36*SUP_CONTROL!$C$11*CAPA1_PILOTO!CN15/CN33)</f>
        <v>23666.5985846349</v>
      </c>
      <c r="CO38" s="273" t="n">
        <f aca="false">IF(CO33=0,CO36,CO36*SUP_CONTROL!$C$11*CAPA1_PILOTO!CO15/CO33)</f>
        <v>23666.5985846349</v>
      </c>
      <c r="CP38" s="273" t="n">
        <f aca="false">IF(CP33=0,CP36,CP36*SUP_CONTROL!$C$11*CAPA1_PILOTO!CP15/CP33)</f>
        <v>23666.5985846349</v>
      </c>
      <c r="CQ38" s="273" t="n">
        <f aca="false">IF(CQ33=0,CQ36,CQ36*SUP_CONTROL!$C$11*CAPA1_PILOTO!CQ15/CQ33)</f>
        <v>23666.5985846349</v>
      </c>
      <c r="CR38" s="273" t="n">
        <f aca="false">IF(CR33=0,CR36,CR36*SUP_CONTROL!$C$11*CAPA1_PILOTO!CR15/CR33)</f>
        <v>23666.5985846349</v>
      </c>
      <c r="CS38" s="273" t="n">
        <f aca="false">IF(CS33=0,CS36,CS36*SUP_CONTROL!$C$11*CAPA1_PILOTO!CS15/CS33)</f>
        <v>23666.5985846349</v>
      </c>
      <c r="CT38" s="273" t="n">
        <f aca="false">IF(CT33=0,CT36,CT36*SUP_CONTROL!$C$11*CAPA1_PILOTO!CT15/CT33)</f>
        <v>23666.5985846349</v>
      </c>
      <c r="CU38" s="273" t="n">
        <f aca="false">IF(CU33=0,CU36,CU36*SUP_CONTROL!$C$11*CAPA1_PILOTO!CU15/CU33)</f>
        <v>23666.5985846349</v>
      </c>
      <c r="CV38" s="273" t="n">
        <f aca="false">IF(CV33=0,CV36,CV36*SUP_CONTROL!$C$11*CAPA1_PILOTO!CV15/CV33)</f>
        <v>23666.5985846349</v>
      </c>
      <c r="CW38" s="273" t="n">
        <f aca="false">IF(CW33=0,CW36,CW36*SUP_CONTROL!$C$11*CAPA1_PILOTO!CW15/CW33)</f>
        <v>23666.5985846349</v>
      </c>
      <c r="CX38" s="273" t="n">
        <f aca="false">IF(CX33=0,CX36,CX36*SUP_CONTROL!$C$11*CAPA1_PILOTO!CX15/CX33)</f>
        <v>23666.5985846349</v>
      </c>
      <c r="CY38" s="273" t="n">
        <f aca="false">IF(CY33=0,CY36,CY36*SUP_CONTROL!$C$11*CAPA1_PILOTO!CY15/CY33)</f>
        <v>23666.5985846349</v>
      </c>
      <c r="CZ38" s="273" t="n">
        <f aca="false">IF(CZ33=0,CZ36,CZ36*SUP_CONTROL!$C$11*CAPA1_PILOTO!CZ15/CZ33)</f>
        <v>23666.5985846349</v>
      </c>
      <c r="DA38" s="273" t="n">
        <f aca="false">IF(DA33=0,DA36,DA36*SUP_CONTROL!$C$11*CAPA1_PILOTO!DA15/DA33)</f>
        <v>23666.5985846349</v>
      </c>
      <c r="DB38" s="273" t="n">
        <f aca="false">IF(DB33=0,DB36,DB36*SUP_CONTROL!$C$11*CAPA1_PILOTO!DB15/DB33)</f>
        <v>23666.5985846349</v>
      </c>
      <c r="DC38" s="273" t="n">
        <f aca="false">IF(DC33=0,DC36,DC36*SUP_CONTROL!$C$11*CAPA1_PILOTO!DC15/DC33)</f>
        <v>23666.5985846349</v>
      </c>
      <c r="DD38" s="273" t="n">
        <f aca="false">IF(DD33=0,DD36,DD36*SUP_CONTROL!$C$11*CAPA1_PILOTO!DD15/DD33)</f>
        <v>23666.5985846349</v>
      </c>
      <c r="DE38" s="273" t="n">
        <f aca="false">IF(DE33=0,DE36,DE36*SUP_CONTROL!$C$11*CAPA1_PILOTO!DE15/DE33)</f>
        <v>23666.5985846349</v>
      </c>
      <c r="DF38" s="273" t="n">
        <f aca="false">IF(DF33=0,DF36,DF36*SUP_CONTROL!$C$11*CAPA1_PILOTO!DF15/DF33)</f>
        <v>23666.5985846349</v>
      </c>
      <c r="DG38" s="273" t="n">
        <f aca="false">IF(DG33=0,DG36,DG36*SUP_CONTROL!$C$11*CAPA1_PILOTO!DG15/DG33)</f>
        <v>23666.5985846349</v>
      </c>
      <c r="DH38" s="273" t="n">
        <f aca="false">IF(DH33=0,DH36,DH36*SUP_CONTROL!$C$11*CAPA1_PILOTO!DH15/DH33)</f>
        <v>23666.5985846349</v>
      </c>
      <c r="DI38" s="273" t="n">
        <f aca="false">IF(DI33=0,DI36,DI36*SUP_CONTROL!$C$11*CAPA1_PILOTO!DI15/DI33)</f>
        <v>23666.5985846349</v>
      </c>
      <c r="DJ38" s="273" t="n">
        <f aca="false">IF(DJ33=0,DJ36,DJ36*SUP_CONTROL!$C$11*CAPA1_PILOTO!DJ15/DJ33)</f>
        <v>23666.5985846349</v>
      </c>
      <c r="DK38" s="273" t="n">
        <f aca="false">IF(DK33=0,DK36,DK36*SUP_CONTROL!$C$11*CAPA1_PILOTO!DK15/DK33)</f>
        <v>23666.5985846349</v>
      </c>
      <c r="DL38" s="273" t="n">
        <f aca="false">IF(DL33=0,DL36,DL36*SUP_CONTROL!$C$11*CAPA1_PILOTO!DL15/DL33)</f>
        <v>23666.5985846349</v>
      </c>
      <c r="DM38" s="273" t="n">
        <f aca="false">IF(DM33=0,DM36,DM36*SUP_CONTROL!$C$11*CAPA1_PILOTO!DM15/DM33)</f>
        <v>23666.5985846349</v>
      </c>
      <c r="DN38" s="273" t="n">
        <f aca="false">IF(DN33=0,DN36,DN36*SUP_CONTROL!$C$11*CAPA1_PILOTO!DN15/DN33)</f>
        <v>23666.5985846349</v>
      </c>
      <c r="DO38" s="273" t="n">
        <f aca="false">IF(DO33=0,DO36,DO36*SUP_CONTROL!$C$11*CAPA1_PILOTO!DO15/DO33)</f>
        <v>23666.5985846349</v>
      </c>
      <c r="DP38" s="273" t="n">
        <f aca="false">IF(DP33=0,DP36,DP36*SUP_CONTROL!$C$11*CAPA1_PILOTO!DP15/DP33)</f>
        <v>23666.5985846349</v>
      </c>
      <c r="DQ38" s="273" t="n">
        <f aca="false">IF(DQ33=0,DQ36,DQ36*SUP_CONTROL!$C$11*CAPA1_PILOTO!DQ15/DQ33)</f>
        <v>23666.5985846349</v>
      </c>
      <c r="DR38" s="273" t="n">
        <f aca="false">IF(DR33=0,DR36,DR36*SUP_CONTROL!$C$11*CAPA1_PILOTO!DR15/DR33)</f>
        <v>23666.5985846349</v>
      </c>
      <c r="DS38" s="273" t="n">
        <f aca="false">IF(DS33=0,DS36,DS36*SUP_CONTROL!$C$11*CAPA1_PILOTO!DS15/DS33)</f>
        <v>23666.5985846349</v>
      </c>
    </row>
    <row r="39" customFormat="false" ht="15" hidden="false" customHeight="true" outlineLevel="0" collapsed="false">
      <c r="B39" s="297" t="s">
        <v>1440</v>
      </c>
      <c r="D39" s="273" t="n">
        <f aca="false">IF(D33=0,0,D36*SUP_CONTROL!$C$12*CAPA2_FLAGSHIP!D11/D33)</f>
        <v>0</v>
      </c>
      <c r="E39" s="273" t="n">
        <f aca="false">IF(E33=0,0,E36*SUP_CONTROL!$C$12*CAPA2_FLAGSHIP!E11/E33)</f>
        <v>0</v>
      </c>
      <c r="F39" s="273" t="n">
        <f aca="false">IF(F33=0,0,F36*SUP_CONTROL!$C$12*CAPA2_FLAGSHIP!F11/F33)</f>
        <v>0</v>
      </c>
      <c r="G39" s="273" t="n">
        <f aca="false">IF(G33=0,0,G36*SUP_CONTROL!$C$12*CAPA2_FLAGSHIP!G11/G33)</f>
        <v>0</v>
      </c>
      <c r="H39" s="273" t="n">
        <f aca="false">IF(H33=0,0,H36*SUP_CONTROL!$C$12*CAPA2_FLAGSHIP!H11/H33)</f>
        <v>0</v>
      </c>
      <c r="I39" s="273" t="n">
        <f aca="false">IF(I33=0,0,I36*SUP_CONTROL!$C$12*CAPA2_FLAGSHIP!I11/I33)</f>
        <v>0</v>
      </c>
      <c r="J39" s="273" t="n">
        <f aca="false">IF(J33=0,0,J36*SUP_CONTROL!$C$12*CAPA2_FLAGSHIP!J11/J33)</f>
        <v>0</v>
      </c>
      <c r="K39" s="273" t="n">
        <f aca="false">IF(K33=0,0,K36*SUP_CONTROL!$C$12*CAPA2_FLAGSHIP!K11/K33)</f>
        <v>0</v>
      </c>
      <c r="L39" s="273" t="n">
        <f aca="false">IF(L33=0,0,L36*SUP_CONTROL!$C$12*CAPA2_FLAGSHIP!L11/L33)</f>
        <v>0</v>
      </c>
      <c r="M39" s="273" t="n">
        <f aca="false">IF(M33=0,0,M36*SUP_CONTROL!$C$12*CAPA2_FLAGSHIP!M11/M33)</f>
        <v>0</v>
      </c>
      <c r="N39" s="273" t="n">
        <f aca="false">IF(N33=0,0,N36*SUP_CONTROL!$C$12*CAPA2_FLAGSHIP!N11/N33)</f>
        <v>0</v>
      </c>
      <c r="O39" s="273" t="n">
        <f aca="false">IF(O33=0,0,O36*SUP_CONTROL!$C$12*CAPA2_FLAGSHIP!O11/O33)</f>
        <v>0</v>
      </c>
      <c r="P39" s="273" t="n">
        <f aca="false">IF(P33=0,0,P36*SUP_CONTROL!$C$12*CAPA2_FLAGSHIP!P11/P33)</f>
        <v>0</v>
      </c>
      <c r="Q39" s="273" t="n">
        <f aca="false">IF(Q33=0,0,Q36*SUP_CONTROL!$C$12*CAPA2_FLAGSHIP!Q11/Q33)</f>
        <v>0</v>
      </c>
      <c r="R39" s="273" t="n">
        <f aca="false">IF(R33=0,0,R36*SUP_CONTROL!$C$12*CAPA2_FLAGSHIP!R11/R33)</f>
        <v>0</v>
      </c>
      <c r="S39" s="273" t="n">
        <f aca="false">IF(S33=0,0,S36*SUP_CONTROL!$C$12*CAPA2_FLAGSHIP!S11/S33)</f>
        <v>0</v>
      </c>
      <c r="T39" s="273" t="n">
        <f aca="false">IF(T33=0,0,T36*SUP_CONTROL!$C$12*CAPA2_FLAGSHIP!T11/T33)</f>
        <v>0</v>
      </c>
      <c r="U39" s="273" t="n">
        <f aca="false">IF(U33=0,0,U36*SUP_CONTROL!$C$12*CAPA2_FLAGSHIP!U11/U33)</f>
        <v>0</v>
      </c>
      <c r="V39" s="273" t="n">
        <f aca="false">IF(V33=0,0,V36*SUP_CONTROL!$C$12*CAPA2_FLAGSHIP!V11/V33)</f>
        <v>0</v>
      </c>
      <c r="W39" s="273" t="n">
        <f aca="false">IF(W33=0,0,W36*SUP_CONTROL!$C$12*CAPA2_FLAGSHIP!W11/W33)</f>
        <v>0</v>
      </c>
      <c r="X39" s="273" t="n">
        <f aca="false">IF(X33=0,0,X36*SUP_CONTROL!$C$12*CAPA2_FLAGSHIP!X11/X33)</f>
        <v>0</v>
      </c>
      <c r="Y39" s="273" t="n">
        <f aca="false">IF(Y33=0,0,Y36*SUP_CONTROL!$C$12*CAPA2_FLAGSHIP!Y11/Y33)</f>
        <v>0</v>
      </c>
      <c r="Z39" s="273" t="n">
        <f aca="false">IF(Z33=0,0,Z36*SUP_CONTROL!$C$12*CAPA2_FLAGSHIP!Z11/Z33)</f>
        <v>0</v>
      </c>
      <c r="AA39" s="273" t="n">
        <f aca="false">IF(AA33=0,0,AA36*SUP_CONTROL!$C$12*CAPA2_FLAGSHIP!AA11/AA33)</f>
        <v>0</v>
      </c>
      <c r="AB39" s="273" t="n">
        <f aca="false">IF(AB33=0,0,AB36*SUP_CONTROL!$C$12*CAPA2_FLAGSHIP!AB11/AB33)</f>
        <v>0</v>
      </c>
      <c r="AC39" s="273" t="n">
        <f aca="false">IF(AC33=0,0,AC36*SUP_CONTROL!$C$12*CAPA2_FLAGSHIP!AC11/AC33)</f>
        <v>0</v>
      </c>
      <c r="AD39" s="273" t="n">
        <f aca="false">IF(AD33=0,0,AD36*SUP_CONTROL!$C$12*CAPA2_FLAGSHIP!AD11/AD33)</f>
        <v>0</v>
      </c>
      <c r="AE39" s="273" t="n">
        <f aca="false">IF(AE33=0,0,AE36*SUP_CONTROL!$C$12*CAPA2_FLAGSHIP!AE11/AE33)</f>
        <v>0</v>
      </c>
      <c r="AF39" s="273" t="n">
        <f aca="false">IF(AF33=0,0,AF36*SUP_CONTROL!$C$12*CAPA2_FLAGSHIP!AF11/AF33)</f>
        <v>0</v>
      </c>
      <c r="AG39" s="273" t="n">
        <f aca="false">IF(AG33=0,0,AG36*SUP_CONTROL!$C$12*CAPA2_FLAGSHIP!AG11/AG33)</f>
        <v>0</v>
      </c>
      <c r="AH39" s="273" t="n">
        <f aca="false">IF(AH33=0,0,AH36*SUP_CONTROL!$C$12*CAPA2_FLAGSHIP!AH11/AH33)</f>
        <v>0</v>
      </c>
      <c r="AI39" s="273" t="n">
        <f aca="false">IF(AI33=0,0,AI36*SUP_CONTROL!$C$12*CAPA2_FLAGSHIP!AI11/AI33)</f>
        <v>0</v>
      </c>
      <c r="AJ39" s="273" t="n">
        <f aca="false">IF(AJ33=0,0,AJ36*SUP_CONTROL!$C$12*CAPA2_FLAGSHIP!AJ11/AJ33)</f>
        <v>0</v>
      </c>
      <c r="AK39" s="273" t="n">
        <f aca="false">IF(AK33=0,0,AK36*SUP_CONTROL!$C$12*CAPA2_FLAGSHIP!AK11/AK33)</f>
        <v>0</v>
      </c>
      <c r="AL39" s="273" t="n">
        <f aca="false">IF(AL33=0,0,AL36*SUP_CONTROL!$C$12*CAPA2_FLAGSHIP!AL11/AL33)</f>
        <v>0</v>
      </c>
      <c r="AM39" s="273" t="n">
        <f aca="false">IF(AM33=0,0,AM36*SUP_CONTROL!$C$12*CAPA2_FLAGSHIP!AM11/AM33)</f>
        <v>0</v>
      </c>
      <c r="AN39" s="273" t="n">
        <f aca="false">IF(AN33=0,0,AN36*SUP_CONTROL!$C$12*CAPA2_FLAGSHIP!AN11/AN33)</f>
        <v>0</v>
      </c>
      <c r="AO39" s="273" t="n">
        <f aca="false">IF(AO33=0,0,AO36*SUP_CONTROL!$C$12*CAPA2_FLAGSHIP!AO11/AO33)</f>
        <v>0</v>
      </c>
      <c r="AP39" s="273" t="n">
        <f aca="false">IF(AP33=0,0,AP36*SUP_CONTROL!$C$12*CAPA2_FLAGSHIP!AP11/AP33)</f>
        <v>0</v>
      </c>
      <c r="AQ39" s="273" t="n">
        <f aca="false">IF(AQ33=0,0,AQ36*SUP_CONTROL!$C$12*CAPA2_FLAGSHIP!AQ11/AQ33)</f>
        <v>0</v>
      </c>
      <c r="AR39" s="273" t="n">
        <f aca="false">IF(AR33=0,0,AR36*SUP_CONTROL!$C$12*CAPA2_FLAGSHIP!AR11/AR33)</f>
        <v>0</v>
      </c>
      <c r="AS39" s="273" t="n">
        <f aca="false">IF(AS33=0,0,AS36*SUP_CONTROL!$C$12*CAPA2_FLAGSHIP!AS11/AS33)</f>
        <v>0</v>
      </c>
      <c r="AT39" s="273" t="n">
        <f aca="false">IF(AT33=0,0,AT36*SUP_CONTROL!$C$12*CAPA2_FLAGSHIP!AT11/AT33)</f>
        <v>0</v>
      </c>
      <c r="AU39" s="273" t="n">
        <f aca="false">IF(AU33=0,0,AU36*SUP_CONTROL!$C$12*CAPA2_FLAGSHIP!AU11/AU33)</f>
        <v>0</v>
      </c>
      <c r="AV39" s="273" t="n">
        <f aca="false">IF(AV33=0,0,AV36*SUP_CONTROL!$C$12*CAPA2_FLAGSHIP!AV11/AV33)</f>
        <v>0</v>
      </c>
      <c r="AW39" s="273" t="n">
        <f aca="false">IF(AW33=0,0,AW36*SUP_CONTROL!$C$12*CAPA2_FLAGSHIP!AW11/AW33)</f>
        <v>0</v>
      </c>
      <c r="AX39" s="273" t="n">
        <f aca="false">IF(AX33=0,0,AX36*SUP_CONTROL!$C$12*CAPA2_FLAGSHIP!AX11/AX33)</f>
        <v>0</v>
      </c>
      <c r="AY39" s="273" t="n">
        <f aca="false">IF(AY33=0,0,AY36*SUP_CONTROL!$C$12*CAPA2_FLAGSHIP!AY11/AY33)</f>
        <v>0</v>
      </c>
      <c r="AZ39" s="273" t="n">
        <f aca="false">IF(AZ33=0,0,AZ36*SUP_CONTROL!$C$12*CAPA2_FLAGSHIP!AZ11/AZ33)</f>
        <v>0</v>
      </c>
      <c r="BA39" s="273" t="n">
        <f aca="false">IF(BA33=0,0,BA36*SUP_CONTROL!$C$12*CAPA2_FLAGSHIP!BA11/BA33)</f>
        <v>0</v>
      </c>
      <c r="BB39" s="273" t="n">
        <f aca="false">IF(BB33=0,0,BB36*SUP_CONTROL!$C$12*CAPA2_FLAGSHIP!BB11/BB33)</f>
        <v>0</v>
      </c>
      <c r="BC39" s="273" t="n">
        <f aca="false">IF(BC33=0,0,BC36*SUP_CONTROL!$C$12*CAPA2_FLAGSHIP!BC11/BC33)</f>
        <v>0</v>
      </c>
      <c r="BD39" s="273" t="n">
        <f aca="false">IF(BD33=0,0,BD36*SUP_CONTROL!$C$12*CAPA2_FLAGSHIP!BD11/BD33)</f>
        <v>0</v>
      </c>
      <c r="BE39" s="273" t="n">
        <f aca="false">IF(BE33=0,0,BE36*SUP_CONTROL!$C$12*CAPA2_FLAGSHIP!BE11/BE33)</f>
        <v>0</v>
      </c>
      <c r="BF39" s="273" t="n">
        <f aca="false">IF(BF33=0,0,BF36*SUP_CONTROL!$C$12*CAPA2_FLAGSHIP!BF11/BF33)</f>
        <v>0</v>
      </c>
      <c r="BG39" s="273" t="n">
        <f aca="false">IF(BG33=0,0,BG36*SUP_CONTROL!$C$12*CAPA2_FLAGSHIP!BG11/BG33)</f>
        <v>0</v>
      </c>
      <c r="BH39" s="273" t="n">
        <f aca="false">IF(BH33=0,0,BH36*SUP_CONTROL!$C$12*CAPA2_FLAGSHIP!BH11/BH33)</f>
        <v>0</v>
      </c>
      <c r="BI39" s="273" t="n">
        <f aca="false">IF(BI33=0,0,BI36*SUP_CONTROL!$C$12*CAPA2_FLAGSHIP!BI11/BI33)</f>
        <v>0</v>
      </c>
      <c r="BJ39" s="273" t="n">
        <f aca="false">IF(BJ33=0,0,BJ36*SUP_CONTROL!$C$12*CAPA2_FLAGSHIP!BJ11/BJ33)</f>
        <v>0</v>
      </c>
      <c r="BK39" s="273" t="n">
        <f aca="false">IF(BK33=0,0,BK36*SUP_CONTROL!$C$12*CAPA2_FLAGSHIP!BK11/BK33)</f>
        <v>0</v>
      </c>
      <c r="BL39" s="273" t="n">
        <f aca="false">IF(BL33=0,0,BL36*SUP_CONTROL!$C$12*CAPA2_FLAGSHIP!BL11/BL33)</f>
        <v>0</v>
      </c>
      <c r="BM39" s="273" t="n">
        <f aca="false">IF(BM33=0,0,BM36*SUP_CONTROL!$C$12*CAPA2_FLAGSHIP!BM11/BM33)</f>
        <v>0</v>
      </c>
      <c r="BN39" s="273" t="n">
        <f aca="false">IF(BN33=0,0,BN36*SUP_CONTROL!$C$12*CAPA2_FLAGSHIP!BN11/BN33)</f>
        <v>0</v>
      </c>
      <c r="BO39" s="273" t="n">
        <f aca="false">IF(BO33=0,0,BO36*SUP_CONTROL!$C$12*CAPA2_FLAGSHIP!BO11/BO33)</f>
        <v>0</v>
      </c>
      <c r="BP39" s="273" t="n">
        <f aca="false">IF(BP33=0,0,BP36*SUP_CONTROL!$C$12*CAPA2_FLAGSHIP!BP11/BP33)</f>
        <v>0</v>
      </c>
      <c r="BQ39" s="273" t="n">
        <f aca="false">IF(BQ33=0,0,BQ36*SUP_CONTROL!$C$12*CAPA2_FLAGSHIP!BQ11/BQ33)</f>
        <v>0</v>
      </c>
      <c r="BR39" s="273" t="n">
        <f aca="false">IF(BR33=0,0,BR36*SUP_CONTROL!$C$12*CAPA2_FLAGSHIP!BR11/BR33)</f>
        <v>0</v>
      </c>
      <c r="BS39" s="273" t="n">
        <f aca="false">IF(BS33=0,0,BS36*SUP_CONTROL!$C$12*CAPA2_FLAGSHIP!BS11/BS33)</f>
        <v>0</v>
      </c>
      <c r="BT39" s="273" t="n">
        <f aca="false">IF(BT33=0,0,BT36*SUP_CONTROL!$C$12*CAPA2_FLAGSHIP!BT11/BT33)</f>
        <v>0</v>
      </c>
      <c r="BU39" s="273" t="n">
        <f aca="false">IF(BU33=0,0,BU36*SUP_CONTROL!$C$12*CAPA2_FLAGSHIP!BU11/BU33)</f>
        <v>0</v>
      </c>
      <c r="BV39" s="273" t="n">
        <f aca="false">IF(BV33=0,0,BV36*SUP_CONTROL!$C$12*CAPA2_FLAGSHIP!BV11/BV33)</f>
        <v>0</v>
      </c>
      <c r="BW39" s="273" t="n">
        <f aca="false">IF(BW33=0,0,BW36*SUP_CONTROL!$C$12*CAPA2_FLAGSHIP!BW11/BW33)</f>
        <v>0</v>
      </c>
      <c r="BX39" s="273" t="n">
        <f aca="false">IF(BX33=0,0,BX36*SUP_CONTROL!$C$12*CAPA2_FLAGSHIP!BX11/BX33)</f>
        <v>0</v>
      </c>
      <c r="BY39" s="273" t="n">
        <f aca="false">IF(BY33=0,0,BY36*SUP_CONTROL!$C$12*CAPA2_FLAGSHIP!BY11/BY33)</f>
        <v>0</v>
      </c>
      <c r="BZ39" s="273" t="n">
        <f aca="false">IF(BZ33=0,0,BZ36*SUP_CONTROL!$C$12*CAPA2_FLAGSHIP!BZ11/BZ33)</f>
        <v>0</v>
      </c>
      <c r="CA39" s="273" t="n">
        <f aca="false">IF(CA33=0,0,CA36*SUP_CONTROL!$C$12*CAPA2_FLAGSHIP!CA11/CA33)</f>
        <v>0</v>
      </c>
      <c r="CB39" s="273" t="n">
        <f aca="false">IF(CB33=0,0,CB36*SUP_CONTROL!$C$12*CAPA2_FLAGSHIP!CB11/CB33)</f>
        <v>0</v>
      </c>
      <c r="CC39" s="273" t="n">
        <f aca="false">IF(CC33=0,0,CC36*SUP_CONTROL!$C$12*CAPA2_FLAGSHIP!CC11/CC33)</f>
        <v>0</v>
      </c>
      <c r="CD39" s="273" t="n">
        <f aca="false">IF(CD33=0,0,CD36*SUP_CONTROL!$C$12*CAPA2_FLAGSHIP!CD11/CD33)</f>
        <v>0</v>
      </c>
      <c r="CE39" s="273" t="n">
        <f aca="false">IF(CE33=0,0,CE36*SUP_CONTROL!$C$12*CAPA2_FLAGSHIP!CE11/CE33)</f>
        <v>0</v>
      </c>
      <c r="CF39" s="273" t="n">
        <f aca="false">IF(CF33=0,0,CF36*SUP_CONTROL!$C$12*CAPA2_FLAGSHIP!CF11/CF33)</f>
        <v>0</v>
      </c>
      <c r="CG39" s="273" t="n">
        <f aca="false">IF(CG33=0,0,CG36*SUP_CONTROL!$C$12*CAPA2_FLAGSHIP!CG11/CG33)</f>
        <v>0</v>
      </c>
      <c r="CH39" s="273" t="n">
        <f aca="false">IF(CH33=0,0,CH36*SUP_CONTROL!$C$12*CAPA2_FLAGSHIP!CH11/CH33)</f>
        <v>0</v>
      </c>
      <c r="CI39" s="273" t="n">
        <f aca="false">IF(CI33=0,0,CI36*SUP_CONTROL!$C$12*CAPA2_FLAGSHIP!CI11/CI33)</f>
        <v>0</v>
      </c>
      <c r="CJ39" s="273" t="n">
        <f aca="false">IF(CJ33=0,0,CJ36*SUP_CONTROL!$C$12*CAPA2_FLAGSHIP!CJ11/CJ33)</f>
        <v>0</v>
      </c>
      <c r="CK39" s="273" t="n">
        <f aca="false">IF(CK33=0,0,CK36*SUP_CONTROL!$C$12*CAPA2_FLAGSHIP!CK11/CK33)</f>
        <v>0</v>
      </c>
      <c r="CL39" s="273" t="n">
        <f aca="false">IF(CL33=0,0,CL36*SUP_CONTROL!$C$12*CAPA2_FLAGSHIP!CL11/CL33)</f>
        <v>0</v>
      </c>
      <c r="CM39" s="273" t="n">
        <f aca="false">IF(CM33=0,0,CM36*SUP_CONTROL!$C$12*CAPA2_FLAGSHIP!CM11/CM33)</f>
        <v>0</v>
      </c>
      <c r="CN39" s="273" t="n">
        <f aca="false">IF(CN33=0,0,CN36*SUP_CONTROL!$C$12*CAPA2_FLAGSHIP!CN11/CN33)</f>
        <v>0</v>
      </c>
      <c r="CO39" s="273" t="n">
        <f aca="false">IF(CO33=0,0,CO36*SUP_CONTROL!$C$12*CAPA2_FLAGSHIP!CO11/CO33)</f>
        <v>0</v>
      </c>
      <c r="CP39" s="273" t="n">
        <f aca="false">IF(CP33=0,0,CP36*SUP_CONTROL!$C$12*CAPA2_FLAGSHIP!CP11/CP33)</f>
        <v>0</v>
      </c>
      <c r="CQ39" s="273" t="n">
        <f aca="false">IF(CQ33=0,0,CQ36*SUP_CONTROL!$C$12*CAPA2_FLAGSHIP!CQ11/CQ33)</f>
        <v>0</v>
      </c>
      <c r="CR39" s="273" t="n">
        <f aca="false">IF(CR33=0,0,CR36*SUP_CONTROL!$C$12*CAPA2_FLAGSHIP!CR11/CR33)</f>
        <v>0</v>
      </c>
      <c r="CS39" s="273" t="n">
        <f aca="false">IF(CS33=0,0,CS36*SUP_CONTROL!$C$12*CAPA2_FLAGSHIP!CS11/CS33)</f>
        <v>0</v>
      </c>
      <c r="CT39" s="273" t="n">
        <f aca="false">IF(CT33=0,0,CT36*SUP_CONTROL!$C$12*CAPA2_FLAGSHIP!CT11/CT33)</f>
        <v>0</v>
      </c>
      <c r="CU39" s="273" t="n">
        <f aca="false">IF(CU33=0,0,CU36*SUP_CONTROL!$C$12*CAPA2_FLAGSHIP!CU11/CU33)</f>
        <v>0</v>
      </c>
      <c r="CV39" s="273" t="n">
        <f aca="false">IF(CV33=0,0,CV36*SUP_CONTROL!$C$12*CAPA2_FLAGSHIP!CV11/CV33)</f>
        <v>0</v>
      </c>
      <c r="CW39" s="273" t="n">
        <f aca="false">IF(CW33=0,0,CW36*SUP_CONTROL!$C$12*CAPA2_FLAGSHIP!CW11/CW33)</f>
        <v>0</v>
      </c>
      <c r="CX39" s="273" t="n">
        <f aca="false">IF(CX33=0,0,CX36*SUP_CONTROL!$C$12*CAPA2_FLAGSHIP!CX11/CX33)</f>
        <v>0</v>
      </c>
      <c r="CY39" s="273" t="n">
        <f aca="false">IF(CY33=0,0,CY36*SUP_CONTROL!$C$12*CAPA2_FLAGSHIP!CY11/CY33)</f>
        <v>0</v>
      </c>
      <c r="CZ39" s="273" t="n">
        <f aca="false">IF(CZ33=0,0,CZ36*SUP_CONTROL!$C$12*CAPA2_FLAGSHIP!CZ11/CZ33)</f>
        <v>0</v>
      </c>
      <c r="DA39" s="273" t="n">
        <f aca="false">IF(DA33=0,0,DA36*SUP_CONTROL!$C$12*CAPA2_FLAGSHIP!DA11/DA33)</f>
        <v>0</v>
      </c>
      <c r="DB39" s="273" t="n">
        <f aca="false">IF(DB33=0,0,DB36*SUP_CONTROL!$C$12*CAPA2_FLAGSHIP!DB11/DB33)</f>
        <v>0</v>
      </c>
      <c r="DC39" s="273" t="n">
        <f aca="false">IF(DC33=0,0,DC36*SUP_CONTROL!$C$12*CAPA2_FLAGSHIP!DC11/DC33)</f>
        <v>0</v>
      </c>
      <c r="DD39" s="273" t="n">
        <f aca="false">IF(DD33=0,0,DD36*SUP_CONTROL!$C$12*CAPA2_FLAGSHIP!DD11/DD33)</f>
        <v>0</v>
      </c>
      <c r="DE39" s="273" t="n">
        <f aca="false">IF(DE33=0,0,DE36*SUP_CONTROL!$C$12*CAPA2_FLAGSHIP!DE11/DE33)</f>
        <v>0</v>
      </c>
      <c r="DF39" s="273" t="n">
        <f aca="false">IF(DF33=0,0,DF36*SUP_CONTROL!$C$12*CAPA2_FLAGSHIP!DF11/DF33)</f>
        <v>0</v>
      </c>
      <c r="DG39" s="273" t="n">
        <f aca="false">IF(DG33=0,0,DG36*SUP_CONTROL!$C$12*CAPA2_FLAGSHIP!DG11/DG33)</f>
        <v>0</v>
      </c>
      <c r="DH39" s="273" t="n">
        <f aca="false">IF(DH33=0,0,DH36*SUP_CONTROL!$C$12*CAPA2_FLAGSHIP!DH11/DH33)</f>
        <v>0</v>
      </c>
      <c r="DI39" s="273" t="n">
        <f aca="false">IF(DI33=0,0,DI36*SUP_CONTROL!$C$12*CAPA2_FLAGSHIP!DI11/DI33)</f>
        <v>0</v>
      </c>
      <c r="DJ39" s="273" t="n">
        <f aca="false">IF(DJ33=0,0,DJ36*SUP_CONTROL!$C$12*CAPA2_FLAGSHIP!DJ11/DJ33)</f>
        <v>0</v>
      </c>
      <c r="DK39" s="273" t="n">
        <f aca="false">IF(DK33=0,0,DK36*SUP_CONTROL!$C$12*CAPA2_FLAGSHIP!DK11/DK33)</f>
        <v>0</v>
      </c>
      <c r="DL39" s="273" t="n">
        <f aca="false">IF(DL33=0,0,DL36*SUP_CONTROL!$C$12*CAPA2_FLAGSHIP!DL11/DL33)</f>
        <v>0</v>
      </c>
      <c r="DM39" s="273" t="n">
        <f aca="false">IF(DM33=0,0,DM36*SUP_CONTROL!$C$12*CAPA2_FLAGSHIP!DM11/DM33)</f>
        <v>0</v>
      </c>
      <c r="DN39" s="273" t="n">
        <f aca="false">IF(DN33=0,0,DN36*SUP_CONTROL!$C$12*CAPA2_FLAGSHIP!DN11/DN33)</f>
        <v>0</v>
      </c>
      <c r="DO39" s="273" t="n">
        <f aca="false">IF(DO33=0,0,DO36*SUP_CONTROL!$C$12*CAPA2_FLAGSHIP!DO11/DO33)</f>
        <v>0</v>
      </c>
      <c r="DP39" s="273" t="n">
        <f aca="false">IF(DP33=0,0,DP36*SUP_CONTROL!$C$12*CAPA2_FLAGSHIP!DP11/DP33)</f>
        <v>0</v>
      </c>
      <c r="DQ39" s="273" t="n">
        <f aca="false">IF(DQ33=0,0,DQ36*SUP_CONTROL!$C$12*CAPA2_FLAGSHIP!DQ11/DQ33)</f>
        <v>0</v>
      </c>
      <c r="DR39" s="273" t="n">
        <f aca="false">IF(DR33=0,0,DR36*SUP_CONTROL!$C$12*CAPA2_FLAGSHIP!DR11/DR33)</f>
        <v>0</v>
      </c>
      <c r="DS39" s="273" t="n">
        <f aca="false">IF(DS33=0,0,DS36*SUP_CONTROL!$C$12*CAPA2_FLAGSHIP!DS11/DS33)</f>
        <v>0</v>
      </c>
    </row>
    <row r="40" customFormat="false" ht="15" hidden="false" customHeight="true" outlineLevel="0" collapsed="false">
      <c r="B40" s="297" t="s">
        <v>1441</v>
      </c>
      <c r="D40" s="273" t="n">
        <f aca="false">IF(D33=0,0,D36*SUP_CONTROL!$C$13*CAPA3_EXPANSION!D39/D33)</f>
        <v>0</v>
      </c>
      <c r="E40" s="273" t="n">
        <f aca="false">IF(E33=0,0,E36*SUP_CONTROL!$C$13*CAPA3_EXPANSION!E39/E33)</f>
        <v>0</v>
      </c>
      <c r="F40" s="273" t="n">
        <f aca="false">IF(F33=0,0,F36*SUP_CONTROL!$C$13*CAPA3_EXPANSION!F39/F33)</f>
        <v>0</v>
      </c>
      <c r="G40" s="273" t="n">
        <f aca="false">IF(G33=0,0,G36*SUP_CONTROL!$C$13*CAPA3_EXPANSION!G39/G33)</f>
        <v>0</v>
      </c>
      <c r="H40" s="273" t="n">
        <f aca="false">IF(H33=0,0,H36*SUP_CONTROL!$C$13*CAPA3_EXPANSION!H39/H33)</f>
        <v>0</v>
      </c>
      <c r="I40" s="273" t="n">
        <f aca="false">IF(I33=0,0,I36*SUP_CONTROL!$C$13*CAPA3_EXPANSION!I39/I33)</f>
        <v>0</v>
      </c>
      <c r="J40" s="273" t="n">
        <f aca="false">IF(J33=0,0,J36*SUP_CONTROL!$C$13*CAPA3_EXPANSION!J39/J33)</f>
        <v>0</v>
      </c>
      <c r="K40" s="273" t="n">
        <f aca="false">IF(K33=0,0,K36*SUP_CONTROL!$C$13*CAPA3_EXPANSION!K39/K33)</f>
        <v>0</v>
      </c>
      <c r="L40" s="273" t="n">
        <f aca="false">IF(L33=0,0,L36*SUP_CONTROL!$C$13*CAPA3_EXPANSION!L39/L33)</f>
        <v>0</v>
      </c>
      <c r="M40" s="273" t="n">
        <f aca="false">IF(M33=0,0,M36*SUP_CONTROL!$C$13*CAPA3_EXPANSION!M39/M33)</f>
        <v>0</v>
      </c>
      <c r="N40" s="273" t="n">
        <f aca="false">IF(N33=0,0,N36*SUP_CONTROL!$C$13*CAPA3_EXPANSION!N39/N33)</f>
        <v>0</v>
      </c>
      <c r="O40" s="273" t="n">
        <f aca="false">IF(O33=0,0,O36*SUP_CONTROL!$C$13*CAPA3_EXPANSION!O39/O33)</f>
        <v>0</v>
      </c>
      <c r="P40" s="273" t="n">
        <f aca="false">IF(P33=0,0,P36*SUP_CONTROL!$C$13*CAPA3_EXPANSION!P39/P33)</f>
        <v>0</v>
      </c>
      <c r="Q40" s="273" t="n">
        <f aca="false">IF(Q33=0,0,Q36*SUP_CONTROL!$C$13*CAPA3_EXPANSION!Q39/Q33)</f>
        <v>0</v>
      </c>
      <c r="R40" s="273" t="n">
        <f aca="false">IF(R33=0,0,R36*SUP_CONTROL!$C$13*CAPA3_EXPANSION!R39/R33)</f>
        <v>0</v>
      </c>
      <c r="S40" s="273" t="n">
        <f aca="false">IF(S33=0,0,S36*SUP_CONTROL!$C$13*CAPA3_EXPANSION!S39/S33)</f>
        <v>0</v>
      </c>
      <c r="T40" s="273" t="n">
        <f aca="false">IF(T33=0,0,T36*SUP_CONTROL!$C$13*CAPA3_EXPANSION!T39/T33)</f>
        <v>0</v>
      </c>
      <c r="U40" s="273" t="n">
        <f aca="false">IF(U33=0,0,U36*SUP_CONTROL!$C$13*CAPA3_EXPANSION!U39/U33)</f>
        <v>0</v>
      </c>
      <c r="V40" s="273" t="n">
        <f aca="false">IF(V33=0,0,V36*SUP_CONTROL!$C$13*CAPA3_EXPANSION!V39/V33)</f>
        <v>2469.79411835066</v>
      </c>
      <c r="W40" s="273" t="n">
        <f aca="false">IF(W33=0,0,W36*SUP_CONTROL!$C$13*CAPA3_EXPANSION!W39/W33)</f>
        <v>5509.54072555147</v>
      </c>
      <c r="X40" s="273" t="n">
        <f aca="false">IF(X33=0,0,X36*SUP_CONTROL!$C$13*CAPA3_EXPANSION!X39/X33)</f>
        <v>6459.46154030173</v>
      </c>
      <c r="Y40" s="273" t="n">
        <f aca="false">IF(Y33=0,0,Y36*SUP_CONTROL!$C$13*CAPA3_EXPANSION!Y39/Y33)</f>
        <v>9689.19231045259</v>
      </c>
      <c r="Z40" s="273" t="n">
        <f aca="false">IF(Z33=0,0,Z36*SUP_CONTROL!$C$13*CAPA3_EXPANSION!Z39/Z33)</f>
        <v>10639.1131252028</v>
      </c>
      <c r="AA40" s="273" t="n">
        <f aca="false">IF(AA33=0,0,AA36*SUP_CONTROL!$C$13*CAPA3_EXPANSION!AA39/AA33)</f>
        <v>11019.0814511029</v>
      </c>
      <c r="AB40" s="273" t="n">
        <f aca="false">IF(AB33=0,0,AB36*SUP_CONTROL!$C$13*CAPA3_EXPANSION!AB39/AB33)</f>
        <v>9770.61409457404</v>
      </c>
      <c r="AC40" s="273" t="n">
        <f aca="false">IF(AC33=0,0,AC36*SUP_CONTROL!$C$13*CAPA3_EXPANSION!AC39/AC33)</f>
        <v>9770.61409457404</v>
      </c>
      <c r="AD40" s="273" t="n">
        <f aca="false">IF(AD33=0,0,AD36*SUP_CONTROL!$C$13*CAPA3_EXPANSION!AD39/AD33)</f>
        <v>9770.61409457404</v>
      </c>
      <c r="AE40" s="273" t="n">
        <f aca="false">IF(AE33=0,0,AE36*SUP_CONTROL!$C$13*CAPA3_EXPANSION!AE39/AE33)</f>
        <v>9770.61409457404</v>
      </c>
      <c r="AF40" s="273" t="n">
        <f aca="false">IF(AF33=0,0,AF36*SUP_CONTROL!$C$13*CAPA3_EXPANSION!AF39/AF33)</f>
        <v>9770.61409457404</v>
      </c>
      <c r="AG40" s="273" t="n">
        <f aca="false">IF(AG33=0,0,AG36*SUP_CONTROL!$C$13*CAPA3_EXPANSION!AG39/AG33)</f>
        <v>9477.49567173682</v>
      </c>
      <c r="AH40" s="273" t="n">
        <f aca="false">IF(AH33=0,0,AH36*SUP_CONTROL!$C$13*CAPA3_EXPANSION!AH39/AH33)</f>
        <v>9477.49567173682</v>
      </c>
      <c r="AI40" s="273" t="n">
        <f aca="false">IF(AI33=0,0,AI36*SUP_CONTROL!$C$13*CAPA3_EXPANSION!AI39/AI33)</f>
        <v>12146.9902859427</v>
      </c>
      <c r="AJ40" s="273" t="n">
        <f aca="false">IF(AJ33=0,0,AJ36*SUP_CONTROL!$C$13*CAPA3_EXPANSION!AJ39/AJ33)</f>
        <v>14816.4849001486</v>
      </c>
      <c r="AK40" s="273" t="n">
        <f aca="false">IF(AK33=0,0,AK36*SUP_CONTROL!$C$13*CAPA3_EXPANSION!AK39/AK33)</f>
        <v>15701.051162844</v>
      </c>
      <c r="AL40" s="273" t="n">
        <f aca="false">IF(AL33=0,0,AL36*SUP_CONTROL!$C$13*CAPA3_EXPANSION!AL39/AL33)</f>
        <v>18481.1165598868</v>
      </c>
      <c r="AM40" s="273" t="n">
        <f aca="false">IF(AM33=0,0,AM36*SUP_CONTROL!$C$13*CAPA3_EXPANSION!AM39/AM33)</f>
        <v>19270.9078658649</v>
      </c>
      <c r="AN40" s="273" t="n">
        <f aca="false">IF(AN33=0,0,AN36*SUP_CONTROL!$C$13*CAPA3_EXPANSION!AN39/AN33)</f>
        <v>19836.9249684825</v>
      </c>
      <c r="AO40" s="273" t="n">
        <f aca="false">IF(AO33=0,0,AO36*SUP_CONTROL!$C$13*CAPA3_EXPANSION!AO39/AO33)</f>
        <v>20560.9003322957</v>
      </c>
      <c r="AP40" s="273" t="n">
        <f aca="false">IF(AP33=0,0,AP36*SUP_CONTROL!$C$13*CAPA3_EXPANSION!AP39/AP33)</f>
        <v>20313.1067026194</v>
      </c>
      <c r="AQ40" s="273" t="n">
        <f aca="false">IF(AQ33=0,0,AQ36*SUP_CONTROL!$C$13*CAPA3_EXPANSION!AQ39/AQ33)</f>
        <v>22979.2019573382</v>
      </c>
      <c r="AR40" s="273" t="n">
        <f aca="false">IF(AR33=0,0,AR36*SUP_CONTROL!$C$13*CAPA3_EXPANSION!AR39/AR33)</f>
        <v>25363.1707300762</v>
      </c>
      <c r="AS40" s="273" t="n">
        <f aca="false">IF(AS33=0,0,AS36*SUP_CONTROL!$C$13*CAPA3_EXPANSION!AS39/AS33)</f>
        <v>27986.9470124979</v>
      </c>
      <c r="AT40" s="273" t="n">
        <f aca="false">IF(AT33=0,0,AT36*SUP_CONTROL!$C$13*CAPA3_EXPANSION!AT39/AT33)</f>
        <v>30892.8497769004</v>
      </c>
      <c r="AU40" s="273" t="n">
        <f aca="false">IF(AU33=0,0,AU36*SUP_CONTROL!$C$13*CAPA3_EXPANSION!AU39/AU33)</f>
        <v>31880.2924638333</v>
      </c>
      <c r="AV40" s="273" t="n">
        <f aca="false">IF(AV33=0,0,AV36*SUP_CONTROL!$C$13*CAPA3_EXPANSION!AV39/AV33)</f>
        <v>32444.5454277949</v>
      </c>
      <c r="AW40" s="273" t="n">
        <f aca="false">IF(AW33=0,0,AW36*SUP_CONTROL!$C$13*CAPA3_EXPANSION!AW39/AW33)</f>
        <v>35110.6406825137</v>
      </c>
      <c r="AX40" s="273" t="n">
        <f aca="false">IF(AX33=0,0,AX36*SUP_CONTROL!$C$13*CAPA3_EXPANSION!AX39/AX33)</f>
        <v>35660.7873223763</v>
      </c>
      <c r="AY40" s="273" t="n">
        <f aca="false">IF(AY33=0,0,AY36*SUP_CONTROL!$C$13*CAPA3_EXPANSION!AY39/AY33)</f>
        <v>37861.3738818268</v>
      </c>
      <c r="AZ40" s="273" t="n">
        <f aca="false">IF(AZ33=0,0,AZ36*SUP_CONTROL!$C$13*CAPA3_EXPANSION!AZ39/AZ33)</f>
        <v>36804.6819674986</v>
      </c>
      <c r="BA40" s="273" t="n">
        <f aca="false">IF(BA33=0,0,BA36*SUP_CONTROL!$C$13*CAPA3_EXPANSION!BA39/BA33)</f>
        <v>37445.878517455</v>
      </c>
      <c r="BB40" s="273" t="n">
        <f aca="false">IF(BB33=0,0,BB36*SUP_CONTROL!$C$13*CAPA3_EXPANSION!BB39/BB33)</f>
        <v>37958.8357574201</v>
      </c>
      <c r="BC40" s="273" t="n">
        <f aca="false">IF(BC33=0,0,BC36*SUP_CONTROL!$C$13*CAPA3_EXPANSION!BC39/BC33)</f>
        <v>38215.3143774027</v>
      </c>
      <c r="BD40" s="273" t="n">
        <f aca="false">IF(BD33=0,0,BD36*SUP_CONTROL!$C$13*CAPA3_EXPANSION!BD39/BD33)</f>
        <v>38215.3143774027</v>
      </c>
      <c r="BE40" s="273" t="n">
        <f aca="false">IF(BE33=0,0,BE36*SUP_CONTROL!$C$13*CAPA3_EXPANSION!BE39/BE33)</f>
        <v>38215.3143774027</v>
      </c>
      <c r="BF40" s="273" t="n">
        <f aca="false">IF(BF33=0,0,BF36*SUP_CONTROL!$C$13*CAPA3_EXPANSION!BF39/BF33)</f>
        <v>37204.3272245614</v>
      </c>
      <c r="BG40" s="273" t="n">
        <f aca="false">IF(BG33=0,0,BG36*SUP_CONTROL!$C$13*CAPA3_EXPANSION!BG39/BG33)</f>
        <v>37204.3272245614</v>
      </c>
      <c r="BH40" s="273" t="n">
        <f aca="false">IF(BH33=0,0,BH36*SUP_CONTROL!$C$13*CAPA3_EXPANSION!BH39/BH33)</f>
        <v>37204.3272245614</v>
      </c>
      <c r="BI40" s="273" t="n">
        <f aca="false">IF(BI33=0,0,BI36*SUP_CONTROL!$C$13*CAPA3_EXPANSION!BI39/BI33)</f>
        <v>40450.3423515365</v>
      </c>
      <c r="BJ40" s="273" t="n">
        <f aca="false">IF(BJ33=0,0,BJ36*SUP_CONTROL!$C$13*CAPA3_EXPANSION!BJ39/BJ33)</f>
        <v>42822.4303289414</v>
      </c>
      <c r="BK40" s="273" t="n">
        <f aca="false">IF(BK33=0,0,BK36*SUP_CONTROL!$C$13*CAPA3_EXPANSION!BK39/BK33)</f>
        <v>44810.4788912402</v>
      </c>
      <c r="BL40" s="273" t="n">
        <f aca="false">IF(BL33=0,0,BL36*SUP_CONTROL!$C$13*CAPA3_EXPANSION!BL39/BL33)</f>
        <v>42846.5854582308</v>
      </c>
      <c r="BM40" s="273" t="n">
        <f aca="false">IF(BM33=0,0,BM36*SUP_CONTROL!$C$13*CAPA3_EXPANSION!BM39/BM33)</f>
        <v>45110.9252746483</v>
      </c>
      <c r="BN40" s="273" t="n">
        <f aca="false">IF(BN33=0,0,BN36*SUP_CONTROL!$C$13*CAPA3_EXPANSION!BN39/BN33)</f>
        <v>47375.2650910659</v>
      </c>
      <c r="BO40" s="273" t="n">
        <f aca="false">IF(BO33=0,0,BO36*SUP_CONTROL!$C$13*CAPA3_EXPANSION!BO39/BO33)</f>
        <v>48144.7009510136</v>
      </c>
      <c r="BP40" s="273" t="n">
        <f aca="false">IF(BP33=0,0,BP36*SUP_CONTROL!$C$13*CAPA3_EXPANSION!BP39/BP33)</f>
        <v>50442.0165900003</v>
      </c>
      <c r="BQ40" s="273" t="n">
        <f aca="false">IF(BQ33=0,0,BQ36*SUP_CONTROL!$C$13*CAPA3_EXPANSION!BQ39/BQ33)</f>
        <v>51352.3935582622</v>
      </c>
      <c r="BR40" s="273" t="n">
        <f aca="false">IF(BR33=0,0,BR36*SUP_CONTROL!$C$13*CAPA3_EXPANSION!BR39/BR33)</f>
        <v>53351.4612020121</v>
      </c>
      <c r="BS40" s="273" t="n">
        <f aca="false">IF(BS33=0,0,BS36*SUP_CONTROL!$C$13*CAPA3_EXPANSION!BS39/BS33)</f>
        <v>55565.4823558426</v>
      </c>
      <c r="BT40" s="273" t="n">
        <f aca="false">IF(BT33=0,0,BT36*SUP_CONTROL!$C$13*CAPA3_EXPANSION!BT39/BT33)</f>
        <v>58134.1768013061</v>
      </c>
      <c r="BU40" s="273" t="n">
        <f aca="false">IF(BU33=0,0,BU36*SUP_CONTROL!$C$13*CAPA3_EXPANSION!BU39/BU33)</f>
        <v>60380.4409816486</v>
      </c>
      <c r="BV40" s="273" t="n">
        <f aca="false">IF(BV33=0,0,BV36*SUP_CONTROL!$C$13*CAPA3_EXPANSION!BV39/BV33)</f>
        <v>62594.4621354791</v>
      </c>
      <c r="BW40" s="273" t="n">
        <f aca="false">IF(BW33=0,0,BW36*SUP_CONTROL!$C$13*CAPA3_EXPANSION!BW39/BW33)</f>
        <v>63703.7932332418</v>
      </c>
      <c r="BX40" s="273" t="n">
        <f aca="false">IF(BX33=0,0,BX36*SUP_CONTROL!$C$13*CAPA3_EXPANSION!BX39/BX33)</f>
        <v>58869.9583238169</v>
      </c>
      <c r="BY40" s="273" t="n">
        <f aca="false">IF(BY33=0,0,BY36*SUP_CONTROL!$C$13*CAPA3_EXPANSION!BY39/BY33)</f>
        <v>59611.8193395422</v>
      </c>
      <c r="BZ40" s="273" t="n">
        <f aca="false">IF(BZ33=0,0,BZ36*SUP_CONTROL!$C$13*CAPA3_EXPANSION!BZ39/BZ33)</f>
        <v>62485.3569447564</v>
      </c>
      <c r="CA40" s="273" t="n">
        <f aca="false">IF(CA33=0,0,CA36*SUP_CONTROL!$C$13*CAPA3_EXPANSION!CA39/CA33)</f>
        <v>64513.7364307899</v>
      </c>
      <c r="CB40" s="273" t="n">
        <f aca="false">IF(CB33=0,0,CB36*SUP_CONTROL!$C$13*CAPA3_EXPANSION!CB39/CB33)</f>
        <v>65240.5615570474</v>
      </c>
      <c r="CC40" s="273" t="n">
        <f aca="false">IF(CC33=0,0,CC36*SUP_CONTROL!$C$13*CAPA3_EXPANSION!CC39/CC33)</f>
        <v>67270.6780411423</v>
      </c>
      <c r="CD40" s="273" t="n">
        <f aca="false">IF(CD33=0,0,CD36*SUP_CONTROL!$C$13*CAPA3_EXPANSION!CD39/CD33)</f>
        <v>69476.1227670453</v>
      </c>
      <c r="CE40" s="273" t="n">
        <f aca="false">IF(CE33=0,0,CE36*SUP_CONTROL!$C$13*CAPA3_EXPANSION!CE39/CE33)</f>
        <v>71404.7334269354</v>
      </c>
      <c r="CF40" s="273" t="n">
        <f aca="false">IF(CF33=0,0,CF36*SUP_CONTROL!$C$13*CAPA3_EXPANSION!CF39/CF33)</f>
        <v>73305.6606802241</v>
      </c>
      <c r="CG40" s="273" t="n">
        <f aca="false">IF(CG33=0,0,CG36*SUP_CONTROL!$C$13*CAPA3_EXPANSION!CG39/CG33)</f>
        <v>75507.3057228682</v>
      </c>
      <c r="CH40" s="273" t="n">
        <f aca="false">IF(CH33=0,0,CH36*SUP_CONTROL!$C$13*CAPA3_EXPANSION!CH39/CH33)</f>
        <v>77960.3812348792</v>
      </c>
      <c r="CI40" s="273" t="n">
        <f aca="false">IF(CI33=0,0,CI36*SUP_CONTROL!$C$13*CAPA3_EXPANSION!CI39/CI33)</f>
        <v>80048.6871540262</v>
      </c>
      <c r="CJ40" s="273" t="n">
        <f aca="false">IF(CJ33=0,0,CJ36*SUP_CONTROL!$C$13*CAPA3_EXPANSION!CJ39/CJ33)</f>
        <v>80924.1341769</v>
      </c>
      <c r="CK40" s="273" t="n">
        <f aca="false">IF(CK33=0,0,CK36*SUP_CONTROL!$C$13*CAPA3_EXPANSION!CK39/CK33)</f>
        <v>81343.6192086937</v>
      </c>
      <c r="CL40" s="273" t="n">
        <f aca="false">IF(CL33=0,0,CL36*SUP_CONTROL!$C$13*CAPA3_EXPANSION!CL39/CL33)</f>
        <v>81526.0040051258</v>
      </c>
      <c r="CM40" s="273" t="n">
        <f aca="false">IF(CM33=0,0,CM36*SUP_CONTROL!$C$13*CAPA3_EXPANSION!CM39/CM33)</f>
        <v>81526.0040051258</v>
      </c>
      <c r="CN40" s="273" t="n">
        <f aca="false">IF(CN33=0,0,CN36*SUP_CONTROL!$C$13*CAPA3_EXPANSION!CN39/CN33)</f>
        <v>81526.0040051258</v>
      </c>
      <c r="CO40" s="273" t="n">
        <f aca="false">IF(CO33=0,0,CO36*SUP_CONTROL!$C$13*CAPA3_EXPANSION!CO39/CO33)</f>
        <v>81526.0040051258</v>
      </c>
      <c r="CP40" s="273" t="n">
        <f aca="false">IF(CP33=0,0,CP36*SUP_CONTROL!$C$13*CAPA3_EXPANSION!CP39/CP33)</f>
        <v>81526.0040051258</v>
      </c>
      <c r="CQ40" s="273" t="n">
        <f aca="false">IF(CQ33=0,0,CQ36*SUP_CONTROL!$C$13*CAPA3_EXPANSION!CQ39/CQ33)</f>
        <v>81526.0040051258</v>
      </c>
      <c r="CR40" s="273" t="n">
        <f aca="false">IF(CR33=0,0,CR36*SUP_CONTROL!$C$13*CAPA3_EXPANSION!CR39/CR33)</f>
        <v>81526.0040051258</v>
      </c>
      <c r="CS40" s="273" t="n">
        <f aca="false">IF(CS33=0,0,CS36*SUP_CONTROL!$C$13*CAPA3_EXPANSION!CS39/CS33)</f>
        <v>81526.0040051258</v>
      </c>
      <c r="CT40" s="273" t="n">
        <f aca="false">IF(CT33=0,0,CT36*SUP_CONTROL!$C$13*CAPA3_EXPANSION!CT39/CT33)</f>
        <v>81526.0040051258</v>
      </c>
      <c r="CU40" s="273" t="n">
        <f aca="false">IF(CU33=0,0,CU36*SUP_CONTROL!$C$13*CAPA3_EXPANSION!CU39/CU33)</f>
        <v>81526.0040051258</v>
      </c>
      <c r="CV40" s="273" t="n">
        <f aca="false">IF(CV33=0,0,CV36*SUP_CONTROL!$C$13*CAPA3_EXPANSION!CV39/CV33)</f>
        <v>81526.0040051258</v>
      </c>
      <c r="CW40" s="273" t="n">
        <f aca="false">IF(CW33=0,0,CW36*SUP_CONTROL!$C$13*CAPA3_EXPANSION!CW39/CW33)</f>
        <v>81526.0040051258</v>
      </c>
      <c r="CX40" s="273" t="n">
        <f aca="false">IF(CX33=0,0,CX36*SUP_CONTROL!$C$13*CAPA3_EXPANSION!CX39/CX33)</f>
        <v>81526.0040051258</v>
      </c>
      <c r="CY40" s="273" t="n">
        <f aca="false">IF(CY33=0,0,CY36*SUP_CONTROL!$C$13*CAPA3_EXPANSION!CY39/CY33)</f>
        <v>81526.0040051258</v>
      </c>
      <c r="CZ40" s="273" t="n">
        <f aca="false">IF(CZ33=0,0,CZ36*SUP_CONTROL!$C$13*CAPA3_EXPANSION!CZ39/CZ33)</f>
        <v>81526.0040051258</v>
      </c>
      <c r="DA40" s="273" t="n">
        <f aca="false">IF(DA33=0,0,DA36*SUP_CONTROL!$C$13*CAPA3_EXPANSION!DA39/DA33)</f>
        <v>81526.0040051258</v>
      </c>
      <c r="DB40" s="273" t="n">
        <f aca="false">IF(DB33=0,0,DB36*SUP_CONTROL!$C$13*CAPA3_EXPANSION!DB39/DB33)</f>
        <v>81526.0040051258</v>
      </c>
      <c r="DC40" s="273" t="n">
        <f aca="false">IF(DC33=0,0,DC36*SUP_CONTROL!$C$13*CAPA3_EXPANSION!DC39/DC33)</f>
        <v>81526.0040051258</v>
      </c>
      <c r="DD40" s="273" t="n">
        <f aca="false">IF(DD33=0,0,DD36*SUP_CONTROL!$C$13*CAPA3_EXPANSION!DD39/DD33)</f>
        <v>81526.0040051258</v>
      </c>
      <c r="DE40" s="273" t="n">
        <f aca="false">IF(DE33=0,0,DE36*SUP_CONTROL!$C$13*CAPA3_EXPANSION!DE39/DE33)</f>
        <v>81526.0040051258</v>
      </c>
      <c r="DF40" s="273" t="n">
        <f aca="false">IF(DF33=0,0,DF36*SUP_CONTROL!$C$13*CAPA3_EXPANSION!DF39/DF33)</f>
        <v>81526.0040051258</v>
      </c>
      <c r="DG40" s="273" t="n">
        <f aca="false">IF(DG33=0,0,DG36*SUP_CONTROL!$C$13*CAPA3_EXPANSION!DG39/DG33)</f>
        <v>81526.0040051258</v>
      </c>
      <c r="DH40" s="273" t="n">
        <f aca="false">IF(DH33=0,0,DH36*SUP_CONTROL!$C$13*CAPA3_EXPANSION!DH39/DH33)</f>
        <v>81526.0040051258</v>
      </c>
      <c r="DI40" s="273" t="n">
        <f aca="false">IF(DI33=0,0,DI36*SUP_CONTROL!$C$13*CAPA3_EXPANSION!DI39/DI33)</f>
        <v>81526.0040051258</v>
      </c>
      <c r="DJ40" s="273" t="n">
        <f aca="false">IF(DJ33=0,0,DJ36*SUP_CONTROL!$C$13*CAPA3_EXPANSION!DJ39/DJ33)</f>
        <v>81526.0040051258</v>
      </c>
      <c r="DK40" s="273" t="n">
        <f aca="false">IF(DK33=0,0,DK36*SUP_CONTROL!$C$13*CAPA3_EXPANSION!DK39/DK33)</f>
        <v>81526.0040051258</v>
      </c>
      <c r="DL40" s="273" t="n">
        <f aca="false">IF(DL33=0,0,DL36*SUP_CONTROL!$C$13*CAPA3_EXPANSION!DL39/DL33)</f>
        <v>81526.0040051258</v>
      </c>
      <c r="DM40" s="273" t="n">
        <f aca="false">IF(DM33=0,0,DM36*SUP_CONTROL!$C$13*CAPA3_EXPANSION!DM39/DM33)</f>
        <v>81526.0040051258</v>
      </c>
      <c r="DN40" s="273" t="n">
        <f aca="false">IF(DN33=0,0,DN36*SUP_CONTROL!$C$13*CAPA3_EXPANSION!DN39/DN33)</f>
        <v>81526.0040051258</v>
      </c>
      <c r="DO40" s="273" t="n">
        <f aca="false">IF(DO33=0,0,DO36*SUP_CONTROL!$C$13*CAPA3_EXPANSION!DO39/DO33)</f>
        <v>81526.0040051258</v>
      </c>
      <c r="DP40" s="273" t="n">
        <f aca="false">IF(DP33=0,0,DP36*SUP_CONTROL!$C$13*CAPA3_EXPANSION!DP39/DP33)</f>
        <v>81526.0040051258</v>
      </c>
      <c r="DQ40" s="273" t="n">
        <f aca="false">IF(DQ33=0,0,DQ36*SUP_CONTROL!$C$13*CAPA3_EXPANSION!DQ39/DQ33)</f>
        <v>81526.0040051258</v>
      </c>
      <c r="DR40" s="273" t="n">
        <f aca="false">IF(DR33=0,0,DR36*SUP_CONTROL!$C$13*CAPA3_EXPANSION!DR39/DR33)</f>
        <v>81526.0040051258</v>
      </c>
      <c r="DS40" s="273" t="n">
        <f aca="false">IF(DS33=0,0,DS36*SUP_CONTROL!$C$13*CAPA3_EXPANSION!DS39/DS33)</f>
        <v>81526.0040051258</v>
      </c>
    </row>
    <row r="41" customFormat="false" ht="15" hidden="false" customHeight="true" outlineLevel="0" collapsed="false">
      <c r="B41" s="297" t="s">
        <v>1442</v>
      </c>
      <c r="D41" s="273" t="n">
        <f aca="false">IF(D33=0,0,D36*SUP_CONTROL!$C$14*CAPA4_RETAIL!D8/D33)</f>
        <v>0</v>
      </c>
      <c r="E41" s="273" t="n">
        <f aca="false">IF(E33=0,0,E36*SUP_CONTROL!$C$14*CAPA4_RETAIL!E8/E33)</f>
        <v>0</v>
      </c>
      <c r="F41" s="273" t="n">
        <f aca="false">IF(F33=0,0,F36*SUP_CONTROL!$C$14*CAPA4_RETAIL!F8/F33)</f>
        <v>0</v>
      </c>
      <c r="G41" s="273" t="n">
        <f aca="false">IF(G33=0,0,G36*SUP_CONTROL!$C$14*CAPA4_RETAIL!G8/G33)</f>
        <v>0</v>
      </c>
      <c r="H41" s="273" t="n">
        <f aca="false">IF(H33=0,0,H36*SUP_CONTROL!$C$14*CAPA4_RETAIL!H8/H33)</f>
        <v>0</v>
      </c>
      <c r="I41" s="273" t="n">
        <f aca="false">IF(I33=0,0,I36*SUP_CONTROL!$C$14*CAPA4_RETAIL!I8/I33)</f>
        <v>0</v>
      </c>
      <c r="J41" s="273" t="n">
        <f aca="false">IF(J33=0,0,J36*SUP_CONTROL!$C$14*CAPA4_RETAIL!J8/J33)</f>
        <v>0</v>
      </c>
      <c r="K41" s="273" t="n">
        <f aca="false">IF(K33=0,0,K36*SUP_CONTROL!$C$14*CAPA4_RETAIL!K8/K33)</f>
        <v>0</v>
      </c>
      <c r="L41" s="273" t="n">
        <f aca="false">IF(L33=0,0,L36*SUP_CONTROL!$C$14*CAPA4_RETAIL!L8/L33)</f>
        <v>0</v>
      </c>
      <c r="M41" s="273" t="n">
        <f aca="false">IF(M33=0,0,M36*SUP_CONTROL!$C$14*CAPA4_RETAIL!M8/M33)</f>
        <v>0</v>
      </c>
      <c r="N41" s="273" t="n">
        <f aca="false">IF(N33=0,0,N36*SUP_CONTROL!$C$14*CAPA4_RETAIL!N8/N33)</f>
        <v>0</v>
      </c>
      <c r="O41" s="273" t="n">
        <f aca="false">IF(O33=0,0,O36*SUP_CONTROL!$C$14*CAPA4_RETAIL!O8/O33)</f>
        <v>0</v>
      </c>
      <c r="P41" s="273" t="n">
        <f aca="false">IF(P33=0,0,P36*SUP_CONTROL!$C$14*CAPA4_RETAIL!P8/P33)</f>
        <v>0</v>
      </c>
      <c r="Q41" s="273" t="n">
        <f aca="false">IF(Q33=0,0,Q36*SUP_CONTROL!$C$14*CAPA4_RETAIL!Q8/Q33)</f>
        <v>0</v>
      </c>
      <c r="R41" s="273" t="n">
        <f aca="false">IF(R33=0,0,R36*SUP_CONTROL!$C$14*CAPA4_RETAIL!R8/R33)</f>
        <v>0</v>
      </c>
      <c r="S41" s="273" t="n">
        <f aca="false">IF(S33=0,0,S36*SUP_CONTROL!$C$14*CAPA4_RETAIL!S8/S33)</f>
        <v>0</v>
      </c>
      <c r="T41" s="273" t="n">
        <f aca="false">IF(T33=0,0,T36*SUP_CONTROL!$C$14*CAPA4_RETAIL!T8/T33)</f>
        <v>0</v>
      </c>
      <c r="U41" s="273" t="n">
        <f aca="false">IF(U33=0,0,U36*SUP_CONTROL!$C$14*CAPA4_RETAIL!U8/U33)</f>
        <v>0</v>
      </c>
      <c r="V41" s="273" t="n">
        <f aca="false">IF(V33=0,0,V36*SUP_CONTROL!$C$14*CAPA4_RETAIL!V8/V33)</f>
        <v>0</v>
      </c>
      <c r="W41" s="273" t="n">
        <f aca="false">IF(W33=0,0,W36*SUP_CONTROL!$C$14*CAPA4_RETAIL!W8/W33)</f>
        <v>0</v>
      </c>
      <c r="X41" s="273" t="n">
        <f aca="false">IF(X33=0,0,X36*SUP_CONTROL!$C$14*CAPA4_RETAIL!X8/X33)</f>
        <v>0</v>
      </c>
      <c r="Y41" s="273" t="n">
        <f aca="false">IF(Y33=0,0,Y36*SUP_CONTROL!$C$14*CAPA4_RETAIL!Y8/Y33)</f>
        <v>0</v>
      </c>
      <c r="Z41" s="273" t="n">
        <f aca="false">IF(Z33=0,0,Z36*SUP_CONTROL!$C$14*CAPA4_RETAIL!Z8/Z33)</f>
        <v>0</v>
      </c>
      <c r="AA41" s="273" t="n">
        <f aca="false">IF(AA33=0,0,AA36*SUP_CONTROL!$C$14*CAPA4_RETAIL!AA8/AA33)</f>
        <v>0</v>
      </c>
      <c r="AB41" s="273" t="n">
        <f aca="false">IF(AB33=0,0,AB36*SUP_CONTROL!$C$14*CAPA4_RETAIL!AB8/AB33)</f>
        <v>0</v>
      </c>
      <c r="AC41" s="273" t="n">
        <f aca="false">IF(AC33=0,0,AC36*SUP_CONTROL!$C$14*CAPA4_RETAIL!AC8/AC33)</f>
        <v>0</v>
      </c>
      <c r="AD41" s="273" t="n">
        <f aca="false">IF(AD33=0,0,AD36*SUP_CONTROL!$C$14*CAPA4_RETAIL!AD8/AD33)</f>
        <v>0</v>
      </c>
      <c r="AE41" s="273" t="n">
        <f aca="false">IF(AE33=0,0,AE36*SUP_CONTROL!$C$14*CAPA4_RETAIL!AE8/AE33)</f>
        <v>0</v>
      </c>
      <c r="AF41" s="273" t="n">
        <f aca="false">IF(AF33=0,0,AF36*SUP_CONTROL!$C$14*CAPA4_RETAIL!AF8/AF33)</f>
        <v>0</v>
      </c>
      <c r="AG41" s="273" t="n">
        <f aca="false">IF(AG33=0,0,AG36*SUP_CONTROL!$C$14*CAPA4_RETAIL!AG8/AG33)</f>
        <v>0</v>
      </c>
      <c r="AH41" s="273" t="n">
        <f aca="false">IF(AH33=0,0,AH36*SUP_CONTROL!$C$14*CAPA4_RETAIL!AH8/AH33)</f>
        <v>0</v>
      </c>
      <c r="AI41" s="273" t="n">
        <f aca="false">IF(AI33=0,0,AI36*SUP_CONTROL!$C$14*CAPA4_RETAIL!AI8/AI33)</f>
        <v>0</v>
      </c>
      <c r="AJ41" s="273" t="n">
        <f aca="false">IF(AJ33=0,0,AJ36*SUP_CONTROL!$C$14*CAPA4_RETAIL!AJ8/AJ33)</f>
        <v>0</v>
      </c>
      <c r="AK41" s="273" t="n">
        <f aca="false">IF(AK33=0,0,AK36*SUP_CONTROL!$C$14*CAPA4_RETAIL!AK8/AK33)</f>
        <v>0</v>
      </c>
      <c r="AL41" s="273" t="n">
        <f aca="false">IF(AL33=0,0,AL36*SUP_CONTROL!$C$14*CAPA4_RETAIL!AL8/AL33)</f>
        <v>0</v>
      </c>
      <c r="AM41" s="273" t="n">
        <f aca="false">IF(AM33=0,0,AM36*SUP_CONTROL!$C$14*CAPA4_RETAIL!AM8/AM33)</f>
        <v>0</v>
      </c>
      <c r="AN41" s="273" t="n">
        <f aca="false">IF(AN33=0,0,AN36*SUP_CONTROL!$C$14*CAPA4_RETAIL!AN8/AN33)</f>
        <v>0</v>
      </c>
      <c r="AO41" s="273" t="n">
        <f aca="false">IF(AO33=0,0,AO36*SUP_CONTROL!$C$14*CAPA4_RETAIL!AO8/AO33)</f>
        <v>0</v>
      </c>
      <c r="AP41" s="273" t="n">
        <f aca="false">IF(AP33=0,0,AP36*SUP_CONTROL!$C$14*CAPA4_RETAIL!AP8/AP33)</f>
        <v>0</v>
      </c>
      <c r="AQ41" s="273" t="n">
        <f aca="false">IF(AQ33=0,0,AQ36*SUP_CONTROL!$C$14*CAPA4_RETAIL!AQ8/AQ33)</f>
        <v>0</v>
      </c>
      <c r="AR41" s="273" t="n">
        <f aca="false">IF(AR33=0,0,AR36*SUP_CONTROL!$C$14*CAPA4_RETAIL!AR8/AR33)</f>
        <v>0</v>
      </c>
      <c r="AS41" s="273" t="n">
        <f aca="false">IF(AS33=0,0,AS36*SUP_CONTROL!$C$14*CAPA4_RETAIL!AS8/AS33)</f>
        <v>0</v>
      </c>
      <c r="AT41" s="273" t="n">
        <f aca="false">IF(AT33=0,0,AT36*SUP_CONTROL!$C$14*CAPA4_RETAIL!AT8/AT33)</f>
        <v>0</v>
      </c>
      <c r="AU41" s="273" t="n">
        <f aca="false">IF(AU33=0,0,AU36*SUP_CONTROL!$C$14*CAPA4_RETAIL!AU8/AU33)</f>
        <v>0</v>
      </c>
      <c r="AV41" s="273" t="n">
        <f aca="false">IF(AV33=0,0,AV36*SUP_CONTROL!$C$14*CAPA4_RETAIL!AV8/AV33)</f>
        <v>0</v>
      </c>
      <c r="AW41" s="273" t="n">
        <f aca="false">IF(AW33=0,0,AW36*SUP_CONTROL!$C$14*CAPA4_RETAIL!AW8/AW33)</f>
        <v>0</v>
      </c>
      <c r="AX41" s="273" t="n">
        <f aca="false">IF(AX33=0,0,AX36*SUP_CONTROL!$C$14*CAPA4_RETAIL!AX8/AX33)</f>
        <v>0</v>
      </c>
      <c r="AY41" s="273" t="n">
        <f aca="false">IF(AY33=0,0,AY36*SUP_CONTROL!$C$14*CAPA4_RETAIL!AY8/AY33)</f>
        <v>0</v>
      </c>
      <c r="AZ41" s="273" t="n">
        <f aca="false">IF(AZ33=0,0,AZ36*SUP_CONTROL!$C$14*CAPA4_RETAIL!AZ8/AZ33)</f>
        <v>0</v>
      </c>
      <c r="BA41" s="273" t="n">
        <f aca="false">IF(BA33=0,0,BA36*SUP_CONTROL!$C$14*CAPA4_RETAIL!BA8/BA33)</f>
        <v>0</v>
      </c>
      <c r="BB41" s="273" t="n">
        <f aca="false">IF(BB33=0,0,BB36*SUP_CONTROL!$C$14*CAPA4_RETAIL!BB8/BB33)</f>
        <v>0</v>
      </c>
      <c r="BC41" s="273" t="n">
        <f aca="false">IF(BC33=0,0,BC36*SUP_CONTROL!$C$14*CAPA4_RETAIL!BC8/BC33)</f>
        <v>0</v>
      </c>
      <c r="BD41" s="273" t="n">
        <f aca="false">IF(BD33=0,0,BD36*SUP_CONTROL!$C$14*CAPA4_RETAIL!BD8/BD33)</f>
        <v>0</v>
      </c>
      <c r="BE41" s="273" t="n">
        <f aca="false">IF(BE33=0,0,BE36*SUP_CONTROL!$C$14*CAPA4_RETAIL!BE8/BE33)</f>
        <v>0</v>
      </c>
      <c r="BF41" s="273" t="n">
        <f aca="false">IF(BF33=0,0,BF36*SUP_CONTROL!$C$14*CAPA4_RETAIL!BF8/BF33)</f>
        <v>0</v>
      </c>
      <c r="BG41" s="273" t="n">
        <f aca="false">IF(BG33=0,0,BG36*SUP_CONTROL!$C$14*CAPA4_RETAIL!BG8/BG33)</f>
        <v>0</v>
      </c>
      <c r="BH41" s="273" t="n">
        <f aca="false">IF(BH33=0,0,BH36*SUP_CONTROL!$C$14*CAPA4_RETAIL!BH8/BH33)</f>
        <v>0</v>
      </c>
      <c r="BI41" s="273" t="n">
        <f aca="false">IF(BI33=0,0,BI36*SUP_CONTROL!$C$14*CAPA4_RETAIL!BI8/BI33)</f>
        <v>0</v>
      </c>
      <c r="BJ41" s="273" t="n">
        <f aca="false">IF(BJ33=0,0,BJ36*SUP_CONTROL!$C$14*CAPA4_RETAIL!BJ8/BJ33)</f>
        <v>0</v>
      </c>
      <c r="BK41" s="273" t="n">
        <f aca="false">IF(BK33=0,0,BK36*SUP_CONTROL!$C$14*CAPA4_RETAIL!BK8/BK33)</f>
        <v>0</v>
      </c>
      <c r="BL41" s="273" t="n">
        <f aca="false">IF(BL33=0,0,BL36*SUP_CONTROL!$C$14*CAPA4_RETAIL!BL8/BL33)</f>
        <v>0</v>
      </c>
      <c r="BM41" s="273" t="n">
        <f aca="false">IF(BM33=0,0,BM36*SUP_CONTROL!$C$14*CAPA4_RETAIL!BM8/BM33)</f>
        <v>0</v>
      </c>
      <c r="BN41" s="273" t="n">
        <f aca="false">IF(BN33=0,0,BN36*SUP_CONTROL!$C$14*CAPA4_RETAIL!BN8/BN33)</f>
        <v>0</v>
      </c>
      <c r="BO41" s="273" t="n">
        <f aca="false">IF(BO33=0,0,BO36*SUP_CONTROL!$C$14*CAPA4_RETAIL!BO8/BO33)</f>
        <v>0</v>
      </c>
      <c r="BP41" s="273" t="n">
        <f aca="false">IF(BP33=0,0,BP36*SUP_CONTROL!$C$14*CAPA4_RETAIL!BP8/BP33)</f>
        <v>0</v>
      </c>
      <c r="BQ41" s="273" t="n">
        <f aca="false">IF(BQ33=0,0,BQ36*SUP_CONTROL!$C$14*CAPA4_RETAIL!BQ8/BQ33)</f>
        <v>0</v>
      </c>
      <c r="BR41" s="273" t="n">
        <f aca="false">IF(BR33=0,0,BR36*SUP_CONTROL!$C$14*CAPA4_RETAIL!BR8/BR33)</f>
        <v>0</v>
      </c>
      <c r="BS41" s="273" t="n">
        <f aca="false">IF(BS33=0,0,BS36*SUP_CONTROL!$C$14*CAPA4_RETAIL!BS8/BS33)</f>
        <v>0</v>
      </c>
      <c r="BT41" s="273" t="n">
        <f aca="false">IF(BT33=0,0,BT36*SUP_CONTROL!$C$14*CAPA4_RETAIL!BT8/BT33)</f>
        <v>0</v>
      </c>
      <c r="BU41" s="273" t="n">
        <f aca="false">IF(BU33=0,0,BU36*SUP_CONTROL!$C$14*CAPA4_RETAIL!BU8/BU33)</f>
        <v>0</v>
      </c>
      <c r="BV41" s="273" t="n">
        <f aca="false">IF(BV33=0,0,BV36*SUP_CONTROL!$C$14*CAPA4_RETAIL!BV8/BV33)</f>
        <v>0</v>
      </c>
      <c r="BW41" s="273" t="n">
        <f aca="false">IF(BW33=0,0,BW36*SUP_CONTROL!$C$14*CAPA4_RETAIL!BW8/BW33)</f>
        <v>0</v>
      </c>
      <c r="BX41" s="273" t="n">
        <f aca="false">IF(BX33=0,0,BX36*SUP_CONTROL!$C$14*CAPA4_RETAIL!BX8/BX33)</f>
        <v>0</v>
      </c>
      <c r="BY41" s="273" t="n">
        <f aca="false">IF(BY33=0,0,BY36*SUP_CONTROL!$C$14*CAPA4_RETAIL!BY8/BY33)</f>
        <v>0</v>
      </c>
      <c r="BZ41" s="273" t="n">
        <f aca="false">IF(BZ33=0,0,BZ36*SUP_CONTROL!$C$14*CAPA4_RETAIL!BZ8/BZ33)</f>
        <v>0</v>
      </c>
      <c r="CA41" s="273" t="n">
        <f aca="false">IF(CA33=0,0,CA36*SUP_CONTROL!$C$14*CAPA4_RETAIL!CA8/CA33)</f>
        <v>0</v>
      </c>
      <c r="CB41" s="273" t="n">
        <f aca="false">IF(CB33=0,0,CB36*SUP_CONTROL!$C$14*CAPA4_RETAIL!CB8/CB33)</f>
        <v>0</v>
      </c>
      <c r="CC41" s="273" t="n">
        <f aca="false">IF(CC33=0,0,CC36*SUP_CONTROL!$C$14*CAPA4_RETAIL!CC8/CC33)</f>
        <v>0</v>
      </c>
      <c r="CD41" s="273" t="n">
        <f aca="false">IF(CD33=0,0,CD36*SUP_CONTROL!$C$14*CAPA4_RETAIL!CD8/CD33)</f>
        <v>0</v>
      </c>
      <c r="CE41" s="273" t="n">
        <f aca="false">IF(CE33=0,0,CE36*SUP_CONTROL!$C$14*CAPA4_RETAIL!CE8/CE33)</f>
        <v>0</v>
      </c>
      <c r="CF41" s="273" t="n">
        <f aca="false">IF(CF33=0,0,CF36*SUP_CONTROL!$C$14*CAPA4_RETAIL!CF8/CF33)</f>
        <v>0</v>
      </c>
      <c r="CG41" s="273" t="n">
        <f aca="false">IF(CG33=0,0,CG36*SUP_CONTROL!$C$14*CAPA4_RETAIL!CG8/CG33)</f>
        <v>0</v>
      </c>
      <c r="CH41" s="273" t="n">
        <f aca="false">IF(CH33=0,0,CH36*SUP_CONTROL!$C$14*CAPA4_RETAIL!CH8/CH33)</f>
        <v>0</v>
      </c>
      <c r="CI41" s="273" t="n">
        <f aca="false">IF(CI33=0,0,CI36*SUP_CONTROL!$C$14*CAPA4_RETAIL!CI8/CI33)</f>
        <v>0</v>
      </c>
      <c r="CJ41" s="273" t="n">
        <f aca="false">IF(CJ33=0,0,CJ36*SUP_CONTROL!$C$14*CAPA4_RETAIL!CJ8/CJ33)</f>
        <v>0</v>
      </c>
      <c r="CK41" s="273" t="n">
        <f aca="false">IF(CK33=0,0,CK36*SUP_CONTROL!$C$14*CAPA4_RETAIL!CK8/CK33)</f>
        <v>0</v>
      </c>
      <c r="CL41" s="273" t="n">
        <f aca="false">IF(CL33=0,0,CL36*SUP_CONTROL!$C$14*CAPA4_RETAIL!CL8/CL33)</f>
        <v>0</v>
      </c>
      <c r="CM41" s="273" t="n">
        <f aca="false">IF(CM33=0,0,CM36*SUP_CONTROL!$C$14*CAPA4_RETAIL!CM8/CM33)</f>
        <v>0</v>
      </c>
      <c r="CN41" s="273" t="n">
        <f aca="false">IF(CN33=0,0,CN36*SUP_CONTROL!$C$14*CAPA4_RETAIL!CN8/CN33)</f>
        <v>0</v>
      </c>
      <c r="CO41" s="273" t="n">
        <f aca="false">IF(CO33=0,0,CO36*SUP_CONTROL!$C$14*CAPA4_RETAIL!CO8/CO33)</f>
        <v>0</v>
      </c>
      <c r="CP41" s="273" t="n">
        <f aca="false">IF(CP33=0,0,CP36*SUP_CONTROL!$C$14*CAPA4_RETAIL!CP8/CP33)</f>
        <v>0</v>
      </c>
      <c r="CQ41" s="273" t="n">
        <f aca="false">IF(CQ33=0,0,CQ36*SUP_CONTROL!$C$14*CAPA4_RETAIL!CQ8/CQ33)</f>
        <v>0</v>
      </c>
      <c r="CR41" s="273" t="n">
        <f aca="false">IF(CR33=0,0,CR36*SUP_CONTROL!$C$14*CAPA4_RETAIL!CR8/CR33)</f>
        <v>0</v>
      </c>
      <c r="CS41" s="273" t="n">
        <f aca="false">IF(CS33=0,0,CS36*SUP_CONTROL!$C$14*CAPA4_RETAIL!CS8/CS33)</f>
        <v>0</v>
      </c>
      <c r="CT41" s="273" t="n">
        <f aca="false">IF(CT33=0,0,CT36*SUP_CONTROL!$C$14*CAPA4_RETAIL!CT8/CT33)</f>
        <v>0</v>
      </c>
      <c r="CU41" s="273" t="n">
        <f aca="false">IF(CU33=0,0,CU36*SUP_CONTROL!$C$14*CAPA4_RETAIL!CU8/CU33)</f>
        <v>0</v>
      </c>
      <c r="CV41" s="273" t="n">
        <f aca="false">IF(CV33=0,0,CV36*SUP_CONTROL!$C$14*CAPA4_RETAIL!CV8/CV33)</f>
        <v>0</v>
      </c>
      <c r="CW41" s="273" t="n">
        <f aca="false">IF(CW33=0,0,CW36*SUP_CONTROL!$C$14*CAPA4_RETAIL!CW8/CW33)</f>
        <v>0</v>
      </c>
      <c r="CX41" s="273" t="n">
        <f aca="false">IF(CX33=0,0,CX36*SUP_CONTROL!$C$14*CAPA4_RETAIL!CX8/CX33)</f>
        <v>0</v>
      </c>
      <c r="CY41" s="273" t="n">
        <f aca="false">IF(CY33=0,0,CY36*SUP_CONTROL!$C$14*CAPA4_RETAIL!CY8/CY33)</f>
        <v>0</v>
      </c>
      <c r="CZ41" s="273" t="n">
        <f aca="false">IF(CZ33=0,0,CZ36*SUP_CONTROL!$C$14*CAPA4_RETAIL!CZ8/CZ33)</f>
        <v>0</v>
      </c>
      <c r="DA41" s="273" t="n">
        <f aca="false">IF(DA33=0,0,DA36*SUP_CONTROL!$C$14*CAPA4_RETAIL!DA8/DA33)</f>
        <v>0</v>
      </c>
      <c r="DB41" s="273" t="n">
        <f aca="false">IF(DB33=0,0,DB36*SUP_CONTROL!$C$14*CAPA4_RETAIL!DB8/DB33)</f>
        <v>0</v>
      </c>
      <c r="DC41" s="273" t="n">
        <f aca="false">IF(DC33=0,0,DC36*SUP_CONTROL!$C$14*CAPA4_RETAIL!DC8/DC33)</f>
        <v>0</v>
      </c>
      <c r="DD41" s="273" t="n">
        <f aca="false">IF(DD33=0,0,DD36*SUP_CONTROL!$C$14*CAPA4_RETAIL!DD8/DD33)</f>
        <v>0</v>
      </c>
      <c r="DE41" s="273" t="n">
        <f aca="false">IF(DE33=0,0,DE36*SUP_CONTROL!$C$14*CAPA4_RETAIL!DE8/DE33)</f>
        <v>0</v>
      </c>
      <c r="DF41" s="273" t="n">
        <f aca="false">IF(DF33=0,0,DF36*SUP_CONTROL!$C$14*CAPA4_RETAIL!DF8/DF33)</f>
        <v>0</v>
      </c>
      <c r="DG41" s="273" t="n">
        <f aca="false">IF(DG33=0,0,DG36*SUP_CONTROL!$C$14*CAPA4_RETAIL!DG8/DG33)</f>
        <v>0</v>
      </c>
      <c r="DH41" s="273" t="n">
        <f aca="false">IF(DH33=0,0,DH36*SUP_CONTROL!$C$14*CAPA4_RETAIL!DH8/DH33)</f>
        <v>0</v>
      </c>
      <c r="DI41" s="273" t="n">
        <f aca="false">IF(DI33=0,0,DI36*SUP_CONTROL!$C$14*CAPA4_RETAIL!DI8/DI33)</f>
        <v>0</v>
      </c>
      <c r="DJ41" s="273" t="n">
        <f aca="false">IF(DJ33=0,0,DJ36*SUP_CONTROL!$C$14*CAPA4_RETAIL!DJ8/DJ33)</f>
        <v>0</v>
      </c>
      <c r="DK41" s="273" t="n">
        <f aca="false">IF(DK33=0,0,DK36*SUP_CONTROL!$C$14*CAPA4_RETAIL!DK8/DK33)</f>
        <v>0</v>
      </c>
      <c r="DL41" s="273" t="n">
        <f aca="false">IF(DL33=0,0,DL36*SUP_CONTROL!$C$14*CAPA4_RETAIL!DL8/DL33)</f>
        <v>0</v>
      </c>
      <c r="DM41" s="273" t="n">
        <f aca="false">IF(DM33=0,0,DM36*SUP_CONTROL!$C$14*CAPA4_RETAIL!DM8/DM33)</f>
        <v>0</v>
      </c>
      <c r="DN41" s="273" t="n">
        <f aca="false">IF(DN33=0,0,DN36*SUP_CONTROL!$C$14*CAPA4_RETAIL!DN8/DN33)</f>
        <v>0</v>
      </c>
      <c r="DO41" s="273" t="n">
        <f aca="false">IF(DO33=0,0,DO36*SUP_CONTROL!$C$14*CAPA4_RETAIL!DO8/DO33)</f>
        <v>0</v>
      </c>
      <c r="DP41" s="273" t="n">
        <f aca="false">IF(DP33=0,0,DP36*SUP_CONTROL!$C$14*CAPA4_RETAIL!DP8/DP33)</f>
        <v>0</v>
      </c>
      <c r="DQ41" s="273" t="n">
        <f aca="false">IF(DQ33=0,0,DQ36*SUP_CONTROL!$C$14*CAPA4_RETAIL!DQ8/DQ33)</f>
        <v>0</v>
      </c>
      <c r="DR41" s="273" t="n">
        <f aca="false">IF(DR33=0,0,DR36*SUP_CONTROL!$C$14*CAPA4_RETAIL!DR8/DR33)</f>
        <v>0</v>
      </c>
      <c r="DS41" s="273" t="n">
        <f aca="false">IF(DS33=0,0,DS36*SUP_CONTROL!$C$14*CAPA4_RETAIL!DS8/DS33)</f>
        <v>0</v>
      </c>
    </row>
    <row r="43" customFormat="false" ht="15" hidden="false" customHeight="true" outlineLevel="0" collapsed="false">
      <c r="B43" s="23" t="s">
        <v>1443</v>
      </c>
    </row>
  </sheetData>
  <mergeCells count="1">
    <mergeCell ref="B22:L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I23"/>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2"/>
    <col collapsed="false" customWidth="true" hidden="false" outlineLevel="0" max="3" min="3" style="1" width="13"/>
    <col collapsed="false" customWidth="true" hidden="false" outlineLevel="0" max="6" min="4" style="1" width="12"/>
    <col collapsed="false" customWidth="true" hidden="false" outlineLevel="0" max="7" min="7" style="1" width="100"/>
  </cols>
  <sheetData>
    <row r="1" customFormat="false" ht="15" hidden="false" customHeight="true" outlineLevel="0" collapsed="false">
      <c r="A1" s="185" t="s">
        <v>1444</v>
      </c>
      <c r="B1" s="126"/>
      <c r="C1" s="126"/>
      <c r="D1" s="126"/>
      <c r="E1" s="126"/>
      <c r="F1" s="126"/>
      <c r="G1" s="126"/>
      <c r="H1" s="126"/>
      <c r="I1" s="126"/>
    </row>
    <row r="2" customFormat="false" ht="15" hidden="false" customHeight="true" outlineLevel="0" collapsed="false">
      <c r="A2" s="23" t="s">
        <v>1445</v>
      </c>
    </row>
    <row r="3" customFormat="false" ht="15" hidden="false" customHeight="true" outlineLevel="0" collapsed="false">
      <c r="A3" s="23" t="s">
        <v>495</v>
      </c>
    </row>
    <row r="5" customFormat="false" ht="15" hidden="false" customHeight="true" outlineLevel="0" collapsed="false">
      <c r="A5" s="186" t="s">
        <v>1446</v>
      </c>
      <c r="B5" s="25"/>
      <c r="C5" s="25"/>
      <c r="D5" s="25"/>
      <c r="E5" s="25"/>
      <c r="F5" s="25"/>
      <c r="G5" s="25"/>
      <c r="H5" s="25"/>
      <c r="I5" s="25"/>
    </row>
    <row r="6" customFormat="false" ht="15" hidden="false" customHeight="true" outlineLevel="0" collapsed="false">
      <c r="B6" s="1" t="s">
        <v>1447</v>
      </c>
      <c r="C6" s="300" t="n">
        <v>2500</v>
      </c>
      <c r="G6" s="23" t="s">
        <v>1448</v>
      </c>
    </row>
    <row r="7" customFormat="false" ht="15" hidden="false" customHeight="true" outlineLevel="0" collapsed="false">
      <c r="B7" s="1" t="s">
        <v>1449</v>
      </c>
      <c r="D7" s="178" t="s">
        <v>162</v>
      </c>
      <c r="E7" s="178" t="s">
        <v>163</v>
      </c>
      <c r="F7" s="178" t="s">
        <v>164</v>
      </c>
    </row>
    <row r="8" customFormat="false" ht="15" hidden="false" customHeight="true" outlineLevel="0" collapsed="false">
      <c r="B8" s="1" t="s">
        <v>1450</v>
      </c>
      <c r="D8" s="190" t="n">
        <v>1</v>
      </c>
      <c r="E8" s="190" t="n">
        <v>1</v>
      </c>
      <c r="F8" s="190" t="n">
        <v>2</v>
      </c>
    </row>
    <row r="9" customFormat="false" ht="15" hidden="false" customHeight="true" outlineLevel="0" collapsed="false">
      <c r="B9" s="1" t="s">
        <v>1451</v>
      </c>
      <c r="D9" s="271" t="n">
        <f aca="false">$C$6*D8</f>
        <v>2500</v>
      </c>
      <c r="E9" s="271" t="n">
        <f aca="false">$C$6*E8</f>
        <v>2500</v>
      </c>
      <c r="F9" s="271" t="n">
        <f aca="false">$C$6*F8</f>
        <v>5000</v>
      </c>
    </row>
    <row r="10" customFormat="false" ht="15" hidden="false" customHeight="true" outlineLevel="0" collapsed="false">
      <c r="B10" s="23" t="s">
        <v>1452</v>
      </c>
    </row>
    <row r="12" customFormat="false" ht="15" hidden="false" customHeight="true" outlineLevel="0" collapsed="false">
      <c r="A12" s="186" t="s">
        <v>1453</v>
      </c>
      <c r="B12" s="25"/>
      <c r="C12" s="25"/>
      <c r="D12" s="25"/>
      <c r="E12" s="25"/>
      <c r="F12" s="25"/>
      <c r="G12" s="25"/>
      <c r="H12" s="25"/>
      <c r="I12" s="25"/>
    </row>
    <row r="13" customFormat="false" ht="15" hidden="false" customHeight="true" outlineLevel="0" collapsed="false">
      <c r="B13" s="1" t="s">
        <v>1454</v>
      </c>
      <c r="C13" s="266" t="n">
        <v>6000</v>
      </c>
      <c r="G13" s="23" t="s">
        <v>1455</v>
      </c>
    </row>
    <row r="14" customFormat="false" ht="15" hidden="false" customHeight="true" outlineLevel="0" collapsed="false">
      <c r="B14" s="1" t="s">
        <v>1456</v>
      </c>
      <c r="C14" s="266" t="n">
        <v>5000</v>
      </c>
    </row>
    <row r="15" customFormat="false" ht="15" hidden="false" customHeight="true" outlineLevel="0" collapsed="false">
      <c r="B15" s="1" t="s">
        <v>1457</v>
      </c>
      <c r="C15" s="266" t="n">
        <v>12000</v>
      </c>
      <c r="G15" s="23" t="s">
        <v>1458</v>
      </c>
    </row>
    <row r="16" customFormat="false" ht="15" hidden="false" customHeight="true" outlineLevel="0" collapsed="false">
      <c r="B16" s="1" t="s">
        <v>1459</v>
      </c>
      <c r="C16" s="266" t="n">
        <v>12000</v>
      </c>
      <c r="G16" s="23" t="s">
        <v>1460</v>
      </c>
    </row>
    <row r="17" customFormat="false" ht="15" hidden="false" customHeight="true" outlineLevel="0" collapsed="false">
      <c r="B17" s="1" t="s">
        <v>1461</v>
      </c>
      <c r="C17" s="266" t="n">
        <v>10000</v>
      </c>
    </row>
    <row r="18" customFormat="false" ht="15" hidden="false" customHeight="true" outlineLevel="0" collapsed="false">
      <c r="B18" s="1" t="s">
        <v>1462</v>
      </c>
      <c r="C18" s="290" t="n">
        <f aca="false">SUM(C13:C17)</f>
        <v>45000</v>
      </c>
    </row>
    <row r="19" customFormat="false" ht="15" hidden="false" customHeight="true" outlineLevel="0" collapsed="false">
      <c r="B19" s="1" t="s">
        <v>1463</v>
      </c>
      <c r="C19" s="190" t="n">
        <v>2</v>
      </c>
      <c r="G19" s="23" t="s">
        <v>1464</v>
      </c>
    </row>
    <row r="21" customFormat="false" ht="15" hidden="false" customHeight="true" outlineLevel="0" collapsed="false">
      <c r="A21" s="186" t="s">
        <v>1465</v>
      </c>
      <c r="B21" s="25"/>
      <c r="C21" s="25"/>
      <c r="D21" s="25"/>
      <c r="E21" s="25"/>
      <c r="F21" s="25"/>
      <c r="G21" s="25"/>
      <c r="H21" s="25"/>
      <c r="I21" s="25"/>
    </row>
    <row r="22" customFormat="false" ht="15" hidden="false" customHeight="true" outlineLevel="0" collapsed="false">
      <c r="B22" s="1" t="s">
        <v>1466</v>
      </c>
      <c r="C22" s="199" t="n">
        <v>0.18</v>
      </c>
      <c r="G22" s="23" t="s">
        <v>1467</v>
      </c>
    </row>
    <row r="23" customFormat="false" ht="15" hidden="false" customHeight="true" outlineLevel="0" collapsed="false">
      <c r="B23" s="1" t="s">
        <v>1468</v>
      </c>
      <c r="C23" s="268" t="n">
        <f aca="false">C18*C22/12</f>
        <v>675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I40"/>
  <sheetViews>
    <sheetView showFormulas="false" showGridLines="false" showRowColHeaders="true" showZeros="true" rightToLeft="false" tabSelected="false" showOutlineSymbols="true" defaultGridColor="true" view="normal" topLeftCell="A2" colorId="64" zoomScale="110" zoomScaleNormal="110" zoomScalePageLayoutView="100" workbookViewId="0">
      <selection pane="topLeft" activeCell="D26" activeCellId="0" sqref="D26"/>
    </sheetView>
  </sheetViews>
  <sheetFormatPr defaultColWidth="8.66796875" defaultRowHeight="15" zeroHeight="false" outlineLevelRow="0" outlineLevelCol="0"/>
  <cols>
    <col collapsed="false" customWidth="true" hidden="false" outlineLevel="0" max="1" min="1" style="1" width="8"/>
    <col collapsed="false" customWidth="true" hidden="false" outlineLevel="0" max="2" min="2" style="1" width="55"/>
    <col collapsed="false" customWidth="true" hidden="false" outlineLevel="0" max="5" min="3" style="1" width="13"/>
    <col collapsed="false" customWidth="true" hidden="false" outlineLevel="0" max="6" min="6" style="1" width="14"/>
    <col collapsed="false" customWidth="true" hidden="false" outlineLevel="0" max="7" min="7" style="1" width="8"/>
    <col collapsed="false" customWidth="true" hidden="false" outlineLevel="0" max="8" min="8" style="1" width="14"/>
    <col collapsed="false" customWidth="true" hidden="false" outlineLevel="0" max="9" min="9" style="1" width="62"/>
  </cols>
  <sheetData>
    <row r="1" customFormat="false" ht="18.75" hidden="false" customHeight="true" outlineLevel="0" collapsed="false">
      <c r="A1" s="215" t="s">
        <v>1469</v>
      </c>
      <c r="B1" s="126"/>
      <c r="C1" s="126"/>
      <c r="D1" s="126"/>
      <c r="E1" s="126"/>
      <c r="F1" s="126"/>
      <c r="G1" s="126"/>
      <c r="H1" s="126"/>
      <c r="I1" s="126"/>
    </row>
    <row r="2" customFormat="false" ht="15" hidden="false" customHeight="true" outlineLevel="0" collapsed="false">
      <c r="A2" s="175" t="s">
        <v>1470</v>
      </c>
    </row>
    <row r="3" customFormat="false" ht="15" hidden="false" customHeight="true" outlineLevel="0" collapsed="false">
      <c r="A3" s="216" t="s">
        <v>495</v>
      </c>
    </row>
    <row r="5" customFormat="false" ht="15" hidden="false" customHeight="true" outlineLevel="0" collapsed="false">
      <c r="A5" s="217" t="s">
        <v>1471</v>
      </c>
      <c r="B5" s="218"/>
      <c r="C5" s="218"/>
      <c r="D5" s="218"/>
      <c r="E5" s="218"/>
      <c r="F5" s="218"/>
      <c r="G5" s="218"/>
      <c r="H5" s="218"/>
      <c r="I5" s="218"/>
    </row>
    <row r="6" customFormat="false" ht="15" hidden="false" customHeight="true" outlineLevel="0" collapsed="false">
      <c r="B6" s="182" t="s">
        <v>1472</v>
      </c>
      <c r="C6" s="224" t="n">
        <v>0.13</v>
      </c>
      <c r="I6" s="216" t="s">
        <v>1473</v>
      </c>
    </row>
    <row r="7" customFormat="false" ht="15" hidden="false" customHeight="true" outlineLevel="0" collapsed="false">
      <c r="B7" s="182" t="s">
        <v>1474</v>
      </c>
      <c r="C7" s="223" t="n">
        <v>0.45</v>
      </c>
      <c r="I7" s="216" t="s">
        <v>1475</v>
      </c>
    </row>
    <row r="8" customFormat="false" ht="15" hidden="false" customHeight="true" outlineLevel="0" collapsed="false">
      <c r="B8" s="178" t="s">
        <v>1476</v>
      </c>
      <c r="C8" s="301" t="n">
        <f aca="false">(1+C6)*(1+C7)</f>
        <v>1.6385</v>
      </c>
      <c r="I8" s="216" t="s">
        <v>1477</v>
      </c>
    </row>
    <row r="9" customFormat="false" ht="15" hidden="false" customHeight="true" outlineLevel="0" collapsed="false">
      <c r="B9" s="182" t="s">
        <v>1478</v>
      </c>
      <c r="C9" s="263" t="n">
        <f aca="false">(1+C6)*(1+0.02)</f>
        <v>1.1526</v>
      </c>
      <c r="I9" s="216" t="s">
        <v>1479</v>
      </c>
    </row>
    <row r="10" customFormat="false" ht="15" hidden="false" customHeight="true" outlineLevel="0" collapsed="false">
      <c r="B10" s="182" t="s">
        <v>1480</v>
      </c>
      <c r="C10" s="224" t="n">
        <v>0.12</v>
      </c>
      <c r="I10" s="216" t="s">
        <v>1481</v>
      </c>
    </row>
    <row r="11" customFormat="false" ht="15" hidden="false" customHeight="true" outlineLevel="0" collapsed="false">
      <c r="B11" s="182" t="s">
        <v>1482</v>
      </c>
      <c r="C11" s="224" t="n">
        <v>0.1</v>
      </c>
      <c r="I11" s="216" t="s">
        <v>1483</v>
      </c>
    </row>
    <row r="13" customFormat="false" ht="15" hidden="false" customHeight="true" outlineLevel="0" collapsed="false">
      <c r="A13" s="217" t="s">
        <v>1484</v>
      </c>
      <c r="B13" s="218"/>
      <c r="C13" s="218"/>
      <c r="D13" s="218"/>
      <c r="E13" s="218"/>
      <c r="F13" s="218"/>
      <c r="G13" s="218"/>
      <c r="H13" s="218"/>
      <c r="I13" s="218"/>
    </row>
    <row r="14" customFormat="false" ht="23.25" hidden="false" customHeight="true" outlineLevel="0" collapsed="false">
      <c r="A14" s="219" t="s">
        <v>847</v>
      </c>
      <c r="B14" s="219" t="s">
        <v>1485</v>
      </c>
      <c r="C14" s="219" t="s">
        <v>1486</v>
      </c>
      <c r="D14" s="219" t="s">
        <v>1487</v>
      </c>
      <c r="E14" s="219" t="s">
        <v>1488</v>
      </c>
      <c r="F14" s="219" t="s">
        <v>1489</v>
      </c>
      <c r="G14" s="219" t="s">
        <v>1047</v>
      </c>
      <c r="H14" s="219" t="s">
        <v>1490</v>
      </c>
      <c r="I14" s="219" t="s">
        <v>1491</v>
      </c>
    </row>
    <row r="15" customFormat="false" ht="20.25" hidden="false" customHeight="true" outlineLevel="0" collapsed="false">
      <c r="A15" s="220" t="s">
        <v>1492</v>
      </c>
      <c r="B15" s="220" t="s">
        <v>1493</v>
      </c>
      <c r="C15" s="220" t="s">
        <v>1494</v>
      </c>
      <c r="D15" s="226" t="n">
        <v>9000</v>
      </c>
      <c r="E15" s="226"/>
      <c r="F15" s="228" t="n">
        <f aca="false">IF(D15&lt;&gt;"",D15*$C$8,E15)</f>
        <v>14746.5</v>
      </c>
      <c r="G15" s="226" t="n">
        <v>1</v>
      </c>
      <c r="H15" s="228" t="n">
        <f aca="false">F15*G15</f>
        <v>14746.5</v>
      </c>
      <c r="I15" s="179" t="s">
        <v>1495</v>
      </c>
    </row>
    <row r="16" customFormat="false" ht="15" hidden="false" customHeight="true" outlineLevel="0" collapsed="false">
      <c r="A16" s="220" t="s">
        <v>1496</v>
      </c>
      <c r="B16" s="220" t="s">
        <v>1497</v>
      </c>
      <c r="C16" s="220" t="s">
        <v>1498</v>
      </c>
      <c r="D16" s="226"/>
      <c r="E16" s="226" t="n">
        <v>3000</v>
      </c>
      <c r="F16" s="228" t="n">
        <f aca="false">IF(D16&lt;&gt;"",D16*$C$8,E16)</f>
        <v>3000</v>
      </c>
      <c r="G16" s="226" t="n">
        <v>1</v>
      </c>
      <c r="H16" s="228" t="n">
        <f aca="false">F16*G16</f>
        <v>3000</v>
      </c>
      <c r="I16" s="179" t="s">
        <v>1499</v>
      </c>
    </row>
    <row r="17" customFormat="false" ht="15" hidden="false" customHeight="true" outlineLevel="0" collapsed="false">
      <c r="A17" s="220" t="s">
        <v>1500</v>
      </c>
      <c r="B17" s="220" t="s">
        <v>1501</v>
      </c>
      <c r="C17" s="220" t="s">
        <v>1494</v>
      </c>
      <c r="D17" s="226" t="n">
        <v>15000</v>
      </c>
      <c r="E17" s="226"/>
      <c r="F17" s="228" t="n">
        <f aca="false">IF(D17&lt;&gt;"",D17*$C$8,E17)</f>
        <v>24577.5</v>
      </c>
      <c r="G17" s="226" t="n">
        <v>1</v>
      </c>
      <c r="H17" s="228" t="n">
        <f aca="false">F17*G17</f>
        <v>24577.5</v>
      </c>
      <c r="I17" s="179" t="s">
        <v>1502</v>
      </c>
    </row>
    <row r="18" customFormat="false" ht="15" hidden="false" customHeight="true" outlineLevel="0" collapsed="false">
      <c r="A18" s="220" t="s">
        <v>1503</v>
      </c>
      <c r="B18" s="220" t="s">
        <v>1504</v>
      </c>
      <c r="C18" s="220" t="s">
        <v>1494</v>
      </c>
      <c r="D18" s="226" t="n">
        <v>20000</v>
      </c>
      <c r="E18" s="226"/>
      <c r="F18" s="228" t="n">
        <f aca="false">IF(D18&lt;&gt;"",D18*$C$8,E18)</f>
        <v>32770</v>
      </c>
      <c r="G18" s="226" t="n">
        <v>1</v>
      </c>
      <c r="H18" s="228" t="n">
        <f aca="false">F18*G18</f>
        <v>32770</v>
      </c>
      <c r="I18" s="179" t="s">
        <v>1505</v>
      </c>
    </row>
    <row r="19" customFormat="false" ht="15" hidden="false" customHeight="true" outlineLevel="0" collapsed="false">
      <c r="A19" s="220" t="s">
        <v>1506</v>
      </c>
      <c r="B19" s="220" t="s">
        <v>1507</v>
      </c>
      <c r="C19" s="220" t="s">
        <v>1494</v>
      </c>
      <c r="D19" s="226" t="n">
        <v>55000</v>
      </c>
      <c r="E19" s="226"/>
      <c r="F19" s="228" t="n">
        <f aca="false">IF(D19&lt;&gt;"",D19*$C$8,E19)</f>
        <v>90117.5</v>
      </c>
      <c r="G19" s="226" t="n">
        <v>1</v>
      </c>
      <c r="H19" s="228" t="n">
        <f aca="false">F19*G19</f>
        <v>90117.5</v>
      </c>
      <c r="I19" s="179" t="s">
        <v>1508</v>
      </c>
    </row>
    <row r="20" customFormat="false" ht="24" hidden="false" customHeight="true" outlineLevel="0" collapsed="false">
      <c r="A20" s="220" t="s">
        <v>1509</v>
      </c>
      <c r="B20" s="220" t="s">
        <v>1510</v>
      </c>
      <c r="C20" s="220" t="s">
        <v>1494</v>
      </c>
      <c r="D20" s="226" t="n">
        <v>60000</v>
      </c>
      <c r="E20" s="226"/>
      <c r="F20" s="228" t="n">
        <f aca="false">IF(D20&lt;&gt;"",D20*$C$8,E20)</f>
        <v>98310</v>
      </c>
      <c r="G20" s="226" t="n">
        <v>1</v>
      </c>
      <c r="H20" s="228" t="n">
        <f aca="false">F20*G20</f>
        <v>98310</v>
      </c>
      <c r="I20" s="179" t="s">
        <v>1511</v>
      </c>
    </row>
    <row r="21" customFormat="false" ht="15" hidden="false" customHeight="true" outlineLevel="0" collapsed="false">
      <c r="A21" s="220" t="s">
        <v>1512</v>
      </c>
      <c r="B21" s="220" t="s">
        <v>1513</v>
      </c>
      <c r="C21" s="220" t="s">
        <v>1494</v>
      </c>
      <c r="D21" s="226" t="n">
        <v>12000</v>
      </c>
      <c r="E21" s="226"/>
      <c r="F21" s="228" t="n">
        <f aca="false">IF(D21&lt;&gt;"",D21*$C$8,E21)</f>
        <v>19662</v>
      </c>
      <c r="G21" s="226" t="n">
        <v>1</v>
      </c>
      <c r="H21" s="228" t="n">
        <f aca="false">F21*G21</f>
        <v>19662</v>
      </c>
      <c r="I21" s="179" t="s">
        <v>1514</v>
      </c>
    </row>
    <row r="22" customFormat="false" ht="15" hidden="false" customHeight="true" outlineLevel="0" collapsed="false">
      <c r="A22" s="220" t="s">
        <v>1515</v>
      </c>
      <c r="B22" s="220" t="s">
        <v>1516</v>
      </c>
      <c r="C22" s="220" t="s">
        <v>1498</v>
      </c>
      <c r="D22" s="226"/>
      <c r="E22" s="226" t="n">
        <v>8000</v>
      </c>
      <c r="F22" s="228" t="n">
        <f aca="false">IF(D22&lt;&gt;"",D22*$C$8,E22)</f>
        <v>8000</v>
      </c>
      <c r="G22" s="226" t="n">
        <v>1</v>
      </c>
      <c r="H22" s="228" t="n">
        <f aca="false">F22*G22</f>
        <v>8000</v>
      </c>
      <c r="I22" s="179" t="s">
        <v>1517</v>
      </c>
    </row>
    <row r="23" customFormat="false" ht="15" hidden="false" customHeight="true" outlineLevel="0" collapsed="false">
      <c r="A23" s="220" t="s">
        <v>1518</v>
      </c>
      <c r="B23" s="220" t="s">
        <v>1519</v>
      </c>
      <c r="C23" s="220" t="s">
        <v>1498</v>
      </c>
      <c r="D23" s="226"/>
      <c r="E23" s="226" t="n">
        <v>10000</v>
      </c>
      <c r="F23" s="228" t="n">
        <f aca="false">IF(D23&lt;&gt;"",D23*$C$8,E23)</f>
        <v>10000</v>
      </c>
      <c r="G23" s="226" t="n">
        <v>1</v>
      </c>
      <c r="H23" s="228" t="n">
        <f aca="false">F23*G23</f>
        <v>10000</v>
      </c>
      <c r="I23" s="179" t="s">
        <v>1520</v>
      </c>
    </row>
    <row r="24" customFormat="false" ht="15" hidden="false" customHeight="true" outlineLevel="0" collapsed="false">
      <c r="A24" s="220" t="s">
        <v>1521</v>
      </c>
      <c r="B24" s="220" t="s">
        <v>1522</v>
      </c>
      <c r="C24" s="220" t="s">
        <v>1498</v>
      </c>
      <c r="D24" s="226"/>
      <c r="E24" s="226" t="n">
        <v>12000</v>
      </c>
      <c r="F24" s="228" t="n">
        <f aca="false">IF(D24&lt;&gt;"",D24*$C$8,E24)</f>
        <v>12000</v>
      </c>
      <c r="G24" s="226" t="n">
        <v>1</v>
      </c>
      <c r="H24" s="228" t="n">
        <f aca="false">F24*G24</f>
        <v>12000</v>
      </c>
      <c r="I24" s="179" t="s">
        <v>1523</v>
      </c>
    </row>
    <row r="25" customFormat="false" ht="24" hidden="false" customHeight="true" outlineLevel="0" collapsed="false">
      <c r="A25" s="220" t="s">
        <v>1524</v>
      </c>
      <c r="B25" s="220" t="s">
        <v>1525</v>
      </c>
      <c r="C25" s="220" t="s">
        <v>1494</v>
      </c>
      <c r="D25" s="226"/>
      <c r="E25" s="226" t="n">
        <v>15657</v>
      </c>
      <c r="F25" s="228" t="n">
        <f aca="false">IF(D25&lt;&gt;"",D25*$C$8,E25)</f>
        <v>15657</v>
      </c>
      <c r="G25" s="226" t="n">
        <v>1</v>
      </c>
      <c r="H25" s="228" t="n">
        <f aca="false">F25*G25</f>
        <v>15657</v>
      </c>
      <c r="I25" s="179" t="s">
        <v>1526</v>
      </c>
    </row>
    <row r="26" customFormat="false" ht="24" hidden="false" customHeight="true" outlineLevel="0" collapsed="false">
      <c r="A26" s="220" t="s">
        <v>1527</v>
      </c>
      <c r="B26" s="220" t="s">
        <v>1528</v>
      </c>
      <c r="C26" s="220" t="s">
        <v>1529</v>
      </c>
      <c r="D26" s="226" t="n">
        <v>6000</v>
      </c>
      <c r="E26" s="226"/>
      <c r="F26" s="228" t="n">
        <f aca="false">IF(D26&lt;&gt;"",D26*$C$8,E26)</f>
        <v>9831</v>
      </c>
      <c r="G26" s="226" t="n">
        <v>1</v>
      </c>
      <c r="H26" s="228" t="n">
        <f aca="false">F26*G26</f>
        <v>9831</v>
      </c>
      <c r="I26" s="179" t="s">
        <v>1530</v>
      </c>
    </row>
    <row r="27" customFormat="false" ht="15" hidden="false" customHeight="true" outlineLevel="0" collapsed="false">
      <c r="A27" s="220" t="s">
        <v>1531</v>
      </c>
      <c r="B27" s="220" t="s">
        <v>1532</v>
      </c>
      <c r="C27" s="220" t="s">
        <v>1533</v>
      </c>
      <c r="D27" s="226"/>
      <c r="E27" s="226" t="n">
        <v>12000</v>
      </c>
      <c r="F27" s="228" t="n">
        <f aca="false">IF(D27&lt;&gt;"",D27*$C$8,E27)</f>
        <v>12000</v>
      </c>
      <c r="G27" s="226" t="n">
        <v>1</v>
      </c>
      <c r="H27" s="228" t="n">
        <f aca="false">F27*G27</f>
        <v>12000</v>
      </c>
      <c r="I27" s="179" t="s">
        <v>1534</v>
      </c>
    </row>
    <row r="28" customFormat="false" ht="15" hidden="false" customHeight="true" outlineLevel="0" collapsed="false">
      <c r="B28" s="178" t="s">
        <v>1535</v>
      </c>
      <c r="H28" s="275" t="n">
        <f aca="false">SUM(H15:H27)</f>
        <v>350671.5</v>
      </c>
    </row>
    <row r="29" customFormat="false" ht="15" hidden="false" customHeight="true" outlineLevel="0" collapsed="false">
      <c r="B29" s="182" t="s">
        <v>1536</v>
      </c>
      <c r="H29" s="302" t="n">
        <f aca="false">(H28-H27)*$C$10</f>
        <v>40640.58</v>
      </c>
      <c r="I29" s="179" t="s">
        <v>1537</v>
      </c>
    </row>
    <row r="30" customFormat="false" ht="15" hidden="false" customHeight="true" outlineLevel="0" collapsed="false">
      <c r="A30" s="218"/>
      <c r="B30" s="303" t="s">
        <v>1538</v>
      </c>
      <c r="C30" s="218"/>
      <c r="D30" s="218"/>
      <c r="E30" s="218"/>
      <c r="F30" s="218"/>
      <c r="G30" s="218"/>
      <c r="H30" s="304"/>
      <c r="I30" s="218"/>
    </row>
    <row r="31" customFormat="false" ht="15" hidden="false" customHeight="true" outlineLevel="0" collapsed="false">
      <c r="A31" s="1" t="s">
        <v>1539</v>
      </c>
      <c r="B31" s="182" t="s">
        <v>1540</v>
      </c>
      <c r="C31" s="1" t="s">
        <v>1541</v>
      </c>
      <c r="D31" s="106"/>
      <c r="E31" s="106" t="n">
        <v>21951.11</v>
      </c>
      <c r="F31" s="305" t="n">
        <f aca="false">IF(D31&lt;&gt;"",D31*$C$8,E31)</f>
        <v>21951.11</v>
      </c>
      <c r="G31" s="305" t="n">
        <v>1</v>
      </c>
      <c r="H31" s="298" t="n">
        <f aca="false">F31*G31</f>
        <v>21951.11</v>
      </c>
      <c r="I31" s="216" t="s">
        <v>1542</v>
      </c>
    </row>
    <row r="32" customFormat="false" ht="15" hidden="false" customHeight="true" outlineLevel="0" collapsed="false">
      <c r="A32" s="1" t="s">
        <v>1543</v>
      </c>
      <c r="B32" s="306" t="s">
        <v>1544</v>
      </c>
      <c r="C32" s="239"/>
      <c r="D32" s="239"/>
      <c r="E32" s="239"/>
      <c r="F32" s="239"/>
      <c r="G32" s="239"/>
      <c r="H32" s="307"/>
      <c r="I32" s="216" t="s">
        <v>1545</v>
      </c>
    </row>
    <row r="33" customFormat="false" ht="15" hidden="false" customHeight="true" outlineLevel="0" collapsed="false">
      <c r="A33" s="1" t="s">
        <v>1546</v>
      </c>
      <c r="B33" s="182" t="s">
        <v>1547</v>
      </c>
      <c r="C33" s="1" t="s">
        <v>1498</v>
      </c>
      <c r="D33" s="106"/>
      <c r="E33" s="28" t="n">
        <f aca="false">SUP_PLANTA_OPEX!$C$38</f>
        <v>24000</v>
      </c>
      <c r="F33" s="308" t="n">
        <f aca="false">IF(D33&lt;&gt;"",D33*$C$8,E33)</f>
        <v>24000</v>
      </c>
      <c r="G33" s="305" t="n">
        <v>1</v>
      </c>
      <c r="H33" s="298" t="n">
        <f aca="false">F33*G33</f>
        <v>24000</v>
      </c>
      <c r="I33" s="216" t="s">
        <v>1548</v>
      </c>
    </row>
    <row r="34" customFormat="false" ht="15" hidden="false" customHeight="true" outlineLevel="0" collapsed="false">
      <c r="A34" s="1" t="s">
        <v>1549</v>
      </c>
      <c r="B34" s="182" t="s">
        <v>1550</v>
      </c>
      <c r="C34" s="1" t="s">
        <v>1498</v>
      </c>
      <c r="D34" s="106"/>
      <c r="E34" s="28" t="n">
        <f aca="false">SUP_PLANTA_OPEX!$C$41</f>
        <v>35000</v>
      </c>
      <c r="F34" s="308" t="n">
        <f aca="false">IF(D34&lt;&gt;"",D34*$C$8,E34)</f>
        <v>35000</v>
      </c>
      <c r="G34" s="305" t="n">
        <v>1</v>
      </c>
      <c r="H34" s="298" t="n">
        <f aca="false">F34*G34</f>
        <v>35000</v>
      </c>
      <c r="I34" s="216" t="s">
        <v>1551</v>
      </c>
    </row>
    <row r="35" customFormat="false" ht="15" hidden="false" customHeight="true" outlineLevel="0" collapsed="false">
      <c r="A35" s="1" t="s">
        <v>1552</v>
      </c>
      <c r="B35" s="182" t="s">
        <v>1553</v>
      </c>
      <c r="C35" s="1" t="s">
        <v>1498</v>
      </c>
      <c r="D35" s="106"/>
      <c r="E35" s="28" t="n">
        <f aca="false">SUP_PLANTA_OPEX!$C$45</f>
        <v>141141</v>
      </c>
      <c r="F35" s="308" t="n">
        <f aca="false">IF(D35&lt;&gt;"",D35*$C$8,E35)</f>
        <v>141141</v>
      </c>
      <c r="G35" s="305" t="n">
        <v>1</v>
      </c>
      <c r="H35" s="298" t="n">
        <f aca="false">F35*G35</f>
        <v>141141</v>
      </c>
      <c r="I35" s="216" t="s">
        <v>1554</v>
      </c>
    </row>
    <row r="36" customFormat="false" ht="15" hidden="false" customHeight="true" outlineLevel="0" collapsed="false">
      <c r="B36" s="178" t="s">
        <v>1555</v>
      </c>
      <c r="H36" s="275" t="n">
        <f aca="false">H28+H29+SUM(H31:H35)</f>
        <v>613404.19</v>
      </c>
    </row>
    <row r="37" customFormat="false" ht="15" hidden="false" customHeight="true" outlineLevel="0" collapsed="false">
      <c r="B37" s="182" t="s">
        <v>1556</v>
      </c>
      <c r="H37" s="302" t="n">
        <f aca="false">H36*$C$11</f>
        <v>61340.419</v>
      </c>
    </row>
    <row r="38" customFormat="false" ht="15" hidden="false" customHeight="true" outlineLevel="0" collapsed="false">
      <c r="B38" s="178" t="s">
        <v>1557</v>
      </c>
      <c r="H38" s="309" t="n">
        <f aca="false">H36+H37</f>
        <v>674744.609</v>
      </c>
    </row>
    <row r="40" customFormat="false" ht="36" hidden="false" customHeight="true" outlineLevel="0" collapsed="false">
      <c r="B40" s="179" t="s">
        <v>1558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I42"/>
  <sheetViews>
    <sheetView showFormulas="false" showGridLines="false" showRowColHeaders="true" showZeros="true" rightToLeft="false" tabSelected="false" showOutlineSymbols="true" defaultGridColor="true" view="normal" topLeftCell="E15" colorId="64" zoomScale="130" zoomScaleNormal="130" zoomScalePageLayoutView="100" workbookViewId="0">
      <selection pane="topLeft" activeCell="H42" activeCellId="0" sqref="H42"/>
    </sheetView>
  </sheetViews>
  <sheetFormatPr defaultColWidth="8.66796875" defaultRowHeight="15" zeroHeight="false" outlineLevelRow="0" outlineLevelCol="0"/>
  <cols>
    <col collapsed="false" customWidth="true" hidden="false" outlineLevel="0" max="1" min="1" style="1" width="8"/>
    <col collapsed="false" customWidth="true" hidden="false" outlineLevel="0" max="2" min="2" style="1" width="55"/>
    <col collapsed="false" customWidth="true" hidden="false" outlineLevel="0" max="5" min="3" style="1" width="13"/>
    <col collapsed="false" customWidth="true" hidden="false" outlineLevel="0" max="6" min="6" style="1" width="14"/>
    <col collapsed="false" customWidth="true" hidden="false" outlineLevel="0" max="7" min="7" style="1" width="8"/>
    <col collapsed="false" customWidth="true" hidden="false" outlineLevel="0" max="8" min="8" style="1" width="14"/>
    <col collapsed="false" customWidth="true" hidden="false" outlineLevel="0" max="9" min="9" style="1" width="60"/>
  </cols>
  <sheetData>
    <row r="1" customFormat="false" ht="18.75" hidden="false" customHeight="true" outlineLevel="0" collapsed="false">
      <c r="A1" s="215" t="s">
        <v>1559</v>
      </c>
      <c r="B1" s="126"/>
      <c r="C1" s="126"/>
      <c r="D1" s="126"/>
      <c r="E1" s="126"/>
      <c r="F1" s="126"/>
      <c r="G1" s="126"/>
      <c r="H1" s="126"/>
      <c r="I1" s="126"/>
    </row>
    <row r="2" customFormat="false" ht="15" hidden="false" customHeight="true" outlineLevel="0" collapsed="false">
      <c r="A2" s="175" t="s">
        <v>1560</v>
      </c>
    </row>
    <row r="3" customFormat="false" ht="15" hidden="false" customHeight="true" outlineLevel="0" collapsed="false">
      <c r="A3" s="216" t="s">
        <v>495</v>
      </c>
    </row>
    <row r="5" customFormat="false" ht="15" hidden="false" customHeight="true" outlineLevel="0" collapsed="false">
      <c r="A5" s="217" t="s">
        <v>1561</v>
      </c>
      <c r="B5" s="218"/>
      <c r="C5" s="218"/>
      <c r="D5" s="218"/>
      <c r="E5" s="218"/>
      <c r="F5" s="218"/>
      <c r="G5" s="218"/>
      <c r="H5" s="218"/>
      <c r="I5" s="218"/>
    </row>
    <row r="6" customFormat="false" ht="15" hidden="false" customHeight="true" outlineLevel="0" collapsed="false">
      <c r="B6" s="182" t="s">
        <v>1562</v>
      </c>
      <c r="C6" s="226" t="n">
        <v>40</v>
      </c>
    </row>
    <row r="7" customFormat="false" ht="15" hidden="false" customHeight="true" outlineLevel="0" collapsed="false">
      <c r="B7" s="182" t="s">
        <v>1563</v>
      </c>
      <c r="C7" s="226" t="n">
        <v>700</v>
      </c>
      <c r="I7" s="216" t="s">
        <v>1564</v>
      </c>
    </row>
    <row r="8" customFormat="false" ht="15" hidden="false" customHeight="true" outlineLevel="0" collapsed="false">
      <c r="B8" s="182" t="s">
        <v>1565</v>
      </c>
      <c r="C8" s="226" t="n">
        <v>3000</v>
      </c>
      <c r="I8" s="216" t="s">
        <v>1566</v>
      </c>
    </row>
    <row r="9" customFormat="false" ht="15" hidden="false" customHeight="true" outlineLevel="0" collapsed="false">
      <c r="B9" s="182" t="s">
        <v>1567</v>
      </c>
      <c r="C9" s="310" t="n">
        <f aca="false">SUP_CAPEX_PLANTA!$C$8</f>
        <v>1.6385</v>
      </c>
    </row>
    <row r="10" customFormat="false" ht="15" hidden="false" customHeight="true" outlineLevel="0" collapsed="false">
      <c r="B10" s="182" t="s">
        <v>1568</v>
      </c>
      <c r="C10" s="311" t="n">
        <f aca="false">SUP_CAPEX_PLANTA!$C$11</f>
        <v>0.1</v>
      </c>
    </row>
    <row r="12" customFormat="false" ht="15" hidden="false" customHeight="true" outlineLevel="0" collapsed="false">
      <c r="A12" s="217" t="s">
        <v>1569</v>
      </c>
      <c r="B12" s="218"/>
      <c r="C12" s="218"/>
      <c r="D12" s="218"/>
      <c r="E12" s="218"/>
      <c r="F12" s="218"/>
      <c r="G12" s="218"/>
      <c r="H12" s="218"/>
      <c r="I12" s="218"/>
    </row>
    <row r="13" customFormat="false" ht="23.25" hidden="false" customHeight="true" outlineLevel="0" collapsed="false">
      <c r="A13" s="219" t="s">
        <v>847</v>
      </c>
      <c r="B13" s="219" t="s">
        <v>1570</v>
      </c>
      <c r="C13" s="219" t="s">
        <v>1486</v>
      </c>
      <c r="D13" s="219" t="s">
        <v>1487</v>
      </c>
      <c r="E13" s="219" t="s">
        <v>1488</v>
      </c>
      <c r="F13" s="219" t="s">
        <v>1489</v>
      </c>
      <c r="G13" s="219" t="s">
        <v>1047</v>
      </c>
      <c r="H13" s="219" t="s">
        <v>1490</v>
      </c>
      <c r="I13" s="219" t="s">
        <v>1491</v>
      </c>
    </row>
    <row r="14" customFormat="false" ht="15" hidden="false" customHeight="true" outlineLevel="0" collapsed="false">
      <c r="A14" s="220" t="s">
        <v>1571</v>
      </c>
      <c r="B14" s="220" t="s">
        <v>1572</v>
      </c>
      <c r="C14" s="220" t="s">
        <v>1498</v>
      </c>
      <c r="D14" s="226"/>
      <c r="E14" s="226" t="n">
        <v>5500</v>
      </c>
      <c r="F14" s="228" t="n">
        <f aca="false">IF(D14&lt;&gt;"",D14*$C$9,E14)</f>
        <v>5500</v>
      </c>
      <c r="G14" s="226" t="n">
        <v>1</v>
      </c>
      <c r="H14" s="228" t="n">
        <f aca="false">F14*G14</f>
        <v>5500</v>
      </c>
      <c r="I14" s="179" t="s">
        <v>1573</v>
      </c>
    </row>
    <row r="15" customFormat="false" ht="15" hidden="false" customHeight="true" outlineLevel="0" collapsed="false">
      <c r="A15" s="220" t="s">
        <v>1574</v>
      </c>
      <c r="B15" s="220" t="s">
        <v>1575</v>
      </c>
      <c r="C15" s="220" t="s">
        <v>1498</v>
      </c>
      <c r="D15" s="226"/>
      <c r="E15" s="226" t="n">
        <v>3000</v>
      </c>
      <c r="F15" s="228" t="n">
        <f aca="false">IF(D15&lt;&gt;"",D15*$C$9,E15)</f>
        <v>3000</v>
      </c>
      <c r="G15" s="226" t="n">
        <v>1</v>
      </c>
      <c r="H15" s="228" t="n">
        <f aca="false">F15*G15</f>
        <v>3000</v>
      </c>
      <c r="I15" s="179" t="s">
        <v>1576</v>
      </c>
    </row>
    <row r="16" customFormat="false" ht="15" hidden="false" customHeight="true" outlineLevel="0" collapsed="false">
      <c r="A16" s="220" t="s">
        <v>1577</v>
      </c>
      <c r="B16" s="220" t="s">
        <v>1578</v>
      </c>
      <c r="C16" s="220" t="s">
        <v>1498</v>
      </c>
      <c r="D16" s="226"/>
      <c r="E16" s="226" t="n">
        <v>1200</v>
      </c>
      <c r="F16" s="228" t="n">
        <f aca="false">IF(D16&lt;&gt;"",D16*$C$9,E16)</f>
        <v>1200</v>
      </c>
      <c r="G16" s="226" t="n">
        <v>1</v>
      </c>
      <c r="H16" s="228" t="n">
        <f aca="false">F16*G16</f>
        <v>1200</v>
      </c>
      <c r="I16" s="179" t="s">
        <v>1579</v>
      </c>
    </row>
    <row r="17" customFormat="false" ht="15" hidden="false" customHeight="true" outlineLevel="0" collapsed="false">
      <c r="A17" s="220" t="s">
        <v>1580</v>
      </c>
      <c r="B17" s="220" t="s">
        <v>1581</v>
      </c>
      <c r="C17" s="220" t="s">
        <v>1498</v>
      </c>
      <c r="D17" s="226"/>
      <c r="E17" s="226" t="n">
        <v>2000</v>
      </c>
      <c r="F17" s="228" t="n">
        <f aca="false">IF(D17&lt;&gt;"",D17*$C$9,E17)</f>
        <v>2000</v>
      </c>
      <c r="G17" s="226" t="n">
        <v>1</v>
      </c>
      <c r="H17" s="228" t="n">
        <f aca="false">F17*G17</f>
        <v>2000</v>
      </c>
      <c r="I17" s="179" t="s">
        <v>1582</v>
      </c>
    </row>
    <row r="18" customFormat="false" ht="15" hidden="false" customHeight="true" outlineLevel="0" collapsed="false">
      <c r="A18" s="220" t="s">
        <v>1583</v>
      </c>
      <c r="B18" s="220" t="s">
        <v>1584</v>
      </c>
      <c r="C18" s="220" t="s">
        <v>1498</v>
      </c>
      <c r="D18" s="226"/>
      <c r="E18" s="226" t="n">
        <v>1500</v>
      </c>
      <c r="F18" s="228" t="n">
        <f aca="false">IF(D18&lt;&gt;"",D18*$C$9,E18)</f>
        <v>1500</v>
      </c>
      <c r="G18" s="226" t="n">
        <v>1</v>
      </c>
      <c r="H18" s="228" t="n">
        <f aca="false">F18*G18</f>
        <v>1500</v>
      </c>
      <c r="I18" s="179" t="s">
        <v>1585</v>
      </c>
    </row>
    <row r="19" customFormat="false" ht="15" hidden="false" customHeight="true" outlineLevel="0" collapsed="false">
      <c r="A19" s="220" t="s">
        <v>1586</v>
      </c>
      <c r="B19" s="220" t="s">
        <v>1587</v>
      </c>
      <c r="C19" s="220" t="s">
        <v>1498</v>
      </c>
      <c r="D19" s="226"/>
      <c r="E19" s="226" t="n">
        <v>1100</v>
      </c>
      <c r="F19" s="228" t="n">
        <f aca="false">IF(D19&lt;&gt;"",D19*$C$9,E19)</f>
        <v>1100</v>
      </c>
      <c r="G19" s="226" t="n">
        <v>1</v>
      </c>
      <c r="H19" s="228" t="n">
        <f aca="false">F19*G19</f>
        <v>1100</v>
      </c>
      <c r="I19" s="179" t="s">
        <v>1588</v>
      </c>
    </row>
    <row r="20" customFormat="false" ht="15" hidden="false" customHeight="true" outlineLevel="0" collapsed="false">
      <c r="A20" s="220" t="s">
        <v>1589</v>
      </c>
      <c r="B20" s="220" t="s">
        <v>1590</v>
      </c>
      <c r="C20" s="220" t="s">
        <v>1498</v>
      </c>
      <c r="D20" s="226"/>
      <c r="E20" s="226"/>
      <c r="F20" s="227" t="n">
        <f aca="false">SUP_TECNOLOGIA!$D$9</f>
        <v>2500</v>
      </c>
      <c r="G20" s="312" t="n">
        <v>1</v>
      </c>
      <c r="H20" s="228" t="n">
        <f aca="false">F20*G20</f>
        <v>2500</v>
      </c>
      <c r="I20" s="313" t="s">
        <v>1591</v>
      </c>
    </row>
    <row r="21" customFormat="false" ht="15" hidden="false" customHeight="true" outlineLevel="0" collapsed="false">
      <c r="A21" s="220" t="s">
        <v>1592</v>
      </c>
      <c r="B21" s="220" t="s">
        <v>1593</v>
      </c>
      <c r="C21" s="220" t="s">
        <v>1498</v>
      </c>
      <c r="D21" s="226"/>
      <c r="E21" s="226" t="n">
        <v>3500</v>
      </c>
      <c r="F21" s="228" t="n">
        <f aca="false">IF(D21&lt;&gt;"",D21*$C$9,E21)</f>
        <v>3500</v>
      </c>
      <c r="G21" s="226" t="n">
        <v>1</v>
      </c>
      <c r="H21" s="228" t="n">
        <f aca="false">F21*G21</f>
        <v>3500</v>
      </c>
      <c r="I21" s="179" t="s">
        <v>1594</v>
      </c>
    </row>
    <row r="22" customFormat="false" ht="15" hidden="false" customHeight="true" outlineLevel="0" collapsed="false">
      <c r="A22" s="220" t="s">
        <v>1595</v>
      </c>
      <c r="B22" s="220" t="s">
        <v>1596</v>
      </c>
      <c r="C22" s="220" t="s">
        <v>1498</v>
      </c>
      <c r="D22" s="226"/>
      <c r="E22" s="226" t="n">
        <v>500</v>
      </c>
      <c r="F22" s="228" t="n">
        <f aca="false">IF(D22&lt;&gt;"",D22*$C$9,E22)</f>
        <v>500</v>
      </c>
      <c r="G22" s="226" t="n">
        <v>1</v>
      </c>
      <c r="H22" s="228" t="n">
        <f aca="false">F22*G22</f>
        <v>500</v>
      </c>
      <c r="I22" s="179" t="s">
        <v>1597</v>
      </c>
    </row>
    <row r="23" customFormat="false" ht="15" hidden="false" customHeight="true" outlineLevel="0" collapsed="false">
      <c r="A23" s="220" t="s">
        <v>1598</v>
      </c>
      <c r="B23" s="220" t="s">
        <v>1599</v>
      </c>
      <c r="C23" s="220" t="s">
        <v>1498</v>
      </c>
      <c r="D23" s="226"/>
      <c r="E23" s="226" t="n">
        <v>800</v>
      </c>
      <c r="F23" s="228" t="n">
        <f aca="false">IF(D23&lt;&gt;"",D23*$C$9,E23)</f>
        <v>800</v>
      </c>
      <c r="G23" s="226" t="n">
        <v>1</v>
      </c>
      <c r="H23" s="228" t="n">
        <f aca="false">F23*G23</f>
        <v>800</v>
      </c>
      <c r="I23" s="179" t="s">
        <v>1600</v>
      </c>
    </row>
    <row r="24" customFormat="false" ht="15" hidden="false" customHeight="true" outlineLevel="0" collapsed="false">
      <c r="A24" s="220" t="s">
        <v>1601</v>
      </c>
      <c r="B24" s="220" t="s">
        <v>1602</v>
      </c>
      <c r="C24" s="220" t="s">
        <v>1494</v>
      </c>
      <c r="D24" s="226" t="n">
        <v>1100</v>
      </c>
      <c r="E24" s="226"/>
      <c r="F24" s="228" t="n">
        <f aca="false">IF(D24&lt;&gt;"",D24*$C$9,E24)</f>
        <v>1802.35</v>
      </c>
      <c r="G24" s="226" t="n">
        <v>1</v>
      </c>
      <c r="H24" s="228" t="n">
        <f aca="false">F24*G24</f>
        <v>1802.35</v>
      </c>
      <c r="I24" s="179" t="s">
        <v>1603</v>
      </c>
    </row>
    <row r="25" customFormat="false" ht="15" hidden="false" customHeight="true" outlineLevel="0" collapsed="false">
      <c r="A25" s="220" t="s">
        <v>1604</v>
      </c>
      <c r="B25" s="220" t="s">
        <v>1605</v>
      </c>
      <c r="C25" s="220" t="s">
        <v>1494</v>
      </c>
      <c r="D25" s="226" t="n">
        <v>600</v>
      </c>
      <c r="E25" s="226"/>
      <c r="F25" s="228" t="n">
        <f aca="false">IF(D25&lt;&gt;"",D25*$C$9,E25)</f>
        <v>983.1</v>
      </c>
      <c r="G25" s="226" t="n">
        <v>1</v>
      </c>
      <c r="H25" s="228" t="n">
        <f aca="false">F25*G25</f>
        <v>983.1</v>
      </c>
      <c r="I25" s="179" t="s">
        <v>1606</v>
      </c>
    </row>
    <row r="26" customFormat="false" ht="15" hidden="false" customHeight="true" outlineLevel="0" collapsed="false">
      <c r="A26" s="220" t="s">
        <v>1607</v>
      </c>
      <c r="B26" s="220" t="s">
        <v>1608</v>
      </c>
      <c r="C26" s="220" t="s">
        <v>1494</v>
      </c>
      <c r="D26" s="226" t="n">
        <v>4510</v>
      </c>
      <c r="E26" s="226"/>
      <c r="F26" s="228" t="n">
        <f aca="false">IF(D26&lt;&gt;"",D26*$C$9,E26)</f>
        <v>7389.635</v>
      </c>
      <c r="G26" s="226" t="n">
        <v>2</v>
      </c>
      <c r="H26" s="228" t="n">
        <f aca="false">F26*G26</f>
        <v>14779.27</v>
      </c>
      <c r="I26" s="179" t="s">
        <v>1609</v>
      </c>
    </row>
    <row r="27" customFormat="false" ht="15" hidden="false" customHeight="true" outlineLevel="0" collapsed="false">
      <c r="A27" s="220" t="s">
        <v>1610</v>
      </c>
      <c r="B27" s="220" t="s">
        <v>1611</v>
      </c>
      <c r="C27" s="220" t="s">
        <v>1494</v>
      </c>
      <c r="D27" s="226" t="n">
        <v>1100</v>
      </c>
      <c r="E27" s="226"/>
      <c r="F27" s="228" t="n">
        <f aca="false">IF(D27&lt;&gt;"",D27*$C$9,E27)</f>
        <v>1802.35</v>
      </c>
      <c r="G27" s="226" t="n">
        <v>2</v>
      </c>
      <c r="H27" s="228" t="n">
        <f aca="false">F27*G27</f>
        <v>3604.7</v>
      </c>
      <c r="I27" s="179" t="s">
        <v>1612</v>
      </c>
    </row>
    <row r="28" customFormat="false" ht="15" hidden="false" customHeight="true" outlineLevel="0" collapsed="false">
      <c r="A28" s="220" t="s">
        <v>1613</v>
      </c>
      <c r="B28" s="220" t="s">
        <v>1614</v>
      </c>
      <c r="C28" s="220" t="s">
        <v>1498</v>
      </c>
      <c r="D28" s="226"/>
      <c r="E28" s="226" t="n">
        <v>600</v>
      </c>
      <c r="F28" s="228" t="n">
        <f aca="false">IF(D28&lt;&gt;"",D28*$C$9,E28)</f>
        <v>600</v>
      </c>
      <c r="G28" s="226" t="n">
        <v>1</v>
      </c>
      <c r="H28" s="228" t="n">
        <f aca="false">F28*G28</f>
        <v>600</v>
      </c>
      <c r="I28" s="179" t="s">
        <v>1615</v>
      </c>
    </row>
    <row r="29" customFormat="false" ht="15" hidden="false" customHeight="true" outlineLevel="0" collapsed="false">
      <c r="A29" s="220" t="s">
        <v>1616</v>
      </c>
      <c r="B29" s="220" t="s">
        <v>1617</v>
      </c>
      <c r="C29" s="220" t="s">
        <v>1494</v>
      </c>
      <c r="D29" s="226" t="n">
        <v>1500</v>
      </c>
      <c r="E29" s="226"/>
      <c r="F29" s="228" t="n">
        <f aca="false">IF(D29&lt;&gt;"",D29*$C$9,E29)</f>
        <v>2457.75</v>
      </c>
      <c r="G29" s="226" t="n">
        <v>2</v>
      </c>
      <c r="H29" s="228" t="n">
        <f aca="false">F29*G29</f>
        <v>4915.5</v>
      </c>
      <c r="I29" s="179" t="s">
        <v>1618</v>
      </c>
    </row>
    <row r="30" customFormat="false" ht="15" hidden="false" customHeight="true" outlineLevel="0" collapsed="false">
      <c r="A30" s="220" t="s">
        <v>1619</v>
      </c>
      <c r="B30" s="220" t="s">
        <v>1620</v>
      </c>
      <c r="C30" s="220" t="s">
        <v>1494</v>
      </c>
      <c r="D30" s="226" t="n">
        <v>700</v>
      </c>
      <c r="E30" s="226"/>
      <c r="F30" s="228" t="n">
        <f aca="false">IF(D30&lt;&gt;"",D30*$C$9,E30)</f>
        <v>1146.95</v>
      </c>
      <c r="G30" s="226" t="n">
        <v>1</v>
      </c>
      <c r="H30" s="228" t="n">
        <f aca="false">F30*G30</f>
        <v>1146.95</v>
      </c>
      <c r="I30" s="179" t="s">
        <v>1621</v>
      </c>
    </row>
    <row r="31" customFormat="false" ht="15" hidden="false" customHeight="true" outlineLevel="0" collapsed="false">
      <c r="A31" s="220" t="s">
        <v>1622</v>
      </c>
      <c r="B31" s="220" t="s">
        <v>1623</v>
      </c>
      <c r="C31" s="220" t="s">
        <v>1494</v>
      </c>
      <c r="D31" s="226" t="n">
        <v>800</v>
      </c>
      <c r="E31" s="226"/>
      <c r="F31" s="228" t="n">
        <f aca="false">IF(D31&lt;&gt;"",D31*$C$9,E31)</f>
        <v>1310.8</v>
      </c>
      <c r="G31" s="226" t="n">
        <v>1</v>
      </c>
      <c r="H31" s="228" t="n">
        <f aca="false">F31*G31</f>
        <v>1310.8</v>
      </c>
      <c r="I31" s="179" t="s">
        <v>1624</v>
      </c>
    </row>
    <row r="32" customFormat="false" ht="15" hidden="false" customHeight="true" outlineLevel="0" collapsed="false">
      <c r="A32" s="220" t="s">
        <v>1625</v>
      </c>
      <c r="B32" s="220" t="s">
        <v>1626</v>
      </c>
      <c r="C32" s="220" t="s">
        <v>1498</v>
      </c>
      <c r="D32" s="226"/>
      <c r="E32" s="226" t="n">
        <v>400</v>
      </c>
      <c r="F32" s="228" t="n">
        <f aca="false">IF(D32&lt;&gt;"",D32*$C$9,E32)</f>
        <v>400</v>
      </c>
      <c r="G32" s="226" t="n">
        <v>1</v>
      </c>
      <c r="H32" s="228" t="n">
        <f aca="false">F32*G32</f>
        <v>400</v>
      </c>
      <c r="I32" s="179" t="s">
        <v>1627</v>
      </c>
    </row>
    <row r="33" customFormat="false" ht="15" hidden="false" customHeight="true" outlineLevel="0" collapsed="false">
      <c r="A33" s="182" t="s">
        <v>1628</v>
      </c>
      <c r="B33" s="182" t="s">
        <v>1629</v>
      </c>
      <c r="C33" s="182" t="s">
        <v>1498</v>
      </c>
      <c r="D33" s="190"/>
      <c r="E33" s="190" t="n">
        <v>300</v>
      </c>
      <c r="F33" s="298" t="n">
        <f aca="false">IF(D33&lt;&gt;"",D33*$C$9,E33)</f>
        <v>300</v>
      </c>
      <c r="G33" s="298" t="n">
        <v>1</v>
      </c>
      <c r="H33" s="298" t="n">
        <f aca="false">F33*G33</f>
        <v>300</v>
      </c>
      <c r="I33" s="179" t="s">
        <v>1630</v>
      </c>
    </row>
    <row r="34" customFormat="false" ht="15" hidden="false" customHeight="true" outlineLevel="0" collapsed="false">
      <c r="A34" s="182" t="s">
        <v>1631</v>
      </c>
      <c r="B34" s="182" t="s">
        <v>1632</v>
      </c>
      <c r="C34" s="182" t="s">
        <v>1498</v>
      </c>
      <c r="D34" s="190"/>
      <c r="E34" s="190" t="n">
        <v>600</v>
      </c>
      <c r="F34" s="298" t="n">
        <f aca="false">IF(D34&lt;&gt;"",D34*$C$9,E34)</f>
        <v>600</v>
      </c>
      <c r="G34" s="298" t="n">
        <v>1</v>
      </c>
      <c r="H34" s="298" t="n">
        <f aca="false">F34*G34</f>
        <v>600</v>
      </c>
      <c r="I34" s="179" t="s">
        <v>1633</v>
      </c>
    </row>
    <row r="35" customFormat="false" ht="15" hidden="false" customHeight="true" outlineLevel="0" collapsed="false">
      <c r="A35" s="182" t="s">
        <v>1634</v>
      </c>
      <c r="B35" s="182" t="s">
        <v>1635</v>
      </c>
      <c r="C35" s="182" t="s">
        <v>1498</v>
      </c>
      <c r="D35" s="190"/>
      <c r="E35" s="190" t="n">
        <v>300</v>
      </c>
      <c r="F35" s="298" t="n">
        <f aca="false">IF(D35&lt;&gt;"",D35*$C$9,E35)</f>
        <v>300</v>
      </c>
      <c r="G35" s="298" t="n">
        <v>1</v>
      </c>
      <c r="H35" s="298" t="n">
        <f aca="false">F35*G35</f>
        <v>300</v>
      </c>
      <c r="I35" s="179" t="s">
        <v>1636</v>
      </c>
    </row>
    <row r="36" customFormat="false" ht="15" hidden="false" customHeight="true" outlineLevel="0" collapsed="false">
      <c r="A36" s="182" t="s">
        <v>1637</v>
      </c>
      <c r="B36" s="182" t="s">
        <v>1638</v>
      </c>
      <c r="C36" s="182" t="s">
        <v>1498</v>
      </c>
      <c r="D36" s="190"/>
      <c r="E36" s="190" t="n">
        <v>800</v>
      </c>
      <c r="F36" s="298" t="n">
        <f aca="false">IF(D36&lt;&gt;"",D36*$C$9,E36)</f>
        <v>800</v>
      </c>
      <c r="G36" s="298" t="n">
        <v>1</v>
      </c>
      <c r="H36" s="298" t="n">
        <f aca="false">F36*G36</f>
        <v>800</v>
      </c>
      <c r="I36" s="179" t="s">
        <v>1639</v>
      </c>
    </row>
    <row r="37" customFormat="false" ht="15" hidden="false" customHeight="true" outlineLevel="0" collapsed="false">
      <c r="B37" s="178" t="s">
        <v>1640</v>
      </c>
      <c r="H37" s="275" t="n">
        <f aca="false">SUM(H14:H36)</f>
        <v>53142.67</v>
      </c>
    </row>
    <row r="38" customFormat="false" ht="15" hidden="false" customHeight="true" outlineLevel="0" collapsed="false">
      <c r="B38" s="182" t="s">
        <v>1641</v>
      </c>
      <c r="H38" s="302" t="n">
        <f aca="false">C6*C7</f>
        <v>28000</v>
      </c>
    </row>
    <row r="39" customFormat="false" ht="15" hidden="false" customHeight="true" outlineLevel="0" collapsed="false">
      <c r="B39" s="182" t="s">
        <v>1642</v>
      </c>
      <c r="H39" s="302" t="n">
        <f aca="false">C8</f>
        <v>3000</v>
      </c>
    </row>
    <row r="40" customFormat="false" ht="15" hidden="false" customHeight="true" outlineLevel="0" collapsed="false">
      <c r="B40" s="178" t="s">
        <v>1643</v>
      </c>
      <c r="H40" s="275" t="n">
        <f aca="false">H37+H38+H39</f>
        <v>84142.67</v>
      </c>
    </row>
    <row r="41" customFormat="false" ht="15" hidden="false" customHeight="true" outlineLevel="0" collapsed="false">
      <c r="B41" s="182" t="s">
        <v>1556</v>
      </c>
      <c r="H41" s="302" t="n">
        <f aca="false">H40*C10</f>
        <v>8414.267</v>
      </c>
    </row>
    <row r="42" customFormat="false" ht="15" hidden="false" customHeight="true" outlineLevel="0" collapsed="false">
      <c r="B42" s="178" t="s">
        <v>1644</v>
      </c>
      <c r="H42" s="309" t="n">
        <f aca="false">H40+H41</f>
        <v>92556.937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I43"/>
  <sheetViews>
    <sheetView showFormulas="false" showGridLines="false" showRowColHeaders="true" showZeros="true" rightToLeft="false" tabSelected="false" showOutlineSymbols="true" defaultGridColor="true" view="normal" topLeftCell="D4" colorId="64" zoomScale="100" zoomScaleNormal="100" zoomScalePageLayoutView="100" workbookViewId="0">
      <selection pane="topLeft" activeCell="B42" activeCellId="0" sqref="B42"/>
    </sheetView>
  </sheetViews>
  <sheetFormatPr defaultColWidth="8.66796875" defaultRowHeight="15" zeroHeight="false" outlineLevelRow="0" outlineLevelCol="0"/>
  <cols>
    <col collapsed="false" customWidth="true" hidden="false" outlineLevel="0" max="1" min="1" style="1" width="8"/>
    <col collapsed="false" customWidth="true" hidden="false" outlineLevel="0" max="2" min="2" style="1" width="55"/>
    <col collapsed="false" customWidth="true" hidden="false" outlineLevel="0" max="5" min="3" style="1" width="13"/>
    <col collapsed="false" customWidth="true" hidden="false" outlineLevel="0" max="6" min="6" style="1" width="14"/>
    <col collapsed="false" customWidth="true" hidden="false" outlineLevel="0" max="7" min="7" style="1" width="8"/>
    <col collapsed="false" customWidth="true" hidden="false" outlineLevel="0" max="8" min="8" style="1" width="14"/>
    <col collapsed="false" customWidth="true" hidden="false" outlineLevel="0" max="9" min="9" style="1" width="60"/>
  </cols>
  <sheetData>
    <row r="1" customFormat="false" ht="18.75" hidden="false" customHeight="true" outlineLevel="0" collapsed="false">
      <c r="A1" s="215" t="s">
        <v>1645</v>
      </c>
      <c r="B1" s="126"/>
      <c r="C1" s="126"/>
      <c r="D1" s="126"/>
      <c r="E1" s="126"/>
      <c r="F1" s="126"/>
      <c r="G1" s="126"/>
      <c r="H1" s="126"/>
      <c r="I1" s="126"/>
    </row>
    <row r="2" customFormat="false" ht="15" hidden="false" customHeight="true" outlineLevel="0" collapsed="false">
      <c r="A2" s="175" t="s">
        <v>1646</v>
      </c>
    </row>
    <row r="3" customFormat="false" ht="15" hidden="false" customHeight="true" outlineLevel="0" collapsed="false">
      <c r="A3" s="216" t="s">
        <v>495</v>
      </c>
    </row>
    <row r="5" customFormat="false" ht="15" hidden="false" customHeight="true" outlineLevel="0" collapsed="false">
      <c r="A5" s="217" t="s">
        <v>1561</v>
      </c>
      <c r="B5" s="218"/>
      <c r="C5" s="218"/>
      <c r="D5" s="218"/>
      <c r="E5" s="218"/>
      <c r="F5" s="218"/>
      <c r="G5" s="218"/>
      <c r="H5" s="218"/>
      <c r="I5" s="218"/>
    </row>
    <row r="6" customFormat="false" ht="15" hidden="false" customHeight="true" outlineLevel="0" collapsed="false">
      <c r="B6" s="182" t="s">
        <v>1562</v>
      </c>
      <c r="C6" s="226" t="n">
        <v>80</v>
      </c>
    </row>
    <row r="7" customFormat="false" ht="15" hidden="false" customHeight="true" outlineLevel="0" collapsed="false">
      <c r="B7" s="182" t="s">
        <v>1563</v>
      </c>
      <c r="C7" s="226" t="n">
        <v>700</v>
      </c>
      <c r="I7" s="216" t="s">
        <v>1564</v>
      </c>
    </row>
    <row r="8" customFormat="false" ht="15" hidden="false" customHeight="true" outlineLevel="0" collapsed="false">
      <c r="B8" s="182" t="s">
        <v>1565</v>
      </c>
      <c r="C8" s="226" t="n">
        <v>3000</v>
      </c>
      <c r="I8" s="216" t="s">
        <v>1566</v>
      </c>
    </row>
    <row r="9" customFormat="false" ht="15" hidden="false" customHeight="true" outlineLevel="0" collapsed="false">
      <c r="B9" s="182" t="s">
        <v>1567</v>
      </c>
      <c r="C9" s="310" t="n">
        <f aca="false">SUP_CAPEX_PLANTA!$C$8</f>
        <v>1.6385</v>
      </c>
    </row>
    <row r="10" customFormat="false" ht="15" hidden="false" customHeight="true" outlineLevel="0" collapsed="false">
      <c r="B10" s="182" t="s">
        <v>1568</v>
      </c>
      <c r="C10" s="311" t="n">
        <f aca="false">SUP_CAPEX_PLANTA!$C$11</f>
        <v>0.1</v>
      </c>
    </row>
    <row r="12" customFormat="false" ht="15" hidden="false" customHeight="true" outlineLevel="0" collapsed="false">
      <c r="A12" s="217" t="s">
        <v>1569</v>
      </c>
      <c r="B12" s="218"/>
      <c r="C12" s="218"/>
      <c r="D12" s="218"/>
      <c r="E12" s="218"/>
      <c r="F12" s="218"/>
      <c r="G12" s="218"/>
      <c r="H12" s="218"/>
      <c r="I12" s="218"/>
    </row>
    <row r="13" customFormat="false" ht="23.25" hidden="false" customHeight="true" outlineLevel="0" collapsed="false">
      <c r="A13" s="219" t="s">
        <v>847</v>
      </c>
      <c r="B13" s="219" t="s">
        <v>1570</v>
      </c>
      <c r="C13" s="219" t="s">
        <v>1486</v>
      </c>
      <c r="D13" s="219" t="s">
        <v>1487</v>
      </c>
      <c r="E13" s="219" t="s">
        <v>1488</v>
      </c>
      <c r="F13" s="219" t="s">
        <v>1489</v>
      </c>
      <c r="G13" s="219" t="s">
        <v>1047</v>
      </c>
      <c r="H13" s="219" t="s">
        <v>1490</v>
      </c>
      <c r="I13" s="219" t="s">
        <v>1491</v>
      </c>
    </row>
    <row r="14" customFormat="false" ht="15" hidden="false" customHeight="true" outlineLevel="0" collapsed="false">
      <c r="A14" s="220" t="s">
        <v>1571</v>
      </c>
      <c r="B14" s="220" t="s">
        <v>1572</v>
      </c>
      <c r="C14" s="220" t="s">
        <v>1498</v>
      </c>
      <c r="D14" s="226"/>
      <c r="E14" s="226" t="n">
        <v>5500</v>
      </c>
      <c r="F14" s="228" t="n">
        <f aca="false">IF(D14&lt;&gt;"",D14*$C$9,E14)</f>
        <v>5500</v>
      </c>
      <c r="G14" s="226" t="n">
        <v>1</v>
      </c>
      <c r="H14" s="228" t="n">
        <f aca="false">F14*G14</f>
        <v>5500</v>
      </c>
      <c r="I14" s="179" t="s">
        <v>1647</v>
      </c>
    </row>
    <row r="15" customFormat="false" ht="15" hidden="false" customHeight="true" outlineLevel="0" collapsed="false">
      <c r="A15" s="220" t="s">
        <v>1574</v>
      </c>
      <c r="B15" s="220" t="s">
        <v>1575</v>
      </c>
      <c r="C15" s="220" t="s">
        <v>1498</v>
      </c>
      <c r="D15" s="226"/>
      <c r="E15" s="226" t="n">
        <v>3000</v>
      </c>
      <c r="F15" s="228" t="n">
        <f aca="false">IF(D15&lt;&gt;"",D15*$C$9,E15)</f>
        <v>3000</v>
      </c>
      <c r="G15" s="226" t="n">
        <v>1</v>
      </c>
      <c r="H15" s="228" t="n">
        <f aca="false">F15*G15</f>
        <v>3000</v>
      </c>
      <c r="I15" s="179" t="s">
        <v>1576</v>
      </c>
    </row>
    <row r="16" customFormat="false" ht="15" hidden="false" customHeight="true" outlineLevel="0" collapsed="false">
      <c r="A16" s="220" t="s">
        <v>1577</v>
      </c>
      <c r="B16" s="220" t="s">
        <v>1578</v>
      </c>
      <c r="C16" s="220" t="s">
        <v>1498</v>
      </c>
      <c r="D16" s="226"/>
      <c r="E16" s="226" t="n">
        <v>1200</v>
      </c>
      <c r="F16" s="228" t="n">
        <f aca="false">IF(D16&lt;&gt;"",D16*$C$9,E16)</f>
        <v>1200</v>
      </c>
      <c r="G16" s="226" t="n">
        <v>2</v>
      </c>
      <c r="H16" s="228" t="n">
        <f aca="false">F16*G16</f>
        <v>2400</v>
      </c>
      <c r="I16" s="179" t="s">
        <v>1579</v>
      </c>
    </row>
    <row r="17" customFormat="false" ht="15" hidden="false" customHeight="true" outlineLevel="0" collapsed="false">
      <c r="A17" s="220" t="s">
        <v>1580</v>
      </c>
      <c r="B17" s="220" t="s">
        <v>1581</v>
      </c>
      <c r="C17" s="220" t="s">
        <v>1498</v>
      </c>
      <c r="D17" s="226"/>
      <c r="E17" s="226" t="n">
        <v>2000</v>
      </c>
      <c r="F17" s="228" t="n">
        <f aca="false">IF(D17&lt;&gt;"",D17*$C$9,E17)</f>
        <v>2000</v>
      </c>
      <c r="G17" s="226" t="n">
        <v>1</v>
      </c>
      <c r="H17" s="228" t="n">
        <f aca="false">F17*G17</f>
        <v>2000</v>
      </c>
      <c r="I17" s="179" t="s">
        <v>1582</v>
      </c>
    </row>
    <row r="18" customFormat="false" ht="15" hidden="false" customHeight="true" outlineLevel="0" collapsed="false">
      <c r="A18" s="220" t="s">
        <v>1583</v>
      </c>
      <c r="B18" s="220" t="s">
        <v>1584</v>
      </c>
      <c r="C18" s="220" t="s">
        <v>1498</v>
      </c>
      <c r="D18" s="226"/>
      <c r="E18" s="226" t="n">
        <v>1500</v>
      </c>
      <c r="F18" s="228" t="n">
        <f aca="false">IF(D18&lt;&gt;"",D18*$C$9,E18)</f>
        <v>1500</v>
      </c>
      <c r="G18" s="226" t="n">
        <v>1</v>
      </c>
      <c r="H18" s="228" t="n">
        <f aca="false">F18*G18</f>
        <v>1500</v>
      </c>
      <c r="I18" s="179" t="s">
        <v>1585</v>
      </c>
    </row>
    <row r="19" customFormat="false" ht="15" hidden="false" customHeight="true" outlineLevel="0" collapsed="false">
      <c r="A19" s="220" t="s">
        <v>1586</v>
      </c>
      <c r="B19" s="220" t="s">
        <v>1587</v>
      </c>
      <c r="C19" s="220" t="s">
        <v>1498</v>
      </c>
      <c r="D19" s="226"/>
      <c r="E19" s="226" t="n">
        <v>1100</v>
      </c>
      <c r="F19" s="228" t="n">
        <f aca="false">IF(D19&lt;&gt;"",D19*$C$9,E19)</f>
        <v>1100</v>
      </c>
      <c r="G19" s="226" t="n">
        <v>1</v>
      </c>
      <c r="H19" s="228" t="n">
        <f aca="false">F19*G19</f>
        <v>1100</v>
      </c>
      <c r="I19" s="179" t="s">
        <v>1588</v>
      </c>
    </row>
    <row r="20" customFormat="false" ht="15" hidden="false" customHeight="true" outlineLevel="0" collapsed="false">
      <c r="A20" s="220" t="s">
        <v>1589</v>
      </c>
      <c r="B20" s="220" t="s">
        <v>1590</v>
      </c>
      <c r="C20" s="220" t="s">
        <v>1498</v>
      </c>
      <c r="D20" s="226"/>
      <c r="E20" s="226"/>
      <c r="F20" s="227" t="n">
        <f aca="false">SUP_TECNOLOGIA!$E$9</f>
        <v>2500</v>
      </c>
      <c r="G20" s="312" t="n">
        <v>1</v>
      </c>
      <c r="H20" s="228" t="n">
        <f aca="false">F20*G20</f>
        <v>2500</v>
      </c>
      <c r="I20" s="313" t="s">
        <v>1591</v>
      </c>
    </row>
    <row r="21" customFormat="false" ht="15" hidden="false" customHeight="true" outlineLevel="0" collapsed="false">
      <c r="A21" s="220" t="s">
        <v>1592</v>
      </c>
      <c r="B21" s="220" t="s">
        <v>1593</v>
      </c>
      <c r="C21" s="220" t="s">
        <v>1498</v>
      </c>
      <c r="D21" s="226"/>
      <c r="E21" s="226" t="n">
        <v>3500</v>
      </c>
      <c r="F21" s="228" t="n">
        <f aca="false">IF(D21&lt;&gt;"",D21*$C$9,E21)</f>
        <v>3500</v>
      </c>
      <c r="G21" s="226" t="n">
        <v>1</v>
      </c>
      <c r="H21" s="228" t="n">
        <f aca="false">F21*G21</f>
        <v>3500</v>
      </c>
      <c r="I21" s="179" t="s">
        <v>1594</v>
      </c>
    </row>
    <row r="22" customFormat="false" ht="15" hidden="false" customHeight="true" outlineLevel="0" collapsed="false">
      <c r="A22" s="220" t="s">
        <v>1595</v>
      </c>
      <c r="B22" s="220" t="s">
        <v>1596</v>
      </c>
      <c r="C22" s="220" t="s">
        <v>1498</v>
      </c>
      <c r="D22" s="226"/>
      <c r="E22" s="226" t="n">
        <v>500</v>
      </c>
      <c r="F22" s="228" t="n">
        <f aca="false">IF(D22&lt;&gt;"",D22*$C$9,E22)</f>
        <v>500</v>
      </c>
      <c r="G22" s="226" t="n">
        <v>1</v>
      </c>
      <c r="H22" s="228" t="n">
        <f aca="false">F22*G22</f>
        <v>500</v>
      </c>
      <c r="I22" s="179" t="s">
        <v>1597</v>
      </c>
    </row>
    <row r="23" customFormat="false" ht="15" hidden="false" customHeight="true" outlineLevel="0" collapsed="false">
      <c r="A23" s="220" t="s">
        <v>1598</v>
      </c>
      <c r="B23" s="220" t="s">
        <v>1599</v>
      </c>
      <c r="C23" s="220" t="s">
        <v>1498</v>
      </c>
      <c r="D23" s="226"/>
      <c r="E23" s="226" t="n">
        <v>800</v>
      </c>
      <c r="F23" s="228" t="n">
        <f aca="false">IF(D23&lt;&gt;"",D23*$C$9,E23)</f>
        <v>800</v>
      </c>
      <c r="G23" s="226" t="n">
        <v>1</v>
      </c>
      <c r="H23" s="228" t="n">
        <f aca="false">F23*G23</f>
        <v>800</v>
      </c>
      <c r="I23" s="179" t="s">
        <v>1600</v>
      </c>
    </row>
    <row r="24" customFormat="false" ht="15" hidden="false" customHeight="true" outlineLevel="0" collapsed="false">
      <c r="A24" s="220" t="s">
        <v>1601</v>
      </c>
      <c r="B24" s="220" t="s">
        <v>1602</v>
      </c>
      <c r="C24" s="220" t="s">
        <v>1494</v>
      </c>
      <c r="D24" s="226" t="n">
        <v>1100</v>
      </c>
      <c r="E24" s="226"/>
      <c r="F24" s="228" t="n">
        <f aca="false">IF(D24&lt;&gt;"",D24*$C$9,E24)</f>
        <v>1802.35</v>
      </c>
      <c r="G24" s="226" t="n">
        <v>1</v>
      </c>
      <c r="H24" s="228" t="n">
        <f aca="false">F24*G24</f>
        <v>1802.35</v>
      </c>
      <c r="I24" s="179" t="s">
        <v>1603</v>
      </c>
    </row>
    <row r="25" customFormat="false" ht="15" hidden="false" customHeight="true" outlineLevel="0" collapsed="false">
      <c r="A25" s="220" t="s">
        <v>1604</v>
      </c>
      <c r="B25" s="220" t="s">
        <v>1605</v>
      </c>
      <c r="C25" s="220" t="s">
        <v>1494</v>
      </c>
      <c r="D25" s="226" t="n">
        <v>600</v>
      </c>
      <c r="E25" s="226"/>
      <c r="F25" s="228" t="n">
        <f aca="false">IF(D25&lt;&gt;"",D25*$C$9,E25)</f>
        <v>983.1</v>
      </c>
      <c r="G25" s="226" t="n">
        <v>1</v>
      </c>
      <c r="H25" s="228" t="n">
        <f aca="false">F25*G25</f>
        <v>983.1</v>
      </c>
      <c r="I25" s="179" t="s">
        <v>1606</v>
      </c>
    </row>
    <row r="26" customFormat="false" ht="15" hidden="false" customHeight="true" outlineLevel="0" collapsed="false">
      <c r="A26" s="220" t="s">
        <v>1607</v>
      </c>
      <c r="B26" s="220" t="s">
        <v>1608</v>
      </c>
      <c r="C26" s="220" t="s">
        <v>1494</v>
      </c>
      <c r="D26" s="226" t="n">
        <v>4510</v>
      </c>
      <c r="E26" s="226"/>
      <c r="F26" s="228" t="n">
        <f aca="false">IF(D26&lt;&gt;"",D26*$C$9,E26)</f>
        <v>7389.635</v>
      </c>
      <c r="G26" s="226" t="n">
        <v>2</v>
      </c>
      <c r="H26" s="228" t="n">
        <f aca="false">F26*G26</f>
        <v>14779.27</v>
      </c>
      <c r="I26" s="179" t="s">
        <v>1648</v>
      </c>
    </row>
    <row r="27" customFormat="false" ht="15" hidden="false" customHeight="true" outlineLevel="0" collapsed="false">
      <c r="A27" s="220" t="s">
        <v>1610</v>
      </c>
      <c r="B27" s="220" t="s">
        <v>1611</v>
      </c>
      <c r="C27" s="220" t="s">
        <v>1494</v>
      </c>
      <c r="D27" s="226" t="n">
        <v>1100</v>
      </c>
      <c r="E27" s="226"/>
      <c r="F27" s="228" t="n">
        <f aca="false">IF(D27&lt;&gt;"",D27*$C$9,E27)</f>
        <v>1802.35</v>
      </c>
      <c r="G27" s="226" t="n">
        <v>2</v>
      </c>
      <c r="H27" s="228" t="n">
        <f aca="false">F27*G27</f>
        <v>3604.7</v>
      </c>
      <c r="I27" s="179" t="s">
        <v>1649</v>
      </c>
    </row>
    <row r="28" customFormat="false" ht="15" hidden="false" customHeight="true" outlineLevel="0" collapsed="false">
      <c r="A28" s="220" t="s">
        <v>1613</v>
      </c>
      <c r="B28" s="220" t="s">
        <v>1614</v>
      </c>
      <c r="C28" s="220" t="s">
        <v>1498</v>
      </c>
      <c r="D28" s="226"/>
      <c r="E28" s="226" t="n">
        <v>600</v>
      </c>
      <c r="F28" s="228" t="n">
        <f aca="false">IF(D28&lt;&gt;"",D28*$C$9,E28)</f>
        <v>600</v>
      </c>
      <c r="G28" s="226" t="n">
        <v>1</v>
      </c>
      <c r="H28" s="228" t="n">
        <f aca="false">F28*G28</f>
        <v>600</v>
      </c>
      <c r="I28" s="179" t="s">
        <v>1615</v>
      </c>
    </row>
    <row r="29" customFormat="false" ht="15" hidden="false" customHeight="true" outlineLevel="0" collapsed="false">
      <c r="A29" s="220" t="s">
        <v>1616</v>
      </c>
      <c r="B29" s="220" t="s">
        <v>1617</v>
      </c>
      <c r="C29" s="220" t="s">
        <v>1494</v>
      </c>
      <c r="D29" s="226" t="n">
        <v>1500</v>
      </c>
      <c r="E29" s="226"/>
      <c r="F29" s="228" t="n">
        <f aca="false">IF(D29&lt;&gt;"",D29*$C$9,E29)</f>
        <v>2457.75</v>
      </c>
      <c r="G29" s="226" t="n">
        <v>2</v>
      </c>
      <c r="H29" s="228" t="n">
        <f aca="false">F29*G29</f>
        <v>4915.5</v>
      </c>
      <c r="I29" s="179" t="s">
        <v>1650</v>
      </c>
    </row>
    <row r="30" customFormat="false" ht="15" hidden="false" customHeight="true" outlineLevel="0" collapsed="false">
      <c r="A30" s="220" t="s">
        <v>1619</v>
      </c>
      <c r="B30" s="220" t="s">
        <v>1620</v>
      </c>
      <c r="C30" s="220" t="s">
        <v>1494</v>
      </c>
      <c r="D30" s="226" t="n">
        <v>700</v>
      </c>
      <c r="E30" s="226"/>
      <c r="F30" s="228" t="n">
        <f aca="false">IF(D30&lt;&gt;"",D30*$C$9,E30)</f>
        <v>1146.95</v>
      </c>
      <c r="G30" s="226" t="n">
        <v>1</v>
      </c>
      <c r="H30" s="228" t="n">
        <f aca="false">F30*G30</f>
        <v>1146.95</v>
      </c>
      <c r="I30" s="179" t="s">
        <v>1621</v>
      </c>
    </row>
    <row r="31" customFormat="false" ht="15" hidden="false" customHeight="true" outlineLevel="0" collapsed="false">
      <c r="A31" s="220" t="s">
        <v>1622</v>
      </c>
      <c r="B31" s="220" t="s">
        <v>1623</v>
      </c>
      <c r="C31" s="220" t="s">
        <v>1494</v>
      </c>
      <c r="D31" s="226" t="n">
        <v>800</v>
      </c>
      <c r="E31" s="226"/>
      <c r="F31" s="228" t="n">
        <f aca="false">IF(D31&lt;&gt;"",D31*$C$9,E31)</f>
        <v>1310.8</v>
      </c>
      <c r="G31" s="226" t="n">
        <v>1</v>
      </c>
      <c r="H31" s="228" t="n">
        <f aca="false">F31*G31</f>
        <v>1310.8</v>
      </c>
      <c r="I31" s="179" t="s">
        <v>1624</v>
      </c>
    </row>
    <row r="32" customFormat="false" ht="15" hidden="false" customHeight="true" outlineLevel="0" collapsed="false">
      <c r="A32" s="220" t="s">
        <v>1651</v>
      </c>
      <c r="B32" s="220" t="s">
        <v>1652</v>
      </c>
      <c r="C32" s="220" t="s">
        <v>1498</v>
      </c>
      <c r="D32" s="226"/>
      <c r="E32" s="226" t="n">
        <v>3000</v>
      </c>
      <c r="F32" s="228" t="n">
        <f aca="false">IF(D32&lt;&gt;"",D32*$C$9,E32)</f>
        <v>3000</v>
      </c>
      <c r="G32" s="226" t="n">
        <v>1</v>
      </c>
      <c r="H32" s="228" t="n">
        <f aca="false">F32*G32</f>
        <v>3000</v>
      </c>
      <c r="I32" s="179" t="s">
        <v>1576</v>
      </c>
    </row>
    <row r="33" customFormat="false" ht="15" hidden="false" customHeight="true" outlineLevel="0" collapsed="false">
      <c r="A33" s="220" t="s">
        <v>1653</v>
      </c>
      <c r="B33" s="220" t="s">
        <v>1654</v>
      </c>
      <c r="C33" s="220" t="s">
        <v>1498</v>
      </c>
      <c r="D33" s="226"/>
      <c r="E33" s="226" t="n">
        <v>2000</v>
      </c>
      <c r="F33" s="228" t="n">
        <f aca="false">IF(D33&lt;&gt;"",D33*$C$9,E33)</f>
        <v>2000</v>
      </c>
      <c r="G33" s="226" t="n">
        <v>1</v>
      </c>
      <c r="H33" s="228" t="n">
        <f aca="false">F33*G33</f>
        <v>2000</v>
      </c>
      <c r="I33" s="179" t="s">
        <v>1655</v>
      </c>
    </row>
    <row r="34" customFormat="false" ht="15" hidden="false" customHeight="true" outlineLevel="0" collapsed="false">
      <c r="A34" s="182" t="s">
        <v>1656</v>
      </c>
      <c r="B34" s="182" t="s">
        <v>1657</v>
      </c>
      <c r="C34" s="182" t="s">
        <v>1541</v>
      </c>
      <c r="D34" s="190" t="n">
        <v>3015</v>
      </c>
      <c r="E34" s="190"/>
      <c r="F34" s="298" t="n">
        <f aca="false">IF(D34&lt;&gt;"",D34*$C$9,E34)</f>
        <v>4940.0775</v>
      </c>
      <c r="G34" s="298" t="n">
        <v>1</v>
      </c>
      <c r="H34" s="298" t="n">
        <f aca="false">F34*G34</f>
        <v>4940.0775</v>
      </c>
      <c r="I34" s="179" t="s">
        <v>1658</v>
      </c>
    </row>
    <row r="35" customFormat="false" ht="15" hidden="false" customHeight="true" outlineLevel="0" collapsed="false">
      <c r="A35" s="182" t="s">
        <v>1631</v>
      </c>
      <c r="B35" s="182" t="s">
        <v>1632</v>
      </c>
      <c r="C35" s="182" t="s">
        <v>1498</v>
      </c>
      <c r="D35" s="190"/>
      <c r="E35" s="190" t="n">
        <v>600</v>
      </c>
      <c r="F35" s="298" t="n">
        <f aca="false">IF(D35&lt;&gt;"",D35*$C$9,E35)</f>
        <v>600</v>
      </c>
      <c r="G35" s="298" t="n">
        <v>1</v>
      </c>
      <c r="H35" s="298" t="n">
        <f aca="false">F35*G35</f>
        <v>600</v>
      </c>
      <c r="I35" s="179" t="s">
        <v>1633</v>
      </c>
    </row>
    <row r="36" customFormat="false" ht="15" hidden="false" customHeight="true" outlineLevel="0" collapsed="false">
      <c r="A36" s="182" t="s">
        <v>1634</v>
      </c>
      <c r="B36" s="182" t="s">
        <v>1635</v>
      </c>
      <c r="C36" s="182" t="s">
        <v>1498</v>
      </c>
      <c r="D36" s="190"/>
      <c r="E36" s="190" t="n">
        <v>300</v>
      </c>
      <c r="F36" s="298" t="n">
        <f aca="false">IF(D36&lt;&gt;"",D36*$C$9,E36)</f>
        <v>300</v>
      </c>
      <c r="G36" s="298" t="n">
        <v>1</v>
      </c>
      <c r="H36" s="298" t="n">
        <f aca="false">F36*G36</f>
        <v>300</v>
      </c>
      <c r="I36" s="179" t="s">
        <v>1659</v>
      </c>
    </row>
    <row r="37" customFormat="false" ht="15" hidden="false" customHeight="true" outlineLevel="0" collapsed="false">
      <c r="A37" s="182" t="s">
        <v>1660</v>
      </c>
      <c r="B37" s="182" t="s">
        <v>1661</v>
      </c>
      <c r="C37" s="182" t="s">
        <v>1498</v>
      </c>
      <c r="D37" s="190"/>
      <c r="E37" s="190" t="n">
        <v>4500</v>
      </c>
      <c r="F37" s="298" t="n">
        <f aca="false">IF(D37&lt;&gt;"",D37*$C$9,E37)</f>
        <v>4500</v>
      </c>
      <c r="G37" s="298" t="n">
        <v>1</v>
      </c>
      <c r="H37" s="298" t="n">
        <f aca="false">F37*G37</f>
        <v>4500</v>
      </c>
      <c r="I37" s="179" t="s">
        <v>1662</v>
      </c>
    </row>
    <row r="38" customFormat="false" ht="15" hidden="false" customHeight="true" outlineLevel="0" collapsed="false">
      <c r="B38" s="178" t="s">
        <v>1640</v>
      </c>
      <c r="H38" s="275" t="n">
        <f aca="false">SUM(H14:H37)</f>
        <v>67282.7475</v>
      </c>
    </row>
    <row r="39" customFormat="false" ht="15" hidden="false" customHeight="true" outlineLevel="0" collapsed="false">
      <c r="B39" s="182" t="s">
        <v>1641</v>
      </c>
      <c r="H39" s="302" t="n">
        <f aca="false">C6*C7</f>
        <v>56000</v>
      </c>
    </row>
    <row r="40" customFormat="false" ht="15" hidden="false" customHeight="true" outlineLevel="0" collapsed="false">
      <c r="B40" s="182" t="s">
        <v>1642</v>
      </c>
      <c r="H40" s="302" t="n">
        <f aca="false">C8</f>
        <v>3000</v>
      </c>
    </row>
    <row r="41" customFormat="false" ht="15" hidden="false" customHeight="true" outlineLevel="0" collapsed="false">
      <c r="B41" s="178" t="s">
        <v>1643</v>
      </c>
      <c r="H41" s="275" t="n">
        <f aca="false">H38+H39+H40</f>
        <v>126282.7475</v>
      </c>
    </row>
    <row r="42" customFormat="false" ht="15" hidden="false" customHeight="true" outlineLevel="0" collapsed="false">
      <c r="B42" s="182" t="s">
        <v>1556</v>
      </c>
      <c r="H42" s="302" t="n">
        <f aca="false">H41*C10</f>
        <v>12628.27475</v>
      </c>
    </row>
    <row r="43" customFormat="false" ht="15" hidden="false" customHeight="true" outlineLevel="0" collapsed="false">
      <c r="B43" s="178" t="s">
        <v>1644</v>
      </c>
      <c r="H43" s="309" t="n">
        <f aca="false">H41+H42</f>
        <v>138911.02225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I57"/>
  <sheetViews>
    <sheetView showFormulas="false" showGridLines="true" showRowColHeaders="true" showZeros="true" rightToLeft="false" tabSelected="false" showOutlineSymbols="true" defaultGridColor="true" view="normal" topLeftCell="C12" colorId="64" zoomScale="100" zoomScaleNormal="100" zoomScalePageLayoutView="100" workbookViewId="0">
      <selection pane="topLeft" activeCell="C12" activeCellId="0" sqref="C12"/>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2"/>
    <col collapsed="false" customWidth="true" hidden="false" outlineLevel="0" max="3" min="3" style="1" width="9"/>
    <col collapsed="false" customWidth="true" hidden="false" outlineLevel="0" max="5" min="4" style="1" width="11"/>
    <col collapsed="false" customWidth="true" hidden="false" outlineLevel="0" max="6" min="6" style="1" width="12"/>
    <col collapsed="false" customWidth="true" hidden="false" outlineLevel="0" max="7" min="7" style="1" width="7"/>
    <col collapsed="false" customWidth="true" hidden="false" outlineLevel="0" max="8" min="8" style="1" width="13"/>
    <col collapsed="false" customWidth="true" hidden="false" outlineLevel="0" max="9" min="9" style="1" width="95"/>
  </cols>
  <sheetData>
    <row r="1" customFormat="false" ht="15" hidden="false" customHeight="true" outlineLevel="0" collapsed="false">
      <c r="A1" s="185" t="s">
        <v>1663</v>
      </c>
      <c r="B1" s="126"/>
      <c r="C1" s="126"/>
      <c r="D1" s="126"/>
      <c r="E1" s="126"/>
      <c r="F1" s="126"/>
      <c r="G1" s="126"/>
      <c r="H1" s="126"/>
      <c r="I1" s="126"/>
    </row>
    <row r="2" customFormat="false" ht="15" hidden="false" customHeight="true" outlineLevel="0" collapsed="false">
      <c r="A2" s="23" t="s">
        <v>1664</v>
      </c>
    </row>
    <row r="3" customFormat="false" ht="15" hidden="false" customHeight="true" outlineLevel="0" collapsed="false">
      <c r="A3" s="23" t="s">
        <v>495</v>
      </c>
    </row>
    <row r="5" customFormat="false" ht="15" hidden="false" customHeight="true" outlineLevel="0" collapsed="false">
      <c r="A5" s="186" t="s">
        <v>1665</v>
      </c>
      <c r="B5" s="25"/>
      <c r="C5" s="25"/>
      <c r="D5" s="25"/>
      <c r="E5" s="25"/>
      <c r="F5" s="25"/>
      <c r="G5" s="25"/>
      <c r="H5" s="25"/>
      <c r="I5" s="25"/>
    </row>
    <row r="6" customFormat="false" ht="15" hidden="false" customHeight="true" outlineLevel="0" collapsed="false">
      <c r="B6" s="1" t="s">
        <v>1666</v>
      </c>
      <c r="C6" s="190" t="n">
        <v>400</v>
      </c>
      <c r="I6" s="23" t="s">
        <v>1667</v>
      </c>
    </row>
    <row r="7" customFormat="false" ht="15" hidden="false" customHeight="true" outlineLevel="0" collapsed="false">
      <c r="B7" s="1" t="s">
        <v>1668</v>
      </c>
      <c r="C7" s="190" t="n">
        <v>150</v>
      </c>
      <c r="I7" s="23" t="s">
        <v>1669</v>
      </c>
    </row>
    <row r="8" customFormat="false" ht="15" hidden="false" customHeight="true" outlineLevel="0" collapsed="false">
      <c r="B8" s="1" t="s">
        <v>1670</v>
      </c>
      <c r="C8" s="190" t="n">
        <v>20</v>
      </c>
      <c r="I8" s="23" t="s">
        <v>1671</v>
      </c>
    </row>
    <row r="9" customFormat="false" ht="15" hidden="false" customHeight="true" outlineLevel="0" collapsed="false">
      <c r="B9" s="1" t="s">
        <v>1672</v>
      </c>
      <c r="C9" s="266" t="n">
        <v>700</v>
      </c>
      <c r="I9" s="23" t="s">
        <v>1673</v>
      </c>
    </row>
    <row r="10" customFormat="false" ht="15" hidden="false" customHeight="true" outlineLevel="0" collapsed="false">
      <c r="B10" s="1" t="s">
        <v>1674</v>
      </c>
      <c r="C10" s="266" t="n">
        <v>0</v>
      </c>
      <c r="I10" s="23" t="s">
        <v>1675</v>
      </c>
    </row>
    <row r="11" customFormat="false" ht="15" hidden="false" customHeight="true" outlineLevel="0" collapsed="false">
      <c r="B11" s="1" t="s">
        <v>1676</v>
      </c>
      <c r="C11" s="266" t="n">
        <v>0</v>
      </c>
      <c r="I11" s="23" t="s">
        <v>1677</v>
      </c>
    </row>
    <row r="12" customFormat="false" ht="15" hidden="false" customHeight="true" outlineLevel="0" collapsed="false">
      <c r="B12" s="1" t="s">
        <v>1678</v>
      </c>
      <c r="C12" s="266" t="n">
        <v>0</v>
      </c>
      <c r="I12" s="23" t="s">
        <v>1679</v>
      </c>
    </row>
    <row r="13" customFormat="false" ht="15" hidden="false" customHeight="true" outlineLevel="0" collapsed="false">
      <c r="B13" s="1" t="s">
        <v>1680</v>
      </c>
      <c r="C13" s="266" t="n">
        <v>10000</v>
      </c>
      <c r="I13" s="23" t="s">
        <v>1681</v>
      </c>
    </row>
    <row r="14" customFormat="false" ht="15" hidden="false" customHeight="true" outlineLevel="0" collapsed="false">
      <c r="B14" s="1" t="s">
        <v>1567</v>
      </c>
      <c r="C14" s="194" t="n">
        <f aca="false">SUP_CAPEX_PLANTA!$C$8</f>
        <v>1.6385</v>
      </c>
    </row>
    <row r="15" customFormat="false" ht="15" hidden="false" customHeight="true" outlineLevel="0" collapsed="false">
      <c r="B15" s="1" t="s">
        <v>1568</v>
      </c>
      <c r="C15" s="200" t="n">
        <f aca="false">SUP_CAPEX_PLANTA!$C$11</f>
        <v>0.1</v>
      </c>
    </row>
    <row r="16" customFormat="false" ht="15" hidden="false" customHeight="true" outlineLevel="0" collapsed="false">
      <c r="B16" s="1" t="s">
        <v>1682</v>
      </c>
      <c r="C16" s="199" t="n">
        <v>0</v>
      </c>
      <c r="I16" s="23" t="s">
        <v>1683</v>
      </c>
    </row>
    <row r="18" customFormat="false" ht="15" hidden="false" customHeight="true" outlineLevel="0" collapsed="false">
      <c r="A18" s="186" t="s">
        <v>1684</v>
      </c>
      <c r="B18" s="25"/>
      <c r="C18" s="25"/>
      <c r="D18" s="25"/>
      <c r="E18" s="25"/>
      <c r="F18" s="25"/>
      <c r="G18" s="25"/>
      <c r="H18" s="25"/>
      <c r="I18" s="25"/>
    </row>
    <row r="19" customFormat="false" ht="15" hidden="false" customHeight="true" outlineLevel="0" collapsed="false">
      <c r="A19" s="314" t="s">
        <v>847</v>
      </c>
      <c r="B19" s="314" t="s">
        <v>1570</v>
      </c>
      <c r="C19" s="314" t="s">
        <v>1486</v>
      </c>
      <c r="D19" s="314" t="s">
        <v>1487</v>
      </c>
      <c r="E19" s="314" t="s">
        <v>1488</v>
      </c>
      <c r="F19" s="314" t="s">
        <v>1489</v>
      </c>
      <c r="G19" s="314" t="s">
        <v>1047</v>
      </c>
      <c r="H19" s="314" t="s">
        <v>1490</v>
      </c>
      <c r="I19" s="314" t="s">
        <v>1491</v>
      </c>
    </row>
    <row r="20" customFormat="false" ht="15" hidden="false" customHeight="true" outlineLevel="0" collapsed="false">
      <c r="A20" s="297" t="s">
        <v>1607</v>
      </c>
      <c r="B20" s="297" t="s">
        <v>1608</v>
      </c>
      <c r="C20" s="297" t="s">
        <v>1494</v>
      </c>
      <c r="D20" s="266" t="n">
        <v>4510</v>
      </c>
      <c r="E20" s="106"/>
      <c r="F20" s="273" t="n">
        <f aca="false">IF(D20&lt;&gt;"",D20*$C$14,E20)</f>
        <v>7389.635</v>
      </c>
      <c r="G20" s="298" t="n">
        <v>3</v>
      </c>
      <c r="H20" s="273" t="n">
        <f aca="false">F20*G20</f>
        <v>22168.905</v>
      </c>
      <c r="I20" s="23" t="s">
        <v>1685</v>
      </c>
    </row>
    <row r="21" customFormat="false" ht="15" hidden="false" customHeight="true" outlineLevel="0" collapsed="false">
      <c r="A21" s="297" t="s">
        <v>1610</v>
      </c>
      <c r="B21" s="297" t="s">
        <v>1611</v>
      </c>
      <c r="C21" s="297" t="s">
        <v>1494</v>
      </c>
      <c r="D21" s="266" t="n">
        <v>1100</v>
      </c>
      <c r="E21" s="106"/>
      <c r="F21" s="273" t="n">
        <f aca="false">IF(D21&lt;&gt;"",D21*$C$14,E21)</f>
        <v>1802.35</v>
      </c>
      <c r="G21" s="298" t="n">
        <v>4</v>
      </c>
      <c r="H21" s="273" t="n">
        <f aca="false">F21*G21</f>
        <v>7209.4</v>
      </c>
      <c r="I21" s="23" t="s">
        <v>1686</v>
      </c>
    </row>
    <row r="22" customFormat="false" ht="15" hidden="false" customHeight="true" outlineLevel="0" collapsed="false">
      <c r="A22" s="297" t="s">
        <v>1604</v>
      </c>
      <c r="B22" s="297" t="s">
        <v>1687</v>
      </c>
      <c r="C22" s="297" t="s">
        <v>1494</v>
      </c>
      <c r="D22" s="266" t="n">
        <v>600</v>
      </c>
      <c r="E22" s="106"/>
      <c r="F22" s="273" t="n">
        <f aca="false">IF(D22&lt;&gt;"",D22*$C$14,E22)</f>
        <v>983.1</v>
      </c>
      <c r="G22" s="298" t="n">
        <v>2</v>
      </c>
      <c r="H22" s="273" t="n">
        <f aca="false">F22*G22</f>
        <v>1966.2</v>
      </c>
      <c r="I22" s="23" t="s">
        <v>1688</v>
      </c>
    </row>
    <row r="23" customFormat="false" ht="15" hidden="false" customHeight="true" outlineLevel="0" collapsed="false">
      <c r="A23" s="297" t="s">
        <v>1656</v>
      </c>
      <c r="B23" s="297" t="s">
        <v>1657</v>
      </c>
      <c r="C23" s="297" t="s">
        <v>1541</v>
      </c>
      <c r="D23" s="266" t="n">
        <v>3015</v>
      </c>
      <c r="E23" s="106"/>
      <c r="F23" s="273" t="n">
        <f aca="false">IF(D23&lt;&gt;"",D23*$C$14,E23)</f>
        <v>4940.0775</v>
      </c>
      <c r="G23" s="298" t="n">
        <v>1</v>
      </c>
      <c r="H23" s="273" t="n">
        <f aca="false">F23*G23</f>
        <v>4940.0775</v>
      </c>
      <c r="I23" s="23" t="s">
        <v>1689</v>
      </c>
    </row>
    <row r="24" customFormat="false" ht="15" hidden="false" customHeight="true" outlineLevel="0" collapsed="false">
      <c r="A24" s="297" t="s">
        <v>1613</v>
      </c>
      <c r="B24" s="297" t="s">
        <v>1690</v>
      </c>
      <c r="C24" s="297" t="s">
        <v>1498</v>
      </c>
      <c r="D24" s="266"/>
      <c r="E24" s="106" t="n">
        <v>600</v>
      </c>
      <c r="F24" s="273" t="n">
        <f aca="false">IF(D24&lt;&gt;"",D24*$C$14,E24)</f>
        <v>600</v>
      </c>
      <c r="G24" s="298" t="n">
        <v>2</v>
      </c>
      <c r="H24" s="273" t="n">
        <f aca="false">F24*G24</f>
        <v>1200</v>
      </c>
      <c r="I24" s="23" t="s">
        <v>1691</v>
      </c>
    </row>
    <row r="25" customFormat="false" ht="15" hidden="false" customHeight="true" outlineLevel="0" collapsed="false">
      <c r="A25" s="297" t="s">
        <v>1616</v>
      </c>
      <c r="B25" s="297" t="s">
        <v>1617</v>
      </c>
      <c r="C25" s="297" t="s">
        <v>1494</v>
      </c>
      <c r="D25" s="266" t="n">
        <v>1500</v>
      </c>
      <c r="E25" s="106"/>
      <c r="F25" s="273" t="n">
        <f aca="false">IF(D25&lt;&gt;"",D25*$C$14,E25)</f>
        <v>2457.75</v>
      </c>
      <c r="G25" s="298" t="n">
        <v>3</v>
      </c>
      <c r="H25" s="273" t="n">
        <f aca="false">F25*G25</f>
        <v>7373.25</v>
      </c>
      <c r="I25" s="23" t="s">
        <v>1692</v>
      </c>
    </row>
    <row r="26" customFormat="false" ht="15" hidden="false" customHeight="true" outlineLevel="0" collapsed="false">
      <c r="A26" s="297" t="s">
        <v>1619</v>
      </c>
      <c r="B26" s="297" t="s">
        <v>1620</v>
      </c>
      <c r="C26" s="297" t="s">
        <v>1494</v>
      </c>
      <c r="D26" s="266" t="n">
        <v>700</v>
      </c>
      <c r="E26" s="106"/>
      <c r="F26" s="273" t="n">
        <f aca="false">IF(D26&lt;&gt;"",D26*$C$14,E26)</f>
        <v>1146.95</v>
      </c>
      <c r="G26" s="298" t="n">
        <v>2</v>
      </c>
      <c r="H26" s="273" t="n">
        <f aca="false">F26*G26</f>
        <v>2293.9</v>
      </c>
      <c r="I26" s="23"/>
    </row>
    <row r="27" customFormat="false" ht="15" hidden="false" customHeight="true" outlineLevel="0" collapsed="false">
      <c r="A27" s="297" t="s">
        <v>1622</v>
      </c>
      <c r="B27" s="297" t="s">
        <v>1693</v>
      </c>
      <c r="C27" s="297" t="s">
        <v>1494</v>
      </c>
      <c r="D27" s="266" t="n">
        <v>800</v>
      </c>
      <c r="E27" s="106"/>
      <c r="F27" s="273" t="n">
        <f aca="false">IF(D27&lt;&gt;"",D27*$C$14,E27)</f>
        <v>1310.8</v>
      </c>
      <c r="G27" s="298" t="n">
        <v>2</v>
      </c>
      <c r="H27" s="273" t="n">
        <f aca="false">F27*G27</f>
        <v>2621.6</v>
      </c>
      <c r="I27" s="23"/>
    </row>
    <row r="28" customFormat="false" ht="15" hidden="false" customHeight="true" outlineLevel="0" collapsed="false">
      <c r="A28" s="297" t="s">
        <v>1571</v>
      </c>
      <c r="B28" s="297" t="s">
        <v>1572</v>
      </c>
      <c r="C28" s="297" t="s">
        <v>1498</v>
      </c>
      <c r="D28" s="266"/>
      <c r="E28" s="106" t="n">
        <v>5500</v>
      </c>
      <c r="F28" s="273" t="n">
        <f aca="false">IF(D28&lt;&gt;"",D28*$C$14,E28)</f>
        <v>5500</v>
      </c>
      <c r="G28" s="298" t="n">
        <v>2</v>
      </c>
      <c r="H28" s="273" t="n">
        <f aca="false">F28*G28</f>
        <v>11000</v>
      </c>
      <c r="I28" s="23" t="s">
        <v>1694</v>
      </c>
    </row>
    <row r="29" customFormat="false" ht="15" hidden="false" customHeight="true" outlineLevel="0" collapsed="false">
      <c r="A29" s="297" t="s">
        <v>1574</v>
      </c>
      <c r="B29" s="297" t="s">
        <v>1695</v>
      </c>
      <c r="C29" s="297" t="s">
        <v>1498</v>
      </c>
      <c r="D29" s="266"/>
      <c r="E29" s="106" t="n">
        <v>3000</v>
      </c>
      <c r="F29" s="273" t="n">
        <f aca="false">IF(D29&lt;&gt;"",D29*$C$14,E29)</f>
        <v>3000</v>
      </c>
      <c r="G29" s="298" t="n">
        <v>1</v>
      </c>
      <c r="H29" s="273" t="n">
        <f aca="false">F29*G29</f>
        <v>3000</v>
      </c>
      <c r="I29" s="23" t="s">
        <v>1696</v>
      </c>
    </row>
    <row r="30" customFormat="false" ht="15" hidden="false" customHeight="true" outlineLevel="0" collapsed="false">
      <c r="A30" s="297" t="s">
        <v>1580</v>
      </c>
      <c r="B30" s="297" t="s">
        <v>1697</v>
      </c>
      <c r="C30" s="297" t="s">
        <v>1498</v>
      </c>
      <c r="D30" s="106"/>
      <c r="E30" s="266" t="n">
        <v>2000</v>
      </c>
      <c r="F30" s="273" t="n">
        <f aca="false">IF(D30&lt;&gt;"",D30*$C$14,E30)</f>
        <v>2000</v>
      </c>
      <c r="G30" s="298" t="n">
        <v>2</v>
      </c>
      <c r="H30" s="273" t="n">
        <f aca="false">F30*G30</f>
        <v>4000</v>
      </c>
      <c r="I30" s="23" t="s">
        <v>1698</v>
      </c>
    </row>
    <row r="31" customFormat="false" ht="15" hidden="false" customHeight="true" outlineLevel="0" collapsed="false">
      <c r="A31" s="297" t="s">
        <v>1583</v>
      </c>
      <c r="B31" s="297" t="s">
        <v>1699</v>
      </c>
      <c r="C31" s="297" t="s">
        <v>1498</v>
      </c>
      <c r="D31" s="106"/>
      <c r="E31" s="266" t="n">
        <v>1500</v>
      </c>
      <c r="F31" s="273" t="n">
        <f aca="false">IF(D31&lt;&gt;"",D31*$C$14,E31)</f>
        <v>1500</v>
      </c>
      <c r="G31" s="298" t="n">
        <v>1</v>
      </c>
      <c r="H31" s="273" t="n">
        <f aca="false">F31*G31</f>
        <v>1500</v>
      </c>
      <c r="I31" s="23"/>
    </row>
    <row r="32" customFormat="false" ht="15" hidden="false" customHeight="true" outlineLevel="0" collapsed="false">
      <c r="A32" s="297" t="s">
        <v>1586</v>
      </c>
      <c r="B32" s="297" t="s">
        <v>1587</v>
      </c>
      <c r="C32" s="297" t="s">
        <v>1498</v>
      </c>
      <c r="D32" s="106"/>
      <c r="E32" s="266" t="n">
        <v>1100</v>
      </c>
      <c r="F32" s="273" t="n">
        <f aca="false">IF(D32&lt;&gt;"",D32*$C$14,E32)</f>
        <v>1100</v>
      </c>
      <c r="G32" s="298" t="n">
        <v>1</v>
      </c>
      <c r="H32" s="273" t="n">
        <f aca="false">F32*G32</f>
        <v>1100</v>
      </c>
      <c r="I32" s="23"/>
    </row>
    <row r="33" customFormat="false" ht="15" hidden="false" customHeight="true" outlineLevel="0" collapsed="false">
      <c r="A33" s="297" t="s">
        <v>1598</v>
      </c>
      <c r="B33" s="297" t="s">
        <v>1599</v>
      </c>
      <c r="C33" s="297" t="s">
        <v>1498</v>
      </c>
      <c r="D33" s="106"/>
      <c r="E33" s="266" t="n">
        <v>800</v>
      </c>
      <c r="F33" s="273" t="n">
        <f aca="false">IF(D33&lt;&gt;"",D33*$C$14,E33)</f>
        <v>800</v>
      </c>
      <c r="G33" s="298" t="n">
        <v>2</v>
      </c>
      <c r="H33" s="273" t="n">
        <f aca="false">F33*G33</f>
        <v>1600</v>
      </c>
      <c r="I33" s="23" t="s">
        <v>1700</v>
      </c>
    </row>
    <row r="34" customFormat="false" ht="15" hidden="false" customHeight="true" outlineLevel="0" collapsed="false">
      <c r="A34" s="297" t="s">
        <v>1577</v>
      </c>
      <c r="B34" s="297" t="s">
        <v>1701</v>
      </c>
      <c r="C34" s="297" t="s">
        <v>1498</v>
      </c>
      <c r="D34" s="106"/>
      <c r="E34" s="266" t="n">
        <v>1200</v>
      </c>
      <c r="F34" s="273" t="n">
        <f aca="false">IF(D34&lt;&gt;"",D34*$C$14,E34)</f>
        <v>1200</v>
      </c>
      <c r="G34" s="298" t="n">
        <v>3</v>
      </c>
      <c r="H34" s="273" t="n">
        <f aca="false">F34*G34</f>
        <v>3600</v>
      </c>
      <c r="I34" s="23" t="s">
        <v>1702</v>
      </c>
    </row>
    <row r="35" customFormat="false" ht="15" hidden="false" customHeight="true" outlineLevel="0" collapsed="false">
      <c r="A35" s="297" t="s">
        <v>1703</v>
      </c>
      <c r="B35" s="297" t="s">
        <v>1704</v>
      </c>
      <c r="C35" s="297" t="s">
        <v>1498</v>
      </c>
      <c r="D35" s="106"/>
      <c r="E35" s="266" t="n">
        <v>12000</v>
      </c>
      <c r="F35" s="273" t="n">
        <f aca="false">IF(D35&lt;&gt;"",D35*$C$14,E35)</f>
        <v>12000</v>
      </c>
      <c r="G35" s="298" t="n">
        <v>1</v>
      </c>
      <c r="H35" s="273" t="n">
        <f aca="false">F35*G35</f>
        <v>12000</v>
      </c>
      <c r="I35" s="23" t="s">
        <v>1705</v>
      </c>
    </row>
    <row r="36" customFormat="false" ht="15" hidden="false" customHeight="true" outlineLevel="0" collapsed="false">
      <c r="A36" s="297" t="s">
        <v>1706</v>
      </c>
      <c r="B36" s="297" t="s">
        <v>1707</v>
      </c>
      <c r="C36" s="297" t="s">
        <v>1498</v>
      </c>
      <c r="D36" s="106"/>
      <c r="E36" s="266" t="n">
        <v>8000</v>
      </c>
      <c r="F36" s="273" t="n">
        <f aca="false">IF(D36&lt;&gt;"",D36*$C$14,E36)</f>
        <v>8000</v>
      </c>
      <c r="G36" s="298" t="n">
        <v>1</v>
      </c>
      <c r="H36" s="273" t="n">
        <f aca="false">F36*G36</f>
        <v>8000</v>
      </c>
      <c r="I36" s="23" t="s">
        <v>1708</v>
      </c>
    </row>
    <row r="37" customFormat="false" ht="15" hidden="false" customHeight="true" outlineLevel="0" collapsed="false">
      <c r="A37" s="297" t="s">
        <v>1709</v>
      </c>
      <c r="B37" s="297" t="s">
        <v>1710</v>
      </c>
      <c r="C37" s="297" t="s">
        <v>1498</v>
      </c>
      <c r="D37" s="106"/>
      <c r="E37" s="266" t="n">
        <v>15000</v>
      </c>
      <c r="F37" s="273" t="n">
        <f aca="false">IF(D37&lt;&gt;"",D37*$C$14,E37)</f>
        <v>15000</v>
      </c>
      <c r="G37" s="298" t="n">
        <v>1</v>
      </c>
      <c r="H37" s="273" t="n">
        <f aca="false">F37*G37</f>
        <v>15000</v>
      </c>
      <c r="I37" s="23" t="s">
        <v>1711</v>
      </c>
    </row>
    <row r="38" customFormat="false" ht="15" hidden="false" customHeight="true" outlineLevel="0" collapsed="false">
      <c r="A38" s="297" t="s">
        <v>1651</v>
      </c>
      <c r="B38" s="297" t="s">
        <v>1652</v>
      </c>
      <c r="C38" s="297" t="s">
        <v>1498</v>
      </c>
      <c r="D38" s="106"/>
      <c r="E38" s="266" t="n">
        <v>3000</v>
      </c>
      <c r="F38" s="273" t="n">
        <f aca="false">IF(D38&lt;&gt;"",D38*$C$14,E38)</f>
        <v>3000</v>
      </c>
      <c r="G38" s="298" t="n">
        <v>3</v>
      </c>
      <c r="H38" s="273" t="n">
        <f aca="false">F38*G38</f>
        <v>9000</v>
      </c>
      <c r="I38" s="23" t="s">
        <v>1712</v>
      </c>
    </row>
    <row r="39" customFormat="false" ht="15" hidden="false" customHeight="true" outlineLevel="0" collapsed="false">
      <c r="A39" s="297" t="s">
        <v>1595</v>
      </c>
      <c r="B39" s="297" t="s">
        <v>1596</v>
      </c>
      <c r="C39" s="297" t="s">
        <v>1498</v>
      </c>
      <c r="D39" s="106"/>
      <c r="E39" s="266" t="n">
        <v>500</v>
      </c>
      <c r="F39" s="273" t="n">
        <f aca="false">IF(D39&lt;&gt;"",D39*$C$14,E39)</f>
        <v>500</v>
      </c>
      <c r="G39" s="298" t="n">
        <v>1</v>
      </c>
      <c r="H39" s="273" t="n">
        <f aca="false">F39*G39</f>
        <v>500</v>
      </c>
      <c r="I39" s="23"/>
    </row>
    <row r="40" customFormat="false" ht="15" hidden="false" customHeight="true" outlineLevel="0" collapsed="false">
      <c r="A40" s="297" t="s">
        <v>1589</v>
      </c>
      <c r="B40" s="297" t="s">
        <v>1590</v>
      </c>
      <c r="C40" s="297" t="s">
        <v>1713</v>
      </c>
      <c r="D40" s="106"/>
      <c r="E40" s="266"/>
      <c r="F40" s="294" t="n">
        <f aca="false">SUP_TECNOLOGIA!$F$9</f>
        <v>5000</v>
      </c>
      <c r="G40" s="298" t="n">
        <v>1</v>
      </c>
      <c r="H40" s="273" t="n">
        <f aca="false">F40*G40</f>
        <v>5000</v>
      </c>
      <c r="I40" s="23" t="s">
        <v>1714</v>
      </c>
    </row>
    <row r="41" customFormat="false" ht="15" hidden="false" customHeight="true" outlineLevel="0" collapsed="false">
      <c r="A41" s="297" t="s">
        <v>1601</v>
      </c>
      <c r="B41" s="297" t="s">
        <v>1602</v>
      </c>
      <c r="C41" s="297" t="s">
        <v>1494</v>
      </c>
      <c r="D41" s="106" t="n">
        <v>1100</v>
      </c>
      <c r="E41" s="266"/>
      <c r="F41" s="273" t="n">
        <f aca="false">IF(D41&lt;&gt;"",D41*$C$14,E41)</f>
        <v>1802.35</v>
      </c>
      <c r="G41" s="298" t="n">
        <v>3</v>
      </c>
      <c r="H41" s="273" t="n">
        <f aca="false">F41*G41</f>
        <v>5407.05</v>
      </c>
      <c r="I41" s="23" t="s">
        <v>1715</v>
      </c>
    </row>
    <row r="42" customFormat="false" ht="15" hidden="false" customHeight="true" outlineLevel="0" collapsed="false">
      <c r="A42" s="297" t="s">
        <v>1716</v>
      </c>
      <c r="B42" s="297" t="s">
        <v>1717</v>
      </c>
      <c r="C42" s="297" t="s">
        <v>1498</v>
      </c>
      <c r="D42" s="106"/>
      <c r="E42" s="266" t="n">
        <v>1200</v>
      </c>
      <c r="F42" s="273" t="n">
        <f aca="false">IF(D42&lt;&gt;"",D42*$C$14,E42)</f>
        <v>1200</v>
      </c>
      <c r="G42" s="298" t="n">
        <v>1</v>
      </c>
      <c r="H42" s="273" t="n">
        <f aca="false">F42*G42</f>
        <v>1200</v>
      </c>
      <c r="I42" s="23" t="s">
        <v>1718</v>
      </c>
    </row>
    <row r="43" customFormat="false" ht="15" hidden="false" customHeight="true" outlineLevel="0" collapsed="false">
      <c r="A43" s="297" t="s">
        <v>1719</v>
      </c>
      <c r="B43" s="297" t="s">
        <v>1720</v>
      </c>
      <c r="C43" s="297" t="s">
        <v>1498</v>
      </c>
      <c r="D43" s="106"/>
      <c r="E43" s="266" t="n">
        <v>6000</v>
      </c>
      <c r="F43" s="273" t="n">
        <f aca="false">IF(D43&lt;&gt;"",D43*$C$14,E43)</f>
        <v>6000</v>
      </c>
      <c r="G43" s="298" t="n">
        <v>1</v>
      </c>
      <c r="H43" s="273" t="n">
        <f aca="false">F43*G43</f>
        <v>6000</v>
      </c>
      <c r="I43" s="23" t="s">
        <v>1721</v>
      </c>
    </row>
    <row r="44" customFormat="false" ht="15" hidden="false" customHeight="true" outlineLevel="0" collapsed="false">
      <c r="A44" s="297" t="s">
        <v>1722</v>
      </c>
      <c r="B44" s="297" t="s">
        <v>1723</v>
      </c>
      <c r="C44" s="297" t="s">
        <v>1498</v>
      </c>
      <c r="D44" s="106"/>
      <c r="E44" s="266" t="n">
        <v>1500</v>
      </c>
      <c r="F44" s="273" t="n">
        <f aca="false">IF(D44&lt;&gt;"",D44*$C$14,E44)</f>
        <v>1500</v>
      </c>
      <c r="G44" s="298" t="n">
        <v>1</v>
      </c>
      <c r="H44" s="273" t="n">
        <f aca="false">F44*G44</f>
        <v>1500</v>
      </c>
      <c r="I44" s="23" t="s">
        <v>1724</v>
      </c>
    </row>
    <row r="45" customFormat="false" ht="15" hidden="false" customHeight="true" outlineLevel="0" collapsed="false">
      <c r="A45" s="297" t="s">
        <v>1634</v>
      </c>
      <c r="B45" s="297" t="s">
        <v>1635</v>
      </c>
      <c r="C45" s="297" t="s">
        <v>1498</v>
      </c>
      <c r="D45" s="106"/>
      <c r="E45" s="266" t="n">
        <v>300</v>
      </c>
      <c r="F45" s="273" t="n">
        <f aca="false">IF(D45&lt;&gt;"",D45*$C$14,E45)</f>
        <v>300</v>
      </c>
      <c r="G45" s="298" t="n">
        <v>1</v>
      </c>
      <c r="H45" s="273" t="n">
        <f aca="false">F45*G45</f>
        <v>300</v>
      </c>
      <c r="I45" s="23"/>
    </row>
    <row r="46" customFormat="false" ht="15" hidden="false" customHeight="true" outlineLevel="0" collapsed="false">
      <c r="A46" s="297" t="s">
        <v>1725</v>
      </c>
      <c r="B46" s="297" t="s">
        <v>1726</v>
      </c>
      <c r="C46" s="297" t="s">
        <v>1498</v>
      </c>
      <c r="D46" s="106"/>
      <c r="E46" s="266" t="n">
        <v>12000</v>
      </c>
      <c r="F46" s="273" t="n">
        <f aca="false">IF(D46&lt;&gt;"",D46*$C$14,E46)</f>
        <v>12000</v>
      </c>
      <c r="G46" s="298" t="n">
        <v>1</v>
      </c>
      <c r="H46" s="273" t="n">
        <f aca="false">F46*G46</f>
        <v>12000</v>
      </c>
      <c r="I46" s="23" t="s">
        <v>1727</v>
      </c>
    </row>
    <row r="47" customFormat="false" ht="15" hidden="false" customHeight="true" outlineLevel="0" collapsed="false">
      <c r="A47" s="297" t="s">
        <v>1728</v>
      </c>
      <c r="B47" s="297" t="s">
        <v>1729</v>
      </c>
      <c r="C47" s="297" t="s">
        <v>1730</v>
      </c>
      <c r="D47" s="106"/>
      <c r="E47" s="266" t="n">
        <v>0</v>
      </c>
      <c r="F47" s="273" t="n">
        <f aca="false">IF(D47&lt;&gt;"",D47*$C$14,E47)</f>
        <v>0</v>
      </c>
      <c r="G47" s="298" t="n">
        <v>0</v>
      </c>
      <c r="H47" s="273" t="n">
        <f aca="false">F47*G47</f>
        <v>0</v>
      </c>
      <c r="I47" s="23" t="s">
        <v>1731</v>
      </c>
    </row>
    <row r="48" customFormat="false" ht="15" hidden="false" customHeight="true" outlineLevel="0" collapsed="false">
      <c r="B48" s="178" t="s">
        <v>1732</v>
      </c>
      <c r="H48" s="268" t="n">
        <f aca="false">SUM(H20:H47)</f>
        <v>151480.3825</v>
      </c>
    </row>
    <row r="49" customFormat="false" ht="15" hidden="false" customHeight="true" outlineLevel="0" collapsed="false">
      <c r="B49" s="178" t="s">
        <v>1733</v>
      </c>
      <c r="H49" s="268" t="n">
        <f aca="false">H48*$C$16</f>
        <v>0</v>
      </c>
    </row>
    <row r="50" customFormat="false" ht="15" hidden="false" customHeight="true" outlineLevel="0" collapsed="false">
      <c r="B50" s="178" t="s">
        <v>1734</v>
      </c>
      <c r="H50" s="268" t="n">
        <f aca="false">$C$6*$C$9</f>
        <v>280000</v>
      </c>
    </row>
    <row r="51" customFormat="false" ht="15" hidden="false" customHeight="true" outlineLevel="0" collapsed="false">
      <c r="B51" s="178" t="s">
        <v>1735</v>
      </c>
      <c r="H51" s="268" t="n">
        <f aca="false">$C$10+$C$11+$C$12</f>
        <v>0</v>
      </c>
    </row>
    <row r="52" customFormat="false" ht="15" hidden="false" customHeight="true" outlineLevel="0" collapsed="false">
      <c r="B52" s="178" t="s">
        <v>1642</v>
      </c>
      <c r="H52" s="268" t="n">
        <f aca="false">$C$13</f>
        <v>10000</v>
      </c>
    </row>
    <row r="53" customFormat="false" ht="15" hidden="false" customHeight="true" outlineLevel="0" collapsed="false">
      <c r="B53" s="178" t="s">
        <v>1736</v>
      </c>
      <c r="H53" s="268" t="n">
        <f aca="false">SUM(H48:H52)</f>
        <v>441480.3825</v>
      </c>
    </row>
    <row r="54" customFormat="false" ht="15" hidden="false" customHeight="true" outlineLevel="0" collapsed="false">
      <c r="B54" s="178" t="s">
        <v>1556</v>
      </c>
      <c r="H54" s="268" t="n">
        <f aca="false">H53*$C$15</f>
        <v>44148.03825</v>
      </c>
    </row>
    <row r="55" customFormat="false" ht="15" hidden="false" customHeight="true" outlineLevel="0" collapsed="false">
      <c r="B55" s="180" t="s">
        <v>1737</v>
      </c>
      <c r="H55" s="290" t="n">
        <f aca="false">H53+H54</f>
        <v>485628.42075</v>
      </c>
    </row>
    <row r="57" customFormat="false" ht="15" hidden="false" customHeight="true" outlineLevel="0" collapsed="false">
      <c r="B57" s="23" t="s">
        <v>1738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838F"/>
    <pageSetUpPr fitToPage="false"/>
  </sheetPr>
  <dimension ref="A1:I93"/>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selection pane="topLeft" activeCell="B93" activeCellId="0" sqref="B93"/>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79.33"/>
    <col collapsed="false" customWidth="true" hidden="false" outlineLevel="0" max="5" min="3" style="1" width="12"/>
    <col collapsed="false" customWidth="true" hidden="false" outlineLevel="0" max="6" min="6" style="1" width="13"/>
    <col collapsed="false" customWidth="true" hidden="false" outlineLevel="0" max="7" min="7" style="1" width="100"/>
  </cols>
  <sheetData>
    <row r="1" customFormat="false" ht="15" hidden="false" customHeight="true" outlineLevel="0" collapsed="false">
      <c r="A1" s="185" t="s">
        <v>1739</v>
      </c>
      <c r="B1" s="126"/>
      <c r="C1" s="126"/>
      <c r="D1" s="126"/>
      <c r="E1" s="126"/>
      <c r="F1" s="126"/>
      <c r="G1" s="126"/>
      <c r="H1" s="126"/>
      <c r="I1" s="126"/>
    </row>
    <row r="2" customFormat="false" ht="15" hidden="false" customHeight="true" outlineLevel="0" collapsed="false">
      <c r="A2" s="23" t="s">
        <v>1740</v>
      </c>
    </row>
    <row r="3" customFormat="false" ht="15" hidden="false" customHeight="true" outlineLevel="0" collapsed="false">
      <c r="A3" s="23" t="s">
        <v>495</v>
      </c>
    </row>
    <row r="5" customFormat="false" ht="15" hidden="false" customHeight="true" outlineLevel="0" collapsed="false">
      <c r="A5" s="186" t="s">
        <v>1741</v>
      </c>
      <c r="B5" s="25"/>
      <c r="C5" s="25"/>
      <c r="D5" s="25"/>
      <c r="E5" s="25"/>
      <c r="F5" s="25"/>
      <c r="G5" s="25"/>
      <c r="H5" s="25"/>
      <c r="I5" s="25"/>
    </row>
    <row r="6" customFormat="false" ht="15" hidden="false" customHeight="true" outlineLevel="0" collapsed="false">
      <c r="B6" s="1" t="s">
        <v>1742</v>
      </c>
      <c r="C6" s="190" t="n">
        <v>16</v>
      </c>
      <c r="G6" s="23" t="s">
        <v>1743</v>
      </c>
    </row>
    <row r="7" customFormat="false" ht="15" hidden="false" customHeight="true" outlineLevel="0" collapsed="false">
      <c r="B7" s="1" t="s">
        <v>1744</v>
      </c>
      <c r="C7" s="190" t="n">
        <v>26</v>
      </c>
    </row>
    <row r="8" customFormat="false" ht="15" hidden="false" customHeight="true" outlineLevel="0" collapsed="false">
      <c r="B8" s="1" t="s">
        <v>1745</v>
      </c>
      <c r="C8" s="199" t="n">
        <v>0.65</v>
      </c>
      <c r="G8" s="23" t="s">
        <v>1746</v>
      </c>
    </row>
    <row r="10" customFormat="false" ht="15" hidden="false" customHeight="true" outlineLevel="0" collapsed="false">
      <c r="A10" s="186" t="s">
        <v>1747</v>
      </c>
      <c r="B10" s="25"/>
      <c r="C10" s="25"/>
      <c r="D10" s="25"/>
      <c r="E10" s="25"/>
      <c r="F10" s="25"/>
      <c r="G10" s="25"/>
      <c r="H10" s="25"/>
      <c r="I10" s="25"/>
    </row>
    <row r="11" customFormat="false" ht="15" hidden="false" customHeight="true" outlineLevel="0" collapsed="false">
      <c r="B11" s="1" t="s">
        <v>1748</v>
      </c>
      <c r="C11" s="190" t="n">
        <v>500</v>
      </c>
      <c r="G11" s="23" t="s">
        <v>1749</v>
      </c>
    </row>
    <row r="12" customFormat="false" ht="15" hidden="false" customHeight="true" outlineLevel="0" collapsed="false">
      <c r="B12" s="1" t="s">
        <v>1750</v>
      </c>
      <c r="C12" s="315" t="n">
        <v>0.5</v>
      </c>
      <c r="G12" s="23" t="s">
        <v>1751</v>
      </c>
    </row>
    <row r="13" customFormat="false" ht="15" hidden="false" customHeight="true" outlineLevel="0" collapsed="false">
      <c r="B13" s="1" t="s">
        <v>1752</v>
      </c>
      <c r="C13" s="190" t="n">
        <v>40</v>
      </c>
      <c r="G13" s="23" t="s">
        <v>1753</v>
      </c>
    </row>
    <row r="14" customFormat="false" ht="15" hidden="false" customHeight="true" outlineLevel="0" collapsed="false">
      <c r="B14" s="1" t="s">
        <v>1754</v>
      </c>
      <c r="C14" s="190" t="n">
        <v>3</v>
      </c>
      <c r="G14" s="23" t="s">
        <v>1755</v>
      </c>
    </row>
    <row r="15" customFormat="false" ht="15" hidden="false" customHeight="true" outlineLevel="0" collapsed="false">
      <c r="B15" s="1" t="s">
        <v>1756</v>
      </c>
      <c r="C15" s="190" t="n">
        <v>20</v>
      </c>
    </row>
    <row r="16" customFormat="false" ht="15" hidden="false" customHeight="true" outlineLevel="0" collapsed="false">
      <c r="B16" s="1" t="s">
        <v>1757</v>
      </c>
      <c r="C16" s="298" t="n">
        <f aca="false">C11*C12</f>
        <v>250</v>
      </c>
    </row>
    <row r="17" customFormat="false" ht="15" hidden="false" customHeight="true" outlineLevel="0" collapsed="false">
      <c r="B17" s="1" t="s">
        <v>1758</v>
      </c>
      <c r="C17" s="316" t="n">
        <f aca="false">(C6*60*$C$8-C14*C15)/C13</f>
        <v>14.1</v>
      </c>
    </row>
    <row r="18" customFormat="false" ht="15" hidden="false" customHeight="true" outlineLevel="0" collapsed="false">
      <c r="B18" s="1" t="s">
        <v>1759</v>
      </c>
      <c r="C18" s="317" t="n">
        <f aca="false">C16*C17*C7/1000</f>
        <v>91.65</v>
      </c>
      <c r="G18" s="23" t="s">
        <v>1760</v>
      </c>
    </row>
    <row r="20" customFormat="false" ht="15" hidden="false" customHeight="true" outlineLevel="0" collapsed="false">
      <c r="A20" s="186" t="s">
        <v>1761</v>
      </c>
      <c r="B20" s="25"/>
      <c r="C20" s="25"/>
      <c r="D20" s="25"/>
      <c r="E20" s="25"/>
      <c r="F20" s="25"/>
      <c r="G20" s="25"/>
      <c r="H20" s="25"/>
      <c r="I20" s="25"/>
    </row>
    <row r="21" customFormat="false" ht="15" hidden="false" customHeight="true" outlineLevel="0" collapsed="false">
      <c r="B21" s="178" t="s">
        <v>1762</v>
      </c>
      <c r="C21" s="178" t="s">
        <v>1763</v>
      </c>
      <c r="D21" s="178" t="s">
        <v>1764</v>
      </c>
      <c r="G21" s="178" t="s">
        <v>970</v>
      </c>
    </row>
    <row r="22" customFormat="false" ht="15" hidden="false" customHeight="true" outlineLevel="0" collapsed="false">
      <c r="B22" s="1" t="s">
        <v>1765</v>
      </c>
      <c r="C22" s="190" t="n">
        <v>300</v>
      </c>
      <c r="D22" s="316" t="n">
        <f aca="false">C22*$C$6*$C$7*$C$8/1000</f>
        <v>81.12</v>
      </c>
      <c r="G22" s="23" t="s">
        <v>1766</v>
      </c>
    </row>
    <row r="23" customFormat="false" ht="15" hidden="false" customHeight="true" outlineLevel="0" collapsed="false">
      <c r="B23" s="1" t="s">
        <v>1767</v>
      </c>
      <c r="C23" s="190" t="n">
        <v>150</v>
      </c>
      <c r="D23" s="316" t="n">
        <f aca="false">C23*$C$6*$C$7*$C$8/1000</f>
        <v>40.56</v>
      </c>
      <c r="G23" s="23" t="s">
        <v>1768</v>
      </c>
    </row>
    <row r="24" customFormat="false" ht="15" hidden="false" customHeight="true" outlineLevel="0" collapsed="false">
      <c r="B24" s="1" t="s">
        <v>1769</v>
      </c>
      <c r="C24" s="190" t="n">
        <v>250</v>
      </c>
      <c r="D24" s="316" t="n">
        <f aca="false">C24*$C$6*$C$7*$C$8/1000</f>
        <v>67.6</v>
      </c>
      <c r="G24" s="23" t="s">
        <v>1770</v>
      </c>
    </row>
    <row r="25" customFormat="false" ht="15" hidden="false" customHeight="true" outlineLevel="0" collapsed="false">
      <c r="B25" s="1" t="s">
        <v>1771</v>
      </c>
      <c r="C25" s="190" t="n">
        <v>250</v>
      </c>
      <c r="D25" s="316" t="n">
        <f aca="false">C25*$C$6*$C$7*$C$8/1000</f>
        <v>67.6</v>
      </c>
      <c r="G25" s="23" t="s">
        <v>1772</v>
      </c>
    </row>
    <row r="26" customFormat="false" ht="15" hidden="false" customHeight="true" outlineLevel="0" collapsed="false">
      <c r="B26" s="1" t="s">
        <v>1773</v>
      </c>
      <c r="C26" s="190" t="n">
        <v>500</v>
      </c>
      <c r="D26" s="316" t="n">
        <f aca="false">C26*$C$6*$C$7*$C$8/1000</f>
        <v>135.2</v>
      </c>
      <c r="G26" s="23" t="s">
        <v>1774</v>
      </c>
    </row>
    <row r="28" customFormat="false" ht="15" hidden="false" customHeight="true" outlineLevel="0" collapsed="false">
      <c r="A28" s="186" t="s">
        <v>1775</v>
      </c>
      <c r="B28" s="25"/>
      <c r="C28" s="25"/>
      <c r="D28" s="25"/>
      <c r="E28" s="25"/>
      <c r="F28" s="25"/>
      <c r="G28" s="25"/>
      <c r="H28" s="25"/>
      <c r="I28" s="25"/>
    </row>
    <row r="29" customFormat="false" ht="15" hidden="false" customHeight="true" outlineLevel="0" collapsed="false">
      <c r="B29" s="1" t="s">
        <v>1776</v>
      </c>
      <c r="C29" s="200" t="n">
        <f aca="false">SUP_VOLUMEN!$C$36+SUP_VOLUMEN!$C$39*0.47</f>
        <v>0.3282</v>
      </c>
      <c r="G29" s="23" t="s">
        <v>1777</v>
      </c>
    </row>
    <row r="30" customFormat="false" ht="15" hidden="false" customHeight="true" outlineLevel="0" collapsed="false">
      <c r="B30" s="1" t="s">
        <v>1778</v>
      </c>
      <c r="C30" s="200" t="n">
        <f aca="false">SUP_VOLUMEN!$C$35+SUP_VOLUMEN!$C$37+SUP_VOLUMEN!$C$39*0.53</f>
        <v>0.5918</v>
      </c>
    </row>
    <row r="31" customFormat="false" ht="15" hidden="false" customHeight="true" outlineLevel="0" collapsed="false">
      <c r="B31" s="1" t="s">
        <v>1779</v>
      </c>
      <c r="C31" s="200" t="n">
        <f aca="false">SUP_VOLUMEN!$C$38</f>
        <v>0.08</v>
      </c>
    </row>
    <row r="33" customFormat="false" ht="15" hidden="false" customHeight="true" outlineLevel="0" collapsed="false">
      <c r="A33" s="186" t="s">
        <v>1780</v>
      </c>
      <c r="B33" s="25"/>
      <c r="C33" s="25"/>
      <c r="D33" s="25"/>
      <c r="E33" s="25"/>
      <c r="F33" s="25"/>
      <c r="G33" s="25"/>
      <c r="H33" s="25"/>
      <c r="I33" s="25"/>
    </row>
    <row r="34" customFormat="false" ht="15" hidden="false" customHeight="true" outlineLevel="0" collapsed="false">
      <c r="B34" s="1" t="s">
        <v>1781</v>
      </c>
      <c r="C34" s="317" t="n">
        <f aca="false">MIN($C$18, D23/$C$29, D22/$C$29, D24/$C$29, D25/$C$29, D26/($C$30+$C$31))</f>
        <v>91.65</v>
      </c>
      <c r="D34" s="115" t="s">
        <v>1782</v>
      </c>
      <c r="G34" s="23" t="s">
        <v>1783</v>
      </c>
    </row>
    <row r="36" customFormat="false" ht="15" hidden="false" customHeight="true" outlineLevel="0" collapsed="false">
      <c r="B36" s="1" t="s">
        <v>1784</v>
      </c>
    </row>
    <row r="37" customFormat="false" ht="15" hidden="false" customHeight="true" outlineLevel="0" collapsed="false">
      <c r="B37" s="1" t="s">
        <v>1785</v>
      </c>
      <c r="C37" s="190" t="n">
        <v>300</v>
      </c>
    </row>
    <row r="38" customFormat="false" ht="15" hidden="false" customHeight="true" outlineLevel="0" collapsed="false">
      <c r="B38" s="1" t="s">
        <v>1786</v>
      </c>
      <c r="C38" s="317" t="n">
        <f aca="false">MIN($C$18*2, C37*$C$6*$C$7*$C$8/1000/$C$29, D22/$C$29, D24/$C$29, D25/$C$29, D26/($C$30+$C$31))</f>
        <v>183.3</v>
      </c>
      <c r="G38" s="23" t="s">
        <v>1787</v>
      </c>
    </row>
    <row r="39" customFormat="false" ht="15" hidden="false" customHeight="true" outlineLevel="0" collapsed="false">
      <c r="B39" s="1" t="s">
        <v>1788</v>
      </c>
      <c r="C39" s="190" t="n">
        <v>500</v>
      </c>
    </row>
    <row r="40" customFormat="false" ht="15" hidden="false" customHeight="true" outlineLevel="0" collapsed="false">
      <c r="B40" s="1" t="s">
        <v>1789</v>
      </c>
      <c r="C40" s="317" t="n">
        <f aca="false">MIN($C$18*4, C39*$C$6*$C$7*$C$8/1000/$C$29, (D22+D22)/$C$29, (D24+D24)/$C$29, (D25+D25)/$C$29, (D26+D26)/($C$30+$C$31))</f>
        <v>366.6</v>
      </c>
      <c r="G40" s="23" t="s">
        <v>1790</v>
      </c>
    </row>
    <row r="41" customFormat="false" ht="15" hidden="false" customHeight="true" outlineLevel="0" collapsed="false">
      <c r="B41" s="1" t="s">
        <v>1791</v>
      </c>
      <c r="C41" s="318" t="n">
        <v>700</v>
      </c>
      <c r="G41" s="23"/>
    </row>
    <row r="42" customFormat="false" ht="15" hidden="false" customHeight="true" outlineLevel="0" collapsed="false">
      <c r="B42" s="1" t="s">
        <v>1792</v>
      </c>
      <c r="C42" s="317" t="n">
        <f aca="false">MIN($C$18*6, C41*$C$6*$C$7*$C$8/1000/$C$29, (D22*3)/$C$29, (D24*3)/$C$29, (D25*3)/$C$29, (D26*3)/($C$30+$C$31))</f>
        <v>549.9</v>
      </c>
      <c r="G42" s="23" t="s">
        <v>1793</v>
      </c>
    </row>
    <row r="44" customFormat="false" ht="15" hidden="false" customHeight="true" outlineLevel="0" collapsed="false">
      <c r="A44" s="186" t="s">
        <v>1794</v>
      </c>
      <c r="B44" s="25"/>
      <c r="C44" s="25"/>
      <c r="D44" s="25"/>
      <c r="E44" s="25"/>
      <c r="F44" s="25"/>
      <c r="G44" s="25"/>
      <c r="H44" s="25"/>
      <c r="I44" s="25"/>
    </row>
    <row r="45" customFormat="false" ht="15" hidden="false" customHeight="true" outlineLevel="0" collapsed="false">
      <c r="B45" s="178" t="s">
        <v>1795</v>
      </c>
      <c r="C45" s="178" t="s">
        <v>1487</v>
      </c>
      <c r="D45" s="178" t="s">
        <v>1796</v>
      </c>
    </row>
    <row r="46" customFormat="false" ht="15" hidden="false" customHeight="true" outlineLevel="0" collapsed="false">
      <c r="B46" s="1" t="s">
        <v>1797</v>
      </c>
      <c r="C46" s="266" t="n">
        <v>24000</v>
      </c>
      <c r="D46" s="273" t="n">
        <f aca="false">C46*SUP_CAPEX_PLANTA!$C$8</f>
        <v>39324</v>
      </c>
    </row>
    <row r="47" customFormat="false" ht="15" hidden="false" customHeight="true" outlineLevel="0" collapsed="false">
      <c r="B47" s="1" t="s">
        <v>1798</v>
      </c>
      <c r="C47" s="266" t="n">
        <v>60000</v>
      </c>
      <c r="D47" s="273" t="n">
        <f aca="false">C47*SUP_CAPEX_PLANTA!$C$8</f>
        <v>98310</v>
      </c>
    </row>
    <row r="48" customFormat="false" ht="15" hidden="false" customHeight="true" outlineLevel="0" collapsed="false">
      <c r="B48" s="1" t="s">
        <v>1799</v>
      </c>
      <c r="C48" s="266" t="n">
        <v>10000</v>
      </c>
      <c r="D48" s="273" t="n">
        <f aca="false">C48*SUP_CAPEX_PLANTA!$C$8</f>
        <v>16385</v>
      </c>
    </row>
    <row r="49" customFormat="false" ht="15" hidden="false" customHeight="true" outlineLevel="0" collapsed="false">
      <c r="B49" s="1" t="s">
        <v>1800</v>
      </c>
      <c r="C49" s="271" t="n">
        <f aca="false">SUM(D46:D48)*(1+SUP_CAPEX_PLANTA!$C$10)*(1+SUP_CAPEX_PLANTA!$C$11)</f>
        <v>189751.408</v>
      </c>
    </row>
    <row r="51" customFormat="false" ht="15" hidden="false" customHeight="true" outlineLevel="0" collapsed="false">
      <c r="B51" s="178" t="s">
        <v>1801</v>
      </c>
      <c r="C51" s="178" t="s">
        <v>1487</v>
      </c>
    </row>
    <row r="52" customFormat="false" ht="15" hidden="false" customHeight="true" outlineLevel="0" collapsed="false">
      <c r="B52" s="1" t="s">
        <v>1802</v>
      </c>
      <c r="C52" s="266" t="n">
        <v>48000</v>
      </c>
      <c r="D52" s="273" t="n">
        <f aca="false">C52*SUP_CAPEX_PLANTA!$C$8</f>
        <v>78648</v>
      </c>
    </row>
    <row r="53" customFormat="false" ht="15" hidden="false" customHeight="true" outlineLevel="0" collapsed="false">
      <c r="B53" s="1" t="s">
        <v>1803</v>
      </c>
      <c r="C53" s="266" t="n">
        <v>55000</v>
      </c>
      <c r="D53" s="273" t="n">
        <f aca="false">C53*SUP_CAPEX_PLANTA!$C$8</f>
        <v>90117.5</v>
      </c>
    </row>
    <row r="54" customFormat="false" ht="15" hidden="false" customHeight="true" outlineLevel="0" collapsed="false">
      <c r="B54" s="1" t="s">
        <v>1804</v>
      </c>
      <c r="C54" s="266" t="n">
        <v>60000</v>
      </c>
      <c r="D54" s="273" t="n">
        <f aca="false">C54*SUP_CAPEX_PLANTA!$C$8</f>
        <v>98310</v>
      </c>
    </row>
    <row r="55" customFormat="false" ht="15" hidden="false" customHeight="true" outlineLevel="0" collapsed="false">
      <c r="B55" s="1" t="s">
        <v>1805</v>
      </c>
      <c r="C55" s="266" t="n">
        <v>45000</v>
      </c>
      <c r="D55" s="273" t="n">
        <f aca="false">C55*SUP_CAPEX_PLANTA!$C$8</f>
        <v>73732.5</v>
      </c>
    </row>
    <row r="56" customFormat="false" ht="15" hidden="false" customHeight="true" outlineLevel="0" collapsed="false">
      <c r="B56" s="1" t="s">
        <v>1806</v>
      </c>
      <c r="C56" s="266" t="n">
        <v>45000</v>
      </c>
      <c r="D56" s="273" t="n">
        <f aca="false">C56*SUP_CAPEX_PLANTA!$C$8</f>
        <v>73732.5</v>
      </c>
    </row>
    <row r="57" customFormat="false" ht="15" hidden="false" customHeight="true" outlineLevel="0" collapsed="false">
      <c r="B57" s="1" t="s">
        <v>1807</v>
      </c>
      <c r="C57" s="271" t="n">
        <f aca="false">SUM(D52:D56)*(1+SUP_CAPEX_PLANTA!$C$10)*(1+SUP_CAPEX_PLANTA!$C$11)</f>
        <v>510713.896</v>
      </c>
    </row>
    <row r="59" customFormat="false" ht="15" hidden="false" customHeight="true" outlineLevel="0" collapsed="false">
      <c r="B59" s="29" t="s">
        <v>1808</v>
      </c>
      <c r="C59" s="29" t="s">
        <v>1487</v>
      </c>
      <c r="D59" s="29" t="s">
        <v>1796</v>
      </c>
      <c r="G59" s="23" t="s">
        <v>1809</v>
      </c>
    </row>
    <row r="60" customFormat="false" ht="15" hidden="false" customHeight="true" outlineLevel="0" collapsed="false">
      <c r="B60" s="1" t="s">
        <v>1810</v>
      </c>
      <c r="C60" s="107" t="n">
        <v>48000</v>
      </c>
      <c r="D60" s="102" t="n">
        <f aca="false">C60*SUP_CAPEX_PLANTA!$C$8</f>
        <v>78648</v>
      </c>
    </row>
    <row r="61" customFormat="false" ht="15" hidden="false" customHeight="true" outlineLevel="0" collapsed="false">
      <c r="B61" s="1" t="s">
        <v>1811</v>
      </c>
      <c r="C61" s="107" t="n">
        <v>55000</v>
      </c>
      <c r="D61" s="102" t="n">
        <f aca="false">C61*SUP_CAPEX_PLANTA!$C$8</f>
        <v>90117.5</v>
      </c>
    </row>
    <row r="62" customFormat="false" ht="15" hidden="false" customHeight="true" outlineLevel="0" collapsed="false">
      <c r="B62" s="1" t="s">
        <v>1812</v>
      </c>
      <c r="C62" s="107" t="n">
        <v>60000</v>
      </c>
      <c r="D62" s="102" t="n">
        <f aca="false">C62*SUP_CAPEX_PLANTA!$C$8</f>
        <v>98310</v>
      </c>
    </row>
    <row r="63" customFormat="false" ht="15" hidden="false" customHeight="true" outlineLevel="0" collapsed="false">
      <c r="B63" s="1" t="s">
        <v>1813</v>
      </c>
      <c r="C63" s="107" t="n">
        <v>45000</v>
      </c>
      <c r="D63" s="102" t="n">
        <f aca="false">C63*SUP_CAPEX_PLANTA!$C$8</f>
        <v>73732.5</v>
      </c>
    </row>
    <row r="64" customFormat="false" ht="15" hidden="false" customHeight="true" outlineLevel="0" collapsed="false">
      <c r="B64" s="1" t="s">
        <v>1814</v>
      </c>
      <c r="C64" s="107" t="n">
        <v>45000</v>
      </c>
      <c r="D64" s="102" t="n">
        <f aca="false">C64*SUP_CAPEX_PLANTA!$C$8</f>
        <v>73732.5</v>
      </c>
    </row>
    <row r="65" customFormat="false" ht="15" hidden="false" customHeight="true" outlineLevel="0" collapsed="false">
      <c r="B65" s="1" t="s">
        <v>1815</v>
      </c>
      <c r="C65" s="319" t="n">
        <f aca="false">SUM(D60:D64)*(1+SUP_CAPEX_PLANTA!$C$10)*(1+SUP_CAPEX_PLANTA!$C$11)</f>
        <v>510713.896</v>
      </c>
    </row>
    <row r="67" customFormat="false" ht="15" hidden="false" customHeight="true" outlineLevel="0" collapsed="false">
      <c r="B67" s="1" t="s">
        <v>1816</v>
      </c>
      <c r="C67" s="197" t="n">
        <v>0.85</v>
      </c>
      <c r="G67" s="23" t="s">
        <v>1817</v>
      </c>
    </row>
    <row r="68" customFormat="false" ht="15" hidden="false" customHeight="true" outlineLevel="0" collapsed="false">
      <c r="B68" s="1" t="s">
        <v>1818</v>
      </c>
      <c r="C68" s="266" t="n">
        <v>2500</v>
      </c>
      <c r="D68" s="115" t="s">
        <v>1819</v>
      </c>
      <c r="G68" s="23" t="s">
        <v>1820</v>
      </c>
    </row>
    <row r="70" customFormat="false" ht="15" hidden="false" customHeight="true" outlineLevel="0" collapsed="false">
      <c r="A70" s="186" t="s">
        <v>1821</v>
      </c>
      <c r="B70" s="25"/>
      <c r="C70" s="25"/>
      <c r="D70" s="25"/>
      <c r="E70" s="25"/>
      <c r="F70" s="25"/>
      <c r="G70" s="25"/>
      <c r="H70" s="25"/>
      <c r="I70" s="25"/>
    </row>
    <row r="71" customFormat="false" ht="15" hidden="false" customHeight="true" outlineLevel="0" collapsed="false">
      <c r="B71" s="23" t="s">
        <v>1822</v>
      </c>
    </row>
    <row r="72" customFormat="false" ht="15" hidden="false" customHeight="true" outlineLevel="0" collapsed="false">
      <c r="B72" s="23" t="s">
        <v>1823</v>
      </c>
    </row>
    <row r="73" customFormat="false" ht="15" hidden="false" customHeight="true" outlineLevel="0" collapsed="false">
      <c r="B73" s="23" t="s">
        <v>1824</v>
      </c>
    </row>
    <row r="74" customFormat="false" ht="15" hidden="false" customHeight="true" outlineLevel="0" collapsed="false">
      <c r="B74" s="23" t="s">
        <v>1825</v>
      </c>
    </row>
    <row r="75" customFormat="false" ht="15" hidden="false" customHeight="true" outlineLevel="0" collapsed="false">
      <c r="B75" s="23" t="s">
        <v>1826</v>
      </c>
    </row>
    <row r="77" customFormat="false" ht="15" hidden="false" customHeight="true" outlineLevel="0" collapsed="false">
      <c r="A77" s="320" t="s">
        <v>1827</v>
      </c>
      <c r="B77" s="320"/>
    </row>
    <row r="78" customFormat="false" ht="15" hidden="false" customHeight="true" outlineLevel="0" collapsed="false">
      <c r="A78" s="23" t="s">
        <v>1828</v>
      </c>
    </row>
    <row r="79" customFormat="false" ht="15" hidden="false" customHeight="true" outlineLevel="0" collapsed="false">
      <c r="B79" s="1" t="s">
        <v>1829</v>
      </c>
      <c r="C79" s="321" t="n">
        <v>0.06</v>
      </c>
      <c r="G79" s="23" t="s">
        <v>1830</v>
      </c>
    </row>
    <row r="80" customFormat="false" ht="15" hidden="false" customHeight="true" outlineLevel="0" collapsed="false">
      <c r="B80" s="1" t="s">
        <v>1831</v>
      </c>
      <c r="C80" s="245" t="n">
        <v>2</v>
      </c>
      <c r="G80" s="23" t="s">
        <v>1832</v>
      </c>
    </row>
    <row r="81" customFormat="false" ht="15" hidden="false" customHeight="true" outlineLevel="0" collapsed="false">
      <c r="B81" s="1" t="s">
        <v>1833</v>
      </c>
      <c r="C81" s="122" t="n">
        <v>0.01</v>
      </c>
    </row>
    <row r="82" customFormat="false" ht="15" hidden="false" customHeight="true" outlineLevel="0" collapsed="false">
      <c r="B82" s="1" t="s">
        <v>1834</v>
      </c>
      <c r="C82" s="107" t="n">
        <v>2200</v>
      </c>
    </row>
    <row r="83" customFormat="false" ht="15" hidden="false" customHeight="true" outlineLevel="0" collapsed="false">
      <c r="B83" s="1" t="s">
        <v>1835</v>
      </c>
      <c r="C83" s="107" t="n">
        <v>45000</v>
      </c>
      <c r="G83" s="23" t="s">
        <v>1836</v>
      </c>
    </row>
    <row r="84" customFormat="false" ht="15" hidden="false" customHeight="true" outlineLevel="0" collapsed="false">
      <c r="B84" s="1" t="s">
        <v>1837</v>
      </c>
      <c r="C84" s="245" t="n">
        <v>0</v>
      </c>
    </row>
    <row r="85" customFormat="false" ht="15" hidden="false" customHeight="true" outlineLevel="0" collapsed="false">
      <c r="B85" s="1" t="s">
        <v>1838</v>
      </c>
      <c r="C85" s="245" t="n">
        <v>3</v>
      </c>
      <c r="G85" s="23" t="s">
        <v>1839</v>
      </c>
    </row>
    <row r="86" customFormat="false" ht="15" hidden="false" customHeight="true" outlineLevel="0" collapsed="false">
      <c r="B86" s="1" t="s">
        <v>1840</v>
      </c>
      <c r="C86" s="245" t="n">
        <v>5</v>
      </c>
    </row>
    <row r="87" customFormat="false" ht="15" hidden="false" customHeight="true" outlineLevel="0" collapsed="false">
      <c r="B87" s="1" t="s">
        <v>1841</v>
      </c>
      <c r="C87" s="245" t="n">
        <v>6</v>
      </c>
    </row>
    <row r="88" customFormat="false" ht="15" hidden="false" customHeight="true" outlineLevel="0" collapsed="false">
      <c r="B88" s="1" t="s">
        <v>1842</v>
      </c>
      <c r="C88" s="102" t="n">
        <f aca="false">MAX(0,C85-C84)*$C$83</f>
        <v>135000</v>
      </c>
    </row>
    <row r="89" customFormat="false" ht="15" hidden="false" customHeight="true" outlineLevel="0" collapsed="false">
      <c r="B89" s="1" t="s">
        <v>1843</v>
      </c>
      <c r="C89" s="102" t="n">
        <f aca="false">MAX(0,C86-C85)*$C$83</f>
        <v>90000</v>
      </c>
    </row>
    <row r="90" customFormat="false" ht="15" hidden="false" customHeight="true" outlineLevel="0" collapsed="false">
      <c r="B90" s="1" t="s">
        <v>1844</v>
      </c>
      <c r="C90" s="102" t="n">
        <f aca="false">MAX(0,C87-C86)*$C$83</f>
        <v>45000</v>
      </c>
    </row>
    <row r="91" customFormat="false" ht="15" hidden="false" customHeight="true" outlineLevel="0" collapsed="false">
      <c r="B91" s="29" t="s">
        <v>1845</v>
      </c>
      <c r="C91" s="322" t="n">
        <f aca="false">C49+IF(AND(SUP_LOGISTICA!$C$21&gt;0,SUP_CONTROL!$C$13=1),0,C88)+SUP_PLANTA_OPEX!$C$39</f>
        <v>342751.408</v>
      </c>
    </row>
    <row r="92" customFormat="false" ht="15" hidden="false" customHeight="true" outlineLevel="0" collapsed="false">
      <c r="B92" s="29" t="s">
        <v>1846</v>
      </c>
      <c r="C92" s="322" t="n">
        <f aca="false">C57+C89+SUP_PLANTA_OPEX!$D$39</f>
        <v>624713.896</v>
      </c>
    </row>
    <row r="93" customFormat="false" ht="15" hidden="false" customHeight="true" outlineLevel="0" collapsed="false">
      <c r="B93" s="29" t="s">
        <v>1847</v>
      </c>
      <c r="C93" s="322" t="n">
        <f aca="false">C65+C90+SUP_PLANTA_OPEX!$E$39</f>
        <v>573713.896</v>
      </c>
    </row>
  </sheetData>
  <mergeCells count="1">
    <mergeCell ref="A77:B7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838F"/>
    <pageSetUpPr fitToPage="false"/>
  </sheetPr>
  <dimension ref="A1:N45"/>
  <sheetViews>
    <sheetView showFormulas="false" showGridLines="true" showRowColHeaders="true" showZeros="true" rightToLeft="false" tabSelected="false" showOutlineSymbols="true" defaultGridColor="true" view="normal" topLeftCell="A26" colorId="64" zoomScale="120" zoomScaleNormal="120" zoomScalePageLayoutView="100" workbookViewId="0">
      <selection pane="topLeft" activeCell="C21" activeCellId="0" sqref="C21"/>
    </sheetView>
  </sheetViews>
  <sheetFormatPr defaultColWidth="10.66796875" defaultRowHeight="15" zeroHeight="false" outlineLevelRow="0" outlineLevelCol="0"/>
  <cols>
    <col collapsed="false" customWidth="true" hidden="false" outlineLevel="0" max="1" min="1" style="1" width="3"/>
    <col collapsed="false" customWidth="true" hidden="false" outlineLevel="0" max="2" min="2" style="1" width="56.67"/>
    <col collapsed="false" customWidth="true" hidden="false" outlineLevel="0" max="12" min="3" style="1" width="13"/>
  </cols>
  <sheetData>
    <row r="1" customFormat="false" ht="15.75" hidden="false" customHeight="true" outlineLevel="0" collapsed="false">
      <c r="A1" s="323" t="s">
        <v>1848</v>
      </c>
      <c r="B1" s="323"/>
      <c r="C1" s="323"/>
      <c r="D1" s="323"/>
      <c r="E1" s="323"/>
      <c r="F1" s="323"/>
      <c r="G1" s="323"/>
      <c r="H1" s="323"/>
      <c r="I1" s="323"/>
      <c r="J1" s="323"/>
      <c r="K1" s="323"/>
      <c r="L1" s="323"/>
      <c r="M1" s="323"/>
      <c r="N1" s="323"/>
    </row>
    <row r="2" customFormat="false" ht="15" hidden="false" customHeight="true" outlineLevel="0" collapsed="false">
      <c r="A2" s="324" t="s">
        <v>1849</v>
      </c>
    </row>
    <row r="3" customFormat="false" ht="15" hidden="false" customHeight="true" outlineLevel="0" collapsed="false">
      <c r="A3" s="325" t="s">
        <v>495</v>
      </c>
    </row>
    <row r="5" customFormat="false" ht="15" hidden="false" customHeight="true" outlineLevel="0" collapsed="false">
      <c r="A5" s="326" t="s">
        <v>1850</v>
      </c>
    </row>
    <row r="6" customFormat="false" ht="15" hidden="false" customHeight="true" outlineLevel="0" collapsed="false">
      <c r="B6" s="327" t="s">
        <v>1851</v>
      </c>
    </row>
    <row r="7" customFormat="false" ht="15" hidden="false" customHeight="true" outlineLevel="0" collapsed="false">
      <c r="B7" s="328" t="s">
        <v>1852</v>
      </c>
    </row>
    <row r="8" customFormat="false" ht="15" hidden="true" customHeight="true" outlineLevel="0" collapsed="false">
      <c r="B8" s="328" t="s">
        <v>1853</v>
      </c>
    </row>
    <row r="10" customFormat="false" ht="15" hidden="false" customHeight="true" outlineLevel="0" collapsed="false">
      <c r="A10" s="326" t="s">
        <v>1854</v>
      </c>
    </row>
    <row r="11" customFormat="false" ht="15" hidden="false" customHeight="true" outlineLevel="0" collapsed="false">
      <c r="B11" s="328" t="s">
        <v>1855</v>
      </c>
      <c r="C11" s="329" t="n">
        <f aca="false">SUP_PRODUCCION!$C$79</f>
        <v>0.06</v>
      </c>
      <c r="D11" s="325" t="s">
        <v>1856</v>
      </c>
    </row>
    <row r="12" customFormat="false" ht="15" hidden="false" customHeight="true" outlineLevel="0" collapsed="false">
      <c r="B12" s="328" t="s">
        <v>1857</v>
      </c>
      <c r="C12" s="330" t="n">
        <f aca="false">SUP_PRODUCCION!$C$80</f>
        <v>2</v>
      </c>
    </row>
    <row r="13" customFormat="false" ht="15" hidden="false" customHeight="true" outlineLevel="0" collapsed="false">
      <c r="B13" s="328" t="s">
        <v>1858</v>
      </c>
      <c r="C13" s="329" t="n">
        <f aca="false">SUP_PRODUCCION!$C$81</f>
        <v>0.01</v>
      </c>
    </row>
    <row r="14" customFormat="false" ht="15" hidden="false" customHeight="true" outlineLevel="0" collapsed="false">
      <c r="B14" s="328" t="s">
        <v>1859</v>
      </c>
      <c r="C14" s="331" t="n">
        <f aca="false">SUP_PRODUCCION!$C$82</f>
        <v>2200</v>
      </c>
    </row>
    <row r="15" customFormat="false" ht="15" hidden="false" customHeight="true" outlineLevel="0" collapsed="false">
      <c r="B15" s="328" t="s">
        <v>1860</v>
      </c>
      <c r="C15" s="331" t="n">
        <f aca="false">SUP_PRODUCCION!$C$83</f>
        <v>45000</v>
      </c>
    </row>
    <row r="16" customFormat="false" ht="15" hidden="false" customHeight="true" outlineLevel="0" collapsed="false">
      <c r="B16" s="328" t="s">
        <v>1861</v>
      </c>
      <c r="C16" s="330" t="n">
        <f aca="false">SUP_PRODUCCION!$C$84</f>
        <v>0</v>
      </c>
      <c r="D16" s="330" t="n">
        <f aca="false">SUP_PRODUCCION!$C$85</f>
        <v>3</v>
      </c>
      <c r="E16" s="330" t="n">
        <f aca="false">SUP_PRODUCCION!$C$86</f>
        <v>5</v>
      </c>
      <c r="F16" s="330" t="n">
        <f aca="false">SUP_PRODUCCION!$C$87</f>
        <v>6</v>
      </c>
    </row>
    <row r="17" customFormat="false" ht="15" hidden="false" customHeight="true" outlineLevel="0" collapsed="false">
      <c r="B17" s="328" t="s">
        <v>1862</v>
      </c>
      <c r="C17" s="331" t="n">
        <f aca="false">SUP_PRODUCCION!$C$88</f>
        <v>135000</v>
      </c>
    </row>
    <row r="18" customFormat="false" ht="15" hidden="false" customHeight="true" outlineLevel="0" collapsed="false">
      <c r="B18" s="328" t="s">
        <v>1863</v>
      </c>
      <c r="C18" s="331" t="n">
        <f aca="false">SUP_PRODUCCION!$C$89</f>
        <v>90000</v>
      </c>
      <c r="D18" s="331" t="n">
        <f aca="false">SUP_PRODUCCION!$C$90</f>
        <v>45000</v>
      </c>
    </row>
    <row r="20" customFormat="false" ht="15" hidden="false" customHeight="true" outlineLevel="0" collapsed="false">
      <c r="A20" s="326" t="s">
        <v>1864</v>
      </c>
    </row>
    <row r="21" customFormat="false" ht="15" hidden="false" customHeight="true" outlineLevel="0" collapsed="false">
      <c r="B21" s="332" t="s">
        <v>1865</v>
      </c>
      <c r="C21" s="333" t="n">
        <v>0</v>
      </c>
    </row>
    <row r="22" customFormat="false" ht="15" hidden="false" customHeight="true" outlineLevel="0" collapsed="false">
      <c r="B22" s="328" t="s">
        <v>1866</v>
      </c>
      <c r="C22" s="334" t="n">
        <f aca="false">IF(AND($C$21&gt;0,SUP_CONTROL!$C$13=1),$C$21,IF(COUNTIF(PROD_DEMANDA!$D$14:$DS$14,"&lt;"&amp;SUP_PRODUCCION!$C$80)&gt;=120,"— nunca",COUNTIF(PROD_DEMANDA!$D$14:$DS$14,"&lt;"&amp;SUP_PRODUCCION!$C$80)+1))</f>
        <v>27</v>
      </c>
    </row>
    <row r="24" customFormat="false" ht="15" hidden="false" customHeight="true" outlineLevel="0" collapsed="false">
      <c r="B24" s="335" t="s">
        <v>1867</v>
      </c>
    </row>
    <row r="25" customFormat="false" ht="15" hidden="false" customHeight="true" outlineLevel="0" collapsed="false">
      <c r="B25" s="336" t="s">
        <v>1868</v>
      </c>
    </row>
    <row r="26" customFormat="false" ht="15" hidden="false" customHeight="true" outlineLevel="0" collapsed="false">
      <c r="B26" s="336" t="s">
        <v>1869</v>
      </c>
    </row>
    <row r="27" customFormat="false" ht="15" hidden="false" customHeight="true" outlineLevel="0" collapsed="false">
      <c r="B27" s="336" t="s">
        <v>1870</v>
      </c>
    </row>
    <row r="29" customFormat="false" ht="15" hidden="false" customHeight="true" outlineLevel="0" collapsed="false">
      <c r="A29" s="326" t="s">
        <v>1871</v>
      </c>
    </row>
    <row r="30" customFormat="false" ht="15" hidden="false" customHeight="true" outlineLevel="0" collapsed="false">
      <c r="B30" s="328" t="s">
        <v>1872</v>
      </c>
    </row>
    <row r="31" customFormat="false" ht="15" hidden="false" customHeight="true" outlineLevel="0" collapsed="false">
      <c r="B31" s="328" t="s">
        <v>1873</v>
      </c>
    </row>
    <row r="32" customFormat="false" ht="15" hidden="false" customHeight="true" outlineLevel="0" collapsed="false">
      <c r="B32" s="328" t="s">
        <v>1874</v>
      </c>
    </row>
    <row r="34" customFormat="false" ht="15" hidden="false" customHeight="true" outlineLevel="0" collapsed="false">
      <c r="A34" s="326" t="s">
        <v>1875</v>
      </c>
    </row>
    <row r="35" customFormat="false" ht="15" hidden="false" customHeight="true" outlineLevel="0" collapsed="false">
      <c r="B35" s="337" t="s">
        <v>1876</v>
      </c>
      <c r="C35" s="338" t="s">
        <v>1877</v>
      </c>
      <c r="D35" s="338" t="s">
        <v>1878</v>
      </c>
      <c r="E35" s="338" t="s">
        <v>1879</v>
      </c>
      <c r="F35" s="338" t="s">
        <v>1880</v>
      </c>
      <c r="G35" s="338" t="s">
        <v>1881</v>
      </c>
      <c r="H35" s="338" t="s">
        <v>1882</v>
      </c>
      <c r="I35" s="338" t="s">
        <v>1883</v>
      </c>
      <c r="J35" s="338" t="s">
        <v>1884</v>
      </c>
      <c r="K35" s="338" t="s">
        <v>1885</v>
      </c>
      <c r="L35" s="338" t="s">
        <v>1886</v>
      </c>
    </row>
    <row r="36" customFormat="false" ht="15" hidden="false" customHeight="true" outlineLevel="0" collapsed="false">
      <c r="B36" s="328" t="s">
        <v>1887</v>
      </c>
      <c r="C36" s="339" t="n">
        <f aca="false">SUM(PROD_DEMANDA!$D$6:$O$8)</f>
        <v>484372.35</v>
      </c>
      <c r="D36" s="339" t="n">
        <f aca="false">SUM(PROD_DEMANDA!$P$6:$AA$8)</f>
        <v>989950.5</v>
      </c>
      <c r="E36" s="339" t="n">
        <f aca="false">SUM(PROD_DEMANDA!$AB$6:$AM$8)</f>
        <v>1221837.6555</v>
      </c>
      <c r="F36" s="339" t="n">
        <f aca="false">SUM(PROD_DEMANDA!$AN$6:$AY$8)</f>
        <v>1697735.3085</v>
      </c>
      <c r="G36" s="339" t="n">
        <f aca="false">SUM(PROD_DEMANDA!$AZ$6:$BK$8)</f>
        <v>2097723.1275</v>
      </c>
      <c r="H36" s="339" t="n">
        <f aca="false">SUM(PROD_DEMANDA!$BL$6:$BW$8)</f>
        <v>2719342.0485</v>
      </c>
      <c r="I36" s="339" t="n">
        <f aca="false">SUM(PROD_DEMANDA!$BX$6:$CI$8)</f>
        <v>3541825.80675</v>
      </c>
      <c r="J36" s="339" t="n">
        <f aca="false">SUM(PROD_DEMANDA!$CJ$6:$CU$8)</f>
        <v>4026432.564</v>
      </c>
      <c r="K36" s="339" t="n">
        <f aca="false">SUM(PROD_DEMANDA!$CV$6:$DG$8)</f>
        <v>4028935.68</v>
      </c>
      <c r="L36" s="339" t="n">
        <f aca="false">SUM(PROD_DEMANDA!$DH$6:$DS$8)</f>
        <v>4028935.68</v>
      </c>
    </row>
    <row r="37" customFormat="false" ht="15" hidden="false" customHeight="true" outlineLevel="0" collapsed="false">
      <c r="B37" s="328" t="s">
        <v>1888</v>
      </c>
      <c r="C37" s="340" t="n">
        <f aca="false">SUM(PROD_DEMANDA!$D$17:$O$17)</f>
        <v>29062.341</v>
      </c>
      <c r="D37" s="340" t="n">
        <f aca="false">SUM(PROD_DEMANDA!$P$17:$AA$17)</f>
        <v>59397.03</v>
      </c>
      <c r="E37" s="340" t="n">
        <f aca="false">SUM(PROD_DEMANDA!$AB$17:$AM$17)</f>
        <v>87851.076555</v>
      </c>
      <c r="F37" s="340" t="n">
        <f aca="false">SUM(PROD_DEMANDA!$AN$17:$AY$17)</f>
        <v>96177.353085</v>
      </c>
      <c r="G37" s="340" t="n">
        <f aca="false">SUM(PROD_DEMANDA!$AZ$17:$BK$17)</f>
        <v>144177.231275</v>
      </c>
      <c r="H37" s="340" t="n">
        <f aca="false">SUM(PROD_DEMANDA!$BL$17:$BW$17)</f>
        <v>159193.420485</v>
      </c>
      <c r="I37" s="340" t="n">
        <f aca="false">SUM(PROD_DEMANDA!$BX$17:$CI$17)</f>
        <v>171818.2580675</v>
      </c>
      <c r="J37" s="340" t="n">
        <f aca="false">SUM(PROD_DEMANDA!$CJ$17:$CU$17)</f>
        <v>198664.32564</v>
      </c>
      <c r="K37" s="340" t="n">
        <f aca="false">SUM(PROD_DEMANDA!$CV$17:$DG$17)</f>
        <v>198689.3568</v>
      </c>
      <c r="L37" s="340" t="n">
        <f aca="false">SUM(PROD_DEMANDA!$DH$17:$DS$17)</f>
        <v>198689.3568</v>
      </c>
    </row>
    <row r="38" customFormat="false" ht="15" hidden="false" customHeight="true" outlineLevel="0" collapsed="false">
      <c r="B38" s="328" t="s">
        <v>1889</v>
      </c>
      <c r="C38" s="341" t="n">
        <f aca="false">IFERROR(C37/C36,0)</f>
        <v>0.06</v>
      </c>
      <c r="D38" s="341" t="n">
        <f aca="false">IFERROR(D37/D36,0)</f>
        <v>0.06</v>
      </c>
      <c r="E38" s="341" t="n">
        <f aca="false">IFERROR(E37/E36,0)</f>
        <v>0.0719007768008669</v>
      </c>
      <c r="F38" s="341" t="n">
        <f aca="false">IFERROR(F37/F36,0)</f>
        <v>0.0566503816015793</v>
      </c>
      <c r="G38" s="341" t="n">
        <f aca="false">IFERROR(G37/G36,0)</f>
        <v>0.0687303435734276</v>
      </c>
      <c r="H38" s="341" t="n">
        <f aca="false">IFERROR(H37/H36,0)</f>
        <v>0.0585411535752965</v>
      </c>
      <c r="I38" s="341" t="n">
        <f aca="false">IFERROR(I37/I36,0)</f>
        <v>0.0485112107264139</v>
      </c>
      <c r="J38" s="341" t="n">
        <f aca="false">IFERROR(J37/J36,0)</f>
        <v>0.049340035498481</v>
      </c>
      <c r="K38" s="341" t="n">
        <f aca="false">IFERROR(K37/K36,0)</f>
        <v>0.0493155941372586</v>
      </c>
      <c r="L38" s="341" t="n">
        <f aca="false">IFERROR(L37/L36,0)</f>
        <v>0.0493155941372586</v>
      </c>
    </row>
    <row r="39" customFormat="false" ht="15" hidden="false" customHeight="true" outlineLevel="0" collapsed="false">
      <c r="B39" s="328" t="s">
        <v>1890</v>
      </c>
      <c r="C39" s="342" t="n">
        <f aca="false">IFERROR(C37/SUM(PL!$C$75:$N$75),0)</f>
        <v>0.00766011217673242</v>
      </c>
      <c r="D39" s="342" t="n">
        <f aca="false">IFERROR(D37/PL!O$75,0)</f>
        <v>0.00766011217673242</v>
      </c>
      <c r="E39" s="342" t="n">
        <f aca="false">IFERROR(E37/PL!P$75,0)</f>
        <v>0.00917946693148067</v>
      </c>
      <c r="F39" s="342" t="n">
        <f aca="false">IFERROR(F37/PL!Q$75,0)</f>
        <v>0.00723247129871327</v>
      </c>
      <c r="G39" s="342" t="n">
        <f aca="false">IFERROR(G37/PL!R$75,0)</f>
        <v>0.00877470236196359</v>
      </c>
      <c r="H39" s="342" t="n">
        <f aca="false">IFERROR(H37/PL!S$75,0)</f>
        <v>0.00747386338903486</v>
      </c>
      <c r="I39" s="342" t="n">
        <f aca="false">IFERROR(I37/PL!T$75,0)</f>
        <v>0.00619335526655725</v>
      </c>
      <c r="J39" s="342" t="n">
        <f aca="false">IFERROR(J37/PL!U$75,0)</f>
        <v>0.00629917011203874</v>
      </c>
      <c r="K39" s="342" t="n">
        <f aca="false">IFERROR(K37/PL!V$75,0)</f>
        <v>0.00629604971922681</v>
      </c>
      <c r="L39" s="342" t="n">
        <f aca="false">IFERROR(L37/PL!W$75,0)</f>
        <v>0.00629604971922681</v>
      </c>
    </row>
    <row r="41" customFormat="false" ht="15" hidden="false" customHeight="true" outlineLevel="0" collapsed="false">
      <c r="A41" s="326" t="s">
        <v>1891</v>
      </c>
    </row>
    <row r="42" customFormat="false" ht="15" hidden="false" customHeight="true" outlineLevel="0" collapsed="false">
      <c r="B42" s="336" t="s">
        <v>1892</v>
      </c>
    </row>
    <row r="43" customFormat="false" ht="15" hidden="false" customHeight="true" outlineLevel="0" collapsed="false">
      <c r="B43" s="336" t="s">
        <v>1893</v>
      </c>
    </row>
    <row r="44" customFormat="false" ht="15" hidden="false" customHeight="true" outlineLevel="0" collapsed="false">
      <c r="B44" s="336" t="s">
        <v>1894</v>
      </c>
    </row>
    <row r="45" customFormat="false" ht="15" hidden="false" customHeight="true" outlineLevel="0" collapsed="false">
      <c r="B45" s="336" t="s">
        <v>1895</v>
      </c>
    </row>
  </sheetData>
  <mergeCells count="1">
    <mergeCell ref="A1:N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6B"/>
    <pageSetUpPr fitToPage="false"/>
  </sheetPr>
  <dimension ref="A1:G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ColWidth="10.66796875" defaultRowHeight="15" zeroHeight="false" outlineLevelRow="0" outlineLevelCol="0"/>
  <cols>
    <col collapsed="false" customWidth="true" hidden="false" outlineLevel="0" max="1" min="1" style="1" width="2"/>
    <col collapsed="false" customWidth="true" hidden="false" outlineLevel="0" max="2" min="2" style="1" width="56.67"/>
    <col collapsed="false" customWidth="true" hidden="false" outlineLevel="0" max="6" min="3" style="1" width="13"/>
    <col collapsed="false" customWidth="true" hidden="false" outlineLevel="0" max="7" min="7" style="1" width="70"/>
  </cols>
  <sheetData>
    <row r="1" customFormat="false" ht="15.75" hidden="false" customHeight="true" outlineLevel="0" collapsed="false">
      <c r="A1" s="238" t="s">
        <v>1896</v>
      </c>
    </row>
    <row r="2" customFormat="false" ht="15" hidden="false" customHeight="true" outlineLevel="0" collapsed="false">
      <c r="A2" s="94" t="str">
        <f aca="false">"El pollo llega ENTERO y CRUDO, vendido por otra empresa del grupo ($"&amp;TEXT(SUP_COSTOS!$E$19,"0.00")&amp;"/kg intercompañía). La planta lo transforma y despacha a los PDV. Personal CON carga patronal 40%."</f>
        <v>El pollo llega ENTERO y CRUDO, vendido por otra empresa del grupo ($2.20/kg intercompañía). La planta lo transforma y despacha a los PDV. Personal CON carga patronal 40%.</v>
      </c>
    </row>
    <row r="3" customFormat="false" ht="15" hidden="false" customHeight="true" outlineLevel="0" collapsed="false">
      <c r="A3" s="94" t="s">
        <v>1897</v>
      </c>
    </row>
    <row r="5" customFormat="false" ht="15" hidden="false" customHeight="true" outlineLevel="0" collapsed="false">
      <c r="A5" s="60" t="s">
        <v>1898</v>
      </c>
    </row>
    <row r="6" customFormat="false" ht="15" hidden="false" customHeight="true" outlineLevel="0" collapsed="false">
      <c r="B6" s="1" t="s">
        <v>1899</v>
      </c>
      <c r="C6" s="107" t="n">
        <v>2000</v>
      </c>
      <c r="D6" s="1" t="s">
        <v>1900</v>
      </c>
      <c r="E6" s="107" t="n">
        <v>100</v>
      </c>
      <c r="G6" s="1" t="s">
        <v>1901</v>
      </c>
    </row>
    <row r="7" customFormat="false" ht="15" hidden="false" customHeight="true" outlineLevel="0" collapsed="false">
      <c r="B7" s="1" t="s">
        <v>1902</v>
      </c>
      <c r="C7" s="107" t="n">
        <v>900</v>
      </c>
      <c r="D7" s="1" t="s">
        <v>1900</v>
      </c>
      <c r="E7" s="107" t="n">
        <v>35</v>
      </c>
      <c r="G7" s="1" t="s">
        <v>1903</v>
      </c>
    </row>
    <row r="8" customFormat="false" ht="15" hidden="false" customHeight="true" outlineLevel="0" collapsed="false">
      <c r="B8" s="1" t="s">
        <v>1904</v>
      </c>
      <c r="C8" s="107" t="n">
        <v>250</v>
      </c>
      <c r="D8" s="1" t="s">
        <v>1900</v>
      </c>
      <c r="E8" s="107" t="n">
        <v>20</v>
      </c>
      <c r="G8" s="1" t="s">
        <v>1905</v>
      </c>
    </row>
    <row r="9" customFormat="false" ht="15" hidden="false" customHeight="true" outlineLevel="0" collapsed="false">
      <c r="B9" s="1" t="s">
        <v>1906</v>
      </c>
      <c r="C9" s="98" t="n">
        <f aca="false">SUP_OPEX!$C$14</f>
        <v>0.4</v>
      </c>
      <c r="G9" s="23" t="s">
        <v>1907</v>
      </c>
    </row>
    <row r="10" customFormat="false" ht="15" hidden="false" customHeight="true" outlineLevel="0" collapsed="false">
      <c r="A10" s="60" t="s">
        <v>1908</v>
      </c>
    </row>
    <row r="11" customFormat="false" ht="15" hidden="false" customHeight="true" outlineLevel="0" collapsed="false">
      <c r="B11" s="116" t="s">
        <v>1909</v>
      </c>
      <c r="C11" s="116" t="s">
        <v>1910</v>
      </c>
      <c r="D11" s="116" t="s">
        <v>1911</v>
      </c>
      <c r="E11" s="116" t="s">
        <v>1912</v>
      </c>
      <c r="F11" s="116" t="s">
        <v>1913</v>
      </c>
      <c r="G11" s="343" t="s">
        <v>1914</v>
      </c>
    </row>
    <row r="12" customFormat="false" ht="15" hidden="false" customHeight="true" outlineLevel="0" collapsed="false">
      <c r="B12" s="1" t="s">
        <v>1915</v>
      </c>
      <c r="C12" s="106" t="n">
        <v>1</v>
      </c>
      <c r="D12" s="106" t="n">
        <v>1</v>
      </c>
      <c r="E12" s="106" t="n">
        <v>1</v>
      </c>
      <c r="F12" s="106" t="n">
        <v>1</v>
      </c>
    </row>
    <row r="13" customFormat="false" ht="15" hidden="false" customHeight="true" outlineLevel="0" collapsed="false">
      <c r="B13" s="1" t="s">
        <v>1916</v>
      </c>
      <c r="C13" s="106" t="n">
        <v>1</v>
      </c>
      <c r="D13" s="106" t="n">
        <v>1</v>
      </c>
      <c r="E13" s="106" t="n">
        <v>2</v>
      </c>
      <c r="F13" s="106" t="n">
        <v>2</v>
      </c>
      <c r="G13" s="1" t="s">
        <v>1917</v>
      </c>
    </row>
    <row r="14" customFormat="false" ht="15" hidden="false" customHeight="true" outlineLevel="0" collapsed="false">
      <c r="B14" s="1" t="s">
        <v>1918</v>
      </c>
      <c r="C14" s="106" t="n">
        <v>12</v>
      </c>
      <c r="D14" s="106" t="n">
        <v>20</v>
      </c>
      <c r="E14" s="106" t="n">
        <v>32</v>
      </c>
      <c r="F14" s="106" t="n">
        <v>40</v>
      </c>
      <c r="G14" s="1" t="s">
        <v>1919</v>
      </c>
    </row>
    <row r="15" customFormat="false" ht="15" hidden="false" customHeight="true" outlineLevel="0" collapsed="false">
      <c r="B15" s="29" t="s">
        <v>1920</v>
      </c>
      <c r="C15" s="344" t="n">
        <f aca="false">C12*($C$6*(1+$C$9)+$E$6)+C13*($C$7*(1+$C$9)+$E$7)+C14*($C$8*(1+$C$9)+$E$8)</f>
        <v>8635</v>
      </c>
      <c r="D15" s="344" t="n">
        <f aca="false">D12*($C$6*(1+$C$9)+$E$6)+D13*($C$7*(1+$C$9)+$E$7)+D14*($C$8*(1+$C$9)+$E$8)</f>
        <v>11595</v>
      </c>
      <c r="E15" s="344" t="n">
        <f aca="false">E12*($C$6*(1+$C$9)+$E$6)+E13*($C$7*(1+$C$9)+$E$7)+E14*($C$8*(1+$C$9)+$E$8)</f>
        <v>17330</v>
      </c>
      <c r="F15" s="344" t="n">
        <f aca="false">F12*($C$6*(1+$C$9)+$E$6)+F13*($C$7*(1+$C$9)+$E$7)+F14*($C$8*(1+$C$9)+$E$8)</f>
        <v>20290</v>
      </c>
    </row>
    <row r="17" customFormat="false" ht="15" hidden="false" customHeight="true" outlineLevel="0" collapsed="false">
      <c r="A17" s="60" t="s">
        <v>1921</v>
      </c>
    </row>
    <row r="18" customFormat="false" ht="15" hidden="false" customHeight="true" outlineLevel="0" collapsed="false">
      <c r="B18" s="1" t="s">
        <v>1922</v>
      </c>
      <c r="C18" s="106" t="n">
        <v>200</v>
      </c>
      <c r="D18" s="106" t="n">
        <v>350</v>
      </c>
      <c r="E18" s="106" t="n">
        <v>550</v>
      </c>
      <c r="F18" s="106" t="n">
        <v>700</v>
      </c>
      <c r="G18" s="1" t="s">
        <v>1923</v>
      </c>
    </row>
    <row r="19" customFormat="false" ht="15" hidden="false" customHeight="true" outlineLevel="0" collapsed="false">
      <c r="B19" s="1" t="s">
        <v>1924</v>
      </c>
      <c r="C19" s="345" t="n">
        <v>5</v>
      </c>
      <c r="G19" s="1" t="s">
        <v>1925</v>
      </c>
    </row>
    <row r="20" customFormat="false" ht="15" hidden="false" customHeight="true" outlineLevel="0" collapsed="false">
      <c r="B20" s="29" t="s">
        <v>1926</v>
      </c>
      <c r="C20" s="344" t="n">
        <f aca="false">C18*$C$19</f>
        <v>1000</v>
      </c>
      <c r="D20" s="344" t="n">
        <f aca="false">D18*$C$19</f>
        <v>1750</v>
      </c>
      <c r="E20" s="344" t="n">
        <f aca="false">E18*$C$19</f>
        <v>2750</v>
      </c>
      <c r="F20" s="344" t="n">
        <f aca="false">F18*$C$19</f>
        <v>3500</v>
      </c>
    </row>
    <row r="22" customFormat="false" ht="15" hidden="false" customHeight="true" outlineLevel="0" collapsed="false">
      <c r="A22" s="60" t="s">
        <v>1927</v>
      </c>
    </row>
    <row r="23" customFormat="false" ht="15" hidden="false" customHeight="true" outlineLevel="0" collapsed="false">
      <c r="B23" s="1" t="s">
        <v>1928</v>
      </c>
      <c r="C23" s="107" t="n">
        <v>600</v>
      </c>
      <c r="D23" s="107" t="n">
        <v>900</v>
      </c>
      <c r="E23" s="107" t="n">
        <v>1400</v>
      </c>
      <c r="F23" s="107" t="n">
        <v>1800</v>
      </c>
      <c r="G23" s="1" t="s">
        <v>1929</v>
      </c>
    </row>
    <row r="24" customFormat="false" ht="15" hidden="false" customHeight="true" outlineLevel="0" collapsed="false">
      <c r="B24" s="1" t="s">
        <v>1930</v>
      </c>
      <c r="C24" s="118" t="n">
        <v>0.015</v>
      </c>
      <c r="G24" s="1" t="s">
        <v>1931</v>
      </c>
    </row>
    <row r="25" customFormat="false" ht="15" hidden="false" customHeight="true" outlineLevel="0" collapsed="false">
      <c r="B25" s="1" t="s">
        <v>1932</v>
      </c>
      <c r="C25" s="118" t="n">
        <v>0.01</v>
      </c>
    </row>
    <row r="26" customFormat="false" ht="15" hidden="false" customHeight="true" outlineLevel="0" collapsed="false">
      <c r="B26" s="29" t="s">
        <v>1933</v>
      </c>
      <c r="C26" s="344" t="n">
        <f aca="false">SUP_CAPEX_PLANTA!$H$28*($C$24+$C$25)/12</f>
        <v>730.565625</v>
      </c>
    </row>
    <row r="28" customFormat="false" ht="15" hidden="false" customHeight="true" outlineLevel="0" collapsed="false">
      <c r="B28" s="1" t="s">
        <v>1934</v>
      </c>
      <c r="C28" s="346" t="n">
        <v>0.01</v>
      </c>
      <c r="G28" s="1" t="s">
        <v>1935</v>
      </c>
    </row>
    <row r="29" customFormat="false" ht="15" hidden="false" customHeight="true" outlineLevel="0" collapsed="false">
      <c r="B29" s="1" t="s">
        <v>1936</v>
      </c>
      <c r="C29" s="347" t="n">
        <v>0.01</v>
      </c>
      <c r="G29" s="1" t="s">
        <v>1937</v>
      </c>
    </row>
    <row r="30" customFormat="false" ht="15" hidden="false" customHeight="true" outlineLevel="0" collapsed="false">
      <c r="B30" s="29" t="s">
        <v>1938</v>
      </c>
      <c r="C30" s="348" t="n">
        <f aca="false">C28+C29</f>
        <v>0.02</v>
      </c>
    </row>
    <row r="32" customFormat="false" ht="15" hidden="false" customHeight="true" outlineLevel="0" collapsed="false">
      <c r="A32" s="60" t="s">
        <v>1939</v>
      </c>
    </row>
    <row r="33" customFormat="false" ht="15" hidden="false" customHeight="true" outlineLevel="0" collapsed="false">
      <c r="B33" s="29" t="s">
        <v>1940</v>
      </c>
      <c r="C33" s="322" t="n">
        <f aca="false">C15+C20+C23+$C$26</f>
        <v>10965.565625</v>
      </c>
      <c r="D33" s="322" t="n">
        <f aca="false">D15+D20+D23+$C$26</f>
        <v>14975.565625</v>
      </c>
      <c r="E33" s="322" t="n">
        <f aca="false">E15+E20+E23+$C$26</f>
        <v>22210.565625</v>
      </c>
      <c r="F33" s="322" t="n">
        <f aca="false">F15+F20+F23+$C$26</f>
        <v>26320.565625</v>
      </c>
    </row>
    <row r="34" customFormat="false" ht="15" hidden="false" customHeight="true" outlineLevel="0" collapsed="false">
      <c r="B34" s="1" t="s">
        <v>1941</v>
      </c>
      <c r="C34" s="349" t="n">
        <f aca="false">F33/(SUP_PRODUCCION!$C$42*1000*0.85)+C30</f>
        <v>0.0763109134815956</v>
      </c>
      <c r="G34" s="1" t="s">
        <v>1942</v>
      </c>
    </row>
    <row r="36" customFormat="false" ht="15" hidden="false" customHeight="true" outlineLevel="0" collapsed="false">
      <c r="A36" s="60" t="s">
        <v>1943</v>
      </c>
    </row>
    <row r="37" customFormat="false" ht="15" hidden="false" customHeight="true" outlineLevel="0" collapsed="false">
      <c r="B37" s="1" t="s">
        <v>1944</v>
      </c>
      <c r="C37" s="107" t="n">
        <v>120</v>
      </c>
      <c r="G37" s="1" t="s">
        <v>1945</v>
      </c>
    </row>
    <row r="38" customFormat="false" ht="15" hidden="false" customHeight="true" outlineLevel="0" collapsed="false">
      <c r="B38" s="29" t="s">
        <v>1946</v>
      </c>
      <c r="C38" s="344" t="n">
        <f aca="false">C18*$C$37</f>
        <v>24000</v>
      </c>
    </row>
    <row r="39" customFormat="false" ht="15" hidden="false" customHeight="true" outlineLevel="0" collapsed="false">
      <c r="B39" s="1" t="s">
        <v>1947</v>
      </c>
      <c r="C39" s="102" t="n">
        <f aca="false">(D18-C18)*$C$37</f>
        <v>18000</v>
      </c>
      <c r="D39" s="102" t="n">
        <f aca="false">(E18-D18)*$C$37</f>
        <v>24000</v>
      </c>
      <c r="E39" s="102" t="n">
        <f aca="false">(F18-E18)*$C$37</f>
        <v>18000</v>
      </c>
      <c r="G39" s="1" t="s">
        <v>1948</v>
      </c>
    </row>
    <row r="41" customFormat="false" ht="15" hidden="false" customHeight="true" outlineLevel="0" collapsed="false">
      <c r="B41" s="1" t="s">
        <v>1550</v>
      </c>
      <c r="C41" s="107" t="n">
        <v>35000</v>
      </c>
      <c r="G41" s="1" t="s">
        <v>1949</v>
      </c>
    </row>
    <row r="43" customFormat="false" ht="15" hidden="false" customHeight="true" outlineLevel="0" collapsed="false">
      <c r="B43" s="1" t="s">
        <v>1950</v>
      </c>
      <c r="C43" s="106" t="n">
        <v>7</v>
      </c>
      <c r="G43" s="1" t="s">
        <v>1951</v>
      </c>
    </row>
    <row r="44" customFormat="false" ht="15" hidden="false" customHeight="true" outlineLevel="0" collapsed="false">
      <c r="B44" s="1" t="s">
        <v>1952</v>
      </c>
      <c r="C44" s="106" t="n">
        <v>14</v>
      </c>
      <c r="G44" s="1" t="s">
        <v>1953</v>
      </c>
    </row>
    <row r="45" customFormat="false" ht="15" hidden="false" customHeight="true" outlineLevel="0" collapsed="false">
      <c r="B45" s="29" t="s">
        <v>1954</v>
      </c>
      <c r="C45" s="344" t="n">
        <f aca="false">(C43+C44)/30*SUP_PRODUCCION!$C$34*1000*SUP_COSTOS!$E$19</f>
        <v>141141</v>
      </c>
      <c r="G45" s="1" t="str">
        <f aca="false">"Cobertura de "&amp;TEXT(SUP_PLANTA_OPEX!$C$44,"0")&amp;" días de compras de pollo a $"&amp;TEXT(SUP_COSTOS!$E$19,"0.00")&amp;"/kg (costo del kg beneficiado, SUP_POLLO!C13)."</f>
        <v>Cobertura de 14 días de compras de pollo a $2.20/kg (costo del kg beneficiado, SUP_POLLO!C13).</v>
      </c>
    </row>
    <row r="47" customFormat="false" ht="15" hidden="false" customHeight="true" outlineLevel="0" collapsed="false">
      <c r="A47" s="23" t="s">
        <v>1955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H2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6"/>
    <col collapsed="false" customWidth="true" hidden="false" outlineLevel="0" max="2" min="2" style="1" width="74"/>
    <col collapsed="false" customWidth="true" hidden="false" outlineLevel="0" max="6" min="3" style="1" width="15"/>
    <col collapsed="false" customWidth="true" hidden="false" outlineLevel="0" max="7" min="7" style="1" width="96"/>
  </cols>
  <sheetData>
    <row r="1" customFormat="false" ht="15.75" hidden="false" customHeight="true" outlineLevel="0" collapsed="false">
      <c r="A1" s="185" t="s">
        <v>1956</v>
      </c>
      <c r="B1" s="126"/>
      <c r="C1" s="126"/>
      <c r="D1" s="126"/>
      <c r="E1" s="126"/>
      <c r="F1" s="126"/>
      <c r="G1" s="126"/>
      <c r="H1" s="126"/>
    </row>
    <row r="2" customFormat="false" ht="15" hidden="false" customHeight="true" outlineLevel="0" collapsed="false">
      <c r="A2" s="350" t="s">
        <v>1957</v>
      </c>
    </row>
    <row r="3" customFormat="false" ht="15" hidden="false" customHeight="true" outlineLevel="0" collapsed="false">
      <c r="A3" s="94" t="s">
        <v>1958</v>
      </c>
    </row>
    <row r="5" customFormat="false" ht="15" hidden="false" customHeight="true" outlineLevel="0" collapsed="false">
      <c r="A5" s="351" t="s">
        <v>1959</v>
      </c>
      <c r="B5" s="25"/>
      <c r="C5" s="25"/>
      <c r="D5" s="25"/>
      <c r="E5" s="25"/>
      <c r="F5" s="25"/>
      <c r="G5" s="25"/>
      <c r="H5" s="25"/>
    </row>
    <row r="6" customFormat="false" ht="21.75" hidden="false" customHeight="true" outlineLevel="0" collapsed="false">
      <c r="B6" s="297" t="s">
        <v>1960</v>
      </c>
      <c r="C6" s="352" t="n">
        <v>60</v>
      </c>
      <c r="G6" s="353" t="s">
        <v>1961</v>
      </c>
    </row>
    <row r="7" customFormat="false" ht="15" hidden="false" customHeight="true" outlineLevel="0" collapsed="false">
      <c r="B7" s="297" t="s">
        <v>1962</v>
      </c>
      <c r="C7" s="354" t="n">
        <f aca="false">SUP_CONTROL!$C$6</f>
        <v>2</v>
      </c>
      <c r="D7" s="355" t="str">
        <f aca="false">SUP_CONTROL!$C$7</f>
        <v>MEDIO</v>
      </c>
      <c r="G7" s="353" t="s">
        <v>1963</v>
      </c>
    </row>
    <row r="8" customFormat="false" ht="15" hidden="false" customHeight="true" outlineLevel="0" collapsed="false">
      <c r="B8" s="297" t="s">
        <v>500</v>
      </c>
      <c r="C8" s="356" t="n">
        <f aca="false">SUP_CONTROL!$C$8</f>
        <v>4200</v>
      </c>
      <c r="G8" s="353" t="s">
        <v>1964</v>
      </c>
    </row>
    <row r="9" customFormat="false" ht="15" hidden="false" customHeight="true" outlineLevel="0" collapsed="false">
      <c r="B9" s="297" t="s">
        <v>1965</v>
      </c>
      <c r="C9" s="354" t="n">
        <f aca="false">SUP_VOLUMEN!$C$43</f>
        <v>7</v>
      </c>
    </row>
    <row r="10" customFormat="false" ht="15" hidden="false" customHeight="true" outlineLevel="0" collapsed="false">
      <c r="B10" s="297" t="s">
        <v>1966</v>
      </c>
      <c r="C10" s="354" t="n">
        <f aca="false">SUP_VOLUMEN!$C$44</f>
        <v>3</v>
      </c>
    </row>
    <row r="11" customFormat="false" ht="15" hidden="false" customHeight="true" outlineLevel="0" collapsed="false">
      <c r="B11" s="357" t="s">
        <v>1967</v>
      </c>
      <c r="C11" s="358" t="n">
        <f aca="false">C9+C10</f>
        <v>10</v>
      </c>
      <c r="G11" s="353" t="s">
        <v>1968</v>
      </c>
    </row>
    <row r="12" customFormat="false" ht="25.5" hidden="false" customHeight="true" outlineLevel="0" collapsed="false">
      <c r="B12" s="357" t="s">
        <v>1969</v>
      </c>
      <c r="C12" s="359" t="n">
        <v>0</v>
      </c>
      <c r="G12" s="360" t="s">
        <v>1970</v>
      </c>
    </row>
    <row r="13" customFormat="false" ht="25.5" hidden="false" customHeight="true" outlineLevel="0" collapsed="false">
      <c r="B13" s="357" t="s">
        <v>1971</v>
      </c>
      <c r="C13" s="361" t="n">
        <v>20</v>
      </c>
      <c r="G13" s="353" t="s">
        <v>1972</v>
      </c>
    </row>
    <row r="14" customFormat="false" ht="21.75" hidden="false" customHeight="true" outlineLevel="0" collapsed="false">
      <c r="B14" s="287" t="s">
        <v>1973</v>
      </c>
      <c r="C14" s="362" t="n">
        <f aca="false">DATE(2026,10,5)</f>
        <v>46300</v>
      </c>
      <c r="D14" s="363" t="n">
        <f aca="false">C14-WEEKDAY(C14,3)</f>
        <v>46300</v>
      </c>
      <c r="G14" s="360" t="s">
        <v>1974</v>
      </c>
    </row>
    <row r="15" customFormat="false" ht="15" hidden="false" customHeight="true" outlineLevel="0" collapsed="false">
      <c r="A15" s="351" t="s">
        <v>1975</v>
      </c>
      <c r="B15" s="25"/>
      <c r="C15" s="25"/>
      <c r="D15" s="25"/>
      <c r="E15" s="25"/>
      <c r="F15" s="25"/>
      <c r="G15" s="25"/>
      <c r="H15" s="25"/>
    </row>
    <row r="16" customFormat="false" ht="15" hidden="false" customHeight="true" outlineLevel="0" collapsed="false">
      <c r="B16" s="364" t="s">
        <v>1976</v>
      </c>
    </row>
    <row r="17" customFormat="false" ht="15" hidden="false" customHeight="true" outlineLevel="0" collapsed="false">
      <c r="B17" s="357" t="s">
        <v>1977</v>
      </c>
      <c r="C17" s="361" t="n">
        <v>1</v>
      </c>
      <c r="G17" s="353" t="s">
        <v>1978</v>
      </c>
    </row>
    <row r="18" customFormat="false" ht="15" hidden="false" customHeight="true" outlineLevel="0" collapsed="false">
      <c r="B18" s="297" t="s">
        <v>1979</v>
      </c>
      <c r="C18" s="365" t="n">
        <v>4</v>
      </c>
      <c r="G18" s="353" t="s">
        <v>1980</v>
      </c>
    </row>
    <row r="19" customFormat="false" ht="15" hidden="false" customHeight="true" outlineLevel="0" collapsed="false">
      <c r="B19" s="297" t="s">
        <v>1981</v>
      </c>
      <c r="C19" s="365" t="n">
        <v>2</v>
      </c>
      <c r="G19" s="353" t="s">
        <v>1982</v>
      </c>
    </row>
    <row r="20" customFormat="false" ht="21.75" hidden="false" customHeight="true" outlineLevel="0" collapsed="false">
      <c r="B20" s="297" t="s">
        <v>1983</v>
      </c>
      <c r="C20" s="365" t="n">
        <v>1</v>
      </c>
      <c r="G20" s="353" t="s">
        <v>1984</v>
      </c>
    </row>
    <row r="21" customFormat="false" ht="15" hidden="false" customHeight="true" outlineLevel="0" collapsed="false">
      <c r="B21" s="297" t="s">
        <v>1985</v>
      </c>
      <c r="C21" s="365" t="n">
        <v>2</v>
      </c>
      <c r="G21" s="353" t="s">
        <v>1986</v>
      </c>
    </row>
    <row r="22" customFormat="false" ht="15" hidden="false" customHeight="true" outlineLevel="0" collapsed="false">
      <c r="B22" s="357" t="s">
        <v>1987</v>
      </c>
      <c r="C22" s="358" t="n">
        <f aca="false">SUM(C18:C21)</f>
        <v>9</v>
      </c>
    </row>
    <row r="23" customFormat="false" ht="15" hidden="false" customHeight="true" outlineLevel="0" collapsed="false">
      <c r="B23" s="357" t="s">
        <v>1988</v>
      </c>
      <c r="C23" s="366" t="n">
        <f aca="false">C17+C22</f>
        <v>10</v>
      </c>
      <c r="G23" s="353" t="s">
        <v>1989</v>
      </c>
    </row>
    <row r="24" customFormat="false" ht="25.5" hidden="false" customHeight="true" outlineLevel="0" collapsed="false">
      <c r="B24" s="357" t="s">
        <v>1990</v>
      </c>
      <c r="C24" s="361" t="n">
        <v>1</v>
      </c>
      <c r="G24" s="353" t="s">
        <v>1991</v>
      </c>
    </row>
    <row r="25" customFormat="false" ht="39" hidden="false" customHeight="true" outlineLevel="0" collapsed="false">
      <c r="B25" s="357" t="s">
        <v>1992</v>
      </c>
      <c r="C25" s="361" t="n">
        <v>1</v>
      </c>
      <c r="G25" s="353" t="s">
        <v>1993</v>
      </c>
    </row>
    <row r="26" customFormat="false" ht="25.5" hidden="false" customHeight="true" outlineLevel="0" collapsed="false">
      <c r="B26" s="297" t="s">
        <v>1994</v>
      </c>
      <c r="C26" s="367" t="n">
        <f aca="false">MAX(1,C40-C31)</f>
        <v>4</v>
      </c>
      <c r="G26" s="353" t="s">
        <v>1995</v>
      </c>
    </row>
    <row r="27" customFormat="false" ht="25.5" hidden="false" customHeight="true" outlineLevel="0" collapsed="false">
      <c r="B27" s="297" t="s">
        <v>1996</v>
      </c>
      <c r="C27" s="365" t="n">
        <v>3</v>
      </c>
      <c r="G27" s="353" t="s">
        <v>1997</v>
      </c>
    </row>
    <row r="28" customFormat="false" ht="15" hidden="false" customHeight="true" outlineLevel="0" collapsed="false">
      <c r="B28" s="297" t="s">
        <v>1998</v>
      </c>
      <c r="C28" s="365" t="n">
        <v>1</v>
      </c>
    </row>
    <row r="29" customFormat="false" ht="15" hidden="false" customHeight="true" outlineLevel="0" collapsed="false">
      <c r="B29" s="297" t="s">
        <v>1999</v>
      </c>
      <c r="C29" s="365" t="n">
        <v>1</v>
      </c>
    </row>
    <row r="30" customFormat="false" ht="15" hidden="false" customHeight="true" outlineLevel="0" collapsed="false">
      <c r="B30" s="297" t="s">
        <v>2000</v>
      </c>
      <c r="C30" s="365" t="n">
        <v>1</v>
      </c>
    </row>
    <row r="31" customFormat="false" ht="15" hidden="false" customHeight="true" outlineLevel="0" collapsed="false">
      <c r="B31" s="357" t="s">
        <v>2001</v>
      </c>
      <c r="C31" s="358" t="n">
        <f aca="false">SUM(C27:C30)</f>
        <v>6</v>
      </c>
    </row>
    <row r="32" customFormat="false" ht="15" hidden="false" customHeight="true" outlineLevel="0" collapsed="false">
      <c r="B32" s="297" t="s">
        <v>2002</v>
      </c>
      <c r="C32" s="365" t="n">
        <v>2</v>
      </c>
      <c r="G32" s="353" t="s">
        <v>2003</v>
      </c>
    </row>
    <row r="33" customFormat="false" ht="15" hidden="false" customHeight="true" outlineLevel="0" collapsed="false">
      <c r="B33" s="297" t="s">
        <v>2004</v>
      </c>
      <c r="C33" s="365" t="n">
        <v>4</v>
      </c>
      <c r="G33" s="353" t="s">
        <v>2005</v>
      </c>
    </row>
    <row r="34" customFormat="false" ht="15" hidden="false" customHeight="true" outlineLevel="0" collapsed="false">
      <c r="B34" s="297" t="s">
        <v>2006</v>
      </c>
      <c r="C34" s="365" t="n">
        <v>0</v>
      </c>
      <c r="G34" s="353" t="s">
        <v>2007</v>
      </c>
    </row>
    <row r="35" customFormat="false" ht="15" hidden="false" customHeight="true" outlineLevel="0" collapsed="false">
      <c r="B35" s="357" t="s">
        <v>2008</v>
      </c>
      <c r="C35" s="366" t="n">
        <f aca="false">MAX(C24+C31,C23+C34)</f>
        <v>10</v>
      </c>
    </row>
    <row r="36" customFormat="false" ht="15" hidden="false" customHeight="true" outlineLevel="0" collapsed="false">
      <c r="B36" s="297" t="s">
        <v>2009</v>
      </c>
      <c r="C36" s="367" t="n">
        <f aca="false">SUMPRODUCT(--((CAPA1_PILOTO!$D$8:$DS$8+CAPA1_PILOTO!$D$9:$DS$9)=0))+1</f>
        <v>4</v>
      </c>
    </row>
    <row r="37" customFormat="false" ht="15" hidden="false" customHeight="true" outlineLevel="0" collapsed="false">
      <c r="B37" s="357" t="s">
        <v>2010</v>
      </c>
      <c r="C37" s="358" t="n">
        <f aca="false">MAX(0,C35-C36)</f>
        <v>6</v>
      </c>
    </row>
    <row r="38" customFormat="false" ht="21.75" hidden="false" customHeight="true" outlineLevel="0" collapsed="false">
      <c r="B38" s="357" t="s">
        <v>2011</v>
      </c>
      <c r="C38" s="361" t="n">
        <v>1</v>
      </c>
      <c r="G38" s="353" t="s">
        <v>2012</v>
      </c>
    </row>
    <row r="39" customFormat="false" ht="15" hidden="false" customHeight="true" outlineLevel="0" collapsed="false">
      <c r="B39" s="357" t="s">
        <v>2013</v>
      </c>
      <c r="C39" s="358" t="n">
        <f aca="false">C37*C38</f>
        <v>6</v>
      </c>
    </row>
    <row r="40" customFormat="false" ht="15" hidden="false" customHeight="true" outlineLevel="0" collapsed="false">
      <c r="B40" s="357" t="s">
        <v>2014</v>
      </c>
      <c r="C40" s="366" t="n">
        <f aca="false">C36+C39</f>
        <v>10</v>
      </c>
    </row>
    <row r="41" customFormat="false" ht="15" hidden="false" customHeight="true" outlineLevel="0" collapsed="false">
      <c r="B41" s="357" t="s">
        <v>2015</v>
      </c>
      <c r="C41" s="368" t="str">
        <f aca="false">IF(C37=0,"✓ El calendario de aperturas de CAPA1_PILOTO es factible con los lead time cargados.",IF(C38=1,"El flujo desplaza "&amp;TEXT(C39,"0")&amp;" mes(es) el calendario de CAPA1_PILOTO para respetar el lead time de importación: planta operativa en el mes "&amp;TEXT(C23,"0")&amp;" y primera apertura en el mes "&amp;TEXT(C40,"0")&amp;".","✗ El calendario de CAPA1_PILOTO no es factible con estos lead time y el ajuste automático está apagado."))</f>
        <v>El flujo desplaza 6 mes(es) el calendario de CAPA1_PILOTO para respetar el lead time de importación: planta operativa en el mes 10 y primera apertura en el mes 10.</v>
      </c>
      <c r="D41" s="368"/>
      <c r="E41" s="368"/>
      <c r="F41" s="368"/>
    </row>
    <row r="43" customFormat="false" ht="15" hidden="false" customHeight="true" outlineLevel="0" collapsed="false">
      <c r="A43" s="351" t="s">
        <v>2016</v>
      </c>
      <c r="B43" s="25"/>
      <c r="C43" s="25"/>
      <c r="D43" s="25"/>
      <c r="E43" s="25"/>
      <c r="F43" s="25"/>
      <c r="G43" s="25"/>
      <c r="H43" s="25"/>
    </row>
    <row r="44" customFormat="false" ht="15" hidden="false" customHeight="true" outlineLevel="0" collapsed="false">
      <c r="B44" s="297" t="s">
        <v>2017</v>
      </c>
      <c r="C44" s="369" t="n">
        <v>0.4</v>
      </c>
      <c r="G44" s="353" t="s">
        <v>2018</v>
      </c>
    </row>
    <row r="45" customFormat="false" ht="15" hidden="false" customHeight="true" outlineLevel="0" collapsed="false">
      <c r="B45" s="297" t="s">
        <v>2019</v>
      </c>
      <c r="C45" s="370" t="n">
        <f aca="false">1-C44</f>
        <v>0.6</v>
      </c>
    </row>
    <row r="46" customFormat="false" ht="15" hidden="false" customHeight="true" outlineLevel="0" collapsed="false">
      <c r="B46" s="297" t="s">
        <v>2020</v>
      </c>
      <c r="C46" s="371" t="n">
        <f aca="false">SUP_CAPEX_PLANTA!$C$6</f>
        <v>0.13</v>
      </c>
    </row>
    <row r="47" customFormat="false" ht="25.5" hidden="false" customHeight="true" outlineLevel="0" collapsed="false">
      <c r="B47" s="297" t="s">
        <v>2021</v>
      </c>
      <c r="C47" s="371" t="n">
        <f aca="false">SUP_CAPEX_PLANTA!$C$7</f>
        <v>0.45</v>
      </c>
      <c r="G47" s="353" t="s">
        <v>2022</v>
      </c>
    </row>
    <row r="48" customFormat="false" ht="15" hidden="false" customHeight="true" outlineLevel="0" collapsed="false">
      <c r="B48" s="297" t="s">
        <v>2023</v>
      </c>
      <c r="C48" s="372" t="n">
        <f aca="false">SUP_CAPEX_PLANTA!$C$8</f>
        <v>1.6385</v>
      </c>
    </row>
    <row r="49" customFormat="false" ht="15" hidden="false" customHeight="true" outlineLevel="0" collapsed="false">
      <c r="B49" s="297" t="s">
        <v>2024</v>
      </c>
      <c r="C49" s="370" t="n">
        <f aca="false">1/C48</f>
        <v>0.610314311870614</v>
      </c>
    </row>
    <row r="50" customFormat="false" ht="15" hidden="false" customHeight="true" outlineLevel="0" collapsed="false">
      <c r="B50" s="297" t="s">
        <v>2025</v>
      </c>
      <c r="C50" s="370" t="n">
        <f aca="false">C46/C48</f>
        <v>0.0793408605431798</v>
      </c>
    </row>
    <row r="51" customFormat="false" ht="15" hidden="false" customHeight="true" outlineLevel="0" collapsed="false">
      <c r="B51" s="297" t="s">
        <v>2026</v>
      </c>
      <c r="C51" s="370" t="n">
        <f aca="false">1-C49-C50</f>
        <v>0.310344827586207</v>
      </c>
    </row>
    <row r="52" customFormat="false" ht="15" hidden="false" customHeight="true" outlineLevel="0" collapsed="false">
      <c r="B52" s="297" t="s">
        <v>2027</v>
      </c>
      <c r="C52" s="370" t="n">
        <f aca="false">C49+C50+C51</f>
        <v>1</v>
      </c>
      <c r="D52" s="355" t="str">
        <f aca="false">IF(ABS(C52-1)&lt;0.0001,"✓","✗")</f>
        <v>✓</v>
      </c>
    </row>
    <row r="53" customFormat="false" ht="15" hidden="false" customHeight="true" outlineLevel="0" collapsed="false">
      <c r="B53" s="283" t="s">
        <v>2028</v>
      </c>
      <c r="C53" s="365" t="n">
        <v>1</v>
      </c>
      <c r="G53" s="360" t="s">
        <v>2029</v>
      </c>
    </row>
    <row r="54" customFormat="false" ht="15" hidden="false" customHeight="true" outlineLevel="0" collapsed="false">
      <c r="B54" s="297" t="s">
        <v>2030</v>
      </c>
      <c r="C54" s="365" t="n">
        <v>1</v>
      </c>
      <c r="G54" s="353" t="s">
        <v>2031</v>
      </c>
    </row>
    <row r="55" customFormat="false" ht="15" hidden="false" customHeight="true" outlineLevel="0" collapsed="false">
      <c r="B55" s="297" t="s">
        <v>2032</v>
      </c>
      <c r="C55" s="365" t="n">
        <v>2</v>
      </c>
      <c r="G55" s="353" t="s">
        <v>2033</v>
      </c>
    </row>
    <row r="56" customFormat="false" ht="15" hidden="false" customHeight="true" outlineLevel="0" collapsed="false">
      <c r="B56" s="297" t="s">
        <v>2034</v>
      </c>
      <c r="C56" s="371" t="n">
        <f aca="false">SUP_CAPEX_PLANTA!$C$11</f>
        <v>0.1</v>
      </c>
      <c r="G56" s="353" t="s">
        <v>2035</v>
      </c>
    </row>
    <row r="58" customFormat="false" ht="15" hidden="false" customHeight="true" outlineLevel="0" collapsed="false">
      <c r="A58" s="351" t="s">
        <v>2036</v>
      </c>
      <c r="B58" s="25"/>
      <c r="C58" s="25"/>
      <c r="D58" s="25"/>
      <c r="E58" s="25"/>
      <c r="F58" s="25"/>
      <c r="G58" s="25"/>
      <c r="H58" s="25"/>
    </row>
    <row r="59" customFormat="false" ht="15" hidden="false" customHeight="true" outlineLevel="0" collapsed="false">
      <c r="B59" s="297" t="s">
        <v>2037</v>
      </c>
      <c r="C59" s="365" t="n">
        <v>7</v>
      </c>
      <c r="G59" s="353" t="s">
        <v>2038</v>
      </c>
    </row>
    <row r="60" customFormat="false" ht="15" hidden="false" customHeight="true" outlineLevel="0" collapsed="false">
      <c r="B60" s="297" t="s">
        <v>2039</v>
      </c>
      <c r="C60" s="365" t="n">
        <v>2</v>
      </c>
      <c r="G60" s="353" t="s">
        <v>2040</v>
      </c>
    </row>
    <row r="61" customFormat="false" ht="25.5" hidden="false" customHeight="true" outlineLevel="0" collapsed="false">
      <c r="B61" s="297" t="s">
        <v>2041</v>
      </c>
      <c r="C61" s="365" t="n">
        <v>15</v>
      </c>
      <c r="G61" s="353" t="s">
        <v>2042</v>
      </c>
    </row>
    <row r="62" customFormat="false" ht="15" hidden="false" customHeight="true" outlineLevel="0" collapsed="false">
      <c r="B62" s="297" t="s">
        <v>2043</v>
      </c>
      <c r="C62" s="354" t="n">
        <f aca="false">SUP_PLANTA_OPEX!$C$43+SUP_PLANTA_OPEX!$C$44</f>
        <v>21</v>
      </c>
    </row>
    <row r="63" customFormat="false" ht="15" hidden="false" customHeight="true" outlineLevel="0" collapsed="false">
      <c r="B63" s="297" t="s">
        <v>2044</v>
      </c>
      <c r="C63" s="373" t="n">
        <f aca="false">SUP_CAPEX_PLANTA!$H$35</f>
        <v>141141</v>
      </c>
      <c r="G63" s="353" t="s">
        <v>2045</v>
      </c>
    </row>
    <row r="64" customFormat="false" ht="15" hidden="false" customHeight="true" outlineLevel="0" collapsed="false">
      <c r="B64" s="297" t="s">
        <v>2046</v>
      </c>
      <c r="C64" s="365" t="n">
        <v>1</v>
      </c>
      <c r="G64" s="353" t="s">
        <v>2047</v>
      </c>
    </row>
    <row r="65" customFormat="false" ht="15" hidden="false" customHeight="true" outlineLevel="0" collapsed="false">
      <c r="B65" s="297" t="s">
        <v>2048</v>
      </c>
      <c r="C65" s="365" t="n">
        <v>3</v>
      </c>
      <c r="G65" s="353" t="s">
        <v>2049</v>
      </c>
    </row>
    <row r="66" customFormat="false" ht="15" hidden="false" customHeight="true" outlineLevel="0" collapsed="false">
      <c r="B66" s="297" t="s">
        <v>2050</v>
      </c>
      <c r="C66" s="365" t="n">
        <v>2</v>
      </c>
    </row>
    <row r="67" customFormat="false" ht="25.5" hidden="false" customHeight="true" outlineLevel="0" collapsed="false">
      <c r="B67" s="297" t="s">
        <v>2051</v>
      </c>
      <c r="C67" s="365" t="n">
        <v>3</v>
      </c>
      <c r="G67" s="360" t="s">
        <v>2052</v>
      </c>
    </row>
    <row r="68" customFormat="false" ht="21.75" hidden="false" customHeight="true" outlineLevel="0" collapsed="false">
      <c r="B68" s="283" t="s">
        <v>2053</v>
      </c>
      <c r="C68" s="374" t="n">
        <f aca="false">C21</f>
        <v>2</v>
      </c>
      <c r="G68" s="360" t="s">
        <v>2054</v>
      </c>
    </row>
    <row r="69" customFormat="false" ht="21.75" hidden="false" customHeight="true" outlineLevel="0" collapsed="false">
      <c r="B69" s="283" t="s">
        <v>2055</v>
      </c>
      <c r="C69" s="375" t="n">
        <f aca="false">SUP_OVERHEAD!$C$27</f>
        <v>2</v>
      </c>
      <c r="G69" s="360" t="s">
        <v>2056</v>
      </c>
    </row>
    <row r="71" customFormat="false" ht="15" hidden="false" customHeight="true" outlineLevel="0" collapsed="false">
      <c r="A71" s="351" t="s">
        <v>2057</v>
      </c>
      <c r="B71" s="25"/>
      <c r="C71" s="25"/>
      <c r="D71" s="25"/>
      <c r="E71" s="25"/>
      <c r="F71" s="25"/>
      <c r="G71" s="25"/>
      <c r="H71" s="25"/>
    </row>
    <row r="72" customFormat="false" ht="15" hidden="false" customHeight="true" outlineLevel="0" collapsed="false">
      <c r="B72" s="283" t="s">
        <v>2058</v>
      </c>
      <c r="C72" s="359" t="n">
        <v>1</v>
      </c>
      <c r="G72" s="360" t="s">
        <v>2059</v>
      </c>
    </row>
    <row r="73" customFormat="false" ht="15" hidden="false" customHeight="true" outlineLevel="0" collapsed="false">
      <c r="B73" s="297" t="s">
        <v>2060</v>
      </c>
      <c r="C73" s="376" t="n">
        <v>50000</v>
      </c>
      <c r="G73" s="353" t="s">
        <v>2061</v>
      </c>
    </row>
    <row r="74" customFormat="false" ht="15" hidden="false" customHeight="true" outlineLevel="0" collapsed="false">
      <c r="B74" s="297" t="s">
        <v>2062</v>
      </c>
      <c r="C74" s="376" t="n">
        <v>50000</v>
      </c>
      <c r="G74" s="353" t="s">
        <v>2063</v>
      </c>
    </row>
    <row r="75" customFormat="false" ht="15" hidden="false" customHeight="true" outlineLevel="0" collapsed="false">
      <c r="B75" s="297" t="s">
        <v>2064</v>
      </c>
      <c r="C75" s="376" t="n">
        <v>0</v>
      </c>
      <c r="G75" s="353" t="s">
        <v>2065</v>
      </c>
    </row>
    <row r="77" customFormat="false" ht="15" hidden="false" customHeight="true" outlineLevel="0" collapsed="false">
      <c r="A77" s="351" t="s">
        <v>2066</v>
      </c>
      <c r="B77" s="25"/>
      <c r="C77" s="25"/>
      <c r="D77" s="25"/>
      <c r="E77" s="25"/>
      <c r="F77" s="25"/>
      <c r="G77" s="25"/>
      <c r="H77" s="25"/>
    </row>
    <row r="78" customFormat="false" ht="15" hidden="false" customHeight="true" outlineLevel="0" collapsed="false">
      <c r="B78" s="297" t="s">
        <v>2067</v>
      </c>
      <c r="C78" s="371" t="n">
        <f aca="false">SUP_CONTROL!$C$33</f>
        <v>0.34</v>
      </c>
    </row>
    <row r="79" customFormat="false" ht="25.5" hidden="false" customHeight="true" outlineLevel="0" collapsed="false">
      <c r="B79" s="297" t="s">
        <v>2068</v>
      </c>
      <c r="C79" s="365" t="n">
        <v>3</v>
      </c>
      <c r="G79" s="353" t="s">
        <v>2069</v>
      </c>
    </row>
    <row r="80" customFormat="false" ht="15" hidden="false" customHeight="true" outlineLevel="0" collapsed="false">
      <c r="B80" s="297" t="s">
        <v>2070</v>
      </c>
      <c r="C80" s="354" t="n">
        <f aca="false">SUP_OPEX!$C$43</f>
        <v>10</v>
      </c>
    </row>
    <row r="81" customFormat="false" ht="25.5" hidden="false" customHeight="true" outlineLevel="0" collapsed="false">
      <c r="B81" s="297" t="s">
        <v>2071</v>
      </c>
      <c r="C81" s="352" t="n">
        <v>0</v>
      </c>
      <c r="G81" s="353" t="s">
        <v>2072</v>
      </c>
    </row>
    <row r="82" customFormat="false" ht="15" hidden="false" customHeight="true" outlineLevel="0" collapsed="false">
      <c r="B82" s="297" t="s">
        <v>540</v>
      </c>
      <c r="C82" s="377" t="n">
        <f aca="false">SUP_CONTROL!$C$32</f>
        <v>0.0153094704997312</v>
      </c>
      <c r="G82" s="353" t="s">
        <v>2073</v>
      </c>
    </row>
    <row r="84" customFormat="false" ht="15" hidden="false" customHeight="true" outlineLevel="0" collapsed="false">
      <c r="A84" s="351" t="s">
        <v>2074</v>
      </c>
      <c r="B84" s="25"/>
      <c r="C84" s="25"/>
      <c r="D84" s="25"/>
      <c r="E84" s="25"/>
      <c r="F84" s="25"/>
      <c r="G84" s="25"/>
      <c r="H84" s="25"/>
    </row>
    <row r="85" customFormat="false" ht="15" hidden="false" customHeight="true" outlineLevel="0" collapsed="false">
      <c r="B85" s="94" t="s">
        <v>2075</v>
      </c>
    </row>
    <row r="86" customFormat="false" ht="15" hidden="false" customHeight="true" outlineLevel="0" collapsed="false">
      <c r="B86" s="378" t="s">
        <v>2076</v>
      </c>
      <c r="C86" s="379" t="s">
        <v>2077</v>
      </c>
      <c r="D86" s="379" t="s">
        <v>2078</v>
      </c>
      <c r="E86" s="379" t="s">
        <v>2079</v>
      </c>
      <c r="F86" s="379" t="s">
        <v>164</v>
      </c>
    </row>
    <row r="87" customFormat="false" ht="15" hidden="false" customHeight="true" outlineLevel="0" collapsed="false">
      <c r="B87" s="297" t="s">
        <v>2080</v>
      </c>
      <c r="C87" s="380" t="n">
        <f aca="false">SUMIF(SUP_CAPEX_PLANTA!$C$15:$C$31,"China",SUP_CAPEX_PLANTA!$H$15:$H$31)+SUMIF(SUP_CAPEX_PLANTA!$C$15:$C$31,"Importado",SUP_CAPEX_PLANTA!$H$15:$H$31)+SUMIF(SUP_CAPEX_PLANTA!$C$15:$C$31,"Miami",SUP_CAPEX_PLANTA!$H$15:$H$31)</f>
        <v>327622.61</v>
      </c>
      <c r="D87" s="380" t="n">
        <f aca="false">SUMIF(SUP_CAPEX_VENTANA!$C$14:$C$36,"China",SUP_CAPEX_VENTANA!$H$14:$H$36)+SUMIF(SUP_CAPEX_VENTANA!$C$14:$C$36,"Importado",SUP_CAPEX_VENTANA!$H$14:$H$36)+SUMIF(SUP_CAPEX_VENTANA!$C$14:$C$36,"Miami",SUP_CAPEX_VENTANA!$H$14:$H$36)</f>
        <v>28542.67</v>
      </c>
      <c r="E87" s="380" t="n">
        <f aca="false">SUMIF(SUP_CAPEX_DINEIN!$C$14:$C$37,"China",SUP_CAPEX_DINEIN!$H$14:$H$37)+SUMIF(SUP_CAPEX_DINEIN!$C$14:$C$37,"Importado",SUP_CAPEX_DINEIN!$H$14:$H$37)+SUMIF(SUP_CAPEX_DINEIN!$C$14:$C$37,"Miami",SUP_CAPEX_DINEIN!$H$14:$H$37)</f>
        <v>33482.7475</v>
      </c>
      <c r="F87" s="380" t="n">
        <f aca="false">SUMIF(SUP_CAPEX_FLAGSHIP!$C$20:$C$47,"China",SUP_CAPEX_FLAGSHIP!$H$20:$H$47)+SUMIF(SUP_CAPEX_FLAGSHIP!$C$20:$C$47,"Importado",SUP_CAPEX_FLAGSHIP!$H$20:$H$47)+SUMIF(SUP_CAPEX_FLAGSHIP!$C$20:$C$47,"Miami",SUP_CAPEX_FLAGSHIP!$H$20:$H$47)</f>
        <v>53980.3825</v>
      </c>
      <c r="G87" s="353" t="s">
        <v>2081</v>
      </c>
    </row>
    <row r="88" customFormat="false" ht="15" hidden="false" customHeight="true" outlineLevel="0" collapsed="false">
      <c r="B88" s="381" t="s">
        <v>2082</v>
      </c>
      <c r="C88" s="382" t="n">
        <f aca="false">C87*$C$49</f>
        <v>199952.767775404</v>
      </c>
      <c r="D88" s="382" t="n">
        <f aca="false">D87*$C$49</f>
        <v>17420</v>
      </c>
      <c r="E88" s="382" t="n">
        <f aca="false">E87*$C$49</f>
        <v>20435</v>
      </c>
      <c r="F88" s="382" t="n">
        <f aca="false">F87*$C$49</f>
        <v>32945</v>
      </c>
    </row>
    <row r="89" customFormat="false" ht="15" hidden="false" customHeight="true" outlineLevel="0" collapsed="false">
      <c r="B89" s="381" t="s">
        <v>2083</v>
      </c>
      <c r="C89" s="382" t="n">
        <f aca="false">C87*$C$50</f>
        <v>25993.8598108026</v>
      </c>
      <c r="D89" s="382" t="n">
        <f aca="false">D87*$C$50</f>
        <v>2264.6</v>
      </c>
      <c r="E89" s="382" t="n">
        <f aca="false">E87*$C$50</f>
        <v>2656.55</v>
      </c>
      <c r="F89" s="382" t="n">
        <f aca="false">F87*$C$50</f>
        <v>4282.85</v>
      </c>
    </row>
    <row r="90" customFormat="false" ht="15" hidden="false" customHeight="true" outlineLevel="0" collapsed="false">
      <c r="B90" s="381" t="s">
        <v>2084</v>
      </c>
      <c r="C90" s="382" t="n">
        <f aca="false">C87*$C$51</f>
        <v>101675.982413793</v>
      </c>
      <c r="D90" s="382" t="n">
        <f aca="false">D87*$C$51</f>
        <v>8858.07</v>
      </c>
      <c r="E90" s="382" t="n">
        <f aca="false">E87*$C$51</f>
        <v>10391.1975</v>
      </c>
      <c r="F90" s="382" t="n">
        <f aca="false">F87*$C$51</f>
        <v>16752.5325</v>
      </c>
    </row>
    <row r="91" customFormat="false" ht="15" hidden="false" customHeight="true" outlineLevel="0" collapsed="false">
      <c r="B91" s="297" t="s">
        <v>2085</v>
      </c>
      <c r="C91" s="380" t="n">
        <f aca="false">SUMIF(SUP_CAPEX_PLANTA!$C$15:$C$31,"Local",SUP_CAPEX_PLANTA!$H$15:$H$31)+SUMIF(SUP_CAPEX_PLANTA!$C$15:$C$31,"Servicio",SUP_CAPEX_PLANTA!$H$15:$H$31)+SUMIF(SUP_CAPEX_PLANTA!$C$15:$C$31,"POS",SUP_CAPEX_PLANTA!$H$15:$H$31)+SUMIF(SUP_CAPEX_PLANTA!$C$15:$C$31,"Comodato",SUP_CAPEX_PLANTA!$H$15:$H$31)</f>
        <v>45000</v>
      </c>
      <c r="D91" s="380" t="n">
        <f aca="false">SUMIF(SUP_CAPEX_VENTANA!$C$14:$C$36,"Local",SUP_CAPEX_VENTANA!$H$14:$H$36)+SUMIF(SUP_CAPEX_VENTANA!$C$14:$C$36,"Servicio",SUP_CAPEX_VENTANA!$H$14:$H$36)+SUMIF(SUP_CAPEX_VENTANA!$C$14:$C$36,"POS",SUP_CAPEX_VENTANA!$H$14:$H$36)+SUMIF(SUP_CAPEX_VENTANA!$C$14:$C$36,"Comodato",SUP_CAPEX_VENTANA!$H$14:$H$36)</f>
        <v>24600</v>
      </c>
      <c r="E91" s="380" t="n">
        <f aca="false">SUMIF(SUP_CAPEX_DINEIN!$C$14:$C$37,"Local",SUP_CAPEX_DINEIN!$H$14:$H$37)+SUMIF(SUP_CAPEX_DINEIN!$C$14:$C$37,"Servicio",SUP_CAPEX_DINEIN!$H$14:$H$37)+SUMIF(SUP_CAPEX_DINEIN!$C$14:$C$37,"POS",SUP_CAPEX_DINEIN!$H$14:$H$37)+SUMIF(SUP_CAPEX_DINEIN!$C$14:$C$37,"Comodato",SUP_CAPEX_DINEIN!$H$14:$H$37)</f>
        <v>33800</v>
      </c>
      <c r="F91" s="380" t="n">
        <f aca="false">SUMIF(SUP_CAPEX_FLAGSHIP!$C$20:$C$47,"Local",SUP_CAPEX_FLAGSHIP!$H$20:$H$47)+SUMIF(SUP_CAPEX_FLAGSHIP!$C$20:$C$47,"Servicio",SUP_CAPEX_FLAGSHIP!$H$20:$H$47)+SUMIF(SUP_CAPEX_FLAGSHIP!$C$20:$C$47,"POS",SUP_CAPEX_FLAGSHIP!$H$20:$H$47)+SUMIF(SUP_CAPEX_FLAGSHIP!$C$20:$C$47,"Comodato",SUP_CAPEX_FLAGSHIP!$H$20:$H$47)</f>
        <v>97500</v>
      </c>
    </row>
    <row r="92" customFormat="false" ht="15" hidden="false" customHeight="true" outlineLevel="0" collapsed="false">
      <c r="B92" s="297" t="s">
        <v>2086</v>
      </c>
      <c r="C92" s="380" t="n">
        <f aca="false">SUP_CAPEX_PLANTA!$H$29</f>
        <v>40640.58</v>
      </c>
      <c r="D92" s="380" t="n">
        <v>0</v>
      </c>
      <c r="E92" s="380" t="n">
        <v>0</v>
      </c>
      <c r="F92" s="380" t="n">
        <f aca="false">SUP_CAPEX_FLAGSHIP!$H$49</f>
        <v>0</v>
      </c>
    </row>
    <row r="93" customFormat="false" ht="15" hidden="false" customHeight="true" outlineLevel="0" collapsed="false">
      <c r="B93" s="297" t="s">
        <v>2087</v>
      </c>
      <c r="C93" s="380" t="n">
        <f aca="false">SUP_CAPEX_PLANTA!$H$33</f>
        <v>24000</v>
      </c>
      <c r="D93" s="380" t="n">
        <f aca="false">SUP_CAPEX_VENTANA!$H$38</f>
        <v>28000</v>
      </c>
      <c r="E93" s="380" t="n">
        <f aca="false">SUP_CAPEX_DINEIN!$H$39</f>
        <v>56000</v>
      </c>
      <c r="F93" s="380" t="n">
        <f aca="false">SUP_CAPEX_FLAGSHIP!$H$50+SUP_CAPEX_FLAGSHIP!$H$51</f>
        <v>280000</v>
      </c>
    </row>
    <row r="94" customFormat="false" ht="15" hidden="false" customHeight="true" outlineLevel="0" collapsed="false">
      <c r="B94" s="297" t="s">
        <v>2088</v>
      </c>
      <c r="C94" s="380" t="n">
        <f aca="false">SUP_CAPEX_PLANTA!$H$34</f>
        <v>35000</v>
      </c>
      <c r="D94" s="380" t="n">
        <f aca="false">SUP_CAPEX_VENTANA!$H$39</f>
        <v>3000</v>
      </c>
      <c r="E94" s="380" t="n">
        <f aca="false">SUP_CAPEX_DINEIN!$H$40</f>
        <v>3000</v>
      </c>
      <c r="F94" s="380" t="n">
        <f aca="false">SUP_CAPEX_FLAGSHIP!$H$52</f>
        <v>10000</v>
      </c>
    </row>
    <row r="95" customFormat="false" ht="25.5" hidden="false" customHeight="true" outlineLevel="0" collapsed="false">
      <c r="B95" s="297" t="s">
        <v>2089</v>
      </c>
      <c r="C95" s="380" t="n">
        <f aca="false">SUP_CAPEX_PLANTA!$H$35</f>
        <v>141141</v>
      </c>
      <c r="D95" s="380" t="n">
        <v>0</v>
      </c>
      <c r="E95" s="380" t="n">
        <v>0</v>
      </c>
      <c r="F95" s="380" t="n">
        <v>0</v>
      </c>
      <c r="G95" s="353" t="s">
        <v>2090</v>
      </c>
    </row>
    <row r="96" customFormat="false" ht="15" hidden="false" customHeight="true" outlineLevel="0" collapsed="false">
      <c r="B96" s="357" t="s">
        <v>2091</v>
      </c>
      <c r="C96" s="383" t="n">
        <f aca="false">C87+C91+C92+C93+C94+C95</f>
        <v>613404.19</v>
      </c>
      <c r="D96" s="383" t="n">
        <f aca="false">D87+D91+D92+D93+D94+D95</f>
        <v>84142.67</v>
      </c>
      <c r="E96" s="383" t="n">
        <f aca="false">E87+E91+E92+E93+E94+E95</f>
        <v>126282.7475</v>
      </c>
      <c r="F96" s="383" t="n">
        <f aca="false">F87+F91+F92+F93+F94+F95</f>
        <v>441480.3825</v>
      </c>
    </row>
    <row r="97" customFormat="false" ht="15" hidden="false" customHeight="true" outlineLevel="0" collapsed="false">
      <c r="B97" s="297" t="s">
        <v>1556</v>
      </c>
      <c r="C97" s="380" t="n">
        <f aca="false">C96*$C$56</f>
        <v>61340.419</v>
      </c>
      <c r="D97" s="380" t="n">
        <f aca="false">D96*$C$56</f>
        <v>8414.267</v>
      </c>
      <c r="E97" s="380" t="n">
        <f aca="false">E96*$C$56</f>
        <v>12628.27475</v>
      </c>
      <c r="F97" s="380" t="n">
        <f aca="false">F96*$C$56</f>
        <v>44148.03825</v>
      </c>
    </row>
    <row r="98" customFormat="false" ht="15" hidden="false" customHeight="true" outlineLevel="0" collapsed="false">
      <c r="B98" s="357" t="s">
        <v>2092</v>
      </c>
      <c r="C98" s="383" t="n">
        <f aca="false">C96+C97</f>
        <v>674744.609</v>
      </c>
      <c r="D98" s="383" t="n">
        <f aca="false">D96+D97</f>
        <v>92556.937</v>
      </c>
      <c r="E98" s="383" t="n">
        <f aca="false">E96+E97</f>
        <v>138911.02225</v>
      </c>
      <c r="F98" s="383" t="n">
        <f aca="false">F96+F97</f>
        <v>485628.42075</v>
      </c>
    </row>
    <row r="99" customFormat="false" ht="15" hidden="false" customHeight="true" outlineLevel="0" collapsed="false">
      <c r="B99" s="297" t="s">
        <v>2093</v>
      </c>
      <c r="C99" s="384" t="n">
        <f aca="false">SUP_CAPEX_PLANTA!$H$38</f>
        <v>674744.609</v>
      </c>
      <c r="D99" s="384" t="n">
        <f aca="false">SUP_CAPEX_VENTANA!$H$42</f>
        <v>92556.937</v>
      </c>
      <c r="E99" s="384" t="n">
        <f aca="false">SUP_CAPEX_DINEIN!$H$43</f>
        <v>138911.02225</v>
      </c>
      <c r="F99" s="384" t="n">
        <f aca="false">SUP_CAPEX_FLAGSHIP!$H$55</f>
        <v>485628.42075</v>
      </c>
    </row>
    <row r="100" customFormat="false" ht="15" hidden="false" customHeight="true" outlineLevel="0" collapsed="false">
      <c r="B100" s="297" t="s">
        <v>2094</v>
      </c>
      <c r="C100" s="383" t="n">
        <f aca="false">ROUND(C98-C99,2)</f>
        <v>0</v>
      </c>
      <c r="D100" s="383" t="n">
        <f aca="false">ROUND(D98-D99,2)</f>
        <v>0</v>
      </c>
      <c r="E100" s="383" t="n">
        <f aca="false">ROUND(E98-E99,2)</f>
        <v>0</v>
      </c>
      <c r="F100" s="383" t="n">
        <f aca="false">ROUND(F98-F99,2)</f>
        <v>0</v>
      </c>
      <c r="G100" s="385" t="str">
        <f aca="false">IF(AND(C100=0,D100=0,E100=0,F100=0),"✓ La descomposición reproduce exactamente el CAPEX de las cuatro hojas fuente.","✗ Revisar: la descomposición no cuadra con la hoja fuente.")</f>
        <v>✓ La descomposición reproduce exactamente el CAPEX de las cuatro hojas fuente.</v>
      </c>
    </row>
    <row r="102" customFormat="false" ht="15" hidden="false" customHeight="true" outlineLevel="0" collapsed="false">
      <c r="A102" s="351" t="s">
        <v>2095</v>
      </c>
      <c r="B102" s="25"/>
      <c r="C102" s="25"/>
      <c r="D102" s="25"/>
      <c r="E102" s="25"/>
      <c r="F102" s="25"/>
      <c r="G102" s="25"/>
      <c r="H102" s="25"/>
    </row>
    <row r="103" customFormat="false" ht="15" hidden="false" customHeight="true" outlineLevel="0" collapsed="false">
      <c r="B103" s="94" t="s">
        <v>2096</v>
      </c>
    </row>
    <row r="104" customFormat="false" ht="15" hidden="false" customHeight="true" outlineLevel="0" collapsed="false">
      <c r="A104" s="379" t="s">
        <v>2097</v>
      </c>
      <c r="B104" s="378" t="s">
        <v>304</v>
      </c>
      <c r="C104" s="379" t="s">
        <v>2098</v>
      </c>
      <c r="D104" s="379" t="s">
        <v>2099</v>
      </c>
      <c r="E104" s="378" t="s">
        <v>2100</v>
      </c>
      <c r="G104" s="378" t="s">
        <v>2101</v>
      </c>
    </row>
    <row r="105" customFormat="false" ht="25.5" hidden="false" customHeight="true" outlineLevel="0" collapsed="false">
      <c r="A105" s="386" t="n">
        <v>1</v>
      </c>
      <c r="B105" s="297" t="s">
        <v>2102</v>
      </c>
      <c r="C105" s="387" t="s">
        <v>2103</v>
      </c>
      <c r="D105" s="354" t="n">
        <f aca="false">C25</f>
        <v>1</v>
      </c>
      <c r="E105" s="388" t="s">
        <v>2104</v>
      </c>
      <c r="G105" s="353" t="s">
        <v>2105</v>
      </c>
    </row>
    <row r="106" customFormat="false" ht="25.5" hidden="false" customHeight="true" outlineLevel="0" collapsed="false">
      <c r="A106" s="386" t="n">
        <v>2</v>
      </c>
      <c r="B106" s="297" t="s">
        <v>2106</v>
      </c>
      <c r="C106" s="387" t="s">
        <v>2107</v>
      </c>
      <c r="D106" s="356" t="n">
        <f aca="false">C18</f>
        <v>4</v>
      </c>
      <c r="E106" s="388" t="s">
        <v>2108</v>
      </c>
      <c r="G106" s="353" t="s">
        <v>2109</v>
      </c>
    </row>
    <row r="107" customFormat="false" ht="25.5" hidden="false" customHeight="true" outlineLevel="0" collapsed="false">
      <c r="A107" s="386" t="n">
        <v>3</v>
      </c>
      <c r="B107" s="297" t="s">
        <v>2110</v>
      </c>
      <c r="C107" s="387" t="s">
        <v>2111</v>
      </c>
      <c r="D107" s="356" t="n">
        <f aca="false">C19</f>
        <v>2</v>
      </c>
      <c r="E107" s="388" t="s">
        <v>2112</v>
      </c>
      <c r="G107" s="353" t="s">
        <v>2113</v>
      </c>
    </row>
    <row r="108" customFormat="false" ht="25.5" hidden="false" customHeight="true" outlineLevel="0" collapsed="false">
      <c r="A108" s="386" t="n">
        <v>4</v>
      </c>
      <c r="B108" s="297" t="s">
        <v>2114</v>
      </c>
      <c r="C108" s="387" t="s">
        <v>2115</v>
      </c>
      <c r="D108" s="356" t="n">
        <f aca="false">C27</f>
        <v>3</v>
      </c>
      <c r="E108" s="388" t="s">
        <v>2116</v>
      </c>
      <c r="G108" s="353" t="s">
        <v>2117</v>
      </c>
    </row>
    <row r="109" customFormat="false" ht="25.5" hidden="false" customHeight="true" outlineLevel="0" collapsed="false">
      <c r="A109" s="386" t="n">
        <v>5</v>
      </c>
      <c r="B109" s="297" t="s">
        <v>2118</v>
      </c>
      <c r="C109" s="387" t="s">
        <v>2119</v>
      </c>
      <c r="D109" s="356" t="n">
        <f aca="false">C32</f>
        <v>2</v>
      </c>
      <c r="E109" s="388" t="s">
        <v>2120</v>
      </c>
      <c r="G109" s="353" t="s">
        <v>2121</v>
      </c>
    </row>
    <row r="110" customFormat="false" ht="25.5" hidden="false" customHeight="true" outlineLevel="0" collapsed="false">
      <c r="A110" s="386" t="n">
        <v>6</v>
      </c>
      <c r="B110" s="297" t="s">
        <v>2122</v>
      </c>
      <c r="C110" s="387" t="s">
        <v>2123</v>
      </c>
      <c r="D110" s="371" t="n">
        <f aca="false">C44</f>
        <v>0.4</v>
      </c>
      <c r="E110" s="388" t="s">
        <v>2124</v>
      </c>
      <c r="G110" s="353" t="s">
        <v>2125</v>
      </c>
    </row>
    <row r="111" customFormat="false" ht="25.5" hidden="false" customHeight="true" outlineLevel="0" collapsed="false">
      <c r="A111" s="386" t="n">
        <v>7</v>
      </c>
      <c r="B111" s="297" t="s">
        <v>2037</v>
      </c>
      <c r="C111" s="387" t="s">
        <v>2126</v>
      </c>
      <c r="D111" s="356" t="n">
        <f aca="false">C59</f>
        <v>7</v>
      </c>
      <c r="E111" s="388" t="s">
        <v>2127</v>
      </c>
      <c r="G111" s="353" t="s">
        <v>2128</v>
      </c>
    </row>
    <row r="112" customFormat="false" ht="25.5" hidden="false" customHeight="true" outlineLevel="0" collapsed="false">
      <c r="A112" s="386" t="n">
        <v>8</v>
      </c>
      <c r="B112" s="297" t="s">
        <v>2129</v>
      </c>
      <c r="C112" s="387" t="s">
        <v>2130</v>
      </c>
      <c r="D112" s="356" t="n">
        <f aca="false">C60</f>
        <v>2</v>
      </c>
      <c r="E112" s="388" t="s">
        <v>2131</v>
      </c>
      <c r="G112" s="353" t="s">
        <v>2132</v>
      </c>
    </row>
    <row r="113" customFormat="false" ht="25.5" hidden="false" customHeight="true" outlineLevel="0" collapsed="false">
      <c r="A113" s="386" t="n">
        <v>9</v>
      </c>
      <c r="B113" s="297" t="s">
        <v>2133</v>
      </c>
      <c r="C113" s="387" t="s">
        <v>2134</v>
      </c>
      <c r="D113" s="356" t="n">
        <f aca="false">C61</f>
        <v>15</v>
      </c>
      <c r="E113" s="388" t="s">
        <v>2131</v>
      </c>
      <c r="G113" s="353" t="s">
        <v>2135</v>
      </c>
    </row>
    <row r="114" customFormat="false" ht="25.5" hidden="false" customHeight="true" outlineLevel="0" collapsed="false">
      <c r="A114" s="386" t="n">
        <v>10</v>
      </c>
      <c r="B114" s="297" t="s">
        <v>2136</v>
      </c>
      <c r="C114" s="387" t="s">
        <v>2137</v>
      </c>
      <c r="D114" s="373" t="n">
        <f aca="false">C73</f>
        <v>50000</v>
      </c>
      <c r="E114" s="388" t="s">
        <v>2138</v>
      </c>
      <c r="G114" s="353" t="s">
        <v>2139</v>
      </c>
    </row>
    <row r="115" customFormat="false" ht="25.5" hidden="false" customHeight="true" outlineLevel="0" collapsed="false">
      <c r="A115" s="386" t="n">
        <v>11</v>
      </c>
      <c r="B115" s="297" t="s">
        <v>2140</v>
      </c>
      <c r="C115" s="387" t="s">
        <v>2141</v>
      </c>
      <c r="D115" s="356" t="n">
        <f aca="false">C79</f>
        <v>3</v>
      </c>
      <c r="E115" s="388" t="s">
        <v>2142</v>
      </c>
      <c r="G115" s="353" t="s">
        <v>2143</v>
      </c>
    </row>
    <row r="116" customFormat="false" ht="25.5" hidden="false" customHeight="true" outlineLevel="0" collapsed="false">
      <c r="A116" s="386" t="n">
        <v>12</v>
      </c>
      <c r="B116" s="297" t="s">
        <v>2144</v>
      </c>
      <c r="C116" s="387" t="s">
        <v>2145</v>
      </c>
      <c r="D116" s="354" t="n">
        <f aca="false">C81</f>
        <v>0</v>
      </c>
      <c r="E116" s="388" t="s">
        <v>2142</v>
      </c>
      <c r="G116" s="353" t="s">
        <v>2146</v>
      </c>
    </row>
    <row r="117" customFormat="false" ht="25.5" hidden="false" customHeight="true" outlineLevel="0" collapsed="false">
      <c r="A117" s="386" t="n">
        <v>13</v>
      </c>
      <c r="B117" s="297" t="s">
        <v>2147</v>
      </c>
      <c r="C117" s="387" t="s">
        <v>2148</v>
      </c>
      <c r="D117" s="356" t="n">
        <f aca="false">C68</f>
        <v>2</v>
      </c>
      <c r="E117" s="388" t="s">
        <v>2149</v>
      </c>
      <c r="G117" s="353" t="s">
        <v>2150</v>
      </c>
    </row>
    <row r="118" customFormat="false" ht="25.5" hidden="false" customHeight="true" outlineLevel="0" collapsed="false">
      <c r="A118" s="386" t="n">
        <v>14</v>
      </c>
      <c r="B118" s="297" t="s">
        <v>2151</v>
      </c>
      <c r="C118" s="389" t="s">
        <v>360</v>
      </c>
      <c r="D118" s="390" t="s">
        <v>360</v>
      </c>
      <c r="E118" s="388" t="s">
        <v>2149</v>
      </c>
      <c r="G118" s="353" t="s">
        <v>2152</v>
      </c>
    </row>
    <row r="119" customFormat="false" ht="25.5" hidden="false" customHeight="true" outlineLevel="0" collapsed="false">
      <c r="A119" s="386" t="n">
        <v>15</v>
      </c>
      <c r="B119" s="297" t="s">
        <v>2153</v>
      </c>
      <c r="C119" s="389" t="s">
        <v>360</v>
      </c>
      <c r="D119" s="390" t="s">
        <v>360</v>
      </c>
      <c r="E119" s="388" t="s">
        <v>2154</v>
      </c>
      <c r="G119" s="353" t="s">
        <v>2155</v>
      </c>
    </row>
    <row r="120" customFormat="false" ht="25.5" hidden="false" customHeight="true" outlineLevel="0" collapsed="false">
      <c r="A120" s="386" t="n">
        <v>16</v>
      </c>
      <c r="B120" s="297" t="s">
        <v>2156</v>
      </c>
      <c r="C120" s="389" t="s">
        <v>360</v>
      </c>
      <c r="D120" s="390" t="s">
        <v>360</v>
      </c>
      <c r="E120" s="388" t="s">
        <v>2127</v>
      </c>
      <c r="G120" s="353" t="s">
        <v>2157</v>
      </c>
    </row>
    <row r="121" customFormat="false" ht="25.5" hidden="false" customHeight="true" outlineLevel="0" collapsed="false">
      <c r="A121" s="391" t="n">
        <v>17</v>
      </c>
      <c r="B121" s="283" t="s">
        <v>2158</v>
      </c>
      <c r="C121" s="392" t="s">
        <v>2159</v>
      </c>
      <c r="D121" s="393" t="s">
        <v>360</v>
      </c>
      <c r="E121" s="184" t="s">
        <v>2160</v>
      </c>
      <c r="G121" s="360" t="s">
        <v>2161</v>
      </c>
    </row>
    <row r="122" customFormat="false" ht="25.5" hidden="false" customHeight="true" outlineLevel="0" collapsed="false">
      <c r="A122" s="391" t="n">
        <v>18</v>
      </c>
      <c r="B122" s="283" t="s">
        <v>2162</v>
      </c>
      <c r="C122" s="392" t="s">
        <v>2163</v>
      </c>
      <c r="D122" s="393" t="s">
        <v>360</v>
      </c>
      <c r="E122" s="184" t="s">
        <v>2164</v>
      </c>
      <c r="G122" s="360" t="s">
        <v>2165</v>
      </c>
    </row>
    <row r="123" customFormat="false" ht="15" hidden="false" customHeight="true" outlineLevel="0" collapsed="false">
      <c r="A123" s="281" t="s">
        <v>2166</v>
      </c>
      <c r="B123" s="25"/>
      <c r="C123" s="25"/>
      <c r="D123" s="25"/>
      <c r="E123" s="25"/>
      <c r="F123" s="25"/>
      <c r="G123" s="25"/>
      <c r="H123" s="25"/>
    </row>
    <row r="124" customFormat="false" ht="27.75" hidden="false" customHeight="true" outlineLevel="0" collapsed="false">
      <c r="B124" s="394" t="s">
        <v>2167</v>
      </c>
      <c r="C124" s="394"/>
      <c r="D124" s="394"/>
      <c r="E124" s="394"/>
      <c r="F124" s="394"/>
      <c r="G124" s="394"/>
    </row>
    <row r="125" customFormat="false" ht="15" hidden="false" customHeight="true" outlineLevel="0" collapsed="false">
      <c r="A125" s="395" t="s">
        <v>2097</v>
      </c>
      <c r="B125" s="396" t="s">
        <v>2168</v>
      </c>
      <c r="C125" s="395" t="s">
        <v>2169</v>
      </c>
      <c r="G125" s="396" t="s">
        <v>2170</v>
      </c>
    </row>
    <row r="126" customFormat="false" ht="15" hidden="false" customHeight="true" outlineLevel="0" collapsed="false">
      <c r="A126" s="391" t="n">
        <v>1</v>
      </c>
      <c r="B126" s="283" t="s">
        <v>2171</v>
      </c>
      <c r="C126" s="397" t="s">
        <v>2172</v>
      </c>
      <c r="G126" s="286" t="s">
        <v>2173</v>
      </c>
    </row>
    <row r="127" customFormat="false" ht="15" hidden="false" customHeight="true" outlineLevel="0" collapsed="false">
      <c r="A127" s="391" t="n">
        <v>2</v>
      </c>
      <c r="B127" s="283" t="s">
        <v>2174</v>
      </c>
      <c r="C127" s="397" t="s">
        <v>2172</v>
      </c>
      <c r="G127" s="286" t="s">
        <v>2175</v>
      </c>
    </row>
    <row r="128" customFormat="false" ht="15" hidden="false" customHeight="true" outlineLevel="0" collapsed="false">
      <c r="A128" s="391" t="n">
        <v>3</v>
      </c>
      <c r="B128" s="283" t="s">
        <v>2176</v>
      </c>
      <c r="C128" s="397" t="s">
        <v>2172</v>
      </c>
      <c r="G128" s="286" t="s">
        <v>2177</v>
      </c>
    </row>
    <row r="129" customFormat="false" ht="15" hidden="false" customHeight="true" outlineLevel="0" collapsed="false">
      <c r="A129" s="391" t="n">
        <v>4</v>
      </c>
      <c r="B129" s="283" t="s">
        <v>2178</v>
      </c>
      <c r="C129" s="397" t="s">
        <v>2179</v>
      </c>
      <c r="G129" s="286" t="s">
        <v>2180</v>
      </c>
    </row>
    <row r="130" customFormat="false" ht="15" hidden="false" customHeight="true" outlineLevel="0" collapsed="false">
      <c r="A130" s="391" t="n">
        <v>5</v>
      </c>
      <c r="B130" s="283" t="s">
        <v>2181</v>
      </c>
      <c r="C130" s="397" t="s">
        <v>2172</v>
      </c>
      <c r="G130" s="286" t="s">
        <v>2182</v>
      </c>
    </row>
    <row r="131" customFormat="false" ht="15" hidden="false" customHeight="true" outlineLevel="0" collapsed="false">
      <c r="A131" s="391" t="n">
        <v>6</v>
      </c>
      <c r="B131" s="283" t="s">
        <v>2183</v>
      </c>
      <c r="C131" s="397" t="s">
        <v>2172</v>
      </c>
      <c r="G131" s="286" t="s">
        <v>2184</v>
      </c>
    </row>
    <row r="132" customFormat="false" ht="15" hidden="false" customHeight="true" outlineLevel="0" collapsed="false">
      <c r="A132" s="391" t="n">
        <v>7</v>
      </c>
      <c r="B132" s="283" t="s">
        <v>2185</v>
      </c>
      <c r="C132" s="397" t="n">
        <v>1</v>
      </c>
      <c r="G132" s="286" t="s">
        <v>2186</v>
      </c>
    </row>
    <row r="133" customFormat="false" ht="15" hidden="false" customHeight="true" outlineLevel="0" collapsed="false">
      <c r="A133" s="391" t="n">
        <v>8</v>
      </c>
      <c r="B133" s="283" t="s">
        <v>2187</v>
      </c>
      <c r="C133" s="397" t="s">
        <v>2179</v>
      </c>
      <c r="G133" s="286" t="s">
        <v>2188</v>
      </c>
    </row>
    <row r="134" customFormat="false" ht="15" hidden="false" customHeight="true" outlineLevel="0" collapsed="false">
      <c r="A134" s="391" t="n">
        <v>9</v>
      </c>
      <c r="B134" s="283" t="s">
        <v>2189</v>
      </c>
      <c r="C134" s="397" t="s">
        <v>2172</v>
      </c>
      <c r="G134" s="286" t="s">
        <v>2190</v>
      </c>
    </row>
    <row r="135" customFormat="false" ht="15" hidden="false" customHeight="true" outlineLevel="0" collapsed="false">
      <c r="A135" s="391" t="n">
        <v>10</v>
      </c>
      <c r="B135" s="283" t="s">
        <v>2191</v>
      </c>
      <c r="C135" s="397" t="s">
        <v>2179</v>
      </c>
      <c r="G135" s="286" t="s">
        <v>2192</v>
      </c>
    </row>
    <row r="136" customFormat="false" ht="15" hidden="false" customHeight="true" outlineLevel="0" collapsed="false">
      <c r="A136" s="391" t="n">
        <v>11</v>
      </c>
      <c r="B136" s="283" t="s">
        <v>2193</v>
      </c>
      <c r="C136" s="397" t="n">
        <v>3</v>
      </c>
      <c r="G136" s="286" t="s">
        <v>2194</v>
      </c>
    </row>
    <row r="137" customFormat="false" ht="15" hidden="false" customHeight="true" outlineLevel="0" collapsed="false">
      <c r="A137" s="391" t="n">
        <v>12</v>
      </c>
      <c r="B137" s="283" t="s">
        <v>2195</v>
      </c>
      <c r="C137" s="397" t="n">
        <v>1</v>
      </c>
      <c r="G137" s="286" t="s">
        <v>2196</v>
      </c>
    </row>
    <row r="138" customFormat="false" ht="15" hidden="false" customHeight="true" outlineLevel="0" collapsed="false">
      <c r="A138" s="391" t="n">
        <v>13</v>
      </c>
      <c r="B138" s="283" t="s">
        <v>2197</v>
      </c>
      <c r="C138" s="397" t="n">
        <v>1</v>
      </c>
      <c r="G138" s="286" t="s">
        <v>2198</v>
      </c>
    </row>
    <row r="139" customFormat="false" ht="15" hidden="false" customHeight="true" outlineLevel="0" collapsed="false">
      <c r="A139" s="391" t="n">
        <v>14</v>
      </c>
      <c r="B139" s="283" t="s">
        <v>2199</v>
      </c>
      <c r="C139" s="397" t="n">
        <v>1</v>
      </c>
      <c r="G139" s="286" t="s">
        <v>2200</v>
      </c>
    </row>
    <row r="140" customFormat="false" ht="15" hidden="false" customHeight="true" outlineLevel="0" collapsed="false">
      <c r="A140" s="391" t="n">
        <v>15</v>
      </c>
      <c r="B140" s="283" t="s">
        <v>2201</v>
      </c>
      <c r="C140" s="397" t="n">
        <v>2</v>
      </c>
      <c r="G140" s="286" t="s">
        <v>2202</v>
      </c>
    </row>
    <row r="141" customFormat="false" ht="15" hidden="false" customHeight="true" outlineLevel="0" collapsed="false">
      <c r="A141" s="391" t="n">
        <v>16</v>
      </c>
      <c r="B141" s="283" t="s">
        <v>2203</v>
      </c>
      <c r="C141" s="397" t="n">
        <v>3</v>
      </c>
      <c r="G141" s="286" t="s">
        <v>2204</v>
      </c>
    </row>
    <row r="142" customFormat="false" ht="15" hidden="false" customHeight="true" outlineLevel="0" collapsed="false">
      <c r="A142" s="391" t="n">
        <v>17</v>
      </c>
      <c r="B142" s="283" t="s">
        <v>2205</v>
      </c>
      <c r="C142" s="397" t="s">
        <v>2172</v>
      </c>
      <c r="G142" s="286" t="s">
        <v>2206</v>
      </c>
    </row>
    <row r="143" customFormat="false" ht="15" hidden="false" customHeight="true" outlineLevel="0" collapsed="false">
      <c r="A143" s="391" t="n">
        <v>18</v>
      </c>
      <c r="B143" s="283" t="s">
        <v>2207</v>
      </c>
      <c r="C143" s="397" t="s">
        <v>2172</v>
      </c>
      <c r="G143" s="286" t="s">
        <v>2208</v>
      </c>
    </row>
    <row r="144" customFormat="false" ht="15" hidden="false" customHeight="true" outlineLevel="0" collapsed="false">
      <c r="A144" s="391" t="n">
        <v>19</v>
      </c>
      <c r="B144" s="283" t="s">
        <v>2209</v>
      </c>
      <c r="C144" s="397" t="s">
        <v>2172</v>
      </c>
      <c r="G144" s="286" t="s">
        <v>2210</v>
      </c>
    </row>
    <row r="145" customFormat="false" ht="15" hidden="false" customHeight="true" outlineLevel="0" collapsed="false">
      <c r="A145" s="391" t="n">
        <v>20</v>
      </c>
      <c r="B145" s="283" t="s">
        <v>2211</v>
      </c>
      <c r="C145" s="397" t="n">
        <v>3</v>
      </c>
      <c r="G145" s="286" t="s">
        <v>2212</v>
      </c>
    </row>
    <row r="146" customFormat="false" ht="15" hidden="false" customHeight="true" outlineLevel="0" collapsed="false">
      <c r="A146" s="391" t="n">
        <v>21</v>
      </c>
      <c r="B146" s="283" t="s">
        <v>2213</v>
      </c>
      <c r="C146" s="397" t="s">
        <v>2172</v>
      </c>
      <c r="G146" s="286" t="s">
        <v>2214</v>
      </c>
    </row>
    <row r="147" customFormat="false" ht="15" hidden="false" customHeight="true" outlineLevel="0" collapsed="false">
      <c r="A147" s="391" t="n">
        <v>22</v>
      </c>
      <c r="B147" s="283" t="s">
        <v>2215</v>
      </c>
      <c r="C147" s="397" t="n">
        <v>1</v>
      </c>
      <c r="G147" s="286" t="s">
        <v>2196</v>
      </c>
    </row>
    <row r="148" customFormat="false" ht="15" hidden="false" customHeight="true" outlineLevel="0" collapsed="false">
      <c r="A148" s="391" t="n">
        <v>23</v>
      </c>
      <c r="B148" s="283" t="s">
        <v>2216</v>
      </c>
      <c r="C148" s="397" t="n">
        <v>1</v>
      </c>
      <c r="G148" s="286" t="s">
        <v>2198</v>
      </c>
    </row>
    <row r="149" customFormat="false" ht="15" hidden="false" customHeight="true" outlineLevel="0" collapsed="false">
      <c r="A149" s="391" t="n">
        <v>24</v>
      </c>
      <c r="B149" s="283" t="s">
        <v>2217</v>
      </c>
      <c r="C149" s="397" t="n">
        <v>1</v>
      </c>
      <c r="G149" s="286" t="s">
        <v>2200</v>
      </c>
    </row>
    <row r="150" customFormat="false" ht="15" hidden="false" customHeight="true" outlineLevel="0" collapsed="false">
      <c r="A150" s="391" t="n">
        <v>25</v>
      </c>
      <c r="B150" s="283" t="s">
        <v>2218</v>
      </c>
      <c r="C150" s="397" t="n">
        <v>2</v>
      </c>
      <c r="G150" s="286" t="s">
        <v>2219</v>
      </c>
    </row>
    <row r="151" customFormat="false" ht="15" hidden="false" customHeight="true" outlineLevel="0" collapsed="false">
      <c r="A151" s="391" t="n">
        <v>26</v>
      </c>
      <c r="B151" s="283" t="s">
        <v>2220</v>
      </c>
      <c r="C151" s="397" t="n">
        <v>3</v>
      </c>
      <c r="G151" s="286" t="s">
        <v>2221</v>
      </c>
    </row>
    <row r="152" customFormat="false" ht="15" hidden="false" customHeight="true" outlineLevel="0" collapsed="false">
      <c r="A152" s="391" t="n">
        <v>27</v>
      </c>
      <c r="B152" s="283" t="s">
        <v>2222</v>
      </c>
      <c r="C152" s="397" t="s">
        <v>2172</v>
      </c>
      <c r="G152" s="286" t="s">
        <v>2208</v>
      </c>
    </row>
    <row r="153" customFormat="false" ht="15" hidden="false" customHeight="true" outlineLevel="0" collapsed="false">
      <c r="A153" s="391" t="n">
        <v>28</v>
      </c>
      <c r="B153" s="283" t="s">
        <v>2223</v>
      </c>
      <c r="C153" s="397" t="s">
        <v>2172</v>
      </c>
      <c r="G153" s="286" t="s">
        <v>2224</v>
      </c>
    </row>
    <row r="154" customFormat="false" ht="15" hidden="false" customHeight="true" outlineLevel="0" collapsed="false">
      <c r="A154" s="391" t="n">
        <v>29</v>
      </c>
      <c r="B154" s="283" t="s">
        <v>2225</v>
      </c>
      <c r="C154" s="397" t="s">
        <v>2172</v>
      </c>
      <c r="G154" s="286" t="s">
        <v>2214</v>
      </c>
    </row>
    <row r="155" customFormat="false" ht="15" hidden="false" customHeight="true" outlineLevel="0" collapsed="false">
      <c r="A155" s="391" t="n">
        <v>30</v>
      </c>
      <c r="B155" s="283" t="s">
        <v>2226</v>
      </c>
      <c r="C155" s="397" t="n">
        <v>1</v>
      </c>
      <c r="G155" s="286" t="s">
        <v>2227</v>
      </c>
    </row>
    <row r="156" customFormat="false" ht="15" hidden="false" customHeight="true" outlineLevel="0" collapsed="false">
      <c r="A156" s="391" t="n">
        <v>31</v>
      </c>
      <c r="B156" s="283" t="s">
        <v>2228</v>
      </c>
      <c r="C156" s="397" t="n">
        <v>1</v>
      </c>
      <c r="G156" s="286" t="s">
        <v>2227</v>
      </c>
    </row>
    <row r="157" customFormat="false" ht="15" hidden="false" customHeight="true" outlineLevel="0" collapsed="false">
      <c r="A157" s="391" t="n">
        <v>32</v>
      </c>
      <c r="B157" s="283" t="s">
        <v>2229</v>
      </c>
      <c r="C157" s="397" t="n">
        <v>2</v>
      </c>
      <c r="G157" s="286" t="s">
        <v>2230</v>
      </c>
    </row>
    <row r="158" customFormat="false" ht="15" hidden="false" customHeight="true" outlineLevel="0" collapsed="false">
      <c r="A158" s="391" t="n">
        <v>33</v>
      </c>
      <c r="B158" s="283" t="s">
        <v>2231</v>
      </c>
      <c r="C158" s="397" t="s">
        <v>2172</v>
      </c>
      <c r="G158" s="286" t="s">
        <v>2232</v>
      </c>
    </row>
    <row r="159" customFormat="false" ht="15" hidden="false" customHeight="true" outlineLevel="0" collapsed="false">
      <c r="A159" s="391" t="n">
        <v>34</v>
      </c>
      <c r="B159" s="287" t="s">
        <v>2233</v>
      </c>
      <c r="C159" s="398" t="n">
        <v>1</v>
      </c>
      <c r="G159" s="286" t="s">
        <v>2234</v>
      </c>
    </row>
    <row r="160" customFormat="false" ht="15" hidden="false" customHeight="true" outlineLevel="0" collapsed="false">
      <c r="A160" s="391" t="n">
        <v>35</v>
      </c>
      <c r="B160" s="283" t="s">
        <v>2235</v>
      </c>
      <c r="C160" s="397" t="n">
        <v>1</v>
      </c>
      <c r="G160" s="286" t="s">
        <v>2236</v>
      </c>
    </row>
    <row r="161" customFormat="false" ht="15" hidden="false" customHeight="true" outlineLevel="0" collapsed="false">
      <c r="A161" s="391" t="n">
        <v>36</v>
      </c>
      <c r="B161" s="283" t="s">
        <v>2237</v>
      </c>
      <c r="C161" s="397" t="n">
        <v>2</v>
      </c>
      <c r="G161" s="286" t="s">
        <v>2238</v>
      </c>
    </row>
    <row r="163" customFormat="false" ht="15" hidden="false" customHeight="true" outlineLevel="0" collapsed="false">
      <c r="A163" s="281" t="s">
        <v>2239</v>
      </c>
      <c r="B163" s="25"/>
      <c r="C163" s="25"/>
      <c r="D163" s="25"/>
      <c r="E163" s="25"/>
      <c r="F163" s="25"/>
      <c r="G163" s="25"/>
      <c r="H163" s="25"/>
    </row>
    <row r="164" customFormat="false" ht="39.75" hidden="false" customHeight="true" outlineLevel="0" collapsed="false">
      <c r="B164" s="394" t="s">
        <v>2240</v>
      </c>
      <c r="C164" s="394"/>
      <c r="D164" s="394"/>
      <c r="E164" s="394"/>
      <c r="F164" s="394"/>
      <c r="G164" s="394"/>
    </row>
    <row r="166" customFormat="false" ht="15" hidden="false" customHeight="true" outlineLevel="0" collapsed="false">
      <c r="B166" s="287" t="s">
        <v>2241</v>
      </c>
      <c r="C166" s="359" t="n">
        <v>3</v>
      </c>
      <c r="G166" s="360" t="s">
        <v>2242</v>
      </c>
    </row>
    <row r="167" customFormat="false" ht="15" hidden="false" customHeight="true" outlineLevel="0" collapsed="false">
      <c r="B167" s="287" t="s">
        <v>2243</v>
      </c>
      <c r="C167" s="399" t="n">
        <v>0.5</v>
      </c>
      <c r="G167" s="360" t="s">
        <v>2244</v>
      </c>
    </row>
    <row r="168" customFormat="false" ht="15" hidden="false" customHeight="true" outlineLevel="0" collapsed="false">
      <c r="B168" s="287" t="s">
        <v>2245</v>
      </c>
      <c r="C168" s="359" t="n">
        <v>2</v>
      </c>
      <c r="G168" s="360" t="s">
        <v>2246</v>
      </c>
    </row>
    <row r="169" customFormat="false" ht="15" hidden="false" customHeight="true" outlineLevel="0" collapsed="false">
      <c r="B169" s="283" t="s">
        <v>2247</v>
      </c>
      <c r="C169" s="375" t="n">
        <f aca="false">C53</f>
        <v>1</v>
      </c>
    </row>
    <row r="170" customFormat="false" ht="15" hidden="false" customHeight="true" outlineLevel="0" collapsed="false">
      <c r="B170" s="283" t="s">
        <v>2248</v>
      </c>
      <c r="C170" s="289" t="str">
        <f aca="false">IF(AND(C168&lt;=C166,C168&gt;=C169,C167&gt;=0,C167&lt;=1),"✓","⚠ revisar")</f>
        <v>✓</v>
      </c>
      <c r="G170" s="360" t="s">
        <v>2249</v>
      </c>
    </row>
    <row r="172" customFormat="false" ht="15" hidden="false" customHeight="true" outlineLevel="0" collapsed="false">
      <c r="A172" s="395" t="s">
        <v>847</v>
      </c>
      <c r="B172" s="396" t="s">
        <v>2250</v>
      </c>
      <c r="C172" s="395" t="s">
        <v>2251</v>
      </c>
      <c r="D172" s="395" t="s">
        <v>2252</v>
      </c>
      <c r="E172" s="395" t="s">
        <v>2253</v>
      </c>
      <c r="G172" s="396" t="s">
        <v>2254</v>
      </c>
    </row>
    <row r="173" customFormat="false" ht="15" hidden="false" customHeight="true" outlineLevel="0" collapsed="false">
      <c r="A173" s="400" t="s">
        <v>1571</v>
      </c>
      <c r="B173" s="283" t="s">
        <v>2255</v>
      </c>
      <c r="C173" s="397" t="s">
        <v>2256</v>
      </c>
      <c r="D173" s="401" t="n">
        <f aca="false">SUMIF(SUP_CAPEX_VENTANA!$A$14:$A$36,$A173,SUP_CAPEX_VENTANA!$H$14:$H$36)</f>
        <v>5500</v>
      </c>
      <c r="E173" s="401" t="n">
        <f aca="false">SUMIF(SUP_CAPEX_DINEIN!$A$14:$A$37,$A173,SUP_CAPEX_DINEIN!$H$14:$H$37)</f>
        <v>5500</v>
      </c>
      <c r="G173" s="286" t="s">
        <v>2257</v>
      </c>
    </row>
    <row r="174" customFormat="false" ht="15" hidden="false" customHeight="true" outlineLevel="0" collapsed="false">
      <c r="A174" s="400" t="s">
        <v>1574</v>
      </c>
      <c r="B174" s="283" t="s">
        <v>1575</v>
      </c>
      <c r="C174" s="397" t="s">
        <v>2256</v>
      </c>
      <c r="D174" s="401" t="n">
        <f aca="false">SUMIF(SUP_CAPEX_VENTANA!$A$14:$A$36,$A174,SUP_CAPEX_VENTANA!$H$14:$H$36)</f>
        <v>3000</v>
      </c>
      <c r="E174" s="401" t="n">
        <f aca="false">SUMIF(SUP_CAPEX_DINEIN!$A$14:$A$37,$A174,SUP_CAPEX_DINEIN!$H$14:$H$37)</f>
        <v>3000</v>
      </c>
      <c r="G174" s="286" t="s">
        <v>2258</v>
      </c>
    </row>
    <row r="175" customFormat="false" ht="15" hidden="false" customHeight="true" outlineLevel="0" collapsed="false">
      <c r="A175" s="400" t="s">
        <v>1580</v>
      </c>
      <c r="B175" s="283" t="s">
        <v>1581</v>
      </c>
      <c r="C175" s="397" t="s">
        <v>2256</v>
      </c>
      <c r="D175" s="401" t="n">
        <f aca="false">SUMIF(SUP_CAPEX_VENTANA!$A$14:$A$36,$A175,SUP_CAPEX_VENTANA!$H$14:$H$36)</f>
        <v>2000</v>
      </c>
      <c r="E175" s="401" t="n">
        <f aca="false">SUMIF(SUP_CAPEX_DINEIN!$A$14:$A$37,$A175,SUP_CAPEX_DINEIN!$H$14:$H$37)</f>
        <v>2000</v>
      </c>
      <c r="G175" s="286" t="s">
        <v>2259</v>
      </c>
    </row>
    <row r="176" customFormat="false" ht="15" hidden="false" customHeight="true" outlineLevel="0" collapsed="false">
      <c r="A176" s="400" t="s">
        <v>1583</v>
      </c>
      <c r="B176" s="283" t="s">
        <v>2260</v>
      </c>
      <c r="C176" s="397" t="s">
        <v>2256</v>
      </c>
      <c r="D176" s="401" t="n">
        <f aca="false">SUMIF(SUP_CAPEX_VENTANA!$A$14:$A$36,$A176,SUP_CAPEX_VENTANA!$H$14:$H$36)</f>
        <v>1500</v>
      </c>
      <c r="E176" s="401" t="n">
        <f aca="false">SUMIF(SUP_CAPEX_DINEIN!$A$14:$A$37,$A176,SUP_CAPEX_DINEIN!$H$14:$H$37)</f>
        <v>1500</v>
      </c>
      <c r="G176" s="286" t="s">
        <v>2261</v>
      </c>
    </row>
    <row r="177" customFormat="false" ht="15" hidden="false" customHeight="true" outlineLevel="0" collapsed="false">
      <c r="A177" s="400" t="s">
        <v>1586</v>
      </c>
      <c r="B177" s="283" t="s">
        <v>1587</v>
      </c>
      <c r="C177" s="397" t="s">
        <v>2256</v>
      </c>
      <c r="D177" s="401" t="n">
        <f aca="false">SUMIF(SUP_CAPEX_VENTANA!$A$14:$A$36,$A177,SUP_CAPEX_VENTANA!$H$14:$H$36)</f>
        <v>1100</v>
      </c>
      <c r="E177" s="401" t="n">
        <f aca="false">SUMIF(SUP_CAPEX_DINEIN!$A$14:$A$37,$A177,SUP_CAPEX_DINEIN!$H$14:$H$37)</f>
        <v>1100</v>
      </c>
      <c r="G177" s="286" t="s">
        <v>2262</v>
      </c>
    </row>
    <row r="178" customFormat="false" ht="15" hidden="false" customHeight="true" outlineLevel="0" collapsed="false">
      <c r="A178" s="400" t="s">
        <v>1592</v>
      </c>
      <c r="B178" s="283" t="s">
        <v>2263</v>
      </c>
      <c r="C178" s="397" t="s">
        <v>2256</v>
      </c>
      <c r="D178" s="401" t="n">
        <f aca="false">SUMIF(SUP_CAPEX_VENTANA!$A$14:$A$36,$A178,SUP_CAPEX_VENTANA!$H$14:$H$36)</f>
        <v>3500</v>
      </c>
      <c r="E178" s="401" t="n">
        <f aca="false">SUMIF(SUP_CAPEX_DINEIN!$A$14:$A$37,$A178,SUP_CAPEX_DINEIN!$H$14:$H$37)</f>
        <v>3500</v>
      </c>
      <c r="G178" s="286" t="s">
        <v>2264</v>
      </c>
    </row>
    <row r="179" customFormat="false" ht="15" hidden="false" customHeight="true" outlineLevel="0" collapsed="false">
      <c r="A179" s="400" t="s">
        <v>1651</v>
      </c>
      <c r="B179" s="283" t="s">
        <v>2265</v>
      </c>
      <c r="C179" s="397" t="s">
        <v>2256</v>
      </c>
      <c r="D179" s="401" t="n">
        <f aca="false">SUMIF(SUP_CAPEX_VENTANA!$A$14:$A$36,$A179,SUP_CAPEX_VENTANA!$H$14:$H$36)</f>
        <v>0</v>
      </c>
      <c r="E179" s="401" t="n">
        <f aca="false">SUMIF(SUP_CAPEX_DINEIN!$A$14:$A$37,$A179,SUP_CAPEX_DINEIN!$H$14:$H$37)</f>
        <v>3000</v>
      </c>
      <c r="G179" s="286" t="s">
        <v>2266</v>
      </c>
    </row>
    <row r="180" customFormat="false" ht="15" hidden="false" customHeight="true" outlineLevel="0" collapsed="false">
      <c r="A180" s="400" t="s">
        <v>1625</v>
      </c>
      <c r="B180" s="283" t="s">
        <v>2267</v>
      </c>
      <c r="C180" s="397" t="s">
        <v>2256</v>
      </c>
      <c r="D180" s="401" t="n">
        <f aca="false">SUMIF(SUP_CAPEX_VENTANA!$A$14:$A$36,$A180,SUP_CAPEX_VENTANA!$H$14:$H$36)</f>
        <v>400</v>
      </c>
      <c r="E180" s="401" t="n">
        <f aca="false">SUMIF(SUP_CAPEX_DINEIN!$A$14:$A$37,$A180,SUP_CAPEX_DINEIN!$H$14:$H$37)</f>
        <v>0</v>
      </c>
      <c r="G180" s="286" t="s">
        <v>2268</v>
      </c>
    </row>
    <row r="181" customFormat="false" ht="15" hidden="false" customHeight="true" outlineLevel="0" collapsed="false">
      <c r="A181" s="400" t="s">
        <v>1637</v>
      </c>
      <c r="B181" s="283" t="s">
        <v>2269</v>
      </c>
      <c r="C181" s="397" t="s">
        <v>2256</v>
      </c>
      <c r="D181" s="401" t="n">
        <f aca="false">SUMIF(SUP_CAPEX_VENTANA!$A$14:$A$36,$A181,SUP_CAPEX_VENTANA!$H$14:$H$36)</f>
        <v>800</v>
      </c>
      <c r="E181" s="401" t="n">
        <f aca="false">SUMIF(SUP_CAPEX_DINEIN!$A$14:$A$37,$A181,SUP_CAPEX_DINEIN!$H$14:$H$37)</f>
        <v>0</v>
      </c>
      <c r="G181" s="286" t="s">
        <v>2270</v>
      </c>
    </row>
    <row r="182" customFormat="false" ht="15" hidden="false" customHeight="true" outlineLevel="0" collapsed="false">
      <c r="A182" s="400" t="s">
        <v>1660</v>
      </c>
      <c r="B182" s="283" t="s">
        <v>2271</v>
      </c>
      <c r="C182" s="397" t="s">
        <v>2256</v>
      </c>
      <c r="D182" s="401" t="n">
        <f aca="false">SUMIF(SUP_CAPEX_VENTANA!$A$14:$A$36,$A182,SUP_CAPEX_VENTANA!$H$14:$H$36)</f>
        <v>0</v>
      </c>
      <c r="E182" s="401" t="n">
        <f aca="false">SUMIF(SUP_CAPEX_DINEIN!$A$14:$A$37,$A182,SUP_CAPEX_DINEIN!$H$14:$H$37)</f>
        <v>4500</v>
      </c>
      <c r="G182" s="286" t="s">
        <v>2272</v>
      </c>
    </row>
    <row r="183" customFormat="false" ht="15" hidden="false" customHeight="true" outlineLevel="0" collapsed="false">
      <c r="A183" s="400" t="s">
        <v>1577</v>
      </c>
      <c r="B183" s="283" t="s">
        <v>2273</v>
      </c>
      <c r="C183" s="397" t="s">
        <v>2274</v>
      </c>
      <c r="D183" s="401" t="n">
        <f aca="false">SUMIF(SUP_CAPEX_VENTANA!$A$14:$A$36,$A183,SUP_CAPEX_VENTANA!$H$14:$H$36)</f>
        <v>1200</v>
      </c>
      <c r="E183" s="401" t="n">
        <f aca="false">SUMIF(SUP_CAPEX_DINEIN!$A$14:$A$37,$A183,SUP_CAPEX_DINEIN!$H$14:$H$37)</f>
        <v>2400</v>
      </c>
      <c r="G183" s="286" t="s">
        <v>2275</v>
      </c>
    </row>
    <row r="184" customFormat="false" ht="15" hidden="false" customHeight="true" outlineLevel="0" collapsed="false">
      <c r="A184" s="400" t="s">
        <v>1589</v>
      </c>
      <c r="B184" s="283" t="s">
        <v>2276</v>
      </c>
      <c r="C184" s="397" t="s">
        <v>2274</v>
      </c>
      <c r="D184" s="401" t="n">
        <f aca="false">SUMIF(SUP_CAPEX_VENTANA!$A$14:$A$36,$A184,SUP_CAPEX_VENTANA!$H$14:$H$36)</f>
        <v>2500</v>
      </c>
      <c r="E184" s="401" t="n">
        <f aca="false">SUMIF(SUP_CAPEX_DINEIN!$A$14:$A$37,$A184,SUP_CAPEX_DINEIN!$H$14:$H$37)</f>
        <v>2500</v>
      </c>
      <c r="G184" s="286" t="s">
        <v>2277</v>
      </c>
    </row>
    <row r="185" customFormat="false" ht="15" hidden="false" customHeight="true" outlineLevel="0" collapsed="false">
      <c r="A185" s="400" t="s">
        <v>1653</v>
      </c>
      <c r="B185" s="283" t="s">
        <v>2278</v>
      </c>
      <c r="C185" s="397" t="s">
        <v>2274</v>
      </c>
      <c r="D185" s="401" t="n">
        <f aca="false">SUMIF(SUP_CAPEX_VENTANA!$A$14:$A$36,$A185,SUP_CAPEX_VENTANA!$H$14:$H$36)</f>
        <v>0</v>
      </c>
      <c r="E185" s="401" t="n">
        <f aca="false">SUMIF(SUP_CAPEX_DINEIN!$A$14:$A$37,$A185,SUP_CAPEX_DINEIN!$H$14:$H$37)</f>
        <v>2000</v>
      </c>
      <c r="G185" s="286" t="s">
        <v>2279</v>
      </c>
    </row>
    <row r="186" customFormat="false" ht="15" hidden="false" customHeight="true" outlineLevel="0" collapsed="false">
      <c r="A186" s="400" t="s">
        <v>1595</v>
      </c>
      <c r="B186" s="283" t="s">
        <v>1596</v>
      </c>
      <c r="C186" s="397" t="s">
        <v>2274</v>
      </c>
      <c r="D186" s="401" t="n">
        <f aca="false">SUMIF(SUP_CAPEX_VENTANA!$A$14:$A$36,$A186,SUP_CAPEX_VENTANA!$H$14:$H$36)</f>
        <v>500</v>
      </c>
      <c r="E186" s="401" t="n">
        <f aca="false">SUMIF(SUP_CAPEX_DINEIN!$A$14:$A$37,$A186,SUP_CAPEX_DINEIN!$H$14:$H$37)</f>
        <v>500</v>
      </c>
      <c r="G186" s="286" t="s">
        <v>2280</v>
      </c>
    </row>
    <row r="187" customFormat="false" ht="15" hidden="false" customHeight="true" outlineLevel="0" collapsed="false">
      <c r="A187" s="400" t="s">
        <v>1598</v>
      </c>
      <c r="B187" s="283" t="s">
        <v>2281</v>
      </c>
      <c r="C187" s="397" t="s">
        <v>2274</v>
      </c>
      <c r="D187" s="401" t="n">
        <f aca="false">SUMIF(SUP_CAPEX_VENTANA!$A$14:$A$36,$A187,SUP_CAPEX_VENTANA!$H$14:$H$36)</f>
        <v>800</v>
      </c>
      <c r="E187" s="401" t="n">
        <f aca="false">SUMIF(SUP_CAPEX_DINEIN!$A$14:$A$37,$A187,SUP_CAPEX_DINEIN!$H$14:$H$37)</f>
        <v>800</v>
      </c>
      <c r="G187" s="286" t="s">
        <v>2280</v>
      </c>
    </row>
    <row r="188" customFormat="false" ht="15" hidden="false" customHeight="true" outlineLevel="0" collapsed="false">
      <c r="A188" s="400" t="s">
        <v>1613</v>
      </c>
      <c r="B188" s="283" t="s">
        <v>1614</v>
      </c>
      <c r="C188" s="397" t="s">
        <v>2274</v>
      </c>
      <c r="D188" s="401" t="n">
        <f aca="false">SUMIF(SUP_CAPEX_VENTANA!$A$14:$A$36,$A188,SUP_CAPEX_VENTANA!$H$14:$H$36)</f>
        <v>600</v>
      </c>
      <c r="E188" s="401" t="n">
        <f aca="false">SUMIF(SUP_CAPEX_DINEIN!$A$14:$A$37,$A188,SUP_CAPEX_DINEIN!$H$14:$H$37)</f>
        <v>600</v>
      </c>
      <c r="G188" s="286" t="s">
        <v>2282</v>
      </c>
    </row>
    <row r="189" customFormat="false" ht="15" hidden="false" customHeight="true" outlineLevel="0" collapsed="false">
      <c r="A189" s="400" t="s">
        <v>1628</v>
      </c>
      <c r="B189" s="283" t="s">
        <v>1629</v>
      </c>
      <c r="C189" s="397" t="s">
        <v>2274</v>
      </c>
      <c r="D189" s="401" t="n">
        <f aca="false">SUMIF(SUP_CAPEX_VENTANA!$A$14:$A$36,$A189,SUP_CAPEX_VENTANA!$H$14:$H$36)</f>
        <v>300</v>
      </c>
      <c r="E189" s="401" t="n">
        <f aca="false">SUMIF(SUP_CAPEX_DINEIN!$A$14:$A$37,$A189,SUP_CAPEX_DINEIN!$H$14:$H$37)</f>
        <v>0</v>
      </c>
      <c r="G189" s="286" t="s">
        <v>2280</v>
      </c>
    </row>
    <row r="190" customFormat="false" ht="15" hidden="false" customHeight="true" outlineLevel="0" collapsed="false">
      <c r="A190" s="400" t="s">
        <v>1631</v>
      </c>
      <c r="B190" s="283" t="s">
        <v>1632</v>
      </c>
      <c r="C190" s="397" t="s">
        <v>2274</v>
      </c>
      <c r="D190" s="401" t="n">
        <f aca="false">SUMIF(SUP_CAPEX_VENTANA!$A$14:$A$36,$A190,SUP_CAPEX_VENTANA!$H$14:$H$36)</f>
        <v>600</v>
      </c>
      <c r="E190" s="401" t="n">
        <f aca="false">SUMIF(SUP_CAPEX_DINEIN!$A$14:$A$37,$A190,SUP_CAPEX_DINEIN!$H$14:$H$37)</f>
        <v>600</v>
      </c>
      <c r="G190" s="286" t="s">
        <v>2283</v>
      </c>
    </row>
    <row r="191" customFormat="false" ht="15" hidden="false" customHeight="true" outlineLevel="0" collapsed="false">
      <c r="A191" s="400" t="s">
        <v>1634</v>
      </c>
      <c r="B191" s="283" t="s">
        <v>1635</v>
      </c>
      <c r="C191" s="397" t="s">
        <v>2274</v>
      </c>
      <c r="D191" s="401" t="n">
        <f aca="false">SUMIF(SUP_CAPEX_VENTANA!$A$14:$A$36,$A191,SUP_CAPEX_VENTANA!$H$14:$H$36)</f>
        <v>300</v>
      </c>
      <c r="E191" s="401" t="n">
        <f aca="false">SUMIF(SUP_CAPEX_DINEIN!$A$14:$A$37,$A191,SUP_CAPEX_DINEIN!$H$14:$H$37)</f>
        <v>300</v>
      </c>
      <c r="G191" s="286" t="s">
        <v>2280</v>
      </c>
    </row>
    <row r="192" customFormat="false" ht="15" hidden="false" customHeight="true" outlineLevel="0" collapsed="false">
      <c r="A192" s="218"/>
      <c r="B192" s="402" t="s">
        <v>2284</v>
      </c>
      <c r="C192" s="218"/>
      <c r="D192" s="403" t="n">
        <f aca="false">SUMIF($C$173:$C$191,"A",D173:D191)</f>
        <v>17800</v>
      </c>
      <c r="E192" s="403" t="n">
        <f aca="false">SUMIF($C$173:$C$191,"A",E173:E191)</f>
        <v>24100</v>
      </c>
      <c r="F192" s="218"/>
      <c r="G192" s="218"/>
    </row>
    <row r="193" customFormat="false" ht="15" hidden="false" customHeight="true" outlineLevel="0" collapsed="false">
      <c r="A193" s="218"/>
      <c r="B193" s="402" t="s">
        <v>2285</v>
      </c>
      <c r="C193" s="218"/>
      <c r="D193" s="403" t="n">
        <f aca="false">SUMIF($C$173:$C$191,"B",D173:D191)</f>
        <v>6800</v>
      </c>
      <c r="E193" s="403" t="n">
        <f aca="false">SUMIF($C$173:$C$191,"B",E173:E191)</f>
        <v>9700</v>
      </c>
      <c r="F193" s="218"/>
      <c r="G193" s="218"/>
    </row>
    <row r="194" customFormat="false" ht="15" hidden="false" customHeight="true" outlineLevel="0" collapsed="false">
      <c r="A194" s="218"/>
      <c r="B194" s="402" t="s">
        <v>2286</v>
      </c>
      <c r="C194" s="218"/>
      <c r="D194" s="403" t="n">
        <f aca="false">D192+D193</f>
        <v>24600</v>
      </c>
      <c r="E194" s="403" t="n">
        <f aca="false">E192+E193</f>
        <v>33800</v>
      </c>
      <c r="F194" s="218"/>
      <c r="G194" s="218"/>
    </row>
    <row r="195" customFormat="false" ht="15" hidden="false" customHeight="true" outlineLevel="0" collapsed="false">
      <c r="B195" s="286" t="s">
        <v>2287</v>
      </c>
      <c r="C195" s="289" t="str">
        <f aca="false">IF(AND(ABS(D194-$D$91)&lt;0.5,ABS(E194-$E$91)&lt;0.5,COUNTIF($C$173:$C$191,"A")+COUNTIF($C$173:$C$191,"B")=19),"✓","✗ revisar")</f>
        <v>✓</v>
      </c>
    </row>
    <row r="197" customFormat="false" ht="15" hidden="false" customHeight="true" outlineLevel="0" collapsed="false">
      <c r="A197" s="281" t="s">
        <v>2288</v>
      </c>
      <c r="B197" s="25"/>
      <c r="C197" s="25"/>
      <c r="D197" s="25"/>
      <c r="E197" s="25"/>
      <c r="F197" s="25"/>
      <c r="G197" s="25"/>
      <c r="H197" s="25"/>
    </row>
    <row r="198" customFormat="false" ht="39.75" hidden="false" customHeight="true" outlineLevel="0" collapsed="false">
      <c r="B198" s="394" t="s">
        <v>2289</v>
      </c>
      <c r="C198" s="394"/>
      <c r="D198" s="394"/>
      <c r="E198" s="394"/>
      <c r="F198" s="394"/>
      <c r="G198" s="394"/>
    </row>
    <row r="200" customFormat="false" ht="30" hidden="false" customHeight="true" outlineLevel="0" collapsed="false">
      <c r="B200" s="404" t="s">
        <v>2290</v>
      </c>
      <c r="C200" s="405" t="s">
        <v>2291</v>
      </c>
      <c r="D200" s="405" t="s">
        <v>2292</v>
      </c>
      <c r="E200" s="405" t="s">
        <v>2293</v>
      </c>
      <c r="F200" s="405" t="s">
        <v>2294</v>
      </c>
      <c r="G200" s="404" t="s">
        <v>2295</v>
      </c>
    </row>
    <row r="201" customFormat="false" ht="15" hidden="false" customHeight="true" outlineLevel="0" collapsed="false">
      <c r="B201" s="283" t="s">
        <v>1405</v>
      </c>
      <c r="C201" s="406" t="n">
        <f aca="false">SUP_OVERHEAD!$C$6</f>
        <v>4000</v>
      </c>
      <c r="D201" s="406" t="n">
        <f aca="false">SUP_OPEX!$C$48</f>
        <v>100</v>
      </c>
      <c r="E201" s="407" t="n">
        <f aca="false">C201*(1+SUP_OPEX!$C$14)+D201</f>
        <v>5700</v>
      </c>
      <c r="F201" s="408" t="n">
        <f aca="false">$C$69</f>
        <v>2</v>
      </c>
      <c r="G201" s="286" t="s">
        <v>2296</v>
      </c>
    </row>
    <row r="202" customFormat="false" ht="15" hidden="false" customHeight="true" outlineLevel="0" collapsed="false">
      <c r="B202" s="283" t="s">
        <v>1406</v>
      </c>
      <c r="C202" s="406" t="n">
        <f aca="false">SUP_OVERHEAD!$C$7</f>
        <v>3000</v>
      </c>
      <c r="D202" s="406" t="n">
        <f aca="false">SUP_OPEX!$C$48</f>
        <v>100</v>
      </c>
      <c r="E202" s="407" t="n">
        <f aca="false">C202*(1+SUP_OPEX!$C$14)+D202</f>
        <v>4300</v>
      </c>
      <c r="F202" s="408" t="n">
        <f aca="false">$C$69</f>
        <v>2</v>
      </c>
      <c r="G202" s="286" t="s">
        <v>2297</v>
      </c>
    </row>
    <row r="203" customFormat="false" ht="15" hidden="false" customHeight="true" outlineLevel="0" collapsed="false">
      <c r="B203" s="283" t="s">
        <v>1407</v>
      </c>
      <c r="C203" s="406" t="n">
        <f aca="false">SUP_OVERHEAD!$C$8</f>
        <v>1000</v>
      </c>
      <c r="D203" s="406" t="n">
        <f aca="false">SUP_OPEX!$C$47</f>
        <v>35</v>
      </c>
      <c r="E203" s="407" t="n">
        <f aca="false">C203*(1+SUP_OPEX!$C$14)+D203</f>
        <v>1435</v>
      </c>
      <c r="F203" s="408" t="n">
        <f aca="false">$C$69</f>
        <v>2</v>
      </c>
      <c r="G203" s="286" t="s">
        <v>2298</v>
      </c>
    </row>
    <row r="204" customFormat="false" ht="15" hidden="false" customHeight="true" outlineLevel="0" collapsed="false">
      <c r="B204" s="283" t="s">
        <v>1408</v>
      </c>
      <c r="C204" s="406" t="n">
        <f aca="false">SUP_OVERHEAD!$C$9</f>
        <v>500</v>
      </c>
      <c r="D204" s="406" t="n">
        <f aca="false">SUP_OPEX!$C$47</f>
        <v>35</v>
      </c>
      <c r="E204" s="407" t="n">
        <f aca="false">C204*(1+SUP_OPEX!$C$14)+D204</f>
        <v>735</v>
      </c>
      <c r="F204" s="408" t="n">
        <f aca="false">$C$69</f>
        <v>2</v>
      </c>
      <c r="G204" s="286" t="s">
        <v>2299</v>
      </c>
    </row>
    <row r="205" customFormat="false" ht="15" hidden="false" customHeight="true" outlineLevel="0" collapsed="false">
      <c r="B205" s="283" t="s">
        <v>2300</v>
      </c>
      <c r="C205" s="406" t="n">
        <f aca="false">SUP_OVERHEAD!$C$13</f>
        <v>1200</v>
      </c>
      <c r="D205" s="406" t="n">
        <f aca="false">SUP_OPEX!$C$47</f>
        <v>35</v>
      </c>
      <c r="E205" s="407" t="n">
        <f aca="false">C205*(1+SUP_OPEX!$C$14)+D205</f>
        <v>1715</v>
      </c>
      <c r="F205" s="408" t="n">
        <f aca="false">MAX(1,$C$69-1)</f>
        <v>1</v>
      </c>
      <c r="G205" s="286" t="s">
        <v>2301</v>
      </c>
    </row>
    <row r="206" customFormat="false" ht="15" hidden="false" customHeight="true" outlineLevel="0" collapsed="false">
      <c r="B206" s="283" t="s">
        <v>2302</v>
      </c>
      <c r="C206" s="406" t="n">
        <f aca="false">SUP_OVERHEAD!$C$14</f>
        <v>800</v>
      </c>
      <c r="D206" s="406" t="n">
        <f aca="false">SUP_OPEX!$C$47</f>
        <v>35</v>
      </c>
      <c r="E206" s="407" t="n">
        <f aca="false">C206*(1+SUP_OPEX!$C$14)+D206</f>
        <v>1155</v>
      </c>
      <c r="F206" s="408" t="n">
        <f aca="false">MAX(1,$C$69-1)</f>
        <v>1</v>
      </c>
      <c r="G206" s="286" t="s">
        <v>2303</v>
      </c>
    </row>
    <row r="207" customFormat="false" ht="15" hidden="false" customHeight="true" outlineLevel="0" collapsed="false">
      <c r="B207" s="283" t="s">
        <v>2304</v>
      </c>
      <c r="C207" s="409" t="n">
        <v>1500</v>
      </c>
      <c r="D207" s="406" t="n">
        <f aca="false">SUP_OPEX!$C$47</f>
        <v>35</v>
      </c>
      <c r="E207" s="407" t="n">
        <f aca="false">C207*(1+SUP_OPEX!$C$14)+D207</f>
        <v>2135</v>
      </c>
      <c r="F207" s="359" t="n">
        <v>13</v>
      </c>
      <c r="G207" s="286" t="s">
        <v>2305</v>
      </c>
    </row>
    <row r="208" customFormat="false" ht="15" hidden="false" customHeight="true" outlineLevel="0" collapsed="false">
      <c r="B208" s="283" t="s">
        <v>2306</v>
      </c>
      <c r="C208" s="409" t="n">
        <v>2000</v>
      </c>
      <c r="D208" s="406" t="n">
        <f aca="false">SUP_OPEX!$C$48</f>
        <v>100</v>
      </c>
      <c r="E208" s="407" t="n">
        <f aca="false">C208*(1+SUP_OPEX!$C$14)+D208</f>
        <v>2900</v>
      </c>
      <c r="F208" s="359" t="n">
        <v>25</v>
      </c>
      <c r="G208" s="286" t="s">
        <v>2307</v>
      </c>
    </row>
    <row r="209" customFormat="false" ht="15" hidden="false" customHeight="true" outlineLevel="0" collapsed="false">
      <c r="B209" s="283" t="s">
        <v>2308</v>
      </c>
      <c r="C209" s="409" t="n">
        <v>3000</v>
      </c>
      <c r="D209" s="406" t="n">
        <f aca="false">SUP_OPEX!$C$48</f>
        <v>100</v>
      </c>
      <c r="E209" s="407" t="n">
        <f aca="false">C209*(1+SUP_OPEX!$C$14)+D209</f>
        <v>4300</v>
      </c>
      <c r="F209" s="359" t="n">
        <v>25</v>
      </c>
      <c r="G209" s="286" t="s">
        <v>2309</v>
      </c>
    </row>
    <row r="210" customFormat="false" ht="15" hidden="false" customHeight="true" outlineLevel="0" collapsed="false">
      <c r="B210" s="286" t="s">
        <v>2310</v>
      </c>
      <c r="E210" s="407" t="n">
        <f aca="false">SUM(E201:E206)</f>
        <v>15040</v>
      </c>
      <c r="F210" s="289" t="str">
        <f aca="false">IF(ABS(E210-SUP_OVERHEAD!$C$12)&lt;0.5,"✓","✗")</f>
        <v>✓</v>
      </c>
    </row>
    <row r="211" customFormat="false" ht="15" hidden="false" customHeight="true" outlineLevel="0" collapsed="false">
      <c r="B211" s="283" t="s">
        <v>2311</v>
      </c>
      <c r="C211" s="410" t="n">
        <v>27</v>
      </c>
      <c r="G211" s="360" t="s">
        <v>2312</v>
      </c>
    </row>
    <row r="212" customFormat="false" ht="15" hidden="false" customHeight="true" outlineLevel="0" collapsed="false">
      <c r="B212" s="283" t="s">
        <v>2313</v>
      </c>
      <c r="C212" s="374" t="n">
        <f aca="false">$C$69</f>
        <v>2</v>
      </c>
      <c r="G212" s="360" t="s">
        <v>2314</v>
      </c>
    </row>
    <row r="213" customFormat="false" ht="21.75" hidden="false" customHeight="true" outlineLevel="0" collapsed="false">
      <c r="B213" s="283" t="s">
        <v>2315</v>
      </c>
      <c r="C213" s="411" t="n">
        <v>0</v>
      </c>
      <c r="G213" s="360" t="s">
        <v>2316</v>
      </c>
    </row>
    <row r="214" customFormat="false" ht="15" hidden="false" customHeight="true" outlineLevel="0" collapsed="false">
      <c r="B214" s="283" t="s">
        <v>2317</v>
      </c>
      <c r="C214" s="374" t="n">
        <f aca="false">MAX(1,$C$69-1)</f>
        <v>1</v>
      </c>
      <c r="G214" s="360" t="s">
        <v>2318</v>
      </c>
    </row>
    <row r="215" customFormat="false" ht="15" hidden="false" customHeight="true" outlineLevel="0" collapsed="false">
      <c r="B215" s="412" t="s">
        <v>2319</v>
      </c>
    </row>
    <row r="217" customFormat="false" ht="30" hidden="false" customHeight="true" outlineLevel="0" collapsed="false">
      <c r="B217" s="404" t="s">
        <v>2320</v>
      </c>
      <c r="C217" s="405" t="s">
        <v>2321</v>
      </c>
      <c r="D217" s="405" t="s">
        <v>360</v>
      </c>
      <c r="E217" s="405" t="s">
        <v>2322</v>
      </c>
      <c r="F217" s="405" t="s">
        <v>2323</v>
      </c>
      <c r="G217" s="404" t="s">
        <v>2295</v>
      </c>
    </row>
    <row r="218" customFormat="false" ht="15" hidden="false" customHeight="true" outlineLevel="0" collapsed="false">
      <c r="B218" s="283" t="s">
        <v>1915</v>
      </c>
      <c r="C218" s="375" t="n">
        <f aca="false">SUP_PLANTA_OPEX!$C$12</f>
        <v>1</v>
      </c>
      <c r="E218" s="407" t="n">
        <f aca="false">SUP_PLANTA_OPEX!$C$12*(SUP_PLANTA_OPEX!$C$6*(1+SUP_PLANTA_OPEX!$C$9)+SUP_PLANTA_OPEX!$E$6)</f>
        <v>2900</v>
      </c>
      <c r="F218" s="408" t="n">
        <f aca="false">$C$68</f>
        <v>2</v>
      </c>
      <c r="G218" s="286" t="s">
        <v>2324</v>
      </c>
    </row>
    <row r="219" customFormat="false" ht="15" hidden="false" customHeight="true" outlineLevel="0" collapsed="false">
      <c r="B219" s="283" t="s">
        <v>1916</v>
      </c>
      <c r="C219" s="375" t="n">
        <f aca="false">SUP_PLANTA_OPEX!$C$13</f>
        <v>1</v>
      </c>
      <c r="E219" s="407" t="n">
        <f aca="false">SUP_PLANTA_OPEX!$C$13*(SUP_PLANTA_OPEX!$C$7*(1+SUP_PLANTA_OPEX!$C$9)+SUP_PLANTA_OPEX!$E$7)</f>
        <v>1295</v>
      </c>
      <c r="F219" s="359" t="n">
        <v>1</v>
      </c>
      <c r="G219" s="286" t="s">
        <v>2325</v>
      </c>
    </row>
    <row r="220" customFormat="false" ht="15" hidden="false" customHeight="true" outlineLevel="0" collapsed="false">
      <c r="B220" s="283" t="s">
        <v>2326</v>
      </c>
      <c r="C220" s="375" t="n">
        <f aca="false">SUP_PLANTA_OPEX!$C$14</f>
        <v>12</v>
      </c>
      <c r="E220" s="407" t="n">
        <f aca="false">SUP_PLANTA_OPEX!$C$14*(SUP_PLANTA_OPEX!$C$8*(1+SUP_PLANTA_OPEX!$C$9)+SUP_PLANTA_OPEX!$E$8)</f>
        <v>4440</v>
      </c>
      <c r="F220" s="359" t="n">
        <v>1</v>
      </c>
      <c r="G220" s="286" t="s">
        <v>2327</v>
      </c>
    </row>
    <row r="221" customFormat="false" ht="15" hidden="false" customHeight="true" outlineLevel="0" collapsed="false">
      <c r="B221" s="283" t="s">
        <v>2328</v>
      </c>
      <c r="E221" s="407" t="n">
        <f aca="false">SUP_PLANTA_OPEX!$C$20</f>
        <v>1000</v>
      </c>
      <c r="F221" s="408" t="n">
        <f aca="false">$C$68+1</f>
        <v>3</v>
      </c>
      <c r="G221" s="286" t="s">
        <v>2329</v>
      </c>
    </row>
    <row r="222" customFormat="false" ht="15" hidden="false" customHeight="true" outlineLevel="0" collapsed="false">
      <c r="B222" s="283" t="s">
        <v>2330</v>
      </c>
      <c r="E222" s="407" t="n">
        <f aca="false">SUP_PLANTA_OPEX!$C$23+SUP_PLANTA_OPEX!$C$26</f>
        <v>1330.565625</v>
      </c>
      <c r="F222" s="408" t="n">
        <f aca="false">$C$68</f>
        <v>2</v>
      </c>
      <c r="G222" s="286" t="s">
        <v>2331</v>
      </c>
    </row>
    <row r="223" customFormat="false" ht="15" hidden="false" customHeight="true" outlineLevel="0" collapsed="false">
      <c r="B223" s="286" t="s">
        <v>2332</v>
      </c>
      <c r="E223" s="407" t="n">
        <f aca="false">SUM(E218:E222)</f>
        <v>10965.565625</v>
      </c>
      <c r="F223" s="289" t="str">
        <f aca="false">IF(ABS(E223-SUP_PLANTA_OPEX!$C$33)&lt;0.5,"✓","✗")</f>
        <v>✓</v>
      </c>
    </row>
    <row r="225" customFormat="false" ht="15" hidden="false" customHeight="true" outlineLevel="0" collapsed="false">
      <c r="B225" s="413" t="s">
        <v>2333</v>
      </c>
      <c r="C225" s="414"/>
      <c r="D225" s="414"/>
      <c r="E225" s="414"/>
      <c r="F225" s="414"/>
      <c r="G225" s="414"/>
    </row>
    <row r="226" customFormat="false" ht="21.75" hidden="false" customHeight="true" outlineLevel="0" collapsed="false">
      <c r="B226" s="283" t="s">
        <v>2334</v>
      </c>
      <c r="C226" s="359" t="n">
        <v>1</v>
      </c>
      <c r="G226" s="360" t="s">
        <v>2335</v>
      </c>
    </row>
    <row r="227" customFormat="false" ht="15" hidden="false" customHeight="true" outlineLevel="0" collapsed="false">
      <c r="B227" s="283" t="s">
        <v>2336</v>
      </c>
      <c r="C227" s="410" t="n">
        <v>2</v>
      </c>
      <c r="G227" s="360" t="s">
        <v>2337</v>
      </c>
    </row>
    <row r="228" customFormat="false" ht="15" hidden="false" customHeight="true" outlineLevel="0" collapsed="false">
      <c r="B228" s="283" t="s">
        <v>2338</v>
      </c>
      <c r="C228" s="375" t="n">
        <f aca="false">ROUNDUP(CHOOSE(SUP_OPEX!$C$129,SUP_OPEX!$C$99,SUP_OPEX!$D$99,SUP_OPEX!$E$99),0)</f>
        <v>9</v>
      </c>
    </row>
    <row r="229" customFormat="false" ht="15" hidden="false" customHeight="true" outlineLevel="0" collapsed="false">
      <c r="B229" s="283" t="s">
        <v>2339</v>
      </c>
      <c r="C229" s="375" t="n">
        <f aca="false">ROUNDUP(CHOOSE(SUP_OPEX!$C$129,SUP_OPEX!$C$109,SUP_OPEX!$D$109,SUP_OPEX!$E$109),0)</f>
        <v>11</v>
      </c>
    </row>
    <row r="231" customFormat="false" ht="15" hidden="false" customHeight="true" outlineLevel="0" collapsed="false">
      <c r="B231" s="413" t="s">
        <v>2340</v>
      </c>
      <c r="C231" s="414"/>
      <c r="D231" s="414"/>
      <c r="E231" s="414"/>
      <c r="F231" s="414"/>
      <c r="G231" s="414"/>
    </row>
    <row r="232" customFormat="false" ht="21.75" hidden="false" customHeight="true" outlineLevel="0" collapsed="false">
      <c r="B232" s="283" t="s">
        <v>2341</v>
      </c>
      <c r="C232" s="411" t="n">
        <v>0</v>
      </c>
      <c r="G232" s="360" t="s">
        <v>2342</v>
      </c>
    </row>
    <row r="233" customFormat="false" ht="21.75" hidden="false" customHeight="true" outlineLevel="0" collapsed="false">
      <c r="B233" s="283" t="s">
        <v>2343</v>
      </c>
      <c r="C233" s="411" t="n">
        <v>0</v>
      </c>
      <c r="G233" s="360" t="s">
        <v>2344</v>
      </c>
    </row>
    <row r="234" customFormat="false" ht="21.75" hidden="false" customHeight="true" outlineLevel="0" collapsed="false">
      <c r="B234" s="283" t="s">
        <v>2345</v>
      </c>
      <c r="C234" s="415" t="n">
        <v>0</v>
      </c>
      <c r="G234" s="360" t="s">
        <v>2346</v>
      </c>
    </row>
  </sheetData>
  <mergeCells count="4">
    <mergeCell ref="C41:F41"/>
    <mergeCell ref="B124:G124"/>
    <mergeCell ref="B164:G164"/>
    <mergeCell ref="B198:G198"/>
  </mergeCells>
  <dataValidations count="2">
    <dataValidation allowBlank="false" error="Use P, Q, U o un número de semana del 1 al 5." errorStyle="stop" errorTitle="Regla no válida" operator="between" showDropDown="false" showErrorMessage="true" showInputMessage="false" sqref="C126:C161" type="list">
      <formula1>"P,Q,U,1,2,3,4,5"</formula1>
      <formula2>0</formula2>
    </dataValidation>
    <dataValidation allowBlank="false" error="Use A o B." errorStyle="stop" errorTitle="Grupo no válido" operator="between" showDropDown="false" showErrorMessage="true" showInputMessage="false" sqref="C173:C191" type="list">
      <formula1>"A,B"</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BK6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62"/>
    <col collapsed="false" customWidth="true" hidden="false" outlineLevel="0" max="3" min="3" style="1" width="11"/>
    <col collapsed="false" customWidth="true" hidden="false" outlineLevel="0" max="63" min="4" style="1" width="9.52"/>
  </cols>
  <sheetData>
    <row r="1" customFormat="false" ht="15.75" hidden="false" customHeight="true" outlineLevel="0" collapsed="false">
      <c r="A1" s="185" t="s">
        <v>2347</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row>
    <row r="2" customFormat="false" ht="15" hidden="false" customHeight="true" outlineLevel="0" collapsed="false">
      <c r="A2" s="350" t="s">
        <v>2348</v>
      </c>
    </row>
    <row r="3" customFormat="false" ht="15" hidden="false" customHeight="true" outlineLevel="0" collapsed="false">
      <c r="A3" s="94" t="s">
        <v>1958</v>
      </c>
    </row>
    <row r="4" customFormat="false" ht="15" hidden="false" customHeight="true" outlineLevel="0" collapsed="false">
      <c r="B4" s="357" t="s">
        <v>1430</v>
      </c>
      <c r="D4" s="416" t="n">
        <v>1</v>
      </c>
      <c r="E4" s="416" t="n">
        <v>2</v>
      </c>
      <c r="F4" s="416" t="n">
        <v>3</v>
      </c>
      <c r="G4" s="416" t="n">
        <v>4</v>
      </c>
      <c r="H4" s="416" t="n">
        <v>5</v>
      </c>
      <c r="I4" s="416" t="n">
        <v>6</v>
      </c>
      <c r="J4" s="416" t="n">
        <v>7</v>
      </c>
      <c r="K4" s="416" t="n">
        <v>8</v>
      </c>
      <c r="L4" s="416" t="n">
        <v>9</v>
      </c>
      <c r="M4" s="416" t="n">
        <v>10</v>
      </c>
      <c r="N4" s="416" t="n">
        <v>11</v>
      </c>
      <c r="O4" s="416" t="n">
        <v>12</v>
      </c>
      <c r="P4" s="416" t="n">
        <v>13</v>
      </c>
      <c r="Q4" s="416" t="n">
        <v>14</v>
      </c>
      <c r="R4" s="416" t="n">
        <v>15</v>
      </c>
      <c r="S4" s="416" t="n">
        <v>16</v>
      </c>
      <c r="T4" s="416" t="n">
        <v>17</v>
      </c>
      <c r="U4" s="416" t="n">
        <v>18</v>
      </c>
      <c r="V4" s="416" t="n">
        <v>19</v>
      </c>
      <c r="W4" s="416" t="n">
        <v>20</v>
      </c>
      <c r="X4" s="416" t="n">
        <v>21</v>
      </c>
      <c r="Y4" s="416" t="n">
        <v>22</v>
      </c>
      <c r="Z4" s="416" t="n">
        <v>23</v>
      </c>
      <c r="AA4" s="416" t="n">
        <v>24</v>
      </c>
      <c r="AB4" s="416" t="n">
        <v>25</v>
      </c>
      <c r="AC4" s="416" t="n">
        <v>26</v>
      </c>
      <c r="AD4" s="416" t="n">
        <v>27</v>
      </c>
      <c r="AE4" s="416" t="n">
        <v>28</v>
      </c>
      <c r="AF4" s="416" t="n">
        <v>29</v>
      </c>
      <c r="AG4" s="416" t="n">
        <v>30</v>
      </c>
      <c r="AH4" s="416" t="n">
        <v>31</v>
      </c>
      <c r="AI4" s="416" t="n">
        <v>32</v>
      </c>
      <c r="AJ4" s="416" t="n">
        <v>33</v>
      </c>
      <c r="AK4" s="416" t="n">
        <v>34</v>
      </c>
      <c r="AL4" s="416" t="n">
        <v>35</v>
      </c>
      <c r="AM4" s="416" t="n">
        <v>36</v>
      </c>
      <c r="AN4" s="416" t="n">
        <v>37</v>
      </c>
      <c r="AO4" s="416" t="n">
        <v>38</v>
      </c>
      <c r="AP4" s="416" t="n">
        <v>39</v>
      </c>
      <c r="AQ4" s="416" t="n">
        <v>40</v>
      </c>
      <c r="AR4" s="416" t="n">
        <v>41</v>
      </c>
      <c r="AS4" s="416" t="n">
        <v>42</v>
      </c>
      <c r="AT4" s="416" t="n">
        <v>43</v>
      </c>
      <c r="AU4" s="416" t="n">
        <v>44</v>
      </c>
      <c r="AV4" s="416" t="n">
        <v>45</v>
      </c>
      <c r="AW4" s="416" t="n">
        <v>46</v>
      </c>
      <c r="AX4" s="416" t="n">
        <v>47</v>
      </c>
      <c r="AY4" s="416" t="n">
        <v>48</v>
      </c>
      <c r="AZ4" s="416" t="n">
        <v>49</v>
      </c>
      <c r="BA4" s="416" t="n">
        <v>50</v>
      </c>
      <c r="BB4" s="416" t="n">
        <v>51</v>
      </c>
      <c r="BC4" s="416" t="n">
        <v>52</v>
      </c>
      <c r="BD4" s="416" t="n">
        <v>53</v>
      </c>
      <c r="BE4" s="416" t="n">
        <v>54</v>
      </c>
      <c r="BF4" s="416" t="n">
        <v>55</v>
      </c>
      <c r="BG4" s="416" t="n">
        <v>56</v>
      </c>
      <c r="BH4" s="416" t="n">
        <v>57</v>
      </c>
      <c r="BI4" s="416" t="n">
        <v>58</v>
      </c>
      <c r="BJ4" s="416" t="n">
        <v>59</v>
      </c>
      <c r="BK4" s="416" t="n">
        <v>60</v>
      </c>
    </row>
    <row r="5" customFormat="false" ht="15" hidden="false" customHeight="true" outlineLevel="0" collapsed="false">
      <c r="B5" s="417" t="s">
        <v>1423</v>
      </c>
      <c r="D5" s="386" t="n">
        <f aca="false">ROUNDUP(D4/12,0)</f>
        <v>1</v>
      </c>
      <c r="E5" s="386" t="n">
        <f aca="false">ROUNDUP(E4/12,0)</f>
        <v>1</v>
      </c>
      <c r="F5" s="386" t="n">
        <f aca="false">ROUNDUP(F4/12,0)</f>
        <v>1</v>
      </c>
      <c r="G5" s="386" t="n">
        <f aca="false">ROUNDUP(G4/12,0)</f>
        <v>1</v>
      </c>
      <c r="H5" s="386" t="n">
        <f aca="false">ROUNDUP(H4/12,0)</f>
        <v>1</v>
      </c>
      <c r="I5" s="386" t="n">
        <f aca="false">ROUNDUP(I4/12,0)</f>
        <v>1</v>
      </c>
      <c r="J5" s="386" t="n">
        <f aca="false">ROUNDUP(J4/12,0)</f>
        <v>1</v>
      </c>
      <c r="K5" s="386" t="n">
        <f aca="false">ROUNDUP(K4/12,0)</f>
        <v>1</v>
      </c>
      <c r="L5" s="386" t="n">
        <f aca="false">ROUNDUP(L4/12,0)</f>
        <v>1</v>
      </c>
      <c r="M5" s="386" t="n">
        <f aca="false">ROUNDUP(M4/12,0)</f>
        <v>1</v>
      </c>
      <c r="N5" s="386" t="n">
        <f aca="false">ROUNDUP(N4/12,0)</f>
        <v>1</v>
      </c>
      <c r="O5" s="386" t="n">
        <f aca="false">ROUNDUP(O4/12,0)</f>
        <v>1</v>
      </c>
      <c r="P5" s="386" t="n">
        <f aca="false">ROUNDUP(P4/12,0)</f>
        <v>2</v>
      </c>
      <c r="Q5" s="386" t="n">
        <f aca="false">ROUNDUP(Q4/12,0)</f>
        <v>2</v>
      </c>
      <c r="R5" s="386" t="n">
        <f aca="false">ROUNDUP(R4/12,0)</f>
        <v>2</v>
      </c>
      <c r="S5" s="386" t="n">
        <f aca="false">ROUNDUP(S4/12,0)</f>
        <v>2</v>
      </c>
      <c r="T5" s="386" t="n">
        <f aca="false">ROUNDUP(T4/12,0)</f>
        <v>2</v>
      </c>
      <c r="U5" s="386" t="n">
        <f aca="false">ROUNDUP(U4/12,0)</f>
        <v>2</v>
      </c>
      <c r="V5" s="386" t="n">
        <f aca="false">ROUNDUP(V4/12,0)</f>
        <v>2</v>
      </c>
      <c r="W5" s="386" t="n">
        <f aca="false">ROUNDUP(W4/12,0)</f>
        <v>2</v>
      </c>
      <c r="X5" s="386" t="n">
        <f aca="false">ROUNDUP(X4/12,0)</f>
        <v>2</v>
      </c>
      <c r="Y5" s="386" t="n">
        <f aca="false">ROUNDUP(Y4/12,0)</f>
        <v>2</v>
      </c>
      <c r="Z5" s="386" t="n">
        <f aca="false">ROUNDUP(Z4/12,0)</f>
        <v>2</v>
      </c>
      <c r="AA5" s="386" t="n">
        <f aca="false">ROUNDUP(AA4/12,0)</f>
        <v>2</v>
      </c>
      <c r="AB5" s="386" t="n">
        <f aca="false">ROUNDUP(AB4/12,0)</f>
        <v>3</v>
      </c>
      <c r="AC5" s="386" t="n">
        <f aca="false">ROUNDUP(AC4/12,0)</f>
        <v>3</v>
      </c>
      <c r="AD5" s="386" t="n">
        <f aca="false">ROUNDUP(AD4/12,0)</f>
        <v>3</v>
      </c>
      <c r="AE5" s="386" t="n">
        <f aca="false">ROUNDUP(AE4/12,0)</f>
        <v>3</v>
      </c>
      <c r="AF5" s="386" t="n">
        <f aca="false">ROUNDUP(AF4/12,0)</f>
        <v>3</v>
      </c>
      <c r="AG5" s="386" t="n">
        <f aca="false">ROUNDUP(AG4/12,0)</f>
        <v>3</v>
      </c>
      <c r="AH5" s="386" t="n">
        <f aca="false">ROUNDUP(AH4/12,0)</f>
        <v>3</v>
      </c>
      <c r="AI5" s="386" t="n">
        <f aca="false">ROUNDUP(AI4/12,0)</f>
        <v>3</v>
      </c>
      <c r="AJ5" s="386" t="n">
        <f aca="false">ROUNDUP(AJ4/12,0)</f>
        <v>3</v>
      </c>
      <c r="AK5" s="386" t="n">
        <f aca="false">ROUNDUP(AK4/12,0)</f>
        <v>3</v>
      </c>
      <c r="AL5" s="386" t="n">
        <f aca="false">ROUNDUP(AL4/12,0)</f>
        <v>3</v>
      </c>
      <c r="AM5" s="386" t="n">
        <f aca="false">ROUNDUP(AM4/12,0)</f>
        <v>3</v>
      </c>
      <c r="AN5" s="386" t="n">
        <f aca="false">ROUNDUP(AN4/12,0)</f>
        <v>4</v>
      </c>
      <c r="AO5" s="386" t="n">
        <f aca="false">ROUNDUP(AO4/12,0)</f>
        <v>4</v>
      </c>
      <c r="AP5" s="386" t="n">
        <f aca="false">ROUNDUP(AP4/12,0)</f>
        <v>4</v>
      </c>
      <c r="AQ5" s="386" t="n">
        <f aca="false">ROUNDUP(AQ4/12,0)</f>
        <v>4</v>
      </c>
      <c r="AR5" s="386" t="n">
        <f aca="false">ROUNDUP(AR4/12,0)</f>
        <v>4</v>
      </c>
      <c r="AS5" s="386" t="n">
        <f aca="false">ROUNDUP(AS4/12,0)</f>
        <v>4</v>
      </c>
      <c r="AT5" s="386" t="n">
        <f aca="false">ROUNDUP(AT4/12,0)</f>
        <v>4</v>
      </c>
      <c r="AU5" s="386" t="n">
        <f aca="false">ROUNDUP(AU4/12,0)</f>
        <v>4</v>
      </c>
      <c r="AV5" s="386" t="n">
        <f aca="false">ROUNDUP(AV4/12,0)</f>
        <v>4</v>
      </c>
      <c r="AW5" s="386" t="n">
        <f aca="false">ROUNDUP(AW4/12,0)</f>
        <v>4</v>
      </c>
      <c r="AX5" s="386" t="n">
        <f aca="false">ROUNDUP(AX4/12,0)</f>
        <v>4</v>
      </c>
      <c r="AY5" s="386" t="n">
        <f aca="false">ROUNDUP(AY4/12,0)</f>
        <v>4</v>
      </c>
      <c r="AZ5" s="386" t="n">
        <f aca="false">ROUNDUP(AZ4/12,0)</f>
        <v>5</v>
      </c>
      <c r="BA5" s="386" t="n">
        <f aca="false">ROUNDUP(BA4/12,0)</f>
        <v>5</v>
      </c>
      <c r="BB5" s="386" t="n">
        <f aca="false">ROUNDUP(BB4/12,0)</f>
        <v>5</v>
      </c>
      <c r="BC5" s="386" t="n">
        <f aca="false">ROUNDUP(BC4/12,0)</f>
        <v>5</v>
      </c>
      <c r="BD5" s="386" t="n">
        <f aca="false">ROUNDUP(BD4/12,0)</f>
        <v>5</v>
      </c>
      <c r="BE5" s="386" t="n">
        <f aca="false">ROUNDUP(BE4/12,0)</f>
        <v>5</v>
      </c>
      <c r="BF5" s="386" t="n">
        <f aca="false">ROUNDUP(BF4/12,0)</f>
        <v>5</v>
      </c>
      <c r="BG5" s="386" t="n">
        <f aca="false">ROUNDUP(BG4/12,0)</f>
        <v>5</v>
      </c>
      <c r="BH5" s="386" t="n">
        <f aca="false">ROUNDUP(BH4/12,0)</f>
        <v>5</v>
      </c>
      <c r="BI5" s="386" t="n">
        <f aca="false">ROUNDUP(BI4/12,0)</f>
        <v>5</v>
      </c>
      <c r="BJ5" s="386" t="n">
        <f aca="false">ROUNDUP(BJ4/12,0)</f>
        <v>5</v>
      </c>
      <c r="BK5" s="386" t="n">
        <f aca="false">ROUNDUP(BK4/12,0)</f>
        <v>5</v>
      </c>
    </row>
    <row r="6" customFormat="false" ht="15" hidden="false" customHeight="true" outlineLevel="0" collapsed="false">
      <c r="B6" s="418" t="s">
        <v>2349</v>
      </c>
      <c r="D6" s="419" t="n">
        <f aca="false">EDATE(DATE(YEAR(FC_SUPUESTOS!$D$14),MONTH(FC_SUPUESTOS!$D$14),1),D$4-1)</f>
        <v>46296</v>
      </c>
      <c r="E6" s="419" t="n">
        <f aca="false">EDATE(DATE(YEAR(FC_SUPUESTOS!$D$14),MONTH(FC_SUPUESTOS!$D$14),1),E$4-1)</f>
        <v>46327</v>
      </c>
      <c r="F6" s="419" t="n">
        <f aca="false">EDATE(DATE(YEAR(FC_SUPUESTOS!$D$14),MONTH(FC_SUPUESTOS!$D$14),1),F$4-1)</f>
        <v>46357</v>
      </c>
      <c r="G6" s="419" t="n">
        <f aca="false">EDATE(DATE(YEAR(FC_SUPUESTOS!$D$14),MONTH(FC_SUPUESTOS!$D$14),1),G$4-1)</f>
        <v>46388</v>
      </c>
      <c r="H6" s="419" t="n">
        <f aca="false">EDATE(DATE(YEAR(FC_SUPUESTOS!$D$14),MONTH(FC_SUPUESTOS!$D$14),1),H$4-1)</f>
        <v>46419</v>
      </c>
      <c r="I6" s="419" t="n">
        <f aca="false">EDATE(DATE(YEAR(FC_SUPUESTOS!$D$14),MONTH(FC_SUPUESTOS!$D$14),1),I$4-1)</f>
        <v>46447</v>
      </c>
      <c r="J6" s="419" t="n">
        <f aca="false">EDATE(DATE(YEAR(FC_SUPUESTOS!$D$14),MONTH(FC_SUPUESTOS!$D$14),1),J$4-1)</f>
        <v>46478</v>
      </c>
      <c r="K6" s="419" t="n">
        <f aca="false">EDATE(DATE(YEAR(FC_SUPUESTOS!$D$14),MONTH(FC_SUPUESTOS!$D$14),1),K$4-1)</f>
        <v>46508</v>
      </c>
      <c r="L6" s="419" t="n">
        <f aca="false">EDATE(DATE(YEAR(FC_SUPUESTOS!$D$14),MONTH(FC_SUPUESTOS!$D$14),1),L$4-1)</f>
        <v>46539</v>
      </c>
      <c r="M6" s="419" t="n">
        <f aca="false">EDATE(DATE(YEAR(FC_SUPUESTOS!$D$14),MONTH(FC_SUPUESTOS!$D$14),1),M$4-1)</f>
        <v>46569</v>
      </c>
      <c r="N6" s="419" t="n">
        <f aca="false">EDATE(DATE(YEAR(FC_SUPUESTOS!$D$14),MONTH(FC_SUPUESTOS!$D$14),1),N$4-1)</f>
        <v>46600</v>
      </c>
      <c r="O6" s="419" t="n">
        <f aca="false">EDATE(DATE(YEAR(FC_SUPUESTOS!$D$14),MONTH(FC_SUPUESTOS!$D$14),1),O$4-1)</f>
        <v>46631</v>
      </c>
      <c r="P6" s="419" t="n">
        <f aca="false">EDATE(DATE(YEAR(FC_SUPUESTOS!$D$14),MONTH(FC_SUPUESTOS!$D$14),1),P$4-1)</f>
        <v>46661</v>
      </c>
      <c r="Q6" s="419" t="n">
        <f aca="false">EDATE(DATE(YEAR(FC_SUPUESTOS!$D$14),MONTH(FC_SUPUESTOS!$D$14),1),Q$4-1)</f>
        <v>46692</v>
      </c>
      <c r="R6" s="419" t="n">
        <f aca="false">EDATE(DATE(YEAR(FC_SUPUESTOS!$D$14),MONTH(FC_SUPUESTOS!$D$14),1),R$4-1)</f>
        <v>46722</v>
      </c>
      <c r="S6" s="419" t="n">
        <f aca="false">EDATE(DATE(YEAR(FC_SUPUESTOS!$D$14),MONTH(FC_SUPUESTOS!$D$14),1),S$4-1)</f>
        <v>46753</v>
      </c>
      <c r="T6" s="419" t="n">
        <f aca="false">EDATE(DATE(YEAR(FC_SUPUESTOS!$D$14),MONTH(FC_SUPUESTOS!$D$14),1),T$4-1)</f>
        <v>46784</v>
      </c>
      <c r="U6" s="419" t="n">
        <f aca="false">EDATE(DATE(YEAR(FC_SUPUESTOS!$D$14),MONTH(FC_SUPUESTOS!$D$14),1),U$4-1)</f>
        <v>46813</v>
      </c>
      <c r="V6" s="419" t="n">
        <f aca="false">EDATE(DATE(YEAR(FC_SUPUESTOS!$D$14),MONTH(FC_SUPUESTOS!$D$14),1),V$4-1)</f>
        <v>46844</v>
      </c>
      <c r="W6" s="419" t="n">
        <f aca="false">EDATE(DATE(YEAR(FC_SUPUESTOS!$D$14),MONTH(FC_SUPUESTOS!$D$14),1),W$4-1)</f>
        <v>46874</v>
      </c>
      <c r="X6" s="419" t="n">
        <f aca="false">EDATE(DATE(YEAR(FC_SUPUESTOS!$D$14),MONTH(FC_SUPUESTOS!$D$14),1),X$4-1)</f>
        <v>46905</v>
      </c>
      <c r="Y6" s="419" t="n">
        <f aca="false">EDATE(DATE(YEAR(FC_SUPUESTOS!$D$14),MONTH(FC_SUPUESTOS!$D$14),1),Y$4-1)</f>
        <v>46935</v>
      </c>
      <c r="Z6" s="419" t="n">
        <f aca="false">EDATE(DATE(YEAR(FC_SUPUESTOS!$D$14),MONTH(FC_SUPUESTOS!$D$14),1),Z$4-1)</f>
        <v>46966</v>
      </c>
      <c r="AA6" s="419" t="n">
        <f aca="false">EDATE(DATE(YEAR(FC_SUPUESTOS!$D$14),MONTH(FC_SUPUESTOS!$D$14),1),AA$4-1)</f>
        <v>46997</v>
      </c>
      <c r="AB6" s="419" t="n">
        <f aca="false">EDATE(DATE(YEAR(FC_SUPUESTOS!$D$14),MONTH(FC_SUPUESTOS!$D$14),1),AB$4-1)</f>
        <v>47027</v>
      </c>
      <c r="AC6" s="419" t="n">
        <f aca="false">EDATE(DATE(YEAR(FC_SUPUESTOS!$D$14),MONTH(FC_SUPUESTOS!$D$14),1),AC$4-1)</f>
        <v>47058</v>
      </c>
      <c r="AD6" s="419" t="n">
        <f aca="false">EDATE(DATE(YEAR(FC_SUPUESTOS!$D$14),MONTH(FC_SUPUESTOS!$D$14),1),AD$4-1)</f>
        <v>47088</v>
      </c>
      <c r="AE6" s="419" t="n">
        <f aca="false">EDATE(DATE(YEAR(FC_SUPUESTOS!$D$14),MONTH(FC_SUPUESTOS!$D$14),1),AE$4-1)</f>
        <v>47119</v>
      </c>
      <c r="AF6" s="419" t="n">
        <f aca="false">EDATE(DATE(YEAR(FC_SUPUESTOS!$D$14),MONTH(FC_SUPUESTOS!$D$14),1),AF$4-1)</f>
        <v>47150</v>
      </c>
      <c r="AG6" s="419" t="n">
        <f aca="false">EDATE(DATE(YEAR(FC_SUPUESTOS!$D$14),MONTH(FC_SUPUESTOS!$D$14),1),AG$4-1)</f>
        <v>47178</v>
      </c>
      <c r="AH6" s="419" t="n">
        <f aca="false">EDATE(DATE(YEAR(FC_SUPUESTOS!$D$14),MONTH(FC_SUPUESTOS!$D$14),1),AH$4-1)</f>
        <v>47209</v>
      </c>
      <c r="AI6" s="419" t="n">
        <f aca="false">EDATE(DATE(YEAR(FC_SUPUESTOS!$D$14),MONTH(FC_SUPUESTOS!$D$14),1),AI$4-1)</f>
        <v>47239</v>
      </c>
      <c r="AJ6" s="419" t="n">
        <f aca="false">EDATE(DATE(YEAR(FC_SUPUESTOS!$D$14),MONTH(FC_SUPUESTOS!$D$14),1),AJ$4-1)</f>
        <v>47270</v>
      </c>
      <c r="AK6" s="419" t="n">
        <f aca="false">EDATE(DATE(YEAR(FC_SUPUESTOS!$D$14),MONTH(FC_SUPUESTOS!$D$14),1),AK$4-1)</f>
        <v>47300</v>
      </c>
      <c r="AL6" s="419" t="n">
        <f aca="false">EDATE(DATE(YEAR(FC_SUPUESTOS!$D$14),MONTH(FC_SUPUESTOS!$D$14),1),AL$4-1)</f>
        <v>47331</v>
      </c>
      <c r="AM6" s="419" t="n">
        <f aca="false">EDATE(DATE(YEAR(FC_SUPUESTOS!$D$14),MONTH(FC_SUPUESTOS!$D$14),1),AM$4-1)</f>
        <v>47362</v>
      </c>
      <c r="AN6" s="419" t="n">
        <f aca="false">EDATE(DATE(YEAR(FC_SUPUESTOS!$D$14),MONTH(FC_SUPUESTOS!$D$14),1),AN$4-1)</f>
        <v>47392</v>
      </c>
      <c r="AO6" s="419" t="n">
        <f aca="false">EDATE(DATE(YEAR(FC_SUPUESTOS!$D$14),MONTH(FC_SUPUESTOS!$D$14),1),AO$4-1)</f>
        <v>47423</v>
      </c>
      <c r="AP6" s="419" t="n">
        <f aca="false">EDATE(DATE(YEAR(FC_SUPUESTOS!$D$14),MONTH(FC_SUPUESTOS!$D$14),1),AP$4-1)</f>
        <v>47453</v>
      </c>
      <c r="AQ6" s="419" t="n">
        <f aca="false">EDATE(DATE(YEAR(FC_SUPUESTOS!$D$14),MONTH(FC_SUPUESTOS!$D$14),1),AQ$4-1)</f>
        <v>47484</v>
      </c>
      <c r="AR6" s="419" t="n">
        <f aca="false">EDATE(DATE(YEAR(FC_SUPUESTOS!$D$14),MONTH(FC_SUPUESTOS!$D$14),1),AR$4-1)</f>
        <v>47515</v>
      </c>
      <c r="AS6" s="419" t="n">
        <f aca="false">EDATE(DATE(YEAR(FC_SUPUESTOS!$D$14),MONTH(FC_SUPUESTOS!$D$14),1),AS$4-1)</f>
        <v>47543</v>
      </c>
      <c r="AT6" s="419" t="n">
        <f aca="false">EDATE(DATE(YEAR(FC_SUPUESTOS!$D$14),MONTH(FC_SUPUESTOS!$D$14),1),AT$4-1)</f>
        <v>47574</v>
      </c>
      <c r="AU6" s="419" t="n">
        <f aca="false">EDATE(DATE(YEAR(FC_SUPUESTOS!$D$14),MONTH(FC_SUPUESTOS!$D$14),1),AU$4-1)</f>
        <v>47604</v>
      </c>
      <c r="AV6" s="419" t="n">
        <f aca="false">EDATE(DATE(YEAR(FC_SUPUESTOS!$D$14),MONTH(FC_SUPUESTOS!$D$14),1),AV$4-1)</f>
        <v>47635</v>
      </c>
      <c r="AW6" s="419" t="n">
        <f aca="false">EDATE(DATE(YEAR(FC_SUPUESTOS!$D$14),MONTH(FC_SUPUESTOS!$D$14),1),AW$4-1)</f>
        <v>47665</v>
      </c>
      <c r="AX6" s="419" t="n">
        <f aca="false">EDATE(DATE(YEAR(FC_SUPUESTOS!$D$14),MONTH(FC_SUPUESTOS!$D$14),1),AX$4-1)</f>
        <v>47696</v>
      </c>
      <c r="AY6" s="419" t="n">
        <f aca="false">EDATE(DATE(YEAR(FC_SUPUESTOS!$D$14),MONTH(FC_SUPUESTOS!$D$14),1),AY$4-1)</f>
        <v>47727</v>
      </c>
      <c r="AZ6" s="419" t="n">
        <f aca="false">EDATE(DATE(YEAR(FC_SUPUESTOS!$D$14),MONTH(FC_SUPUESTOS!$D$14),1),AZ$4-1)</f>
        <v>47757</v>
      </c>
      <c r="BA6" s="419" t="n">
        <f aca="false">EDATE(DATE(YEAR(FC_SUPUESTOS!$D$14),MONTH(FC_SUPUESTOS!$D$14),1),BA$4-1)</f>
        <v>47788</v>
      </c>
      <c r="BB6" s="419" t="n">
        <f aca="false">EDATE(DATE(YEAR(FC_SUPUESTOS!$D$14),MONTH(FC_SUPUESTOS!$D$14),1),BB$4-1)</f>
        <v>47818</v>
      </c>
      <c r="BC6" s="419" t="n">
        <f aca="false">EDATE(DATE(YEAR(FC_SUPUESTOS!$D$14),MONTH(FC_SUPUESTOS!$D$14),1),BC$4-1)</f>
        <v>47849</v>
      </c>
      <c r="BD6" s="419" t="n">
        <f aca="false">EDATE(DATE(YEAR(FC_SUPUESTOS!$D$14),MONTH(FC_SUPUESTOS!$D$14),1),BD$4-1)</f>
        <v>47880</v>
      </c>
      <c r="BE6" s="419" t="n">
        <f aca="false">EDATE(DATE(YEAR(FC_SUPUESTOS!$D$14),MONTH(FC_SUPUESTOS!$D$14),1),BE$4-1)</f>
        <v>47908</v>
      </c>
      <c r="BF6" s="419" t="n">
        <f aca="false">EDATE(DATE(YEAR(FC_SUPUESTOS!$D$14),MONTH(FC_SUPUESTOS!$D$14),1),BF$4-1)</f>
        <v>47939</v>
      </c>
      <c r="BG6" s="419" t="n">
        <f aca="false">EDATE(DATE(YEAR(FC_SUPUESTOS!$D$14),MONTH(FC_SUPUESTOS!$D$14),1),BG$4-1)</f>
        <v>47969</v>
      </c>
      <c r="BH6" s="419" t="n">
        <f aca="false">EDATE(DATE(YEAR(FC_SUPUESTOS!$D$14),MONTH(FC_SUPUESTOS!$D$14),1),BH$4-1)</f>
        <v>48000</v>
      </c>
      <c r="BI6" s="419" t="n">
        <f aca="false">EDATE(DATE(YEAR(FC_SUPUESTOS!$D$14),MONTH(FC_SUPUESTOS!$D$14),1),BI$4-1)</f>
        <v>48030</v>
      </c>
      <c r="BJ6" s="419" t="n">
        <f aca="false">EDATE(DATE(YEAR(FC_SUPUESTOS!$D$14),MONTH(FC_SUPUESTOS!$D$14),1),BJ$4-1)</f>
        <v>48061</v>
      </c>
      <c r="BK6" s="419" t="n">
        <f aca="false">EDATE(DATE(YEAR(FC_SUPUESTOS!$D$14),MONTH(FC_SUPUESTOS!$D$14),1),BK$4-1)</f>
        <v>48092</v>
      </c>
    </row>
    <row r="7" customFormat="false" ht="15" hidden="false" customHeight="true" outlineLevel="0" collapsed="false">
      <c r="A7" s="351" t="s">
        <v>2350</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row>
    <row r="8" customFormat="false" ht="15" hidden="false" customHeight="true" outlineLevel="0" collapsed="false">
      <c r="B8" s="297" t="s">
        <v>2351</v>
      </c>
      <c r="D8" s="420" t="n">
        <f aca="false">IF(1=0,0,IF(D$4=MAX(1,FC_SUPUESTOS!$C$17),1,0))</f>
        <v>1</v>
      </c>
      <c r="E8" s="420" t="n">
        <f aca="false">IF(1=0,0,IF(E$4=MAX(1,FC_SUPUESTOS!$C$17),1,0))</f>
        <v>0</v>
      </c>
      <c r="F8" s="420" t="n">
        <f aca="false">IF(1=0,0,IF(F$4=MAX(1,FC_SUPUESTOS!$C$17),1,0))</f>
        <v>0</v>
      </c>
      <c r="G8" s="420" t="n">
        <f aca="false">IF(1=0,0,IF(G$4=MAX(1,FC_SUPUESTOS!$C$17),1,0))</f>
        <v>0</v>
      </c>
      <c r="H8" s="420" t="n">
        <f aca="false">IF(1=0,0,IF(H$4=MAX(1,FC_SUPUESTOS!$C$17),1,0))</f>
        <v>0</v>
      </c>
      <c r="I8" s="420" t="n">
        <f aca="false">IF(1=0,0,IF(I$4=MAX(1,FC_SUPUESTOS!$C$17),1,0))</f>
        <v>0</v>
      </c>
      <c r="J8" s="420" t="n">
        <f aca="false">IF(1=0,0,IF(J$4=MAX(1,FC_SUPUESTOS!$C$17),1,0))</f>
        <v>0</v>
      </c>
      <c r="K8" s="420" t="n">
        <f aca="false">IF(1=0,0,IF(K$4=MAX(1,FC_SUPUESTOS!$C$17),1,0))</f>
        <v>0</v>
      </c>
      <c r="L8" s="420" t="n">
        <f aca="false">IF(1=0,0,IF(L$4=MAX(1,FC_SUPUESTOS!$C$17),1,0))</f>
        <v>0</v>
      </c>
      <c r="M8" s="420" t="n">
        <f aca="false">IF(1=0,0,IF(M$4=MAX(1,FC_SUPUESTOS!$C$17),1,0))</f>
        <v>0</v>
      </c>
      <c r="N8" s="420" t="n">
        <f aca="false">IF(1=0,0,IF(N$4=MAX(1,FC_SUPUESTOS!$C$17),1,0))</f>
        <v>0</v>
      </c>
      <c r="O8" s="420" t="n">
        <f aca="false">IF(1=0,0,IF(O$4=MAX(1,FC_SUPUESTOS!$C$17),1,0))</f>
        <v>0</v>
      </c>
      <c r="P8" s="420" t="n">
        <f aca="false">IF(1=0,0,IF(P$4=MAX(1,FC_SUPUESTOS!$C$17),1,0))</f>
        <v>0</v>
      </c>
      <c r="Q8" s="420" t="n">
        <f aca="false">IF(1=0,0,IF(Q$4=MAX(1,FC_SUPUESTOS!$C$17),1,0))</f>
        <v>0</v>
      </c>
      <c r="R8" s="420" t="n">
        <f aca="false">IF(1=0,0,IF(R$4=MAX(1,FC_SUPUESTOS!$C$17),1,0))</f>
        <v>0</v>
      </c>
      <c r="S8" s="420" t="n">
        <f aca="false">IF(1=0,0,IF(S$4=MAX(1,FC_SUPUESTOS!$C$17),1,0))</f>
        <v>0</v>
      </c>
      <c r="T8" s="420" t="n">
        <f aca="false">IF(1=0,0,IF(T$4=MAX(1,FC_SUPUESTOS!$C$17),1,0))</f>
        <v>0</v>
      </c>
      <c r="U8" s="420" t="n">
        <f aca="false">IF(1=0,0,IF(U$4=MAX(1,FC_SUPUESTOS!$C$17),1,0))</f>
        <v>0</v>
      </c>
      <c r="V8" s="420" t="n">
        <f aca="false">IF(1=0,0,IF(V$4=MAX(1,FC_SUPUESTOS!$C$17),1,0))</f>
        <v>0</v>
      </c>
      <c r="W8" s="420" t="n">
        <f aca="false">IF(1=0,0,IF(W$4=MAX(1,FC_SUPUESTOS!$C$17),1,0))</f>
        <v>0</v>
      </c>
      <c r="X8" s="420" t="n">
        <f aca="false">IF(1=0,0,IF(X$4=MAX(1,FC_SUPUESTOS!$C$17),1,0))</f>
        <v>0</v>
      </c>
      <c r="Y8" s="420" t="n">
        <f aca="false">IF(1=0,0,IF(Y$4=MAX(1,FC_SUPUESTOS!$C$17),1,0))</f>
        <v>0</v>
      </c>
      <c r="Z8" s="420" t="n">
        <f aca="false">IF(1=0,0,IF(Z$4=MAX(1,FC_SUPUESTOS!$C$17),1,0))</f>
        <v>0</v>
      </c>
      <c r="AA8" s="420" t="n">
        <f aca="false">IF(1=0,0,IF(AA$4=MAX(1,FC_SUPUESTOS!$C$17),1,0))</f>
        <v>0</v>
      </c>
      <c r="AB8" s="420" t="n">
        <f aca="false">IF(1=0,0,IF(AB$4=MAX(1,FC_SUPUESTOS!$C$17),1,0))</f>
        <v>0</v>
      </c>
      <c r="AC8" s="420" t="n">
        <f aca="false">IF(1=0,0,IF(AC$4=MAX(1,FC_SUPUESTOS!$C$17),1,0))</f>
        <v>0</v>
      </c>
      <c r="AD8" s="420" t="n">
        <f aca="false">IF(1=0,0,IF(AD$4=MAX(1,FC_SUPUESTOS!$C$17),1,0))</f>
        <v>0</v>
      </c>
      <c r="AE8" s="420" t="n">
        <f aca="false">IF(1=0,0,IF(AE$4=MAX(1,FC_SUPUESTOS!$C$17),1,0))</f>
        <v>0</v>
      </c>
      <c r="AF8" s="420" t="n">
        <f aca="false">IF(1=0,0,IF(AF$4=MAX(1,FC_SUPUESTOS!$C$17),1,0))</f>
        <v>0</v>
      </c>
      <c r="AG8" s="420" t="n">
        <f aca="false">IF(1=0,0,IF(AG$4=MAX(1,FC_SUPUESTOS!$C$17),1,0))</f>
        <v>0</v>
      </c>
      <c r="AH8" s="420" t="n">
        <f aca="false">IF(1=0,0,IF(AH$4=MAX(1,FC_SUPUESTOS!$C$17),1,0))</f>
        <v>0</v>
      </c>
      <c r="AI8" s="420" t="n">
        <f aca="false">IF(1=0,0,IF(AI$4=MAX(1,FC_SUPUESTOS!$C$17),1,0))</f>
        <v>0</v>
      </c>
      <c r="AJ8" s="420" t="n">
        <f aca="false">IF(1=0,0,IF(AJ$4=MAX(1,FC_SUPUESTOS!$C$17),1,0))</f>
        <v>0</v>
      </c>
      <c r="AK8" s="420" t="n">
        <f aca="false">IF(1=0,0,IF(AK$4=MAX(1,FC_SUPUESTOS!$C$17),1,0))</f>
        <v>0</v>
      </c>
      <c r="AL8" s="420" t="n">
        <f aca="false">IF(1=0,0,IF(AL$4=MAX(1,FC_SUPUESTOS!$C$17),1,0))</f>
        <v>0</v>
      </c>
      <c r="AM8" s="420" t="n">
        <f aca="false">IF(1=0,0,IF(AM$4=MAX(1,FC_SUPUESTOS!$C$17),1,0))</f>
        <v>0</v>
      </c>
      <c r="AN8" s="420" t="n">
        <f aca="false">IF(1=0,0,IF(AN$4=MAX(1,FC_SUPUESTOS!$C$17),1,0))</f>
        <v>0</v>
      </c>
      <c r="AO8" s="420" t="n">
        <f aca="false">IF(1=0,0,IF(AO$4=MAX(1,FC_SUPUESTOS!$C$17),1,0))</f>
        <v>0</v>
      </c>
      <c r="AP8" s="420" t="n">
        <f aca="false">IF(1=0,0,IF(AP$4=MAX(1,FC_SUPUESTOS!$C$17),1,0))</f>
        <v>0</v>
      </c>
      <c r="AQ8" s="420" t="n">
        <f aca="false">IF(1=0,0,IF(AQ$4=MAX(1,FC_SUPUESTOS!$C$17),1,0))</f>
        <v>0</v>
      </c>
      <c r="AR8" s="420" t="n">
        <f aca="false">IF(1=0,0,IF(AR$4=MAX(1,FC_SUPUESTOS!$C$17),1,0))</f>
        <v>0</v>
      </c>
      <c r="AS8" s="420" t="n">
        <f aca="false">IF(1=0,0,IF(AS$4=MAX(1,FC_SUPUESTOS!$C$17),1,0))</f>
        <v>0</v>
      </c>
      <c r="AT8" s="420" t="n">
        <f aca="false">IF(1=0,0,IF(AT$4=MAX(1,FC_SUPUESTOS!$C$17),1,0))</f>
        <v>0</v>
      </c>
      <c r="AU8" s="420" t="n">
        <f aca="false">IF(1=0,0,IF(AU$4=MAX(1,FC_SUPUESTOS!$C$17),1,0))</f>
        <v>0</v>
      </c>
      <c r="AV8" s="420" t="n">
        <f aca="false">IF(1=0,0,IF(AV$4=MAX(1,FC_SUPUESTOS!$C$17),1,0))</f>
        <v>0</v>
      </c>
      <c r="AW8" s="420" t="n">
        <f aca="false">IF(1=0,0,IF(AW$4=MAX(1,FC_SUPUESTOS!$C$17),1,0))</f>
        <v>0</v>
      </c>
      <c r="AX8" s="420" t="n">
        <f aca="false">IF(1=0,0,IF(AX$4=MAX(1,FC_SUPUESTOS!$C$17),1,0))</f>
        <v>0</v>
      </c>
      <c r="AY8" s="420" t="n">
        <f aca="false">IF(1=0,0,IF(AY$4=MAX(1,FC_SUPUESTOS!$C$17),1,0))</f>
        <v>0</v>
      </c>
      <c r="AZ8" s="420" t="n">
        <f aca="false">IF(1=0,0,IF(AZ$4=MAX(1,FC_SUPUESTOS!$C$17),1,0))</f>
        <v>0</v>
      </c>
      <c r="BA8" s="420" t="n">
        <f aca="false">IF(1=0,0,IF(BA$4=MAX(1,FC_SUPUESTOS!$C$17),1,0))</f>
        <v>0</v>
      </c>
      <c r="BB8" s="420" t="n">
        <f aca="false">IF(1=0,0,IF(BB$4=MAX(1,FC_SUPUESTOS!$C$17),1,0))</f>
        <v>0</v>
      </c>
      <c r="BC8" s="420" t="n">
        <f aca="false">IF(1=0,0,IF(BC$4=MAX(1,FC_SUPUESTOS!$C$17),1,0))</f>
        <v>0</v>
      </c>
      <c r="BD8" s="420" t="n">
        <f aca="false">IF(1=0,0,IF(BD$4=MAX(1,FC_SUPUESTOS!$C$17),1,0))</f>
        <v>0</v>
      </c>
      <c r="BE8" s="420" t="n">
        <f aca="false">IF(1=0,0,IF(BE$4=MAX(1,FC_SUPUESTOS!$C$17),1,0))</f>
        <v>0</v>
      </c>
      <c r="BF8" s="420" t="n">
        <f aca="false">IF(1=0,0,IF(BF$4=MAX(1,FC_SUPUESTOS!$C$17),1,0))</f>
        <v>0</v>
      </c>
      <c r="BG8" s="420" t="n">
        <f aca="false">IF(1=0,0,IF(BG$4=MAX(1,FC_SUPUESTOS!$C$17),1,0))</f>
        <v>0</v>
      </c>
      <c r="BH8" s="420" t="n">
        <f aca="false">IF(1=0,0,IF(BH$4=MAX(1,FC_SUPUESTOS!$C$17),1,0))</f>
        <v>0</v>
      </c>
      <c r="BI8" s="420" t="n">
        <f aca="false">IF(1=0,0,IF(BI$4=MAX(1,FC_SUPUESTOS!$C$17),1,0))</f>
        <v>0</v>
      </c>
      <c r="BJ8" s="420" t="n">
        <f aca="false">IF(1=0,0,IF(BJ$4=MAX(1,FC_SUPUESTOS!$C$17),1,0))</f>
        <v>0</v>
      </c>
      <c r="BK8" s="420" t="n">
        <f aca="false">IF(1=0,0,IF(BK$4=MAX(1,FC_SUPUESTOS!$C$17),1,0))</f>
        <v>0</v>
      </c>
    </row>
    <row r="9" customFormat="false" ht="15" hidden="false" customHeight="true" outlineLevel="0" collapsed="false">
      <c r="B9" s="297" t="s">
        <v>2352</v>
      </c>
      <c r="D9" s="420" t="n">
        <f aca="false">IF(1=0,0,IF(D$4=MAX(1,FC_SUPUESTOS!$C$17+FC_SUPUESTOS!$C$18),1,0))</f>
        <v>0</v>
      </c>
      <c r="E9" s="420" t="n">
        <f aca="false">IF(1=0,0,IF(E$4=MAX(1,FC_SUPUESTOS!$C$17+FC_SUPUESTOS!$C$18),1,0))</f>
        <v>0</v>
      </c>
      <c r="F9" s="420" t="n">
        <f aca="false">IF(1=0,0,IF(F$4=MAX(1,FC_SUPUESTOS!$C$17+FC_SUPUESTOS!$C$18),1,0))</f>
        <v>0</v>
      </c>
      <c r="G9" s="420" t="n">
        <f aca="false">IF(1=0,0,IF(G$4=MAX(1,FC_SUPUESTOS!$C$17+FC_SUPUESTOS!$C$18),1,0))</f>
        <v>0</v>
      </c>
      <c r="H9" s="420" t="n">
        <f aca="false">IF(1=0,0,IF(H$4=MAX(1,FC_SUPUESTOS!$C$17+FC_SUPUESTOS!$C$18),1,0))</f>
        <v>1</v>
      </c>
      <c r="I9" s="420" t="n">
        <f aca="false">IF(1=0,0,IF(I$4=MAX(1,FC_SUPUESTOS!$C$17+FC_SUPUESTOS!$C$18),1,0))</f>
        <v>0</v>
      </c>
      <c r="J9" s="420" t="n">
        <f aca="false">IF(1=0,0,IF(J$4=MAX(1,FC_SUPUESTOS!$C$17+FC_SUPUESTOS!$C$18),1,0))</f>
        <v>0</v>
      </c>
      <c r="K9" s="420" t="n">
        <f aca="false">IF(1=0,0,IF(K$4=MAX(1,FC_SUPUESTOS!$C$17+FC_SUPUESTOS!$C$18),1,0))</f>
        <v>0</v>
      </c>
      <c r="L9" s="420" t="n">
        <f aca="false">IF(1=0,0,IF(L$4=MAX(1,FC_SUPUESTOS!$C$17+FC_SUPUESTOS!$C$18),1,0))</f>
        <v>0</v>
      </c>
      <c r="M9" s="420" t="n">
        <f aca="false">IF(1=0,0,IF(M$4=MAX(1,FC_SUPUESTOS!$C$17+FC_SUPUESTOS!$C$18),1,0))</f>
        <v>0</v>
      </c>
      <c r="N9" s="420" t="n">
        <f aca="false">IF(1=0,0,IF(N$4=MAX(1,FC_SUPUESTOS!$C$17+FC_SUPUESTOS!$C$18),1,0))</f>
        <v>0</v>
      </c>
      <c r="O9" s="420" t="n">
        <f aca="false">IF(1=0,0,IF(O$4=MAX(1,FC_SUPUESTOS!$C$17+FC_SUPUESTOS!$C$18),1,0))</f>
        <v>0</v>
      </c>
      <c r="P9" s="420" t="n">
        <f aca="false">IF(1=0,0,IF(P$4=MAX(1,FC_SUPUESTOS!$C$17+FC_SUPUESTOS!$C$18),1,0))</f>
        <v>0</v>
      </c>
      <c r="Q9" s="420" t="n">
        <f aca="false">IF(1=0,0,IF(Q$4=MAX(1,FC_SUPUESTOS!$C$17+FC_SUPUESTOS!$C$18),1,0))</f>
        <v>0</v>
      </c>
      <c r="R9" s="420" t="n">
        <f aca="false">IF(1=0,0,IF(R$4=MAX(1,FC_SUPUESTOS!$C$17+FC_SUPUESTOS!$C$18),1,0))</f>
        <v>0</v>
      </c>
      <c r="S9" s="420" t="n">
        <f aca="false">IF(1=0,0,IF(S$4=MAX(1,FC_SUPUESTOS!$C$17+FC_SUPUESTOS!$C$18),1,0))</f>
        <v>0</v>
      </c>
      <c r="T9" s="420" t="n">
        <f aca="false">IF(1=0,0,IF(T$4=MAX(1,FC_SUPUESTOS!$C$17+FC_SUPUESTOS!$C$18),1,0))</f>
        <v>0</v>
      </c>
      <c r="U9" s="420" t="n">
        <f aca="false">IF(1=0,0,IF(U$4=MAX(1,FC_SUPUESTOS!$C$17+FC_SUPUESTOS!$C$18),1,0))</f>
        <v>0</v>
      </c>
      <c r="V9" s="420" t="n">
        <f aca="false">IF(1=0,0,IF(V$4=MAX(1,FC_SUPUESTOS!$C$17+FC_SUPUESTOS!$C$18),1,0))</f>
        <v>0</v>
      </c>
      <c r="W9" s="420" t="n">
        <f aca="false">IF(1=0,0,IF(W$4=MAX(1,FC_SUPUESTOS!$C$17+FC_SUPUESTOS!$C$18),1,0))</f>
        <v>0</v>
      </c>
      <c r="X9" s="420" t="n">
        <f aca="false">IF(1=0,0,IF(X$4=MAX(1,FC_SUPUESTOS!$C$17+FC_SUPUESTOS!$C$18),1,0))</f>
        <v>0</v>
      </c>
      <c r="Y9" s="420" t="n">
        <f aca="false">IF(1=0,0,IF(Y$4=MAX(1,FC_SUPUESTOS!$C$17+FC_SUPUESTOS!$C$18),1,0))</f>
        <v>0</v>
      </c>
      <c r="Z9" s="420" t="n">
        <f aca="false">IF(1=0,0,IF(Z$4=MAX(1,FC_SUPUESTOS!$C$17+FC_SUPUESTOS!$C$18),1,0))</f>
        <v>0</v>
      </c>
      <c r="AA9" s="420" t="n">
        <f aca="false">IF(1=0,0,IF(AA$4=MAX(1,FC_SUPUESTOS!$C$17+FC_SUPUESTOS!$C$18),1,0))</f>
        <v>0</v>
      </c>
      <c r="AB9" s="420" t="n">
        <f aca="false">IF(1=0,0,IF(AB$4=MAX(1,FC_SUPUESTOS!$C$17+FC_SUPUESTOS!$C$18),1,0))</f>
        <v>0</v>
      </c>
      <c r="AC9" s="420" t="n">
        <f aca="false">IF(1=0,0,IF(AC$4=MAX(1,FC_SUPUESTOS!$C$17+FC_SUPUESTOS!$C$18),1,0))</f>
        <v>0</v>
      </c>
      <c r="AD9" s="420" t="n">
        <f aca="false">IF(1=0,0,IF(AD$4=MAX(1,FC_SUPUESTOS!$C$17+FC_SUPUESTOS!$C$18),1,0))</f>
        <v>0</v>
      </c>
      <c r="AE9" s="420" t="n">
        <f aca="false">IF(1=0,0,IF(AE$4=MAX(1,FC_SUPUESTOS!$C$17+FC_SUPUESTOS!$C$18),1,0))</f>
        <v>0</v>
      </c>
      <c r="AF9" s="420" t="n">
        <f aca="false">IF(1=0,0,IF(AF$4=MAX(1,FC_SUPUESTOS!$C$17+FC_SUPUESTOS!$C$18),1,0))</f>
        <v>0</v>
      </c>
      <c r="AG9" s="420" t="n">
        <f aca="false">IF(1=0,0,IF(AG$4=MAX(1,FC_SUPUESTOS!$C$17+FC_SUPUESTOS!$C$18),1,0))</f>
        <v>0</v>
      </c>
      <c r="AH9" s="420" t="n">
        <f aca="false">IF(1=0,0,IF(AH$4=MAX(1,FC_SUPUESTOS!$C$17+FC_SUPUESTOS!$C$18),1,0))</f>
        <v>0</v>
      </c>
      <c r="AI9" s="420" t="n">
        <f aca="false">IF(1=0,0,IF(AI$4=MAX(1,FC_SUPUESTOS!$C$17+FC_SUPUESTOS!$C$18),1,0))</f>
        <v>0</v>
      </c>
      <c r="AJ9" s="420" t="n">
        <f aca="false">IF(1=0,0,IF(AJ$4=MAX(1,FC_SUPUESTOS!$C$17+FC_SUPUESTOS!$C$18),1,0))</f>
        <v>0</v>
      </c>
      <c r="AK9" s="420" t="n">
        <f aca="false">IF(1=0,0,IF(AK$4=MAX(1,FC_SUPUESTOS!$C$17+FC_SUPUESTOS!$C$18),1,0))</f>
        <v>0</v>
      </c>
      <c r="AL9" s="420" t="n">
        <f aca="false">IF(1=0,0,IF(AL$4=MAX(1,FC_SUPUESTOS!$C$17+FC_SUPUESTOS!$C$18),1,0))</f>
        <v>0</v>
      </c>
      <c r="AM9" s="420" t="n">
        <f aca="false">IF(1=0,0,IF(AM$4=MAX(1,FC_SUPUESTOS!$C$17+FC_SUPUESTOS!$C$18),1,0))</f>
        <v>0</v>
      </c>
      <c r="AN9" s="420" t="n">
        <f aca="false">IF(1=0,0,IF(AN$4=MAX(1,FC_SUPUESTOS!$C$17+FC_SUPUESTOS!$C$18),1,0))</f>
        <v>0</v>
      </c>
      <c r="AO9" s="420" t="n">
        <f aca="false">IF(1=0,0,IF(AO$4=MAX(1,FC_SUPUESTOS!$C$17+FC_SUPUESTOS!$C$18),1,0))</f>
        <v>0</v>
      </c>
      <c r="AP9" s="420" t="n">
        <f aca="false">IF(1=0,0,IF(AP$4=MAX(1,FC_SUPUESTOS!$C$17+FC_SUPUESTOS!$C$18),1,0))</f>
        <v>0</v>
      </c>
      <c r="AQ9" s="420" t="n">
        <f aca="false">IF(1=0,0,IF(AQ$4=MAX(1,FC_SUPUESTOS!$C$17+FC_SUPUESTOS!$C$18),1,0))</f>
        <v>0</v>
      </c>
      <c r="AR9" s="420" t="n">
        <f aca="false">IF(1=0,0,IF(AR$4=MAX(1,FC_SUPUESTOS!$C$17+FC_SUPUESTOS!$C$18),1,0))</f>
        <v>0</v>
      </c>
      <c r="AS9" s="420" t="n">
        <f aca="false">IF(1=0,0,IF(AS$4=MAX(1,FC_SUPUESTOS!$C$17+FC_SUPUESTOS!$C$18),1,0))</f>
        <v>0</v>
      </c>
      <c r="AT9" s="420" t="n">
        <f aca="false">IF(1=0,0,IF(AT$4=MAX(1,FC_SUPUESTOS!$C$17+FC_SUPUESTOS!$C$18),1,0))</f>
        <v>0</v>
      </c>
      <c r="AU9" s="420" t="n">
        <f aca="false">IF(1=0,0,IF(AU$4=MAX(1,FC_SUPUESTOS!$C$17+FC_SUPUESTOS!$C$18),1,0))</f>
        <v>0</v>
      </c>
      <c r="AV9" s="420" t="n">
        <f aca="false">IF(1=0,0,IF(AV$4=MAX(1,FC_SUPUESTOS!$C$17+FC_SUPUESTOS!$C$18),1,0))</f>
        <v>0</v>
      </c>
      <c r="AW9" s="420" t="n">
        <f aca="false">IF(1=0,0,IF(AW$4=MAX(1,FC_SUPUESTOS!$C$17+FC_SUPUESTOS!$C$18),1,0))</f>
        <v>0</v>
      </c>
      <c r="AX9" s="420" t="n">
        <f aca="false">IF(1=0,0,IF(AX$4=MAX(1,FC_SUPUESTOS!$C$17+FC_SUPUESTOS!$C$18),1,0))</f>
        <v>0</v>
      </c>
      <c r="AY9" s="420" t="n">
        <f aca="false">IF(1=0,0,IF(AY$4=MAX(1,FC_SUPUESTOS!$C$17+FC_SUPUESTOS!$C$18),1,0))</f>
        <v>0</v>
      </c>
      <c r="AZ9" s="420" t="n">
        <f aca="false">IF(1=0,0,IF(AZ$4=MAX(1,FC_SUPUESTOS!$C$17+FC_SUPUESTOS!$C$18),1,0))</f>
        <v>0</v>
      </c>
      <c r="BA9" s="420" t="n">
        <f aca="false">IF(1=0,0,IF(BA$4=MAX(1,FC_SUPUESTOS!$C$17+FC_SUPUESTOS!$C$18),1,0))</f>
        <v>0</v>
      </c>
      <c r="BB9" s="420" t="n">
        <f aca="false">IF(1=0,0,IF(BB$4=MAX(1,FC_SUPUESTOS!$C$17+FC_SUPUESTOS!$C$18),1,0))</f>
        <v>0</v>
      </c>
      <c r="BC9" s="420" t="n">
        <f aca="false">IF(1=0,0,IF(BC$4=MAX(1,FC_SUPUESTOS!$C$17+FC_SUPUESTOS!$C$18),1,0))</f>
        <v>0</v>
      </c>
      <c r="BD9" s="420" t="n">
        <f aca="false">IF(1=0,0,IF(BD$4=MAX(1,FC_SUPUESTOS!$C$17+FC_SUPUESTOS!$C$18),1,0))</f>
        <v>0</v>
      </c>
      <c r="BE9" s="420" t="n">
        <f aca="false">IF(1=0,0,IF(BE$4=MAX(1,FC_SUPUESTOS!$C$17+FC_SUPUESTOS!$C$18),1,0))</f>
        <v>0</v>
      </c>
      <c r="BF9" s="420" t="n">
        <f aca="false">IF(1=0,0,IF(BF$4=MAX(1,FC_SUPUESTOS!$C$17+FC_SUPUESTOS!$C$18),1,0))</f>
        <v>0</v>
      </c>
      <c r="BG9" s="420" t="n">
        <f aca="false">IF(1=0,0,IF(BG$4=MAX(1,FC_SUPUESTOS!$C$17+FC_SUPUESTOS!$C$18),1,0))</f>
        <v>0</v>
      </c>
      <c r="BH9" s="420" t="n">
        <f aca="false">IF(1=0,0,IF(BH$4=MAX(1,FC_SUPUESTOS!$C$17+FC_SUPUESTOS!$C$18),1,0))</f>
        <v>0</v>
      </c>
      <c r="BI9" s="420" t="n">
        <f aca="false">IF(1=0,0,IF(BI$4=MAX(1,FC_SUPUESTOS!$C$17+FC_SUPUESTOS!$C$18),1,0))</f>
        <v>0</v>
      </c>
      <c r="BJ9" s="420" t="n">
        <f aca="false">IF(1=0,0,IF(BJ$4=MAX(1,FC_SUPUESTOS!$C$17+FC_SUPUESTOS!$C$18),1,0))</f>
        <v>0</v>
      </c>
      <c r="BK9" s="420" t="n">
        <f aca="false">IF(1=0,0,IF(BK$4=MAX(1,FC_SUPUESTOS!$C$17+FC_SUPUESTOS!$C$18),1,0))</f>
        <v>0</v>
      </c>
    </row>
    <row r="10" customFormat="false" ht="15" hidden="false" customHeight="true" outlineLevel="0" collapsed="false">
      <c r="B10" s="297" t="s">
        <v>2353</v>
      </c>
      <c r="D10" s="420" t="n">
        <f aca="false">IF(1=0,0,IF(D$4=MAX(1,FC_SUPUESTOS!$C$17+FC_SUPUESTOS!$C$18+FC_SUPUESTOS!$C$19),1,0))</f>
        <v>0</v>
      </c>
      <c r="E10" s="420" t="n">
        <f aca="false">IF(1=0,0,IF(E$4=MAX(1,FC_SUPUESTOS!$C$17+FC_SUPUESTOS!$C$18+FC_SUPUESTOS!$C$19),1,0))</f>
        <v>0</v>
      </c>
      <c r="F10" s="420" t="n">
        <f aca="false">IF(1=0,0,IF(F$4=MAX(1,FC_SUPUESTOS!$C$17+FC_SUPUESTOS!$C$18+FC_SUPUESTOS!$C$19),1,0))</f>
        <v>0</v>
      </c>
      <c r="G10" s="420" t="n">
        <f aca="false">IF(1=0,0,IF(G$4=MAX(1,FC_SUPUESTOS!$C$17+FC_SUPUESTOS!$C$18+FC_SUPUESTOS!$C$19),1,0))</f>
        <v>0</v>
      </c>
      <c r="H10" s="420" t="n">
        <f aca="false">IF(1=0,0,IF(H$4=MAX(1,FC_SUPUESTOS!$C$17+FC_SUPUESTOS!$C$18+FC_SUPUESTOS!$C$19),1,0))</f>
        <v>0</v>
      </c>
      <c r="I10" s="420" t="n">
        <f aca="false">IF(1=0,0,IF(I$4=MAX(1,FC_SUPUESTOS!$C$17+FC_SUPUESTOS!$C$18+FC_SUPUESTOS!$C$19),1,0))</f>
        <v>0</v>
      </c>
      <c r="J10" s="420" t="n">
        <f aca="false">IF(1=0,0,IF(J$4=MAX(1,FC_SUPUESTOS!$C$17+FC_SUPUESTOS!$C$18+FC_SUPUESTOS!$C$19),1,0))</f>
        <v>1</v>
      </c>
      <c r="K10" s="420" t="n">
        <f aca="false">IF(1=0,0,IF(K$4=MAX(1,FC_SUPUESTOS!$C$17+FC_SUPUESTOS!$C$18+FC_SUPUESTOS!$C$19),1,0))</f>
        <v>0</v>
      </c>
      <c r="L10" s="420" t="n">
        <f aca="false">IF(1=0,0,IF(L$4=MAX(1,FC_SUPUESTOS!$C$17+FC_SUPUESTOS!$C$18+FC_SUPUESTOS!$C$19),1,0))</f>
        <v>0</v>
      </c>
      <c r="M10" s="420" t="n">
        <f aca="false">IF(1=0,0,IF(M$4=MAX(1,FC_SUPUESTOS!$C$17+FC_SUPUESTOS!$C$18+FC_SUPUESTOS!$C$19),1,0))</f>
        <v>0</v>
      </c>
      <c r="N10" s="420" t="n">
        <f aca="false">IF(1=0,0,IF(N$4=MAX(1,FC_SUPUESTOS!$C$17+FC_SUPUESTOS!$C$18+FC_SUPUESTOS!$C$19),1,0))</f>
        <v>0</v>
      </c>
      <c r="O10" s="420" t="n">
        <f aca="false">IF(1=0,0,IF(O$4=MAX(1,FC_SUPUESTOS!$C$17+FC_SUPUESTOS!$C$18+FC_SUPUESTOS!$C$19),1,0))</f>
        <v>0</v>
      </c>
      <c r="P10" s="420" t="n">
        <f aca="false">IF(1=0,0,IF(P$4=MAX(1,FC_SUPUESTOS!$C$17+FC_SUPUESTOS!$C$18+FC_SUPUESTOS!$C$19),1,0))</f>
        <v>0</v>
      </c>
      <c r="Q10" s="420" t="n">
        <f aca="false">IF(1=0,0,IF(Q$4=MAX(1,FC_SUPUESTOS!$C$17+FC_SUPUESTOS!$C$18+FC_SUPUESTOS!$C$19),1,0))</f>
        <v>0</v>
      </c>
      <c r="R10" s="420" t="n">
        <f aca="false">IF(1=0,0,IF(R$4=MAX(1,FC_SUPUESTOS!$C$17+FC_SUPUESTOS!$C$18+FC_SUPUESTOS!$C$19),1,0))</f>
        <v>0</v>
      </c>
      <c r="S10" s="420" t="n">
        <f aca="false">IF(1=0,0,IF(S$4=MAX(1,FC_SUPUESTOS!$C$17+FC_SUPUESTOS!$C$18+FC_SUPUESTOS!$C$19),1,0))</f>
        <v>0</v>
      </c>
      <c r="T10" s="420" t="n">
        <f aca="false">IF(1=0,0,IF(T$4=MAX(1,FC_SUPUESTOS!$C$17+FC_SUPUESTOS!$C$18+FC_SUPUESTOS!$C$19),1,0))</f>
        <v>0</v>
      </c>
      <c r="U10" s="420" t="n">
        <f aca="false">IF(1=0,0,IF(U$4=MAX(1,FC_SUPUESTOS!$C$17+FC_SUPUESTOS!$C$18+FC_SUPUESTOS!$C$19),1,0))</f>
        <v>0</v>
      </c>
      <c r="V10" s="420" t="n">
        <f aca="false">IF(1=0,0,IF(V$4=MAX(1,FC_SUPUESTOS!$C$17+FC_SUPUESTOS!$C$18+FC_SUPUESTOS!$C$19),1,0))</f>
        <v>0</v>
      </c>
      <c r="W10" s="420" t="n">
        <f aca="false">IF(1=0,0,IF(W$4=MAX(1,FC_SUPUESTOS!$C$17+FC_SUPUESTOS!$C$18+FC_SUPUESTOS!$C$19),1,0))</f>
        <v>0</v>
      </c>
      <c r="X10" s="420" t="n">
        <f aca="false">IF(1=0,0,IF(X$4=MAX(1,FC_SUPUESTOS!$C$17+FC_SUPUESTOS!$C$18+FC_SUPUESTOS!$C$19),1,0))</f>
        <v>0</v>
      </c>
      <c r="Y10" s="420" t="n">
        <f aca="false">IF(1=0,0,IF(Y$4=MAX(1,FC_SUPUESTOS!$C$17+FC_SUPUESTOS!$C$18+FC_SUPUESTOS!$C$19),1,0))</f>
        <v>0</v>
      </c>
      <c r="Z10" s="420" t="n">
        <f aca="false">IF(1=0,0,IF(Z$4=MAX(1,FC_SUPUESTOS!$C$17+FC_SUPUESTOS!$C$18+FC_SUPUESTOS!$C$19),1,0))</f>
        <v>0</v>
      </c>
      <c r="AA10" s="420" t="n">
        <f aca="false">IF(1=0,0,IF(AA$4=MAX(1,FC_SUPUESTOS!$C$17+FC_SUPUESTOS!$C$18+FC_SUPUESTOS!$C$19),1,0))</f>
        <v>0</v>
      </c>
      <c r="AB10" s="420" t="n">
        <f aca="false">IF(1=0,0,IF(AB$4=MAX(1,FC_SUPUESTOS!$C$17+FC_SUPUESTOS!$C$18+FC_SUPUESTOS!$C$19),1,0))</f>
        <v>0</v>
      </c>
      <c r="AC10" s="420" t="n">
        <f aca="false">IF(1=0,0,IF(AC$4=MAX(1,FC_SUPUESTOS!$C$17+FC_SUPUESTOS!$C$18+FC_SUPUESTOS!$C$19),1,0))</f>
        <v>0</v>
      </c>
      <c r="AD10" s="420" t="n">
        <f aca="false">IF(1=0,0,IF(AD$4=MAX(1,FC_SUPUESTOS!$C$17+FC_SUPUESTOS!$C$18+FC_SUPUESTOS!$C$19),1,0))</f>
        <v>0</v>
      </c>
      <c r="AE10" s="420" t="n">
        <f aca="false">IF(1=0,0,IF(AE$4=MAX(1,FC_SUPUESTOS!$C$17+FC_SUPUESTOS!$C$18+FC_SUPUESTOS!$C$19),1,0))</f>
        <v>0</v>
      </c>
      <c r="AF10" s="420" t="n">
        <f aca="false">IF(1=0,0,IF(AF$4=MAX(1,FC_SUPUESTOS!$C$17+FC_SUPUESTOS!$C$18+FC_SUPUESTOS!$C$19),1,0))</f>
        <v>0</v>
      </c>
      <c r="AG10" s="420" t="n">
        <f aca="false">IF(1=0,0,IF(AG$4=MAX(1,FC_SUPUESTOS!$C$17+FC_SUPUESTOS!$C$18+FC_SUPUESTOS!$C$19),1,0))</f>
        <v>0</v>
      </c>
      <c r="AH10" s="420" t="n">
        <f aca="false">IF(1=0,0,IF(AH$4=MAX(1,FC_SUPUESTOS!$C$17+FC_SUPUESTOS!$C$18+FC_SUPUESTOS!$C$19),1,0))</f>
        <v>0</v>
      </c>
      <c r="AI10" s="420" t="n">
        <f aca="false">IF(1=0,0,IF(AI$4=MAX(1,FC_SUPUESTOS!$C$17+FC_SUPUESTOS!$C$18+FC_SUPUESTOS!$C$19),1,0))</f>
        <v>0</v>
      </c>
      <c r="AJ10" s="420" t="n">
        <f aca="false">IF(1=0,0,IF(AJ$4=MAX(1,FC_SUPUESTOS!$C$17+FC_SUPUESTOS!$C$18+FC_SUPUESTOS!$C$19),1,0))</f>
        <v>0</v>
      </c>
      <c r="AK10" s="420" t="n">
        <f aca="false">IF(1=0,0,IF(AK$4=MAX(1,FC_SUPUESTOS!$C$17+FC_SUPUESTOS!$C$18+FC_SUPUESTOS!$C$19),1,0))</f>
        <v>0</v>
      </c>
      <c r="AL10" s="420" t="n">
        <f aca="false">IF(1=0,0,IF(AL$4=MAX(1,FC_SUPUESTOS!$C$17+FC_SUPUESTOS!$C$18+FC_SUPUESTOS!$C$19),1,0))</f>
        <v>0</v>
      </c>
      <c r="AM10" s="420" t="n">
        <f aca="false">IF(1=0,0,IF(AM$4=MAX(1,FC_SUPUESTOS!$C$17+FC_SUPUESTOS!$C$18+FC_SUPUESTOS!$C$19),1,0))</f>
        <v>0</v>
      </c>
      <c r="AN10" s="420" t="n">
        <f aca="false">IF(1=0,0,IF(AN$4=MAX(1,FC_SUPUESTOS!$C$17+FC_SUPUESTOS!$C$18+FC_SUPUESTOS!$C$19),1,0))</f>
        <v>0</v>
      </c>
      <c r="AO10" s="420" t="n">
        <f aca="false">IF(1=0,0,IF(AO$4=MAX(1,FC_SUPUESTOS!$C$17+FC_SUPUESTOS!$C$18+FC_SUPUESTOS!$C$19),1,0))</f>
        <v>0</v>
      </c>
      <c r="AP10" s="420" t="n">
        <f aca="false">IF(1=0,0,IF(AP$4=MAX(1,FC_SUPUESTOS!$C$17+FC_SUPUESTOS!$C$18+FC_SUPUESTOS!$C$19),1,0))</f>
        <v>0</v>
      </c>
      <c r="AQ10" s="420" t="n">
        <f aca="false">IF(1=0,0,IF(AQ$4=MAX(1,FC_SUPUESTOS!$C$17+FC_SUPUESTOS!$C$18+FC_SUPUESTOS!$C$19),1,0))</f>
        <v>0</v>
      </c>
      <c r="AR10" s="420" t="n">
        <f aca="false">IF(1=0,0,IF(AR$4=MAX(1,FC_SUPUESTOS!$C$17+FC_SUPUESTOS!$C$18+FC_SUPUESTOS!$C$19),1,0))</f>
        <v>0</v>
      </c>
      <c r="AS10" s="420" t="n">
        <f aca="false">IF(1=0,0,IF(AS$4=MAX(1,FC_SUPUESTOS!$C$17+FC_SUPUESTOS!$C$18+FC_SUPUESTOS!$C$19),1,0))</f>
        <v>0</v>
      </c>
      <c r="AT10" s="420" t="n">
        <f aca="false">IF(1=0,0,IF(AT$4=MAX(1,FC_SUPUESTOS!$C$17+FC_SUPUESTOS!$C$18+FC_SUPUESTOS!$C$19),1,0))</f>
        <v>0</v>
      </c>
      <c r="AU10" s="420" t="n">
        <f aca="false">IF(1=0,0,IF(AU$4=MAX(1,FC_SUPUESTOS!$C$17+FC_SUPUESTOS!$C$18+FC_SUPUESTOS!$C$19),1,0))</f>
        <v>0</v>
      </c>
      <c r="AV10" s="420" t="n">
        <f aca="false">IF(1=0,0,IF(AV$4=MAX(1,FC_SUPUESTOS!$C$17+FC_SUPUESTOS!$C$18+FC_SUPUESTOS!$C$19),1,0))</f>
        <v>0</v>
      </c>
      <c r="AW10" s="420" t="n">
        <f aca="false">IF(1=0,0,IF(AW$4=MAX(1,FC_SUPUESTOS!$C$17+FC_SUPUESTOS!$C$18+FC_SUPUESTOS!$C$19),1,0))</f>
        <v>0</v>
      </c>
      <c r="AX10" s="420" t="n">
        <f aca="false">IF(1=0,0,IF(AX$4=MAX(1,FC_SUPUESTOS!$C$17+FC_SUPUESTOS!$C$18+FC_SUPUESTOS!$C$19),1,0))</f>
        <v>0</v>
      </c>
      <c r="AY10" s="420" t="n">
        <f aca="false">IF(1=0,0,IF(AY$4=MAX(1,FC_SUPUESTOS!$C$17+FC_SUPUESTOS!$C$18+FC_SUPUESTOS!$C$19),1,0))</f>
        <v>0</v>
      </c>
      <c r="AZ10" s="420" t="n">
        <f aca="false">IF(1=0,0,IF(AZ$4=MAX(1,FC_SUPUESTOS!$C$17+FC_SUPUESTOS!$C$18+FC_SUPUESTOS!$C$19),1,0))</f>
        <v>0</v>
      </c>
      <c r="BA10" s="420" t="n">
        <f aca="false">IF(1=0,0,IF(BA$4=MAX(1,FC_SUPUESTOS!$C$17+FC_SUPUESTOS!$C$18+FC_SUPUESTOS!$C$19),1,0))</f>
        <v>0</v>
      </c>
      <c r="BB10" s="420" t="n">
        <f aca="false">IF(1=0,0,IF(BB$4=MAX(1,FC_SUPUESTOS!$C$17+FC_SUPUESTOS!$C$18+FC_SUPUESTOS!$C$19),1,0))</f>
        <v>0</v>
      </c>
      <c r="BC10" s="420" t="n">
        <f aca="false">IF(1=0,0,IF(BC$4=MAX(1,FC_SUPUESTOS!$C$17+FC_SUPUESTOS!$C$18+FC_SUPUESTOS!$C$19),1,0))</f>
        <v>0</v>
      </c>
      <c r="BD10" s="420" t="n">
        <f aca="false">IF(1=0,0,IF(BD$4=MAX(1,FC_SUPUESTOS!$C$17+FC_SUPUESTOS!$C$18+FC_SUPUESTOS!$C$19),1,0))</f>
        <v>0</v>
      </c>
      <c r="BE10" s="420" t="n">
        <f aca="false">IF(1=0,0,IF(BE$4=MAX(1,FC_SUPUESTOS!$C$17+FC_SUPUESTOS!$C$18+FC_SUPUESTOS!$C$19),1,0))</f>
        <v>0</v>
      </c>
      <c r="BF10" s="420" t="n">
        <f aca="false">IF(1=0,0,IF(BF$4=MAX(1,FC_SUPUESTOS!$C$17+FC_SUPUESTOS!$C$18+FC_SUPUESTOS!$C$19),1,0))</f>
        <v>0</v>
      </c>
      <c r="BG10" s="420" t="n">
        <f aca="false">IF(1=0,0,IF(BG$4=MAX(1,FC_SUPUESTOS!$C$17+FC_SUPUESTOS!$C$18+FC_SUPUESTOS!$C$19),1,0))</f>
        <v>0</v>
      </c>
      <c r="BH10" s="420" t="n">
        <f aca="false">IF(1=0,0,IF(BH$4=MAX(1,FC_SUPUESTOS!$C$17+FC_SUPUESTOS!$C$18+FC_SUPUESTOS!$C$19),1,0))</f>
        <v>0</v>
      </c>
      <c r="BI10" s="420" t="n">
        <f aca="false">IF(1=0,0,IF(BI$4=MAX(1,FC_SUPUESTOS!$C$17+FC_SUPUESTOS!$C$18+FC_SUPUESTOS!$C$19),1,0))</f>
        <v>0</v>
      </c>
      <c r="BJ10" s="420" t="n">
        <f aca="false">IF(1=0,0,IF(BJ$4=MAX(1,FC_SUPUESTOS!$C$17+FC_SUPUESTOS!$C$18+FC_SUPUESTOS!$C$19),1,0))</f>
        <v>0</v>
      </c>
      <c r="BK10" s="420" t="n">
        <f aca="false">IF(1=0,0,IF(BK$4=MAX(1,FC_SUPUESTOS!$C$17+FC_SUPUESTOS!$C$18+FC_SUPUESTOS!$C$19),1,0))</f>
        <v>0</v>
      </c>
    </row>
    <row r="11" customFormat="false" ht="15" hidden="false" customHeight="true" outlineLevel="0" collapsed="false">
      <c r="B11" s="297" t="s">
        <v>2354</v>
      </c>
      <c r="D11" s="420" t="n">
        <f aca="false">IF(AND(D$4&gt;=FC_SUPUESTOS!$C$23-FC_SUPUESTOS!$C$21,D$4&lt;=FC_SUPUESTOS!$C$23-1),1,0)</f>
        <v>0</v>
      </c>
      <c r="E11" s="420" t="n">
        <f aca="false">IF(AND(E$4&gt;=FC_SUPUESTOS!$C$23-FC_SUPUESTOS!$C$21,E$4&lt;=FC_SUPUESTOS!$C$23-1),1,0)</f>
        <v>0</v>
      </c>
      <c r="F11" s="420" t="n">
        <f aca="false">IF(AND(F$4&gt;=FC_SUPUESTOS!$C$23-FC_SUPUESTOS!$C$21,F$4&lt;=FC_SUPUESTOS!$C$23-1),1,0)</f>
        <v>0</v>
      </c>
      <c r="G11" s="420" t="n">
        <f aca="false">IF(AND(G$4&gt;=FC_SUPUESTOS!$C$23-FC_SUPUESTOS!$C$21,G$4&lt;=FC_SUPUESTOS!$C$23-1),1,0)</f>
        <v>0</v>
      </c>
      <c r="H11" s="420" t="n">
        <f aca="false">IF(AND(H$4&gt;=FC_SUPUESTOS!$C$23-FC_SUPUESTOS!$C$21,H$4&lt;=FC_SUPUESTOS!$C$23-1),1,0)</f>
        <v>0</v>
      </c>
      <c r="I11" s="420" t="n">
        <f aca="false">IF(AND(I$4&gt;=FC_SUPUESTOS!$C$23-FC_SUPUESTOS!$C$21,I$4&lt;=FC_SUPUESTOS!$C$23-1),1,0)</f>
        <v>0</v>
      </c>
      <c r="J11" s="420" t="n">
        <f aca="false">IF(AND(J$4&gt;=FC_SUPUESTOS!$C$23-FC_SUPUESTOS!$C$21,J$4&lt;=FC_SUPUESTOS!$C$23-1),1,0)</f>
        <v>0</v>
      </c>
      <c r="K11" s="420" t="n">
        <f aca="false">IF(AND(K$4&gt;=FC_SUPUESTOS!$C$23-FC_SUPUESTOS!$C$21,K$4&lt;=FC_SUPUESTOS!$C$23-1),1,0)</f>
        <v>1</v>
      </c>
      <c r="L11" s="420" t="n">
        <f aca="false">IF(AND(L$4&gt;=FC_SUPUESTOS!$C$23-FC_SUPUESTOS!$C$21,L$4&lt;=FC_SUPUESTOS!$C$23-1),1,0)</f>
        <v>1</v>
      </c>
      <c r="M11" s="420" t="n">
        <f aca="false">IF(AND(M$4&gt;=FC_SUPUESTOS!$C$23-FC_SUPUESTOS!$C$21,M$4&lt;=FC_SUPUESTOS!$C$23-1),1,0)</f>
        <v>0</v>
      </c>
      <c r="N11" s="420" t="n">
        <f aca="false">IF(AND(N$4&gt;=FC_SUPUESTOS!$C$23-FC_SUPUESTOS!$C$21,N$4&lt;=FC_SUPUESTOS!$C$23-1),1,0)</f>
        <v>0</v>
      </c>
      <c r="O11" s="420" t="n">
        <f aca="false">IF(AND(O$4&gt;=FC_SUPUESTOS!$C$23-FC_SUPUESTOS!$C$21,O$4&lt;=FC_SUPUESTOS!$C$23-1),1,0)</f>
        <v>0</v>
      </c>
      <c r="P11" s="420" t="n">
        <f aca="false">IF(AND(P$4&gt;=FC_SUPUESTOS!$C$23-FC_SUPUESTOS!$C$21,P$4&lt;=FC_SUPUESTOS!$C$23-1),1,0)</f>
        <v>0</v>
      </c>
      <c r="Q11" s="420" t="n">
        <f aca="false">IF(AND(Q$4&gt;=FC_SUPUESTOS!$C$23-FC_SUPUESTOS!$C$21,Q$4&lt;=FC_SUPUESTOS!$C$23-1),1,0)</f>
        <v>0</v>
      </c>
      <c r="R11" s="420" t="n">
        <f aca="false">IF(AND(R$4&gt;=FC_SUPUESTOS!$C$23-FC_SUPUESTOS!$C$21,R$4&lt;=FC_SUPUESTOS!$C$23-1),1,0)</f>
        <v>0</v>
      </c>
      <c r="S11" s="420" t="n">
        <f aca="false">IF(AND(S$4&gt;=FC_SUPUESTOS!$C$23-FC_SUPUESTOS!$C$21,S$4&lt;=FC_SUPUESTOS!$C$23-1),1,0)</f>
        <v>0</v>
      </c>
      <c r="T11" s="420" t="n">
        <f aca="false">IF(AND(T$4&gt;=FC_SUPUESTOS!$C$23-FC_SUPUESTOS!$C$21,T$4&lt;=FC_SUPUESTOS!$C$23-1),1,0)</f>
        <v>0</v>
      </c>
      <c r="U11" s="420" t="n">
        <f aca="false">IF(AND(U$4&gt;=FC_SUPUESTOS!$C$23-FC_SUPUESTOS!$C$21,U$4&lt;=FC_SUPUESTOS!$C$23-1),1,0)</f>
        <v>0</v>
      </c>
      <c r="V11" s="420" t="n">
        <f aca="false">IF(AND(V$4&gt;=FC_SUPUESTOS!$C$23-FC_SUPUESTOS!$C$21,V$4&lt;=FC_SUPUESTOS!$C$23-1),1,0)</f>
        <v>0</v>
      </c>
      <c r="W11" s="420" t="n">
        <f aca="false">IF(AND(W$4&gt;=FC_SUPUESTOS!$C$23-FC_SUPUESTOS!$C$21,W$4&lt;=FC_SUPUESTOS!$C$23-1),1,0)</f>
        <v>0</v>
      </c>
      <c r="X11" s="420" t="n">
        <f aca="false">IF(AND(X$4&gt;=FC_SUPUESTOS!$C$23-FC_SUPUESTOS!$C$21,X$4&lt;=FC_SUPUESTOS!$C$23-1),1,0)</f>
        <v>0</v>
      </c>
      <c r="Y11" s="420" t="n">
        <f aca="false">IF(AND(Y$4&gt;=FC_SUPUESTOS!$C$23-FC_SUPUESTOS!$C$21,Y$4&lt;=FC_SUPUESTOS!$C$23-1),1,0)</f>
        <v>0</v>
      </c>
      <c r="Z11" s="420" t="n">
        <f aca="false">IF(AND(Z$4&gt;=FC_SUPUESTOS!$C$23-FC_SUPUESTOS!$C$21,Z$4&lt;=FC_SUPUESTOS!$C$23-1),1,0)</f>
        <v>0</v>
      </c>
      <c r="AA11" s="420" t="n">
        <f aca="false">IF(AND(AA$4&gt;=FC_SUPUESTOS!$C$23-FC_SUPUESTOS!$C$21,AA$4&lt;=FC_SUPUESTOS!$C$23-1),1,0)</f>
        <v>0</v>
      </c>
      <c r="AB11" s="420" t="n">
        <f aca="false">IF(AND(AB$4&gt;=FC_SUPUESTOS!$C$23-FC_SUPUESTOS!$C$21,AB$4&lt;=FC_SUPUESTOS!$C$23-1),1,0)</f>
        <v>0</v>
      </c>
      <c r="AC11" s="420" t="n">
        <f aca="false">IF(AND(AC$4&gt;=FC_SUPUESTOS!$C$23-FC_SUPUESTOS!$C$21,AC$4&lt;=FC_SUPUESTOS!$C$23-1),1,0)</f>
        <v>0</v>
      </c>
      <c r="AD11" s="420" t="n">
        <f aca="false">IF(AND(AD$4&gt;=FC_SUPUESTOS!$C$23-FC_SUPUESTOS!$C$21,AD$4&lt;=FC_SUPUESTOS!$C$23-1),1,0)</f>
        <v>0</v>
      </c>
      <c r="AE11" s="420" t="n">
        <f aca="false">IF(AND(AE$4&gt;=FC_SUPUESTOS!$C$23-FC_SUPUESTOS!$C$21,AE$4&lt;=FC_SUPUESTOS!$C$23-1),1,0)</f>
        <v>0</v>
      </c>
      <c r="AF11" s="420" t="n">
        <f aca="false">IF(AND(AF$4&gt;=FC_SUPUESTOS!$C$23-FC_SUPUESTOS!$C$21,AF$4&lt;=FC_SUPUESTOS!$C$23-1),1,0)</f>
        <v>0</v>
      </c>
      <c r="AG11" s="420" t="n">
        <f aca="false">IF(AND(AG$4&gt;=FC_SUPUESTOS!$C$23-FC_SUPUESTOS!$C$21,AG$4&lt;=FC_SUPUESTOS!$C$23-1),1,0)</f>
        <v>0</v>
      </c>
      <c r="AH11" s="420" t="n">
        <f aca="false">IF(AND(AH$4&gt;=FC_SUPUESTOS!$C$23-FC_SUPUESTOS!$C$21,AH$4&lt;=FC_SUPUESTOS!$C$23-1),1,0)</f>
        <v>0</v>
      </c>
      <c r="AI11" s="420" t="n">
        <f aca="false">IF(AND(AI$4&gt;=FC_SUPUESTOS!$C$23-FC_SUPUESTOS!$C$21,AI$4&lt;=FC_SUPUESTOS!$C$23-1),1,0)</f>
        <v>0</v>
      </c>
      <c r="AJ11" s="420" t="n">
        <f aca="false">IF(AND(AJ$4&gt;=FC_SUPUESTOS!$C$23-FC_SUPUESTOS!$C$21,AJ$4&lt;=FC_SUPUESTOS!$C$23-1),1,0)</f>
        <v>0</v>
      </c>
      <c r="AK11" s="420" t="n">
        <f aca="false">IF(AND(AK$4&gt;=FC_SUPUESTOS!$C$23-FC_SUPUESTOS!$C$21,AK$4&lt;=FC_SUPUESTOS!$C$23-1),1,0)</f>
        <v>0</v>
      </c>
      <c r="AL11" s="420" t="n">
        <f aca="false">IF(AND(AL$4&gt;=FC_SUPUESTOS!$C$23-FC_SUPUESTOS!$C$21,AL$4&lt;=FC_SUPUESTOS!$C$23-1),1,0)</f>
        <v>0</v>
      </c>
      <c r="AM11" s="420" t="n">
        <f aca="false">IF(AND(AM$4&gt;=FC_SUPUESTOS!$C$23-FC_SUPUESTOS!$C$21,AM$4&lt;=FC_SUPUESTOS!$C$23-1),1,0)</f>
        <v>0</v>
      </c>
      <c r="AN11" s="420" t="n">
        <f aca="false">IF(AND(AN$4&gt;=FC_SUPUESTOS!$C$23-FC_SUPUESTOS!$C$21,AN$4&lt;=FC_SUPUESTOS!$C$23-1),1,0)</f>
        <v>0</v>
      </c>
      <c r="AO11" s="420" t="n">
        <f aca="false">IF(AND(AO$4&gt;=FC_SUPUESTOS!$C$23-FC_SUPUESTOS!$C$21,AO$4&lt;=FC_SUPUESTOS!$C$23-1),1,0)</f>
        <v>0</v>
      </c>
      <c r="AP11" s="420" t="n">
        <f aca="false">IF(AND(AP$4&gt;=FC_SUPUESTOS!$C$23-FC_SUPUESTOS!$C$21,AP$4&lt;=FC_SUPUESTOS!$C$23-1),1,0)</f>
        <v>0</v>
      </c>
      <c r="AQ11" s="420" t="n">
        <f aca="false">IF(AND(AQ$4&gt;=FC_SUPUESTOS!$C$23-FC_SUPUESTOS!$C$21,AQ$4&lt;=FC_SUPUESTOS!$C$23-1),1,0)</f>
        <v>0</v>
      </c>
      <c r="AR11" s="420" t="n">
        <f aca="false">IF(AND(AR$4&gt;=FC_SUPUESTOS!$C$23-FC_SUPUESTOS!$C$21,AR$4&lt;=FC_SUPUESTOS!$C$23-1),1,0)</f>
        <v>0</v>
      </c>
      <c r="AS11" s="420" t="n">
        <f aca="false">IF(AND(AS$4&gt;=FC_SUPUESTOS!$C$23-FC_SUPUESTOS!$C$21,AS$4&lt;=FC_SUPUESTOS!$C$23-1),1,0)</f>
        <v>0</v>
      </c>
      <c r="AT11" s="420" t="n">
        <f aca="false">IF(AND(AT$4&gt;=FC_SUPUESTOS!$C$23-FC_SUPUESTOS!$C$21,AT$4&lt;=FC_SUPUESTOS!$C$23-1),1,0)</f>
        <v>0</v>
      </c>
      <c r="AU11" s="420" t="n">
        <f aca="false">IF(AND(AU$4&gt;=FC_SUPUESTOS!$C$23-FC_SUPUESTOS!$C$21,AU$4&lt;=FC_SUPUESTOS!$C$23-1),1,0)</f>
        <v>0</v>
      </c>
      <c r="AV11" s="420" t="n">
        <f aca="false">IF(AND(AV$4&gt;=FC_SUPUESTOS!$C$23-FC_SUPUESTOS!$C$21,AV$4&lt;=FC_SUPUESTOS!$C$23-1),1,0)</f>
        <v>0</v>
      </c>
      <c r="AW11" s="420" t="n">
        <f aca="false">IF(AND(AW$4&gt;=FC_SUPUESTOS!$C$23-FC_SUPUESTOS!$C$21,AW$4&lt;=FC_SUPUESTOS!$C$23-1),1,0)</f>
        <v>0</v>
      </c>
      <c r="AX11" s="420" t="n">
        <f aca="false">IF(AND(AX$4&gt;=FC_SUPUESTOS!$C$23-FC_SUPUESTOS!$C$21,AX$4&lt;=FC_SUPUESTOS!$C$23-1),1,0)</f>
        <v>0</v>
      </c>
      <c r="AY11" s="420" t="n">
        <f aca="false">IF(AND(AY$4&gt;=FC_SUPUESTOS!$C$23-FC_SUPUESTOS!$C$21,AY$4&lt;=FC_SUPUESTOS!$C$23-1),1,0)</f>
        <v>0</v>
      </c>
      <c r="AZ11" s="420" t="n">
        <f aca="false">IF(AND(AZ$4&gt;=FC_SUPUESTOS!$C$23-FC_SUPUESTOS!$C$21,AZ$4&lt;=FC_SUPUESTOS!$C$23-1),1,0)</f>
        <v>0</v>
      </c>
      <c r="BA11" s="420" t="n">
        <f aca="false">IF(AND(BA$4&gt;=FC_SUPUESTOS!$C$23-FC_SUPUESTOS!$C$21,BA$4&lt;=FC_SUPUESTOS!$C$23-1),1,0)</f>
        <v>0</v>
      </c>
      <c r="BB11" s="420" t="n">
        <f aca="false">IF(AND(BB$4&gt;=FC_SUPUESTOS!$C$23-FC_SUPUESTOS!$C$21,BB$4&lt;=FC_SUPUESTOS!$C$23-1),1,0)</f>
        <v>0</v>
      </c>
      <c r="BC11" s="420" t="n">
        <f aca="false">IF(AND(BC$4&gt;=FC_SUPUESTOS!$C$23-FC_SUPUESTOS!$C$21,BC$4&lt;=FC_SUPUESTOS!$C$23-1),1,0)</f>
        <v>0</v>
      </c>
      <c r="BD11" s="420" t="n">
        <f aca="false">IF(AND(BD$4&gt;=FC_SUPUESTOS!$C$23-FC_SUPUESTOS!$C$21,BD$4&lt;=FC_SUPUESTOS!$C$23-1),1,0)</f>
        <v>0</v>
      </c>
      <c r="BE11" s="420" t="n">
        <f aca="false">IF(AND(BE$4&gt;=FC_SUPUESTOS!$C$23-FC_SUPUESTOS!$C$21,BE$4&lt;=FC_SUPUESTOS!$C$23-1),1,0)</f>
        <v>0</v>
      </c>
      <c r="BF11" s="420" t="n">
        <f aca="false">IF(AND(BF$4&gt;=FC_SUPUESTOS!$C$23-FC_SUPUESTOS!$C$21,BF$4&lt;=FC_SUPUESTOS!$C$23-1),1,0)</f>
        <v>0</v>
      </c>
      <c r="BG11" s="420" t="n">
        <f aca="false">IF(AND(BG$4&gt;=FC_SUPUESTOS!$C$23-FC_SUPUESTOS!$C$21,BG$4&lt;=FC_SUPUESTOS!$C$23-1),1,0)</f>
        <v>0</v>
      </c>
      <c r="BH11" s="420" t="n">
        <f aca="false">IF(AND(BH$4&gt;=FC_SUPUESTOS!$C$23-FC_SUPUESTOS!$C$21,BH$4&lt;=FC_SUPUESTOS!$C$23-1),1,0)</f>
        <v>0</v>
      </c>
      <c r="BI11" s="420" t="n">
        <f aca="false">IF(AND(BI$4&gt;=FC_SUPUESTOS!$C$23-FC_SUPUESTOS!$C$21,BI$4&lt;=FC_SUPUESTOS!$C$23-1),1,0)</f>
        <v>0</v>
      </c>
      <c r="BJ11" s="420" t="n">
        <f aca="false">IF(AND(BJ$4&gt;=FC_SUPUESTOS!$C$23-FC_SUPUESTOS!$C$21,BJ$4&lt;=FC_SUPUESTOS!$C$23-1),1,0)</f>
        <v>0</v>
      </c>
      <c r="BK11" s="420" t="n">
        <f aca="false">IF(AND(BK$4&gt;=FC_SUPUESTOS!$C$23-FC_SUPUESTOS!$C$21,BK$4&lt;=FC_SUPUESTOS!$C$23-1),1,0)</f>
        <v>0</v>
      </c>
    </row>
    <row r="12" customFormat="false" ht="15" hidden="false" customHeight="true" outlineLevel="0" collapsed="false">
      <c r="B12" s="297" t="s">
        <v>2355</v>
      </c>
      <c r="D12" s="420" t="n">
        <f aca="false">IF(AND(D$4&gt;=FC_SUPUESTOS!$C$23-FC_SUPUESTOS!$C$21-1,D$4&lt;=FC_SUPUESTOS!$C$23-1),1,0)</f>
        <v>0</v>
      </c>
      <c r="E12" s="420" t="n">
        <f aca="false">IF(AND(E$4&gt;=FC_SUPUESTOS!$C$23-FC_SUPUESTOS!$C$21-1,E$4&lt;=FC_SUPUESTOS!$C$23-1),1,0)</f>
        <v>0</v>
      </c>
      <c r="F12" s="420" t="n">
        <f aca="false">IF(AND(F$4&gt;=FC_SUPUESTOS!$C$23-FC_SUPUESTOS!$C$21-1,F$4&lt;=FC_SUPUESTOS!$C$23-1),1,0)</f>
        <v>0</v>
      </c>
      <c r="G12" s="420" t="n">
        <f aca="false">IF(AND(G$4&gt;=FC_SUPUESTOS!$C$23-FC_SUPUESTOS!$C$21-1,G$4&lt;=FC_SUPUESTOS!$C$23-1),1,0)</f>
        <v>0</v>
      </c>
      <c r="H12" s="420" t="n">
        <f aca="false">IF(AND(H$4&gt;=FC_SUPUESTOS!$C$23-FC_SUPUESTOS!$C$21-1,H$4&lt;=FC_SUPUESTOS!$C$23-1),1,0)</f>
        <v>0</v>
      </c>
      <c r="I12" s="420" t="n">
        <f aca="false">IF(AND(I$4&gt;=FC_SUPUESTOS!$C$23-FC_SUPUESTOS!$C$21-1,I$4&lt;=FC_SUPUESTOS!$C$23-1),1,0)</f>
        <v>0</v>
      </c>
      <c r="J12" s="420" t="n">
        <f aca="false">IF(AND(J$4&gt;=FC_SUPUESTOS!$C$23-FC_SUPUESTOS!$C$21-1,J$4&lt;=FC_SUPUESTOS!$C$23-1),1,0)</f>
        <v>1</v>
      </c>
      <c r="K12" s="420" t="n">
        <f aca="false">IF(AND(K$4&gt;=FC_SUPUESTOS!$C$23-FC_SUPUESTOS!$C$21-1,K$4&lt;=FC_SUPUESTOS!$C$23-1),1,0)</f>
        <v>1</v>
      </c>
      <c r="L12" s="420" t="n">
        <f aca="false">IF(AND(L$4&gt;=FC_SUPUESTOS!$C$23-FC_SUPUESTOS!$C$21-1,L$4&lt;=FC_SUPUESTOS!$C$23-1),1,0)</f>
        <v>1</v>
      </c>
      <c r="M12" s="420" t="n">
        <f aca="false">IF(AND(M$4&gt;=FC_SUPUESTOS!$C$23-FC_SUPUESTOS!$C$21-1,M$4&lt;=FC_SUPUESTOS!$C$23-1),1,0)</f>
        <v>0</v>
      </c>
      <c r="N12" s="420" t="n">
        <f aca="false">IF(AND(N$4&gt;=FC_SUPUESTOS!$C$23-FC_SUPUESTOS!$C$21-1,N$4&lt;=FC_SUPUESTOS!$C$23-1),1,0)</f>
        <v>0</v>
      </c>
      <c r="O12" s="420" t="n">
        <f aca="false">IF(AND(O$4&gt;=FC_SUPUESTOS!$C$23-FC_SUPUESTOS!$C$21-1,O$4&lt;=FC_SUPUESTOS!$C$23-1),1,0)</f>
        <v>0</v>
      </c>
      <c r="P12" s="420" t="n">
        <f aca="false">IF(AND(P$4&gt;=FC_SUPUESTOS!$C$23-FC_SUPUESTOS!$C$21-1,P$4&lt;=FC_SUPUESTOS!$C$23-1),1,0)</f>
        <v>0</v>
      </c>
      <c r="Q12" s="420" t="n">
        <f aca="false">IF(AND(Q$4&gt;=FC_SUPUESTOS!$C$23-FC_SUPUESTOS!$C$21-1,Q$4&lt;=FC_SUPUESTOS!$C$23-1),1,0)</f>
        <v>0</v>
      </c>
      <c r="R12" s="420" t="n">
        <f aca="false">IF(AND(R$4&gt;=FC_SUPUESTOS!$C$23-FC_SUPUESTOS!$C$21-1,R$4&lt;=FC_SUPUESTOS!$C$23-1),1,0)</f>
        <v>0</v>
      </c>
      <c r="S12" s="420" t="n">
        <f aca="false">IF(AND(S$4&gt;=FC_SUPUESTOS!$C$23-FC_SUPUESTOS!$C$21-1,S$4&lt;=FC_SUPUESTOS!$C$23-1),1,0)</f>
        <v>0</v>
      </c>
      <c r="T12" s="420" t="n">
        <f aca="false">IF(AND(T$4&gt;=FC_SUPUESTOS!$C$23-FC_SUPUESTOS!$C$21-1,T$4&lt;=FC_SUPUESTOS!$C$23-1),1,0)</f>
        <v>0</v>
      </c>
      <c r="U12" s="420" t="n">
        <f aca="false">IF(AND(U$4&gt;=FC_SUPUESTOS!$C$23-FC_SUPUESTOS!$C$21-1,U$4&lt;=FC_SUPUESTOS!$C$23-1),1,0)</f>
        <v>0</v>
      </c>
      <c r="V12" s="420" t="n">
        <f aca="false">IF(AND(V$4&gt;=FC_SUPUESTOS!$C$23-FC_SUPUESTOS!$C$21-1,V$4&lt;=FC_SUPUESTOS!$C$23-1),1,0)</f>
        <v>0</v>
      </c>
      <c r="W12" s="420" t="n">
        <f aca="false">IF(AND(W$4&gt;=FC_SUPUESTOS!$C$23-FC_SUPUESTOS!$C$21-1,W$4&lt;=FC_SUPUESTOS!$C$23-1),1,0)</f>
        <v>0</v>
      </c>
      <c r="X12" s="420" t="n">
        <f aca="false">IF(AND(X$4&gt;=FC_SUPUESTOS!$C$23-FC_SUPUESTOS!$C$21-1,X$4&lt;=FC_SUPUESTOS!$C$23-1),1,0)</f>
        <v>0</v>
      </c>
      <c r="Y12" s="420" t="n">
        <f aca="false">IF(AND(Y$4&gt;=FC_SUPUESTOS!$C$23-FC_SUPUESTOS!$C$21-1,Y$4&lt;=FC_SUPUESTOS!$C$23-1),1,0)</f>
        <v>0</v>
      </c>
      <c r="Z12" s="420" t="n">
        <f aca="false">IF(AND(Z$4&gt;=FC_SUPUESTOS!$C$23-FC_SUPUESTOS!$C$21-1,Z$4&lt;=FC_SUPUESTOS!$C$23-1),1,0)</f>
        <v>0</v>
      </c>
      <c r="AA12" s="420" t="n">
        <f aca="false">IF(AND(AA$4&gt;=FC_SUPUESTOS!$C$23-FC_SUPUESTOS!$C$21-1,AA$4&lt;=FC_SUPUESTOS!$C$23-1),1,0)</f>
        <v>0</v>
      </c>
      <c r="AB12" s="420" t="n">
        <f aca="false">IF(AND(AB$4&gt;=FC_SUPUESTOS!$C$23-FC_SUPUESTOS!$C$21-1,AB$4&lt;=FC_SUPUESTOS!$C$23-1),1,0)</f>
        <v>0</v>
      </c>
      <c r="AC12" s="420" t="n">
        <f aca="false">IF(AND(AC$4&gt;=FC_SUPUESTOS!$C$23-FC_SUPUESTOS!$C$21-1,AC$4&lt;=FC_SUPUESTOS!$C$23-1),1,0)</f>
        <v>0</v>
      </c>
      <c r="AD12" s="420" t="n">
        <f aca="false">IF(AND(AD$4&gt;=FC_SUPUESTOS!$C$23-FC_SUPUESTOS!$C$21-1,AD$4&lt;=FC_SUPUESTOS!$C$23-1),1,0)</f>
        <v>0</v>
      </c>
      <c r="AE12" s="420" t="n">
        <f aca="false">IF(AND(AE$4&gt;=FC_SUPUESTOS!$C$23-FC_SUPUESTOS!$C$21-1,AE$4&lt;=FC_SUPUESTOS!$C$23-1),1,0)</f>
        <v>0</v>
      </c>
      <c r="AF12" s="420" t="n">
        <f aca="false">IF(AND(AF$4&gt;=FC_SUPUESTOS!$C$23-FC_SUPUESTOS!$C$21-1,AF$4&lt;=FC_SUPUESTOS!$C$23-1),1,0)</f>
        <v>0</v>
      </c>
      <c r="AG12" s="420" t="n">
        <f aca="false">IF(AND(AG$4&gt;=FC_SUPUESTOS!$C$23-FC_SUPUESTOS!$C$21-1,AG$4&lt;=FC_SUPUESTOS!$C$23-1),1,0)</f>
        <v>0</v>
      </c>
      <c r="AH12" s="420" t="n">
        <f aca="false">IF(AND(AH$4&gt;=FC_SUPUESTOS!$C$23-FC_SUPUESTOS!$C$21-1,AH$4&lt;=FC_SUPUESTOS!$C$23-1),1,0)</f>
        <v>0</v>
      </c>
      <c r="AI12" s="420" t="n">
        <f aca="false">IF(AND(AI$4&gt;=FC_SUPUESTOS!$C$23-FC_SUPUESTOS!$C$21-1,AI$4&lt;=FC_SUPUESTOS!$C$23-1),1,0)</f>
        <v>0</v>
      </c>
      <c r="AJ12" s="420" t="n">
        <f aca="false">IF(AND(AJ$4&gt;=FC_SUPUESTOS!$C$23-FC_SUPUESTOS!$C$21-1,AJ$4&lt;=FC_SUPUESTOS!$C$23-1),1,0)</f>
        <v>0</v>
      </c>
      <c r="AK12" s="420" t="n">
        <f aca="false">IF(AND(AK$4&gt;=FC_SUPUESTOS!$C$23-FC_SUPUESTOS!$C$21-1,AK$4&lt;=FC_SUPUESTOS!$C$23-1),1,0)</f>
        <v>0</v>
      </c>
      <c r="AL12" s="420" t="n">
        <f aca="false">IF(AND(AL$4&gt;=FC_SUPUESTOS!$C$23-FC_SUPUESTOS!$C$21-1,AL$4&lt;=FC_SUPUESTOS!$C$23-1),1,0)</f>
        <v>0</v>
      </c>
      <c r="AM12" s="420" t="n">
        <f aca="false">IF(AND(AM$4&gt;=FC_SUPUESTOS!$C$23-FC_SUPUESTOS!$C$21-1,AM$4&lt;=FC_SUPUESTOS!$C$23-1),1,0)</f>
        <v>0</v>
      </c>
      <c r="AN12" s="420" t="n">
        <f aca="false">IF(AND(AN$4&gt;=FC_SUPUESTOS!$C$23-FC_SUPUESTOS!$C$21-1,AN$4&lt;=FC_SUPUESTOS!$C$23-1),1,0)</f>
        <v>0</v>
      </c>
      <c r="AO12" s="420" t="n">
        <f aca="false">IF(AND(AO$4&gt;=FC_SUPUESTOS!$C$23-FC_SUPUESTOS!$C$21-1,AO$4&lt;=FC_SUPUESTOS!$C$23-1),1,0)</f>
        <v>0</v>
      </c>
      <c r="AP12" s="420" t="n">
        <f aca="false">IF(AND(AP$4&gt;=FC_SUPUESTOS!$C$23-FC_SUPUESTOS!$C$21-1,AP$4&lt;=FC_SUPUESTOS!$C$23-1),1,0)</f>
        <v>0</v>
      </c>
      <c r="AQ12" s="420" t="n">
        <f aca="false">IF(AND(AQ$4&gt;=FC_SUPUESTOS!$C$23-FC_SUPUESTOS!$C$21-1,AQ$4&lt;=FC_SUPUESTOS!$C$23-1),1,0)</f>
        <v>0</v>
      </c>
      <c r="AR12" s="420" t="n">
        <f aca="false">IF(AND(AR$4&gt;=FC_SUPUESTOS!$C$23-FC_SUPUESTOS!$C$21-1,AR$4&lt;=FC_SUPUESTOS!$C$23-1),1,0)</f>
        <v>0</v>
      </c>
      <c r="AS12" s="420" t="n">
        <f aca="false">IF(AND(AS$4&gt;=FC_SUPUESTOS!$C$23-FC_SUPUESTOS!$C$21-1,AS$4&lt;=FC_SUPUESTOS!$C$23-1),1,0)</f>
        <v>0</v>
      </c>
      <c r="AT12" s="420" t="n">
        <f aca="false">IF(AND(AT$4&gt;=FC_SUPUESTOS!$C$23-FC_SUPUESTOS!$C$21-1,AT$4&lt;=FC_SUPUESTOS!$C$23-1),1,0)</f>
        <v>0</v>
      </c>
      <c r="AU12" s="420" t="n">
        <f aca="false">IF(AND(AU$4&gt;=FC_SUPUESTOS!$C$23-FC_SUPUESTOS!$C$21-1,AU$4&lt;=FC_SUPUESTOS!$C$23-1),1,0)</f>
        <v>0</v>
      </c>
      <c r="AV12" s="420" t="n">
        <f aca="false">IF(AND(AV$4&gt;=FC_SUPUESTOS!$C$23-FC_SUPUESTOS!$C$21-1,AV$4&lt;=FC_SUPUESTOS!$C$23-1),1,0)</f>
        <v>0</v>
      </c>
      <c r="AW12" s="420" t="n">
        <f aca="false">IF(AND(AW$4&gt;=FC_SUPUESTOS!$C$23-FC_SUPUESTOS!$C$21-1,AW$4&lt;=FC_SUPUESTOS!$C$23-1),1,0)</f>
        <v>0</v>
      </c>
      <c r="AX12" s="420" t="n">
        <f aca="false">IF(AND(AX$4&gt;=FC_SUPUESTOS!$C$23-FC_SUPUESTOS!$C$21-1,AX$4&lt;=FC_SUPUESTOS!$C$23-1),1,0)</f>
        <v>0</v>
      </c>
      <c r="AY12" s="420" t="n">
        <f aca="false">IF(AND(AY$4&gt;=FC_SUPUESTOS!$C$23-FC_SUPUESTOS!$C$21-1,AY$4&lt;=FC_SUPUESTOS!$C$23-1),1,0)</f>
        <v>0</v>
      </c>
      <c r="AZ12" s="420" t="n">
        <f aca="false">IF(AND(AZ$4&gt;=FC_SUPUESTOS!$C$23-FC_SUPUESTOS!$C$21-1,AZ$4&lt;=FC_SUPUESTOS!$C$23-1),1,0)</f>
        <v>0</v>
      </c>
      <c r="BA12" s="420" t="n">
        <f aca="false">IF(AND(BA$4&gt;=FC_SUPUESTOS!$C$23-FC_SUPUESTOS!$C$21-1,BA$4&lt;=FC_SUPUESTOS!$C$23-1),1,0)</f>
        <v>0</v>
      </c>
      <c r="BB12" s="420" t="n">
        <f aca="false">IF(AND(BB$4&gt;=FC_SUPUESTOS!$C$23-FC_SUPUESTOS!$C$21-1,BB$4&lt;=FC_SUPUESTOS!$C$23-1),1,0)</f>
        <v>0</v>
      </c>
      <c r="BC12" s="420" t="n">
        <f aca="false">IF(AND(BC$4&gt;=FC_SUPUESTOS!$C$23-FC_SUPUESTOS!$C$21-1,BC$4&lt;=FC_SUPUESTOS!$C$23-1),1,0)</f>
        <v>0</v>
      </c>
      <c r="BD12" s="420" t="n">
        <f aca="false">IF(AND(BD$4&gt;=FC_SUPUESTOS!$C$23-FC_SUPUESTOS!$C$21-1,BD$4&lt;=FC_SUPUESTOS!$C$23-1),1,0)</f>
        <v>0</v>
      </c>
      <c r="BE12" s="420" t="n">
        <f aca="false">IF(AND(BE$4&gt;=FC_SUPUESTOS!$C$23-FC_SUPUESTOS!$C$21-1,BE$4&lt;=FC_SUPUESTOS!$C$23-1),1,0)</f>
        <v>0</v>
      </c>
      <c r="BF12" s="420" t="n">
        <f aca="false">IF(AND(BF$4&gt;=FC_SUPUESTOS!$C$23-FC_SUPUESTOS!$C$21-1,BF$4&lt;=FC_SUPUESTOS!$C$23-1),1,0)</f>
        <v>0</v>
      </c>
      <c r="BG12" s="420" t="n">
        <f aca="false">IF(AND(BG$4&gt;=FC_SUPUESTOS!$C$23-FC_SUPUESTOS!$C$21-1,BG$4&lt;=FC_SUPUESTOS!$C$23-1),1,0)</f>
        <v>0</v>
      </c>
      <c r="BH12" s="420" t="n">
        <f aca="false">IF(AND(BH$4&gt;=FC_SUPUESTOS!$C$23-FC_SUPUESTOS!$C$21-1,BH$4&lt;=FC_SUPUESTOS!$C$23-1),1,0)</f>
        <v>0</v>
      </c>
      <c r="BI12" s="420" t="n">
        <f aca="false">IF(AND(BI$4&gt;=FC_SUPUESTOS!$C$23-FC_SUPUESTOS!$C$21-1,BI$4&lt;=FC_SUPUESTOS!$C$23-1),1,0)</f>
        <v>0</v>
      </c>
      <c r="BJ12" s="420" t="n">
        <f aca="false">IF(AND(BJ$4&gt;=FC_SUPUESTOS!$C$23-FC_SUPUESTOS!$C$21-1,BJ$4&lt;=FC_SUPUESTOS!$C$23-1),1,0)</f>
        <v>0</v>
      </c>
      <c r="BK12" s="420" t="n">
        <f aca="false">IF(AND(BK$4&gt;=FC_SUPUESTOS!$C$23-FC_SUPUESTOS!$C$21-1,BK$4&lt;=FC_SUPUESTOS!$C$23-1),1,0)</f>
        <v>0</v>
      </c>
    </row>
    <row r="13" customFormat="false" ht="15" hidden="false" customHeight="true" outlineLevel="0" collapsed="false">
      <c r="B13" s="421" t="s">
        <v>2356</v>
      </c>
      <c r="D13" s="422" t="n">
        <f aca="false">IF(D$4&gt;=FC_SUPUESTOS!$C$23,1,0)</f>
        <v>0</v>
      </c>
      <c r="E13" s="422" t="n">
        <f aca="false">IF(E$4&gt;=FC_SUPUESTOS!$C$23,1,0)</f>
        <v>0</v>
      </c>
      <c r="F13" s="422" t="n">
        <f aca="false">IF(F$4&gt;=FC_SUPUESTOS!$C$23,1,0)</f>
        <v>0</v>
      </c>
      <c r="G13" s="422" t="n">
        <f aca="false">IF(G$4&gt;=FC_SUPUESTOS!$C$23,1,0)</f>
        <v>0</v>
      </c>
      <c r="H13" s="422" t="n">
        <f aca="false">IF(H$4&gt;=FC_SUPUESTOS!$C$23,1,0)</f>
        <v>0</v>
      </c>
      <c r="I13" s="422" t="n">
        <f aca="false">IF(I$4&gt;=FC_SUPUESTOS!$C$23,1,0)</f>
        <v>0</v>
      </c>
      <c r="J13" s="422" t="n">
        <f aca="false">IF(J$4&gt;=FC_SUPUESTOS!$C$23,1,0)</f>
        <v>0</v>
      </c>
      <c r="K13" s="422" t="n">
        <f aca="false">IF(K$4&gt;=FC_SUPUESTOS!$C$23,1,0)</f>
        <v>0</v>
      </c>
      <c r="L13" s="422" t="n">
        <f aca="false">IF(L$4&gt;=FC_SUPUESTOS!$C$23,1,0)</f>
        <v>0</v>
      </c>
      <c r="M13" s="422" t="n">
        <f aca="false">IF(M$4&gt;=FC_SUPUESTOS!$C$23,1,0)</f>
        <v>1</v>
      </c>
      <c r="N13" s="422" t="n">
        <f aca="false">IF(N$4&gt;=FC_SUPUESTOS!$C$23,1,0)</f>
        <v>1</v>
      </c>
      <c r="O13" s="422" t="n">
        <f aca="false">IF(O$4&gt;=FC_SUPUESTOS!$C$23,1,0)</f>
        <v>1</v>
      </c>
      <c r="P13" s="422" t="n">
        <f aca="false">IF(P$4&gt;=FC_SUPUESTOS!$C$23,1,0)</f>
        <v>1</v>
      </c>
      <c r="Q13" s="422" t="n">
        <f aca="false">IF(Q$4&gt;=FC_SUPUESTOS!$C$23,1,0)</f>
        <v>1</v>
      </c>
      <c r="R13" s="422" t="n">
        <f aca="false">IF(R$4&gt;=FC_SUPUESTOS!$C$23,1,0)</f>
        <v>1</v>
      </c>
      <c r="S13" s="422" t="n">
        <f aca="false">IF(S$4&gt;=FC_SUPUESTOS!$C$23,1,0)</f>
        <v>1</v>
      </c>
      <c r="T13" s="422" t="n">
        <f aca="false">IF(T$4&gt;=FC_SUPUESTOS!$C$23,1,0)</f>
        <v>1</v>
      </c>
      <c r="U13" s="422" t="n">
        <f aca="false">IF(U$4&gt;=FC_SUPUESTOS!$C$23,1,0)</f>
        <v>1</v>
      </c>
      <c r="V13" s="422" t="n">
        <f aca="false">IF(V$4&gt;=FC_SUPUESTOS!$C$23,1,0)</f>
        <v>1</v>
      </c>
      <c r="W13" s="422" t="n">
        <f aca="false">IF(W$4&gt;=FC_SUPUESTOS!$C$23,1,0)</f>
        <v>1</v>
      </c>
      <c r="X13" s="422" t="n">
        <f aca="false">IF(X$4&gt;=FC_SUPUESTOS!$C$23,1,0)</f>
        <v>1</v>
      </c>
      <c r="Y13" s="422" t="n">
        <f aca="false">IF(Y$4&gt;=FC_SUPUESTOS!$C$23,1,0)</f>
        <v>1</v>
      </c>
      <c r="Z13" s="422" t="n">
        <f aca="false">IF(Z$4&gt;=FC_SUPUESTOS!$C$23,1,0)</f>
        <v>1</v>
      </c>
      <c r="AA13" s="422" t="n">
        <f aca="false">IF(AA$4&gt;=FC_SUPUESTOS!$C$23,1,0)</f>
        <v>1</v>
      </c>
      <c r="AB13" s="422" t="n">
        <f aca="false">IF(AB$4&gt;=FC_SUPUESTOS!$C$23,1,0)</f>
        <v>1</v>
      </c>
      <c r="AC13" s="422" t="n">
        <f aca="false">IF(AC$4&gt;=FC_SUPUESTOS!$C$23,1,0)</f>
        <v>1</v>
      </c>
      <c r="AD13" s="422" t="n">
        <f aca="false">IF(AD$4&gt;=FC_SUPUESTOS!$C$23,1,0)</f>
        <v>1</v>
      </c>
      <c r="AE13" s="422" t="n">
        <f aca="false">IF(AE$4&gt;=FC_SUPUESTOS!$C$23,1,0)</f>
        <v>1</v>
      </c>
      <c r="AF13" s="422" t="n">
        <f aca="false">IF(AF$4&gt;=FC_SUPUESTOS!$C$23,1,0)</f>
        <v>1</v>
      </c>
      <c r="AG13" s="422" t="n">
        <f aca="false">IF(AG$4&gt;=FC_SUPUESTOS!$C$23,1,0)</f>
        <v>1</v>
      </c>
      <c r="AH13" s="422" t="n">
        <f aca="false">IF(AH$4&gt;=FC_SUPUESTOS!$C$23,1,0)</f>
        <v>1</v>
      </c>
      <c r="AI13" s="422" t="n">
        <f aca="false">IF(AI$4&gt;=FC_SUPUESTOS!$C$23,1,0)</f>
        <v>1</v>
      </c>
      <c r="AJ13" s="422" t="n">
        <f aca="false">IF(AJ$4&gt;=FC_SUPUESTOS!$C$23,1,0)</f>
        <v>1</v>
      </c>
      <c r="AK13" s="422" t="n">
        <f aca="false">IF(AK$4&gt;=FC_SUPUESTOS!$C$23,1,0)</f>
        <v>1</v>
      </c>
      <c r="AL13" s="422" t="n">
        <f aca="false">IF(AL$4&gt;=FC_SUPUESTOS!$C$23,1,0)</f>
        <v>1</v>
      </c>
      <c r="AM13" s="422" t="n">
        <f aca="false">IF(AM$4&gt;=FC_SUPUESTOS!$C$23,1,0)</f>
        <v>1</v>
      </c>
      <c r="AN13" s="422" t="n">
        <f aca="false">IF(AN$4&gt;=FC_SUPUESTOS!$C$23,1,0)</f>
        <v>1</v>
      </c>
      <c r="AO13" s="422" t="n">
        <f aca="false">IF(AO$4&gt;=FC_SUPUESTOS!$C$23,1,0)</f>
        <v>1</v>
      </c>
      <c r="AP13" s="422" t="n">
        <f aca="false">IF(AP$4&gt;=FC_SUPUESTOS!$C$23,1,0)</f>
        <v>1</v>
      </c>
      <c r="AQ13" s="422" t="n">
        <f aca="false">IF(AQ$4&gt;=FC_SUPUESTOS!$C$23,1,0)</f>
        <v>1</v>
      </c>
      <c r="AR13" s="422" t="n">
        <f aca="false">IF(AR$4&gt;=FC_SUPUESTOS!$C$23,1,0)</f>
        <v>1</v>
      </c>
      <c r="AS13" s="422" t="n">
        <f aca="false">IF(AS$4&gt;=FC_SUPUESTOS!$C$23,1,0)</f>
        <v>1</v>
      </c>
      <c r="AT13" s="422" t="n">
        <f aca="false">IF(AT$4&gt;=FC_SUPUESTOS!$C$23,1,0)</f>
        <v>1</v>
      </c>
      <c r="AU13" s="422" t="n">
        <f aca="false">IF(AU$4&gt;=FC_SUPUESTOS!$C$23,1,0)</f>
        <v>1</v>
      </c>
      <c r="AV13" s="422" t="n">
        <f aca="false">IF(AV$4&gt;=FC_SUPUESTOS!$C$23,1,0)</f>
        <v>1</v>
      </c>
      <c r="AW13" s="422" t="n">
        <f aca="false">IF(AW$4&gt;=FC_SUPUESTOS!$C$23,1,0)</f>
        <v>1</v>
      </c>
      <c r="AX13" s="422" t="n">
        <f aca="false">IF(AX$4&gt;=FC_SUPUESTOS!$C$23,1,0)</f>
        <v>1</v>
      </c>
      <c r="AY13" s="422" t="n">
        <f aca="false">IF(AY$4&gt;=FC_SUPUESTOS!$C$23,1,0)</f>
        <v>1</v>
      </c>
      <c r="AZ13" s="422" t="n">
        <f aca="false">IF(AZ$4&gt;=FC_SUPUESTOS!$C$23,1,0)</f>
        <v>1</v>
      </c>
      <c r="BA13" s="422" t="n">
        <f aca="false">IF(BA$4&gt;=FC_SUPUESTOS!$C$23,1,0)</f>
        <v>1</v>
      </c>
      <c r="BB13" s="422" t="n">
        <f aca="false">IF(BB$4&gt;=FC_SUPUESTOS!$C$23,1,0)</f>
        <v>1</v>
      </c>
      <c r="BC13" s="422" t="n">
        <f aca="false">IF(BC$4&gt;=FC_SUPUESTOS!$C$23,1,0)</f>
        <v>1</v>
      </c>
      <c r="BD13" s="422" t="n">
        <f aca="false">IF(BD$4&gt;=FC_SUPUESTOS!$C$23,1,0)</f>
        <v>1</v>
      </c>
      <c r="BE13" s="422" t="n">
        <f aca="false">IF(BE$4&gt;=FC_SUPUESTOS!$C$23,1,0)</f>
        <v>1</v>
      </c>
      <c r="BF13" s="422" t="n">
        <f aca="false">IF(BF$4&gt;=FC_SUPUESTOS!$C$23,1,0)</f>
        <v>1</v>
      </c>
      <c r="BG13" s="422" t="n">
        <f aca="false">IF(BG$4&gt;=FC_SUPUESTOS!$C$23,1,0)</f>
        <v>1</v>
      </c>
      <c r="BH13" s="422" t="n">
        <f aca="false">IF(BH$4&gt;=FC_SUPUESTOS!$C$23,1,0)</f>
        <v>1</v>
      </c>
      <c r="BI13" s="422" t="n">
        <f aca="false">IF(BI$4&gt;=FC_SUPUESTOS!$C$23,1,0)</f>
        <v>1</v>
      </c>
      <c r="BJ13" s="422" t="n">
        <f aca="false">IF(BJ$4&gt;=FC_SUPUESTOS!$C$23,1,0)</f>
        <v>1</v>
      </c>
      <c r="BK13" s="422" t="n">
        <f aca="false">IF(BK$4&gt;=FC_SUPUESTOS!$C$23,1,0)</f>
        <v>1</v>
      </c>
    </row>
    <row r="14" customFormat="false" ht="15" hidden="false" customHeight="true" outlineLevel="0" collapsed="false">
      <c r="B14" s="297" t="s">
        <v>2357</v>
      </c>
      <c r="D14" s="420" t="n">
        <f aca="false">IF(D$4&gt;=FC_SUPUESTOS!$C$23-FC_SUPUESTOS!$C$68,1,0)</f>
        <v>0</v>
      </c>
      <c r="E14" s="420" t="n">
        <f aca="false">IF(E$4&gt;=FC_SUPUESTOS!$C$23-FC_SUPUESTOS!$C$68,1,0)</f>
        <v>0</v>
      </c>
      <c r="F14" s="420" t="n">
        <f aca="false">IF(F$4&gt;=FC_SUPUESTOS!$C$23-FC_SUPUESTOS!$C$68,1,0)</f>
        <v>0</v>
      </c>
      <c r="G14" s="420" t="n">
        <f aca="false">IF(G$4&gt;=FC_SUPUESTOS!$C$23-FC_SUPUESTOS!$C$68,1,0)</f>
        <v>0</v>
      </c>
      <c r="H14" s="420" t="n">
        <f aca="false">IF(H$4&gt;=FC_SUPUESTOS!$C$23-FC_SUPUESTOS!$C$68,1,0)</f>
        <v>0</v>
      </c>
      <c r="I14" s="420" t="n">
        <f aca="false">IF(I$4&gt;=FC_SUPUESTOS!$C$23-FC_SUPUESTOS!$C$68,1,0)</f>
        <v>0</v>
      </c>
      <c r="J14" s="420" t="n">
        <f aca="false">IF(J$4&gt;=FC_SUPUESTOS!$C$23-FC_SUPUESTOS!$C$68,1,0)</f>
        <v>0</v>
      </c>
      <c r="K14" s="420" t="n">
        <f aca="false">IF(K$4&gt;=FC_SUPUESTOS!$C$23-FC_SUPUESTOS!$C$68,1,0)</f>
        <v>1</v>
      </c>
      <c r="L14" s="420" t="n">
        <f aca="false">IF(L$4&gt;=FC_SUPUESTOS!$C$23-FC_SUPUESTOS!$C$68,1,0)</f>
        <v>1</v>
      </c>
      <c r="M14" s="420" t="n">
        <f aca="false">IF(M$4&gt;=FC_SUPUESTOS!$C$23-FC_SUPUESTOS!$C$68,1,0)</f>
        <v>1</v>
      </c>
      <c r="N14" s="420" t="n">
        <f aca="false">IF(N$4&gt;=FC_SUPUESTOS!$C$23-FC_SUPUESTOS!$C$68,1,0)</f>
        <v>1</v>
      </c>
      <c r="O14" s="420" t="n">
        <f aca="false">IF(O$4&gt;=FC_SUPUESTOS!$C$23-FC_SUPUESTOS!$C$68,1,0)</f>
        <v>1</v>
      </c>
      <c r="P14" s="420" t="n">
        <f aca="false">IF(P$4&gt;=FC_SUPUESTOS!$C$23-FC_SUPUESTOS!$C$68,1,0)</f>
        <v>1</v>
      </c>
      <c r="Q14" s="420" t="n">
        <f aca="false">IF(Q$4&gt;=FC_SUPUESTOS!$C$23-FC_SUPUESTOS!$C$68,1,0)</f>
        <v>1</v>
      </c>
      <c r="R14" s="420" t="n">
        <f aca="false">IF(R$4&gt;=FC_SUPUESTOS!$C$23-FC_SUPUESTOS!$C$68,1,0)</f>
        <v>1</v>
      </c>
      <c r="S14" s="420" t="n">
        <f aca="false">IF(S$4&gt;=FC_SUPUESTOS!$C$23-FC_SUPUESTOS!$C$68,1,0)</f>
        <v>1</v>
      </c>
      <c r="T14" s="420" t="n">
        <f aca="false">IF(T$4&gt;=FC_SUPUESTOS!$C$23-FC_SUPUESTOS!$C$68,1,0)</f>
        <v>1</v>
      </c>
      <c r="U14" s="420" t="n">
        <f aca="false">IF(U$4&gt;=FC_SUPUESTOS!$C$23-FC_SUPUESTOS!$C$68,1,0)</f>
        <v>1</v>
      </c>
      <c r="V14" s="420" t="n">
        <f aca="false">IF(V$4&gt;=FC_SUPUESTOS!$C$23-FC_SUPUESTOS!$C$68,1,0)</f>
        <v>1</v>
      </c>
      <c r="W14" s="420" t="n">
        <f aca="false">IF(W$4&gt;=FC_SUPUESTOS!$C$23-FC_SUPUESTOS!$C$68,1,0)</f>
        <v>1</v>
      </c>
      <c r="X14" s="420" t="n">
        <f aca="false">IF(X$4&gt;=FC_SUPUESTOS!$C$23-FC_SUPUESTOS!$C$68,1,0)</f>
        <v>1</v>
      </c>
      <c r="Y14" s="420" t="n">
        <f aca="false">IF(Y$4&gt;=FC_SUPUESTOS!$C$23-FC_SUPUESTOS!$C$68,1,0)</f>
        <v>1</v>
      </c>
      <c r="Z14" s="420" t="n">
        <f aca="false">IF(Z$4&gt;=FC_SUPUESTOS!$C$23-FC_SUPUESTOS!$C$68,1,0)</f>
        <v>1</v>
      </c>
      <c r="AA14" s="420" t="n">
        <f aca="false">IF(AA$4&gt;=FC_SUPUESTOS!$C$23-FC_SUPUESTOS!$C$68,1,0)</f>
        <v>1</v>
      </c>
      <c r="AB14" s="420" t="n">
        <f aca="false">IF(AB$4&gt;=FC_SUPUESTOS!$C$23-FC_SUPUESTOS!$C$68,1,0)</f>
        <v>1</v>
      </c>
      <c r="AC14" s="420" t="n">
        <f aca="false">IF(AC$4&gt;=FC_SUPUESTOS!$C$23-FC_SUPUESTOS!$C$68,1,0)</f>
        <v>1</v>
      </c>
      <c r="AD14" s="420" t="n">
        <f aca="false">IF(AD$4&gt;=FC_SUPUESTOS!$C$23-FC_SUPUESTOS!$C$68,1,0)</f>
        <v>1</v>
      </c>
      <c r="AE14" s="420" t="n">
        <f aca="false">IF(AE$4&gt;=FC_SUPUESTOS!$C$23-FC_SUPUESTOS!$C$68,1,0)</f>
        <v>1</v>
      </c>
      <c r="AF14" s="420" t="n">
        <f aca="false">IF(AF$4&gt;=FC_SUPUESTOS!$C$23-FC_SUPUESTOS!$C$68,1,0)</f>
        <v>1</v>
      </c>
      <c r="AG14" s="420" t="n">
        <f aca="false">IF(AG$4&gt;=FC_SUPUESTOS!$C$23-FC_SUPUESTOS!$C$68,1,0)</f>
        <v>1</v>
      </c>
      <c r="AH14" s="420" t="n">
        <f aca="false">IF(AH$4&gt;=FC_SUPUESTOS!$C$23-FC_SUPUESTOS!$C$68,1,0)</f>
        <v>1</v>
      </c>
      <c r="AI14" s="420" t="n">
        <f aca="false">IF(AI$4&gt;=FC_SUPUESTOS!$C$23-FC_SUPUESTOS!$C$68,1,0)</f>
        <v>1</v>
      </c>
      <c r="AJ14" s="420" t="n">
        <f aca="false">IF(AJ$4&gt;=FC_SUPUESTOS!$C$23-FC_SUPUESTOS!$C$68,1,0)</f>
        <v>1</v>
      </c>
      <c r="AK14" s="420" t="n">
        <f aca="false">IF(AK$4&gt;=FC_SUPUESTOS!$C$23-FC_SUPUESTOS!$C$68,1,0)</f>
        <v>1</v>
      </c>
      <c r="AL14" s="420" t="n">
        <f aca="false">IF(AL$4&gt;=FC_SUPUESTOS!$C$23-FC_SUPUESTOS!$C$68,1,0)</f>
        <v>1</v>
      </c>
      <c r="AM14" s="420" t="n">
        <f aca="false">IF(AM$4&gt;=FC_SUPUESTOS!$C$23-FC_SUPUESTOS!$C$68,1,0)</f>
        <v>1</v>
      </c>
      <c r="AN14" s="420" t="n">
        <f aca="false">IF(AN$4&gt;=FC_SUPUESTOS!$C$23-FC_SUPUESTOS!$C$68,1,0)</f>
        <v>1</v>
      </c>
      <c r="AO14" s="420" t="n">
        <f aca="false">IF(AO$4&gt;=FC_SUPUESTOS!$C$23-FC_SUPUESTOS!$C$68,1,0)</f>
        <v>1</v>
      </c>
      <c r="AP14" s="420" t="n">
        <f aca="false">IF(AP$4&gt;=FC_SUPUESTOS!$C$23-FC_SUPUESTOS!$C$68,1,0)</f>
        <v>1</v>
      </c>
      <c r="AQ14" s="420" t="n">
        <f aca="false">IF(AQ$4&gt;=FC_SUPUESTOS!$C$23-FC_SUPUESTOS!$C$68,1,0)</f>
        <v>1</v>
      </c>
      <c r="AR14" s="420" t="n">
        <f aca="false">IF(AR$4&gt;=FC_SUPUESTOS!$C$23-FC_SUPUESTOS!$C$68,1,0)</f>
        <v>1</v>
      </c>
      <c r="AS14" s="420" t="n">
        <f aca="false">IF(AS$4&gt;=FC_SUPUESTOS!$C$23-FC_SUPUESTOS!$C$68,1,0)</f>
        <v>1</v>
      </c>
      <c r="AT14" s="420" t="n">
        <f aca="false">IF(AT$4&gt;=FC_SUPUESTOS!$C$23-FC_SUPUESTOS!$C$68,1,0)</f>
        <v>1</v>
      </c>
      <c r="AU14" s="420" t="n">
        <f aca="false">IF(AU$4&gt;=FC_SUPUESTOS!$C$23-FC_SUPUESTOS!$C$68,1,0)</f>
        <v>1</v>
      </c>
      <c r="AV14" s="420" t="n">
        <f aca="false">IF(AV$4&gt;=FC_SUPUESTOS!$C$23-FC_SUPUESTOS!$C$68,1,0)</f>
        <v>1</v>
      </c>
      <c r="AW14" s="420" t="n">
        <f aca="false">IF(AW$4&gt;=FC_SUPUESTOS!$C$23-FC_SUPUESTOS!$C$68,1,0)</f>
        <v>1</v>
      </c>
      <c r="AX14" s="420" t="n">
        <f aca="false">IF(AX$4&gt;=FC_SUPUESTOS!$C$23-FC_SUPUESTOS!$C$68,1,0)</f>
        <v>1</v>
      </c>
      <c r="AY14" s="420" t="n">
        <f aca="false">IF(AY$4&gt;=FC_SUPUESTOS!$C$23-FC_SUPUESTOS!$C$68,1,0)</f>
        <v>1</v>
      </c>
      <c r="AZ14" s="420" t="n">
        <f aca="false">IF(AZ$4&gt;=FC_SUPUESTOS!$C$23-FC_SUPUESTOS!$C$68,1,0)</f>
        <v>1</v>
      </c>
      <c r="BA14" s="420" t="n">
        <f aca="false">IF(BA$4&gt;=FC_SUPUESTOS!$C$23-FC_SUPUESTOS!$C$68,1,0)</f>
        <v>1</v>
      </c>
      <c r="BB14" s="420" t="n">
        <f aca="false">IF(BB$4&gt;=FC_SUPUESTOS!$C$23-FC_SUPUESTOS!$C$68,1,0)</f>
        <v>1</v>
      </c>
      <c r="BC14" s="420" t="n">
        <f aca="false">IF(BC$4&gt;=FC_SUPUESTOS!$C$23-FC_SUPUESTOS!$C$68,1,0)</f>
        <v>1</v>
      </c>
      <c r="BD14" s="420" t="n">
        <f aca="false">IF(BD$4&gt;=FC_SUPUESTOS!$C$23-FC_SUPUESTOS!$C$68,1,0)</f>
        <v>1</v>
      </c>
      <c r="BE14" s="420" t="n">
        <f aca="false">IF(BE$4&gt;=FC_SUPUESTOS!$C$23-FC_SUPUESTOS!$C$68,1,0)</f>
        <v>1</v>
      </c>
      <c r="BF14" s="420" t="n">
        <f aca="false">IF(BF$4&gt;=FC_SUPUESTOS!$C$23-FC_SUPUESTOS!$C$68,1,0)</f>
        <v>1</v>
      </c>
      <c r="BG14" s="420" t="n">
        <f aca="false">IF(BG$4&gt;=FC_SUPUESTOS!$C$23-FC_SUPUESTOS!$C$68,1,0)</f>
        <v>1</v>
      </c>
      <c r="BH14" s="420" t="n">
        <f aca="false">IF(BH$4&gt;=FC_SUPUESTOS!$C$23-FC_SUPUESTOS!$C$68,1,0)</f>
        <v>1</v>
      </c>
      <c r="BI14" s="420" t="n">
        <f aca="false">IF(BI$4&gt;=FC_SUPUESTOS!$C$23-FC_SUPUESTOS!$C$68,1,0)</f>
        <v>1</v>
      </c>
      <c r="BJ14" s="420" t="n">
        <f aca="false">IF(BJ$4&gt;=FC_SUPUESTOS!$C$23-FC_SUPUESTOS!$C$68,1,0)</f>
        <v>1</v>
      </c>
      <c r="BK14" s="420" t="n">
        <f aca="false">IF(BK$4&gt;=FC_SUPUESTOS!$C$23-FC_SUPUESTOS!$C$68,1,0)</f>
        <v>1</v>
      </c>
    </row>
    <row r="16" customFormat="false" ht="15" hidden="false" customHeight="true" outlineLevel="0" collapsed="false">
      <c r="A16" s="351" t="s">
        <v>2358</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row>
    <row r="17" customFormat="false" ht="15" hidden="false" customHeight="true" outlineLevel="0" collapsed="false">
      <c r="B17" s="297" t="s">
        <v>2359</v>
      </c>
      <c r="D17" s="423" t="n">
        <f aca="false">IF(AND(D$4-FC_SUPUESTOS!$C$39&gt;=1,D$4-FC_SUPUESTOS!$C$39&lt;=120),INDEX(CAPA1_PILOTO!$D$6:$DS$6,1,D$4-FC_SUPUESTOS!$C$39),0)</f>
        <v>0</v>
      </c>
      <c r="E17" s="423" t="n">
        <f aca="false">IF(AND(E$4-FC_SUPUESTOS!$C$39&gt;=1,E$4-FC_SUPUESTOS!$C$39&lt;=120),INDEX(CAPA1_PILOTO!$D$6:$DS$6,1,E$4-FC_SUPUESTOS!$C$39),0)</f>
        <v>0</v>
      </c>
      <c r="F17" s="423" t="n">
        <f aca="false">IF(AND(F$4-FC_SUPUESTOS!$C$39&gt;=1,F$4-FC_SUPUESTOS!$C$39&lt;=120),INDEX(CAPA1_PILOTO!$D$6:$DS$6,1,F$4-FC_SUPUESTOS!$C$39),0)</f>
        <v>0</v>
      </c>
      <c r="G17" s="423" t="n">
        <f aca="false">IF(AND(G$4-FC_SUPUESTOS!$C$39&gt;=1,G$4-FC_SUPUESTOS!$C$39&lt;=120),INDEX(CAPA1_PILOTO!$D$6:$DS$6,1,G$4-FC_SUPUESTOS!$C$39),0)</f>
        <v>0</v>
      </c>
      <c r="H17" s="423" t="n">
        <f aca="false">IF(AND(H$4-FC_SUPUESTOS!$C$39&gt;=1,H$4-FC_SUPUESTOS!$C$39&lt;=120),INDEX(CAPA1_PILOTO!$D$6:$DS$6,1,H$4-FC_SUPUESTOS!$C$39),0)</f>
        <v>0</v>
      </c>
      <c r="I17" s="423" t="n">
        <f aca="false">IF(AND(I$4-FC_SUPUESTOS!$C$39&gt;=1,I$4-FC_SUPUESTOS!$C$39&lt;=120),INDEX(CAPA1_PILOTO!$D$6:$DS$6,1,I$4-FC_SUPUESTOS!$C$39),0)</f>
        <v>0</v>
      </c>
      <c r="J17" s="423" t="n">
        <f aca="false">IF(AND(J$4-FC_SUPUESTOS!$C$39&gt;=1,J$4-FC_SUPUESTOS!$C$39&lt;=120),INDEX(CAPA1_PILOTO!$D$6:$DS$6,1,J$4-FC_SUPUESTOS!$C$39),0)</f>
        <v>0</v>
      </c>
      <c r="K17" s="423" t="n">
        <f aca="false">IF(AND(K$4-FC_SUPUESTOS!$C$39&gt;=1,K$4-FC_SUPUESTOS!$C$39&lt;=120),INDEX(CAPA1_PILOTO!$D$6:$DS$6,1,K$4-FC_SUPUESTOS!$C$39),0)</f>
        <v>0</v>
      </c>
      <c r="L17" s="423" t="n">
        <f aca="false">IF(AND(L$4-FC_SUPUESTOS!$C$39&gt;=1,L$4-FC_SUPUESTOS!$C$39&lt;=120),INDEX(CAPA1_PILOTO!$D$6:$DS$6,1,L$4-FC_SUPUESTOS!$C$39),0)</f>
        <v>0</v>
      </c>
      <c r="M17" s="423" t="n">
        <f aca="false">IF(AND(M$4-FC_SUPUESTOS!$C$39&gt;=1,M$4-FC_SUPUESTOS!$C$39&lt;=120),INDEX(CAPA1_PILOTO!$D$6:$DS$6,1,M$4-FC_SUPUESTOS!$C$39),0)</f>
        <v>2</v>
      </c>
      <c r="N17" s="423" t="n">
        <f aca="false">IF(AND(N$4-FC_SUPUESTOS!$C$39&gt;=1,N$4-FC_SUPUESTOS!$C$39&lt;=120),INDEX(CAPA1_PILOTO!$D$6:$DS$6,1,N$4-FC_SUPUESTOS!$C$39),0)</f>
        <v>2</v>
      </c>
      <c r="O17" s="423" t="n">
        <f aca="false">IF(AND(O$4-FC_SUPUESTOS!$C$39&gt;=1,O$4-FC_SUPUESTOS!$C$39&lt;=120),INDEX(CAPA1_PILOTO!$D$6:$DS$6,1,O$4-FC_SUPUESTOS!$C$39),0)</f>
        <v>2</v>
      </c>
      <c r="P17" s="423" t="n">
        <f aca="false">IF(AND(P$4-FC_SUPUESTOS!$C$39&gt;=1,P$4-FC_SUPUESTOS!$C$39&lt;=120),INDEX(CAPA1_PILOTO!$D$6:$DS$6,1,P$4-FC_SUPUESTOS!$C$39),0)</f>
        <v>1</v>
      </c>
      <c r="Q17" s="423" t="n">
        <f aca="false">IF(AND(Q$4-FC_SUPUESTOS!$C$39&gt;=1,Q$4-FC_SUPUESTOS!$C$39&lt;=120),INDEX(CAPA1_PILOTO!$D$6:$DS$6,1,Q$4-FC_SUPUESTOS!$C$39),0)</f>
        <v>0</v>
      </c>
      <c r="R17" s="423" t="n">
        <f aca="false">IF(AND(R$4-FC_SUPUESTOS!$C$39&gt;=1,R$4-FC_SUPUESTOS!$C$39&lt;=120),INDEX(CAPA1_PILOTO!$D$6:$DS$6,1,R$4-FC_SUPUESTOS!$C$39),0)</f>
        <v>0</v>
      </c>
      <c r="S17" s="423" t="n">
        <f aca="false">IF(AND(S$4-FC_SUPUESTOS!$C$39&gt;=1,S$4-FC_SUPUESTOS!$C$39&lt;=120),INDEX(CAPA1_PILOTO!$D$6:$DS$6,1,S$4-FC_SUPUESTOS!$C$39),0)</f>
        <v>0</v>
      </c>
      <c r="T17" s="423" t="n">
        <f aca="false">IF(AND(T$4-FC_SUPUESTOS!$C$39&gt;=1,T$4-FC_SUPUESTOS!$C$39&lt;=120),INDEX(CAPA1_PILOTO!$D$6:$DS$6,1,T$4-FC_SUPUESTOS!$C$39),0)</f>
        <v>0</v>
      </c>
      <c r="U17" s="423" t="n">
        <f aca="false">IF(AND(U$4-FC_SUPUESTOS!$C$39&gt;=1,U$4-FC_SUPUESTOS!$C$39&lt;=120),INDEX(CAPA1_PILOTO!$D$6:$DS$6,1,U$4-FC_SUPUESTOS!$C$39),0)</f>
        <v>0</v>
      </c>
      <c r="V17" s="423" t="n">
        <f aca="false">IF(AND(V$4-FC_SUPUESTOS!$C$39&gt;=1,V$4-FC_SUPUESTOS!$C$39&lt;=120),INDEX(CAPA1_PILOTO!$D$6:$DS$6,1,V$4-FC_SUPUESTOS!$C$39),0)</f>
        <v>0</v>
      </c>
      <c r="W17" s="423" t="n">
        <f aca="false">IF(AND(W$4-FC_SUPUESTOS!$C$39&gt;=1,W$4-FC_SUPUESTOS!$C$39&lt;=120),INDEX(CAPA1_PILOTO!$D$6:$DS$6,1,W$4-FC_SUPUESTOS!$C$39),0)</f>
        <v>0</v>
      </c>
      <c r="X17" s="423" t="n">
        <f aca="false">IF(AND(X$4-FC_SUPUESTOS!$C$39&gt;=1,X$4-FC_SUPUESTOS!$C$39&lt;=120),INDEX(CAPA1_PILOTO!$D$6:$DS$6,1,X$4-FC_SUPUESTOS!$C$39),0)</f>
        <v>0</v>
      </c>
      <c r="Y17" s="423" t="n">
        <f aca="false">IF(AND(Y$4-FC_SUPUESTOS!$C$39&gt;=1,Y$4-FC_SUPUESTOS!$C$39&lt;=120),INDEX(CAPA1_PILOTO!$D$6:$DS$6,1,Y$4-FC_SUPUESTOS!$C$39),0)</f>
        <v>0</v>
      </c>
      <c r="Z17" s="423" t="n">
        <f aca="false">IF(AND(Z$4-FC_SUPUESTOS!$C$39&gt;=1,Z$4-FC_SUPUESTOS!$C$39&lt;=120),INDEX(CAPA1_PILOTO!$D$6:$DS$6,1,Z$4-FC_SUPUESTOS!$C$39),0)</f>
        <v>0</v>
      </c>
      <c r="AA17" s="423" t="n">
        <f aca="false">IF(AND(AA$4-FC_SUPUESTOS!$C$39&gt;=1,AA$4-FC_SUPUESTOS!$C$39&lt;=120),INDEX(CAPA1_PILOTO!$D$6:$DS$6,1,AA$4-FC_SUPUESTOS!$C$39),0)</f>
        <v>0</v>
      </c>
      <c r="AB17" s="423" t="n">
        <f aca="false">IF(AND(AB$4-FC_SUPUESTOS!$C$39&gt;=1,AB$4-FC_SUPUESTOS!$C$39&lt;=120),INDEX(CAPA1_PILOTO!$D$6:$DS$6,1,AB$4-FC_SUPUESTOS!$C$39),0)</f>
        <v>0</v>
      </c>
      <c r="AC17" s="423" t="n">
        <f aca="false">IF(AND(AC$4-FC_SUPUESTOS!$C$39&gt;=1,AC$4-FC_SUPUESTOS!$C$39&lt;=120),INDEX(CAPA1_PILOTO!$D$6:$DS$6,1,AC$4-FC_SUPUESTOS!$C$39),0)</f>
        <v>0</v>
      </c>
      <c r="AD17" s="423" t="n">
        <f aca="false">IF(AND(AD$4-FC_SUPUESTOS!$C$39&gt;=1,AD$4-FC_SUPUESTOS!$C$39&lt;=120),INDEX(CAPA1_PILOTO!$D$6:$DS$6,1,AD$4-FC_SUPUESTOS!$C$39),0)</f>
        <v>0</v>
      </c>
      <c r="AE17" s="423" t="n">
        <f aca="false">IF(AND(AE$4-FC_SUPUESTOS!$C$39&gt;=1,AE$4-FC_SUPUESTOS!$C$39&lt;=120),INDEX(CAPA1_PILOTO!$D$6:$DS$6,1,AE$4-FC_SUPUESTOS!$C$39),0)</f>
        <v>0</v>
      </c>
      <c r="AF17" s="423" t="n">
        <f aca="false">IF(AND(AF$4-FC_SUPUESTOS!$C$39&gt;=1,AF$4-FC_SUPUESTOS!$C$39&lt;=120),INDEX(CAPA1_PILOTO!$D$6:$DS$6,1,AF$4-FC_SUPUESTOS!$C$39),0)</f>
        <v>0</v>
      </c>
      <c r="AG17" s="423" t="n">
        <f aca="false">IF(AND(AG$4-FC_SUPUESTOS!$C$39&gt;=1,AG$4-FC_SUPUESTOS!$C$39&lt;=120),INDEX(CAPA1_PILOTO!$D$6:$DS$6,1,AG$4-FC_SUPUESTOS!$C$39),0)</f>
        <v>0</v>
      </c>
      <c r="AH17" s="423" t="n">
        <f aca="false">IF(AND(AH$4-FC_SUPUESTOS!$C$39&gt;=1,AH$4-FC_SUPUESTOS!$C$39&lt;=120),INDEX(CAPA1_PILOTO!$D$6:$DS$6,1,AH$4-FC_SUPUESTOS!$C$39),0)</f>
        <v>0</v>
      </c>
      <c r="AI17" s="423" t="n">
        <f aca="false">IF(AND(AI$4-FC_SUPUESTOS!$C$39&gt;=1,AI$4-FC_SUPUESTOS!$C$39&lt;=120),INDEX(CAPA1_PILOTO!$D$6:$DS$6,1,AI$4-FC_SUPUESTOS!$C$39),0)</f>
        <v>0</v>
      </c>
      <c r="AJ17" s="423" t="n">
        <f aca="false">IF(AND(AJ$4-FC_SUPUESTOS!$C$39&gt;=1,AJ$4-FC_SUPUESTOS!$C$39&lt;=120),INDEX(CAPA1_PILOTO!$D$6:$DS$6,1,AJ$4-FC_SUPUESTOS!$C$39),0)</f>
        <v>0</v>
      </c>
      <c r="AK17" s="423" t="n">
        <f aca="false">IF(AND(AK$4-FC_SUPUESTOS!$C$39&gt;=1,AK$4-FC_SUPUESTOS!$C$39&lt;=120),INDEX(CAPA1_PILOTO!$D$6:$DS$6,1,AK$4-FC_SUPUESTOS!$C$39),0)</f>
        <v>0</v>
      </c>
      <c r="AL17" s="423" t="n">
        <f aca="false">IF(AND(AL$4-FC_SUPUESTOS!$C$39&gt;=1,AL$4-FC_SUPUESTOS!$C$39&lt;=120),INDEX(CAPA1_PILOTO!$D$6:$DS$6,1,AL$4-FC_SUPUESTOS!$C$39),0)</f>
        <v>0</v>
      </c>
      <c r="AM17" s="423" t="n">
        <f aca="false">IF(AND(AM$4-FC_SUPUESTOS!$C$39&gt;=1,AM$4-FC_SUPUESTOS!$C$39&lt;=120),INDEX(CAPA1_PILOTO!$D$6:$DS$6,1,AM$4-FC_SUPUESTOS!$C$39),0)</f>
        <v>0</v>
      </c>
      <c r="AN17" s="423" t="n">
        <f aca="false">IF(AND(AN$4-FC_SUPUESTOS!$C$39&gt;=1,AN$4-FC_SUPUESTOS!$C$39&lt;=120),INDEX(CAPA1_PILOTO!$D$6:$DS$6,1,AN$4-FC_SUPUESTOS!$C$39),0)</f>
        <v>0</v>
      </c>
      <c r="AO17" s="423" t="n">
        <f aca="false">IF(AND(AO$4-FC_SUPUESTOS!$C$39&gt;=1,AO$4-FC_SUPUESTOS!$C$39&lt;=120),INDEX(CAPA1_PILOTO!$D$6:$DS$6,1,AO$4-FC_SUPUESTOS!$C$39),0)</f>
        <v>0</v>
      </c>
      <c r="AP17" s="423" t="n">
        <f aca="false">IF(AND(AP$4-FC_SUPUESTOS!$C$39&gt;=1,AP$4-FC_SUPUESTOS!$C$39&lt;=120),INDEX(CAPA1_PILOTO!$D$6:$DS$6,1,AP$4-FC_SUPUESTOS!$C$39),0)</f>
        <v>0</v>
      </c>
      <c r="AQ17" s="423" t="n">
        <f aca="false">IF(AND(AQ$4-FC_SUPUESTOS!$C$39&gt;=1,AQ$4-FC_SUPUESTOS!$C$39&lt;=120),INDEX(CAPA1_PILOTO!$D$6:$DS$6,1,AQ$4-FC_SUPUESTOS!$C$39),0)</f>
        <v>0</v>
      </c>
      <c r="AR17" s="423" t="n">
        <f aca="false">IF(AND(AR$4-FC_SUPUESTOS!$C$39&gt;=1,AR$4-FC_SUPUESTOS!$C$39&lt;=120),INDEX(CAPA1_PILOTO!$D$6:$DS$6,1,AR$4-FC_SUPUESTOS!$C$39),0)</f>
        <v>0</v>
      </c>
      <c r="AS17" s="423" t="n">
        <f aca="false">IF(AND(AS$4-FC_SUPUESTOS!$C$39&gt;=1,AS$4-FC_SUPUESTOS!$C$39&lt;=120),INDEX(CAPA1_PILOTO!$D$6:$DS$6,1,AS$4-FC_SUPUESTOS!$C$39),0)</f>
        <v>0</v>
      </c>
      <c r="AT17" s="423" t="n">
        <f aca="false">IF(AND(AT$4-FC_SUPUESTOS!$C$39&gt;=1,AT$4-FC_SUPUESTOS!$C$39&lt;=120),INDEX(CAPA1_PILOTO!$D$6:$DS$6,1,AT$4-FC_SUPUESTOS!$C$39),0)</f>
        <v>0</v>
      </c>
      <c r="AU17" s="423" t="n">
        <f aca="false">IF(AND(AU$4-FC_SUPUESTOS!$C$39&gt;=1,AU$4-FC_SUPUESTOS!$C$39&lt;=120),INDEX(CAPA1_PILOTO!$D$6:$DS$6,1,AU$4-FC_SUPUESTOS!$C$39),0)</f>
        <v>0</v>
      </c>
      <c r="AV17" s="423" t="n">
        <f aca="false">IF(AND(AV$4-FC_SUPUESTOS!$C$39&gt;=1,AV$4-FC_SUPUESTOS!$C$39&lt;=120),INDEX(CAPA1_PILOTO!$D$6:$DS$6,1,AV$4-FC_SUPUESTOS!$C$39),0)</f>
        <v>0</v>
      </c>
      <c r="AW17" s="423" t="n">
        <f aca="false">IF(AND(AW$4-FC_SUPUESTOS!$C$39&gt;=1,AW$4-FC_SUPUESTOS!$C$39&lt;=120),INDEX(CAPA1_PILOTO!$D$6:$DS$6,1,AW$4-FC_SUPUESTOS!$C$39),0)</f>
        <v>0</v>
      </c>
      <c r="AX17" s="423" t="n">
        <f aca="false">IF(AND(AX$4-FC_SUPUESTOS!$C$39&gt;=1,AX$4-FC_SUPUESTOS!$C$39&lt;=120),INDEX(CAPA1_PILOTO!$D$6:$DS$6,1,AX$4-FC_SUPUESTOS!$C$39),0)</f>
        <v>0</v>
      </c>
      <c r="AY17" s="423" t="n">
        <f aca="false">IF(AND(AY$4-FC_SUPUESTOS!$C$39&gt;=1,AY$4-FC_SUPUESTOS!$C$39&lt;=120),INDEX(CAPA1_PILOTO!$D$6:$DS$6,1,AY$4-FC_SUPUESTOS!$C$39),0)</f>
        <v>0</v>
      </c>
      <c r="AZ17" s="423" t="n">
        <f aca="false">IF(AND(AZ$4-FC_SUPUESTOS!$C$39&gt;=1,AZ$4-FC_SUPUESTOS!$C$39&lt;=120),INDEX(CAPA1_PILOTO!$D$6:$DS$6,1,AZ$4-FC_SUPUESTOS!$C$39),0)</f>
        <v>0</v>
      </c>
      <c r="BA17" s="423" t="n">
        <f aca="false">IF(AND(BA$4-FC_SUPUESTOS!$C$39&gt;=1,BA$4-FC_SUPUESTOS!$C$39&lt;=120),INDEX(CAPA1_PILOTO!$D$6:$DS$6,1,BA$4-FC_SUPUESTOS!$C$39),0)</f>
        <v>0</v>
      </c>
      <c r="BB17" s="423" t="n">
        <f aca="false">IF(AND(BB$4-FC_SUPUESTOS!$C$39&gt;=1,BB$4-FC_SUPUESTOS!$C$39&lt;=120),INDEX(CAPA1_PILOTO!$D$6:$DS$6,1,BB$4-FC_SUPUESTOS!$C$39),0)</f>
        <v>0</v>
      </c>
      <c r="BC17" s="423" t="n">
        <f aca="false">IF(AND(BC$4-FC_SUPUESTOS!$C$39&gt;=1,BC$4-FC_SUPUESTOS!$C$39&lt;=120),INDEX(CAPA1_PILOTO!$D$6:$DS$6,1,BC$4-FC_SUPUESTOS!$C$39),0)</f>
        <v>0</v>
      </c>
      <c r="BD17" s="423" t="n">
        <f aca="false">IF(AND(BD$4-FC_SUPUESTOS!$C$39&gt;=1,BD$4-FC_SUPUESTOS!$C$39&lt;=120),INDEX(CAPA1_PILOTO!$D$6:$DS$6,1,BD$4-FC_SUPUESTOS!$C$39),0)</f>
        <v>0</v>
      </c>
      <c r="BE17" s="423" t="n">
        <f aca="false">IF(AND(BE$4-FC_SUPUESTOS!$C$39&gt;=1,BE$4-FC_SUPUESTOS!$C$39&lt;=120),INDEX(CAPA1_PILOTO!$D$6:$DS$6,1,BE$4-FC_SUPUESTOS!$C$39),0)</f>
        <v>0</v>
      </c>
      <c r="BF17" s="423" t="n">
        <f aca="false">IF(AND(BF$4-FC_SUPUESTOS!$C$39&gt;=1,BF$4-FC_SUPUESTOS!$C$39&lt;=120),INDEX(CAPA1_PILOTO!$D$6:$DS$6,1,BF$4-FC_SUPUESTOS!$C$39),0)</f>
        <v>0</v>
      </c>
      <c r="BG17" s="423" t="n">
        <f aca="false">IF(AND(BG$4-FC_SUPUESTOS!$C$39&gt;=1,BG$4-FC_SUPUESTOS!$C$39&lt;=120),INDEX(CAPA1_PILOTO!$D$6:$DS$6,1,BG$4-FC_SUPUESTOS!$C$39),0)</f>
        <v>0</v>
      </c>
      <c r="BH17" s="423" t="n">
        <f aca="false">IF(AND(BH$4-FC_SUPUESTOS!$C$39&gt;=1,BH$4-FC_SUPUESTOS!$C$39&lt;=120),INDEX(CAPA1_PILOTO!$D$6:$DS$6,1,BH$4-FC_SUPUESTOS!$C$39),0)</f>
        <v>0</v>
      </c>
      <c r="BI17" s="423" t="n">
        <f aca="false">IF(AND(BI$4-FC_SUPUESTOS!$C$39&gt;=1,BI$4-FC_SUPUESTOS!$C$39&lt;=120),INDEX(CAPA1_PILOTO!$D$6:$DS$6,1,BI$4-FC_SUPUESTOS!$C$39),0)</f>
        <v>0</v>
      </c>
      <c r="BJ17" s="423" t="n">
        <f aca="false">IF(AND(BJ$4-FC_SUPUESTOS!$C$39&gt;=1,BJ$4-FC_SUPUESTOS!$C$39&lt;=120),INDEX(CAPA1_PILOTO!$D$6:$DS$6,1,BJ$4-FC_SUPUESTOS!$C$39),0)</f>
        <v>0</v>
      </c>
      <c r="BK17" s="423" t="n">
        <f aca="false">IF(AND(BK$4-FC_SUPUESTOS!$C$39&gt;=1,BK$4-FC_SUPUESTOS!$C$39&lt;=120),INDEX(CAPA1_PILOTO!$D$6:$DS$6,1,BK$4-FC_SUPUESTOS!$C$39),0)</f>
        <v>0</v>
      </c>
    </row>
    <row r="18" customFormat="false" ht="15" hidden="false" customHeight="true" outlineLevel="0" collapsed="false">
      <c r="B18" s="297" t="s">
        <v>2360</v>
      </c>
      <c r="D18" s="423" t="n">
        <f aca="false">IF(AND(D$4-FC_SUPUESTOS!$C$39&gt;=1,D$4-FC_SUPUESTOS!$C$39&lt;=120),INDEX(CAPA1_PILOTO!$D$7:$DS$7,1,D$4-FC_SUPUESTOS!$C$39),0)</f>
        <v>0</v>
      </c>
      <c r="E18" s="423" t="n">
        <f aca="false">IF(AND(E$4-FC_SUPUESTOS!$C$39&gt;=1,E$4-FC_SUPUESTOS!$C$39&lt;=120),INDEX(CAPA1_PILOTO!$D$7:$DS$7,1,E$4-FC_SUPUESTOS!$C$39),0)</f>
        <v>0</v>
      </c>
      <c r="F18" s="423" t="n">
        <f aca="false">IF(AND(F$4-FC_SUPUESTOS!$C$39&gt;=1,F$4-FC_SUPUESTOS!$C$39&lt;=120),INDEX(CAPA1_PILOTO!$D$7:$DS$7,1,F$4-FC_SUPUESTOS!$C$39),0)</f>
        <v>0</v>
      </c>
      <c r="G18" s="423" t="n">
        <f aca="false">IF(AND(G$4-FC_SUPUESTOS!$C$39&gt;=1,G$4-FC_SUPUESTOS!$C$39&lt;=120),INDEX(CAPA1_PILOTO!$D$7:$DS$7,1,G$4-FC_SUPUESTOS!$C$39),0)</f>
        <v>0</v>
      </c>
      <c r="H18" s="423" t="n">
        <f aca="false">IF(AND(H$4-FC_SUPUESTOS!$C$39&gt;=1,H$4-FC_SUPUESTOS!$C$39&lt;=120),INDEX(CAPA1_PILOTO!$D$7:$DS$7,1,H$4-FC_SUPUESTOS!$C$39),0)</f>
        <v>0</v>
      </c>
      <c r="I18" s="423" t="n">
        <f aca="false">IF(AND(I$4-FC_SUPUESTOS!$C$39&gt;=1,I$4-FC_SUPUESTOS!$C$39&lt;=120),INDEX(CAPA1_PILOTO!$D$7:$DS$7,1,I$4-FC_SUPUESTOS!$C$39),0)</f>
        <v>0</v>
      </c>
      <c r="J18" s="423" t="n">
        <f aca="false">IF(AND(J$4-FC_SUPUESTOS!$C$39&gt;=1,J$4-FC_SUPUESTOS!$C$39&lt;=120),INDEX(CAPA1_PILOTO!$D$7:$DS$7,1,J$4-FC_SUPUESTOS!$C$39),0)</f>
        <v>0</v>
      </c>
      <c r="K18" s="423" t="n">
        <f aca="false">IF(AND(K$4-FC_SUPUESTOS!$C$39&gt;=1,K$4-FC_SUPUESTOS!$C$39&lt;=120),INDEX(CAPA1_PILOTO!$D$7:$DS$7,1,K$4-FC_SUPUESTOS!$C$39),0)</f>
        <v>0</v>
      </c>
      <c r="L18" s="423" t="n">
        <f aca="false">IF(AND(L$4-FC_SUPUESTOS!$C$39&gt;=1,L$4-FC_SUPUESTOS!$C$39&lt;=120),INDEX(CAPA1_PILOTO!$D$7:$DS$7,1,L$4-FC_SUPUESTOS!$C$39),0)</f>
        <v>0</v>
      </c>
      <c r="M18" s="423" t="n">
        <f aca="false">IF(AND(M$4-FC_SUPUESTOS!$C$39&gt;=1,M$4-FC_SUPUESTOS!$C$39&lt;=120),INDEX(CAPA1_PILOTO!$D$7:$DS$7,1,M$4-FC_SUPUESTOS!$C$39),0)</f>
        <v>0</v>
      </c>
      <c r="N18" s="423" t="n">
        <f aca="false">IF(AND(N$4-FC_SUPUESTOS!$C$39&gt;=1,N$4-FC_SUPUESTOS!$C$39&lt;=120),INDEX(CAPA1_PILOTO!$D$7:$DS$7,1,N$4-FC_SUPUESTOS!$C$39),0)</f>
        <v>0</v>
      </c>
      <c r="O18" s="423" t="n">
        <f aca="false">IF(AND(O$4-FC_SUPUESTOS!$C$39&gt;=1,O$4-FC_SUPUESTOS!$C$39&lt;=120),INDEX(CAPA1_PILOTO!$D$7:$DS$7,1,O$4-FC_SUPUESTOS!$C$39),0)</f>
        <v>0</v>
      </c>
      <c r="P18" s="423" t="n">
        <f aca="false">IF(AND(P$4-FC_SUPUESTOS!$C$39&gt;=1,P$4-FC_SUPUESTOS!$C$39&lt;=120),INDEX(CAPA1_PILOTO!$D$7:$DS$7,1,P$4-FC_SUPUESTOS!$C$39),0)</f>
        <v>1</v>
      </c>
      <c r="Q18" s="423" t="n">
        <f aca="false">IF(AND(Q$4-FC_SUPUESTOS!$C$39&gt;=1,Q$4-FC_SUPUESTOS!$C$39&lt;=120),INDEX(CAPA1_PILOTO!$D$7:$DS$7,1,Q$4-FC_SUPUESTOS!$C$39),0)</f>
        <v>2</v>
      </c>
      <c r="R18" s="423" t="n">
        <f aca="false">IF(AND(R$4-FC_SUPUESTOS!$C$39&gt;=1,R$4-FC_SUPUESTOS!$C$39&lt;=120),INDEX(CAPA1_PILOTO!$D$7:$DS$7,1,R$4-FC_SUPUESTOS!$C$39),0)</f>
        <v>0</v>
      </c>
      <c r="S18" s="423" t="n">
        <f aca="false">IF(AND(S$4-FC_SUPUESTOS!$C$39&gt;=1,S$4-FC_SUPUESTOS!$C$39&lt;=120),INDEX(CAPA1_PILOTO!$D$7:$DS$7,1,S$4-FC_SUPUESTOS!$C$39),0)</f>
        <v>0</v>
      </c>
      <c r="T18" s="423" t="n">
        <f aca="false">IF(AND(T$4-FC_SUPUESTOS!$C$39&gt;=1,T$4-FC_SUPUESTOS!$C$39&lt;=120),INDEX(CAPA1_PILOTO!$D$7:$DS$7,1,T$4-FC_SUPUESTOS!$C$39),0)</f>
        <v>0</v>
      </c>
      <c r="U18" s="423" t="n">
        <f aca="false">IF(AND(U$4-FC_SUPUESTOS!$C$39&gt;=1,U$4-FC_SUPUESTOS!$C$39&lt;=120),INDEX(CAPA1_PILOTO!$D$7:$DS$7,1,U$4-FC_SUPUESTOS!$C$39),0)</f>
        <v>0</v>
      </c>
      <c r="V18" s="423" t="n">
        <f aca="false">IF(AND(V$4-FC_SUPUESTOS!$C$39&gt;=1,V$4-FC_SUPUESTOS!$C$39&lt;=120),INDEX(CAPA1_PILOTO!$D$7:$DS$7,1,V$4-FC_SUPUESTOS!$C$39),0)</f>
        <v>0</v>
      </c>
      <c r="W18" s="423" t="n">
        <f aca="false">IF(AND(W$4-FC_SUPUESTOS!$C$39&gt;=1,W$4-FC_SUPUESTOS!$C$39&lt;=120),INDEX(CAPA1_PILOTO!$D$7:$DS$7,1,W$4-FC_SUPUESTOS!$C$39),0)</f>
        <v>0</v>
      </c>
      <c r="X18" s="423" t="n">
        <f aca="false">IF(AND(X$4-FC_SUPUESTOS!$C$39&gt;=1,X$4-FC_SUPUESTOS!$C$39&lt;=120),INDEX(CAPA1_PILOTO!$D$7:$DS$7,1,X$4-FC_SUPUESTOS!$C$39),0)</f>
        <v>0</v>
      </c>
      <c r="Y18" s="423" t="n">
        <f aca="false">IF(AND(Y$4-FC_SUPUESTOS!$C$39&gt;=1,Y$4-FC_SUPUESTOS!$C$39&lt;=120),INDEX(CAPA1_PILOTO!$D$7:$DS$7,1,Y$4-FC_SUPUESTOS!$C$39),0)</f>
        <v>0</v>
      </c>
      <c r="Z18" s="423" t="n">
        <f aca="false">IF(AND(Z$4-FC_SUPUESTOS!$C$39&gt;=1,Z$4-FC_SUPUESTOS!$C$39&lt;=120),INDEX(CAPA1_PILOTO!$D$7:$DS$7,1,Z$4-FC_SUPUESTOS!$C$39),0)</f>
        <v>0</v>
      </c>
      <c r="AA18" s="423" t="n">
        <f aca="false">IF(AND(AA$4-FC_SUPUESTOS!$C$39&gt;=1,AA$4-FC_SUPUESTOS!$C$39&lt;=120),INDEX(CAPA1_PILOTO!$D$7:$DS$7,1,AA$4-FC_SUPUESTOS!$C$39),0)</f>
        <v>0</v>
      </c>
      <c r="AB18" s="423" t="n">
        <f aca="false">IF(AND(AB$4-FC_SUPUESTOS!$C$39&gt;=1,AB$4-FC_SUPUESTOS!$C$39&lt;=120),INDEX(CAPA1_PILOTO!$D$7:$DS$7,1,AB$4-FC_SUPUESTOS!$C$39),0)</f>
        <v>0</v>
      </c>
      <c r="AC18" s="423" t="n">
        <f aca="false">IF(AND(AC$4-FC_SUPUESTOS!$C$39&gt;=1,AC$4-FC_SUPUESTOS!$C$39&lt;=120),INDEX(CAPA1_PILOTO!$D$7:$DS$7,1,AC$4-FC_SUPUESTOS!$C$39),0)</f>
        <v>0</v>
      </c>
      <c r="AD18" s="423" t="n">
        <f aca="false">IF(AND(AD$4-FC_SUPUESTOS!$C$39&gt;=1,AD$4-FC_SUPUESTOS!$C$39&lt;=120),INDEX(CAPA1_PILOTO!$D$7:$DS$7,1,AD$4-FC_SUPUESTOS!$C$39),0)</f>
        <v>0</v>
      </c>
      <c r="AE18" s="423" t="n">
        <f aca="false">IF(AND(AE$4-FC_SUPUESTOS!$C$39&gt;=1,AE$4-FC_SUPUESTOS!$C$39&lt;=120),INDEX(CAPA1_PILOTO!$D$7:$DS$7,1,AE$4-FC_SUPUESTOS!$C$39),0)</f>
        <v>0</v>
      </c>
      <c r="AF18" s="423" t="n">
        <f aca="false">IF(AND(AF$4-FC_SUPUESTOS!$C$39&gt;=1,AF$4-FC_SUPUESTOS!$C$39&lt;=120),INDEX(CAPA1_PILOTO!$D$7:$DS$7,1,AF$4-FC_SUPUESTOS!$C$39),0)</f>
        <v>0</v>
      </c>
      <c r="AG18" s="423" t="n">
        <f aca="false">IF(AND(AG$4-FC_SUPUESTOS!$C$39&gt;=1,AG$4-FC_SUPUESTOS!$C$39&lt;=120),INDEX(CAPA1_PILOTO!$D$7:$DS$7,1,AG$4-FC_SUPUESTOS!$C$39),0)</f>
        <v>0</v>
      </c>
      <c r="AH18" s="423" t="n">
        <f aca="false">IF(AND(AH$4-FC_SUPUESTOS!$C$39&gt;=1,AH$4-FC_SUPUESTOS!$C$39&lt;=120),INDEX(CAPA1_PILOTO!$D$7:$DS$7,1,AH$4-FC_SUPUESTOS!$C$39),0)</f>
        <v>0</v>
      </c>
      <c r="AI18" s="423" t="n">
        <f aca="false">IF(AND(AI$4-FC_SUPUESTOS!$C$39&gt;=1,AI$4-FC_SUPUESTOS!$C$39&lt;=120),INDEX(CAPA1_PILOTO!$D$7:$DS$7,1,AI$4-FC_SUPUESTOS!$C$39),0)</f>
        <v>0</v>
      </c>
      <c r="AJ18" s="423" t="n">
        <f aca="false">IF(AND(AJ$4-FC_SUPUESTOS!$C$39&gt;=1,AJ$4-FC_SUPUESTOS!$C$39&lt;=120),INDEX(CAPA1_PILOTO!$D$7:$DS$7,1,AJ$4-FC_SUPUESTOS!$C$39),0)</f>
        <v>0</v>
      </c>
      <c r="AK18" s="423" t="n">
        <f aca="false">IF(AND(AK$4-FC_SUPUESTOS!$C$39&gt;=1,AK$4-FC_SUPUESTOS!$C$39&lt;=120),INDEX(CAPA1_PILOTO!$D$7:$DS$7,1,AK$4-FC_SUPUESTOS!$C$39),0)</f>
        <v>0</v>
      </c>
      <c r="AL18" s="423" t="n">
        <f aca="false">IF(AND(AL$4-FC_SUPUESTOS!$C$39&gt;=1,AL$4-FC_SUPUESTOS!$C$39&lt;=120),INDEX(CAPA1_PILOTO!$D$7:$DS$7,1,AL$4-FC_SUPUESTOS!$C$39),0)</f>
        <v>0</v>
      </c>
      <c r="AM18" s="423" t="n">
        <f aca="false">IF(AND(AM$4-FC_SUPUESTOS!$C$39&gt;=1,AM$4-FC_SUPUESTOS!$C$39&lt;=120),INDEX(CAPA1_PILOTO!$D$7:$DS$7,1,AM$4-FC_SUPUESTOS!$C$39),0)</f>
        <v>0</v>
      </c>
      <c r="AN18" s="423" t="n">
        <f aca="false">IF(AND(AN$4-FC_SUPUESTOS!$C$39&gt;=1,AN$4-FC_SUPUESTOS!$C$39&lt;=120),INDEX(CAPA1_PILOTO!$D$7:$DS$7,1,AN$4-FC_SUPUESTOS!$C$39),0)</f>
        <v>0</v>
      </c>
      <c r="AO18" s="423" t="n">
        <f aca="false">IF(AND(AO$4-FC_SUPUESTOS!$C$39&gt;=1,AO$4-FC_SUPUESTOS!$C$39&lt;=120),INDEX(CAPA1_PILOTO!$D$7:$DS$7,1,AO$4-FC_SUPUESTOS!$C$39),0)</f>
        <v>0</v>
      </c>
      <c r="AP18" s="423" t="n">
        <f aca="false">IF(AND(AP$4-FC_SUPUESTOS!$C$39&gt;=1,AP$4-FC_SUPUESTOS!$C$39&lt;=120),INDEX(CAPA1_PILOTO!$D$7:$DS$7,1,AP$4-FC_SUPUESTOS!$C$39),0)</f>
        <v>0</v>
      </c>
      <c r="AQ18" s="423" t="n">
        <f aca="false">IF(AND(AQ$4-FC_SUPUESTOS!$C$39&gt;=1,AQ$4-FC_SUPUESTOS!$C$39&lt;=120),INDEX(CAPA1_PILOTO!$D$7:$DS$7,1,AQ$4-FC_SUPUESTOS!$C$39),0)</f>
        <v>0</v>
      </c>
      <c r="AR18" s="423" t="n">
        <f aca="false">IF(AND(AR$4-FC_SUPUESTOS!$C$39&gt;=1,AR$4-FC_SUPUESTOS!$C$39&lt;=120),INDEX(CAPA1_PILOTO!$D$7:$DS$7,1,AR$4-FC_SUPUESTOS!$C$39),0)</f>
        <v>0</v>
      </c>
      <c r="AS18" s="423" t="n">
        <f aca="false">IF(AND(AS$4-FC_SUPUESTOS!$C$39&gt;=1,AS$4-FC_SUPUESTOS!$C$39&lt;=120),INDEX(CAPA1_PILOTO!$D$7:$DS$7,1,AS$4-FC_SUPUESTOS!$C$39),0)</f>
        <v>0</v>
      </c>
      <c r="AT18" s="423" t="n">
        <f aca="false">IF(AND(AT$4-FC_SUPUESTOS!$C$39&gt;=1,AT$4-FC_SUPUESTOS!$C$39&lt;=120),INDEX(CAPA1_PILOTO!$D$7:$DS$7,1,AT$4-FC_SUPUESTOS!$C$39),0)</f>
        <v>0</v>
      </c>
      <c r="AU18" s="423" t="n">
        <f aca="false">IF(AND(AU$4-FC_SUPUESTOS!$C$39&gt;=1,AU$4-FC_SUPUESTOS!$C$39&lt;=120),INDEX(CAPA1_PILOTO!$D$7:$DS$7,1,AU$4-FC_SUPUESTOS!$C$39),0)</f>
        <v>0</v>
      </c>
      <c r="AV18" s="423" t="n">
        <f aca="false">IF(AND(AV$4-FC_SUPUESTOS!$C$39&gt;=1,AV$4-FC_SUPUESTOS!$C$39&lt;=120),INDEX(CAPA1_PILOTO!$D$7:$DS$7,1,AV$4-FC_SUPUESTOS!$C$39),0)</f>
        <v>0</v>
      </c>
      <c r="AW18" s="423" t="n">
        <f aca="false">IF(AND(AW$4-FC_SUPUESTOS!$C$39&gt;=1,AW$4-FC_SUPUESTOS!$C$39&lt;=120),INDEX(CAPA1_PILOTO!$D$7:$DS$7,1,AW$4-FC_SUPUESTOS!$C$39),0)</f>
        <v>0</v>
      </c>
      <c r="AX18" s="423" t="n">
        <f aca="false">IF(AND(AX$4-FC_SUPUESTOS!$C$39&gt;=1,AX$4-FC_SUPUESTOS!$C$39&lt;=120),INDEX(CAPA1_PILOTO!$D$7:$DS$7,1,AX$4-FC_SUPUESTOS!$C$39),0)</f>
        <v>0</v>
      </c>
      <c r="AY18" s="423" t="n">
        <f aca="false">IF(AND(AY$4-FC_SUPUESTOS!$C$39&gt;=1,AY$4-FC_SUPUESTOS!$C$39&lt;=120),INDEX(CAPA1_PILOTO!$D$7:$DS$7,1,AY$4-FC_SUPUESTOS!$C$39),0)</f>
        <v>0</v>
      </c>
      <c r="AZ18" s="423" t="n">
        <f aca="false">IF(AND(AZ$4-FC_SUPUESTOS!$C$39&gt;=1,AZ$4-FC_SUPUESTOS!$C$39&lt;=120),INDEX(CAPA1_PILOTO!$D$7:$DS$7,1,AZ$4-FC_SUPUESTOS!$C$39),0)</f>
        <v>0</v>
      </c>
      <c r="BA18" s="423" t="n">
        <f aca="false">IF(AND(BA$4-FC_SUPUESTOS!$C$39&gt;=1,BA$4-FC_SUPUESTOS!$C$39&lt;=120),INDEX(CAPA1_PILOTO!$D$7:$DS$7,1,BA$4-FC_SUPUESTOS!$C$39),0)</f>
        <v>0</v>
      </c>
      <c r="BB18" s="423" t="n">
        <f aca="false">IF(AND(BB$4-FC_SUPUESTOS!$C$39&gt;=1,BB$4-FC_SUPUESTOS!$C$39&lt;=120),INDEX(CAPA1_PILOTO!$D$7:$DS$7,1,BB$4-FC_SUPUESTOS!$C$39),0)</f>
        <v>0</v>
      </c>
      <c r="BC18" s="423" t="n">
        <f aca="false">IF(AND(BC$4-FC_SUPUESTOS!$C$39&gt;=1,BC$4-FC_SUPUESTOS!$C$39&lt;=120),INDEX(CAPA1_PILOTO!$D$7:$DS$7,1,BC$4-FC_SUPUESTOS!$C$39),0)</f>
        <v>0</v>
      </c>
      <c r="BD18" s="423" t="n">
        <f aca="false">IF(AND(BD$4-FC_SUPUESTOS!$C$39&gt;=1,BD$4-FC_SUPUESTOS!$C$39&lt;=120),INDEX(CAPA1_PILOTO!$D$7:$DS$7,1,BD$4-FC_SUPUESTOS!$C$39),0)</f>
        <v>0</v>
      </c>
      <c r="BE18" s="423" t="n">
        <f aca="false">IF(AND(BE$4-FC_SUPUESTOS!$C$39&gt;=1,BE$4-FC_SUPUESTOS!$C$39&lt;=120),INDEX(CAPA1_PILOTO!$D$7:$DS$7,1,BE$4-FC_SUPUESTOS!$C$39),0)</f>
        <v>0</v>
      </c>
      <c r="BF18" s="423" t="n">
        <f aca="false">IF(AND(BF$4-FC_SUPUESTOS!$C$39&gt;=1,BF$4-FC_SUPUESTOS!$C$39&lt;=120),INDEX(CAPA1_PILOTO!$D$7:$DS$7,1,BF$4-FC_SUPUESTOS!$C$39),0)</f>
        <v>0</v>
      </c>
      <c r="BG18" s="423" t="n">
        <f aca="false">IF(AND(BG$4-FC_SUPUESTOS!$C$39&gt;=1,BG$4-FC_SUPUESTOS!$C$39&lt;=120),INDEX(CAPA1_PILOTO!$D$7:$DS$7,1,BG$4-FC_SUPUESTOS!$C$39),0)</f>
        <v>0</v>
      </c>
      <c r="BH18" s="423" t="n">
        <f aca="false">IF(AND(BH$4-FC_SUPUESTOS!$C$39&gt;=1,BH$4-FC_SUPUESTOS!$C$39&lt;=120),INDEX(CAPA1_PILOTO!$D$7:$DS$7,1,BH$4-FC_SUPUESTOS!$C$39),0)</f>
        <v>0</v>
      </c>
      <c r="BI18" s="423" t="n">
        <f aca="false">IF(AND(BI$4-FC_SUPUESTOS!$C$39&gt;=1,BI$4-FC_SUPUESTOS!$C$39&lt;=120),INDEX(CAPA1_PILOTO!$D$7:$DS$7,1,BI$4-FC_SUPUESTOS!$C$39),0)</f>
        <v>0</v>
      </c>
      <c r="BJ18" s="423" t="n">
        <f aca="false">IF(AND(BJ$4-FC_SUPUESTOS!$C$39&gt;=1,BJ$4-FC_SUPUESTOS!$C$39&lt;=120),INDEX(CAPA1_PILOTO!$D$7:$DS$7,1,BJ$4-FC_SUPUESTOS!$C$39),0)</f>
        <v>0</v>
      </c>
      <c r="BK18" s="423" t="n">
        <f aca="false">IF(AND(BK$4-FC_SUPUESTOS!$C$39&gt;=1,BK$4-FC_SUPUESTOS!$C$39&lt;=120),INDEX(CAPA1_PILOTO!$D$7:$DS$7,1,BK$4-FC_SUPUESTOS!$C$39),0)</f>
        <v>0</v>
      </c>
    </row>
    <row r="19" customFormat="false" ht="15" hidden="false" customHeight="true" outlineLevel="0" collapsed="false">
      <c r="B19" s="421" t="s">
        <v>2361</v>
      </c>
      <c r="D19" s="424" t="n">
        <f aca="false">D17+D18</f>
        <v>0</v>
      </c>
      <c r="E19" s="424" t="n">
        <f aca="false">E17+E18</f>
        <v>0</v>
      </c>
      <c r="F19" s="424" t="n">
        <f aca="false">F17+F18</f>
        <v>0</v>
      </c>
      <c r="G19" s="424" t="n">
        <f aca="false">G17+G18</f>
        <v>0</v>
      </c>
      <c r="H19" s="424" t="n">
        <f aca="false">H17+H18</f>
        <v>0</v>
      </c>
      <c r="I19" s="424" t="n">
        <f aca="false">I17+I18</f>
        <v>0</v>
      </c>
      <c r="J19" s="424" t="n">
        <f aca="false">J17+J18</f>
        <v>0</v>
      </c>
      <c r="K19" s="424" t="n">
        <f aca="false">K17+K18</f>
        <v>0</v>
      </c>
      <c r="L19" s="424" t="n">
        <f aca="false">L17+L18</f>
        <v>0</v>
      </c>
      <c r="M19" s="424" t="n">
        <f aca="false">M17+M18</f>
        <v>2</v>
      </c>
      <c r="N19" s="424" t="n">
        <f aca="false">N17+N18</f>
        <v>2</v>
      </c>
      <c r="O19" s="424" t="n">
        <f aca="false">O17+O18</f>
        <v>2</v>
      </c>
      <c r="P19" s="424" t="n">
        <f aca="false">P17+P18</f>
        <v>2</v>
      </c>
      <c r="Q19" s="424" t="n">
        <f aca="false">Q17+Q18</f>
        <v>2</v>
      </c>
      <c r="R19" s="424" t="n">
        <f aca="false">R17+R18</f>
        <v>0</v>
      </c>
      <c r="S19" s="424" t="n">
        <f aca="false">S17+S18</f>
        <v>0</v>
      </c>
      <c r="T19" s="424" t="n">
        <f aca="false">T17+T18</f>
        <v>0</v>
      </c>
      <c r="U19" s="424" t="n">
        <f aca="false">U17+U18</f>
        <v>0</v>
      </c>
      <c r="V19" s="424" t="n">
        <f aca="false">V17+V18</f>
        <v>0</v>
      </c>
      <c r="W19" s="424" t="n">
        <f aca="false">W17+W18</f>
        <v>0</v>
      </c>
      <c r="X19" s="424" t="n">
        <f aca="false">X17+X18</f>
        <v>0</v>
      </c>
      <c r="Y19" s="424" t="n">
        <f aca="false">Y17+Y18</f>
        <v>0</v>
      </c>
      <c r="Z19" s="424" t="n">
        <f aca="false">Z17+Z18</f>
        <v>0</v>
      </c>
      <c r="AA19" s="424" t="n">
        <f aca="false">AA17+AA18</f>
        <v>0</v>
      </c>
      <c r="AB19" s="424" t="n">
        <f aca="false">AB17+AB18</f>
        <v>0</v>
      </c>
      <c r="AC19" s="424" t="n">
        <f aca="false">AC17+AC18</f>
        <v>0</v>
      </c>
      <c r="AD19" s="424" t="n">
        <f aca="false">AD17+AD18</f>
        <v>0</v>
      </c>
      <c r="AE19" s="424" t="n">
        <f aca="false">AE17+AE18</f>
        <v>0</v>
      </c>
      <c r="AF19" s="424" t="n">
        <f aca="false">AF17+AF18</f>
        <v>0</v>
      </c>
      <c r="AG19" s="424" t="n">
        <f aca="false">AG17+AG18</f>
        <v>0</v>
      </c>
      <c r="AH19" s="424" t="n">
        <f aca="false">AH17+AH18</f>
        <v>0</v>
      </c>
      <c r="AI19" s="424" t="n">
        <f aca="false">AI17+AI18</f>
        <v>0</v>
      </c>
      <c r="AJ19" s="424" t="n">
        <f aca="false">AJ17+AJ18</f>
        <v>0</v>
      </c>
      <c r="AK19" s="424" t="n">
        <f aca="false">AK17+AK18</f>
        <v>0</v>
      </c>
      <c r="AL19" s="424" t="n">
        <f aca="false">AL17+AL18</f>
        <v>0</v>
      </c>
      <c r="AM19" s="424" t="n">
        <f aca="false">AM17+AM18</f>
        <v>0</v>
      </c>
      <c r="AN19" s="424" t="n">
        <f aca="false">AN17+AN18</f>
        <v>0</v>
      </c>
      <c r="AO19" s="424" t="n">
        <f aca="false">AO17+AO18</f>
        <v>0</v>
      </c>
      <c r="AP19" s="424" t="n">
        <f aca="false">AP17+AP18</f>
        <v>0</v>
      </c>
      <c r="AQ19" s="424" t="n">
        <f aca="false">AQ17+AQ18</f>
        <v>0</v>
      </c>
      <c r="AR19" s="424" t="n">
        <f aca="false">AR17+AR18</f>
        <v>0</v>
      </c>
      <c r="AS19" s="424" t="n">
        <f aca="false">AS17+AS18</f>
        <v>0</v>
      </c>
      <c r="AT19" s="424" t="n">
        <f aca="false">AT17+AT18</f>
        <v>0</v>
      </c>
      <c r="AU19" s="424" t="n">
        <f aca="false">AU17+AU18</f>
        <v>0</v>
      </c>
      <c r="AV19" s="424" t="n">
        <f aca="false">AV17+AV18</f>
        <v>0</v>
      </c>
      <c r="AW19" s="424" t="n">
        <f aca="false">AW17+AW18</f>
        <v>0</v>
      </c>
      <c r="AX19" s="424" t="n">
        <f aca="false">AX17+AX18</f>
        <v>0</v>
      </c>
      <c r="AY19" s="424" t="n">
        <f aca="false">AY17+AY18</f>
        <v>0</v>
      </c>
      <c r="AZ19" s="424" t="n">
        <f aca="false">AZ17+AZ18</f>
        <v>0</v>
      </c>
      <c r="BA19" s="424" t="n">
        <f aca="false">BA17+BA18</f>
        <v>0</v>
      </c>
      <c r="BB19" s="424" t="n">
        <f aca="false">BB17+BB18</f>
        <v>0</v>
      </c>
      <c r="BC19" s="424" t="n">
        <f aca="false">BC17+BC18</f>
        <v>0</v>
      </c>
      <c r="BD19" s="424" t="n">
        <f aca="false">BD17+BD18</f>
        <v>0</v>
      </c>
      <c r="BE19" s="424" t="n">
        <f aca="false">BE17+BE18</f>
        <v>0</v>
      </c>
      <c r="BF19" s="424" t="n">
        <f aca="false">BF17+BF18</f>
        <v>0</v>
      </c>
      <c r="BG19" s="424" t="n">
        <f aca="false">BG17+BG18</f>
        <v>0</v>
      </c>
      <c r="BH19" s="424" t="n">
        <f aca="false">BH17+BH18</f>
        <v>0</v>
      </c>
      <c r="BI19" s="424" t="n">
        <f aca="false">BI17+BI18</f>
        <v>0</v>
      </c>
      <c r="BJ19" s="424" t="n">
        <f aca="false">BJ17+BJ18</f>
        <v>0</v>
      </c>
      <c r="BK19" s="424" t="n">
        <f aca="false">BK17+BK18</f>
        <v>0</v>
      </c>
    </row>
    <row r="20" customFormat="false" ht="15" hidden="false" customHeight="true" outlineLevel="0" collapsed="false">
      <c r="B20" s="297" t="s">
        <v>2362</v>
      </c>
      <c r="D20" s="423" t="n">
        <f aca="false">D17</f>
        <v>0</v>
      </c>
      <c r="E20" s="423" t="n">
        <f aca="false">D20+E17</f>
        <v>0</v>
      </c>
      <c r="F20" s="423" t="n">
        <f aca="false">E20+F17</f>
        <v>0</v>
      </c>
      <c r="G20" s="423" t="n">
        <f aca="false">F20+G17</f>
        <v>0</v>
      </c>
      <c r="H20" s="423" t="n">
        <f aca="false">G20+H17</f>
        <v>0</v>
      </c>
      <c r="I20" s="423" t="n">
        <f aca="false">H20+I17</f>
        <v>0</v>
      </c>
      <c r="J20" s="423" t="n">
        <f aca="false">I20+J17</f>
        <v>0</v>
      </c>
      <c r="K20" s="423" t="n">
        <f aca="false">J20+K17</f>
        <v>0</v>
      </c>
      <c r="L20" s="423" t="n">
        <f aca="false">K20+L17</f>
        <v>0</v>
      </c>
      <c r="M20" s="423" t="n">
        <f aca="false">L20+M17</f>
        <v>2</v>
      </c>
      <c r="N20" s="423" t="n">
        <f aca="false">M20+N17</f>
        <v>4</v>
      </c>
      <c r="O20" s="423" t="n">
        <f aca="false">N20+O17</f>
        <v>6</v>
      </c>
      <c r="P20" s="423" t="n">
        <f aca="false">O20+P17</f>
        <v>7</v>
      </c>
      <c r="Q20" s="423" t="n">
        <f aca="false">P20+Q17</f>
        <v>7</v>
      </c>
      <c r="R20" s="423" t="n">
        <f aca="false">Q20+R17</f>
        <v>7</v>
      </c>
      <c r="S20" s="423" t="n">
        <f aca="false">R20+S17</f>
        <v>7</v>
      </c>
      <c r="T20" s="423" t="n">
        <f aca="false">S20+T17</f>
        <v>7</v>
      </c>
      <c r="U20" s="423" t="n">
        <f aca="false">T20+U17</f>
        <v>7</v>
      </c>
      <c r="V20" s="423" t="n">
        <f aca="false">U20+V17</f>
        <v>7</v>
      </c>
      <c r="W20" s="423" t="n">
        <f aca="false">V20+W17</f>
        <v>7</v>
      </c>
      <c r="X20" s="423" t="n">
        <f aca="false">W20+X17</f>
        <v>7</v>
      </c>
      <c r="Y20" s="423" t="n">
        <f aca="false">X20+Y17</f>
        <v>7</v>
      </c>
      <c r="Z20" s="423" t="n">
        <f aca="false">Y20+Z17</f>
        <v>7</v>
      </c>
      <c r="AA20" s="423" t="n">
        <f aca="false">Z20+AA17</f>
        <v>7</v>
      </c>
      <c r="AB20" s="423" t="n">
        <f aca="false">AA20+AB17</f>
        <v>7</v>
      </c>
      <c r="AC20" s="423" t="n">
        <f aca="false">AB20+AC17</f>
        <v>7</v>
      </c>
      <c r="AD20" s="423" t="n">
        <f aca="false">AC20+AD17</f>
        <v>7</v>
      </c>
      <c r="AE20" s="423" t="n">
        <f aca="false">AD20+AE17</f>
        <v>7</v>
      </c>
      <c r="AF20" s="423" t="n">
        <f aca="false">AE20+AF17</f>
        <v>7</v>
      </c>
      <c r="AG20" s="423" t="n">
        <f aca="false">AF20+AG17</f>
        <v>7</v>
      </c>
      <c r="AH20" s="423" t="n">
        <f aca="false">AG20+AH17</f>
        <v>7</v>
      </c>
      <c r="AI20" s="423" t="n">
        <f aca="false">AH20+AI17</f>
        <v>7</v>
      </c>
      <c r="AJ20" s="423" t="n">
        <f aca="false">AI20+AJ17</f>
        <v>7</v>
      </c>
      <c r="AK20" s="423" t="n">
        <f aca="false">AJ20+AK17</f>
        <v>7</v>
      </c>
      <c r="AL20" s="423" t="n">
        <f aca="false">AK20+AL17</f>
        <v>7</v>
      </c>
      <c r="AM20" s="423" t="n">
        <f aca="false">AL20+AM17</f>
        <v>7</v>
      </c>
      <c r="AN20" s="423" t="n">
        <f aca="false">AM20+AN17</f>
        <v>7</v>
      </c>
      <c r="AO20" s="423" t="n">
        <f aca="false">AN20+AO17</f>
        <v>7</v>
      </c>
      <c r="AP20" s="423" t="n">
        <f aca="false">AO20+AP17</f>
        <v>7</v>
      </c>
      <c r="AQ20" s="423" t="n">
        <f aca="false">AP20+AQ17</f>
        <v>7</v>
      </c>
      <c r="AR20" s="423" t="n">
        <f aca="false">AQ20+AR17</f>
        <v>7</v>
      </c>
      <c r="AS20" s="423" t="n">
        <f aca="false">AR20+AS17</f>
        <v>7</v>
      </c>
      <c r="AT20" s="423" t="n">
        <f aca="false">AS20+AT17</f>
        <v>7</v>
      </c>
      <c r="AU20" s="423" t="n">
        <f aca="false">AT20+AU17</f>
        <v>7</v>
      </c>
      <c r="AV20" s="423" t="n">
        <f aca="false">AU20+AV17</f>
        <v>7</v>
      </c>
      <c r="AW20" s="423" t="n">
        <f aca="false">AV20+AW17</f>
        <v>7</v>
      </c>
      <c r="AX20" s="423" t="n">
        <f aca="false">AW20+AX17</f>
        <v>7</v>
      </c>
      <c r="AY20" s="423" t="n">
        <f aca="false">AX20+AY17</f>
        <v>7</v>
      </c>
      <c r="AZ20" s="423" t="n">
        <f aca="false">AY20+AZ17</f>
        <v>7</v>
      </c>
      <c r="BA20" s="423" t="n">
        <f aca="false">AZ20+BA17</f>
        <v>7</v>
      </c>
      <c r="BB20" s="423" t="n">
        <f aca="false">BA20+BB17</f>
        <v>7</v>
      </c>
      <c r="BC20" s="423" t="n">
        <f aca="false">BB20+BC17</f>
        <v>7</v>
      </c>
      <c r="BD20" s="423" t="n">
        <f aca="false">BC20+BD17</f>
        <v>7</v>
      </c>
      <c r="BE20" s="423" t="n">
        <f aca="false">BD20+BE17</f>
        <v>7</v>
      </c>
      <c r="BF20" s="423" t="n">
        <f aca="false">BE20+BF17</f>
        <v>7</v>
      </c>
      <c r="BG20" s="423" t="n">
        <f aca="false">BF20+BG17</f>
        <v>7</v>
      </c>
      <c r="BH20" s="423" t="n">
        <f aca="false">BG20+BH17</f>
        <v>7</v>
      </c>
      <c r="BI20" s="423" t="n">
        <f aca="false">BH20+BI17</f>
        <v>7</v>
      </c>
      <c r="BJ20" s="423" t="n">
        <f aca="false">BI20+BJ17</f>
        <v>7</v>
      </c>
      <c r="BK20" s="423" t="n">
        <f aca="false">BJ20+BK17</f>
        <v>7</v>
      </c>
    </row>
    <row r="21" customFormat="false" ht="15" hidden="false" customHeight="true" outlineLevel="0" collapsed="false">
      <c r="B21" s="297" t="s">
        <v>2363</v>
      </c>
      <c r="D21" s="423" t="n">
        <f aca="false">D18</f>
        <v>0</v>
      </c>
      <c r="E21" s="423" t="n">
        <f aca="false">D21+E18</f>
        <v>0</v>
      </c>
      <c r="F21" s="423" t="n">
        <f aca="false">E21+F18</f>
        <v>0</v>
      </c>
      <c r="G21" s="423" t="n">
        <f aca="false">F21+G18</f>
        <v>0</v>
      </c>
      <c r="H21" s="423" t="n">
        <f aca="false">G21+H18</f>
        <v>0</v>
      </c>
      <c r="I21" s="423" t="n">
        <f aca="false">H21+I18</f>
        <v>0</v>
      </c>
      <c r="J21" s="423" t="n">
        <f aca="false">I21+J18</f>
        <v>0</v>
      </c>
      <c r="K21" s="423" t="n">
        <f aca="false">J21+K18</f>
        <v>0</v>
      </c>
      <c r="L21" s="423" t="n">
        <f aca="false">K21+L18</f>
        <v>0</v>
      </c>
      <c r="M21" s="423" t="n">
        <f aca="false">L21+M18</f>
        <v>0</v>
      </c>
      <c r="N21" s="423" t="n">
        <f aca="false">M21+N18</f>
        <v>0</v>
      </c>
      <c r="O21" s="423" t="n">
        <f aca="false">N21+O18</f>
        <v>0</v>
      </c>
      <c r="P21" s="423" t="n">
        <f aca="false">O21+P18</f>
        <v>1</v>
      </c>
      <c r="Q21" s="423" t="n">
        <f aca="false">P21+Q18</f>
        <v>3</v>
      </c>
      <c r="R21" s="423" t="n">
        <f aca="false">Q21+R18</f>
        <v>3</v>
      </c>
      <c r="S21" s="423" t="n">
        <f aca="false">R21+S18</f>
        <v>3</v>
      </c>
      <c r="T21" s="423" t="n">
        <f aca="false">S21+T18</f>
        <v>3</v>
      </c>
      <c r="U21" s="423" t="n">
        <f aca="false">T21+U18</f>
        <v>3</v>
      </c>
      <c r="V21" s="423" t="n">
        <f aca="false">U21+V18</f>
        <v>3</v>
      </c>
      <c r="W21" s="423" t="n">
        <f aca="false">V21+W18</f>
        <v>3</v>
      </c>
      <c r="X21" s="423" t="n">
        <f aca="false">W21+X18</f>
        <v>3</v>
      </c>
      <c r="Y21" s="423" t="n">
        <f aca="false">X21+Y18</f>
        <v>3</v>
      </c>
      <c r="Z21" s="423" t="n">
        <f aca="false">Y21+Z18</f>
        <v>3</v>
      </c>
      <c r="AA21" s="423" t="n">
        <f aca="false">Z21+AA18</f>
        <v>3</v>
      </c>
      <c r="AB21" s="423" t="n">
        <f aca="false">AA21+AB18</f>
        <v>3</v>
      </c>
      <c r="AC21" s="423" t="n">
        <f aca="false">AB21+AC18</f>
        <v>3</v>
      </c>
      <c r="AD21" s="423" t="n">
        <f aca="false">AC21+AD18</f>
        <v>3</v>
      </c>
      <c r="AE21" s="423" t="n">
        <f aca="false">AD21+AE18</f>
        <v>3</v>
      </c>
      <c r="AF21" s="423" t="n">
        <f aca="false">AE21+AF18</f>
        <v>3</v>
      </c>
      <c r="AG21" s="423" t="n">
        <f aca="false">AF21+AG18</f>
        <v>3</v>
      </c>
      <c r="AH21" s="423" t="n">
        <f aca="false">AG21+AH18</f>
        <v>3</v>
      </c>
      <c r="AI21" s="423" t="n">
        <f aca="false">AH21+AI18</f>
        <v>3</v>
      </c>
      <c r="AJ21" s="423" t="n">
        <f aca="false">AI21+AJ18</f>
        <v>3</v>
      </c>
      <c r="AK21" s="423" t="n">
        <f aca="false">AJ21+AK18</f>
        <v>3</v>
      </c>
      <c r="AL21" s="423" t="n">
        <f aca="false">AK21+AL18</f>
        <v>3</v>
      </c>
      <c r="AM21" s="423" t="n">
        <f aca="false">AL21+AM18</f>
        <v>3</v>
      </c>
      <c r="AN21" s="423" t="n">
        <f aca="false">AM21+AN18</f>
        <v>3</v>
      </c>
      <c r="AO21" s="423" t="n">
        <f aca="false">AN21+AO18</f>
        <v>3</v>
      </c>
      <c r="AP21" s="423" t="n">
        <f aca="false">AO21+AP18</f>
        <v>3</v>
      </c>
      <c r="AQ21" s="423" t="n">
        <f aca="false">AP21+AQ18</f>
        <v>3</v>
      </c>
      <c r="AR21" s="423" t="n">
        <f aca="false">AQ21+AR18</f>
        <v>3</v>
      </c>
      <c r="AS21" s="423" t="n">
        <f aca="false">AR21+AS18</f>
        <v>3</v>
      </c>
      <c r="AT21" s="423" t="n">
        <f aca="false">AS21+AT18</f>
        <v>3</v>
      </c>
      <c r="AU21" s="423" t="n">
        <f aca="false">AT21+AU18</f>
        <v>3</v>
      </c>
      <c r="AV21" s="423" t="n">
        <f aca="false">AU21+AV18</f>
        <v>3</v>
      </c>
      <c r="AW21" s="423" t="n">
        <f aca="false">AV21+AW18</f>
        <v>3</v>
      </c>
      <c r="AX21" s="423" t="n">
        <f aca="false">AW21+AX18</f>
        <v>3</v>
      </c>
      <c r="AY21" s="423" t="n">
        <f aca="false">AX21+AY18</f>
        <v>3</v>
      </c>
      <c r="AZ21" s="423" t="n">
        <f aca="false">AY21+AZ18</f>
        <v>3</v>
      </c>
      <c r="BA21" s="423" t="n">
        <f aca="false">AZ21+BA18</f>
        <v>3</v>
      </c>
      <c r="BB21" s="423" t="n">
        <f aca="false">BA21+BB18</f>
        <v>3</v>
      </c>
      <c r="BC21" s="423" t="n">
        <f aca="false">BB21+BC18</f>
        <v>3</v>
      </c>
      <c r="BD21" s="423" t="n">
        <f aca="false">BC21+BD18</f>
        <v>3</v>
      </c>
      <c r="BE21" s="423" t="n">
        <f aca="false">BD21+BE18</f>
        <v>3</v>
      </c>
      <c r="BF21" s="423" t="n">
        <f aca="false">BE21+BF18</f>
        <v>3</v>
      </c>
      <c r="BG21" s="423" t="n">
        <f aca="false">BF21+BG18</f>
        <v>3</v>
      </c>
      <c r="BH21" s="423" t="n">
        <f aca="false">BG21+BH18</f>
        <v>3</v>
      </c>
      <c r="BI21" s="423" t="n">
        <f aca="false">BH21+BI18</f>
        <v>3</v>
      </c>
      <c r="BJ21" s="423" t="n">
        <f aca="false">BI21+BJ18</f>
        <v>3</v>
      </c>
      <c r="BK21" s="423" t="n">
        <f aca="false">BJ21+BK18</f>
        <v>3</v>
      </c>
    </row>
    <row r="22" customFormat="false" ht="15" hidden="false" customHeight="true" outlineLevel="0" collapsed="false">
      <c r="B22" s="421" t="s">
        <v>2364</v>
      </c>
      <c r="D22" s="424" t="n">
        <f aca="false">D20+D21</f>
        <v>0</v>
      </c>
      <c r="E22" s="424" t="n">
        <f aca="false">E20+E21</f>
        <v>0</v>
      </c>
      <c r="F22" s="424" t="n">
        <f aca="false">F20+F21</f>
        <v>0</v>
      </c>
      <c r="G22" s="424" t="n">
        <f aca="false">G20+G21</f>
        <v>0</v>
      </c>
      <c r="H22" s="424" t="n">
        <f aca="false">H20+H21</f>
        <v>0</v>
      </c>
      <c r="I22" s="424" t="n">
        <f aca="false">I20+I21</f>
        <v>0</v>
      </c>
      <c r="J22" s="424" t="n">
        <f aca="false">J20+J21</f>
        <v>0</v>
      </c>
      <c r="K22" s="424" t="n">
        <f aca="false">K20+K21</f>
        <v>0</v>
      </c>
      <c r="L22" s="424" t="n">
        <f aca="false">L20+L21</f>
        <v>0</v>
      </c>
      <c r="M22" s="424" t="n">
        <f aca="false">M20+M21</f>
        <v>2</v>
      </c>
      <c r="N22" s="424" t="n">
        <f aca="false">N20+N21</f>
        <v>4</v>
      </c>
      <c r="O22" s="424" t="n">
        <f aca="false">O20+O21</f>
        <v>6</v>
      </c>
      <c r="P22" s="424" t="n">
        <f aca="false">P20+P21</f>
        <v>8</v>
      </c>
      <c r="Q22" s="424" t="n">
        <f aca="false">Q20+Q21</f>
        <v>10</v>
      </c>
      <c r="R22" s="424" t="n">
        <f aca="false">R20+R21</f>
        <v>10</v>
      </c>
      <c r="S22" s="424" t="n">
        <f aca="false">S20+S21</f>
        <v>10</v>
      </c>
      <c r="T22" s="424" t="n">
        <f aca="false">T20+T21</f>
        <v>10</v>
      </c>
      <c r="U22" s="424" t="n">
        <f aca="false">U20+U21</f>
        <v>10</v>
      </c>
      <c r="V22" s="424" t="n">
        <f aca="false">V20+V21</f>
        <v>10</v>
      </c>
      <c r="W22" s="424" t="n">
        <f aca="false">W20+W21</f>
        <v>10</v>
      </c>
      <c r="X22" s="424" t="n">
        <f aca="false">X20+X21</f>
        <v>10</v>
      </c>
      <c r="Y22" s="424" t="n">
        <f aca="false">Y20+Y21</f>
        <v>10</v>
      </c>
      <c r="Z22" s="424" t="n">
        <f aca="false">Z20+Z21</f>
        <v>10</v>
      </c>
      <c r="AA22" s="424" t="n">
        <f aca="false">AA20+AA21</f>
        <v>10</v>
      </c>
      <c r="AB22" s="424" t="n">
        <f aca="false">AB20+AB21</f>
        <v>10</v>
      </c>
      <c r="AC22" s="424" t="n">
        <f aca="false">AC20+AC21</f>
        <v>10</v>
      </c>
      <c r="AD22" s="424" t="n">
        <f aca="false">AD20+AD21</f>
        <v>10</v>
      </c>
      <c r="AE22" s="424" t="n">
        <f aca="false">AE20+AE21</f>
        <v>10</v>
      </c>
      <c r="AF22" s="424" t="n">
        <f aca="false">AF20+AF21</f>
        <v>10</v>
      </c>
      <c r="AG22" s="424" t="n">
        <f aca="false">AG20+AG21</f>
        <v>10</v>
      </c>
      <c r="AH22" s="424" t="n">
        <f aca="false">AH20+AH21</f>
        <v>10</v>
      </c>
      <c r="AI22" s="424" t="n">
        <f aca="false">AI20+AI21</f>
        <v>10</v>
      </c>
      <c r="AJ22" s="424" t="n">
        <f aca="false">AJ20+AJ21</f>
        <v>10</v>
      </c>
      <c r="AK22" s="424" t="n">
        <f aca="false">AK20+AK21</f>
        <v>10</v>
      </c>
      <c r="AL22" s="424" t="n">
        <f aca="false">AL20+AL21</f>
        <v>10</v>
      </c>
      <c r="AM22" s="424" t="n">
        <f aca="false">AM20+AM21</f>
        <v>10</v>
      </c>
      <c r="AN22" s="424" t="n">
        <f aca="false">AN20+AN21</f>
        <v>10</v>
      </c>
      <c r="AO22" s="424" t="n">
        <f aca="false">AO20+AO21</f>
        <v>10</v>
      </c>
      <c r="AP22" s="424" t="n">
        <f aca="false">AP20+AP21</f>
        <v>10</v>
      </c>
      <c r="AQ22" s="424" t="n">
        <f aca="false">AQ20+AQ21</f>
        <v>10</v>
      </c>
      <c r="AR22" s="424" t="n">
        <f aca="false">AR20+AR21</f>
        <v>10</v>
      </c>
      <c r="AS22" s="424" t="n">
        <f aca="false">AS20+AS21</f>
        <v>10</v>
      </c>
      <c r="AT22" s="424" t="n">
        <f aca="false">AT20+AT21</f>
        <v>10</v>
      </c>
      <c r="AU22" s="424" t="n">
        <f aca="false">AU20+AU21</f>
        <v>10</v>
      </c>
      <c r="AV22" s="424" t="n">
        <f aca="false">AV20+AV21</f>
        <v>10</v>
      </c>
      <c r="AW22" s="424" t="n">
        <f aca="false">AW20+AW21</f>
        <v>10</v>
      </c>
      <c r="AX22" s="424" t="n">
        <f aca="false">AX20+AX21</f>
        <v>10</v>
      </c>
      <c r="AY22" s="424" t="n">
        <f aca="false">AY20+AY21</f>
        <v>10</v>
      </c>
      <c r="AZ22" s="424" t="n">
        <f aca="false">AZ20+AZ21</f>
        <v>10</v>
      </c>
      <c r="BA22" s="424" t="n">
        <f aca="false">BA20+BA21</f>
        <v>10</v>
      </c>
      <c r="BB22" s="424" t="n">
        <f aca="false">BB20+BB21</f>
        <v>10</v>
      </c>
      <c r="BC22" s="424" t="n">
        <f aca="false">BC20+BC21</f>
        <v>10</v>
      </c>
      <c r="BD22" s="424" t="n">
        <f aca="false">BD20+BD21</f>
        <v>10</v>
      </c>
      <c r="BE22" s="424" t="n">
        <f aca="false">BE20+BE21</f>
        <v>10</v>
      </c>
      <c r="BF22" s="424" t="n">
        <f aca="false">BF20+BF21</f>
        <v>10</v>
      </c>
      <c r="BG22" s="424" t="n">
        <f aca="false">BG20+BG21</f>
        <v>10</v>
      </c>
      <c r="BH22" s="424" t="n">
        <f aca="false">BH20+BH21</f>
        <v>10</v>
      </c>
      <c r="BI22" s="424" t="n">
        <f aca="false">BI20+BI21</f>
        <v>10</v>
      </c>
      <c r="BJ22" s="424" t="n">
        <f aca="false">BJ20+BJ21</f>
        <v>10</v>
      </c>
      <c r="BK22" s="424" t="n">
        <f aca="false">BK20+BK21</f>
        <v>10</v>
      </c>
    </row>
    <row r="23" customFormat="false" ht="15" hidden="false" customHeight="true" outlineLevel="0" collapsed="false">
      <c r="B23" s="297" t="s">
        <v>2365</v>
      </c>
      <c r="D23" s="425" t="n">
        <f aca="false">D20-(1-SUP_OPEX!$C$38)*D17-(1-SUP_OPEX!$C$39)*C17</f>
        <v>0</v>
      </c>
      <c r="E23" s="425" t="n">
        <f aca="false">E20-(1-SUP_OPEX!$C$38)*E17-(1-SUP_OPEX!$C$39)*D17</f>
        <v>0</v>
      </c>
      <c r="F23" s="425" t="n">
        <f aca="false">F20-(1-SUP_OPEX!$C$38)*F17-(1-SUP_OPEX!$C$39)*E17</f>
        <v>0</v>
      </c>
      <c r="G23" s="425" t="n">
        <f aca="false">G20-(1-SUP_OPEX!$C$38)*G17-(1-SUP_OPEX!$C$39)*F17</f>
        <v>0</v>
      </c>
      <c r="H23" s="425" t="n">
        <f aca="false">H20-(1-SUP_OPEX!$C$38)*H17-(1-SUP_OPEX!$C$39)*G17</f>
        <v>0</v>
      </c>
      <c r="I23" s="425" t="n">
        <f aca="false">I20-(1-SUP_OPEX!$C$38)*I17-(1-SUP_OPEX!$C$39)*H17</f>
        <v>0</v>
      </c>
      <c r="J23" s="425" t="n">
        <f aca="false">J20-(1-SUP_OPEX!$C$38)*J17-(1-SUP_OPEX!$C$39)*I17</f>
        <v>0</v>
      </c>
      <c r="K23" s="425" t="n">
        <f aca="false">K20-(1-SUP_OPEX!$C$38)*K17-(1-SUP_OPEX!$C$39)*J17</f>
        <v>0</v>
      </c>
      <c r="L23" s="425" t="n">
        <f aca="false">L20-(1-SUP_OPEX!$C$38)*L17-(1-SUP_OPEX!$C$39)*K17</f>
        <v>0</v>
      </c>
      <c r="M23" s="425" t="n">
        <f aca="false">M20-(1-SUP_OPEX!$C$38)*M17-(1-SUP_OPEX!$C$39)*L17</f>
        <v>1.4</v>
      </c>
      <c r="N23" s="425" t="n">
        <f aca="false">N20-(1-SUP_OPEX!$C$38)*N17-(1-SUP_OPEX!$C$39)*M17</f>
        <v>3.1</v>
      </c>
      <c r="O23" s="425" t="n">
        <f aca="false">O20-(1-SUP_OPEX!$C$38)*O17-(1-SUP_OPEX!$C$39)*N17</f>
        <v>5.1</v>
      </c>
      <c r="P23" s="425" t="n">
        <f aca="false">P20-(1-SUP_OPEX!$C$38)*P17-(1-SUP_OPEX!$C$39)*O17</f>
        <v>6.4</v>
      </c>
      <c r="Q23" s="425" t="n">
        <f aca="false">Q20-(1-SUP_OPEX!$C$38)*Q17-(1-SUP_OPEX!$C$39)*P17</f>
        <v>6.85</v>
      </c>
      <c r="R23" s="425" t="n">
        <f aca="false">R20-(1-SUP_OPEX!$C$38)*R17-(1-SUP_OPEX!$C$39)*Q17</f>
        <v>7</v>
      </c>
      <c r="S23" s="425" t="n">
        <f aca="false">S20-(1-SUP_OPEX!$C$38)*S17-(1-SUP_OPEX!$C$39)*R17</f>
        <v>7</v>
      </c>
      <c r="T23" s="425" t="n">
        <f aca="false">T20-(1-SUP_OPEX!$C$38)*T17-(1-SUP_OPEX!$C$39)*S17</f>
        <v>7</v>
      </c>
      <c r="U23" s="425" t="n">
        <f aca="false">U20-(1-SUP_OPEX!$C$38)*U17-(1-SUP_OPEX!$C$39)*T17</f>
        <v>7</v>
      </c>
      <c r="V23" s="425" t="n">
        <f aca="false">V20-(1-SUP_OPEX!$C$38)*V17-(1-SUP_OPEX!$C$39)*U17</f>
        <v>7</v>
      </c>
      <c r="W23" s="425" t="n">
        <f aca="false">W20-(1-SUP_OPEX!$C$38)*W17-(1-SUP_OPEX!$C$39)*V17</f>
        <v>7</v>
      </c>
      <c r="X23" s="425" t="n">
        <f aca="false">X20-(1-SUP_OPEX!$C$38)*X17-(1-SUP_OPEX!$C$39)*W17</f>
        <v>7</v>
      </c>
      <c r="Y23" s="425" t="n">
        <f aca="false">Y20-(1-SUP_OPEX!$C$38)*Y17-(1-SUP_OPEX!$C$39)*X17</f>
        <v>7</v>
      </c>
      <c r="Z23" s="425" t="n">
        <f aca="false">Z20-(1-SUP_OPEX!$C$38)*Z17-(1-SUP_OPEX!$C$39)*Y17</f>
        <v>7</v>
      </c>
      <c r="AA23" s="425" t="n">
        <f aca="false">AA20-(1-SUP_OPEX!$C$38)*AA17-(1-SUP_OPEX!$C$39)*Z17</f>
        <v>7</v>
      </c>
      <c r="AB23" s="425" t="n">
        <f aca="false">AB20-(1-SUP_OPEX!$C$38)*AB17-(1-SUP_OPEX!$C$39)*AA17</f>
        <v>7</v>
      </c>
      <c r="AC23" s="425" t="n">
        <f aca="false">AC20-(1-SUP_OPEX!$C$38)*AC17-(1-SUP_OPEX!$C$39)*AB17</f>
        <v>7</v>
      </c>
      <c r="AD23" s="425" t="n">
        <f aca="false">AD20-(1-SUP_OPEX!$C$38)*AD17-(1-SUP_OPEX!$C$39)*AC17</f>
        <v>7</v>
      </c>
      <c r="AE23" s="425" t="n">
        <f aca="false">AE20-(1-SUP_OPEX!$C$38)*AE17-(1-SUP_OPEX!$C$39)*AD17</f>
        <v>7</v>
      </c>
      <c r="AF23" s="425" t="n">
        <f aca="false">AF20-(1-SUP_OPEX!$C$38)*AF17-(1-SUP_OPEX!$C$39)*AE17</f>
        <v>7</v>
      </c>
      <c r="AG23" s="425" t="n">
        <f aca="false">AG20-(1-SUP_OPEX!$C$38)*AG17-(1-SUP_OPEX!$C$39)*AF17</f>
        <v>7</v>
      </c>
      <c r="AH23" s="425" t="n">
        <f aca="false">AH20-(1-SUP_OPEX!$C$38)*AH17-(1-SUP_OPEX!$C$39)*AG17</f>
        <v>7</v>
      </c>
      <c r="AI23" s="425" t="n">
        <f aca="false">AI20-(1-SUP_OPEX!$C$38)*AI17-(1-SUP_OPEX!$C$39)*AH17</f>
        <v>7</v>
      </c>
      <c r="AJ23" s="425" t="n">
        <f aca="false">AJ20-(1-SUP_OPEX!$C$38)*AJ17-(1-SUP_OPEX!$C$39)*AI17</f>
        <v>7</v>
      </c>
      <c r="AK23" s="425" t="n">
        <f aca="false">AK20-(1-SUP_OPEX!$C$38)*AK17-(1-SUP_OPEX!$C$39)*AJ17</f>
        <v>7</v>
      </c>
      <c r="AL23" s="425" t="n">
        <f aca="false">AL20-(1-SUP_OPEX!$C$38)*AL17-(1-SUP_OPEX!$C$39)*AK17</f>
        <v>7</v>
      </c>
      <c r="AM23" s="425" t="n">
        <f aca="false">AM20-(1-SUP_OPEX!$C$38)*AM17-(1-SUP_OPEX!$C$39)*AL17</f>
        <v>7</v>
      </c>
      <c r="AN23" s="425" t="n">
        <f aca="false">AN20-(1-SUP_OPEX!$C$38)*AN17-(1-SUP_OPEX!$C$39)*AM17</f>
        <v>7</v>
      </c>
      <c r="AO23" s="425" t="n">
        <f aca="false">AO20-(1-SUP_OPEX!$C$38)*AO17-(1-SUP_OPEX!$C$39)*AN17</f>
        <v>7</v>
      </c>
      <c r="AP23" s="425" t="n">
        <f aca="false">AP20-(1-SUP_OPEX!$C$38)*AP17-(1-SUP_OPEX!$C$39)*AO17</f>
        <v>7</v>
      </c>
      <c r="AQ23" s="425" t="n">
        <f aca="false">AQ20-(1-SUP_OPEX!$C$38)*AQ17-(1-SUP_OPEX!$C$39)*AP17</f>
        <v>7</v>
      </c>
      <c r="AR23" s="425" t="n">
        <f aca="false">AR20-(1-SUP_OPEX!$C$38)*AR17-(1-SUP_OPEX!$C$39)*AQ17</f>
        <v>7</v>
      </c>
      <c r="AS23" s="425" t="n">
        <f aca="false">AS20-(1-SUP_OPEX!$C$38)*AS17-(1-SUP_OPEX!$C$39)*AR17</f>
        <v>7</v>
      </c>
      <c r="AT23" s="425" t="n">
        <f aca="false">AT20-(1-SUP_OPEX!$C$38)*AT17-(1-SUP_OPEX!$C$39)*AS17</f>
        <v>7</v>
      </c>
      <c r="AU23" s="425" t="n">
        <f aca="false">AU20-(1-SUP_OPEX!$C$38)*AU17-(1-SUP_OPEX!$C$39)*AT17</f>
        <v>7</v>
      </c>
      <c r="AV23" s="425" t="n">
        <f aca="false">AV20-(1-SUP_OPEX!$C$38)*AV17-(1-SUP_OPEX!$C$39)*AU17</f>
        <v>7</v>
      </c>
      <c r="AW23" s="425" t="n">
        <f aca="false">AW20-(1-SUP_OPEX!$C$38)*AW17-(1-SUP_OPEX!$C$39)*AV17</f>
        <v>7</v>
      </c>
      <c r="AX23" s="425" t="n">
        <f aca="false">AX20-(1-SUP_OPEX!$C$38)*AX17-(1-SUP_OPEX!$C$39)*AW17</f>
        <v>7</v>
      </c>
      <c r="AY23" s="425" t="n">
        <f aca="false">AY20-(1-SUP_OPEX!$C$38)*AY17-(1-SUP_OPEX!$C$39)*AX17</f>
        <v>7</v>
      </c>
      <c r="AZ23" s="425" t="n">
        <f aca="false">AZ20-(1-SUP_OPEX!$C$38)*AZ17-(1-SUP_OPEX!$C$39)*AY17</f>
        <v>7</v>
      </c>
      <c r="BA23" s="425" t="n">
        <f aca="false">BA20-(1-SUP_OPEX!$C$38)*BA17-(1-SUP_OPEX!$C$39)*AZ17</f>
        <v>7</v>
      </c>
      <c r="BB23" s="425" t="n">
        <f aca="false">BB20-(1-SUP_OPEX!$C$38)*BB17-(1-SUP_OPEX!$C$39)*BA17</f>
        <v>7</v>
      </c>
      <c r="BC23" s="425" t="n">
        <f aca="false">BC20-(1-SUP_OPEX!$C$38)*BC17-(1-SUP_OPEX!$C$39)*BB17</f>
        <v>7</v>
      </c>
      <c r="BD23" s="425" t="n">
        <f aca="false">BD20-(1-SUP_OPEX!$C$38)*BD17-(1-SUP_OPEX!$C$39)*BC17</f>
        <v>7</v>
      </c>
      <c r="BE23" s="425" t="n">
        <f aca="false">BE20-(1-SUP_OPEX!$C$38)*BE17-(1-SUP_OPEX!$C$39)*BD17</f>
        <v>7</v>
      </c>
      <c r="BF23" s="425" t="n">
        <f aca="false">BF20-(1-SUP_OPEX!$C$38)*BF17-(1-SUP_OPEX!$C$39)*BE17</f>
        <v>7</v>
      </c>
      <c r="BG23" s="425" t="n">
        <f aca="false">BG20-(1-SUP_OPEX!$C$38)*BG17-(1-SUP_OPEX!$C$39)*BF17</f>
        <v>7</v>
      </c>
      <c r="BH23" s="425" t="n">
        <f aca="false">BH20-(1-SUP_OPEX!$C$38)*BH17-(1-SUP_OPEX!$C$39)*BG17</f>
        <v>7</v>
      </c>
      <c r="BI23" s="425" t="n">
        <f aca="false">BI20-(1-SUP_OPEX!$C$38)*BI17-(1-SUP_OPEX!$C$39)*BH17</f>
        <v>7</v>
      </c>
      <c r="BJ23" s="425" t="n">
        <f aca="false">BJ20-(1-SUP_OPEX!$C$38)*BJ17-(1-SUP_OPEX!$C$39)*BI17</f>
        <v>7</v>
      </c>
      <c r="BK23" s="425" t="n">
        <f aca="false">BK20-(1-SUP_OPEX!$C$38)*BK17-(1-SUP_OPEX!$C$39)*BJ17</f>
        <v>7</v>
      </c>
    </row>
    <row r="24" customFormat="false" ht="15" hidden="false" customHeight="true" outlineLevel="0" collapsed="false">
      <c r="B24" s="297" t="s">
        <v>2366</v>
      </c>
      <c r="D24" s="425" t="n">
        <f aca="false">D21-(1-SUP_OPEX!$C$38)*D18-(1-SUP_OPEX!$C$39)*C18</f>
        <v>0</v>
      </c>
      <c r="E24" s="425" t="n">
        <f aca="false">E21-(1-SUP_OPEX!$C$38)*E18-(1-SUP_OPEX!$C$39)*D18</f>
        <v>0</v>
      </c>
      <c r="F24" s="425" t="n">
        <f aca="false">F21-(1-SUP_OPEX!$C$38)*F18-(1-SUP_OPEX!$C$39)*E18</f>
        <v>0</v>
      </c>
      <c r="G24" s="425" t="n">
        <f aca="false">G21-(1-SUP_OPEX!$C$38)*G18-(1-SUP_OPEX!$C$39)*F18</f>
        <v>0</v>
      </c>
      <c r="H24" s="425" t="n">
        <f aca="false">H21-(1-SUP_OPEX!$C$38)*H18-(1-SUP_OPEX!$C$39)*G18</f>
        <v>0</v>
      </c>
      <c r="I24" s="425" t="n">
        <f aca="false">I21-(1-SUP_OPEX!$C$38)*I18-(1-SUP_OPEX!$C$39)*H18</f>
        <v>0</v>
      </c>
      <c r="J24" s="425" t="n">
        <f aca="false">J21-(1-SUP_OPEX!$C$38)*J18-(1-SUP_OPEX!$C$39)*I18</f>
        <v>0</v>
      </c>
      <c r="K24" s="425" t="n">
        <f aca="false">K21-(1-SUP_OPEX!$C$38)*K18-(1-SUP_OPEX!$C$39)*J18</f>
        <v>0</v>
      </c>
      <c r="L24" s="425" t="n">
        <f aca="false">L21-(1-SUP_OPEX!$C$38)*L18-(1-SUP_OPEX!$C$39)*K18</f>
        <v>0</v>
      </c>
      <c r="M24" s="425" t="n">
        <f aca="false">M21-(1-SUP_OPEX!$C$38)*M18-(1-SUP_OPEX!$C$39)*L18</f>
        <v>0</v>
      </c>
      <c r="N24" s="425" t="n">
        <f aca="false">N21-(1-SUP_OPEX!$C$38)*N18-(1-SUP_OPEX!$C$39)*M18</f>
        <v>0</v>
      </c>
      <c r="O24" s="425" t="n">
        <f aca="false">O21-(1-SUP_OPEX!$C$38)*O18-(1-SUP_OPEX!$C$39)*N18</f>
        <v>0</v>
      </c>
      <c r="P24" s="425" t="n">
        <f aca="false">P21-(1-SUP_OPEX!$C$38)*P18-(1-SUP_OPEX!$C$39)*O18</f>
        <v>0.7</v>
      </c>
      <c r="Q24" s="425" t="n">
        <f aca="false">Q21-(1-SUP_OPEX!$C$38)*Q18-(1-SUP_OPEX!$C$39)*P18</f>
        <v>2.25</v>
      </c>
      <c r="R24" s="425" t="n">
        <f aca="false">R21-(1-SUP_OPEX!$C$38)*R18-(1-SUP_OPEX!$C$39)*Q18</f>
        <v>2.7</v>
      </c>
      <c r="S24" s="425" t="n">
        <f aca="false">S21-(1-SUP_OPEX!$C$38)*S18-(1-SUP_OPEX!$C$39)*R18</f>
        <v>3</v>
      </c>
      <c r="T24" s="425" t="n">
        <f aca="false">T21-(1-SUP_OPEX!$C$38)*T18-(1-SUP_OPEX!$C$39)*S18</f>
        <v>3</v>
      </c>
      <c r="U24" s="425" t="n">
        <f aca="false">U21-(1-SUP_OPEX!$C$38)*U18-(1-SUP_OPEX!$C$39)*T18</f>
        <v>3</v>
      </c>
      <c r="V24" s="425" t="n">
        <f aca="false">V21-(1-SUP_OPEX!$C$38)*V18-(1-SUP_OPEX!$C$39)*U18</f>
        <v>3</v>
      </c>
      <c r="W24" s="425" t="n">
        <f aca="false">W21-(1-SUP_OPEX!$C$38)*W18-(1-SUP_OPEX!$C$39)*V18</f>
        <v>3</v>
      </c>
      <c r="X24" s="425" t="n">
        <f aca="false">X21-(1-SUP_OPEX!$C$38)*X18-(1-SUP_OPEX!$C$39)*W18</f>
        <v>3</v>
      </c>
      <c r="Y24" s="425" t="n">
        <f aca="false">Y21-(1-SUP_OPEX!$C$38)*Y18-(1-SUP_OPEX!$C$39)*X18</f>
        <v>3</v>
      </c>
      <c r="Z24" s="425" t="n">
        <f aca="false">Z21-(1-SUP_OPEX!$C$38)*Z18-(1-SUP_OPEX!$C$39)*Y18</f>
        <v>3</v>
      </c>
      <c r="AA24" s="425" t="n">
        <f aca="false">AA21-(1-SUP_OPEX!$C$38)*AA18-(1-SUP_OPEX!$C$39)*Z18</f>
        <v>3</v>
      </c>
      <c r="AB24" s="425" t="n">
        <f aca="false">AB21-(1-SUP_OPEX!$C$38)*AB18-(1-SUP_OPEX!$C$39)*AA18</f>
        <v>3</v>
      </c>
      <c r="AC24" s="425" t="n">
        <f aca="false">AC21-(1-SUP_OPEX!$C$38)*AC18-(1-SUP_OPEX!$C$39)*AB18</f>
        <v>3</v>
      </c>
      <c r="AD24" s="425" t="n">
        <f aca="false">AD21-(1-SUP_OPEX!$C$38)*AD18-(1-SUP_OPEX!$C$39)*AC18</f>
        <v>3</v>
      </c>
      <c r="AE24" s="425" t="n">
        <f aca="false">AE21-(1-SUP_OPEX!$C$38)*AE18-(1-SUP_OPEX!$C$39)*AD18</f>
        <v>3</v>
      </c>
      <c r="AF24" s="425" t="n">
        <f aca="false">AF21-(1-SUP_OPEX!$C$38)*AF18-(1-SUP_OPEX!$C$39)*AE18</f>
        <v>3</v>
      </c>
      <c r="AG24" s="425" t="n">
        <f aca="false">AG21-(1-SUP_OPEX!$C$38)*AG18-(1-SUP_OPEX!$C$39)*AF18</f>
        <v>3</v>
      </c>
      <c r="AH24" s="425" t="n">
        <f aca="false">AH21-(1-SUP_OPEX!$C$38)*AH18-(1-SUP_OPEX!$C$39)*AG18</f>
        <v>3</v>
      </c>
      <c r="AI24" s="425" t="n">
        <f aca="false">AI21-(1-SUP_OPEX!$C$38)*AI18-(1-SUP_OPEX!$C$39)*AH18</f>
        <v>3</v>
      </c>
      <c r="AJ24" s="425" t="n">
        <f aca="false">AJ21-(1-SUP_OPEX!$C$38)*AJ18-(1-SUP_OPEX!$C$39)*AI18</f>
        <v>3</v>
      </c>
      <c r="AK24" s="425" t="n">
        <f aca="false">AK21-(1-SUP_OPEX!$C$38)*AK18-(1-SUP_OPEX!$C$39)*AJ18</f>
        <v>3</v>
      </c>
      <c r="AL24" s="425" t="n">
        <f aca="false">AL21-(1-SUP_OPEX!$C$38)*AL18-(1-SUP_OPEX!$C$39)*AK18</f>
        <v>3</v>
      </c>
      <c r="AM24" s="425" t="n">
        <f aca="false">AM21-(1-SUP_OPEX!$C$38)*AM18-(1-SUP_OPEX!$C$39)*AL18</f>
        <v>3</v>
      </c>
      <c r="AN24" s="425" t="n">
        <f aca="false">AN21-(1-SUP_OPEX!$C$38)*AN18-(1-SUP_OPEX!$C$39)*AM18</f>
        <v>3</v>
      </c>
      <c r="AO24" s="425" t="n">
        <f aca="false">AO21-(1-SUP_OPEX!$C$38)*AO18-(1-SUP_OPEX!$C$39)*AN18</f>
        <v>3</v>
      </c>
      <c r="AP24" s="425" t="n">
        <f aca="false">AP21-(1-SUP_OPEX!$C$38)*AP18-(1-SUP_OPEX!$C$39)*AO18</f>
        <v>3</v>
      </c>
      <c r="AQ24" s="425" t="n">
        <f aca="false">AQ21-(1-SUP_OPEX!$C$38)*AQ18-(1-SUP_OPEX!$C$39)*AP18</f>
        <v>3</v>
      </c>
      <c r="AR24" s="425" t="n">
        <f aca="false">AR21-(1-SUP_OPEX!$C$38)*AR18-(1-SUP_OPEX!$C$39)*AQ18</f>
        <v>3</v>
      </c>
      <c r="AS24" s="425" t="n">
        <f aca="false">AS21-(1-SUP_OPEX!$C$38)*AS18-(1-SUP_OPEX!$C$39)*AR18</f>
        <v>3</v>
      </c>
      <c r="AT24" s="425" t="n">
        <f aca="false">AT21-(1-SUP_OPEX!$C$38)*AT18-(1-SUP_OPEX!$C$39)*AS18</f>
        <v>3</v>
      </c>
      <c r="AU24" s="425" t="n">
        <f aca="false">AU21-(1-SUP_OPEX!$C$38)*AU18-(1-SUP_OPEX!$C$39)*AT18</f>
        <v>3</v>
      </c>
      <c r="AV24" s="425" t="n">
        <f aca="false">AV21-(1-SUP_OPEX!$C$38)*AV18-(1-SUP_OPEX!$C$39)*AU18</f>
        <v>3</v>
      </c>
      <c r="AW24" s="425" t="n">
        <f aca="false">AW21-(1-SUP_OPEX!$C$38)*AW18-(1-SUP_OPEX!$C$39)*AV18</f>
        <v>3</v>
      </c>
      <c r="AX24" s="425" t="n">
        <f aca="false">AX21-(1-SUP_OPEX!$C$38)*AX18-(1-SUP_OPEX!$C$39)*AW18</f>
        <v>3</v>
      </c>
      <c r="AY24" s="425" t="n">
        <f aca="false">AY21-(1-SUP_OPEX!$C$38)*AY18-(1-SUP_OPEX!$C$39)*AX18</f>
        <v>3</v>
      </c>
      <c r="AZ24" s="425" t="n">
        <f aca="false">AZ21-(1-SUP_OPEX!$C$38)*AZ18-(1-SUP_OPEX!$C$39)*AY18</f>
        <v>3</v>
      </c>
      <c r="BA24" s="425" t="n">
        <f aca="false">BA21-(1-SUP_OPEX!$C$38)*BA18-(1-SUP_OPEX!$C$39)*AZ18</f>
        <v>3</v>
      </c>
      <c r="BB24" s="425" t="n">
        <f aca="false">BB21-(1-SUP_OPEX!$C$38)*BB18-(1-SUP_OPEX!$C$39)*BA18</f>
        <v>3</v>
      </c>
      <c r="BC24" s="425" t="n">
        <f aca="false">BC21-(1-SUP_OPEX!$C$38)*BC18-(1-SUP_OPEX!$C$39)*BB18</f>
        <v>3</v>
      </c>
      <c r="BD24" s="425" t="n">
        <f aca="false">BD21-(1-SUP_OPEX!$C$38)*BD18-(1-SUP_OPEX!$C$39)*BC18</f>
        <v>3</v>
      </c>
      <c r="BE24" s="425" t="n">
        <f aca="false">BE21-(1-SUP_OPEX!$C$38)*BE18-(1-SUP_OPEX!$C$39)*BD18</f>
        <v>3</v>
      </c>
      <c r="BF24" s="425" t="n">
        <f aca="false">BF21-(1-SUP_OPEX!$C$38)*BF18-(1-SUP_OPEX!$C$39)*BE18</f>
        <v>3</v>
      </c>
      <c r="BG24" s="425" t="n">
        <f aca="false">BG21-(1-SUP_OPEX!$C$38)*BG18-(1-SUP_OPEX!$C$39)*BF18</f>
        <v>3</v>
      </c>
      <c r="BH24" s="425" t="n">
        <f aca="false">BH21-(1-SUP_OPEX!$C$38)*BH18-(1-SUP_OPEX!$C$39)*BG18</f>
        <v>3</v>
      </c>
      <c r="BI24" s="425" t="n">
        <f aca="false">BI21-(1-SUP_OPEX!$C$38)*BI18-(1-SUP_OPEX!$C$39)*BH18</f>
        <v>3</v>
      </c>
      <c r="BJ24" s="425" t="n">
        <f aca="false">BJ21-(1-SUP_OPEX!$C$38)*BJ18-(1-SUP_OPEX!$C$39)*BI18</f>
        <v>3</v>
      </c>
      <c r="BK24" s="425" t="n">
        <f aca="false">BK21-(1-SUP_OPEX!$C$38)*BK18-(1-SUP_OPEX!$C$39)*BJ18</f>
        <v>3</v>
      </c>
    </row>
    <row r="25" customFormat="false" ht="15" hidden="false" customHeight="true" outlineLevel="0" collapsed="false">
      <c r="B25" s="426" t="s">
        <v>2367</v>
      </c>
      <c r="C25" s="427" t="str">
        <f aca="false">IF(AND(SUM($D$17:$BK$17)=SUP_VOLUMEN!$C$43,SUM($D$18:$BK$18)=SUP_VOLUMEN!$C$44),"✓ "&amp;TEXT(SUP_VOLUMEN!$C$43,"0")&amp;" ventana + "&amp;TEXT(SUP_VOLUMEN!$C$44,"0")&amp;" dine-in, completo dentro del horizonte","✗ El calendario desplazado no cabe en el horizonte del flujo")</f>
        <v>✓ 7 ventana + 3 dine-in, completo dentro del horizonte</v>
      </c>
      <c r="D25" s="427"/>
      <c r="E25" s="427"/>
      <c r="F25" s="427"/>
      <c r="G25" s="427"/>
      <c r="H25" s="427"/>
      <c r="I25" s="427"/>
      <c r="J25" s="427"/>
      <c r="K25" s="427"/>
      <c r="L25" s="427"/>
    </row>
    <row r="27" customFormat="false" ht="15" hidden="false" customHeight="true" outlineLevel="0" collapsed="false">
      <c r="A27" s="351" t="s">
        <v>2368</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row>
    <row r="28" customFormat="false" ht="15" hidden="false" customHeight="true" outlineLevel="0" collapsed="false">
      <c r="B28" s="297" t="s">
        <v>2369</v>
      </c>
      <c r="D28" s="423" t="n">
        <f aca="false">MAX($D$20:$BK$20)-SUM($E$28:$BK$28)</f>
        <v>7</v>
      </c>
      <c r="E28" s="423" t="n">
        <f aca="false">IF(FC_SUPUESTOS!$C$25=1,IF(E$4=MAX(1,FC_SUPUESTOS!$C$24),FC_SUPUESTOS!$C$9,0),SUMPRODUCT(($D$4:$BK$4=E$4+(FC_SUPUESTOS!$C$31))*$D$17:$BK$17))</f>
        <v>0</v>
      </c>
      <c r="F28" s="423" t="n">
        <f aca="false">IF(FC_SUPUESTOS!$C$25=1,IF(F$4=MAX(1,FC_SUPUESTOS!$C$24),FC_SUPUESTOS!$C$9,0),SUMPRODUCT(($D$4:$BK$4=F$4+(FC_SUPUESTOS!$C$31))*$D$17:$BK$17))</f>
        <v>0</v>
      </c>
      <c r="G28" s="423" t="n">
        <f aca="false">IF(FC_SUPUESTOS!$C$25=1,IF(G$4=MAX(1,FC_SUPUESTOS!$C$24),FC_SUPUESTOS!$C$9,0),SUMPRODUCT(($D$4:$BK$4=G$4+(FC_SUPUESTOS!$C$31))*$D$17:$BK$17))</f>
        <v>0</v>
      </c>
      <c r="H28" s="423" t="n">
        <f aca="false">IF(FC_SUPUESTOS!$C$25=1,IF(H$4=MAX(1,FC_SUPUESTOS!$C$24),FC_SUPUESTOS!$C$9,0),SUMPRODUCT(($D$4:$BK$4=H$4+(FC_SUPUESTOS!$C$31))*$D$17:$BK$17))</f>
        <v>0</v>
      </c>
      <c r="I28" s="423" t="n">
        <f aca="false">IF(FC_SUPUESTOS!$C$25=1,IF(I$4=MAX(1,FC_SUPUESTOS!$C$24),FC_SUPUESTOS!$C$9,0),SUMPRODUCT(($D$4:$BK$4=I$4+(FC_SUPUESTOS!$C$31))*$D$17:$BK$17))</f>
        <v>0</v>
      </c>
      <c r="J28" s="423" t="n">
        <f aca="false">IF(FC_SUPUESTOS!$C$25=1,IF(J$4=MAX(1,FC_SUPUESTOS!$C$24),FC_SUPUESTOS!$C$9,0),SUMPRODUCT(($D$4:$BK$4=J$4+(FC_SUPUESTOS!$C$31))*$D$17:$BK$17))</f>
        <v>0</v>
      </c>
      <c r="K28" s="423" t="n">
        <f aca="false">IF(FC_SUPUESTOS!$C$25=1,IF(K$4=MAX(1,FC_SUPUESTOS!$C$24),FC_SUPUESTOS!$C$9,0),SUMPRODUCT(($D$4:$BK$4=K$4+(FC_SUPUESTOS!$C$31))*$D$17:$BK$17))</f>
        <v>0</v>
      </c>
      <c r="L28" s="423" t="n">
        <f aca="false">IF(FC_SUPUESTOS!$C$25=1,IF(L$4=MAX(1,FC_SUPUESTOS!$C$24),FC_SUPUESTOS!$C$9,0),SUMPRODUCT(($D$4:$BK$4=L$4+(FC_SUPUESTOS!$C$31))*$D$17:$BK$17))</f>
        <v>0</v>
      </c>
      <c r="M28" s="423" t="n">
        <f aca="false">IF(FC_SUPUESTOS!$C$25=1,IF(M$4=MAX(1,FC_SUPUESTOS!$C$24),FC_SUPUESTOS!$C$9,0),SUMPRODUCT(($D$4:$BK$4=M$4+(FC_SUPUESTOS!$C$31))*$D$17:$BK$17))</f>
        <v>0</v>
      </c>
      <c r="N28" s="423" t="n">
        <f aca="false">IF(FC_SUPUESTOS!$C$25=1,IF(N$4=MAX(1,FC_SUPUESTOS!$C$24),FC_SUPUESTOS!$C$9,0),SUMPRODUCT(($D$4:$BK$4=N$4+(FC_SUPUESTOS!$C$31))*$D$17:$BK$17))</f>
        <v>0</v>
      </c>
      <c r="O28" s="423" t="n">
        <f aca="false">IF(FC_SUPUESTOS!$C$25=1,IF(O$4=MAX(1,FC_SUPUESTOS!$C$24),FC_SUPUESTOS!$C$9,0),SUMPRODUCT(($D$4:$BK$4=O$4+(FC_SUPUESTOS!$C$31))*$D$17:$BK$17))</f>
        <v>0</v>
      </c>
      <c r="P28" s="423" t="n">
        <f aca="false">IF(FC_SUPUESTOS!$C$25=1,IF(P$4=MAX(1,FC_SUPUESTOS!$C$24),FC_SUPUESTOS!$C$9,0),SUMPRODUCT(($D$4:$BK$4=P$4+(FC_SUPUESTOS!$C$31))*$D$17:$BK$17))</f>
        <v>0</v>
      </c>
      <c r="Q28" s="423" t="n">
        <f aca="false">IF(FC_SUPUESTOS!$C$25=1,IF(Q$4=MAX(1,FC_SUPUESTOS!$C$24),FC_SUPUESTOS!$C$9,0),SUMPRODUCT(($D$4:$BK$4=Q$4+(FC_SUPUESTOS!$C$31))*$D$17:$BK$17))</f>
        <v>0</v>
      </c>
      <c r="R28" s="423" t="n">
        <f aca="false">IF(FC_SUPUESTOS!$C$25=1,IF(R$4=MAX(1,FC_SUPUESTOS!$C$24),FC_SUPUESTOS!$C$9,0),SUMPRODUCT(($D$4:$BK$4=R$4+(FC_SUPUESTOS!$C$31))*$D$17:$BK$17))</f>
        <v>0</v>
      </c>
      <c r="S28" s="423" t="n">
        <f aca="false">IF(FC_SUPUESTOS!$C$25=1,IF(S$4=MAX(1,FC_SUPUESTOS!$C$24),FC_SUPUESTOS!$C$9,0),SUMPRODUCT(($D$4:$BK$4=S$4+(FC_SUPUESTOS!$C$31))*$D$17:$BK$17))</f>
        <v>0</v>
      </c>
      <c r="T28" s="423" t="n">
        <f aca="false">IF(FC_SUPUESTOS!$C$25=1,IF(T$4=MAX(1,FC_SUPUESTOS!$C$24),FC_SUPUESTOS!$C$9,0),SUMPRODUCT(($D$4:$BK$4=T$4+(FC_SUPUESTOS!$C$31))*$D$17:$BK$17))</f>
        <v>0</v>
      </c>
      <c r="U28" s="423" t="n">
        <f aca="false">IF(FC_SUPUESTOS!$C$25=1,IF(U$4=MAX(1,FC_SUPUESTOS!$C$24),FC_SUPUESTOS!$C$9,0),SUMPRODUCT(($D$4:$BK$4=U$4+(FC_SUPUESTOS!$C$31))*$D$17:$BK$17))</f>
        <v>0</v>
      </c>
      <c r="V28" s="423" t="n">
        <f aca="false">IF(FC_SUPUESTOS!$C$25=1,IF(V$4=MAX(1,FC_SUPUESTOS!$C$24),FC_SUPUESTOS!$C$9,0),SUMPRODUCT(($D$4:$BK$4=V$4+(FC_SUPUESTOS!$C$31))*$D$17:$BK$17))</f>
        <v>0</v>
      </c>
      <c r="W28" s="423" t="n">
        <f aca="false">IF(FC_SUPUESTOS!$C$25=1,IF(W$4=MAX(1,FC_SUPUESTOS!$C$24),FC_SUPUESTOS!$C$9,0),SUMPRODUCT(($D$4:$BK$4=W$4+(FC_SUPUESTOS!$C$31))*$D$17:$BK$17))</f>
        <v>0</v>
      </c>
      <c r="X28" s="423" t="n">
        <f aca="false">IF(FC_SUPUESTOS!$C$25=1,IF(X$4=MAX(1,FC_SUPUESTOS!$C$24),FC_SUPUESTOS!$C$9,0),SUMPRODUCT(($D$4:$BK$4=X$4+(FC_SUPUESTOS!$C$31))*$D$17:$BK$17))</f>
        <v>0</v>
      </c>
      <c r="Y28" s="423" t="n">
        <f aca="false">IF(FC_SUPUESTOS!$C$25=1,IF(Y$4=MAX(1,FC_SUPUESTOS!$C$24),FC_SUPUESTOS!$C$9,0),SUMPRODUCT(($D$4:$BK$4=Y$4+(FC_SUPUESTOS!$C$31))*$D$17:$BK$17))</f>
        <v>0</v>
      </c>
      <c r="Z28" s="423" t="n">
        <f aca="false">IF(FC_SUPUESTOS!$C$25=1,IF(Z$4=MAX(1,FC_SUPUESTOS!$C$24),FC_SUPUESTOS!$C$9,0),SUMPRODUCT(($D$4:$BK$4=Z$4+(FC_SUPUESTOS!$C$31))*$D$17:$BK$17))</f>
        <v>0</v>
      </c>
      <c r="AA28" s="423" t="n">
        <f aca="false">IF(FC_SUPUESTOS!$C$25=1,IF(AA$4=MAX(1,FC_SUPUESTOS!$C$24),FC_SUPUESTOS!$C$9,0),SUMPRODUCT(($D$4:$BK$4=AA$4+(FC_SUPUESTOS!$C$31))*$D$17:$BK$17))</f>
        <v>0</v>
      </c>
      <c r="AB28" s="423" t="n">
        <f aca="false">IF(FC_SUPUESTOS!$C$25=1,IF(AB$4=MAX(1,FC_SUPUESTOS!$C$24),FC_SUPUESTOS!$C$9,0),SUMPRODUCT(($D$4:$BK$4=AB$4+(FC_SUPUESTOS!$C$31))*$D$17:$BK$17))</f>
        <v>0</v>
      </c>
      <c r="AC28" s="423" t="n">
        <f aca="false">IF(FC_SUPUESTOS!$C$25=1,IF(AC$4=MAX(1,FC_SUPUESTOS!$C$24),FC_SUPUESTOS!$C$9,0),SUMPRODUCT(($D$4:$BK$4=AC$4+(FC_SUPUESTOS!$C$31))*$D$17:$BK$17))</f>
        <v>0</v>
      </c>
      <c r="AD28" s="423" t="n">
        <f aca="false">IF(FC_SUPUESTOS!$C$25=1,IF(AD$4=MAX(1,FC_SUPUESTOS!$C$24),FC_SUPUESTOS!$C$9,0),SUMPRODUCT(($D$4:$BK$4=AD$4+(FC_SUPUESTOS!$C$31))*$D$17:$BK$17))</f>
        <v>0</v>
      </c>
      <c r="AE28" s="423" t="n">
        <f aca="false">IF(FC_SUPUESTOS!$C$25=1,IF(AE$4=MAX(1,FC_SUPUESTOS!$C$24),FC_SUPUESTOS!$C$9,0),SUMPRODUCT(($D$4:$BK$4=AE$4+(FC_SUPUESTOS!$C$31))*$D$17:$BK$17))</f>
        <v>0</v>
      </c>
      <c r="AF28" s="423" t="n">
        <f aca="false">IF(FC_SUPUESTOS!$C$25=1,IF(AF$4=MAX(1,FC_SUPUESTOS!$C$24),FC_SUPUESTOS!$C$9,0),SUMPRODUCT(($D$4:$BK$4=AF$4+(FC_SUPUESTOS!$C$31))*$D$17:$BK$17))</f>
        <v>0</v>
      </c>
      <c r="AG28" s="423" t="n">
        <f aca="false">IF(FC_SUPUESTOS!$C$25=1,IF(AG$4=MAX(1,FC_SUPUESTOS!$C$24),FC_SUPUESTOS!$C$9,0),SUMPRODUCT(($D$4:$BK$4=AG$4+(FC_SUPUESTOS!$C$31))*$D$17:$BK$17))</f>
        <v>0</v>
      </c>
      <c r="AH28" s="423" t="n">
        <f aca="false">IF(FC_SUPUESTOS!$C$25=1,IF(AH$4=MAX(1,FC_SUPUESTOS!$C$24),FC_SUPUESTOS!$C$9,0),SUMPRODUCT(($D$4:$BK$4=AH$4+(FC_SUPUESTOS!$C$31))*$D$17:$BK$17))</f>
        <v>0</v>
      </c>
      <c r="AI28" s="423" t="n">
        <f aca="false">IF(FC_SUPUESTOS!$C$25=1,IF(AI$4=MAX(1,FC_SUPUESTOS!$C$24),FC_SUPUESTOS!$C$9,0),SUMPRODUCT(($D$4:$BK$4=AI$4+(FC_SUPUESTOS!$C$31))*$D$17:$BK$17))</f>
        <v>0</v>
      </c>
      <c r="AJ28" s="423" t="n">
        <f aca="false">IF(FC_SUPUESTOS!$C$25=1,IF(AJ$4=MAX(1,FC_SUPUESTOS!$C$24),FC_SUPUESTOS!$C$9,0),SUMPRODUCT(($D$4:$BK$4=AJ$4+(FC_SUPUESTOS!$C$31))*$D$17:$BK$17))</f>
        <v>0</v>
      </c>
      <c r="AK28" s="423" t="n">
        <f aca="false">IF(FC_SUPUESTOS!$C$25=1,IF(AK$4=MAX(1,FC_SUPUESTOS!$C$24),FC_SUPUESTOS!$C$9,0),SUMPRODUCT(($D$4:$BK$4=AK$4+(FC_SUPUESTOS!$C$31))*$D$17:$BK$17))</f>
        <v>0</v>
      </c>
      <c r="AL28" s="423" t="n">
        <f aca="false">IF(FC_SUPUESTOS!$C$25=1,IF(AL$4=MAX(1,FC_SUPUESTOS!$C$24),FC_SUPUESTOS!$C$9,0),SUMPRODUCT(($D$4:$BK$4=AL$4+(FC_SUPUESTOS!$C$31))*$D$17:$BK$17))</f>
        <v>0</v>
      </c>
      <c r="AM28" s="423" t="n">
        <f aca="false">IF(FC_SUPUESTOS!$C$25=1,IF(AM$4=MAX(1,FC_SUPUESTOS!$C$24),FC_SUPUESTOS!$C$9,0),SUMPRODUCT(($D$4:$BK$4=AM$4+(FC_SUPUESTOS!$C$31))*$D$17:$BK$17))</f>
        <v>0</v>
      </c>
      <c r="AN28" s="423" t="n">
        <f aca="false">IF(FC_SUPUESTOS!$C$25=1,IF(AN$4=MAX(1,FC_SUPUESTOS!$C$24),FC_SUPUESTOS!$C$9,0),SUMPRODUCT(($D$4:$BK$4=AN$4+(FC_SUPUESTOS!$C$31))*$D$17:$BK$17))</f>
        <v>0</v>
      </c>
      <c r="AO28" s="423" t="n">
        <f aca="false">IF(FC_SUPUESTOS!$C$25=1,IF(AO$4=MAX(1,FC_SUPUESTOS!$C$24),FC_SUPUESTOS!$C$9,0),SUMPRODUCT(($D$4:$BK$4=AO$4+(FC_SUPUESTOS!$C$31))*$D$17:$BK$17))</f>
        <v>0</v>
      </c>
      <c r="AP28" s="423" t="n">
        <f aca="false">IF(FC_SUPUESTOS!$C$25=1,IF(AP$4=MAX(1,FC_SUPUESTOS!$C$24),FC_SUPUESTOS!$C$9,0),SUMPRODUCT(($D$4:$BK$4=AP$4+(FC_SUPUESTOS!$C$31))*$D$17:$BK$17))</f>
        <v>0</v>
      </c>
      <c r="AQ28" s="423" t="n">
        <f aca="false">IF(FC_SUPUESTOS!$C$25=1,IF(AQ$4=MAX(1,FC_SUPUESTOS!$C$24),FC_SUPUESTOS!$C$9,0),SUMPRODUCT(($D$4:$BK$4=AQ$4+(FC_SUPUESTOS!$C$31))*$D$17:$BK$17))</f>
        <v>0</v>
      </c>
      <c r="AR28" s="423" t="n">
        <f aca="false">IF(FC_SUPUESTOS!$C$25=1,IF(AR$4=MAX(1,FC_SUPUESTOS!$C$24),FC_SUPUESTOS!$C$9,0),SUMPRODUCT(($D$4:$BK$4=AR$4+(FC_SUPUESTOS!$C$31))*$D$17:$BK$17))</f>
        <v>0</v>
      </c>
      <c r="AS28" s="423" t="n">
        <f aca="false">IF(FC_SUPUESTOS!$C$25=1,IF(AS$4=MAX(1,FC_SUPUESTOS!$C$24),FC_SUPUESTOS!$C$9,0),SUMPRODUCT(($D$4:$BK$4=AS$4+(FC_SUPUESTOS!$C$31))*$D$17:$BK$17))</f>
        <v>0</v>
      </c>
      <c r="AT28" s="423" t="n">
        <f aca="false">IF(FC_SUPUESTOS!$C$25=1,IF(AT$4=MAX(1,FC_SUPUESTOS!$C$24),FC_SUPUESTOS!$C$9,0),SUMPRODUCT(($D$4:$BK$4=AT$4+(FC_SUPUESTOS!$C$31))*$D$17:$BK$17))</f>
        <v>0</v>
      </c>
      <c r="AU28" s="423" t="n">
        <f aca="false">IF(FC_SUPUESTOS!$C$25=1,IF(AU$4=MAX(1,FC_SUPUESTOS!$C$24),FC_SUPUESTOS!$C$9,0),SUMPRODUCT(($D$4:$BK$4=AU$4+(FC_SUPUESTOS!$C$31))*$D$17:$BK$17))</f>
        <v>0</v>
      </c>
      <c r="AV28" s="423" t="n">
        <f aca="false">IF(FC_SUPUESTOS!$C$25=1,IF(AV$4=MAX(1,FC_SUPUESTOS!$C$24),FC_SUPUESTOS!$C$9,0),SUMPRODUCT(($D$4:$BK$4=AV$4+(FC_SUPUESTOS!$C$31))*$D$17:$BK$17))</f>
        <v>0</v>
      </c>
      <c r="AW28" s="423" t="n">
        <f aca="false">IF(FC_SUPUESTOS!$C$25=1,IF(AW$4=MAX(1,FC_SUPUESTOS!$C$24),FC_SUPUESTOS!$C$9,0),SUMPRODUCT(($D$4:$BK$4=AW$4+(FC_SUPUESTOS!$C$31))*$D$17:$BK$17))</f>
        <v>0</v>
      </c>
      <c r="AX28" s="423" t="n">
        <f aca="false">IF(FC_SUPUESTOS!$C$25=1,IF(AX$4=MAX(1,FC_SUPUESTOS!$C$24),FC_SUPUESTOS!$C$9,0),SUMPRODUCT(($D$4:$BK$4=AX$4+(FC_SUPUESTOS!$C$31))*$D$17:$BK$17))</f>
        <v>0</v>
      </c>
      <c r="AY28" s="423" t="n">
        <f aca="false">IF(FC_SUPUESTOS!$C$25=1,IF(AY$4=MAX(1,FC_SUPUESTOS!$C$24),FC_SUPUESTOS!$C$9,0),SUMPRODUCT(($D$4:$BK$4=AY$4+(FC_SUPUESTOS!$C$31))*$D$17:$BK$17))</f>
        <v>0</v>
      </c>
      <c r="AZ28" s="423" t="n">
        <f aca="false">IF(FC_SUPUESTOS!$C$25=1,IF(AZ$4=MAX(1,FC_SUPUESTOS!$C$24),FC_SUPUESTOS!$C$9,0),SUMPRODUCT(($D$4:$BK$4=AZ$4+(FC_SUPUESTOS!$C$31))*$D$17:$BK$17))</f>
        <v>0</v>
      </c>
      <c r="BA28" s="423" t="n">
        <f aca="false">IF(FC_SUPUESTOS!$C$25=1,IF(BA$4=MAX(1,FC_SUPUESTOS!$C$24),FC_SUPUESTOS!$C$9,0),SUMPRODUCT(($D$4:$BK$4=BA$4+(FC_SUPUESTOS!$C$31))*$D$17:$BK$17))</f>
        <v>0</v>
      </c>
      <c r="BB28" s="423" t="n">
        <f aca="false">IF(FC_SUPUESTOS!$C$25=1,IF(BB$4=MAX(1,FC_SUPUESTOS!$C$24),FC_SUPUESTOS!$C$9,0),SUMPRODUCT(($D$4:$BK$4=BB$4+(FC_SUPUESTOS!$C$31))*$D$17:$BK$17))</f>
        <v>0</v>
      </c>
      <c r="BC28" s="423" t="n">
        <f aca="false">IF(FC_SUPUESTOS!$C$25=1,IF(BC$4=MAX(1,FC_SUPUESTOS!$C$24),FC_SUPUESTOS!$C$9,0),SUMPRODUCT(($D$4:$BK$4=BC$4+(FC_SUPUESTOS!$C$31))*$D$17:$BK$17))</f>
        <v>0</v>
      </c>
      <c r="BD28" s="423" t="n">
        <f aca="false">IF(FC_SUPUESTOS!$C$25=1,IF(BD$4=MAX(1,FC_SUPUESTOS!$C$24),FC_SUPUESTOS!$C$9,0),SUMPRODUCT(($D$4:$BK$4=BD$4+(FC_SUPUESTOS!$C$31))*$D$17:$BK$17))</f>
        <v>0</v>
      </c>
      <c r="BE28" s="423" t="n">
        <f aca="false">IF(FC_SUPUESTOS!$C$25=1,IF(BE$4=MAX(1,FC_SUPUESTOS!$C$24),FC_SUPUESTOS!$C$9,0),SUMPRODUCT(($D$4:$BK$4=BE$4+(FC_SUPUESTOS!$C$31))*$D$17:$BK$17))</f>
        <v>0</v>
      </c>
      <c r="BF28" s="423" t="n">
        <f aca="false">IF(FC_SUPUESTOS!$C$25=1,IF(BF$4=MAX(1,FC_SUPUESTOS!$C$24),FC_SUPUESTOS!$C$9,0),SUMPRODUCT(($D$4:$BK$4=BF$4+(FC_SUPUESTOS!$C$31))*$D$17:$BK$17))</f>
        <v>0</v>
      </c>
      <c r="BG28" s="423" t="n">
        <f aca="false">IF(FC_SUPUESTOS!$C$25=1,IF(BG$4=MAX(1,FC_SUPUESTOS!$C$24),FC_SUPUESTOS!$C$9,0),SUMPRODUCT(($D$4:$BK$4=BG$4+(FC_SUPUESTOS!$C$31))*$D$17:$BK$17))</f>
        <v>0</v>
      </c>
      <c r="BH28" s="423" t="n">
        <f aca="false">IF(FC_SUPUESTOS!$C$25=1,IF(BH$4=MAX(1,FC_SUPUESTOS!$C$24),FC_SUPUESTOS!$C$9,0),SUMPRODUCT(($D$4:$BK$4=BH$4+(FC_SUPUESTOS!$C$31))*$D$17:$BK$17))</f>
        <v>0</v>
      </c>
      <c r="BI28" s="423" t="n">
        <f aca="false">IF(FC_SUPUESTOS!$C$25=1,IF(BI$4=MAX(1,FC_SUPUESTOS!$C$24),FC_SUPUESTOS!$C$9,0),SUMPRODUCT(($D$4:$BK$4=BI$4+(FC_SUPUESTOS!$C$31))*$D$17:$BK$17))</f>
        <v>0</v>
      </c>
      <c r="BJ28" s="423" t="n">
        <f aca="false">IF(FC_SUPUESTOS!$C$25=1,IF(BJ$4=MAX(1,FC_SUPUESTOS!$C$24),FC_SUPUESTOS!$C$9,0),SUMPRODUCT(($D$4:$BK$4=BJ$4+(FC_SUPUESTOS!$C$31))*$D$17:$BK$17))</f>
        <v>0</v>
      </c>
      <c r="BK28" s="423" t="n">
        <f aca="false">IF(FC_SUPUESTOS!$C$25=1,IF(BK$4=MAX(1,FC_SUPUESTOS!$C$24),FC_SUPUESTOS!$C$9,0),SUMPRODUCT(($D$4:$BK$4=BK$4+(FC_SUPUESTOS!$C$31))*$D$17:$BK$17))</f>
        <v>0</v>
      </c>
    </row>
    <row r="29" customFormat="false" ht="15" hidden="false" customHeight="true" outlineLevel="0" collapsed="false">
      <c r="B29" s="297" t="s">
        <v>2370</v>
      </c>
      <c r="D29" s="423" t="n">
        <f aca="false">MAX($D$21:$BK$21)-SUM($E$29:$BK$29)</f>
        <v>3</v>
      </c>
      <c r="E29" s="423" t="n">
        <f aca="false">IF(FC_SUPUESTOS!$C$25=1,IF(E$4=MAX(1,FC_SUPUESTOS!$C$24),FC_SUPUESTOS!$C$10,0),SUMPRODUCT(($D$4:$BK$4=E$4+(FC_SUPUESTOS!$C$31))*$D$18:$BK$18))</f>
        <v>0</v>
      </c>
      <c r="F29" s="423" t="n">
        <f aca="false">IF(FC_SUPUESTOS!$C$25=1,IF(F$4=MAX(1,FC_SUPUESTOS!$C$24),FC_SUPUESTOS!$C$10,0),SUMPRODUCT(($D$4:$BK$4=F$4+(FC_SUPUESTOS!$C$31))*$D$18:$BK$18))</f>
        <v>0</v>
      </c>
      <c r="G29" s="423" t="n">
        <f aca="false">IF(FC_SUPUESTOS!$C$25=1,IF(G$4=MAX(1,FC_SUPUESTOS!$C$24),FC_SUPUESTOS!$C$10,0),SUMPRODUCT(($D$4:$BK$4=G$4+(FC_SUPUESTOS!$C$31))*$D$18:$BK$18))</f>
        <v>0</v>
      </c>
      <c r="H29" s="423" t="n">
        <f aca="false">IF(FC_SUPUESTOS!$C$25=1,IF(H$4=MAX(1,FC_SUPUESTOS!$C$24),FC_SUPUESTOS!$C$10,0),SUMPRODUCT(($D$4:$BK$4=H$4+(FC_SUPUESTOS!$C$31))*$D$18:$BK$18))</f>
        <v>0</v>
      </c>
      <c r="I29" s="423" t="n">
        <f aca="false">IF(FC_SUPUESTOS!$C$25=1,IF(I$4=MAX(1,FC_SUPUESTOS!$C$24),FC_SUPUESTOS!$C$10,0),SUMPRODUCT(($D$4:$BK$4=I$4+(FC_SUPUESTOS!$C$31))*$D$18:$BK$18))</f>
        <v>0</v>
      </c>
      <c r="J29" s="423" t="n">
        <f aca="false">IF(FC_SUPUESTOS!$C$25=1,IF(J$4=MAX(1,FC_SUPUESTOS!$C$24),FC_SUPUESTOS!$C$10,0),SUMPRODUCT(($D$4:$BK$4=J$4+(FC_SUPUESTOS!$C$31))*$D$18:$BK$18))</f>
        <v>0</v>
      </c>
      <c r="K29" s="423" t="n">
        <f aca="false">IF(FC_SUPUESTOS!$C$25=1,IF(K$4=MAX(1,FC_SUPUESTOS!$C$24),FC_SUPUESTOS!$C$10,0),SUMPRODUCT(($D$4:$BK$4=K$4+(FC_SUPUESTOS!$C$31))*$D$18:$BK$18))</f>
        <v>0</v>
      </c>
      <c r="L29" s="423" t="n">
        <f aca="false">IF(FC_SUPUESTOS!$C$25=1,IF(L$4=MAX(1,FC_SUPUESTOS!$C$24),FC_SUPUESTOS!$C$10,0),SUMPRODUCT(($D$4:$BK$4=L$4+(FC_SUPUESTOS!$C$31))*$D$18:$BK$18))</f>
        <v>0</v>
      </c>
      <c r="M29" s="423" t="n">
        <f aca="false">IF(FC_SUPUESTOS!$C$25=1,IF(M$4=MAX(1,FC_SUPUESTOS!$C$24),FC_SUPUESTOS!$C$10,0),SUMPRODUCT(($D$4:$BK$4=M$4+(FC_SUPUESTOS!$C$31))*$D$18:$BK$18))</f>
        <v>0</v>
      </c>
      <c r="N29" s="423" t="n">
        <f aca="false">IF(FC_SUPUESTOS!$C$25=1,IF(N$4=MAX(1,FC_SUPUESTOS!$C$24),FC_SUPUESTOS!$C$10,0),SUMPRODUCT(($D$4:$BK$4=N$4+(FC_SUPUESTOS!$C$31))*$D$18:$BK$18))</f>
        <v>0</v>
      </c>
      <c r="O29" s="423" t="n">
        <f aca="false">IF(FC_SUPUESTOS!$C$25=1,IF(O$4=MAX(1,FC_SUPUESTOS!$C$24),FC_SUPUESTOS!$C$10,0),SUMPRODUCT(($D$4:$BK$4=O$4+(FC_SUPUESTOS!$C$31))*$D$18:$BK$18))</f>
        <v>0</v>
      </c>
      <c r="P29" s="423" t="n">
        <f aca="false">IF(FC_SUPUESTOS!$C$25=1,IF(P$4=MAX(1,FC_SUPUESTOS!$C$24),FC_SUPUESTOS!$C$10,0),SUMPRODUCT(($D$4:$BK$4=P$4+(FC_SUPUESTOS!$C$31))*$D$18:$BK$18))</f>
        <v>0</v>
      </c>
      <c r="Q29" s="423" t="n">
        <f aca="false">IF(FC_SUPUESTOS!$C$25=1,IF(Q$4=MAX(1,FC_SUPUESTOS!$C$24),FC_SUPUESTOS!$C$10,0),SUMPRODUCT(($D$4:$BK$4=Q$4+(FC_SUPUESTOS!$C$31))*$D$18:$BK$18))</f>
        <v>0</v>
      </c>
      <c r="R29" s="423" t="n">
        <f aca="false">IF(FC_SUPUESTOS!$C$25=1,IF(R$4=MAX(1,FC_SUPUESTOS!$C$24),FC_SUPUESTOS!$C$10,0),SUMPRODUCT(($D$4:$BK$4=R$4+(FC_SUPUESTOS!$C$31))*$D$18:$BK$18))</f>
        <v>0</v>
      </c>
      <c r="S29" s="423" t="n">
        <f aca="false">IF(FC_SUPUESTOS!$C$25=1,IF(S$4=MAX(1,FC_SUPUESTOS!$C$24),FC_SUPUESTOS!$C$10,0),SUMPRODUCT(($D$4:$BK$4=S$4+(FC_SUPUESTOS!$C$31))*$D$18:$BK$18))</f>
        <v>0</v>
      </c>
      <c r="T29" s="423" t="n">
        <f aca="false">IF(FC_SUPUESTOS!$C$25=1,IF(T$4=MAX(1,FC_SUPUESTOS!$C$24),FC_SUPUESTOS!$C$10,0),SUMPRODUCT(($D$4:$BK$4=T$4+(FC_SUPUESTOS!$C$31))*$D$18:$BK$18))</f>
        <v>0</v>
      </c>
      <c r="U29" s="423" t="n">
        <f aca="false">IF(FC_SUPUESTOS!$C$25=1,IF(U$4=MAX(1,FC_SUPUESTOS!$C$24),FC_SUPUESTOS!$C$10,0),SUMPRODUCT(($D$4:$BK$4=U$4+(FC_SUPUESTOS!$C$31))*$D$18:$BK$18))</f>
        <v>0</v>
      </c>
      <c r="V29" s="423" t="n">
        <f aca="false">IF(FC_SUPUESTOS!$C$25=1,IF(V$4=MAX(1,FC_SUPUESTOS!$C$24),FC_SUPUESTOS!$C$10,0),SUMPRODUCT(($D$4:$BK$4=V$4+(FC_SUPUESTOS!$C$31))*$D$18:$BK$18))</f>
        <v>0</v>
      </c>
      <c r="W29" s="423" t="n">
        <f aca="false">IF(FC_SUPUESTOS!$C$25=1,IF(W$4=MAX(1,FC_SUPUESTOS!$C$24),FC_SUPUESTOS!$C$10,0),SUMPRODUCT(($D$4:$BK$4=W$4+(FC_SUPUESTOS!$C$31))*$D$18:$BK$18))</f>
        <v>0</v>
      </c>
      <c r="X29" s="423" t="n">
        <f aca="false">IF(FC_SUPUESTOS!$C$25=1,IF(X$4=MAX(1,FC_SUPUESTOS!$C$24),FC_SUPUESTOS!$C$10,0),SUMPRODUCT(($D$4:$BK$4=X$4+(FC_SUPUESTOS!$C$31))*$D$18:$BK$18))</f>
        <v>0</v>
      </c>
      <c r="Y29" s="423" t="n">
        <f aca="false">IF(FC_SUPUESTOS!$C$25=1,IF(Y$4=MAX(1,FC_SUPUESTOS!$C$24),FC_SUPUESTOS!$C$10,0),SUMPRODUCT(($D$4:$BK$4=Y$4+(FC_SUPUESTOS!$C$31))*$D$18:$BK$18))</f>
        <v>0</v>
      </c>
      <c r="Z29" s="423" t="n">
        <f aca="false">IF(FC_SUPUESTOS!$C$25=1,IF(Z$4=MAX(1,FC_SUPUESTOS!$C$24),FC_SUPUESTOS!$C$10,0),SUMPRODUCT(($D$4:$BK$4=Z$4+(FC_SUPUESTOS!$C$31))*$D$18:$BK$18))</f>
        <v>0</v>
      </c>
      <c r="AA29" s="423" t="n">
        <f aca="false">IF(FC_SUPUESTOS!$C$25=1,IF(AA$4=MAX(1,FC_SUPUESTOS!$C$24),FC_SUPUESTOS!$C$10,0),SUMPRODUCT(($D$4:$BK$4=AA$4+(FC_SUPUESTOS!$C$31))*$D$18:$BK$18))</f>
        <v>0</v>
      </c>
      <c r="AB29" s="423" t="n">
        <f aca="false">IF(FC_SUPUESTOS!$C$25=1,IF(AB$4=MAX(1,FC_SUPUESTOS!$C$24),FC_SUPUESTOS!$C$10,0),SUMPRODUCT(($D$4:$BK$4=AB$4+(FC_SUPUESTOS!$C$31))*$D$18:$BK$18))</f>
        <v>0</v>
      </c>
      <c r="AC29" s="423" t="n">
        <f aca="false">IF(FC_SUPUESTOS!$C$25=1,IF(AC$4=MAX(1,FC_SUPUESTOS!$C$24),FC_SUPUESTOS!$C$10,0),SUMPRODUCT(($D$4:$BK$4=AC$4+(FC_SUPUESTOS!$C$31))*$D$18:$BK$18))</f>
        <v>0</v>
      </c>
      <c r="AD29" s="423" t="n">
        <f aca="false">IF(FC_SUPUESTOS!$C$25=1,IF(AD$4=MAX(1,FC_SUPUESTOS!$C$24),FC_SUPUESTOS!$C$10,0),SUMPRODUCT(($D$4:$BK$4=AD$4+(FC_SUPUESTOS!$C$31))*$D$18:$BK$18))</f>
        <v>0</v>
      </c>
      <c r="AE29" s="423" t="n">
        <f aca="false">IF(FC_SUPUESTOS!$C$25=1,IF(AE$4=MAX(1,FC_SUPUESTOS!$C$24),FC_SUPUESTOS!$C$10,0),SUMPRODUCT(($D$4:$BK$4=AE$4+(FC_SUPUESTOS!$C$31))*$D$18:$BK$18))</f>
        <v>0</v>
      </c>
      <c r="AF29" s="423" t="n">
        <f aca="false">IF(FC_SUPUESTOS!$C$25=1,IF(AF$4=MAX(1,FC_SUPUESTOS!$C$24),FC_SUPUESTOS!$C$10,0),SUMPRODUCT(($D$4:$BK$4=AF$4+(FC_SUPUESTOS!$C$31))*$D$18:$BK$18))</f>
        <v>0</v>
      </c>
      <c r="AG29" s="423" t="n">
        <f aca="false">IF(FC_SUPUESTOS!$C$25=1,IF(AG$4=MAX(1,FC_SUPUESTOS!$C$24),FC_SUPUESTOS!$C$10,0),SUMPRODUCT(($D$4:$BK$4=AG$4+(FC_SUPUESTOS!$C$31))*$D$18:$BK$18))</f>
        <v>0</v>
      </c>
      <c r="AH29" s="423" t="n">
        <f aca="false">IF(FC_SUPUESTOS!$C$25=1,IF(AH$4=MAX(1,FC_SUPUESTOS!$C$24),FC_SUPUESTOS!$C$10,0),SUMPRODUCT(($D$4:$BK$4=AH$4+(FC_SUPUESTOS!$C$31))*$D$18:$BK$18))</f>
        <v>0</v>
      </c>
      <c r="AI29" s="423" t="n">
        <f aca="false">IF(FC_SUPUESTOS!$C$25=1,IF(AI$4=MAX(1,FC_SUPUESTOS!$C$24),FC_SUPUESTOS!$C$10,0),SUMPRODUCT(($D$4:$BK$4=AI$4+(FC_SUPUESTOS!$C$31))*$D$18:$BK$18))</f>
        <v>0</v>
      </c>
      <c r="AJ29" s="423" t="n">
        <f aca="false">IF(FC_SUPUESTOS!$C$25=1,IF(AJ$4=MAX(1,FC_SUPUESTOS!$C$24),FC_SUPUESTOS!$C$10,0),SUMPRODUCT(($D$4:$BK$4=AJ$4+(FC_SUPUESTOS!$C$31))*$D$18:$BK$18))</f>
        <v>0</v>
      </c>
      <c r="AK29" s="423" t="n">
        <f aca="false">IF(FC_SUPUESTOS!$C$25=1,IF(AK$4=MAX(1,FC_SUPUESTOS!$C$24),FC_SUPUESTOS!$C$10,0),SUMPRODUCT(($D$4:$BK$4=AK$4+(FC_SUPUESTOS!$C$31))*$D$18:$BK$18))</f>
        <v>0</v>
      </c>
      <c r="AL29" s="423" t="n">
        <f aca="false">IF(FC_SUPUESTOS!$C$25=1,IF(AL$4=MAX(1,FC_SUPUESTOS!$C$24),FC_SUPUESTOS!$C$10,0),SUMPRODUCT(($D$4:$BK$4=AL$4+(FC_SUPUESTOS!$C$31))*$D$18:$BK$18))</f>
        <v>0</v>
      </c>
      <c r="AM29" s="423" t="n">
        <f aca="false">IF(FC_SUPUESTOS!$C$25=1,IF(AM$4=MAX(1,FC_SUPUESTOS!$C$24),FC_SUPUESTOS!$C$10,0),SUMPRODUCT(($D$4:$BK$4=AM$4+(FC_SUPUESTOS!$C$31))*$D$18:$BK$18))</f>
        <v>0</v>
      </c>
      <c r="AN29" s="423" t="n">
        <f aca="false">IF(FC_SUPUESTOS!$C$25=1,IF(AN$4=MAX(1,FC_SUPUESTOS!$C$24),FC_SUPUESTOS!$C$10,0),SUMPRODUCT(($D$4:$BK$4=AN$4+(FC_SUPUESTOS!$C$31))*$D$18:$BK$18))</f>
        <v>0</v>
      </c>
      <c r="AO29" s="423" t="n">
        <f aca="false">IF(FC_SUPUESTOS!$C$25=1,IF(AO$4=MAX(1,FC_SUPUESTOS!$C$24),FC_SUPUESTOS!$C$10,0),SUMPRODUCT(($D$4:$BK$4=AO$4+(FC_SUPUESTOS!$C$31))*$D$18:$BK$18))</f>
        <v>0</v>
      </c>
      <c r="AP29" s="423" t="n">
        <f aca="false">IF(FC_SUPUESTOS!$C$25=1,IF(AP$4=MAX(1,FC_SUPUESTOS!$C$24),FC_SUPUESTOS!$C$10,0),SUMPRODUCT(($D$4:$BK$4=AP$4+(FC_SUPUESTOS!$C$31))*$D$18:$BK$18))</f>
        <v>0</v>
      </c>
      <c r="AQ29" s="423" t="n">
        <f aca="false">IF(FC_SUPUESTOS!$C$25=1,IF(AQ$4=MAX(1,FC_SUPUESTOS!$C$24),FC_SUPUESTOS!$C$10,0),SUMPRODUCT(($D$4:$BK$4=AQ$4+(FC_SUPUESTOS!$C$31))*$D$18:$BK$18))</f>
        <v>0</v>
      </c>
      <c r="AR29" s="423" t="n">
        <f aca="false">IF(FC_SUPUESTOS!$C$25=1,IF(AR$4=MAX(1,FC_SUPUESTOS!$C$24),FC_SUPUESTOS!$C$10,0),SUMPRODUCT(($D$4:$BK$4=AR$4+(FC_SUPUESTOS!$C$31))*$D$18:$BK$18))</f>
        <v>0</v>
      </c>
      <c r="AS29" s="423" t="n">
        <f aca="false">IF(FC_SUPUESTOS!$C$25=1,IF(AS$4=MAX(1,FC_SUPUESTOS!$C$24),FC_SUPUESTOS!$C$10,0),SUMPRODUCT(($D$4:$BK$4=AS$4+(FC_SUPUESTOS!$C$31))*$D$18:$BK$18))</f>
        <v>0</v>
      </c>
      <c r="AT29" s="423" t="n">
        <f aca="false">IF(FC_SUPUESTOS!$C$25=1,IF(AT$4=MAX(1,FC_SUPUESTOS!$C$24),FC_SUPUESTOS!$C$10,0),SUMPRODUCT(($D$4:$BK$4=AT$4+(FC_SUPUESTOS!$C$31))*$D$18:$BK$18))</f>
        <v>0</v>
      </c>
      <c r="AU29" s="423" t="n">
        <f aca="false">IF(FC_SUPUESTOS!$C$25=1,IF(AU$4=MAX(1,FC_SUPUESTOS!$C$24),FC_SUPUESTOS!$C$10,0),SUMPRODUCT(($D$4:$BK$4=AU$4+(FC_SUPUESTOS!$C$31))*$D$18:$BK$18))</f>
        <v>0</v>
      </c>
      <c r="AV29" s="423" t="n">
        <f aca="false">IF(FC_SUPUESTOS!$C$25=1,IF(AV$4=MAX(1,FC_SUPUESTOS!$C$24),FC_SUPUESTOS!$C$10,0),SUMPRODUCT(($D$4:$BK$4=AV$4+(FC_SUPUESTOS!$C$31))*$D$18:$BK$18))</f>
        <v>0</v>
      </c>
      <c r="AW29" s="423" t="n">
        <f aca="false">IF(FC_SUPUESTOS!$C$25=1,IF(AW$4=MAX(1,FC_SUPUESTOS!$C$24),FC_SUPUESTOS!$C$10,0),SUMPRODUCT(($D$4:$BK$4=AW$4+(FC_SUPUESTOS!$C$31))*$D$18:$BK$18))</f>
        <v>0</v>
      </c>
      <c r="AX29" s="423" t="n">
        <f aca="false">IF(FC_SUPUESTOS!$C$25=1,IF(AX$4=MAX(1,FC_SUPUESTOS!$C$24),FC_SUPUESTOS!$C$10,0),SUMPRODUCT(($D$4:$BK$4=AX$4+(FC_SUPUESTOS!$C$31))*$D$18:$BK$18))</f>
        <v>0</v>
      </c>
      <c r="AY29" s="423" t="n">
        <f aca="false">IF(FC_SUPUESTOS!$C$25=1,IF(AY$4=MAX(1,FC_SUPUESTOS!$C$24),FC_SUPUESTOS!$C$10,0),SUMPRODUCT(($D$4:$BK$4=AY$4+(FC_SUPUESTOS!$C$31))*$D$18:$BK$18))</f>
        <v>0</v>
      </c>
      <c r="AZ29" s="423" t="n">
        <f aca="false">IF(FC_SUPUESTOS!$C$25=1,IF(AZ$4=MAX(1,FC_SUPUESTOS!$C$24),FC_SUPUESTOS!$C$10,0),SUMPRODUCT(($D$4:$BK$4=AZ$4+(FC_SUPUESTOS!$C$31))*$D$18:$BK$18))</f>
        <v>0</v>
      </c>
      <c r="BA29" s="423" t="n">
        <f aca="false">IF(FC_SUPUESTOS!$C$25=1,IF(BA$4=MAX(1,FC_SUPUESTOS!$C$24),FC_SUPUESTOS!$C$10,0),SUMPRODUCT(($D$4:$BK$4=BA$4+(FC_SUPUESTOS!$C$31))*$D$18:$BK$18))</f>
        <v>0</v>
      </c>
      <c r="BB29" s="423" t="n">
        <f aca="false">IF(FC_SUPUESTOS!$C$25=1,IF(BB$4=MAX(1,FC_SUPUESTOS!$C$24),FC_SUPUESTOS!$C$10,0),SUMPRODUCT(($D$4:$BK$4=BB$4+(FC_SUPUESTOS!$C$31))*$D$18:$BK$18))</f>
        <v>0</v>
      </c>
      <c r="BC29" s="423" t="n">
        <f aca="false">IF(FC_SUPUESTOS!$C$25=1,IF(BC$4=MAX(1,FC_SUPUESTOS!$C$24),FC_SUPUESTOS!$C$10,0),SUMPRODUCT(($D$4:$BK$4=BC$4+(FC_SUPUESTOS!$C$31))*$D$18:$BK$18))</f>
        <v>0</v>
      </c>
      <c r="BD29" s="423" t="n">
        <f aca="false">IF(FC_SUPUESTOS!$C$25=1,IF(BD$4=MAX(1,FC_SUPUESTOS!$C$24),FC_SUPUESTOS!$C$10,0),SUMPRODUCT(($D$4:$BK$4=BD$4+(FC_SUPUESTOS!$C$31))*$D$18:$BK$18))</f>
        <v>0</v>
      </c>
      <c r="BE29" s="423" t="n">
        <f aca="false">IF(FC_SUPUESTOS!$C$25=1,IF(BE$4=MAX(1,FC_SUPUESTOS!$C$24),FC_SUPUESTOS!$C$10,0),SUMPRODUCT(($D$4:$BK$4=BE$4+(FC_SUPUESTOS!$C$31))*$D$18:$BK$18))</f>
        <v>0</v>
      </c>
      <c r="BF29" s="423" t="n">
        <f aca="false">IF(FC_SUPUESTOS!$C$25=1,IF(BF$4=MAX(1,FC_SUPUESTOS!$C$24),FC_SUPUESTOS!$C$10,0),SUMPRODUCT(($D$4:$BK$4=BF$4+(FC_SUPUESTOS!$C$31))*$D$18:$BK$18))</f>
        <v>0</v>
      </c>
      <c r="BG29" s="423" t="n">
        <f aca="false">IF(FC_SUPUESTOS!$C$25=1,IF(BG$4=MAX(1,FC_SUPUESTOS!$C$24),FC_SUPUESTOS!$C$10,0),SUMPRODUCT(($D$4:$BK$4=BG$4+(FC_SUPUESTOS!$C$31))*$D$18:$BK$18))</f>
        <v>0</v>
      </c>
      <c r="BH29" s="423" t="n">
        <f aca="false">IF(FC_SUPUESTOS!$C$25=1,IF(BH$4=MAX(1,FC_SUPUESTOS!$C$24),FC_SUPUESTOS!$C$10,0),SUMPRODUCT(($D$4:$BK$4=BH$4+(FC_SUPUESTOS!$C$31))*$D$18:$BK$18))</f>
        <v>0</v>
      </c>
      <c r="BI29" s="423" t="n">
        <f aca="false">IF(FC_SUPUESTOS!$C$25=1,IF(BI$4=MAX(1,FC_SUPUESTOS!$C$24),FC_SUPUESTOS!$C$10,0),SUMPRODUCT(($D$4:$BK$4=BI$4+(FC_SUPUESTOS!$C$31))*$D$18:$BK$18))</f>
        <v>0</v>
      </c>
      <c r="BJ29" s="423" t="n">
        <f aca="false">IF(FC_SUPUESTOS!$C$25=1,IF(BJ$4=MAX(1,FC_SUPUESTOS!$C$24),FC_SUPUESTOS!$C$10,0),SUMPRODUCT(($D$4:$BK$4=BJ$4+(FC_SUPUESTOS!$C$31))*$D$18:$BK$18))</f>
        <v>0</v>
      </c>
      <c r="BK29" s="423" t="n">
        <f aca="false">IF(FC_SUPUESTOS!$C$25=1,IF(BK$4=MAX(1,FC_SUPUESTOS!$C$24),FC_SUPUESTOS!$C$10,0),SUMPRODUCT(($D$4:$BK$4=BK$4+(FC_SUPUESTOS!$C$31))*$D$18:$BK$18))</f>
        <v>0</v>
      </c>
    </row>
    <row r="30" customFormat="false" ht="15" hidden="false" customHeight="true" outlineLevel="0" collapsed="false">
      <c r="B30" s="297" t="s">
        <v>2371</v>
      </c>
      <c r="D30" s="423" t="n">
        <f aca="false">MAX($D$20:$BK$20)-SUM($E$30:$BK$30)</f>
        <v>0</v>
      </c>
      <c r="E30" s="423" t="n">
        <f aca="false">IF(FC_SUPUESTOS!$C$25=1,IF(E$4=MAX(1,FC_SUPUESTOS!$C$24+FC_SUPUESTOS!$C$27),FC_SUPUESTOS!$C$9,0),SUMPRODUCT(($D$4:$BK$4=E$4+(FC_SUPUESTOS!$C$30+FC_SUPUESTOS!$C$29+FC_SUPUESTOS!$C$28))*$D$17:$BK$17))</f>
        <v>0</v>
      </c>
      <c r="F30" s="423" t="n">
        <f aca="false">IF(FC_SUPUESTOS!$C$25=1,IF(F$4=MAX(1,FC_SUPUESTOS!$C$24+FC_SUPUESTOS!$C$27),FC_SUPUESTOS!$C$9,0),SUMPRODUCT(($D$4:$BK$4=F$4+(FC_SUPUESTOS!$C$30+FC_SUPUESTOS!$C$29+FC_SUPUESTOS!$C$28))*$D$17:$BK$17))</f>
        <v>0</v>
      </c>
      <c r="G30" s="423" t="n">
        <f aca="false">IF(FC_SUPUESTOS!$C$25=1,IF(G$4=MAX(1,FC_SUPUESTOS!$C$24+FC_SUPUESTOS!$C$27),FC_SUPUESTOS!$C$9,0),SUMPRODUCT(($D$4:$BK$4=G$4+(FC_SUPUESTOS!$C$30+FC_SUPUESTOS!$C$29+FC_SUPUESTOS!$C$28))*$D$17:$BK$17))</f>
        <v>7</v>
      </c>
      <c r="H30" s="423" t="n">
        <f aca="false">IF(FC_SUPUESTOS!$C$25=1,IF(H$4=MAX(1,FC_SUPUESTOS!$C$24+FC_SUPUESTOS!$C$27),FC_SUPUESTOS!$C$9,0),SUMPRODUCT(($D$4:$BK$4=H$4+(FC_SUPUESTOS!$C$30+FC_SUPUESTOS!$C$29+FC_SUPUESTOS!$C$28))*$D$17:$BK$17))</f>
        <v>0</v>
      </c>
      <c r="I30" s="423" t="n">
        <f aca="false">IF(FC_SUPUESTOS!$C$25=1,IF(I$4=MAX(1,FC_SUPUESTOS!$C$24+FC_SUPUESTOS!$C$27),FC_SUPUESTOS!$C$9,0),SUMPRODUCT(($D$4:$BK$4=I$4+(FC_SUPUESTOS!$C$30+FC_SUPUESTOS!$C$29+FC_SUPUESTOS!$C$28))*$D$17:$BK$17))</f>
        <v>0</v>
      </c>
      <c r="J30" s="423" t="n">
        <f aca="false">IF(FC_SUPUESTOS!$C$25=1,IF(J$4=MAX(1,FC_SUPUESTOS!$C$24+FC_SUPUESTOS!$C$27),FC_SUPUESTOS!$C$9,0),SUMPRODUCT(($D$4:$BK$4=J$4+(FC_SUPUESTOS!$C$30+FC_SUPUESTOS!$C$29+FC_SUPUESTOS!$C$28))*$D$17:$BK$17))</f>
        <v>0</v>
      </c>
      <c r="K30" s="423" t="n">
        <f aca="false">IF(FC_SUPUESTOS!$C$25=1,IF(K$4=MAX(1,FC_SUPUESTOS!$C$24+FC_SUPUESTOS!$C$27),FC_SUPUESTOS!$C$9,0),SUMPRODUCT(($D$4:$BK$4=K$4+(FC_SUPUESTOS!$C$30+FC_SUPUESTOS!$C$29+FC_SUPUESTOS!$C$28))*$D$17:$BK$17))</f>
        <v>0</v>
      </c>
      <c r="L30" s="423" t="n">
        <f aca="false">IF(FC_SUPUESTOS!$C$25=1,IF(L$4=MAX(1,FC_SUPUESTOS!$C$24+FC_SUPUESTOS!$C$27),FC_SUPUESTOS!$C$9,0),SUMPRODUCT(($D$4:$BK$4=L$4+(FC_SUPUESTOS!$C$30+FC_SUPUESTOS!$C$29+FC_SUPUESTOS!$C$28))*$D$17:$BK$17))</f>
        <v>0</v>
      </c>
      <c r="M30" s="423" t="n">
        <f aca="false">IF(FC_SUPUESTOS!$C$25=1,IF(M$4=MAX(1,FC_SUPUESTOS!$C$24+FC_SUPUESTOS!$C$27),FC_SUPUESTOS!$C$9,0),SUMPRODUCT(($D$4:$BK$4=M$4+(FC_SUPUESTOS!$C$30+FC_SUPUESTOS!$C$29+FC_SUPUESTOS!$C$28))*$D$17:$BK$17))</f>
        <v>0</v>
      </c>
      <c r="N30" s="423" t="n">
        <f aca="false">IF(FC_SUPUESTOS!$C$25=1,IF(N$4=MAX(1,FC_SUPUESTOS!$C$24+FC_SUPUESTOS!$C$27),FC_SUPUESTOS!$C$9,0),SUMPRODUCT(($D$4:$BK$4=N$4+(FC_SUPUESTOS!$C$30+FC_SUPUESTOS!$C$29+FC_SUPUESTOS!$C$28))*$D$17:$BK$17))</f>
        <v>0</v>
      </c>
      <c r="O30" s="423" t="n">
        <f aca="false">IF(FC_SUPUESTOS!$C$25=1,IF(O$4=MAX(1,FC_SUPUESTOS!$C$24+FC_SUPUESTOS!$C$27),FC_SUPUESTOS!$C$9,0),SUMPRODUCT(($D$4:$BK$4=O$4+(FC_SUPUESTOS!$C$30+FC_SUPUESTOS!$C$29+FC_SUPUESTOS!$C$28))*$D$17:$BK$17))</f>
        <v>0</v>
      </c>
      <c r="P30" s="423" t="n">
        <f aca="false">IF(FC_SUPUESTOS!$C$25=1,IF(P$4=MAX(1,FC_SUPUESTOS!$C$24+FC_SUPUESTOS!$C$27),FC_SUPUESTOS!$C$9,0),SUMPRODUCT(($D$4:$BK$4=P$4+(FC_SUPUESTOS!$C$30+FC_SUPUESTOS!$C$29+FC_SUPUESTOS!$C$28))*$D$17:$BK$17))</f>
        <v>0</v>
      </c>
      <c r="Q30" s="423" t="n">
        <f aca="false">IF(FC_SUPUESTOS!$C$25=1,IF(Q$4=MAX(1,FC_SUPUESTOS!$C$24+FC_SUPUESTOS!$C$27),FC_SUPUESTOS!$C$9,0),SUMPRODUCT(($D$4:$BK$4=Q$4+(FC_SUPUESTOS!$C$30+FC_SUPUESTOS!$C$29+FC_SUPUESTOS!$C$28))*$D$17:$BK$17))</f>
        <v>0</v>
      </c>
      <c r="R30" s="423" t="n">
        <f aca="false">IF(FC_SUPUESTOS!$C$25=1,IF(R$4=MAX(1,FC_SUPUESTOS!$C$24+FC_SUPUESTOS!$C$27),FC_SUPUESTOS!$C$9,0),SUMPRODUCT(($D$4:$BK$4=R$4+(FC_SUPUESTOS!$C$30+FC_SUPUESTOS!$C$29+FC_SUPUESTOS!$C$28))*$D$17:$BK$17))</f>
        <v>0</v>
      </c>
      <c r="S30" s="423" t="n">
        <f aca="false">IF(FC_SUPUESTOS!$C$25=1,IF(S$4=MAX(1,FC_SUPUESTOS!$C$24+FC_SUPUESTOS!$C$27),FC_SUPUESTOS!$C$9,0),SUMPRODUCT(($D$4:$BK$4=S$4+(FC_SUPUESTOS!$C$30+FC_SUPUESTOS!$C$29+FC_SUPUESTOS!$C$28))*$D$17:$BK$17))</f>
        <v>0</v>
      </c>
      <c r="T30" s="423" t="n">
        <f aca="false">IF(FC_SUPUESTOS!$C$25=1,IF(T$4=MAX(1,FC_SUPUESTOS!$C$24+FC_SUPUESTOS!$C$27),FC_SUPUESTOS!$C$9,0),SUMPRODUCT(($D$4:$BK$4=T$4+(FC_SUPUESTOS!$C$30+FC_SUPUESTOS!$C$29+FC_SUPUESTOS!$C$28))*$D$17:$BK$17))</f>
        <v>0</v>
      </c>
      <c r="U30" s="423" t="n">
        <f aca="false">IF(FC_SUPUESTOS!$C$25=1,IF(U$4=MAX(1,FC_SUPUESTOS!$C$24+FC_SUPUESTOS!$C$27),FC_SUPUESTOS!$C$9,0),SUMPRODUCT(($D$4:$BK$4=U$4+(FC_SUPUESTOS!$C$30+FC_SUPUESTOS!$C$29+FC_SUPUESTOS!$C$28))*$D$17:$BK$17))</f>
        <v>0</v>
      </c>
      <c r="V30" s="423" t="n">
        <f aca="false">IF(FC_SUPUESTOS!$C$25=1,IF(V$4=MAX(1,FC_SUPUESTOS!$C$24+FC_SUPUESTOS!$C$27),FC_SUPUESTOS!$C$9,0),SUMPRODUCT(($D$4:$BK$4=V$4+(FC_SUPUESTOS!$C$30+FC_SUPUESTOS!$C$29+FC_SUPUESTOS!$C$28))*$D$17:$BK$17))</f>
        <v>0</v>
      </c>
      <c r="W30" s="423" t="n">
        <f aca="false">IF(FC_SUPUESTOS!$C$25=1,IF(W$4=MAX(1,FC_SUPUESTOS!$C$24+FC_SUPUESTOS!$C$27),FC_SUPUESTOS!$C$9,0),SUMPRODUCT(($D$4:$BK$4=W$4+(FC_SUPUESTOS!$C$30+FC_SUPUESTOS!$C$29+FC_SUPUESTOS!$C$28))*$D$17:$BK$17))</f>
        <v>0</v>
      </c>
      <c r="X30" s="423" t="n">
        <f aca="false">IF(FC_SUPUESTOS!$C$25=1,IF(X$4=MAX(1,FC_SUPUESTOS!$C$24+FC_SUPUESTOS!$C$27),FC_SUPUESTOS!$C$9,0),SUMPRODUCT(($D$4:$BK$4=X$4+(FC_SUPUESTOS!$C$30+FC_SUPUESTOS!$C$29+FC_SUPUESTOS!$C$28))*$D$17:$BK$17))</f>
        <v>0</v>
      </c>
      <c r="Y30" s="423" t="n">
        <f aca="false">IF(FC_SUPUESTOS!$C$25=1,IF(Y$4=MAX(1,FC_SUPUESTOS!$C$24+FC_SUPUESTOS!$C$27),FC_SUPUESTOS!$C$9,0),SUMPRODUCT(($D$4:$BK$4=Y$4+(FC_SUPUESTOS!$C$30+FC_SUPUESTOS!$C$29+FC_SUPUESTOS!$C$28))*$D$17:$BK$17))</f>
        <v>0</v>
      </c>
      <c r="Z30" s="423" t="n">
        <f aca="false">IF(FC_SUPUESTOS!$C$25=1,IF(Z$4=MAX(1,FC_SUPUESTOS!$C$24+FC_SUPUESTOS!$C$27),FC_SUPUESTOS!$C$9,0),SUMPRODUCT(($D$4:$BK$4=Z$4+(FC_SUPUESTOS!$C$30+FC_SUPUESTOS!$C$29+FC_SUPUESTOS!$C$28))*$D$17:$BK$17))</f>
        <v>0</v>
      </c>
      <c r="AA30" s="423" t="n">
        <f aca="false">IF(FC_SUPUESTOS!$C$25=1,IF(AA$4=MAX(1,FC_SUPUESTOS!$C$24+FC_SUPUESTOS!$C$27),FC_SUPUESTOS!$C$9,0),SUMPRODUCT(($D$4:$BK$4=AA$4+(FC_SUPUESTOS!$C$30+FC_SUPUESTOS!$C$29+FC_SUPUESTOS!$C$28))*$D$17:$BK$17))</f>
        <v>0</v>
      </c>
      <c r="AB30" s="423" t="n">
        <f aca="false">IF(FC_SUPUESTOS!$C$25=1,IF(AB$4=MAX(1,FC_SUPUESTOS!$C$24+FC_SUPUESTOS!$C$27),FC_SUPUESTOS!$C$9,0),SUMPRODUCT(($D$4:$BK$4=AB$4+(FC_SUPUESTOS!$C$30+FC_SUPUESTOS!$C$29+FC_SUPUESTOS!$C$28))*$D$17:$BK$17))</f>
        <v>0</v>
      </c>
      <c r="AC30" s="423" t="n">
        <f aca="false">IF(FC_SUPUESTOS!$C$25=1,IF(AC$4=MAX(1,FC_SUPUESTOS!$C$24+FC_SUPUESTOS!$C$27),FC_SUPUESTOS!$C$9,0),SUMPRODUCT(($D$4:$BK$4=AC$4+(FC_SUPUESTOS!$C$30+FC_SUPUESTOS!$C$29+FC_SUPUESTOS!$C$28))*$D$17:$BK$17))</f>
        <v>0</v>
      </c>
      <c r="AD30" s="423" t="n">
        <f aca="false">IF(FC_SUPUESTOS!$C$25=1,IF(AD$4=MAX(1,FC_SUPUESTOS!$C$24+FC_SUPUESTOS!$C$27),FC_SUPUESTOS!$C$9,0),SUMPRODUCT(($D$4:$BK$4=AD$4+(FC_SUPUESTOS!$C$30+FC_SUPUESTOS!$C$29+FC_SUPUESTOS!$C$28))*$D$17:$BK$17))</f>
        <v>0</v>
      </c>
      <c r="AE30" s="423" t="n">
        <f aca="false">IF(FC_SUPUESTOS!$C$25=1,IF(AE$4=MAX(1,FC_SUPUESTOS!$C$24+FC_SUPUESTOS!$C$27),FC_SUPUESTOS!$C$9,0),SUMPRODUCT(($D$4:$BK$4=AE$4+(FC_SUPUESTOS!$C$30+FC_SUPUESTOS!$C$29+FC_SUPUESTOS!$C$28))*$D$17:$BK$17))</f>
        <v>0</v>
      </c>
      <c r="AF30" s="423" t="n">
        <f aca="false">IF(FC_SUPUESTOS!$C$25=1,IF(AF$4=MAX(1,FC_SUPUESTOS!$C$24+FC_SUPUESTOS!$C$27),FC_SUPUESTOS!$C$9,0),SUMPRODUCT(($D$4:$BK$4=AF$4+(FC_SUPUESTOS!$C$30+FC_SUPUESTOS!$C$29+FC_SUPUESTOS!$C$28))*$D$17:$BK$17))</f>
        <v>0</v>
      </c>
      <c r="AG30" s="423" t="n">
        <f aca="false">IF(FC_SUPUESTOS!$C$25=1,IF(AG$4=MAX(1,FC_SUPUESTOS!$C$24+FC_SUPUESTOS!$C$27),FC_SUPUESTOS!$C$9,0),SUMPRODUCT(($D$4:$BK$4=AG$4+(FC_SUPUESTOS!$C$30+FC_SUPUESTOS!$C$29+FC_SUPUESTOS!$C$28))*$D$17:$BK$17))</f>
        <v>0</v>
      </c>
      <c r="AH30" s="423" t="n">
        <f aca="false">IF(FC_SUPUESTOS!$C$25=1,IF(AH$4=MAX(1,FC_SUPUESTOS!$C$24+FC_SUPUESTOS!$C$27),FC_SUPUESTOS!$C$9,0),SUMPRODUCT(($D$4:$BK$4=AH$4+(FC_SUPUESTOS!$C$30+FC_SUPUESTOS!$C$29+FC_SUPUESTOS!$C$28))*$D$17:$BK$17))</f>
        <v>0</v>
      </c>
      <c r="AI30" s="423" t="n">
        <f aca="false">IF(FC_SUPUESTOS!$C$25=1,IF(AI$4=MAX(1,FC_SUPUESTOS!$C$24+FC_SUPUESTOS!$C$27),FC_SUPUESTOS!$C$9,0),SUMPRODUCT(($D$4:$BK$4=AI$4+(FC_SUPUESTOS!$C$30+FC_SUPUESTOS!$C$29+FC_SUPUESTOS!$C$28))*$D$17:$BK$17))</f>
        <v>0</v>
      </c>
      <c r="AJ30" s="423" t="n">
        <f aca="false">IF(FC_SUPUESTOS!$C$25=1,IF(AJ$4=MAX(1,FC_SUPUESTOS!$C$24+FC_SUPUESTOS!$C$27),FC_SUPUESTOS!$C$9,0),SUMPRODUCT(($D$4:$BK$4=AJ$4+(FC_SUPUESTOS!$C$30+FC_SUPUESTOS!$C$29+FC_SUPUESTOS!$C$28))*$D$17:$BK$17))</f>
        <v>0</v>
      </c>
      <c r="AK30" s="423" t="n">
        <f aca="false">IF(FC_SUPUESTOS!$C$25=1,IF(AK$4=MAX(1,FC_SUPUESTOS!$C$24+FC_SUPUESTOS!$C$27),FC_SUPUESTOS!$C$9,0),SUMPRODUCT(($D$4:$BK$4=AK$4+(FC_SUPUESTOS!$C$30+FC_SUPUESTOS!$C$29+FC_SUPUESTOS!$C$28))*$D$17:$BK$17))</f>
        <v>0</v>
      </c>
      <c r="AL30" s="423" t="n">
        <f aca="false">IF(FC_SUPUESTOS!$C$25=1,IF(AL$4=MAX(1,FC_SUPUESTOS!$C$24+FC_SUPUESTOS!$C$27),FC_SUPUESTOS!$C$9,0),SUMPRODUCT(($D$4:$BK$4=AL$4+(FC_SUPUESTOS!$C$30+FC_SUPUESTOS!$C$29+FC_SUPUESTOS!$C$28))*$D$17:$BK$17))</f>
        <v>0</v>
      </c>
      <c r="AM30" s="423" t="n">
        <f aca="false">IF(FC_SUPUESTOS!$C$25=1,IF(AM$4=MAX(1,FC_SUPUESTOS!$C$24+FC_SUPUESTOS!$C$27),FC_SUPUESTOS!$C$9,0),SUMPRODUCT(($D$4:$BK$4=AM$4+(FC_SUPUESTOS!$C$30+FC_SUPUESTOS!$C$29+FC_SUPUESTOS!$C$28))*$D$17:$BK$17))</f>
        <v>0</v>
      </c>
      <c r="AN30" s="423" t="n">
        <f aca="false">IF(FC_SUPUESTOS!$C$25=1,IF(AN$4=MAX(1,FC_SUPUESTOS!$C$24+FC_SUPUESTOS!$C$27),FC_SUPUESTOS!$C$9,0),SUMPRODUCT(($D$4:$BK$4=AN$4+(FC_SUPUESTOS!$C$30+FC_SUPUESTOS!$C$29+FC_SUPUESTOS!$C$28))*$D$17:$BK$17))</f>
        <v>0</v>
      </c>
      <c r="AO30" s="423" t="n">
        <f aca="false">IF(FC_SUPUESTOS!$C$25=1,IF(AO$4=MAX(1,FC_SUPUESTOS!$C$24+FC_SUPUESTOS!$C$27),FC_SUPUESTOS!$C$9,0),SUMPRODUCT(($D$4:$BK$4=AO$4+(FC_SUPUESTOS!$C$30+FC_SUPUESTOS!$C$29+FC_SUPUESTOS!$C$28))*$D$17:$BK$17))</f>
        <v>0</v>
      </c>
      <c r="AP30" s="423" t="n">
        <f aca="false">IF(FC_SUPUESTOS!$C$25=1,IF(AP$4=MAX(1,FC_SUPUESTOS!$C$24+FC_SUPUESTOS!$C$27),FC_SUPUESTOS!$C$9,0),SUMPRODUCT(($D$4:$BK$4=AP$4+(FC_SUPUESTOS!$C$30+FC_SUPUESTOS!$C$29+FC_SUPUESTOS!$C$28))*$D$17:$BK$17))</f>
        <v>0</v>
      </c>
      <c r="AQ30" s="423" t="n">
        <f aca="false">IF(FC_SUPUESTOS!$C$25=1,IF(AQ$4=MAX(1,FC_SUPUESTOS!$C$24+FC_SUPUESTOS!$C$27),FC_SUPUESTOS!$C$9,0),SUMPRODUCT(($D$4:$BK$4=AQ$4+(FC_SUPUESTOS!$C$30+FC_SUPUESTOS!$C$29+FC_SUPUESTOS!$C$28))*$D$17:$BK$17))</f>
        <v>0</v>
      </c>
      <c r="AR30" s="423" t="n">
        <f aca="false">IF(FC_SUPUESTOS!$C$25=1,IF(AR$4=MAX(1,FC_SUPUESTOS!$C$24+FC_SUPUESTOS!$C$27),FC_SUPUESTOS!$C$9,0),SUMPRODUCT(($D$4:$BK$4=AR$4+(FC_SUPUESTOS!$C$30+FC_SUPUESTOS!$C$29+FC_SUPUESTOS!$C$28))*$D$17:$BK$17))</f>
        <v>0</v>
      </c>
      <c r="AS30" s="423" t="n">
        <f aca="false">IF(FC_SUPUESTOS!$C$25=1,IF(AS$4=MAX(1,FC_SUPUESTOS!$C$24+FC_SUPUESTOS!$C$27),FC_SUPUESTOS!$C$9,0),SUMPRODUCT(($D$4:$BK$4=AS$4+(FC_SUPUESTOS!$C$30+FC_SUPUESTOS!$C$29+FC_SUPUESTOS!$C$28))*$D$17:$BK$17))</f>
        <v>0</v>
      </c>
      <c r="AT30" s="423" t="n">
        <f aca="false">IF(FC_SUPUESTOS!$C$25=1,IF(AT$4=MAX(1,FC_SUPUESTOS!$C$24+FC_SUPUESTOS!$C$27),FC_SUPUESTOS!$C$9,0),SUMPRODUCT(($D$4:$BK$4=AT$4+(FC_SUPUESTOS!$C$30+FC_SUPUESTOS!$C$29+FC_SUPUESTOS!$C$28))*$D$17:$BK$17))</f>
        <v>0</v>
      </c>
      <c r="AU30" s="423" t="n">
        <f aca="false">IF(FC_SUPUESTOS!$C$25=1,IF(AU$4=MAX(1,FC_SUPUESTOS!$C$24+FC_SUPUESTOS!$C$27),FC_SUPUESTOS!$C$9,0),SUMPRODUCT(($D$4:$BK$4=AU$4+(FC_SUPUESTOS!$C$30+FC_SUPUESTOS!$C$29+FC_SUPUESTOS!$C$28))*$D$17:$BK$17))</f>
        <v>0</v>
      </c>
      <c r="AV30" s="423" t="n">
        <f aca="false">IF(FC_SUPUESTOS!$C$25=1,IF(AV$4=MAX(1,FC_SUPUESTOS!$C$24+FC_SUPUESTOS!$C$27),FC_SUPUESTOS!$C$9,0),SUMPRODUCT(($D$4:$BK$4=AV$4+(FC_SUPUESTOS!$C$30+FC_SUPUESTOS!$C$29+FC_SUPUESTOS!$C$28))*$D$17:$BK$17))</f>
        <v>0</v>
      </c>
      <c r="AW30" s="423" t="n">
        <f aca="false">IF(FC_SUPUESTOS!$C$25=1,IF(AW$4=MAX(1,FC_SUPUESTOS!$C$24+FC_SUPUESTOS!$C$27),FC_SUPUESTOS!$C$9,0),SUMPRODUCT(($D$4:$BK$4=AW$4+(FC_SUPUESTOS!$C$30+FC_SUPUESTOS!$C$29+FC_SUPUESTOS!$C$28))*$D$17:$BK$17))</f>
        <v>0</v>
      </c>
      <c r="AX30" s="423" t="n">
        <f aca="false">IF(FC_SUPUESTOS!$C$25=1,IF(AX$4=MAX(1,FC_SUPUESTOS!$C$24+FC_SUPUESTOS!$C$27),FC_SUPUESTOS!$C$9,0),SUMPRODUCT(($D$4:$BK$4=AX$4+(FC_SUPUESTOS!$C$30+FC_SUPUESTOS!$C$29+FC_SUPUESTOS!$C$28))*$D$17:$BK$17))</f>
        <v>0</v>
      </c>
      <c r="AY30" s="423" t="n">
        <f aca="false">IF(FC_SUPUESTOS!$C$25=1,IF(AY$4=MAX(1,FC_SUPUESTOS!$C$24+FC_SUPUESTOS!$C$27),FC_SUPUESTOS!$C$9,0),SUMPRODUCT(($D$4:$BK$4=AY$4+(FC_SUPUESTOS!$C$30+FC_SUPUESTOS!$C$29+FC_SUPUESTOS!$C$28))*$D$17:$BK$17))</f>
        <v>0</v>
      </c>
      <c r="AZ30" s="423" t="n">
        <f aca="false">IF(FC_SUPUESTOS!$C$25=1,IF(AZ$4=MAX(1,FC_SUPUESTOS!$C$24+FC_SUPUESTOS!$C$27),FC_SUPUESTOS!$C$9,0),SUMPRODUCT(($D$4:$BK$4=AZ$4+(FC_SUPUESTOS!$C$30+FC_SUPUESTOS!$C$29+FC_SUPUESTOS!$C$28))*$D$17:$BK$17))</f>
        <v>0</v>
      </c>
      <c r="BA30" s="423" t="n">
        <f aca="false">IF(FC_SUPUESTOS!$C$25=1,IF(BA$4=MAX(1,FC_SUPUESTOS!$C$24+FC_SUPUESTOS!$C$27),FC_SUPUESTOS!$C$9,0),SUMPRODUCT(($D$4:$BK$4=BA$4+(FC_SUPUESTOS!$C$30+FC_SUPUESTOS!$C$29+FC_SUPUESTOS!$C$28))*$D$17:$BK$17))</f>
        <v>0</v>
      </c>
      <c r="BB30" s="423" t="n">
        <f aca="false">IF(FC_SUPUESTOS!$C$25=1,IF(BB$4=MAX(1,FC_SUPUESTOS!$C$24+FC_SUPUESTOS!$C$27),FC_SUPUESTOS!$C$9,0),SUMPRODUCT(($D$4:$BK$4=BB$4+(FC_SUPUESTOS!$C$30+FC_SUPUESTOS!$C$29+FC_SUPUESTOS!$C$28))*$D$17:$BK$17))</f>
        <v>0</v>
      </c>
      <c r="BC30" s="423" t="n">
        <f aca="false">IF(FC_SUPUESTOS!$C$25=1,IF(BC$4=MAX(1,FC_SUPUESTOS!$C$24+FC_SUPUESTOS!$C$27),FC_SUPUESTOS!$C$9,0),SUMPRODUCT(($D$4:$BK$4=BC$4+(FC_SUPUESTOS!$C$30+FC_SUPUESTOS!$C$29+FC_SUPUESTOS!$C$28))*$D$17:$BK$17))</f>
        <v>0</v>
      </c>
      <c r="BD30" s="423" t="n">
        <f aca="false">IF(FC_SUPUESTOS!$C$25=1,IF(BD$4=MAX(1,FC_SUPUESTOS!$C$24+FC_SUPUESTOS!$C$27),FC_SUPUESTOS!$C$9,0),SUMPRODUCT(($D$4:$BK$4=BD$4+(FC_SUPUESTOS!$C$30+FC_SUPUESTOS!$C$29+FC_SUPUESTOS!$C$28))*$D$17:$BK$17))</f>
        <v>0</v>
      </c>
      <c r="BE30" s="423" t="n">
        <f aca="false">IF(FC_SUPUESTOS!$C$25=1,IF(BE$4=MAX(1,FC_SUPUESTOS!$C$24+FC_SUPUESTOS!$C$27),FC_SUPUESTOS!$C$9,0),SUMPRODUCT(($D$4:$BK$4=BE$4+(FC_SUPUESTOS!$C$30+FC_SUPUESTOS!$C$29+FC_SUPUESTOS!$C$28))*$D$17:$BK$17))</f>
        <v>0</v>
      </c>
      <c r="BF30" s="423" t="n">
        <f aca="false">IF(FC_SUPUESTOS!$C$25=1,IF(BF$4=MAX(1,FC_SUPUESTOS!$C$24+FC_SUPUESTOS!$C$27),FC_SUPUESTOS!$C$9,0),SUMPRODUCT(($D$4:$BK$4=BF$4+(FC_SUPUESTOS!$C$30+FC_SUPUESTOS!$C$29+FC_SUPUESTOS!$C$28))*$D$17:$BK$17))</f>
        <v>0</v>
      </c>
      <c r="BG30" s="423" t="n">
        <f aca="false">IF(FC_SUPUESTOS!$C$25=1,IF(BG$4=MAX(1,FC_SUPUESTOS!$C$24+FC_SUPUESTOS!$C$27),FC_SUPUESTOS!$C$9,0),SUMPRODUCT(($D$4:$BK$4=BG$4+(FC_SUPUESTOS!$C$30+FC_SUPUESTOS!$C$29+FC_SUPUESTOS!$C$28))*$D$17:$BK$17))</f>
        <v>0</v>
      </c>
      <c r="BH30" s="423" t="n">
        <f aca="false">IF(FC_SUPUESTOS!$C$25=1,IF(BH$4=MAX(1,FC_SUPUESTOS!$C$24+FC_SUPUESTOS!$C$27),FC_SUPUESTOS!$C$9,0),SUMPRODUCT(($D$4:$BK$4=BH$4+(FC_SUPUESTOS!$C$30+FC_SUPUESTOS!$C$29+FC_SUPUESTOS!$C$28))*$D$17:$BK$17))</f>
        <v>0</v>
      </c>
      <c r="BI30" s="423" t="n">
        <f aca="false">IF(FC_SUPUESTOS!$C$25=1,IF(BI$4=MAX(1,FC_SUPUESTOS!$C$24+FC_SUPUESTOS!$C$27),FC_SUPUESTOS!$C$9,0),SUMPRODUCT(($D$4:$BK$4=BI$4+(FC_SUPUESTOS!$C$30+FC_SUPUESTOS!$C$29+FC_SUPUESTOS!$C$28))*$D$17:$BK$17))</f>
        <v>0</v>
      </c>
      <c r="BJ30" s="423" t="n">
        <f aca="false">IF(FC_SUPUESTOS!$C$25=1,IF(BJ$4=MAX(1,FC_SUPUESTOS!$C$24+FC_SUPUESTOS!$C$27),FC_SUPUESTOS!$C$9,0),SUMPRODUCT(($D$4:$BK$4=BJ$4+(FC_SUPUESTOS!$C$30+FC_SUPUESTOS!$C$29+FC_SUPUESTOS!$C$28))*$D$17:$BK$17))</f>
        <v>0</v>
      </c>
      <c r="BK30" s="423" t="n">
        <f aca="false">IF(FC_SUPUESTOS!$C$25=1,IF(BK$4=MAX(1,FC_SUPUESTOS!$C$24+FC_SUPUESTOS!$C$27),FC_SUPUESTOS!$C$9,0),SUMPRODUCT(($D$4:$BK$4=BK$4+(FC_SUPUESTOS!$C$30+FC_SUPUESTOS!$C$29+FC_SUPUESTOS!$C$28))*$D$17:$BK$17))</f>
        <v>0</v>
      </c>
    </row>
    <row r="31" customFormat="false" ht="15" hidden="false" customHeight="true" outlineLevel="0" collapsed="false">
      <c r="B31" s="297" t="s">
        <v>2372</v>
      </c>
      <c r="D31" s="423" t="n">
        <f aca="false">MAX($D$21:$BK$21)-SUM($E$31:$BK$31)</f>
        <v>0</v>
      </c>
      <c r="E31" s="423" t="n">
        <f aca="false">IF(FC_SUPUESTOS!$C$25=1,IF(E$4=MAX(1,FC_SUPUESTOS!$C$24+FC_SUPUESTOS!$C$27),FC_SUPUESTOS!$C$10,0),SUMPRODUCT(($D$4:$BK$4=E$4+(FC_SUPUESTOS!$C$30+FC_SUPUESTOS!$C$29+FC_SUPUESTOS!$C$28))*$D$18:$BK$18))</f>
        <v>0</v>
      </c>
      <c r="F31" s="423" t="n">
        <f aca="false">IF(FC_SUPUESTOS!$C$25=1,IF(F$4=MAX(1,FC_SUPUESTOS!$C$24+FC_SUPUESTOS!$C$27),FC_SUPUESTOS!$C$10,0),SUMPRODUCT(($D$4:$BK$4=F$4+(FC_SUPUESTOS!$C$30+FC_SUPUESTOS!$C$29+FC_SUPUESTOS!$C$28))*$D$18:$BK$18))</f>
        <v>0</v>
      </c>
      <c r="G31" s="423" t="n">
        <f aca="false">IF(FC_SUPUESTOS!$C$25=1,IF(G$4=MAX(1,FC_SUPUESTOS!$C$24+FC_SUPUESTOS!$C$27),FC_SUPUESTOS!$C$10,0),SUMPRODUCT(($D$4:$BK$4=G$4+(FC_SUPUESTOS!$C$30+FC_SUPUESTOS!$C$29+FC_SUPUESTOS!$C$28))*$D$18:$BK$18))</f>
        <v>3</v>
      </c>
      <c r="H31" s="423" t="n">
        <f aca="false">IF(FC_SUPUESTOS!$C$25=1,IF(H$4=MAX(1,FC_SUPUESTOS!$C$24+FC_SUPUESTOS!$C$27),FC_SUPUESTOS!$C$10,0),SUMPRODUCT(($D$4:$BK$4=H$4+(FC_SUPUESTOS!$C$30+FC_SUPUESTOS!$C$29+FC_SUPUESTOS!$C$28))*$D$18:$BK$18))</f>
        <v>0</v>
      </c>
      <c r="I31" s="423" t="n">
        <f aca="false">IF(FC_SUPUESTOS!$C$25=1,IF(I$4=MAX(1,FC_SUPUESTOS!$C$24+FC_SUPUESTOS!$C$27),FC_SUPUESTOS!$C$10,0),SUMPRODUCT(($D$4:$BK$4=I$4+(FC_SUPUESTOS!$C$30+FC_SUPUESTOS!$C$29+FC_SUPUESTOS!$C$28))*$D$18:$BK$18))</f>
        <v>0</v>
      </c>
      <c r="J31" s="423" t="n">
        <f aca="false">IF(FC_SUPUESTOS!$C$25=1,IF(J$4=MAX(1,FC_SUPUESTOS!$C$24+FC_SUPUESTOS!$C$27),FC_SUPUESTOS!$C$10,0),SUMPRODUCT(($D$4:$BK$4=J$4+(FC_SUPUESTOS!$C$30+FC_SUPUESTOS!$C$29+FC_SUPUESTOS!$C$28))*$D$18:$BK$18))</f>
        <v>0</v>
      </c>
      <c r="K31" s="423" t="n">
        <f aca="false">IF(FC_SUPUESTOS!$C$25=1,IF(K$4=MAX(1,FC_SUPUESTOS!$C$24+FC_SUPUESTOS!$C$27),FC_SUPUESTOS!$C$10,0),SUMPRODUCT(($D$4:$BK$4=K$4+(FC_SUPUESTOS!$C$30+FC_SUPUESTOS!$C$29+FC_SUPUESTOS!$C$28))*$D$18:$BK$18))</f>
        <v>0</v>
      </c>
      <c r="L31" s="423" t="n">
        <f aca="false">IF(FC_SUPUESTOS!$C$25=1,IF(L$4=MAX(1,FC_SUPUESTOS!$C$24+FC_SUPUESTOS!$C$27),FC_SUPUESTOS!$C$10,0),SUMPRODUCT(($D$4:$BK$4=L$4+(FC_SUPUESTOS!$C$30+FC_SUPUESTOS!$C$29+FC_SUPUESTOS!$C$28))*$D$18:$BK$18))</f>
        <v>0</v>
      </c>
      <c r="M31" s="423" t="n">
        <f aca="false">IF(FC_SUPUESTOS!$C$25=1,IF(M$4=MAX(1,FC_SUPUESTOS!$C$24+FC_SUPUESTOS!$C$27),FC_SUPUESTOS!$C$10,0),SUMPRODUCT(($D$4:$BK$4=M$4+(FC_SUPUESTOS!$C$30+FC_SUPUESTOS!$C$29+FC_SUPUESTOS!$C$28))*$D$18:$BK$18))</f>
        <v>0</v>
      </c>
      <c r="N31" s="423" t="n">
        <f aca="false">IF(FC_SUPUESTOS!$C$25=1,IF(N$4=MAX(1,FC_SUPUESTOS!$C$24+FC_SUPUESTOS!$C$27),FC_SUPUESTOS!$C$10,0),SUMPRODUCT(($D$4:$BK$4=N$4+(FC_SUPUESTOS!$C$30+FC_SUPUESTOS!$C$29+FC_SUPUESTOS!$C$28))*$D$18:$BK$18))</f>
        <v>0</v>
      </c>
      <c r="O31" s="423" t="n">
        <f aca="false">IF(FC_SUPUESTOS!$C$25=1,IF(O$4=MAX(1,FC_SUPUESTOS!$C$24+FC_SUPUESTOS!$C$27),FC_SUPUESTOS!$C$10,0),SUMPRODUCT(($D$4:$BK$4=O$4+(FC_SUPUESTOS!$C$30+FC_SUPUESTOS!$C$29+FC_SUPUESTOS!$C$28))*$D$18:$BK$18))</f>
        <v>0</v>
      </c>
      <c r="P31" s="423" t="n">
        <f aca="false">IF(FC_SUPUESTOS!$C$25=1,IF(P$4=MAX(1,FC_SUPUESTOS!$C$24+FC_SUPUESTOS!$C$27),FC_SUPUESTOS!$C$10,0),SUMPRODUCT(($D$4:$BK$4=P$4+(FC_SUPUESTOS!$C$30+FC_SUPUESTOS!$C$29+FC_SUPUESTOS!$C$28))*$D$18:$BK$18))</f>
        <v>0</v>
      </c>
      <c r="Q31" s="423" t="n">
        <f aca="false">IF(FC_SUPUESTOS!$C$25=1,IF(Q$4=MAX(1,FC_SUPUESTOS!$C$24+FC_SUPUESTOS!$C$27),FC_SUPUESTOS!$C$10,0),SUMPRODUCT(($D$4:$BK$4=Q$4+(FC_SUPUESTOS!$C$30+FC_SUPUESTOS!$C$29+FC_SUPUESTOS!$C$28))*$D$18:$BK$18))</f>
        <v>0</v>
      </c>
      <c r="R31" s="423" t="n">
        <f aca="false">IF(FC_SUPUESTOS!$C$25=1,IF(R$4=MAX(1,FC_SUPUESTOS!$C$24+FC_SUPUESTOS!$C$27),FC_SUPUESTOS!$C$10,0),SUMPRODUCT(($D$4:$BK$4=R$4+(FC_SUPUESTOS!$C$30+FC_SUPUESTOS!$C$29+FC_SUPUESTOS!$C$28))*$D$18:$BK$18))</f>
        <v>0</v>
      </c>
      <c r="S31" s="423" t="n">
        <f aca="false">IF(FC_SUPUESTOS!$C$25=1,IF(S$4=MAX(1,FC_SUPUESTOS!$C$24+FC_SUPUESTOS!$C$27),FC_SUPUESTOS!$C$10,0),SUMPRODUCT(($D$4:$BK$4=S$4+(FC_SUPUESTOS!$C$30+FC_SUPUESTOS!$C$29+FC_SUPUESTOS!$C$28))*$D$18:$BK$18))</f>
        <v>0</v>
      </c>
      <c r="T31" s="423" t="n">
        <f aca="false">IF(FC_SUPUESTOS!$C$25=1,IF(T$4=MAX(1,FC_SUPUESTOS!$C$24+FC_SUPUESTOS!$C$27),FC_SUPUESTOS!$C$10,0),SUMPRODUCT(($D$4:$BK$4=T$4+(FC_SUPUESTOS!$C$30+FC_SUPUESTOS!$C$29+FC_SUPUESTOS!$C$28))*$D$18:$BK$18))</f>
        <v>0</v>
      </c>
      <c r="U31" s="423" t="n">
        <f aca="false">IF(FC_SUPUESTOS!$C$25=1,IF(U$4=MAX(1,FC_SUPUESTOS!$C$24+FC_SUPUESTOS!$C$27),FC_SUPUESTOS!$C$10,0),SUMPRODUCT(($D$4:$BK$4=U$4+(FC_SUPUESTOS!$C$30+FC_SUPUESTOS!$C$29+FC_SUPUESTOS!$C$28))*$D$18:$BK$18))</f>
        <v>0</v>
      </c>
      <c r="V31" s="423" t="n">
        <f aca="false">IF(FC_SUPUESTOS!$C$25=1,IF(V$4=MAX(1,FC_SUPUESTOS!$C$24+FC_SUPUESTOS!$C$27),FC_SUPUESTOS!$C$10,0),SUMPRODUCT(($D$4:$BK$4=V$4+(FC_SUPUESTOS!$C$30+FC_SUPUESTOS!$C$29+FC_SUPUESTOS!$C$28))*$D$18:$BK$18))</f>
        <v>0</v>
      </c>
      <c r="W31" s="423" t="n">
        <f aca="false">IF(FC_SUPUESTOS!$C$25=1,IF(W$4=MAX(1,FC_SUPUESTOS!$C$24+FC_SUPUESTOS!$C$27),FC_SUPUESTOS!$C$10,0),SUMPRODUCT(($D$4:$BK$4=W$4+(FC_SUPUESTOS!$C$30+FC_SUPUESTOS!$C$29+FC_SUPUESTOS!$C$28))*$D$18:$BK$18))</f>
        <v>0</v>
      </c>
      <c r="X31" s="423" t="n">
        <f aca="false">IF(FC_SUPUESTOS!$C$25=1,IF(X$4=MAX(1,FC_SUPUESTOS!$C$24+FC_SUPUESTOS!$C$27),FC_SUPUESTOS!$C$10,0),SUMPRODUCT(($D$4:$BK$4=X$4+(FC_SUPUESTOS!$C$30+FC_SUPUESTOS!$C$29+FC_SUPUESTOS!$C$28))*$D$18:$BK$18))</f>
        <v>0</v>
      </c>
      <c r="Y31" s="423" t="n">
        <f aca="false">IF(FC_SUPUESTOS!$C$25=1,IF(Y$4=MAX(1,FC_SUPUESTOS!$C$24+FC_SUPUESTOS!$C$27),FC_SUPUESTOS!$C$10,0),SUMPRODUCT(($D$4:$BK$4=Y$4+(FC_SUPUESTOS!$C$30+FC_SUPUESTOS!$C$29+FC_SUPUESTOS!$C$28))*$D$18:$BK$18))</f>
        <v>0</v>
      </c>
      <c r="Z31" s="423" t="n">
        <f aca="false">IF(FC_SUPUESTOS!$C$25=1,IF(Z$4=MAX(1,FC_SUPUESTOS!$C$24+FC_SUPUESTOS!$C$27),FC_SUPUESTOS!$C$10,0),SUMPRODUCT(($D$4:$BK$4=Z$4+(FC_SUPUESTOS!$C$30+FC_SUPUESTOS!$C$29+FC_SUPUESTOS!$C$28))*$D$18:$BK$18))</f>
        <v>0</v>
      </c>
      <c r="AA31" s="423" t="n">
        <f aca="false">IF(FC_SUPUESTOS!$C$25=1,IF(AA$4=MAX(1,FC_SUPUESTOS!$C$24+FC_SUPUESTOS!$C$27),FC_SUPUESTOS!$C$10,0),SUMPRODUCT(($D$4:$BK$4=AA$4+(FC_SUPUESTOS!$C$30+FC_SUPUESTOS!$C$29+FC_SUPUESTOS!$C$28))*$D$18:$BK$18))</f>
        <v>0</v>
      </c>
      <c r="AB31" s="423" t="n">
        <f aca="false">IF(FC_SUPUESTOS!$C$25=1,IF(AB$4=MAX(1,FC_SUPUESTOS!$C$24+FC_SUPUESTOS!$C$27),FC_SUPUESTOS!$C$10,0),SUMPRODUCT(($D$4:$BK$4=AB$4+(FC_SUPUESTOS!$C$30+FC_SUPUESTOS!$C$29+FC_SUPUESTOS!$C$28))*$D$18:$BK$18))</f>
        <v>0</v>
      </c>
      <c r="AC31" s="423" t="n">
        <f aca="false">IF(FC_SUPUESTOS!$C$25=1,IF(AC$4=MAX(1,FC_SUPUESTOS!$C$24+FC_SUPUESTOS!$C$27),FC_SUPUESTOS!$C$10,0),SUMPRODUCT(($D$4:$BK$4=AC$4+(FC_SUPUESTOS!$C$30+FC_SUPUESTOS!$C$29+FC_SUPUESTOS!$C$28))*$D$18:$BK$18))</f>
        <v>0</v>
      </c>
      <c r="AD31" s="423" t="n">
        <f aca="false">IF(FC_SUPUESTOS!$C$25=1,IF(AD$4=MAX(1,FC_SUPUESTOS!$C$24+FC_SUPUESTOS!$C$27),FC_SUPUESTOS!$C$10,0),SUMPRODUCT(($D$4:$BK$4=AD$4+(FC_SUPUESTOS!$C$30+FC_SUPUESTOS!$C$29+FC_SUPUESTOS!$C$28))*$D$18:$BK$18))</f>
        <v>0</v>
      </c>
      <c r="AE31" s="423" t="n">
        <f aca="false">IF(FC_SUPUESTOS!$C$25=1,IF(AE$4=MAX(1,FC_SUPUESTOS!$C$24+FC_SUPUESTOS!$C$27),FC_SUPUESTOS!$C$10,0),SUMPRODUCT(($D$4:$BK$4=AE$4+(FC_SUPUESTOS!$C$30+FC_SUPUESTOS!$C$29+FC_SUPUESTOS!$C$28))*$D$18:$BK$18))</f>
        <v>0</v>
      </c>
      <c r="AF31" s="423" t="n">
        <f aca="false">IF(FC_SUPUESTOS!$C$25=1,IF(AF$4=MAX(1,FC_SUPUESTOS!$C$24+FC_SUPUESTOS!$C$27),FC_SUPUESTOS!$C$10,0),SUMPRODUCT(($D$4:$BK$4=AF$4+(FC_SUPUESTOS!$C$30+FC_SUPUESTOS!$C$29+FC_SUPUESTOS!$C$28))*$D$18:$BK$18))</f>
        <v>0</v>
      </c>
      <c r="AG31" s="423" t="n">
        <f aca="false">IF(FC_SUPUESTOS!$C$25=1,IF(AG$4=MAX(1,FC_SUPUESTOS!$C$24+FC_SUPUESTOS!$C$27),FC_SUPUESTOS!$C$10,0),SUMPRODUCT(($D$4:$BK$4=AG$4+(FC_SUPUESTOS!$C$30+FC_SUPUESTOS!$C$29+FC_SUPUESTOS!$C$28))*$D$18:$BK$18))</f>
        <v>0</v>
      </c>
      <c r="AH31" s="423" t="n">
        <f aca="false">IF(FC_SUPUESTOS!$C$25=1,IF(AH$4=MAX(1,FC_SUPUESTOS!$C$24+FC_SUPUESTOS!$C$27),FC_SUPUESTOS!$C$10,0),SUMPRODUCT(($D$4:$BK$4=AH$4+(FC_SUPUESTOS!$C$30+FC_SUPUESTOS!$C$29+FC_SUPUESTOS!$C$28))*$D$18:$BK$18))</f>
        <v>0</v>
      </c>
      <c r="AI31" s="423" t="n">
        <f aca="false">IF(FC_SUPUESTOS!$C$25=1,IF(AI$4=MAX(1,FC_SUPUESTOS!$C$24+FC_SUPUESTOS!$C$27),FC_SUPUESTOS!$C$10,0),SUMPRODUCT(($D$4:$BK$4=AI$4+(FC_SUPUESTOS!$C$30+FC_SUPUESTOS!$C$29+FC_SUPUESTOS!$C$28))*$D$18:$BK$18))</f>
        <v>0</v>
      </c>
      <c r="AJ31" s="423" t="n">
        <f aca="false">IF(FC_SUPUESTOS!$C$25=1,IF(AJ$4=MAX(1,FC_SUPUESTOS!$C$24+FC_SUPUESTOS!$C$27),FC_SUPUESTOS!$C$10,0),SUMPRODUCT(($D$4:$BK$4=AJ$4+(FC_SUPUESTOS!$C$30+FC_SUPUESTOS!$C$29+FC_SUPUESTOS!$C$28))*$D$18:$BK$18))</f>
        <v>0</v>
      </c>
      <c r="AK31" s="423" t="n">
        <f aca="false">IF(FC_SUPUESTOS!$C$25=1,IF(AK$4=MAX(1,FC_SUPUESTOS!$C$24+FC_SUPUESTOS!$C$27),FC_SUPUESTOS!$C$10,0),SUMPRODUCT(($D$4:$BK$4=AK$4+(FC_SUPUESTOS!$C$30+FC_SUPUESTOS!$C$29+FC_SUPUESTOS!$C$28))*$D$18:$BK$18))</f>
        <v>0</v>
      </c>
      <c r="AL31" s="423" t="n">
        <f aca="false">IF(FC_SUPUESTOS!$C$25=1,IF(AL$4=MAX(1,FC_SUPUESTOS!$C$24+FC_SUPUESTOS!$C$27),FC_SUPUESTOS!$C$10,0),SUMPRODUCT(($D$4:$BK$4=AL$4+(FC_SUPUESTOS!$C$30+FC_SUPUESTOS!$C$29+FC_SUPUESTOS!$C$28))*$D$18:$BK$18))</f>
        <v>0</v>
      </c>
      <c r="AM31" s="423" t="n">
        <f aca="false">IF(FC_SUPUESTOS!$C$25=1,IF(AM$4=MAX(1,FC_SUPUESTOS!$C$24+FC_SUPUESTOS!$C$27),FC_SUPUESTOS!$C$10,0),SUMPRODUCT(($D$4:$BK$4=AM$4+(FC_SUPUESTOS!$C$30+FC_SUPUESTOS!$C$29+FC_SUPUESTOS!$C$28))*$D$18:$BK$18))</f>
        <v>0</v>
      </c>
      <c r="AN31" s="423" t="n">
        <f aca="false">IF(FC_SUPUESTOS!$C$25=1,IF(AN$4=MAX(1,FC_SUPUESTOS!$C$24+FC_SUPUESTOS!$C$27),FC_SUPUESTOS!$C$10,0),SUMPRODUCT(($D$4:$BK$4=AN$4+(FC_SUPUESTOS!$C$30+FC_SUPUESTOS!$C$29+FC_SUPUESTOS!$C$28))*$D$18:$BK$18))</f>
        <v>0</v>
      </c>
      <c r="AO31" s="423" t="n">
        <f aca="false">IF(FC_SUPUESTOS!$C$25=1,IF(AO$4=MAX(1,FC_SUPUESTOS!$C$24+FC_SUPUESTOS!$C$27),FC_SUPUESTOS!$C$10,0),SUMPRODUCT(($D$4:$BK$4=AO$4+(FC_SUPUESTOS!$C$30+FC_SUPUESTOS!$C$29+FC_SUPUESTOS!$C$28))*$D$18:$BK$18))</f>
        <v>0</v>
      </c>
      <c r="AP31" s="423" t="n">
        <f aca="false">IF(FC_SUPUESTOS!$C$25=1,IF(AP$4=MAX(1,FC_SUPUESTOS!$C$24+FC_SUPUESTOS!$C$27),FC_SUPUESTOS!$C$10,0),SUMPRODUCT(($D$4:$BK$4=AP$4+(FC_SUPUESTOS!$C$30+FC_SUPUESTOS!$C$29+FC_SUPUESTOS!$C$28))*$D$18:$BK$18))</f>
        <v>0</v>
      </c>
      <c r="AQ31" s="423" t="n">
        <f aca="false">IF(FC_SUPUESTOS!$C$25=1,IF(AQ$4=MAX(1,FC_SUPUESTOS!$C$24+FC_SUPUESTOS!$C$27),FC_SUPUESTOS!$C$10,0),SUMPRODUCT(($D$4:$BK$4=AQ$4+(FC_SUPUESTOS!$C$30+FC_SUPUESTOS!$C$29+FC_SUPUESTOS!$C$28))*$D$18:$BK$18))</f>
        <v>0</v>
      </c>
      <c r="AR31" s="423" t="n">
        <f aca="false">IF(FC_SUPUESTOS!$C$25=1,IF(AR$4=MAX(1,FC_SUPUESTOS!$C$24+FC_SUPUESTOS!$C$27),FC_SUPUESTOS!$C$10,0),SUMPRODUCT(($D$4:$BK$4=AR$4+(FC_SUPUESTOS!$C$30+FC_SUPUESTOS!$C$29+FC_SUPUESTOS!$C$28))*$D$18:$BK$18))</f>
        <v>0</v>
      </c>
      <c r="AS31" s="423" t="n">
        <f aca="false">IF(FC_SUPUESTOS!$C$25=1,IF(AS$4=MAX(1,FC_SUPUESTOS!$C$24+FC_SUPUESTOS!$C$27),FC_SUPUESTOS!$C$10,0),SUMPRODUCT(($D$4:$BK$4=AS$4+(FC_SUPUESTOS!$C$30+FC_SUPUESTOS!$C$29+FC_SUPUESTOS!$C$28))*$D$18:$BK$18))</f>
        <v>0</v>
      </c>
      <c r="AT31" s="423" t="n">
        <f aca="false">IF(FC_SUPUESTOS!$C$25=1,IF(AT$4=MAX(1,FC_SUPUESTOS!$C$24+FC_SUPUESTOS!$C$27),FC_SUPUESTOS!$C$10,0),SUMPRODUCT(($D$4:$BK$4=AT$4+(FC_SUPUESTOS!$C$30+FC_SUPUESTOS!$C$29+FC_SUPUESTOS!$C$28))*$D$18:$BK$18))</f>
        <v>0</v>
      </c>
      <c r="AU31" s="423" t="n">
        <f aca="false">IF(FC_SUPUESTOS!$C$25=1,IF(AU$4=MAX(1,FC_SUPUESTOS!$C$24+FC_SUPUESTOS!$C$27),FC_SUPUESTOS!$C$10,0),SUMPRODUCT(($D$4:$BK$4=AU$4+(FC_SUPUESTOS!$C$30+FC_SUPUESTOS!$C$29+FC_SUPUESTOS!$C$28))*$D$18:$BK$18))</f>
        <v>0</v>
      </c>
      <c r="AV31" s="423" t="n">
        <f aca="false">IF(FC_SUPUESTOS!$C$25=1,IF(AV$4=MAX(1,FC_SUPUESTOS!$C$24+FC_SUPUESTOS!$C$27),FC_SUPUESTOS!$C$10,0),SUMPRODUCT(($D$4:$BK$4=AV$4+(FC_SUPUESTOS!$C$30+FC_SUPUESTOS!$C$29+FC_SUPUESTOS!$C$28))*$D$18:$BK$18))</f>
        <v>0</v>
      </c>
      <c r="AW31" s="423" t="n">
        <f aca="false">IF(FC_SUPUESTOS!$C$25=1,IF(AW$4=MAX(1,FC_SUPUESTOS!$C$24+FC_SUPUESTOS!$C$27),FC_SUPUESTOS!$C$10,0),SUMPRODUCT(($D$4:$BK$4=AW$4+(FC_SUPUESTOS!$C$30+FC_SUPUESTOS!$C$29+FC_SUPUESTOS!$C$28))*$D$18:$BK$18))</f>
        <v>0</v>
      </c>
      <c r="AX31" s="423" t="n">
        <f aca="false">IF(FC_SUPUESTOS!$C$25=1,IF(AX$4=MAX(1,FC_SUPUESTOS!$C$24+FC_SUPUESTOS!$C$27),FC_SUPUESTOS!$C$10,0),SUMPRODUCT(($D$4:$BK$4=AX$4+(FC_SUPUESTOS!$C$30+FC_SUPUESTOS!$C$29+FC_SUPUESTOS!$C$28))*$D$18:$BK$18))</f>
        <v>0</v>
      </c>
      <c r="AY31" s="423" t="n">
        <f aca="false">IF(FC_SUPUESTOS!$C$25=1,IF(AY$4=MAX(1,FC_SUPUESTOS!$C$24+FC_SUPUESTOS!$C$27),FC_SUPUESTOS!$C$10,0),SUMPRODUCT(($D$4:$BK$4=AY$4+(FC_SUPUESTOS!$C$30+FC_SUPUESTOS!$C$29+FC_SUPUESTOS!$C$28))*$D$18:$BK$18))</f>
        <v>0</v>
      </c>
      <c r="AZ31" s="423" t="n">
        <f aca="false">IF(FC_SUPUESTOS!$C$25=1,IF(AZ$4=MAX(1,FC_SUPUESTOS!$C$24+FC_SUPUESTOS!$C$27),FC_SUPUESTOS!$C$10,0),SUMPRODUCT(($D$4:$BK$4=AZ$4+(FC_SUPUESTOS!$C$30+FC_SUPUESTOS!$C$29+FC_SUPUESTOS!$C$28))*$D$18:$BK$18))</f>
        <v>0</v>
      </c>
      <c r="BA31" s="423" t="n">
        <f aca="false">IF(FC_SUPUESTOS!$C$25=1,IF(BA$4=MAX(1,FC_SUPUESTOS!$C$24+FC_SUPUESTOS!$C$27),FC_SUPUESTOS!$C$10,0),SUMPRODUCT(($D$4:$BK$4=BA$4+(FC_SUPUESTOS!$C$30+FC_SUPUESTOS!$C$29+FC_SUPUESTOS!$C$28))*$D$18:$BK$18))</f>
        <v>0</v>
      </c>
      <c r="BB31" s="423" t="n">
        <f aca="false">IF(FC_SUPUESTOS!$C$25=1,IF(BB$4=MAX(1,FC_SUPUESTOS!$C$24+FC_SUPUESTOS!$C$27),FC_SUPUESTOS!$C$10,0),SUMPRODUCT(($D$4:$BK$4=BB$4+(FC_SUPUESTOS!$C$30+FC_SUPUESTOS!$C$29+FC_SUPUESTOS!$C$28))*$D$18:$BK$18))</f>
        <v>0</v>
      </c>
      <c r="BC31" s="423" t="n">
        <f aca="false">IF(FC_SUPUESTOS!$C$25=1,IF(BC$4=MAX(1,FC_SUPUESTOS!$C$24+FC_SUPUESTOS!$C$27),FC_SUPUESTOS!$C$10,0),SUMPRODUCT(($D$4:$BK$4=BC$4+(FC_SUPUESTOS!$C$30+FC_SUPUESTOS!$C$29+FC_SUPUESTOS!$C$28))*$D$18:$BK$18))</f>
        <v>0</v>
      </c>
      <c r="BD31" s="423" t="n">
        <f aca="false">IF(FC_SUPUESTOS!$C$25=1,IF(BD$4=MAX(1,FC_SUPUESTOS!$C$24+FC_SUPUESTOS!$C$27),FC_SUPUESTOS!$C$10,0),SUMPRODUCT(($D$4:$BK$4=BD$4+(FC_SUPUESTOS!$C$30+FC_SUPUESTOS!$C$29+FC_SUPUESTOS!$C$28))*$D$18:$BK$18))</f>
        <v>0</v>
      </c>
      <c r="BE31" s="423" t="n">
        <f aca="false">IF(FC_SUPUESTOS!$C$25=1,IF(BE$4=MAX(1,FC_SUPUESTOS!$C$24+FC_SUPUESTOS!$C$27),FC_SUPUESTOS!$C$10,0),SUMPRODUCT(($D$4:$BK$4=BE$4+(FC_SUPUESTOS!$C$30+FC_SUPUESTOS!$C$29+FC_SUPUESTOS!$C$28))*$D$18:$BK$18))</f>
        <v>0</v>
      </c>
      <c r="BF31" s="423" t="n">
        <f aca="false">IF(FC_SUPUESTOS!$C$25=1,IF(BF$4=MAX(1,FC_SUPUESTOS!$C$24+FC_SUPUESTOS!$C$27),FC_SUPUESTOS!$C$10,0),SUMPRODUCT(($D$4:$BK$4=BF$4+(FC_SUPUESTOS!$C$30+FC_SUPUESTOS!$C$29+FC_SUPUESTOS!$C$28))*$D$18:$BK$18))</f>
        <v>0</v>
      </c>
      <c r="BG31" s="423" t="n">
        <f aca="false">IF(FC_SUPUESTOS!$C$25=1,IF(BG$4=MAX(1,FC_SUPUESTOS!$C$24+FC_SUPUESTOS!$C$27),FC_SUPUESTOS!$C$10,0),SUMPRODUCT(($D$4:$BK$4=BG$4+(FC_SUPUESTOS!$C$30+FC_SUPUESTOS!$C$29+FC_SUPUESTOS!$C$28))*$D$18:$BK$18))</f>
        <v>0</v>
      </c>
      <c r="BH31" s="423" t="n">
        <f aca="false">IF(FC_SUPUESTOS!$C$25=1,IF(BH$4=MAX(1,FC_SUPUESTOS!$C$24+FC_SUPUESTOS!$C$27),FC_SUPUESTOS!$C$10,0),SUMPRODUCT(($D$4:$BK$4=BH$4+(FC_SUPUESTOS!$C$30+FC_SUPUESTOS!$C$29+FC_SUPUESTOS!$C$28))*$D$18:$BK$18))</f>
        <v>0</v>
      </c>
      <c r="BI31" s="423" t="n">
        <f aca="false">IF(FC_SUPUESTOS!$C$25=1,IF(BI$4=MAX(1,FC_SUPUESTOS!$C$24+FC_SUPUESTOS!$C$27),FC_SUPUESTOS!$C$10,0),SUMPRODUCT(($D$4:$BK$4=BI$4+(FC_SUPUESTOS!$C$30+FC_SUPUESTOS!$C$29+FC_SUPUESTOS!$C$28))*$D$18:$BK$18))</f>
        <v>0</v>
      </c>
      <c r="BJ31" s="423" t="n">
        <f aca="false">IF(FC_SUPUESTOS!$C$25=1,IF(BJ$4=MAX(1,FC_SUPUESTOS!$C$24+FC_SUPUESTOS!$C$27),FC_SUPUESTOS!$C$10,0),SUMPRODUCT(($D$4:$BK$4=BJ$4+(FC_SUPUESTOS!$C$30+FC_SUPUESTOS!$C$29+FC_SUPUESTOS!$C$28))*$D$18:$BK$18))</f>
        <v>0</v>
      </c>
      <c r="BK31" s="423" t="n">
        <f aca="false">IF(FC_SUPUESTOS!$C$25=1,IF(BK$4=MAX(1,FC_SUPUESTOS!$C$24+FC_SUPUESTOS!$C$27),FC_SUPUESTOS!$C$10,0),SUMPRODUCT(($D$4:$BK$4=BK$4+(FC_SUPUESTOS!$C$30+FC_SUPUESTOS!$C$29+FC_SUPUESTOS!$C$28))*$D$18:$BK$18))</f>
        <v>0</v>
      </c>
    </row>
    <row r="32" customFormat="false" ht="15" hidden="false" customHeight="true" outlineLevel="0" collapsed="false">
      <c r="B32" s="297" t="s">
        <v>2373</v>
      </c>
      <c r="D32" s="423" t="n">
        <f aca="false">MAX($D$20:$BK$20)-SUM($E$32:$BK$32)</f>
        <v>0</v>
      </c>
      <c r="E32" s="423" t="n">
        <f aca="false">IF(FC_SUPUESTOS!$C$25=1,IF(E$4=MAX(1,FC_SUPUESTOS!$C$24+FC_SUPUESTOS!$C$27+FC_SUPUESTOS!$C$28),FC_SUPUESTOS!$C$9,0),SUMPRODUCT(($D$4:$BK$4=E$4+(FC_SUPUESTOS!$C$30+FC_SUPUESTOS!$C$29))*$D$17:$BK$17))</f>
        <v>0</v>
      </c>
      <c r="F32" s="423" t="n">
        <f aca="false">IF(FC_SUPUESTOS!$C$25=1,IF(F$4=MAX(1,FC_SUPUESTOS!$C$24+FC_SUPUESTOS!$C$27+FC_SUPUESTOS!$C$28),FC_SUPUESTOS!$C$9,0),SUMPRODUCT(($D$4:$BK$4=F$4+(FC_SUPUESTOS!$C$30+FC_SUPUESTOS!$C$29))*$D$17:$BK$17))</f>
        <v>0</v>
      </c>
      <c r="G32" s="423" t="n">
        <f aca="false">IF(FC_SUPUESTOS!$C$25=1,IF(G$4=MAX(1,FC_SUPUESTOS!$C$24+FC_SUPUESTOS!$C$27+FC_SUPUESTOS!$C$28),FC_SUPUESTOS!$C$9,0),SUMPRODUCT(($D$4:$BK$4=G$4+(FC_SUPUESTOS!$C$30+FC_SUPUESTOS!$C$29))*$D$17:$BK$17))</f>
        <v>0</v>
      </c>
      <c r="H32" s="423" t="n">
        <f aca="false">IF(FC_SUPUESTOS!$C$25=1,IF(H$4=MAX(1,FC_SUPUESTOS!$C$24+FC_SUPUESTOS!$C$27+FC_SUPUESTOS!$C$28),FC_SUPUESTOS!$C$9,0),SUMPRODUCT(($D$4:$BK$4=H$4+(FC_SUPUESTOS!$C$30+FC_SUPUESTOS!$C$29))*$D$17:$BK$17))</f>
        <v>7</v>
      </c>
      <c r="I32" s="423" t="n">
        <f aca="false">IF(FC_SUPUESTOS!$C$25=1,IF(I$4=MAX(1,FC_SUPUESTOS!$C$24+FC_SUPUESTOS!$C$27+FC_SUPUESTOS!$C$28),FC_SUPUESTOS!$C$9,0),SUMPRODUCT(($D$4:$BK$4=I$4+(FC_SUPUESTOS!$C$30+FC_SUPUESTOS!$C$29))*$D$17:$BK$17))</f>
        <v>0</v>
      </c>
      <c r="J32" s="423" t="n">
        <f aca="false">IF(FC_SUPUESTOS!$C$25=1,IF(J$4=MAX(1,FC_SUPUESTOS!$C$24+FC_SUPUESTOS!$C$27+FC_SUPUESTOS!$C$28),FC_SUPUESTOS!$C$9,0),SUMPRODUCT(($D$4:$BK$4=J$4+(FC_SUPUESTOS!$C$30+FC_SUPUESTOS!$C$29))*$D$17:$BK$17))</f>
        <v>0</v>
      </c>
      <c r="K32" s="423" t="n">
        <f aca="false">IF(FC_SUPUESTOS!$C$25=1,IF(K$4=MAX(1,FC_SUPUESTOS!$C$24+FC_SUPUESTOS!$C$27+FC_SUPUESTOS!$C$28),FC_SUPUESTOS!$C$9,0),SUMPRODUCT(($D$4:$BK$4=K$4+(FC_SUPUESTOS!$C$30+FC_SUPUESTOS!$C$29))*$D$17:$BK$17))</f>
        <v>0</v>
      </c>
      <c r="L32" s="423" t="n">
        <f aca="false">IF(FC_SUPUESTOS!$C$25=1,IF(L$4=MAX(1,FC_SUPUESTOS!$C$24+FC_SUPUESTOS!$C$27+FC_SUPUESTOS!$C$28),FC_SUPUESTOS!$C$9,0),SUMPRODUCT(($D$4:$BK$4=L$4+(FC_SUPUESTOS!$C$30+FC_SUPUESTOS!$C$29))*$D$17:$BK$17))</f>
        <v>0</v>
      </c>
      <c r="M32" s="423" t="n">
        <f aca="false">IF(FC_SUPUESTOS!$C$25=1,IF(M$4=MAX(1,FC_SUPUESTOS!$C$24+FC_SUPUESTOS!$C$27+FC_SUPUESTOS!$C$28),FC_SUPUESTOS!$C$9,0),SUMPRODUCT(($D$4:$BK$4=M$4+(FC_SUPUESTOS!$C$30+FC_SUPUESTOS!$C$29))*$D$17:$BK$17))</f>
        <v>0</v>
      </c>
      <c r="N32" s="423" t="n">
        <f aca="false">IF(FC_SUPUESTOS!$C$25=1,IF(N$4=MAX(1,FC_SUPUESTOS!$C$24+FC_SUPUESTOS!$C$27+FC_SUPUESTOS!$C$28),FC_SUPUESTOS!$C$9,0),SUMPRODUCT(($D$4:$BK$4=N$4+(FC_SUPUESTOS!$C$30+FC_SUPUESTOS!$C$29))*$D$17:$BK$17))</f>
        <v>0</v>
      </c>
      <c r="O32" s="423" t="n">
        <f aca="false">IF(FC_SUPUESTOS!$C$25=1,IF(O$4=MAX(1,FC_SUPUESTOS!$C$24+FC_SUPUESTOS!$C$27+FC_SUPUESTOS!$C$28),FC_SUPUESTOS!$C$9,0),SUMPRODUCT(($D$4:$BK$4=O$4+(FC_SUPUESTOS!$C$30+FC_SUPUESTOS!$C$29))*$D$17:$BK$17))</f>
        <v>0</v>
      </c>
      <c r="P32" s="423" t="n">
        <f aca="false">IF(FC_SUPUESTOS!$C$25=1,IF(P$4=MAX(1,FC_SUPUESTOS!$C$24+FC_SUPUESTOS!$C$27+FC_SUPUESTOS!$C$28),FC_SUPUESTOS!$C$9,0),SUMPRODUCT(($D$4:$BK$4=P$4+(FC_SUPUESTOS!$C$30+FC_SUPUESTOS!$C$29))*$D$17:$BK$17))</f>
        <v>0</v>
      </c>
      <c r="Q32" s="423" t="n">
        <f aca="false">IF(FC_SUPUESTOS!$C$25=1,IF(Q$4=MAX(1,FC_SUPUESTOS!$C$24+FC_SUPUESTOS!$C$27+FC_SUPUESTOS!$C$28),FC_SUPUESTOS!$C$9,0),SUMPRODUCT(($D$4:$BK$4=Q$4+(FC_SUPUESTOS!$C$30+FC_SUPUESTOS!$C$29))*$D$17:$BK$17))</f>
        <v>0</v>
      </c>
      <c r="R32" s="423" t="n">
        <f aca="false">IF(FC_SUPUESTOS!$C$25=1,IF(R$4=MAX(1,FC_SUPUESTOS!$C$24+FC_SUPUESTOS!$C$27+FC_SUPUESTOS!$C$28),FC_SUPUESTOS!$C$9,0),SUMPRODUCT(($D$4:$BK$4=R$4+(FC_SUPUESTOS!$C$30+FC_SUPUESTOS!$C$29))*$D$17:$BK$17))</f>
        <v>0</v>
      </c>
      <c r="S32" s="423" t="n">
        <f aca="false">IF(FC_SUPUESTOS!$C$25=1,IF(S$4=MAX(1,FC_SUPUESTOS!$C$24+FC_SUPUESTOS!$C$27+FC_SUPUESTOS!$C$28),FC_SUPUESTOS!$C$9,0),SUMPRODUCT(($D$4:$BK$4=S$4+(FC_SUPUESTOS!$C$30+FC_SUPUESTOS!$C$29))*$D$17:$BK$17))</f>
        <v>0</v>
      </c>
      <c r="T32" s="423" t="n">
        <f aca="false">IF(FC_SUPUESTOS!$C$25=1,IF(T$4=MAX(1,FC_SUPUESTOS!$C$24+FC_SUPUESTOS!$C$27+FC_SUPUESTOS!$C$28),FC_SUPUESTOS!$C$9,0),SUMPRODUCT(($D$4:$BK$4=T$4+(FC_SUPUESTOS!$C$30+FC_SUPUESTOS!$C$29))*$D$17:$BK$17))</f>
        <v>0</v>
      </c>
      <c r="U32" s="423" t="n">
        <f aca="false">IF(FC_SUPUESTOS!$C$25=1,IF(U$4=MAX(1,FC_SUPUESTOS!$C$24+FC_SUPUESTOS!$C$27+FC_SUPUESTOS!$C$28),FC_SUPUESTOS!$C$9,0),SUMPRODUCT(($D$4:$BK$4=U$4+(FC_SUPUESTOS!$C$30+FC_SUPUESTOS!$C$29))*$D$17:$BK$17))</f>
        <v>0</v>
      </c>
      <c r="V32" s="423" t="n">
        <f aca="false">IF(FC_SUPUESTOS!$C$25=1,IF(V$4=MAX(1,FC_SUPUESTOS!$C$24+FC_SUPUESTOS!$C$27+FC_SUPUESTOS!$C$28),FC_SUPUESTOS!$C$9,0),SUMPRODUCT(($D$4:$BK$4=V$4+(FC_SUPUESTOS!$C$30+FC_SUPUESTOS!$C$29))*$D$17:$BK$17))</f>
        <v>0</v>
      </c>
      <c r="W32" s="423" t="n">
        <f aca="false">IF(FC_SUPUESTOS!$C$25=1,IF(W$4=MAX(1,FC_SUPUESTOS!$C$24+FC_SUPUESTOS!$C$27+FC_SUPUESTOS!$C$28),FC_SUPUESTOS!$C$9,0),SUMPRODUCT(($D$4:$BK$4=W$4+(FC_SUPUESTOS!$C$30+FC_SUPUESTOS!$C$29))*$D$17:$BK$17))</f>
        <v>0</v>
      </c>
      <c r="X32" s="423" t="n">
        <f aca="false">IF(FC_SUPUESTOS!$C$25=1,IF(X$4=MAX(1,FC_SUPUESTOS!$C$24+FC_SUPUESTOS!$C$27+FC_SUPUESTOS!$C$28),FC_SUPUESTOS!$C$9,0),SUMPRODUCT(($D$4:$BK$4=X$4+(FC_SUPUESTOS!$C$30+FC_SUPUESTOS!$C$29))*$D$17:$BK$17))</f>
        <v>0</v>
      </c>
      <c r="Y32" s="423" t="n">
        <f aca="false">IF(FC_SUPUESTOS!$C$25=1,IF(Y$4=MAX(1,FC_SUPUESTOS!$C$24+FC_SUPUESTOS!$C$27+FC_SUPUESTOS!$C$28),FC_SUPUESTOS!$C$9,0),SUMPRODUCT(($D$4:$BK$4=Y$4+(FC_SUPUESTOS!$C$30+FC_SUPUESTOS!$C$29))*$D$17:$BK$17))</f>
        <v>0</v>
      </c>
      <c r="Z32" s="423" t="n">
        <f aca="false">IF(FC_SUPUESTOS!$C$25=1,IF(Z$4=MAX(1,FC_SUPUESTOS!$C$24+FC_SUPUESTOS!$C$27+FC_SUPUESTOS!$C$28),FC_SUPUESTOS!$C$9,0),SUMPRODUCT(($D$4:$BK$4=Z$4+(FC_SUPUESTOS!$C$30+FC_SUPUESTOS!$C$29))*$D$17:$BK$17))</f>
        <v>0</v>
      </c>
      <c r="AA32" s="423" t="n">
        <f aca="false">IF(FC_SUPUESTOS!$C$25=1,IF(AA$4=MAX(1,FC_SUPUESTOS!$C$24+FC_SUPUESTOS!$C$27+FC_SUPUESTOS!$C$28),FC_SUPUESTOS!$C$9,0),SUMPRODUCT(($D$4:$BK$4=AA$4+(FC_SUPUESTOS!$C$30+FC_SUPUESTOS!$C$29))*$D$17:$BK$17))</f>
        <v>0</v>
      </c>
      <c r="AB32" s="423" t="n">
        <f aca="false">IF(FC_SUPUESTOS!$C$25=1,IF(AB$4=MAX(1,FC_SUPUESTOS!$C$24+FC_SUPUESTOS!$C$27+FC_SUPUESTOS!$C$28),FC_SUPUESTOS!$C$9,0),SUMPRODUCT(($D$4:$BK$4=AB$4+(FC_SUPUESTOS!$C$30+FC_SUPUESTOS!$C$29))*$D$17:$BK$17))</f>
        <v>0</v>
      </c>
      <c r="AC32" s="423" t="n">
        <f aca="false">IF(FC_SUPUESTOS!$C$25=1,IF(AC$4=MAX(1,FC_SUPUESTOS!$C$24+FC_SUPUESTOS!$C$27+FC_SUPUESTOS!$C$28),FC_SUPUESTOS!$C$9,0),SUMPRODUCT(($D$4:$BK$4=AC$4+(FC_SUPUESTOS!$C$30+FC_SUPUESTOS!$C$29))*$D$17:$BK$17))</f>
        <v>0</v>
      </c>
      <c r="AD32" s="423" t="n">
        <f aca="false">IF(FC_SUPUESTOS!$C$25=1,IF(AD$4=MAX(1,FC_SUPUESTOS!$C$24+FC_SUPUESTOS!$C$27+FC_SUPUESTOS!$C$28),FC_SUPUESTOS!$C$9,0),SUMPRODUCT(($D$4:$BK$4=AD$4+(FC_SUPUESTOS!$C$30+FC_SUPUESTOS!$C$29))*$D$17:$BK$17))</f>
        <v>0</v>
      </c>
      <c r="AE32" s="423" t="n">
        <f aca="false">IF(FC_SUPUESTOS!$C$25=1,IF(AE$4=MAX(1,FC_SUPUESTOS!$C$24+FC_SUPUESTOS!$C$27+FC_SUPUESTOS!$C$28),FC_SUPUESTOS!$C$9,0),SUMPRODUCT(($D$4:$BK$4=AE$4+(FC_SUPUESTOS!$C$30+FC_SUPUESTOS!$C$29))*$D$17:$BK$17))</f>
        <v>0</v>
      </c>
      <c r="AF32" s="423" t="n">
        <f aca="false">IF(FC_SUPUESTOS!$C$25=1,IF(AF$4=MAX(1,FC_SUPUESTOS!$C$24+FC_SUPUESTOS!$C$27+FC_SUPUESTOS!$C$28),FC_SUPUESTOS!$C$9,0),SUMPRODUCT(($D$4:$BK$4=AF$4+(FC_SUPUESTOS!$C$30+FC_SUPUESTOS!$C$29))*$D$17:$BK$17))</f>
        <v>0</v>
      </c>
      <c r="AG32" s="423" t="n">
        <f aca="false">IF(FC_SUPUESTOS!$C$25=1,IF(AG$4=MAX(1,FC_SUPUESTOS!$C$24+FC_SUPUESTOS!$C$27+FC_SUPUESTOS!$C$28),FC_SUPUESTOS!$C$9,0),SUMPRODUCT(($D$4:$BK$4=AG$4+(FC_SUPUESTOS!$C$30+FC_SUPUESTOS!$C$29))*$D$17:$BK$17))</f>
        <v>0</v>
      </c>
      <c r="AH32" s="423" t="n">
        <f aca="false">IF(FC_SUPUESTOS!$C$25=1,IF(AH$4=MAX(1,FC_SUPUESTOS!$C$24+FC_SUPUESTOS!$C$27+FC_SUPUESTOS!$C$28),FC_SUPUESTOS!$C$9,0),SUMPRODUCT(($D$4:$BK$4=AH$4+(FC_SUPUESTOS!$C$30+FC_SUPUESTOS!$C$29))*$D$17:$BK$17))</f>
        <v>0</v>
      </c>
      <c r="AI32" s="423" t="n">
        <f aca="false">IF(FC_SUPUESTOS!$C$25=1,IF(AI$4=MAX(1,FC_SUPUESTOS!$C$24+FC_SUPUESTOS!$C$27+FC_SUPUESTOS!$C$28),FC_SUPUESTOS!$C$9,0),SUMPRODUCT(($D$4:$BK$4=AI$4+(FC_SUPUESTOS!$C$30+FC_SUPUESTOS!$C$29))*$D$17:$BK$17))</f>
        <v>0</v>
      </c>
      <c r="AJ32" s="423" t="n">
        <f aca="false">IF(FC_SUPUESTOS!$C$25=1,IF(AJ$4=MAX(1,FC_SUPUESTOS!$C$24+FC_SUPUESTOS!$C$27+FC_SUPUESTOS!$C$28),FC_SUPUESTOS!$C$9,0),SUMPRODUCT(($D$4:$BK$4=AJ$4+(FC_SUPUESTOS!$C$30+FC_SUPUESTOS!$C$29))*$D$17:$BK$17))</f>
        <v>0</v>
      </c>
      <c r="AK32" s="423" t="n">
        <f aca="false">IF(FC_SUPUESTOS!$C$25=1,IF(AK$4=MAX(1,FC_SUPUESTOS!$C$24+FC_SUPUESTOS!$C$27+FC_SUPUESTOS!$C$28),FC_SUPUESTOS!$C$9,0),SUMPRODUCT(($D$4:$BK$4=AK$4+(FC_SUPUESTOS!$C$30+FC_SUPUESTOS!$C$29))*$D$17:$BK$17))</f>
        <v>0</v>
      </c>
      <c r="AL32" s="423" t="n">
        <f aca="false">IF(FC_SUPUESTOS!$C$25=1,IF(AL$4=MAX(1,FC_SUPUESTOS!$C$24+FC_SUPUESTOS!$C$27+FC_SUPUESTOS!$C$28),FC_SUPUESTOS!$C$9,0),SUMPRODUCT(($D$4:$BK$4=AL$4+(FC_SUPUESTOS!$C$30+FC_SUPUESTOS!$C$29))*$D$17:$BK$17))</f>
        <v>0</v>
      </c>
      <c r="AM32" s="423" t="n">
        <f aca="false">IF(FC_SUPUESTOS!$C$25=1,IF(AM$4=MAX(1,FC_SUPUESTOS!$C$24+FC_SUPUESTOS!$C$27+FC_SUPUESTOS!$C$28),FC_SUPUESTOS!$C$9,0),SUMPRODUCT(($D$4:$BK$4=AM$4+(FC_SUPUESTOS!$C$30+FC_SUPUESTOS!$C$29))*$D$17:$BK$17))</f>
        <v>0</v>
      </c>
      <c r="AN32" s="423" t="n">
        <f aca="false">IF(FC_SUPUESTOS!$C$25=1,IF(AN$4=MAX(1,FC_SUPUESTOS!$C$24+FC_SUPUESTOS!$C$27+FC_SUPUESTOS!$C$28),FC_SUPUESTOS!$C$9,0),SUMPRODUCT(($D$4:$BK$4=AN$4+(FC_SUPUESTOS!$C$30+FC_SUPUESTOS!$C$29))*$D$17:$BK$17))</f>
        <v>0</v>
      </c>
      <c r="AO32" s="423" t="n">
        <f aca="false">IF(FC_SUPUESTOS!$C$25=1,IF(AO$4=MAX(1,FC_SUPUESTOS!$C$24+FC_SUPUESTOS!$C$27+FC_SUPUESTOS!$C$28),FC_SUPUESTOS!$C$9,0),SUMPRODUCT(($D$4:$BK$4=AO$4+(FC_SUPUESTOS!$C$30+FC_SUPUESTOS!$C$29))*$D$17:$BK$17))</f>
        <v>0</v>
      </c>
      <c r="AP32" s="423" t="n">
        <f aca="false">IF(FC_SUPUESTOS!$C$25=1,IF(AP$4=MAX(1,FC_SUPUESTOS!$C$24+FC_SUPUESTOS!$C$27+FC_SUPUESTOS!$C$28),FC_SUPUESTOS!$C$9,0),SUMPRODUCT(($D$4:$BK$4=AP$4+(FC_SUPUESTOS!$C$30+FC_SUPUESTOS!$C$29))*$D$17:$BK$17))</f>
        <v>0</v>
      </c>
      <c r="AQ32" s="423" t="n">
        <f aca="false">IF(FC_SUPUESTOS!$C$25=1,IF(AQ$4=MAX(1,FC_SUPUESTOS!$C$24+FC_SUPUESTOS!$C$27+FC_SUPUESTOS!$C$28),FC_SUPUESTOS!$C$9,0),SUMPRODUCT(($D$4:$BK$4=AQ$4+(FC_SUPUESTOS!$C$30+FC_SUPUESTOS!$C$29))*$D$17:$BK$17))</f>
        <v>0</v>
      </c>
      <c r="AR32" s="423" t="n">
        <f aca="false">IF(FC_SUPUESTOS!$C$25=1,IF(AR$4=MAX(1,FC_SUPUESTOS!$C$24+FC_SUPUESTOS!$C$27+FC_SUPUESTOS!$C$28),FC_SUPUESTOS!$C$9,0),SUMPRODUCT(($D$4:$BK$4=AR$4+(FC_SUPUESTOS!$C$30+FC_SUPUESTOS!$C$29))*$D$17:$BK$17))</f>
        <v>0</v>
      </c>
      <c r="AS32" s="423" t="n">
        <f aca="false">IF(FC_SUPUESTOS!$C$25=1,IF(AS$4=MAX(1,FC_SUPUESTOS!$C$24+FC_SUPUESTOS!$C$27+FC_SUPUESTOS!$C$28),FC_SUPUESTOS!$C$9,0),SUMPRODUCT(($D$4:$BK$4=AS$4+(FC_SUPUESTOS!$C$30+FC_SUPUESTOS!$C$29))*$D$17:$BK$17))</f>
        <v>0</v>
      </c>
      <c r="AT32" s="423" t="n">
        <f aca="false">IF(FC_SUPUESTOS!$C$25=1,IF(AT$4=MAX(1,FC_SUPUESTOS!$C$24+FC_SUPUESTOS!$C$27+FC_SUPUESTOS!$C$28),FC_SUPUESTOS!$C$9,0),SUMPRODUCT(($D$4:$BK$4=AT$4+(FC_SUPUESTOS!$C$30+FC_SUPUESTOS!$C$29))*$D$17:$BK$17))</f>
        <v>0</v>
      </c>
      <c r="AU32" s="423" t="n">
        <f aca="false">IF(FC_SUPUESTOS!$C$25=1,IF(AU$4=MAX(1,FC_SUPUESTOS!$C$24+FC_SUPUESTOS!$C$27+FC_SUPUESTOS!$C$28),FC_SUPUESTOS!$C$9,0),SUMPRODUCT(($D$4:$BK$4=AU$4+(FC_SUPUESTOS!$C$30+FC_SUPUESTOS!$C$29))*$D$17:$BK$17))</f>
        <v>0</v>
      </c>
      <c r="AV32" s="423" t="n">
        <f aca="false">IF(FC_SUPUESTOS!$C$25=1,IF(AV$4=MAX(1,FC_SUPUESTOS!$C$24+FC_SUPUESTOS!$C$27+FC_SUPUESTOS!$C$28),FC_SUPUESTOS!$C$9,0),SUMPRODUCT(($D$4:$BK$4=AV$4+(FC_SUPUESTOS!$C$30+FC_SUPUESTOS!$C$29))*$D$17:$BK$17))</f>
        <v>0</v>
      </c>
      <c r="AW32" s="423" t="n">
        <f aca="false">IF(FC_SUPUESTOS!$C$25=1,IF(AW$4=MAX(1,FC_SUPUESTOS!$C$24+FC_SUPUESTOS!$C$27+FC_SUPUESTOS!$C$28),FC_SUPUESTOS!$C$9,0),SUMPRODUCT(($D$4:$BK$4=AW$4+(FC_SUPUESTOS!$C$30+FC_SUPUESTOS!$C$29))*$D$17:$BK$17))</f>
        <v>0</v>
      </c>
      <c r="AX32" s="423" t="n">
        <f aca="false">IF(FC_SUPUESTOS!$C$25=1,IF(AX$4=MAX(1,FC_SUPUESTOS!$C$24+FC_SUPUESTOS!$C$27+FC_SUPUESTOS!$C$28),FC_SUPUESTOS!$C$9,0),SUMPRODUCT(($D$4:$BK$4=AX$4+(FC_SUPUESTOS!$C$30+FC_SUPUESTOS!$C$29))*$D$17:$BK$17))</f>
        <v>0</v>
      </c>
      <c r="AY32" s="423" t="n">
        <f aca="false">IF(FC_SUPUESTOS!$C$25=1,IF(AY$4=MAX(1,FC_SUPUESTOS!$C$24+FC_SUPUESTOS!$C$27+FC_SUPUESTOS!$C$28),FC_SUPUESTOS!$C$9,0),SUMPRODUCT(($D$4:$BK$4=AY$4+(FC_SUPUESTOS!$C$30+FC_SUPUESTOS!$C$29))*$D$17:$BK$17))</f>
        <v>0</v>
      </c>
      <c r="AZ32" s="423" t="n">
        <f aca="false">IF(FC_SUPUESTOS!$C$25=1,IF(AZ$4=MAX(1,FC_SUPUESTOS!$C$24+FC_SUPUESTOS!$C$27+FC_SUPUESTOS!$C$28),FC_SUPUESTOS!$C$9,0),SUMPRODUCT(($D$4:$BK$4=AZ$4+(FC_SUPUESTOS!$C$30+FC_SUPUESTOS!$C$29))*$D$17:$BK$17))</f>
        <v>0</v>
      </c>
      <c r="BA32" s="423" t="n">
        <f aca="false">IF(FC_SUPUESTOS!$C$25=1,IF(BA$4=MAX(1,FC_SUPUESTOS!$C$24+FC_SUPUESTOS!$C$27+FC_SUPUESTOS!$C$28),FC_SUPUESTOS!$C$9,0),SUMPRODUCT(($D$4:$BK$4=BA$4+(FC_SUPUESTOS!$C$30+FC_SUPUESTOS!$C$29))*$D$17:$BK$17))</f>
        <v>0</v>
      </c>
      <c r="BB32" s="423" t="n">
        <f aca="false">IF(FC_SUPUESTOS!$C$25=1,IF(BB$4=MAX(1,FC_SUPUESTOS!$C$24+FC_SUPUESTOS!$C$27+FC_SUPUESTOS!$C$28),FC_SUPUESTOS!$C$9,0),SUMPRODUCT(($D$4:$BK$4=BB$4+(FC_SUPUESTOS!$C$30+FC_SUPUESTOS!$C$29))*$D$17:$BK$17))</f>
        <v>0</v>
      </c>
      <c r="BC32" s="423" t="n">
        <f aca="false">IF(FC_SUPUESTOS!$C$25=1,IF(BC$4=MAX(1,FC_SUPUESTOS!$C$24+FC_SUPUESTOS!$C$27+FC_SUPUESTOS!$C$28),FC_SUPUESTOS!$C$9,0),SUMPRODUCT(($D$4:$BK$4=BC$4+(FC_SUPUESTOS!$C$30+FC_SUPUESTOS!$C$29))*$D$17:$BK$17))</f>
        <v>0</v>
      </c>
      <c r="BD32" s="423" t="n">
        <f aca="false">IF(FC_SUPUESTOS!$C$25=1,IF(BD$4=MAX(1,FC_SUPUESTOS!$C$24+FC_SUPUESTOS!$C$27+FC_SUPUESTOS!$C$28),FC_SUPUESTOS!$C$9,0),SUMPRODUCT(($D$4:$BK$4=BD$4+(FC_SUPUESTOS!$C$30+FC_SUPUESTOS!$C$29))*$D$17:$BK$17))</f>
        <v>0</v>
      </c>
      <c r="BE32" s="423" t="n">
        <f aca="false">IF(FC_SUPUESTOS!$C$25=1,IF(BE$4=MAX(1,FC_SUPUESTOS!$C$24+FC_SUPUESTOS!$C$27+FC_SUPUESTOS!$C$28),FC_SUPUESTOS!$C$9,0),SUMPRODUCT(($D$4:$BK$4=BE$4+(FC_SUPUESTOS!$C$30+FC_SUPUESTOS!$C$29))*$D$17:$BK$17))</f>
        <v>0</v>
      </c>
      <c r="BF32" s="423" t="n">
        <f aca="false">IF(FC_SUPUESTOS!$C$25=1,IF(BF$4=MAX(1,FC_SUPUESTOS!$C$24+FC_SUPUESTOS!$C$27+FC_SUPUESTOS!$C$28),FC_SUPUESTOS!$C$9,0),SUMPRODUCT(($D$4:$BK$4=BF$4+(FC_SUPUESTOS!$C$30+FC_SUPUESTOS!$C$29))*$D$17:$BK$17))</f>
        <v>0</v>
      </c>
      <c r="BG32" s="423" t="n">
        <f aca="false">IF(FC_SUPUESTOS!$C$25=1,IF(BG$4=MAX(1,FC_SUPUESTOS!$C$24+FC_SUPUESTOS!$C$27+FC_SUPUESTOS!$C$28),FC_SUPUESTOS!$C$9,0),SUMPRODUCT(($D$4:$BK$4=BG$4+(FC_SUPUESTOS!$C$30+FC_SUPUESTOS!$C$29))*$D$17:$BK$17))</f>
        <v>0</v>
      </c>
      <c r="BH32" s="423" t="n">
        <f aca="false">IF(FC_SUPUESTOS!$C$25=1,IF(BH$4=MAX(1,FC_SUPUESTOS!$C$24+FC_SUPUESTOS!$C$27+FC_SUPUESTOS!$C$28),FC_SUPUESTOS!$C$9,0),SUMPRODUCT(($D$4:$BK$4=BH$4+(FC_SUPUESTOS!$C$30+FC_SUPUESTOS!$C$29))*$D$17:$BK$17))</f>
        <v>0</v>
      </c>
      <c r="BI32" s="423" t="n">
        <f aca="false">IF(FC_SUPUESTOS!$C$25=1,IF(BI$4=MAX(1,FC_SUPUESTOS!$C$24+FC_SUPUESTOS!$C$27+FC_SUPUESTOS!$C$28),FC_SUPUESTOS!$C$9,0),SUMPRODUCT(($D$4:$BK$4=BI$4+(FC_SUPUESTOS!$C$30+FC_SUPUESTOS!$C$29))*$D$17:$BK$17))</f>
        <v>0</v>
      </c>
      <c r="BJ32" s="423" t="n">
        <f aca="false">IF(FC_SUPUESTOS!$C$25=1,IF(BJ$4=MAX(1,FC_SUPUESTOS!$C$24+FC_SUPUESTOS!$C$27+FC_SUPUESTOS!$C$28),FC_SUPUESTOS!$C$9,0),SUMPRODUCT(($D$4:$BK$4=BJ$4+(FC_SUPUESTOS!$C$30+FC_SUPUESTOS!$C$29))*$D$17:$BK$17))</f>
        <v>0</v>
      </c>
      <c r="BK32" s="423" t="n">
        <f aca="false">IF(FC_SUPUESTOS!$C$25=1,IF(BK$4=MAX(1,FC_SUPUESTOS!$C$24+FC_SUPUESTOS!$C$27+FC_SUPUESTOS!$C$28),FC_SUPUESTOS!$C$9,0),SUMPRODUCT(($D$4:$BK$4=BK$4+(FC_SUPUESTOS!$C$30+FC_SUPUESTOS!$C$29))*$D$17:$BK$17))</f>
        <v>0</v>
      </c>
    </row>
    <row r="33" customFormat="false" ht="15" hidden="false" customHeight="true" outlineLevel="0" collapsed="false">
      <c r="B33" s="297" t="s">
        <v>2374</v>
      </c>
      <c r="D33" s="423" t="n">
        <f aca="false">MAX($D$21:$BK$21)-SUM($E$33:$BK$33)</f>
        <v>0</v>
      </c>
      <c r="E33" s="423" t="n">
        <f aca="false">IF(FC_SUPUESTOS!$C$25=1,IF(E$4=MAX(1,FC_SUPUESTOS!$C$24+FC_SUPUESTOS!$C$27+FC_SUPUESTOS!$C$28),FC_SUPUESTOS!$C$10,0),SUMPRODUCT(($D$4:$BK$4=E$4+(FC_SUPUESTOS!$C$30+FC_SUPUESTOS!$C$29))*$D$18:$BK$18))</f>
        <v>0</v>
      </c>
      <c r="F33" s="423" t="n">
        <f aca="false">IF(FC_SUPUESTOS!$C$25=1,IF(F$4=MAX(1,FC_SUPUESTOS!$C$24+FC_SUPUESTOS!$C$27+FC_SUPUESTOS!$C$28),FC_SUPUESTOS!$C$10,0),SUMPRODUCT(($D$4:$BK$4=F$4+(FC_SUPUESTOS!$C$30+FC_SUPUESTOS!$C$29))*$D$18:$BK$18))</f>
        <v>0</v>
      </c>
      <c r="G33" s="423" t="n">
        <f aca="false">IF(FC_SUPUESTOS!$C$25=1,IF(G$4=MAX(1,FC_SUPUESTOS!$C$24+FC_SUPUESTOS!$C$27+FC_SUPUESTOS!$C$28),FC_SUPUESTOS!$C$10,0),SUMPRODUCT(($D$4:$BK$4=G$4+(FC_SUPUESTOS!$C$30+FC_SUPUESTOS!$C$29))*$D$18:$BK$18))</f>
        <v>0</v>
      </c>
      <c r="H33" s="423" t="n">
        <f aca="false">IF(FC_SUPUESTOS!$C$25=1,IF(H$4=MAX(1,FC_SUPUESTOS!$C$24+FC_SUPUESTOS!$C$27+FC_SUPUESTOS!$C$28),FC_SUPUESTOS!$C$10,0),SUMPRODUCT(($D$4:$BK$4=H$4+(FC_SUPUESTOS!$C$30+FC_SUPUESTOS!$C$29))*$D$18:$BK$18))</f>
        <v>3</v>
      </c>
      <c r="I33" s="423" t="n">
        <f aca="false">IF(FC_SUPUESTOS!$C$25=1,IF(I$4=MAX(1,FC_SUPUESTOS!$C$24+FC_SUPUESTOS!$C$27+FC_SUPUESTOS!$C$28),FC_SUPUESTOS!$C$10,0),SUMPRODUCT(($D$4:$BK$4=I$4+(FC_SUPUESTOS!$C$30+FC_SUPUESTOS!$C$29))*$D$18:$BK$18))</f>
        <v>0</v>
      </c>
      <c r="J33" s="423" t="n">
        <f aca="false">IF(FC_SUPUESTOS!$C$25=1,IF(J$4=MAX(1,FC_SUPUESTOS!$C$24+FC_SUPUESTOS!$C$27+FC_SUPUESTOS!$C$28),FC_SUPUESTOS!$C$10,0),SUMPRODUCT(($D$4:$BK$4=J$4+(FC_SUPUESTOS!$C$30+FC_SUPUESTOS!$C$29))*$D$18:$BK$18))</f>
        <v>0</v>
      </c>
      <c r="K33" s="423" t="n">
        <f aca="false">IF(FC_SUPUESTOS!$C$25=1,IF(K$4=MAX(1,FC_SUPUESTOS!$C$24+FC_SUPUESTOS!$C$27+FC_SUPUESTOS!$C$28),FC_SUPUESTOS!$C$10,0),SUMPRODUCT(($D$4:$BK$4=K$4+(FC_SUPUESTOS!$C$30+FC_SUPUESTOS!$C$29))*$D$18:$BK$18))</f>
        <v>0</v>
      </c>
      <c r="L33" s="423" t="n">
        <f aca="false">IF(FC_SUPUESTOS!$C$25=1,IF(L$4=MAX(1,FC_SUPUESTOS!$C$24+FC_SUPUESTOS!$C$27+FC_SUPUESTOS!$C$28),FC_SUPUESTOS!$C$10,0),SUMPRODUCT(($D$4:$BK$4=L$4+(FC_SUPUESTOS!$C$30+FC_SUPUESTOS!$C$29))*$D$18:$BK$18))</f>
        <v>0</v>
      </c>
      <c r="M33" s="423" t="n">
        <f aca="false">IF(FC_SUPUESTOS!$C$25=1,IF(M$4=MAX(1,FC_SUPUESTOS!$C$24+FC_SUPUESTOS!$C$27+FC_SUPUESTOS!$C$28),FC_SUPUESTOS!$C$10,0),SUMPRODUCT(($D$4:$BK$4=M$4+(FC_SUPUESTOS!$C$30+FC_SUPUESTOS!$C$29))*$D$18:$BK$18))</f>
        <v>0</v>
      </c>
      <c r="N33" s="423" t="n">
        <f aca="false">IF(FC_SUPUESTOS!$C$25=1,IF(N$4=MAX(1,FC_SUPUESTOS!$C$24+FC_SUPUESTOS!$C$27+FC_SUPUESTOS!$C$28),FC_SUPUESTOS!$C$10,0),SUMPRODUCT(($D$4:$BK$4=N$4+(FC_SUPUESTOS!$C$30+FC_SUPUESTOS!$C$29))*$D$18:$BK$18))</f>
        <v>0</v>
      </c>
      <c r="O33" s="423" t="n">
        <f aca="false">IF(FC_SUPUESTOS!$C$25=1,IF(O$4=MAX(1,FC_SUPUESTOS!$C$24+FC_SUPUESTOS!$C$27+FC_SUPUESTOS!$C$28),FC_SUPUESTOS!$C$10,0),SUMPRODUCT(($D$4:$BK$4=O$4+(FC_SUPUESTOS!$C$30+FC_SUPUESTOS!$C$29))*$D$18:$BK$18))</f>
        <v>0</v>
      </c>
      <c r="P33" s="423" t="n">
        <f aca="false">IF(FC_SUPUESTOS!$C$25=1,IF(P$4=MAX(1,FC_SUPUESTOS!$C$24+FC_SUPUESTOS!$C$27+FC_SUPUESTOS!$C$28),FC_SUPUESTOS!$C$10,0),SUMPRODUCT(($D$4:$BK$4=P$4+(FC_SUPUESTOS!$C$30+FC_SUPUESTOS!$C$29))*$D$18:$BK$18))</f>
        <v>0</v>
      </c>
      <c r="Q33" s="423" t="n">
        <f aca="false">IF(FC_SUPUESTOS!$C$25=1,IF(Q$4=MAX(1,FC_SUPUESTOS!$C$24+FC_SUPUESTOS!$C$27+FC_SUPUESTOS!$C$28),FC_SUPUESTOS!$C$10,0),SUMPRODUCT(($D$4:$BK$4=Q$4+(FC_SUPUESTOS!$C$30+FC_SUPUESTOS!$C$29))*$D$18:$BK$18))</f>
        <v>0</v>
      </c>
      <c r="R33" s="423" t="n">
        <f aca="false">IF(FC_SUPUESTOS!$C$25=1,IF(R$4=MAX(1,FC_SUPUESTOS!$C$24+FC_SUPUESTOS!$C$27+FC_SUPUESTOS!$C$28),FC_SUPUESTOS!$C$10,0),SUMPRODUCT(($D$4:$BK$4=R$4+(FC_SUPUESTOS!$C$30+FC_SUPUESTOS!$C$29))*$D$18:$BK$18))</f>
        <v>0</v>
      </c>
      <c r="S33" s="423" t="n">
        <f aca="false">IF(FC_SUPUESTOS!$C$25=1,IF(S$4=MAX(1,FC_SUPUESTOS!$C$24+FC_SUPUESTOS!$C$27+FC_SUPUESTOS!$C$28),FC_SUPUESTOS!$C$10,0),SUMPRODUCT(($D$4:$BK$4=S$4+(FC_SUPUESTOS!$C$30+FC_SUPUESTOS!$C$29))*$D$18:$BK$18))</f>
        <v>0</v>
      </c>
      <c r="T33" s="423" t="n">
        <f aca="false">IF(FC_SUPUESTOS!$C$25=1,IF(T$4=MAX(1,FC_SUPUESTOS!$C$24+FC_SUPUESTOS!$C$27+FC_SUPUESTOS!$C$28),FC_SUPUESTOS!$C$10,0),SUMPRODUCT(($D$4:$BK$4=T$4+(FC_SUPUESTOS!$C$30+FC_SUPUESTOS!$C$29))*$D$18:$BK$18))</f>
        <v>0</v>
      </c>
      <c r="U33" s="423" t="n">
        <f aca="false">IF(FC_SUPUESTOS!$C$25=1,IF(U$4=MAX(1,FC_SUPUESTOS!$C$24+FC_SUPUESTOS!$C$27+FC_SUPUESTOS!$C$28),FC_SUPUESTOS!$C$10,0),SUMPRODUCT(($D$4:$BK$4=U$4+(FC_SUPUESTOS!$C$30+FC_SUPUESTOS!$C$29))*$D$18:$BK$18))</f>
        <v>0</v>
      </c>
      <c r="V33" s="423" t="n">
        <f aca="false">IF(FC_SUPUESTOS!$C$25=1,IF(V$4=MAX(1,FC_SUPUESTOS!$C$24+FC_SUPUESTOS!$C$27+FC_SUPUESTOS!$C$28),FC_SUPUESTOS!$C$10,0),SUMPRODUCT(($D$4:$BK$4=V$4+(FC_SUPUESTOS!$C$30+FC_SUPUESTOS!$C$29))*$D$18:$BK$18))</f>
        <v>0</v>
      </c>
      <c r="W33" s="423" t="n">
        <f aca="false">IF(FC_SUPUESTOS!$C$25=1,IF(W$4=MAX(1,FC_SUPUESTOS!$C$24+FC_SUPUESTOS!$C$27+FC_SUPUESTOS!$C$28),FC_SUPUESTOS!$C$10,0),SUMPRODUCT(($D$4:$BK$4=W$4+(FC_SUPUESTOS!$C$30+FC_SUPUESTOS!$C$29))*$D$18:$BK$18))</f>
        <v>0</v>
      </c>
      <c r="X33" s="423" t="n">
        <f aca="false">IF(FC_SUPUESTOS!$C$25=1,IF(X$4=MAX(1,FC_SUPUESTOS!$C$24+FC_SUPUESTOS!$C$27+FC_SUPUESTOS!$C$28),FC_SUPUESTOS!$C$10,0),SUMPRODUCT(($D$4:$BK$4=X$4+(FC_SUPUESTOS!$C$30+FC_SUPUESTOS!$C$29))*$D$18:$BK$18))</f>
        <v>0</v>
      </c>
      <c r="Y33" s="423" t="n">
        <f aca="false">IF(FC_SUPUESTOS!$C$25=1,IF(Y$4=MAX(1,FC_SUPUESTOS!$C$24+FC_SUPUESTOS!$C$27+FC_SUPUESTOS!$C$28),FC_SUPUESTOS!$C$10,0),SUMPRODUCT(($D$4:$BK$4=Y$4+(FC_SUPUESTOS!$C$30+FC_SUPUESTOS!$C$29))*$D$18:$BK$18))</f>
        <v>0</v>
      </c>
      <c r="Z33" s="423" t="n">
        <f aca="false">IF(FC_SUPUESTOS!$C$25=1,IF(Z$4=MAX(1,FC_SUPUESTOS!$C$24+FC_SUPUESTOS!$C$27+FC_SUPUESTOS!$C$28),FC_SUPUESTOS!$C$10,0),SUMPRODUCT(($D$4:$BK$4=Z$4+(FC_SUPUESTOS!$C$30+FC_SUPUESTOS!$C$29))*$D$18:$BK$18))</f>
        <v>0</v>
      </c>
      <c r="AA33" s="423" t="n">
        <f aca="false">IF(FC_SUPUESTOS!$C$25=1,IF(AA$4=MAX(1,FC_SUPUESTOS!$C$24+FC_SUPUESTOS!$C$27+FC_SUPUESTOS!$C$28),FC_SUPUESTOS!$C$10,0),SUMPRODUCT(($D$4:$BK$4=AA$4+(FC_SUPUESTOS!$C$30+FC_SUPUESTOS!$C$29))*$D$18:$BK$18))</f>
        <v>0</v>
      </c>
      <c r="AB33" s="423" t="n">
        <f aca="false">IF(FC_SUPUESTOS!$C$25=1,IF(AB$4=MAX(1,FC_SUPUESTOS!$C$24+FC_SUPUESTOS!$C$27+FC_SUPUESTOS!$C$28),FC_SUPUESTOS!$C$10,0),SUMPRODUCT(($D$4:$BK$4=AB$4+(FC_SUPUESTOS!$C$30+FC_SUPUESTOS!$C$29))*$D$18:$BK$18))</f>
        <v>0</v>
      </c>
      <c r="AC33" s="423" t="n">
        <f aca="false">IF(FC_SUPUESTOS!$C$25=1,IF(AC$4=MAX(1,FC_SUPUESTOS!$C$24+FC_SUPUESTOS!$C$27+FC_SUPUESTOS!$C$28),FC_SUPUESTOS!$C$10,0),SUMPRODUCT(($D$4:$BK$4=AC$4+(FC_SUPUESTOS!$C$30+FC_SUPUESTOS!$C$29))*$D$18:$BK$18))</f>
        <v>0</v>
      </c>
      <c r="AD33" s="423" t="n">
        <f aca="false">IF(FC_SUPUESTOS!$C$25=1,IF(AD$4=MAX(1,FC_SUPUESTOS!$C$24+FC_SUPUESTOS!$C$27+FC_SUPUESTOS!$C$28),FC_SUPUESTOS!$C$10,0),SUMPRODUCT(($D$4:$BK$4=AD$4+(FC_SUPUESTOS!$C$30+FC_SUPUESTOS!$C$29))*$D$18:$BK$18))</f>
        <v>0</v>
      </c>
      <c r="AE33" s="423" t="n">
        <f aca="false">IF(FC_SUPUESTOS!$C$25=1,IF(AE$4=MAX(1,FC_SUPUESTOS!$C$24+FC_SUPUESTOS!$C$27+FC_SUPUESTOS!$C$28),FC_SUPUESTOS!$C$10,0),SUMPRODUCT(($D$4:$BK$4=AE$4+(FC_SUPUESTOS!$C$30+FC_SUPUESTOS!$C$29))*$D$18:$BK$18))</f>
        <v>0</v>
      </c>
      <c r="AF33" s="423" t="n">
        <f aca="false">IF(FC_SUPUESTOS!$C$25=1,IF(AF$4=MAX(1,FC_SUPUESTOS!$C$24+FC_SUPUESTOS!$C$27+FC_SUPUESTOS!$C$28),FC_SUPUESTOS!$C$10,0),SUMPRODUCT(($D$4:$BK$4=AF$4+(FC_SUPUESTOS!$C$30+FC_SUPUESTOS!$C$29))*$D$18:$BK$18))</f>
        <v>0</v>
      </c>
      <c r="AG33" s="423" t="n">
        <f aca="false">IF(FC_SUPUESTOS!$C$25=1,IF(AG$4=MAX(1,FC_SUPUESTOS!$C$24+FC_SUPUESTOS!$C$27+FC_SUPUESTOS!$C$28),FC_SUPUESTOS!$C$10,0),SUMPRODUCT(($D$4:$BK$4=AG$4+(FC_SUPUESTOS!$C$30+FC_SUPUESTOS!$C$29))*$D$18:$BK$18))</f>
        <v>0</v>
      </c>
      <c r="AH33" s="423" t="n">
        <f aca="false">IF(FC_SUPUESTOS!$C$25=1,IF(AH$4=MAX(1,FC_SUPUESTOS!$C$24+FC_SUPUESTOS!$C$27+FC_SUPUESTOS!$C$28),FC_SUPUESTOS!$C$10,0),SUMPRODUCT(($D$4:$BK$4=AH$4+(FC_SUPUESTOS!$C$30+FC_SUPUESTOS!$C$29))*$D$18:$BK$18))</f>
        <v>0</v>
      </c>
      <c r="AI33" s="423" t="n">
        <f aca="false">IF(FC_SUPUESTOS!$C$25=1,IF(AI$4=MAX(1,FC_SUPUESTOS!$C$24+FC_SUPUESTOS!$C$27+FC_SUPUESTOS!$C$28),FC_SUPUESTOS!$C$10,0),SUMPRODUCT(($D$4:$BK$4=AI$4+(FC_SUPUESTOS!$C$30+FC_SUPUESTOS!$C$29))*$D$18:$BK$18))</f>
        <v>0</v>
      </c>
      <c r="AJ33" s="423" t="n">
        <f aca="false">IF(FC_SUPUESTOS!$C$25=1,IF(AJ$4=MAX(1,FC_SUPUESTOS!$C$24+FC_SUPUESTOS!$C$27+FC_SUPUESTOS!$C$28),FC_SUPUESTOS!$C$10,0),SUMPRODUCT(($D$4:$BK$4=AJ$4+(FC_SUPUESTOS!$C$30+FC_SUPUESTOS!$C$29))*$D$18:$BK$18))</f>
        <v>0</v>
      </c>
      <c r="AK33" s="423" t="n">
        <f aca="false">IF(FC_SUPUESTOS!$C$25=1,IF(AK$4=MAX(1,FC_SUPUESTOS!$C$24+FC_SUPUESTOS!$C$27+FC_SUPUESTOS!$C$28),FC_SUPUESTOS!$C$10,0),SUMPRODUCT(($D$4:$BK$4=AK$4+(FC_SUPUESTOS!$C$30+FC_SUPUESTOS!$C$29))*$D$18:$BK$18))</f>
        <v>0</v>
      </c>
      <c r="AL33" s="423" t="n">
        <f aca="false">IF(FC_SUPUESTOS!$C$25=1,IF(AL$4=MAX(1,FC_SUPUESTOS!$C$24+FC_SUPUESTOS!$C$27+FC_SUPUESTOS!$C$28),FC_SUPUESTOS!$C$10,0),SUMPRODUCT(($D$4:$BK$4=AL$4+(FC_SUPUESTOS!$C$30+FC_SUPUESTOS!$C$29))*$D$18:$BK$18))</f>
        <v>0</v>
      </c>
      <c r="AM33" s="423" t="n">
        <f aca="false">IF(FC_SUPUESTOS!$C$25=1,IF(AM$4=MAX(1,FC_SUPUESTOS!$C$24+FC_SUPUESTOS!$C$27+FC_SUPUESTOS!$C$28),FC_SUPUESTOS!$C$10,0),SUMPRODUCT(($D$4:$BK$4=AM$4+(FC_SUPUESTOS!$C$30+FC_SUPUESTOS!$C$29))*$D$18:$BK$18))</f>
        <v>0</v>
      </c>
      <c r="AN33" s="423" t="n">
        <f aca="false">IF(FC_SUPUESTOS!$C$25=1,IF(AN$4=MAX(1,FC_SUPUESTOS!$C$24+FC_SUPUESTOS!$C$27+FC_SUPUESTOS!$C$28),FC_SUPUESTOS!$C$10,0),SUMPRODUCT(($D$4:$BK$4=AN$4+(FC_SUPUESTOS!$C$30+FC_SUPUESTOS!$C$29))*$D$18:$BK$18))</f>
        <v>0</v>
      </c>
      <c r="AO33" s="423" t="n">
        <f aca="false">IF(FC_SUPUESTOS!$C$25=1,IF(AO$4=MAX(1,FC_SUPUESTOS!$C$24+FC_SUPUESTOS!$C$27+FC_SUPUESTOS!$C$28),FC_SUPUESTOS!$C$10,0),SUMPRODUCT(($D$4:$BK$4=AO$4+(FC_SUPUESTOS!$C$30+FC_SUPUESTOS!$C$29))*$D$18:$BK$18))</f>
        <v>0</v>
      </c>
      <c r="AP33" s="423" t="n">
        <f aca="false">IF(FC_SUPUESTOS!$C$25=1,IF(AP$4=MAX(1,FC_SUPUESTOS!$C$24+FC_SUPUESTOS!$C$27+FC_SUPUESTOS!$C$28),FC_SUPUESTOS!$C$10,0),SUMPRODUCT(($D$4:$BK$4=AP$4+(FC_SUPUESTOS!$C$30+FC_SUPUESTOS!$C$29))*$D$18:$BK$18))</f>
        <v>0</v>
      </c>
      <c r="AQ33" s="423" t="n">
        <f aca="false">IF(FC_SUPUESTOS!$C$25=1,IF(AQ$4=MAX(1,FC_SUPUESTOS!$C$24+FC_SUPUESTOS!$C$27+FC_SUPUESTOS!$C$28),FC_SUPUESTOS!$C$10,0),SUMPRODUCT(($D$4:$BK$4=AQ$4+(FC_SUPUESTOS!$C$30+FC_SUPUESTOS!$C$29))*$D$18:$BK$18))</f>
        <v>0</v>
      </c>
      <c r="AR33" s="423" t="n">
        <f aca="false">IF(FC_SUPUESTOS!$C$25=1,IF(AR$4=MAX(1,FC_SUPUESTOS!$C$24+FC_SUPUESTOS!$C$27+FC_SUPUESTOS!$C$28),FC_SUPUESTOS!$C$10,0),SUMPRODUCT(($D$4:$BK$4=AR$4+(FC_SUPUESTOS!$C$30+FC_SUPUESTOS!$C$29))*$D$18:$BK$18))</f>
        <v>0</v>
      </c>
      <c r="AS33" s="423" t="n">
        <f aca="false">IF(FC_SUPUESTOS!$C$25=1,IF(AS$4=MAX(1,FC_SUPUESTOS!$C$24+FC_SUPUESTOS!$C$27+FC_SUPUESTOS!$C$28),FC_SUPUESTOS!$C$10,0),SUMPRODUCT(($D$4:$BK$4=AS$4+(FC_SUPUESTOS!$C$30+FC_SUPUESTOS!$C$29))*$D$18:$BK$18))</f>
        <v>0</v>
      </c>
      <c r="AT33" s="423" t="n">
        <f aca="false">IF(FC_SUPUESTOS!$C$25=1,IF(AT$4=MAX(1,FC_SUPUESTOS!$C$24+FC_SUPUESTOS!$C$27+FC_SUPUESTOS!$C$28),FC_SUPUESTOS!$C$10,0),SUMPRODUCT(($D$4:$BK$4=AT$4+(FC_SUPUESTOS!$C$30+FC_SUPUESTOS!$C$29))*$D$18:$BK$18))</f>
        <v>0</v>
      </c>
      <c r="AU33" s="423" t="n">
        <f aca="false">IF(FC_SUPUESTOS!$C$25=1,IF(AU$4=MAX(1,FC_SUPUESTOS!$C$24+FC_SUPUESTOS!$C$27+FC_SUPUESTOS!$C$28),FC_SUPUESTOS!$C$10,0),SUMPRODUCT(($D$4:$BK$4=AU$4+(FC_SUPUESTOS!$C$30+FC_SUPUESTOS!$C$29))*$D$18:$BK$18))</f>
        <v>0</v>
      </c>
      <c r="AV33" s="423" t="n">
        <f aca="false">IF(FC_SUPUESTOS!$C$25=1,IF(AV$4=MAX(1,FC_SUPUESTOS!$C$24+FC_SUPUESTOS!$C$27+FC_SUPUESTOS!$C$28),FC_SUPUESTOS!$C$10,0),SUMPRODUCT(($D$4:$BK$4=AV$4+(FC_SUPUESTOS!$C$30+FC_SUPUESTOS!$C$29))*$D$18:$BK$18))</f>
        <v>0</v>
      </c>
      <c r="AW33" s="423" t="n">
        <f aca="false">IF(FC_SUPUESTOS!$C$25=1,IF(AW$4=MAX(1,FC_SUPUESTOS!$C$24+FC_SUPUESTOS!$C$27+FC_SUPUESTOS!$C$28),FC_SUPUESTOS!$C$10,0),SUMPRODUCT(($D$4:$BK$4=AW$4+(FC_SUPUESTOS!$C$30+FC_SUPUESTOS!$C$29))*$D$18:$BK$18))</f>
        <v>0</v>
      </c>
      <c r="AX33" s="423" t="n">
        <f aca="false">IF(FC_SUPUESTOS!$C$25=1,IF(AX$4=MAX(1,FC_SUPUESTOS!$C$24+FC_SUPUESTOS!$C$27+FC_SUPUESTOS!$C$28),FC_SUPUESTOS!$C$10,0),SUMPRODUCT(($D$4:$BK$4=AX$4+(FC_SUPUESTOS!$C$30+FC_SUPUESTOS!$C$29))*$D$18:$BK$18))</f>
        <v>0</v>
      </c>
      <c r="AY33" s="423" t="n">
        <f aca="false">IF(FC_SUPUESTOS!$C$25=1,IF(AY$4=MAX(1,FC_SUPUESTOS!$C$24+FC_SUPUESTOS!$C$27+FC_SUPUESTOS!$C$28),FC_SUPUESTOS!$C$10,0),SUMPRODUCT(($D$4:$BK$4=AY$4+(FC_SUPUESTOS!$C$30+FC_SUPUESTOS!$C$29))*$D$18:$BK$18))</f>
        <v>0</v>
      </c>
      <c r="AZ33" s="423" t="n">
        <f aca="false">IF(FC_SUPUESTOS!$C$25=1,IF(AZ$4=MAX(1,FC_SUPUESTOS!$C$24+FC_SUPUESTOS!$C$27+FC_SUPUESTOS!$C$28),FC_SUPUESTOS!$C$10,0),SUMPRODUCT(($D$4:$BK$4=AZ$4+(FC_SUPUESTOS!$C$30+FC_SUPUESTOS!$C$29))*$D$18:$BK$18))</f>
        <v>0</v>
      </c>
      <c r="BA33" s="423" t="n">
        <f aca="false">IF(FC_SUPUESTOS!$C$25=1,IF(BA$4=MAX(1,FC_SUPUESTOS!$C$24+FC_SUPUESTOS!$C$27+FC_SUPUESTOS!$C$28),FC_SUPUESTOS!$C$10,0),SUMPRODUCT(($D$4:$BK$4=BA$4+(FC_SUPUESTOS!$C$30+FC_SUPUESTOS!$C$29))*$D$18:$BK$18))</f>
        <v>0</v>
      </c>
      <c r="BB33" s="423" t="n">
        <f aca="false">IF(FC_SUPUESTOS!$C$25=1,IF(BB$4=MAX(1,FC_SUPUESTOS!$C$24+FC_SUPUESTOS!$C$27+FC_SUPUESTOS!$C$28),FC_SUPUESTOS!$C$10,0),SUMPRODUCT(($D$4:$BK$4=BB$4+(FC_SUPUESTOS!$C$30+FC_SUPUESTOS!$C$29))*$D$18:$BK$18))</f>
        <v>0</v>
      </c>
      <c r="BC33" s="423" t="n">
        <f aca="false">IF(FC_SUPUESTOS!$C$25=1,IF(BC$4=MAX(1,FC_SUPUESTOS!$C$24+FC_SUPUESTOS!$C$27+FC_SUPUESTOS!$C$28),FC_SUPUESTOS!$C$10,0),SUMPRODUCT(($D$4:$BK$4=BC$4+(FC_SUPUESTOS!$C$30+FC_SUPUESTOS!$C$29))*$D$18:$BK$18))</f>
        <v>0</v>
      </c>
      <c r="BD33" s="423" t="n">
        <f aca="false">IF(FC_SUPUESTOS!$C$25=1,IF(BD$4=MAX(1,FC_SUPUESTOS!$C$24+FC_SUPUESTOS!$C$27+FC_SUPUESTOS!$C$28),FC_SUPUESTOS!$C$10,0),SUMPRODUCT(($D$4:$BK$4=BD$4+(FC_SUPUESTOS!$C$30+FC_SUPUESTOS!$C$29))*$D$18:$BK$18))</f>
        <v>0</v>
      </c>
      <c r="BE33" s="423" t="n">
        <f aca="false">IF(FC_SUPUESTOS!$C$25=1,IF(BE$4=MAX(1,FC_SUPUESTOS!$C$24+FC_SUPUESTOS!$C$27+FC_SUPUESTOS!$C$28),FC_SUPUESTOS!$C$10,0),SUMPRODUCT(($D$4:$BK$4=BE$4+(FC_SUPUESTOS!$C$30+FC_SUPUESTOS!$C$29))*$D$18:$BK$18))</f>
        <v>0</v>
      </c>
      <c r="BF33" s="423" t="n">
        <f aca="false">IF(FC_SUPUESTOS!$C$25=1,IF(BF$4=MAX(1,FC_SUPUESTOS!$C$24+FC_SUPUESTOS!$C$27+FC_SUPUESTOS!$C$28),FC_SUPUESTOS!$C$10,0),SUMPRODUCT(($D$4:$BK$4=BF$4+(FC_SUPUESTOS!$C$30+FC_SUPUESTOS!$C$29))*$D$18:$BK$18))</f>
        <v>0</v>
      </c>
      <c r="BG33" s="423" t="n">
        <f aca="false">IF(FC_SUPUESTOS!$C$25=1,IF(BG$4=MAX(1,FC_SUPUESTOS!$C$24+FC_SUPUESTOS!$C$27+FC_SUPUESTOS!$C$28),FC_SUPUESTOS!$C$10,0),SUMPRODUCT(($D$4:$BK$4=BG$4+(FC_SUPUESTOS!$C$30+FC_SUPUESTOS!$C$29))*$D$18:$BK$18))</f>
        <v>0</v>
      </c>
      <c r="BH33" s="423" t="n">
        <f aca="false">IF(FC_SUPUESTOS!$C$25=1,IF(BH$4=MAX(1,FC_SUPUESTOS!$C$24+FC_SUPUESTOS!$C$27+FC_SUPUESTOS!$C$28),FC_SUPUESTOS!$C$10,0),SUMPRODUCT(($D$4:$BK$4=BH$4+(FC_SUPUESTOS!$C$30+FC_SUPUESTOS!$C$29))*$D$18:$BK$18))</f>
        <v>0</v>
      </c>
      <c r="BI33" s="423" t="n">
        <f aca="false">IF(FC_SUPUESTOS!$C$25=1,IF(BI$4=MAX(1,FC_SUPUESTOS!$C$24+FC_SUPUESTOS!$C$27+FC_SUPUESTOS!$C$28),FC_SUPUESTOS!$C$10,0),SUMPRODUCT(($D$4:$BK$4=BI$4+(FC_SUPUESTOS!$C$30+FC_SUPUESTOS!$C$29))*$D$18:$BK$18))</f>
        <v>0</v>
      </c>
      <c r="BJ33" s="423" t="n">
        <f aca="false">IF(FC_SUPUESTOS!$C$25=1,IF(BJ$4=MAX(1,FC_SUPUESTOS!$C$24+FC_SUPUESTOS!$C$27+FC_SUPUESTOS!$C$28),FC_SUPUESTOS!$C$10,0),SUMPRODUCT(($D$4:$BK$4=BJ$4+(FC_SUPUESTOS!$C$30+FC_SUPUESTOS!$C$29))*$D$18:$BK$18))</f>
        <v>0</v>
      </c>
      <c r="BK33" s="423" t="n">
        <f aca="false">IF(FC_SUPUESTOS!$C$25=1,IF(BK$4=MAX(1,FC_SUPUESTOS!$C$24+FC_SUPUESTOS!$C$27+FC_SUPUESTOS!$C$28),FC_SUPUESTOS!$C$10,0),SUMPRODUCT(($D$4:$BK$4=BK$4+(FC_SUPUESTOS!$C$30+FC_SUPUESTOS!$C$29))*$D$18:$BK$18))</f>
        <v>0</v>
      </c>
    </row>
    <row r="34" customFormat="false" ht="15" hidden="false" customHeight="true" outlineLevel="0" collapsed="false">
      <c r="B34" s="297" t="s">
        <v>2375</v>
      </c>
      <c r="D34" s="423" t="n">
        <f aca="false">MAX($D$20:$BK$20)-SUM($E$34:$BK$34)</f>
        <v>0</v>
      </c>
      <c r="E34" s="423" t="n">
        <f aca="false">SUMPRODUCT(($D$4:$BK$4=E$4+(FC_SUPUESTOS!$C$53))*$D$17:$BK$17)</f>
        <v>0</v>
      </c>
      <c r="F34" s="423" t="n">
        <f aca="false">SUMPRODUCT(($D$4:$BK$4=F$4+(FC_SUPUESTOS!$C$53))*$D$17:$BK$17)</f>
        <v>0</v>
      </c>
      <c r="G34" s="423" t="n">
        <f aca="false">SUMPRODUCT(($D$4:$BK$4=G$4+(FC_SUPUESTOS!$C$53))*$D$17:$BK$17)</f>
        <v>0</v>
      </c>
      <c r="H34" s="423" t="n">
        <f aca="false">SUMPRODUCT(($D$4:$BK$4=H$4+(FC_SUPUESTOS!$C$53))*$D$17:$BK$17)</f>
        <v>0</v>
      </c>
      <c r="I34" s="423" t="n">
        <f aca="false">SUMPRODUCT(($D$4:$BK$4=I$4+(FC_SUPUESTOS!$C$53))*$D$17:$BK$17)</f>
        <v>0</v>
      </c>
      <c r="J34" s="423" t="n">
        <f aca="false">SUMPRODUCT(($D$4:$BK$4=J$4+(FC_SUPUESTOS!$C$53))*$D$17:$BK$17)</f>
        <v>0</v>
      </c>
      <c r="K34" s="423" t="n">
        <f aca="false">SUMPRODUCT(($D$4:$BK$4=K$4+(FC_SUPUESTOS!$C$53))*$D$17:$BK$17)</f>
        <v>0</v>
      </c>
      <c r="L34" s="423" t="n">
        <f aca="false">SUMPRODUCT(($D$4:$BK$4=L$4+(FC_SUPUESTOS!$C$53))*$D$17:$BK$17)</f>
        <v>2</v>
      </c>
      <c r="M34" s="423" t="n">
        <f aca="false">SUMPRODUCT(($D$4:$BK$4=M$4+(FC_SUPUESTOS!$C$53))*$D$17:$BK$17)</f>
        <v>2</v>
      </c>
      <c r="N34" s="423" t="n">
        <f aca="false">SUMPRODUCT(($D$4:$BK$4=N$4+(FC_SUPUESTOS!$C$53))*$D$17:$BK$17)</f>
        <v>2</v>
      </c>
      <c r="O34" s="423" t="n">
        <f aca="false">SUMPRODUCT(($D$4:$BK$4=O$4+(FC_SUPUESTOS!$C$53))*$D$17:$BK$17)</f>
        <v>1</v>
      </c>
      <c r="P34" s="423" t="n">
        <f aca="false">SUMPRODUCT(($D$4:$BK$4=P$4+(FC_SUPUESTOS!$C$53))*$D$17:$BK$17)</f>
        <v>0</v>
      </c>
      <c r="Q34" s="423" t="n">
        <f aca="false">SUMPRODUCT(($D$4:$BK$4=Q$4+(FC_SUPUESTOS!$C$53))*$D$17:$BK$17)</f>
        <v>0</v>
      </c>
      <c r="R34" s="423" t="n">
        <f aca="false">SUMPRODUCT(($D$4:$BK$4=R$4+(FC_SUPUESTOS!$C$53))*$D$17:$BK$17)</f>
        <v>0</v>
      </c>
      <c r="S34" s="423" t="n">
        <f aca="false">SUMPRODUCT(($D$4:$BK$4=S$4+(FC_SUPUESTOS!$C$53))*$D$17:$BK$17)</f>
        <v>0</v>
      </c>
      <c r="T34" s="423" t="n">
        <f aca="false">SUMPRODUCT(($D$4:$BK$4=T$4+(FC_SUPUESTOS!$C$53))*$D$17:$BK$17)</f>
        <v>0</v>
      </c>
      <c r="U34" s="423" t="n">
        <f aca="false">SUMPRODUCT(($D$4:$BK$4=U$4+(FC_SUPUESTOS!$C$53))*$D$17:$BK$17)</f>
        <v>0</v>
      </c>
      <c r="V34" s="423" t="n">
        <f aca="false">SUMPRODUCT(($D$4:$BK$4=V$4+(FC_SUPUESTOS!$C$53))*$D$17:$BK$17)</f>
        <v>0</v>
      </c>
      <c r="W34" s="423" t="n">
        <f aca="false">SUMPRODUCT(($D$4:$BK$4=W$4+(FC_SUPUESTOS!$C$53))*$D$17:$BK$17)</f>
        <v>0</v>
      </c>
      <c r="X34" s="423" t="n">
        <f aca="false">SUMPRODUCT(($D$4:$BK$4=X$4+(FC_SUPUESTOS!$C$53))*$D$17:$BK$17)</f>
        <v>0</v>
      </c>
      <c r="Y34" s="423" t="n">
        <f aca="false">SUMPRODUCT(($D$4:$BK$4=Y$4+(FC_SUPUESTOS!$C$53))*$D$17:$BK$17)</f>
        <v>0</v>
      </c>
      <c r="Z34" s="423" t="n">
        <f aca="false">SUMPRODUCT(($D$4:$BK$4=Z$4+(FC_SUPUESTOS!$C$53))*$D$17:$BK$17)</f>
        <v>0</v>
      </c>
      <c r="AA34" s="423" t="n">
        <f aca="false">SUMPRODUCT(($D$4:$BK$4=AA$4+(FC_SUPUESTOS!$C$53))*$D$17:$BK$17)</f>
        <v>0</v>
      </c>
      <c r="AB34" s="423" t="n">
        <f aca="false">SUMPRODUCT(($D$4:$BK$4=AB$4+(FC_SUPUESTOS!$C$53))*$D$17:$BK$17)</f>
        <v>0</v>
      </c>
      <c r="AC34" s="423" t="n">
        <f aca="false">SUMPRODUCT(($D$4:$BK$4=AC$4+(FC_SUPUESTOS!$C$53))*$D$17:$BK$17)</f>
        <v>0</v>
      </c>
      <c r="AD34" s="423" t="n">
        <f aca="false">SUMPRODUCT(($D$4:$BK$4=AD$4+(FC_SUPUESTOS!$C$53))*$D$17:$BK$17)</f>
        <v>0</v>
      </c>
      <c r="AE34" s="423" t="n">
        <f aca="false">SUMPRODUCT(($D$4:$BK$4=AE$4+(FC_SUPUESTOS!$C$53))*$D$17:$BK$17)</f>
        <v>0</v>
      </c>
      <c r="AF34" s="423" t="n">
        <f aca="false">SUMPRODUCT(($D$4:$BK$4=AF$4+(FC_SUPUESTOS!$C$53))*$D$17:$BK$17)</f>
        <v>0</v>
      </c>
      <c r="AG34" s="423" t="n">
        <f aca="false">SUMPRODUCT(($D$4:$BK$4=AG$4+(FC_SUPUESTOS!$C$53))*$D$17:$BK$17)</f>
        <v>0</v>
      </c>
      <c r="AH34" s="423" t="n">
        <f aca="false">SUMPRODUCT(($D$4:$BK$4=AH$4+(FC_SUPUESTOS!$C$53))*$D$17:$BK$17)</f>
        <v>0</v>
      </c>
      <c r="AI34" s="423" t="n">
        <f aca="false">SUMPRODUCT(($D$4:$BK$4=AI$4+(FC_SUPUESTOS!$C$53))*$D$17:$BK$17)</f>
        <v>0</v>
      </c>
      <c r="AJ34" s="423" t="n">
        <f aca="false">SUMPRODUCT(($D$4:$BK$4=AJ$4+(FC_SUPUESTOS!$C$53))*$D$17:$BK$17)</f>
        <v>0</v>
      </c>
      <c r="AK34" s="423" t="n">
        <f aca="false">SUMPRODUCT(($D$4:$BK$4=AK$4+(FC_SUPUESTOS!$C$53))*$D$17:$BK$17)</f>
        <v>0</v>
      </c>
      <c r="AL34" s="423" t="n">
        <f aca="false">SUMPRODUCT(($D$4:$BK$4=AL$4+(FC_SUPUESTOS!$C$53))*$D$17:$BK$17)</f>
        <v>0</v>
      </c>
      <c r="AM34" s="423" t="n">
        <f aca="false">SUMPRODUCT(($D$4:$BK$4=AM$4+(FC_SUPUESTOS!$C$53))*$D$17:$BK$17)</f>
        <v>0</v>
      </c>
      <c r="AN34" s="423" t="n">
        <f aca="false">SUMPRODUCT(($D$4:$BK$4=AN$4+(FC_SUPUESTOS!$C$53))*$D$17:$BK$17)</f>
        <v>0</v>
      </c>
      <c r="AO34" s="423" t="n">
        <f aca="false">SUMPRODUCT(($D$4:$BK$4=AO$4+(FC_SUPUESTOS!$C$53))*$D$17:$BK$17)</f>
        <v>0</v>
      </c>
      <c r="AP34" s="423" t="n">
        <f aca="false">SUMPRODUCT(($D$4:$BK$4=AP$4+(FC_SUPUESTOS!$C$53))*$D$17:$BK$17)</f>
        <v>0</v>
      </c>
      <c r="AQ34" s="423" t="n">
        <f aca="false">SUMPRODUCT(($D$4:$BK$4=AQ$4+(FC_SUPUESTOS!$C$53))*$D$17:$BK$17)</f>
        <v>0</v>
      </c>
      <c r="AR34" s="423" t="n">
        <f aca="false">SUMPRODUCT(($D$4:$BK$4=AR$4+(FC_SUPUESTOS!$C$53))*$D$17:$BK$17)</f>
        <v>0</v>
      </c>
      <c r="AS34" s="423" t="n">
        <f aca="false">SUMPRODUCT(($D$4:$BK$4=AS$4+(FC_SUPUESTOS!$C$53))*$D$17:$BK$17)</f>
        <v>0</v>
      </c>
      <c r="AT34" s="423" t="n">
        <f aca="false">SUMPRODUCT(($D$4:$BK$4=AT$4+(FC_SUPUESTOS!$C$53))*$D$17:$BK$17)</f>
        <v>0</v>
      </c>
      <c r="AU34" s="423" t="n">
        <f aca="false">SUMPRODUCT(($D$4:$BK$4=AU$4+(FC_SUPUESTOS!$C$53))*$D$17:$BK$17)</f>
        <v>0</v>
      </c>
      <c r="AV34" s="423" t="n">
        <f aca="false">SUMPRODUCT(($D$4:$BK$4=AV$4+(FC_SUPUESTOS!$C$53))*$D$17:$BK$17)</f>
        <v>0</v>
      </c>
      <c r="AW34" s="423" t="n">
        <f aca="false">SUMPRODUCT(($D$4:$BK$4=AW$4+(FC_SUPUESTOS!$C$53))*$D$17:$BK$17)</f>
        <v>0</v>
      </c>
      <c r="AX34" s="423" t="n">
        <f aca="false">SUMPRODUCT(($D$4:$BK$4=AX$4+(FC_SUPUESTOS!$C$53))*$D$17:$BK$17)</f>
        <v>0</v>
      </c>
      <c r="AY34" s="423" t="n">
        <f aca="false">SUMPRODUCT(($D$4:$BK$4=AY$4+(FC_SUPUESTOS!$C$53))*$D$17:$BK$17)</f>
        <v>0</v>
      </c>
      <c r="AZ34" s="423" t="n">
        <f aca="false">SUMPRODUCT(($D$4:$BK$4=AZ$4+(FC_SUPUESTOS!$C$53))*$D$17:$BK$17)</f>
        <v>0</v>
      </c>
      <c r="BA34" s="423" t="n">
        <f aca="false">SUMPRODUCT(($D$4:$BK$4=BA$4+(FC_SUPUESTOS!$C$53))*$D$17:$BK$17)</f>
        <v>0</v>
      </c>
      <c r="BB34" s="423" t="n">
        <f aca="false">SUMPRODUCT(($D$4:$BK$4=BB$4+(FC_SUPUESTOS!$C$53))*$D$17:$BK$17)</f>
        <v>0</v>
      </c>
      <c r="BC34" s="423" t="n">
        <f aca="false">SUMPRODUCT(($D$4:$BK$4=BC$4+(FC_SUPUESTOS!$C$53))*$D$17:$BK$17)</f>
        <v>0</v>
      </c>
      <c r="BD34" s="423" t="n">
        <f aca="false">SUMPRODUCT(($D$4:$BK$4=BD$4+(FC_SUPUESTOS!$C$53))*$D$17:$BK$17)</f>
        <v>0</v>
      </c>
      <c r="BE34" s="423" t="n">
        <f aca="false">SUMPRODUCT(($D$4:$BK$4=BE$4+(FC_SUPUESTOS!$C$53))*$D$17:$BK$17)</f>
        <v>0</v>
      </c>
      <c r="BF34" s="423" t="n">
        <f aca="false">SUMPRODUCT(($D$4:$BK$4=BF$4+(FC_SUPUESTOS!$C$53))*$D$17:$BK$17)</f>
        <v>0</v>
      </c>
      <c r="BG34" s="423" t="n">
        <f aca="false">SUMPRODUCT(($D$4:$BK$4=BG$4+(FC_SUPUESTOS!$C$53))*$D$17:$BK$17)</f>
        <v>0</v>
      </c>
      <c r="BH34" s="423" t="n">
        <f aca="false">SUMPRODUCT(($D$4:$BK$4=BH$4+(FC_SUPUESTOS!$C$53))*$D$17:$BK$17)</f>
        <v>0</v>
      </c>
      <c r="BI34" s="423" t="n">
        <f aca="false">SUMPRODUCT(($D$4:$BK$4=BI$4+(FC_SUPUESTOS!$C$53))*$D$17:$BK$17)</f>
        <v>0</v>
      </c>
      <c r="BJ34" s="423" t="n">
        <f aca="false">SUMPRODUCT(($D$4:$BK$4=BJ$4+(FC_SUPUESTOS!$C$53))*$D$17:$BK$17)</f>
        <v>0</v>
      </c>
      <c r="BK34" s="423" t="n">
        <f aca="false">SUMPRODUCT(($D$4:$BK$4=BK$4+(FC_SUPUESTOS!$C$53))*$D$17:$BK$17)</f>
        <v>0</v>
      </c>
    </row>
    <row r="35" customFormat="false" ht="15" hidden="false" customHeight="true" outlineLevel="0" collapsed="false">
      <c r="B35" s="297" t="s">
        <v>2376</v>
      </c>
      <c r="D35" s="423" t="n">
        <f aca="false">MAX($D$21:$BK$21)-SUM($E$35:$BK$35)</f>
        <v>0</v>
      </c>
      <c r="E35" s="423" t="n">
        <f aca="false">SUMPRODUCT(($D$4:$BK$4=E$4+(FC_SUPUESTOS!$C$53))*$D$18:$BK$18)</f>
        <v>0</v>
      </c>
      <c r="F35" s="423" t="n">
        <f aca="false">SUMPRODUCT(($D$4:$BK$4=F$4+(FC_SUPUESTOS!$C$53))*$D$18:$BK$18)</f>
        <v>0</v>
      </c>
      <c r="G35" s="423" t="n">
        <f aca="false">SUMPRODUCT(($D$4:$BK$4=G$4+(FC_SUPUESTOS!$C$53))*$D$18:$BK$18)</f>
        <v>0</v>
      </c>
      <c r="H35" s="423" t="n">
        <f aca="false">SUMPRODUCT(($D$4:$BK$4=H$4+(FC_SUPUESTOS!$C$53))*$D$18:$BK$18)</f>
        <v>0</v>
      </c>
      <c r="I35" s="423" t="n">
        <f aca="false">SUMPRODUCT(($D$4:$BK$4=I$4+(FC_SUPUESTOS!$C$53))*$D$18:$BK$18)</f>
        <v>0</v>
      </c>
      <c r="J35" s="423" t="n">
        <f aca="false">SUMPRODUCT(($D$4:$BK$4=J$4+(FC_SUPUESTOS!$C$53))*$D$18:$BK$18)</f>
        <v>0</v>
      </c>
      <c r="K35" s="423" t="n">
        <f aca="false">SUMPRODUCT(($D$4:$BK$4=K$4+(FC_SUPUESTOS!$C$53))*$D$18:$BK$18)</f>
        <v>0</v>
      </c>
      <c r="L35" s="423" t="n">
        <f aca="false">SUMPRODUCT(($D$4:$BK$4=L$4+(FC_SUPUESTOS!$C$53))*$D$18:$BK$18)</f>
        <v>0</v>
      </c>
      <c r="M35" s="423" t="n">
        <f aca="false">SUMPRODUCT(($D$4:$BK$4=M$4+(FC_SUPUESTOS!$C$53))*$D$18:$BK$18)</f>
        <v>0</v>
      </c>
      <c r="N35" s="423" t="n">
        <f aca="false">SUMPRODUCT(($D$4:$BK$4=N$4+(FC_SUPUESTOS!$C$53))*$D$18:$BK$18)</f>
        <v>0</v>
      </c>
      <c r="O35" s="423" t="n">
        <f aca="false">SUMPRODUCT(($D$4:$BK$4=O$4+(FC_SUPUESTOS!$C$53))*$D$18:$BK$18)</f>
        <v>1</v>
      </c>
      <c r="P35" s="423" t="n">
        <f aca="false">SUMPRODUCT(($D$4:$BK$4=P$4+(FC_SUPUESTOS!$C$53))*$D$18:$BK$18)</f>
        <v>2</v>
      </c>
      <c r="Q35" s="423" t="n">
        <f aca="false">SUMPRODUCT(($D$4:$BK$4=Q$4+(FC_SUPUESTOS!$C$53))*$D$18:$BK$18)</f>
        <v>0</v>
      </c>
      <c r="R35" s="423" t="n">
        <f aca="false">SUMPRODUCT(($D$4:$BK$4=R$4+(FC_SUPUESTOS!$C$53))*$D$18:$BK$18)</f>
        <v>0</v>
      </c>
      <c r="S35" s="423" t="n">
        <f aca="false">SUMPRODUCT(($D$4:$BK$4=S$4+(FC_SUPUESTOS!$C$53))*$D$18:$BK$18)</f>
        <v>0</v>
      </c>
      <c r="T35" s="423" t="n">
        <f aca="false">SUMPRODUCT(($D$4:$BK$4=T$4+(FC_SUPUESTOS!$C$53))*$D$18:$BK$18)</f>
        <v>0</v>
      </c>
      <c r="U35" s="423" t="n">
        <f aca="false">SUMPRODUCT(($D$4:$BK$4=U$4+(FC_SUPUESTOS!$C$53))*$D$18:$BK$18)</f>
        <v>0</v>
      </c>
      <c r="V35" s="423" t="n">
        <f aca="false">SUMPRODUCT(($D$4:$BK$4=V$4+(FC_SUPUESTOS!$C$53))*$D$18:$BK$18)</f>
        <v>0</v>
      </c>
      <c r="W35" s="423" t="n">
        <f aca="false">SUMPRODUCT(($D$4:$BK$4=W$4+(FC_SUPUESTOS!$C$53))*$D$18:$BK$18)</f>
        <v>0</v>
      </c>
      <c r="X35" s="423" t="n">
        <f aca="false">SUMPRODUCT(($D$4:$BK$4=X$4+(FC_SUPUESTOS!$C$53))*$D$18:$BK$18)</f>
        <v>0</v>
      </c>
      <c r="Y35" s="423" t="n">
        <f aca="false">SUMPRODUCT(($D$4:$BK$4=Y$4+(FC_SUPUESTOS!$C$53))*$D$18:$BK$18)</f>
        <v>0</v>
      </c>
      <c r="Z35" s="423" t="n">
        <f aca="false">SUMPRODUCT(($D$4:$BK$4=Z$4+(FC_SUPUESTOS!$C$53))*$D$18:$BK$18)</f>
        <v>0</v>
      </c>
      <c r="AA35" s="423" t="n">
        <f aca="false">SUMPRODUCT(($D$4:$BK$4=AA$4+(FC_SUPUESTOS!$C$53))*$D$18:$BK$18)</f>
        <v>0</v>
      </c>
      <c r="AB35" s="423" t="n">
        <f aca="false">SUMPRODUCT(($D$4:$BK$4=AB$4+(FC_SUPUESTOS!$C$53))*$D$18:$BK$18)</f>
        <v>0</v>
      </c>
      <c r="AC35" s="423" t="n">
        <f aca="false">SUMPRODUCT(($D$4:$BK$4=AC$4+(FC_SUPUESTOS!$C$53))*$D$18:$BK$18)</f>
        <v>0</v>
      </c>
      <c r="AD35" s="423" t="n">
        <f aca="false">SUMPRODUCT(($D$4:$BK$4=AD$4+(FC_SUPUESTOS!$C$53))*$D$18:$BK$18)</f>
        <v>0</v>
      </c>
      <c r="AE35" s="423" t="n">
        <f aca="false">SUMPRODUCT(($D$4:$BK$4=AE$4+(FC_SUPUESTOS!$C$53))*$D$18:$BK$18)</f>
        <v>0</v>
      </c>
      <c r="AF35" s="423" t="n">
        <f aca="false">SUMPRODUCT(($D$4:$BK$4=AF$4+(FC_SUPUESTOS!$C$53))*$D$18:$BK$18)</f>
        <v>0</v>
      </c>
      <c r="AG35" s="423" t="n">
        <f aca="false">SUMPRODUCT(($D$4:$BK$4=AG$4+(FC_SUPUESTOS!$C$53))*$D$18:$BK$18)</f>
        <v>0</v>
      </c>
      <c r="AH35" s="423" t="n">
        <f aca="false">SUMPRODUCT(($D$4:$BK$4=AH$4+(FC_SUPUESTOS!$C$53))*$D$18:$BK$18)</f>
        <v>0</v>
      </c>
      <c r="AI35" s="423" t="n">
        <f aca="false">SUMPRODUCT(($D$4:$BK$4=AI$4+(FC_SUPUESTOS!$C$53))*$D$18:$BK$18)</f>
        <v>0</v>
      </c>
      <c r="AJ35" s="423" t="n">
        <f aca="false">SUMPRODUCT(($D$4:$BK$4=AJ$4+(FC_SUPUESTOS!$C$53))*$D$18:$BK$18)</f>
        <v>0</v>
      </c>
      <c r="AK35" s="423" t="n">
        <f aca="false">SUMPRODUCT(($D$4:$BK$4=AK$4+(FC_SUPUESTOS!$C$53))*$D$18:$BK$18)</f>
        <v>0</v>
      </c>
      <c r="AL35" s="423" t="n">
        <f aca="false">SUMPRODUCT(($D$4:$BK$4=AL$4+(FC_SUPUESTOS!$C$53))*$D$18:$BK$18)</f>
        <v>0</v>
      </c>
      <c r="AM35" s="423" t="n">
        <f aca="false">SUMPRODUCT(($D$4:$BK$4=AM$4+(FC_SUPUESTOS!$C$53))*$D$18:$BK$18)</f>
        <v>0</v>
      </c>
      <c r="AN35" s="423" t="n">
        <f aca="false">SUMPRODUCT(($D$4:$BK$4=AN$4+(FC_SUPUESTOS!$C$53))*$D$18:$BK$18)</f>
        <v>0</v>
      </c>
      <c r="AO35" s="423" t="n">
        <f aca="false">SUMPRODUCT(($D$4:$BK$4=AO$4+(FC_SUPUESTOS!$C$53))*$D$18:$BK$18)</f>
        <v>0</v>
      </c>
      <c r="AP35" s="423" t="n">
        <f aca="false">SUMPRODUCT(($D$4:$BK$4=AP$4+(FC_SUPUESTOS!$C$53))*$D$18:$BK$18)</f>
        <v>0</v>
      </c>
      <c r="AQ35" s="423" t="n">
        <f aca="false">SUMPRODUCT(($D$4:$BK$4=AQ$4+(FC_SUPUESTOS!$C$53))*$D$18:$BK$18)</f>
        <v>0</v>
      </c>
      <c r="AR35" s="423" t="n">
        <f aca="false">SUMPRODUCT(($D$4:$BK$4=AR$4+(FC_SUPUESTOS!$C$53))*$D$18:$BK$18)</f>
        <v>0</v>
      </c>
      <c r="AS35" s="423" t="n">
        <f aca="false">SUMPRODUCT(($D$4:$BK$4=AS$4+(FC_SUPUESTOS!$C$53))*$D$18:$BK$18)</f>
        <v>0</v>
      </c>
      <c r="AT35" s="423" t="n">
        <f aca="false">SUMPRODUCT(($D$4:$BK$4=AT$4+(FC_SUPUESTOS!$C$53))*$D$18:$BK$18)</f>
        <v>0</v>
      </c>
      <c r="AU35" s="423" t="n">
        <f aca="false">SUMPRODUCT(($D$4:$BK$4=AU$4+(FC_SUPUESTOS!$C$53))*$D$18:$BK$18)</f>
        <v>0</v>
      </c>
      <c r="AV35" s="423" t="n">
        <f aca="false">SUMPRODUCT(($D$4:$BK$4=AV$4+(FC_SUPUESTOS!$C$53))*$D$18:$BK$18)</f>
        <v>0</v>
      </c>
      <c r="AW35" s="423" t="n">
        <f aca="false">SUMPRODUCT(($D$4:$BK$4=AW$4+(FC_SUPUESTOS!$C$53))*$D$18:$BK$18)</f>
        <v>0</v>
      </c>
      <c r="AX35" s="423" t="n">
        <f aca="false">SUMPRODUCT(($D$4:$BK$4=AX$4+(FC_SUPUESTOS!$C$53))*$D$18:$BK$18)</f>
        <v>0</v>
      </c>
      <c r="AY35" s="423" t="n">
        <f aca="false">SUMPRODUCT(($D$4:$BK$4=AY$4+(FC_SUPUESTOS!$C$53))*$D$18:$BK$18)</f>
        <v>0</v>
      </c>
      <c r="AZ35" s="423" t="n">
        <f aca="false">SUMPRODUCT(($D$4:$BK$4=AZ$4+(FC_SUPUESTOS!$C$53))*$D$18:$BK$18)</f>
        <v>0</v>
      </c>
      <c r="BA35" s="423" t="n">
        <f aca="false">SUMPRODUCT(($D$4:$BK$4=BA$4+(FC_SUPUESTOS!$C$53))*$D$18:$BK$18)</f>
        <v>0</v>
      </c>
      <c r="BB35" s="423" t="n">
        <f aca="false">SUMPRODUCT(($D$4:$BK$4=BB$4+(FC_SUPUESTOS!$C$53))*$D$18:$BK$18)</f>
        <v>0</v>
      </c>
      <c r="BC35" s="423" t="n">
        <f aca="false">SUMPRODUCT(($D$4:$BK$4=BC$4+(FC_SUPUESTOS!$C$53))*$D$18:$BK$18)</f>
        <v>0</v>
      </c>
      <c r="BD35" s="423" t="n">
        <f aca="false">SUMPRODUCT(($D$4:$BK$4=BD$4+(FC_SUPUESTOS!$C$53))*$D$18:$BK$18)</f>
        <v>0</v>
      </c>
      <c r="BE35" s="423" t="n">
        <f aca="false">SUMPRODUCT(($D$4:$BK$4=BE$4+(FC_SUPUESTOS!$C$53))*$D$18:$BK$18)</f>
        <v>0</v>
      </c>
      <c r="BF35" s="423" t="n">
        <f aca="false">SUMPRODUCT(($D$4:$BK$4=BF$4+(FC_SUPUESTOS!$C$53))*$D$18:$BK$18)</f>
        <v>0</v>
      </c>
      <c r="BG35" s="423" t="n">
        <f aca="false">SUMPRODUCT(($D$4:$BK$4=BG$4+(FC_SUPUESTOS!$C$53))*$D$18:$BK$18)</f>
        <v>0</v>
      </c>
      <c r="BH35" s="423" t="n">
        <f aca="false">SUMPRODUCT(($D$4:$BK$4=BH$4+(FC_SUPUESTOS!$C$53))*$D$18:$BK$18)</f>
        <v>0</v>
      </c>
      <c r="BI35" s="423" t="n">
        <f aca="false">SUMPRODUCT(($D$4:$BK$4=BI$4+(FC_SUPUESTOS!$C$53))*$D$18:$BK$18)</f>
        <v>0</v>
      </c>
      <c r="BJ35" s="423" t="n">
        <f aca="false">SUMPRODUCT(($D$4:$BK$4=BJ$4+(FC_SUPUESTOS!$C$53))*$D$18:$BK$18)</f>
        <v>0</v>
      </c>
      <c r="BK35" s="423" t="n">
        <f aca="false">SUMPRODUCT(($D$4:$BK$4=BK$4+(FC_SUPUESTOS!$C$53))*$D$18:$BK$18)</f>
        <v>0</v>
      </c>
    </row>
    <row r="36" customFormat="false" ht="15" hidden="false" customHeight="true" outlineLevel="0" collapsed="false">
      <c r="B36" s="297" t="s">
        <v>2377</v>
      </c>
      <c r="D36" s="423" t="n">
        <f aca="false">MAX($D$20:$BK$20)-SUM($E$36:$BK$36)</f>
        <v>0</v>
      </c>
      <c r="E36" s="423" t="n">
        <f aca="false">SUMPRODUCT(($D$4:$BK$4=E$4+(FC_SUPUESTOS!$C$54))*$D$17:$BK$17)</f>
        <v>0</v>
      </c>
      <c r="F36" s="423" t="n">
        <f aca="false">SUMPRODUCT(($D$4:$BK$4=F$4+(FC_SUPUESTOS!$C$54))*$D$17:$BK$17)</f>
        <v>0</v>
      </c>
      <c r="G36" s="423" t="n">
        <f aca="false">SUMPRODUCT(($D$4:$BK$4=G$4+(FC_SUPUESTOS!$C$54))*$D$17:$BK$17)</f>
        <v>0</v>
      </c>
      <c r="H36" s="423" t="n">
        <f aca="false">SUMPRODUCT(($D$4:$BK$4=H$4+(FC_SUPUESTOS!$C$54))*$D$17:$BK$17)</f>
        <v>0</v>
      </c>
      <c r="I36" s="423" t="n">
        <f aca="false">SUMPRODUCT(($D$4:$BK$4=I$4+(FC_SUPUESTOS!$C$54))*$D$17:$BK$17)</f>
        <v>0</v>
      </c>
      <c r="J36" s="423" t="n">
        <f aca="false">SUMPRODUCT(($D$4:$BK$4=J$4+(FC_SUPUESTOS!$C$54))*$D$17:$BK$17)</f>
        <v>0</v>
      </c>
      <c r="K36" s="423" t="n">
        <f aca="false">SUMPRODUCT(($D$4:$BK$4=K$4+(FC_SUPUESTOS!$C$54))*$D$17:$BK$17)</f>
        <v>0</v>
      </c>
      <c r="L36" s="423" t="n">
        <f aca="false">SUMPRODUCT(($D$4:$BK$4=L$4+(FC_SUPUESTOS!$C$54))*$D$17:$BK$17)</f>
        <v>2</v>
      </c>
      <c r="M36" s="423" t="n">
        <f aca="false">SUMPRODUCT(($D$4:$BK$4=M$4+(FC_SUPUESTOS!$C$54))*$D$17:$BK$17)</f>
        <v>2</v>
      </c>
      <c r="N36" s="423" t="n">
        <f aca="false">SUMPRODUCT(($D$4:$BK$4=N$4+(FC_SUPUESTOS!$C$54))*$D$17:$BK$17)</f>
        <v>2</v>
      </c>
      <c r="O36" s="423" t="n">
        <f aca="false">SUMPRODUCT(($D$4:$BK$4=O$4+(FC_SUPUESTOS!$C$54))*$D$17:$BK$17)</f>
        <v>1</v>
      </c>
      <c r="P36" s="423" t="n">
        <f aca="false">SUMPRODUCT(($D$4:$BK$4=P$4+(FC_SUPUESTOS!$C$54))*$D$17:$BK$17)</f>
        <v>0</v>
      </c>
      <c r="Q36" s="423" t="n">
        <f aca="false">SUMPRODUCT(($D$4:$BK$4=Q$4+(FC_SUPUESTOS!$C$54))*$D$17:$BK$17)</f>
        <v>0</v>
      </c>
      <c r="R36" s="423" t="n">
        <f aca="false">SUMPRODUCT(($D$4:$BK$4=R$4+(FC_SUPUESTOS!$C$54))*$D$17:$BK$17)</f>
        <v>0</v>
      </c>
      <c r="S36" s="423" t="n">
        <f aca="false">SUMPRODUCT(($D$4:$BK$4=S$4+(FC_SUPUESTOS!$C$54))*$D$17:$BK$17)</f>
        <v>0</v>
      </c>
      <c r="T36" s="423" t="n">
        <f aca="false">SUMPRODUCT(($D$4:$BK$4=T$4+(FC_SUPUESTOS!$C$54))*$D$17:$BK$17)</f>
        <v>0</v>
      </c>
      <c r="U36" s="423" t="n">
        <f aca="false">SUMPRODUCT(($D$4:$BK$4=U$4+(FC_SUPUESTOS!$C$54))*$D$17:$BK$17)</f>
        <v>0</v>
      </c>
      <c r="V36" s="423" t="n">
        <f aca="false">SUMPRODUCT(($D$4:$BK$4=V$4+(FC_SUPUESTOS!$C$54))*$D$17:$BK$17)</f>
        <v>0</v>
      </c>
      <c r="W36" s="423" t="n">
        <f aca="false">SUMPRODUCT(($D$4:$BK$4=W$4+(FC_SUPUESTOS!$C$54))*$D$17:$BK$17)</f>
        <v>0</v>
      </c>
      <c r="X36" s="423" t="n">
        <f aca="false">SUMPRODUCT(($D$4:$BK$4=X$4+(FC_SUPUESTOS!$C$54))*$D$17:$BK$17)</f>
        <v>0</v>
      </c>
      <c r="Y36" s="423" t="n">
        <f aca="false">SUMPRODUCT(($D$4:$BK$4=Y$4+(FC_SUPUESTOS!$C$54))*$D$17:$BK$17)</f>
        <v>0</v>
      </c>
      <c r="Z36" s="423" t="n">
        <f aca="false">SUMPRODUCT(($D$4:$BK$4=Z$4+(FC_SUPUESTOS!$C$54))*$D$17:$BK$17)</f>
        <v>0</v>
      </c>
      <c r="AA36" s="423" t="n">
        <f aca="false">SUMPRODUCT(($D$4:$BK$4=AA$4+(FC_SUPUESTOS!$C$54))*$D$17:$BK$17)</f>
        <v>0</v>
      </c>
      <c r="AB36" s="423" t="n">
        <f aca="false">SUMPRODUCT(($D$4:$BK$4=AB$4+(FC_SUPUESTOS!$C$54))*$D$17:$BK$17)</f>
        <v>0</v>
      </c>
      <c r="AC36" s="423" t="n">
        <f aca="false">SUMPRODUCT(($D$4:$BK$4=AC$4+(FC_SUPUESTOS!$C$54))*$D$17:$BK$17)</f>
        <v>0</v>
      </c>
      <c r="AD36" s="423" t="n">
        <f aca="false">SUMPRODUCT(($D$4:$BK$4=AD$4+(FC_SUPUESTOS!$C$54))*$D$17:$BK$17)</f>
        <v>0</v>
      </c>
      <c r="AE36" s="423" t="n">
        <f aca="false">SUMPRODUCT(($D$4:$BK$4=AE$4+(FC_SUPUESTOS!$C$54))*$D$17:$BK$17)</f>
        <v>0</v>
      </c>
      <c r="AF36" s="423" t="n">
        <f aca="false">SUMPRODUCT(($D$4:$BK$4=AF$4+(FC_SUPUESTOS!$C$54))*$D$17:$BK$17)</f>
        <v>0</v>
      </c>
      <c r="AG36" s="423" t="n">
        <f aca="false">SUMPRODUCT(($D$4:$BK$4=AG$4+(FC_SUPUESTOS!$C$54))*$D$17:$BK$17)</f>
        <v>0</v>
      </c>
      <c r="AH36" s="423" t="n">
        <f aca="false">SUMPRODUCT(($D$4:$BK$4=AH$4+(FC_SUPUESTOS!$C$54))*$D$17:$BK$17)</f>
        <v>0</v>
      </c>
      <c r="AI36" s="423" t="n">
        <f aca="false">SUMPRODUCT(($D$4:$BK$4=AI$4+(FC_SUPUESTOS!$C$54))*$D$17:$BK$17)</f>
        <v>0</v>
      </c>
      <c r="AJ36" s="423" t="n">
        <f aca="false">SUMPRODUCT(($D$4:$BK$4=AJ$4+(FC_SUPUESTOS!$C$54))*$D$17:$BK$17)</f>
        <v>0</v>
      </c>
      <c r="AK36" s="423" t="n">
        <f aca="false">SUMPRODUCT(($D$4:$BK$4=AK$4+(FC_SUPUESTOS!$C$54))*$D$17:$BK$17)</f>
        <v>0</v>
      </c>
      <c r="AL36" s="423" t="n">
        <f aca="false">SUMPRODUCT(($D$4:$BK$4=AL$4+(FC_SUPUESTOS!$C$54))*$D$17:$BK$17)</f>
        <v>0</v>
      </c>
      <c r="AM36" s="423" t="n">
        <f aca="false">SUMPRODUCT(($D$4:$BK$4=AM$4+(FC_SUPUESTOS!$C$54))*$D$17:$BK$17)</f>
        <v>0</v>
      </c>
      <c r="AN36" s="423" t="n">
        <f aca="false">SUMPRODUCT(($D$4:$BK$4=AN$4+(FC_SUPUESTOS!$C$54))*$D$17:$BK$17)</f>
        <v>0</v>
      </c>
      <c r="AO36" s="423" t="n">
        <f aca="false">SUMPRODUCT(($D$4:$BK$4=AO$4+(FC_SUPUESTOS!$C$54))*$D$17:$BK$17)</f>
        <v>0</v>
      </c>
      <c r="AP36" s="423" t="n">
        <f aca="false">SUMPRODUCT(($D$4:$BK$4=AP$4+(FC_SUPUESTOS!$C$54))*$D$17:$BK$17)</f>
        <v>0</v>
      </c>
      <c r="AQ36" s="423" t="n">
        <f aca="false">SUMPRODUCT(($D$4:$BK$4=AQ$4+(FC_SUPUESTOS!$C$54))*$D$17:$BK$17)</f>
        <v>0</v>
      </c>
      <c r="AR36" s="423" t="n">
        <f aca="false">SUMPRODUCT(($D$4:$BK$4=AR$4+(FC_SUPUESTOS!$C$54))*$D$17:$BK$17)</f>
        <v>0</v>
      </c>
      <c r="AS36" s="423" t="n">
        <f aca="false">SUMPRODUCT(($D$4:$BK$4=AS$4+(FC_SUPUESTOS!$C$54))*$D$17:$BK$17)</f>
        <v>0</v>
      </c>
      <c r="AT36" s="423" t="n">
        <f aca="false">SUMPRODUCT(($D$4:$BK$4=AT$4+(FC_SUPUESTOS!$C$54))*$D$17:$BK$17)</f>
        <v>0</v>
      </c>
      <c r="AU36" s="423" t="n">
        <f aca="false">SUMPRODUCT(($D$4:$BK$4=AU$4+(FC_SUPUESTOS!$C$54))*$D$17:$BK$17)</f>
        <v>0</v>
      </c>
      <c r="AV36" s="423" t="n">
        <f aca="false">SUMPRODUCT(($D$4:$BK$4=AV$4+(FC_SUPUESTOS!$C$54))*$D$17:$BK$17)</f>
        <v>0</v>
      </c>
      <c r="AW36" s="423" t="n">
        <f aca="false">SUMPRODUCT(($D$4:$BK$4=AW$4+(FC_SUPUESTOS!$C$54))*$D$17:$BK$17)</f>
        <v>0</v>
      </c>
      <c r="AX36" s="423" t="n">
        <f aca="false">SUMPRODUCT(($D$4:$BK$4=AX$4+(FC_SUPUESTOS!$C$54))*$D$17:$BK$17)</f>
        <v>0</v>
      </c>
      <c r="AY36" s="423" t="n">
        <f aca="false">SUMPRODUCT(($D$4:$BK$4=AY$4+(FC_SUPUESTOS!$C$54))*$D$17:$BK$17)</f>
        <v>0</v>
      </c>
      <c r="AZ36" s="423" t="n">
        <f aca="false">SUMPRODUCT(($D$4:$BK$4=AZ$4+(FC_SUPUESTOS!$C$54))*$D$17:$BK$17)</f>
        <v>0</v>
      </c>
      <c r="BA36" s="423" t="n">
        <f aca="false">SUMPRODUCT(($D$4:$BK$4=BA$4+(FC_SUPUESTOS!$C$54))*$D$17:$BK$17)</f>
        <v>0</v>
      </c>
      <c r="BB36" s="423" t="n">
        <f aca="false">SUMPRODUCT(($D$4:$BK$4=BB$4+(FC_SUPUESTOS!$C$54))*$D$17:$BK$17)</f>
        <v>0</v>
      </c>
      <c r="BC36" s="423" t="n">
        <f aca="false">SUMPRODUCT(($D$4:$BK$4=BC$4+(FC_SUPUESTOS!$C$54))*$D$17:$BK$17)</f>
        <v>0</v>
      </c>
      <c r="BD36" s="423" t="n">
        <f aca="false">SUMPRODUCT(($D$4:$BK$4=BD$4+(FC_SUPUESTOS!$C$54))*$D$17:$BK$17)</f>
        <v>0</v>
      </c>
      <c r="BE36" s="423" t="n">
        <f aca="false">SUMPRODUCT(($D$4:$BK$4=BE$4+(FC_SUPUESTOS!$C$54))*$D$17:$BK$17)</f>
        <v>0</v>
      </c>
      <c r="BF36" s="423" t="n">
        <f aca="false">SUMPRODUCT(($D$4:$BK$4=BF$4+(FC_SUPUESTOS!$C$54))*$D$17:$BK$17)</f>
        <v>0</v>
      </c>
      <c r="BG36" s="423" t="n">
        <f aca="false">SUMPRODUCT(($D$4:$BK$4=BG$4+(FC_SUPUESTOS!$C$54))*$D$17:$BK$17)</f>
        <v>0</v>
      </c>
      <c r="BH36" s="423" t="n">
        <f aca="false">SUMPRODUCT(($D$4:$BK$4=BH$4+(FC_SUPUESTOS!$C$54))*$D$17:$BK$17)</f>
        <v>0</v>
      </c>
      <c r="BI36" s="423" t="n">
        <f aca="false">SUMPRODUCT(($D$4:$BK$4=BI$4+(FC_SUPUESTOS!$C$54))*$D$17:$BK$17)</f>
        <v>0</v>
      </c>
      <c r="BJ36" s="423" t="n">
        <f aca="false">SUMPRODUCT(($D$4:$BK$4=BJ$4+(FC_SUPUESTOS!$C$54))*$D$17:$BK$17)</f>
        <v>0</v>
      </c>
      <c r="BK36" s="423" t="n">
        <f aca="false">SUMPRODUCT(($D$4:$BK$4=BK$4+(FC_SUPUESTOS!$C$54))*$D$17:$BK$17)</f>
        <v>0</v>
      </c>
    </row>
    <row r="37" customFormat="false" ht="15" hidden="false" customHeight="true" outlineLevel="0" collapsed="false">
      <c r="B37" s="297" t="s">
        <v>2378</v>
      </c>
      <c r="D37" s="423" t="n">
        <f aca="false">MAX($D$21:$BK$21)-SUM($E$37:$BK$37)</f>
        <v>0</v>
      </c>
      <c r="E37" s="423" t="n">
        <f aca="false">SUMPRODUCT(($D$4:$BK$4=E$4+(FC_SUPUESTOS!$C$54))*$D$18:$BK$18)</f>
        <v>0</v>
      </c>
      <c r="F37" s="423" t="n">
        <f aca="false">SUMPRODUCT(($D$4:$BK$4=F$4+(FC_SUPUESTOS!$C$54))*$D$18:$BK$18)</f>
        <v>0</v>
      </c>
      <c r="G37" s="423" t="n">
        <f aca="false">SUMPRODUCT(($D$4:$BK$4=G$4+(FC_SUPUESTOS!$C$54))*$D$18:$BK$18)</f>
        <v>0</v>
      </c>
      <c r="H37" s="423" t="n">
        <f aca="false">SUMPRODUCT(($D$4:$BK$4=H$4+(FC_SUPUESTOS!$C$54))*$D$18:$BK$18)</f>
        <v>0</v>
      </c>
      <c r="I37" s="423" t="n">
        <f aca="false">SUMPRODUCT(($D$4:$BK$4=I$4+(FC_SUPUESTOS!$C$54))*$D$18:$BK$18)</f>
        <v>0</v>
      </c>
      <c r="J37" s="423" t="n">
        <f aca="false">SUMPRODUCT(($D$4:$BK$4=J$4+(FC_SUPUESTOS!$C$54))*$D$18:$BK$18)</f>
        <v>0</v>
      </c>
      <c r="K37" s="423" t="n">
        <f aca="false">SUMPRODUCT(($D$4:$BK$4=K$4+(FC_SUPUESTOS!$C$54))*$D$18:$BK$18)</f>
        <v>0</v>
      </c>
      <c r="L37" s="423" t="n">
        <f aca="false">SUMPRODUCT(($D$4:$BK$4=L$4+(FC_SUPUESTOS!$C$54))*$D$18:$BK$18)</f>
        <v>0</v>
      </c>
      <c r="M37" s="423" t="n">
        <f aca="false">SUMPRODUCT(($D$4:$BK$4=M$4+(FC_SUPUESTOS!$C$54))*$D$18:$BK$18)</f>
        <v>0</v>
      </c>
      <c r="N37" s="423" t="n">
        <f aca="false">SUMPRODUCT(($D$4:$BK$4=N$4+(FC_SUPUESTOS!$C$54))*$D$18:$BK$18)</f>
        <v>0</v>
      </c>
      <c r="O37" s="423" t="n">
        <f aca="false">SUMPRODUCT(($D$4:$BK$4=O$4+(FC_SUPUESTOS!$C$54))*$D$18:$BK$18)</f>
        <v>1</v>
      </c>
      <c r="P37" s="423" t="n">
        <f aca="false">SUMPRODUCT(($D$4:$BK$4=P$4+(FC_SUPUESTOS!$C$54))*$D$18:$BK$18)</f>
        <v>2</v>
      </c>
      <c r="Q37" s="423" t="n">
        <f aca="false">SUMPRODUCT(($D$4:$BK$4=Q$4+(FC_SUPUESTOS!$C$54))*$D$18:$BK$18)</f>
        <v>0</v>
      </c>
      <c r="R37" s="423" t="n">
        <f aca="false">SUMPRODUCT(($D$4:$BK$4=R$4+(FC_SUPUESTOS!$C$54))*$D$18:$BK$18)</f>
        <v>0</v>
      </c>
      <c r="S37" s="423" t="n">
        <f aca="false">SUMPRODUCT(($D$4:$BK$4=S$4+(FC_SUPUESTOS!$C$54))*$D$18:$BK$18)</f>
        <v>0</v>
      </c>
      <c r="T37" s="423" t="n">
        <f aca="false">SUMPRODUCT(($D$4:$BK$4=T$4+(FC_SUPUESTOS!$C$54))*$D$18:$BK$18)</f>
        <v>0</v>
      </c>
      <c r="U37" s="423" t="n">
        <f aca="false">SUMPRODUCT(($D$4:$BK$4=U$4+(FC_SUPUESTOS!$C$54))*$D$18:$BK$18)</f>
        <v>0</v>
      </c>
      <c r="V37" s="423" t="n">
        <f aca="false">SUMPRODUCT(($D$4:$BK$4=V$4+(FC_SUPUESTOS!$C$54))*$D$18:$BK$18)</f>
        <v>0</v>
      </c>
      <c r="W37" s="423" t="n">
        <f aca="false">SUMPRODUCT(($D$4:$BK$4=W$4+(FC_SUPUESTOS!$C$54))*$D$18:$BK$18)</f>
        <v>0</v>
      </c>
      <c r="X37" s="423" t="n">
        <f aca="false">SUMPRODUCT(($D$4:$BK$4=X$4+(FC_SUPUESTOS!$C$54))*$D$18:$BK$18)</f>
        <v>0</v>
      </c>
      <c r="Y37" s="423" t="n">
        <f aca="false">SUMPRODUCT(($D$4:$BK$4=Y$4+(FC_SUPUESTOS!$C$54))*$D$18:$BK$18)</f>
        <v>0</v>
      </c>
      <c r="Z37" s="423" t="n">
        <f aca="false">SUMPRODUCT(($D$4:$BK$4=Z$4+(FC_SUPUESTOS!$C$54))*$D$18:$BK$18)</f>
        <v>0</v>
      </c>
      <c r="AA37" s="423" t="n">
        <f aca="false">SUMPRODUCT(($D$4:$BK$4=AA$4+(FC_SUPUESTOS!$C$54))*$D$18:$BK$18)</f>
        <v>0</v>
      </c>
      <c r="AB37" s="423" t="n">
        <f aca="false">SUMPRODUCT(($D$4:$BK$4=AB$4+(FC_SUPUESTOS!$C$54))*$D$18:$BK$18)</f>
        <v>0</v>
      </c>
      <c r="AC37" s="423" t="n">
        <f aca="false">SUMPRODUCT(($D$4:$BK$4=AC$4+(FC_SUPUESTOS!$C$54))*$D$18:$BK$18)</f>
        <v>0</v>
      </c>
      <c r="AD37" s="423" t="n">
        <f aca="false">SUMPRODUCT(($D$4:$BK$4=AD$4+(FC_SUPUESTOS!$C$54))*$D$18:$BK$18)</f>
        <v>0</v>
      </c>
      <c r="AE37" s="423" t="n">
        <f aca="false">SUMPRODUCT(($D$4:$BK$4=AE$4+(FC_SUPUESTOS!$C$54))*$D$18:$BK$18)</f>
        <v>0</v>
      </c>
      <c r="AF37" s="423" t="n">
        <f aca="false">SUMPRODUCT(($D$4:$BK$4=AF$4+(FC_SUPUESTOS!$C$54))*$D$18:$BK$18)</f>
        <v>0</v>
      </c>
      <c r="AG37" s="423" t="n">
        <f aca="false">SUMPRODUCT(($D$4:$BK$4=AG$4+(FC_SUPUESTOS!$C$54))*$D$18:$BK$18)</f>
        <v>0</v>
      </c>
      <c r="AH37" s="423" t="n">
        <f aca="false">SUMPRODUCT(($D$4:$BK$4=AH$4+(FC_SUPUESTOS!$C$54))*$D$18:$BK$18)</f>
        <v>0</v>
      </c>
      <c r="AI37" s="423" t="n">
        <f aca="false">SUMPRODUCT(($D$4:$BK$4=AI$4+(FC_SUPUESTOS!$C$54))*$D$18:$BK$18)</f>
        <v>0</v>
      </c>
      <c r="AJ37" s="423" t="n">
        <f aca="false">SUMPRODUCT(($D$4:$BK$4=AJ$4+(FC_SUPUESTOS!$C$54))*$D$18:$BK$18)</f>
        <v>0</v>
      </c>
      <c r="AK37" s="423" t="n">
        <f aca="false">SUMPRODUCT(($D$4:$BK$4=AK$4+(FC_SUPUESTOS!$C$54))*$D$18:$BK$18)</f>
        <v>0</v>
      </c>
      <c r="AL37" s="423" t="n">
        <f aca="false">SUMPRODUCT(($D$4:$BK$4=AL$4+(FC_SUPUESTOS!$C$54))*$D$18:$BK$18)</f>
        <v>0</v>
      </c>
      <c r="AM37" s="423" t="n">
        <f aca="false">SUMPRODUCT(($D$4:$BK$4=AM$4+(FC_SUPUESTOS!$C$54))*$D$18:$BK$18)</f>
        <v>0</v>
      </c>
      <c r="AN37" s="423" t="n">
        <f aca="false">SUMPRODUCT(($D$4:$BK$4=AN$4+(FC_SUPUESTOS!$C$54))*$D$18:$BK$18)</f>
        <v>0</v>
      </c>
      <c r="AO37" s="423" t="n">
        <f aca="false">SUMPRODUCT(($D$4:$BK$4=AO$4+(FC_SUPUESTOS!$C$54))*$D$18:$BK$18)</f>
        <v>0</v>
      </c>
      <c r="AP37" s="423" t="n">
        <f aca="false">SUMPRODUCT(($D$4:$BK$4=AP$4+(FC_SUPUESTOS!$C$54))*$D$18:$BK$18)</f>
        <v>0</v>
      </c>
      <c r="AQ37" s="423" t="n">
        <f aca="false">SUMPRODUCT(($D$4:$BK$4=AQ$4+(FC_SUPUESTOS!$C$54))*$D$18:$BK$18)</f>
        <v>0</v>
      </c>
      <c r="AR37" s="423" t="n">
        <f aca="false">SUMPRODUCT(($D$4:$BK$4=AR$4+(FC_SUPUESTOS!$C$54))*$D$18:$BK$18)</f>
        <v>0</v>
      </c>
      <c r="AS37" s="423" t="n">
        <f aca="false">SUMPRODUCT(($D$4:$BK$4=AS$4+(FC_SUPUESTOS!$C$54))*$D$18:$BK$18)</f>
        <v>0</v>
      </c>
      <c r="AT37" s="423" t="n">
        <f aca="false">SUMPRODUCT(($D$4:$BK$4=AT$4+(FC_SUPUESTOS!$C$54))*$D$18:$BK$18)</f>
        <v>0</v>
      </c>
      <c r="AU37" s="423" t="n">
        <f aca="false">SUMPRODUCT(($D$4:$BK$4=AU$4+(FC_SUPUESTOS!$C$54))*$D$18:$BK$18)</f>
        <v>0</v>
      </c>
      <c r="AV37" s="423" t="n">
        <f aca="false">SUMPRODUCT(($D$4:$BK$4=AV$4+(FC_SUPUESTOS!$C$54))*$D$18:$BK$18)</f>
        <v>0</v>
      </c>
      <c r="AW37" s="423" t="n">
        <f aca="false">SUMPRODUCT(($D$4:$BK$4=AW$4+(FC_SUPUESTOS!$C$54))*$D$18:$BK$18)</f>
        <v>0</v>
      </c>
      <c r="AX37" s="423" t="n">
        <f aca="false">SUMPRODUCT(($D$4:$BK$4=AX$4+(FC_SUPUESTOS!$C$54))*$D$18:$BK$18)</f>
        <v>0</v>
      </c>
      <c r="AY37" s="423" t="n">
        <f aca="false">SUMPRODUCT(($D$4:$BK$4=AY$4+(FC_SUPUESTOS!$C$54))*$D$18:$BK$18)</f>
        <v>0</v>
      </c>
      <c r="AZ37" s="423" t="n">
        <f aca="false">SUMPRODUCT(($D$4:$BK$4=AZ$4+(FC_SUPUESTOS!$C$54))*$D$18:$BK$18)</f>
        <v>0</v>
      </c>
      <c r="BA37" s="423" t="n">
        <f aca="false">SUMPRODUCT(($D$4:$BK$4=BA$4+(FC_SUPUESTOS!$C$54))*$D$18:$BK$18)</f>
        <v>0</v>
      </c>
      <c r="BB37" s="423" t="n">
        <f aca="false">SUMPRODUCT(($D$4:$BK$4=BB$4+(FC_SUPUESTOS!$C$54))*$D$18:$BK$18)</f>
        <v>0</v>
      </c>
      <c r="BC37" s="423" t="n">
        <f aca="false">SUMPRODUCT(($D$4:$BK$4=BC$4+(FC_SUPUESTOS!$C$54))*$D$18:$BK$18)</f>
        <v>0</v>
      </c>
      <c r="BD37" s="423" t="n">
        <f aca="false">SUMPRODUCT(($D$4:$BK$4=BD$4+(FC_SUPUESTOS!$C$54))*$D$18:$BK$18)</f>
        <v>0</v>
      </c>
      <c r="BE37" s="423" t="n">
        <f aca="false">SUMPRODUCT(($D$4:$BK$4=BE$4+(FC_SUPUESTOS!$C$54))*$D$18:$BK$18)</f>
        <v>0</v>
      </c>
      <c r="BF37" s="423" t="n">
        <f aca="false">SUMPRODUCT(($D$4:$BK$4=BF$4+(FC_SUPUESTOS!$C$54))*$D$18:$BK$18)</f>
        <v>0</v>
      </c>
      <c r="BG37" s="423" t="n">
        <f aca="false">SUMPRODUCT(($D$4:$BK$4=BG$4+(FC_SUPUESTOS!$C$54))*$D$18:$BK$18)</f>
        <v>0</v>
      </c>
      <c r="BH37" s="423" t="n">
        <f aca="false">SUMPRODUCT(($D$4:$BK$4=BH$4+(FC_SUPUESTOS!$C$54))*$D$18:$BK$18)</f>
        <v>0</v>
      </c>
      <c r="BI37" s="423" t="n">
        <f aca="false">SUMPRODUCT(($D$4:$BK$4=BI$4+(FC_SUPUESTOS!$C$54))*$D$18:$BK$18)</f>
        <v>0</v>
      </c>
      <c r="BJ37" s="423" t="n">
        <f aca="false">SUMPRODUCT(($D$4:$BK$4=BJ$4+(FC_SUPUESTOS!$C$54))*$D$18:$BK$18)</f>
        <v>0</v>
      </c>
      <c r="BK37" s="423" t="n">
        <f aca="false">SUMPRODUCT(($D$4:$BK$4=BK$4+(FC_SUPUESTOS!$C$54))*$D$18:$BK$18)</f>
        <v>0</v>
      </c>
    </row>
    <row r="38" customFormat="false" ht="15" hidden="false" customHeight="true" outlineLevel="0" collapsed="false">
      <c r="B38" s="297" t="s">
        <v>2379</v>
      </c>
      <c r="D38" s="423" t="n">
        <f aca="false">MAX($D$20:$BK$20)-SUM($E$38:$BK$38)</f>
        <v>0</v>
      </c>
      <c r="E38" s="423" t="n">
        <f aca="false">SUMPRODUCT(($D$4:$BK$4=E$4+(FC_SUPUESTOS!$C$67))*$D$17:$BK$17)</f>
        <v>0</v>
      </c>
      <c r="F38" s="423" t="n">
        <f aca="false">SUMPRODUCT(($D$4:$BK$4=F$4+(FC_SUPUESTOS!$C$67))*$D$17:$BK$17)</f>
        <v>0</v>
      </c>
      <c r="G38" s="423" t="n">
        <f aca="false">SUMPRODUCT(($D$4:$BK$4=G$4+(FC_SUPUESTOS!$C$67))*$D$17:$BK$17)</f>
        <v>0</v>
      </c>
      <c r="H38" s="423" t="n">
        <f aca="false">SUMPRODUCT(($D$4:$BK$4=H$4+(FC_SUPUESTOS!$C$67))*$D$17:$BK$17)</f>
        <v>0</v>
      </c>
      <c r="I38" s="423" t="n">
        <f aca="false">SUMPRODUCT(($D$4:$BK$4=I$4+(FC_SUPUESTOS!$C$67))*$D$17:$BK$17)</f>
        <v>0</v>
      </c>
      <c r="J38" s="423" t="n">
        <f aca="false">SUMPRODUCT(($D$4:$BK$4=J$4+(FC_SUPUESTOS!$C$67))*$D$17:$BK$17)</f>
        <v>2</v>
      </c>
      <c r="K38" s="423" t="n">
        <f aca="false">SUMPRODUCT(($D$4:$BK$4=K$4+(FC_SUPUESTOS!$C$67))*$D$17:$BK$17)</f>
        <v>2</v>
      </c>
      <c r="L38" s="423" t="n">
        <f aca="false">SUMPRODUCT(($D$4:$BK$4=L$4+(FC_SUPUESTOS!$C$67))*$D$17:$BK$17)</f>
        <v>2</v>
      </c>
      <c r="M38" s="423" t="n">
        <f aca="false">SUMPRODUCT(($D$4:$BK$4=M$4+(FC_SUPUESTOS!$C$67))*$D$17:$BK$17)</f>
        <v>1</v>
      </c>
      <c r="N38" s="423" t="n">
        <f aca="false">SUMPRODUCT(($D$4:$BK$4=N$4+(FC_SUPUESTOS!$C$67))*$D$17:$BK$17)</f>
        <v>0</v>
      </c>
      <c r="O38" s="423" t="n">
        <f aca="false">SUMPRODUCT(($D$4:$BK$4=O$4+(FC_SUPUESTOS!$C$67))*$D$17:$BK$17)</f>
        <v>0</v>
      </c>
      <c r="P38" s="423" t="n">
        <f aca="false">SUMPRODUCT(($D$4:$BK$4=P$4+(FC_SUPUESTOS!$C$67))*$D$17:$BK$17)</f>
        <v>0</v>
      </c>
      <c r="Q38" s="423" t="n">
        <f aca="false">SUMPRODUCT(($D$4:$BK$4=Q$4+(FC_SUPUESTOS!$C$67))*$D$17:$BK$17)</f>
        <v>0</v>
      </c>
      <c r="R38" s="423" t="n">
        <f aca="false">SUMPRODUCT(($D$4:$BK$4=R$4+(FC_SUPUESTOS!$C$67))*$D$17:$BK$17)</f>
        <v>0</v>
      </c>
      <c r="S38" s="423" t="n">
        <f aca="false">SUMPRODUCT(($D$4:$BK$4=S$4+(FC_SUPUESTOS!$C$67))*$D$17:$BK$17)</f>
        <v>0</v>
      </c>
      <c r="T38" s="423" t="n">
        <f aca="false">SUMPRODUCT(($D$4:$BK$4=T$4+(FC_SUPUESTOS!$C$67))*$D$17:$BK$17)</f>
        <v>0</v>
      </c>
      <c r="U38" s="423" t="n">
        <f aca="false">SUMPRODUCT(($D$4:$BK$4=U$4+(FC_SUPUESTOS!$C$67))*$D$17:$BK$17)</f>
        <v>0</v>
      </c>
      <c r="V38" s="423" t="n">
        <f aca="false">SUMPRODUCT(($D$4:$BK$4=V$4+(FC_SUPUESTOS!$C$67))*$D$17:$BK$17)</f>
        <v>0</v>
      </c>
      <c r="W38" s="423" t="n">
        <f aca="false">SUMPRODUCT(($D$4:$BK$4=W$4+(FC_SUPUESTOS!$C$67))*$D$17:$BK$17)</f>
        <v>0</v>
      </c>
      <c r="X38" s="423" t="n">
        <f aca="false">SUMPRODUCT(($D$4:$BK$4=X$4+(FC_SUPUESTOS!$C$67))*$D$17:$BK$17)</f>
        <v>0</v>
      </c>
      <c r="Y38" s="423" t="n">
        <f aca="false">SUMPRODUCT(($D$4:$BK$4=Y$4+(FC_SUPUESTOS!$C$67))*$D$17:$BK$17)</f>
        <v>0</v>
      </c>
      <c r="Z38" s="423" t="n">
        <f aca="false">SUMPRODUCT(($D$4:$BK$4=Z$4+(FC_SUPUESTOS!$C$67))*$D$17:$BK$17)</f>
        <v>0</v>
      </c>
      <c r="AA38" s="423" t="n">
        <f aca="false">SUMPRODUCT(($D$4:$BK$4=AA$4+(FC_SUPUESTOS!$C$67))*$D$17:$BK$17)</f>
        <v>0</v>
      </c>
      <c r="AB38" s="423" t="n">
        <f aca="false">SUMPRODUCT(($D$4:$BK$4=AB$4+(FC_SUPUESTOS!$C$67))*$D$17:$BK$17)</f>
        <v>0</v>
      </c>
      <c r="AC38" s="423" t="n">
        <f aca="false">SUMPRODUCT(($D$4:$BK$4=AC$4+(FC_SUPUESTOS!$C$67))*$D$17:$BK$17)</f>
        <v>0</v>
      </c>
      <c r="AD38" s="423" t="n">
        <f aca="false">SUMPRODUCT(($D$4:$BK$4=AD$4+(FC_SUPUESTOS!$C$67))*$D$17:$BK$17)</f>
        <v>0</v>
      </c>
      <c r="AE38" s="423" t="n">
        <f aca="false">SUMPRODUCT(($D$4:$BK$4=AE$4+(FC_SUPUESTOS!$C$67))*$D$17:$BK$17)</f>
        <v>0</v>
      </c>
      <c r="AF38" s="423" t="n">
        <f aca="false">SUMPRODUCT(($D$4:$BK$4=AF$4+(FC_SUPUESTOS!$C$67))*$D$17:$BK$17)</f>
        <v>0</v>
      </c>
      <c r="AG38" s="423" t="n">
        <f aca="false">SUMPRODUCT(($D$4:$BK$4=AG$4+(FC_SUPUESTOS!$C$67))*$D$17:$BK$17)</f>
        <v>0</v>
      </c>
      <c r="AH38" s="423" t="n">
        <f aca="false">SUMPRODUCT(($D$4:$BK$4=AH$4+(FC_SUPUESTOS!$C$67))*$D$17:$BK$17)</f>
        <v>0</v>
      </c>
      <c r="AI38" s="423" t="n">
        <f aca="false">SUMPRODUCT(($D$4:$BK$4=AI$4+(FC_SUPUESTOS!$C$67))*$D$17:$BK$17)</f>
        <v>0</v>
      </c>
      <c r="AJ38" s="423" t="n">
        <f aca="false">SUMPRODUCT(($D$4:$BK$4=AJ$4+(FC_SUPUESTOS!$C$67))*$D$17:$BK$17)</f>
        <v>0</v>
      </c>
      <c r="AK38" s="423" t="n">
        <f aca="false">SUMPRODUCT(($D$4:$BK$4=AK$4+(FC_SUPUESTOS!$C$67))*$D$17:$BK$17)</f>
        <v>0</v>
      </c>
      <c r="AL38" s="423" t="n">
        <f aca="false">SUMPRODUCT(($D$4:$BK$4=AL$4+(FC_SUPUESTOS!$C$67))*$D$17:$BK$17)</f>
        <v>0</v>
      </c>
      <c r="AM38" s="423" t="n">
        <f aca="false">SUMPRODUCT(($D$4:$BK$4=AM$4+(FC_SUPUESTOS!$C$67))*$D$17:$BK$17)</f>
        <v>0</v>
      </c>
      <c r="AN38" s="423" t="n">
        <f aca="false">SUMPRODUCT(($D$4:$BK$4=AN$4+(FC_SUPUESTOS!$C$67))*$D$17:$BK$17)</f>
        <v>0</v>
      </c>
      <c r="AO38" s="423" t="n">
        <f aca="false">SUMPRODUCT(($D$4:$BK$4=AO$4+(FC_SUPUESTOS!$C$67))*$D$17:$BK$17)</f>
        <v>0</v>
      </c>
      <c r="AP38" s="423" t="n">
        <f aca="false">SUMPRODUCT(($D$4:$BK$4=AP$4+(FC_SUPUESTOS!$C$67))*$D$17:$BK$17)</f>
        <v>0</v>
      </c>
      <c r="AQ38" s="423" t="n">
        <f aca="false">SUMPRODUCT(($D$4:$BK$4=AQ$4+(FC_SUPUESTOS!$C$67))*$D$17:$BK$17)</f>
        <v>0</v>
      </c>
      <c r="AR38" s="423" t="n">
        <f aca="false">SUMPRODUCT(($D$4:$BK$4=AR$4+(FC_SUPUESTOS!$C$67))*$D$17:$BK$17)</f>
        <v>0</v>
      </c>
      <c r="AS38" s="423" t="n">
        <f aca="false">SUMPRODUCT(($D$4:$BK$4=AS$4+(FC_SUPUESTOS!$C$67))*$D$17:$BK$17)</f>
        <v>0</v>
      </c>
      <c r="AT38" s="423" t="n">
        <f aca="false">SUMPRODUCT(($D$4:$BK$4=AT$4+(FC_SUPUESTOS!$C$67))*$D$17:$BK$17)</f>
        <v>0</v>
      </c>
      <c r="AU38" s="423" t="n">
        <f aca="false">SUMPRODUCT(($D$4:$BK$4=AU$4+(FC_SUPUESTOS!$C$67))*$D$17:$BK$17)</f>
        <v>0</v>
      </c>
      <c r="AV38" s="423" t="n">
        <f aca="false">SUMPRODUCT(($D$4:$BK$4=AV$4+(FC_SUPUESTOS!$C$67))*$D$17:$BK$17)</f>
        <v>0</v>
      </c>
      <c r="AW38" s="423" t="n">
        <f aca="false">SUMPRODUCT(($D$4:$BK$4=AW$4+(FC_SUPUESTOS!$C$67))*$D$17:$BK$17)</f>
        <v>0</v>
      </c>
      <c r="AX38" s="423" t="n">
        <f aca="false">SUMPRODUCT(($D$4:$BK$4=AX$4+(FC_SUPUESTOS!$C$67))*$D$17:$BK$17)</f>
        <v>0</v>
      </c>
      <c r="AY38" s="423" t="n">
        <f aca="false">SUMPRODUCT(($D$4:$BK$4=AY$4+(FC_SUPUESTOS!$C$67))*$D$17:$BK$17)</f>
        <v>0</v>
      </c>
      <c r="AZ38" s="423" t="n">
        <f aca="false">SUMPRODUCT(($D$4:$BK$4=AZ$4+(FC_SUPUESTOS!$C$67))*$D$17:$BK$17)</f>
        <v>0</v>
      </c>
      <c r="BA38" s="423" t="n">
        <f aca="false">SUMPRODUCT(($D$4:$BK$4=BA$4+(FC_SUPUESTOS!$C$67))*$D$17:$BK$17)</f>
        <v>0</v>
      </c>
      <c r="BB38" s="423" t="n">
        <f aca="false">SUMPRODUCT(($D$4:$BK$4=BB$4+(FC_SUPUESTOS!$C$67))*$D$17:$BK$17)</f>
        <v>0</v>
      </c>
      <c r="BC38" s="423" t="n">
        <f aca="false">SUMPRODUCT(($D$4:$BK$4=BC$4+(FC_SUPUESTOS!$C$67))*$D$17:$BK$17)</f>
        <v>0</v>
      </c>
      <c r="BD38" s="423" t="n">
        <f aca="false">SUMPRODUCT(($D$4:$BK$4=BD$4+(FC_SUPUESTOS!$C$67))*$D$17:$BK$17)</f>
        <v>0</v>
      </c>
      <c r="BE38" s="423" t="n">
        <f aca="false">SUMPRODUCT(($D$4:$BK$4=BE$4+(FC_SUPUESTOS!$C$67))*$D$17:$BK$17)</f>
        <v>0</v>
      </c>
      <c r="BF38" s="423" t="n">
        <f aca="false">SUMPRODUCT(($D$4:$BK$4=BF$4+(FC_SUPUESTOS!$C$67))*$D$17:$BK$17)</f>
        <v>0</v>
      </c>
      <c r="BG38" s="423" t="n">
        <f aca="false">SUMPRODUCT(($D$4:$BK$4=BG$4+(FC_SUPUESTOS!$C$67))*$D$17:$BK$17)</f>
        <v>0</v>
      </c>
      <c r="BH38" s="423" t="n">
        <f aca="false">SUMPRODUCT(($D$4:$BK$4=BH$4+(FC_SUPUESTOS!$C$67))*$D$17:$BK$17)</f>
        <v>0</v>
      </c>
      <c r="BI38" s="423" t="n">
        <f aca="false">SUMPRODUCT(($D$4:$BK$4=BI$4+(FC_SUPUESTOS!$C$67))*$D$17:$BK$17)</f>
        <v>0</v>
      </c>
      <c r="BJ38" s="423" t="n">
        <f aca="false">SUMPRODUCT(($D$4:$BK$4=BJ$4+(FC_SUPUESTOS!$C$67))*$D$17:$BK$17)</f>
        <v>0</v>
      </c>
      <c r="BK38" s="423" t="n">
        <f aca="false">SUMPRODUCT(($D$4:$BK$4=BK$4+(FC_SUPUESTOS!$C$67))*$D$17:$BK$17)</f>
        <v>0</v>
      </c>
    </row>
    <row r="39" customFormat="false" ht="15" hidden="false" customHeight="true" outlineLevel="0" collapsed="false">
      <c r="B39" s="297" t="s">
        <v>2380</v>
      </c>
      <c r="D39" s="423" t="n">
        <f aca="false">MAX($D$21:$BK$21)-SUM($E$39:$BK$39)</f>
        <v>0</v>
      </c>
      <c r="E39" s="423" t="n">
        <f aca="false">SUMPRODUCT(($D$4:$BK$4=E$4+(FC_SUPUESTOS!$C$67))*$D$18:$BK$18)</f>
        <v>0</v>
      </c>
      <c r="F39" s="423" t="n">
        <f aca="false">SUMPRODUCT(($D$4:$BK$4=F$4+(FC_SUPUESTOS!$C$67))*$D$18:$BK$18)</f>
        <v>0</v>
      </c>
      <c r="G39" s="423" t="n">
        <f aca="false">SUMPRODUCT(($D$4:$BK$4=G$4+(FC_SUPUESTOS!$C$67))*$D$18:$BK$18)</f>
        <v>0</v>
      </c>
      <c r="H39" s="423" t="n">
        <f aca="false">SUMPRODUCT(($D$4:$BK$4=H$4+(FC_SUPUESTOS!$C$67))*$D$18:$BK$18)</f>
        <v>0</v>
      </c>
      <c r="I39" s="423" t="n">
        <f aca="false">SUMPRODUCT(($D$4:$BK$4=I$4+(FC_SUPUESTOS!$C$67))*$D$18:$BK$18)</f>
        <v>0</v>
      </c>
      <c r="J39" s="423" t="n">
        <f aca="false">SUMPRODUCT(($D$4:$BK$4=J$4+(FC_SUPUESTOS!$C$67))*$D$18:$BK$18)</f>
        <v>0</v>
      </c>
      <c r="K39" s="423" t="n">
        <f aca="false">SUMPRODUCT(($D$4:$BK$4=K$4+(FC_SUPUESTOS!$C$67))*$D$18:$BK$18)</f>
        <v>0</v>
      </c>
      <c r="L39" s="423" t="n">
        <f aca="false">SUMPRODUCT(($D$4:$BK$4=L$4+(FC_SUPUESTOS!$C$67))*$D$18:$BK$18)</f>
        <v>0</v>
      </c>
      <c r="M39" s="423" t="n">
        <f aca="false">SUMPRODUCT(($D$4:$BK$4=M$4+(FC_SUPUESTOS!$C$67))*$D$18:$BK$18)</f>
        <v>1</v>
      </c>
      <c r="N39" s="423" t="n">
        <f aca="false">SUMPRODUCT(($D$4:$BK$4=N$4+(FC_SUPUESTOS!$C$67))*$D$18:$BK$18)</f>
        <v>2</v>
      </c>
      <c r="O39" s="423" t="n">
        <f aca="false">SUMPRODUCT(($D$4:$BK$4=O$4+(FC_SUPUESTOS!$C$67))*$D$18:$BK$18)</f>
        <v>0</v>
      </c>
      <c r="P39" s="423" t="n">
        <f aca="false">SUMPRODUCT(($D$4:$BK$4=P$4+(FC_SUPUESTOS!$C$67))*$D$18:$BK$18)</f>
        <v>0</v>
      </c>
      <c r="Q39" s="423" t="n">
        <f aca="false">SUMPRODUCT(($D$4:$BK$4=Q$4+(FC_SUPUESTOS!$C$67))*$D$18:$BK$18)</f>
        <v>0</v>
      </c>
      <c r="R39" s="423" t="n">
        <f aca="false">SUMPRODUCT(($D$4:$BK$4=R$4+(FC_SUPUESTOS!$C$67))*$D$18:$BK$18)</f>
        <v>0</v>
      </c>
      <c r="S39" s="423" t="n">
        <f aca="false">SUMPRODUCT(($D$4:$BK$4=S$4+(FC_SUPUESTOS!$C$67))*$D$18:$BK$18)</f>
        <v>0</v>
      </c>
      <c r="T39" s="423" t="n">
        <f aca="false">SUMPRODUCT(($D$4:$BK$4=T$4+(FC_SUPUESTOS!$C$67))*$D$18:$BK$18)</f>
        <v>0</v>
      </c>
      <c r="U39" s="423" t="n">
        <f aca="false">SUMPRODUCT(($D$4:$BK$4=U$4+(FC_SUPUESTOS!$C$67))*$D$18:$BK$18)</f>
        <v>0</v>
      </c>
      <c r="V39" s="423" t="n">
        <f aca="false">SUMPRODUCT(($D$4:$BK$4=V$4+(FC_SUPUESTOS!$C$67))*$D$18:$BK$18)</f>
        <v>0</v>
      </c>
      <c r="W39" s="423" t="n">
        <f aca="false">SUMPRODUCT(($D$4:$BK$4=W$4+(FC_SUPUESTOS!$C$67))*$D$18:$BK$18)</f>
        <v>0</v>
      </c>
      <c r="X39" s="423" t="n">
        <f aca="false">SUMPRODUCT(($D$4:$BK$4=X$4+(FC_SUPUESTOS!$C$67))*$D$18:$BK$18)</f>
        <v>0</v>
      </c>
      <c r="Y39" s="423" t="n">
        <f aca="false">SUMPRODUCT(($D$4:$BK$4=Y$4+(FC_SUPUESTOS!$C$67))*$D$18:$BK$18)</f>
        <v>0</v>
      </c>
      <c r="Z39" s="423" t="n">
        <f aca="false">SUMPRODUCT(($D$4:$BK$4=Z$4+(FC_SUPUESTOS!$C$67))*$D$18:$BK$18)</f>
        <v>0</v>
      </c>
      <c r="AA39" s="423" t="n">
        <f aca="false">SUMPRODUCT(($D$4:$BK$4=AA$4+(FC_SUPUESTOS!$C$67))*$D$18:$BK$18)</f>
        <v>0</v>
      </c>
      <c r="AB39" s="423" t="n">
        <f aca="false">SUMPRODUCT(($D$4:$BK$4=AB$4+(FC_SUPUESTOS!$C$67))*$D$18:$BK$18)</f>
        <v>0</v>
      </c>
      <c r="AC39" s="423" t="n">
        <f aca="false">SUMPRODUCT(($D$4:$BK$4=AC$4+(FC_SUPUESTOS!$C$67))*$D$18:$BK$18)</f>
        <v>0</v>
      </c>
      <c r="AD39" s="423" t="n">
        <f aca="false">SUMPRODUCT(($D$4:$BK$4=AD$4+(FC_SUPUESTOS!$C$67))*$D$18:$BK$18)</f>
        <v>0</v>
      </c>
      <c r="AE39" s="423" t="n">
        <f aca="false">SUMPRODUCT(($D$4:$BK$4=AE$4+(FC_SUPUESTOS!$C$67))*$D$18:$BK$18)</f>
        <v>0</v>
      </c>
      <c r="AF39" s="423" t="n">
        <f aca="false">SUMPRODUCT(($D$4:$BK$4=AF$4+(FC_SUPUESTOS!$C$67))*$D$18:$BK$18)</f>
        <v>0</v>
      </c>
      <c r="AG39" s="423" t="n">
        <f aca="false">SUMPRODUCT(($D$4:$BK$4=AG$4+(FC_SUPUESTOS!$C$67))*$D$18:$BK$18)</f>
        <v>0</v>
      </c>
      <c r="AH39" s="423" t="n">
        <f aca="false">SUMPRODUCT(($D$4:$BK$4=AH$4+(FC_SUPUESTOS!$C$67))*$D$18:$BK$18)</f>
        <v>0</v>
      </c>
      <c r="AI39" s="423" t="n">
        <f aca="false">SUMPRODUCT(($D$4:$BK$4=AI$4+(FC_SUPUESTOS!$C$67))*$D$18:$BK$18)</f>
        <v>0</v>
      </c>
      <c r="AJ39" s="423" t="n">
        <f aca="false">SUMPRODUCT(($D$4:$BK$4=AJ$4+(FC_SUPUESTOS!$C$67))*$D$18:$BK$18)</f>
        <v>0</v>
      </c>
      <c r="AK39" s="423" t="n">
        <f aca="false">SUMPRODUCT(($D$4:$BK$4=AK$4+(FC_SUPUESTOS!$C$67))*$D$18:$BK$18)</f>
        <v>0</v>
      </c>
      <c r="AL39" s="423" t="n">
        <f aca="false">SUMPRODUCT(($D$4:$BK$4=AL$4+(FC_SUPUESTOS!$C$67))*$D$18:$BK$18)</f>
        <v>0</v>
      </c>
      <c r="AM39" s="423" t="n">
        <f aca="false">SUMPRODUCT(($D$4:$BK$4=AM$4+(FC_SUPUESTOS!$C$67))*$D$18:$BK$18)</f>
        <v>0</v>
      </c>
      <c r="AN39" s="423" t="n">
        <f aca="false">SUMPRODUCT(($D$4:$BK$4=AN$4+(FC_SUPUESTOS!$C$67))*$D$18:$BK$18)</f>
        <v>0</v>
      </c>
      <c r="AO39" s="423" t="n">
        <f aca="false">SUMPRODUCT(($D$4:$BK$4=AO$4+(FC_SUPUESTOS!$C$67))*$D$18:$BK$18)</f>
        <v>0</v>
      </c>
      <c r="AP39" s="423" t="n">
        <f aca="false">SUMPRODUCT(($D$4:$BK$4=AP$4+(FC_SUPUESTOS!$C$67))*$D$18:$BK$18)</f>
        <v>0</v>
      </c>
      <c r="AQ39" s="423" t="n">
        <f aca="false">SUMPRODUCT(($D$4:$BK$4=AQ$4+(FC_SUPUESTOS!$C$67))*$D$18:$BK$18)</f>
        <v>0</v>
      </c>
      <c r="AR39" s="423" t="n">
        <f aca="false">SUMPRODUCT(($D$4:$BK$4=AR$4+(FC_SUPUESTOS!$C$67))*$D$18:$BK$18)</f>
        <v>0</v>
      </c>
      <c r="AS39" s="423" t="n">
        <f aca="false">SUMPRODUCT(($D$4:$BK$4=AS$4+(FC_SUPUESTOS!$C$67))*$D$18:$BK$18)</f>
        <v>0</v>
      </c>
      <c r="AT39" s="423" t="n">
        <f aca="false">SUMPRODUCT(($D$4:$BK$4=AT$4+(FC_SUPUESTOS!$C$67))*$D$18:$BK$18)</f>
        <v>0</v>
      </c>
      <c r="AU39" s="423" t="n">
        <f aca="false">SUMPRODUCT(($D$4:$BK$4=AU$4+(FC_SUPUESTOS!$C$67))*$D$18:$BK$18)</f>
        <v>0</v>
      </c>
      <c r="AV39" s="423" t="n">
        <f aca="false">SUMPRODUCT(($D$4:$BK$4=AV$4+(FC_SUPUESTOS!$C$67))*$D$18:$BK$18)</f>
        <v>0</v>
      </c>
      <c r="AW39" s="423" t="n">
        <f aca="false">SUMPRODUCT(($D$4:$BK$4=AW$4+(FC_SUPUESTOS!$C$67))*$D$18:$BK$18)</f>
        <v>0</v>
      </c>
      <c r="AX39" s="423" t="n">
        <f aca="false">SUMPRODUCT(($D$4:$BK$4=AX$4+(FC_SUPUESTOS!$C$67))*$D$18:$BK$18)</f>
        <v>0</v>
      </c>
      <c r="AY39" s="423" t="n">
        <f aca="false">SUMPRODUCT(($D$4:$BK$4=AY$4+(FC_SUPUESTOS!$C$67))*$D$18:$BK$18)</f>
        <v>0</v>
      </c>
      <c r="AZ39" s="423" t="n">
        <f aca="false">SUMPRODUCT(($D$4:$BK$4=AZ$4+(FC_SUPUESTOS!$C$67))*$D$18:$BK$18)</f>
        <v>0</v>
      </c>
      <c r="BA39" s="423" t="n">
        <f aca="false">SUMPRODUCT(($D$4:$BK$4=BA$4+(FC_SUPUESTOS!$C$67))*$D$18:$BK$18)</f>
        <v>0</v>
      </c>
      <c r="BB39" s="423" t="n">
        <f aca="false">SUMPRODUCT(($D$4:$BK$4=BB$4+(FC_SUPUESTOS!$C$67))*$D$18:$BK$18)</f>
        <v>0</v>
      </c>
      <c r="BC39" s="423" t="n">
        <f aca="false">SUMPRODUCT(($D$4:$BK$4=BC$4+(FC_SUPUESTOS!$C$67))*$D$18:$BK$18)</f>
        <v>0</v>
      </c>
      <c r="BD39" s="423" t="n">
        <f aca="false">SUMPRODUCT(($D$4:$BK$4=BD$4+(FC_SUPUESTOS!$C$67))*$D$18:$BK$18)</f>
        <v>0</v>
      </c>
      <c r="BE39" s="423" t="n">
        <f aca="false">SUMPRODUCT(($D$4:$BK$4=BE$4+(FC_SUPUESTOS!$C$67))*$D$18:$BK$18)</f>
        <v>0</v>
      </c>
      <c r="BF39" s="423" t="n">
        <f aca="false">SUMPRODUCT(($D$4:$BK$4=BF$4+(FC_SUPUESTOS!$C$67))*$D$18:$BK$18)</f>
        <v>0</v>
      </c>
      <c r="BG39" s="423" t="n">
        <f aca="false">SUMPRODUCT(($D$4:$BK$4=BG$4+(FC_SUPUESTOS!$C$67))*$D$18:$BK$18)</f>
        <v>0</v>
      </c>
      <c r="BH39" s="423" t="n">
        <f aca="false">SUMPRODUCT(($D$4:$BK$4=BH$4+(FC_SUPUESTOS!$C$67))*$D$18:$BK$18)</f>
        <v>0</v>
      </c>
      <c r="BI39" s="423" t="n">
        <f aca="false">SUMPRODUCT(($D$4:$BK$4=BI$4+(FC_SUPUESTOS!$C$67))*$D$18:$BK$18)</f>
        <v>0</v>
      </c>
      <c r="BJ39" s="423" t="n">
        <f aca="false">SUMPRODUCT(($D$4:$BK$4=BJ$4+(FC_SUPUESTOS!$C$67))*$D$18:$BK$18)</f>
        <v>0</v>
      </c>
      <c r="BK39" s="423" t="n">
        <f aca="false">SUMPRODUCT(($D$4:$BK$4=BK$4+(FC_SUPUESTOS!$C$67))*$D$18:$BK$18)</f>
        <v>0</v>
      </c>
    </row>
    <row r="40" customFormat="false" ht="15" hidden="false" customHeight="true" outlineLevel="0" collapsed="false">
      <c r="B40" s="297" t="s">
        <v>2381</v>
      </c>
      <c r="D40" s="425" t="n">
        <f aca="false">SUMPRODUCT(($D$4:$BK$4&gt;D$4)*($D$4:$BK$4&lt;=D$4+FC_SUPUESTOS!$C$32)*$D$17:$BK$17)</f>
        <v>0</v>
      </c>
      <c r="E40" s="425" t="n">
        <f aca="false">SUMPRODUCT(($D$4:$BK$4&gt;E$4)*($D$4:$BK$4&lt;=E$4+FC_SUPUESTOS!$C$32)*$D$17:$BK$17)</f>
        <v>0</v>
      </c>
      <c r="F40" s="425" t="n">
        <f aca="false">SUMPRODUCT(($D$4:$BK$4&gt;F$4)*($D$4:$BK$4&lt;=F$4+FC_SUPUESTOS!$C$32)*$D$17:$BK$17)</f>
        <v>0</v>
      </c>
      <c r="G40" s="425" t="n">
        <f aca="false">SUMPRODUCT(($D$4:$BK$4&gt;G$4)*($D$4:$BK$4&lt;=G$4+FC_SUPUESTOS!$C$32)*$D$17:$BK$17)</f>
        <v>0</v>
      </c>
      <c r="H40" s="425" t="n">
        <f aca="false">SUMPRODUCT(($D$4:$BK$4&gt;H$4)*($D$4:$BK$4&lt;=H$4+FC_SUPUESTOS!$C$32)*$D$17:$BK$17)</f>
        <v>0</v>
      </c>
      <c r="I40" s="425" t="n">
        <f aca="false">SUMPRODUCT(($D$4:$BK$4&gt;I$4)*($D$4:$BK$4&lt;=I$4+FC_SUPUESTOS!$C$32)*$D$17:$BK$17)</f>
        <v>0</v>
      </c>
      <c r="J40" s="425" t="n">
        <f aca="false">SUMPRODUCT(($D$4:$BK$4&gt;J$4)*($D$4:$BK$4&lt;=J$4+FC_SUPUESTOS!$C$32)*$D$17:$BK$17)</f>
        <v>0</v>
      </c>
      <c r="K40" s="425" t="n">
        <f aca="false">SUMPRODUCT(($D$4:$BK$4&gt;K$4)*($D$4:$BK$4&lt;=K$4+FC_SUPUESTOS!$C$32)*$D$17:$BK$17)</f>
        <v>2</v>
      </c>
      <c r="L40" s="425" t="n">
        <f aca="false">SUMPRODUCT(($D$4:$BK$4&gt;L$4)*($D$4:$BK$4&lt;=L$4+FC_SUPUESTOS!$C$32)*$D$17:$BK$17)</f>
        <v>4</v>
      </c>
      <c r="M40" s="425" t="n">
        <f aca="false">SUMPRODUCT(($D$4:$BK$4&gt;M$4)*($D$4:$BK$4&lt;=M$4+FC_SUPUESTOS!$C$32)*$D$17:$BK$17)</f>
        <v>4</v>
      </c>
      <c r="N40" s="425" t="n">
        <f aca="false">SUMPRODUCT(($D$4:$BK$4&gt;N$4)*($D$4:$BK$4&lt;=N$4+FC_SUPUESTOS!$C$32)*$D$17:$BK$17)</f>
        <v>3</v>
      </c>
      <c r="O40" s="425" t="n">
        <f aca="false">SUMPRODUCT(($D$4:$BK$4&gt;O$4)*($D$4:$BK$4&lt;=O$4+FC_SUPUESTOS!$C$32)*$D$17:$BK$17)</f>
        <v>1</v>
      </c>
      <c r="P40" s="425" t="n">
        <f aca="false">SUMPRODUCT(($D$4:$BK$4&gt;P$4)*($D$4:$BK$4&lt;=P$4+FC_SUPUESTOS!$C$32)*$D$17:$BK$17)</f>
        <v>0</v>
      </c>
      <c r="Q40" s="425" t="n">
        <f aca="false">SUMPRODUCT(($D$4:$BK$4&gt;Q$4)*($D$4:$BK$4&lt;=Q$4+FC_SUPUESTOS!$C$32)*$D$17:$BK$17)</f>
        <v>0</v>
      </c>
      <c r="R40" s="425" t="n">
        <f aca="false">SUMPRODUCT(($D$4:$BK$4&gt;R$4)*($D$4:$BK$4&lt;=R$4+FC_SUPUESTOS!$C$32)*$D$17:$BK$17)</f>
        <v>0</v>
      </c>
      <c r="S40" s="425" t="n">
        <f aca="false">SUMPRODUCT(($D$4:$BK$4&gt;S$4)*($D$4:$BK$4&lt;=S$4+FC_SUPUESTOS!$C$32)*$D$17:$BK$17)</f>
        <v>0</v>
      </c>
      <c r="T40" s="425" t="n">
        <f aca="false">SUMPRODUCT(($D$4:$BK$4&gt;T$4)*($D$4:$BK$4&lt;=T$4+FC_SUPUESTOS!$C$32)*$D$17:$BK$17)</f>
        <v>0</v>
      </c>
      <c r="U40" s="425" t="n">
        <f aca="false">SUMPRODUCT(($D$4:$BK$4&gt;U$4)*($D$4:$BK$4&lt;=U$4+FC_SUPUESTOS!$C$32)*$D$17:$BK$17)</f>
        <v>0</v>
      </c>
      <c r="V40" s="425" t="n">
        <f aca="false">SUMPRODUCT(($D$4:$BK$4&gt;V$4)*($D$4:$BK$4&lt;=V$4+FC_SUPUESTOS!$C$32)*$D$17:$BK$17)</f>
        <v>0</v>
      </c>
      <c r="W40" s="425" t="n">
        <f aca="false">SUMPRODUCT(($D$4:$BK$4&gt;W$4)*($D$4:$BK$4&lt;=W$4+FC_SUPUESTOS!$C$32)*$D$17:$BK$17)</f>
        <v>0</v>
      </c>
      <c r="X40" s="425" t="n">
        <f aca="false">SUMPRODUCT(($D$4:$BK$4&gt;X$4)*($D$4:$BK$4&lt;=X$4+FC_SUPUESTOS!$C$32)*$D$17:$BK$17)</f>
        <v>0</v>
      </c>
      <c r="Y40" s="425" t="n">
        <f aca="false">SUMPRODUCT(($D$4:$BK$4&gt;Y$4)*($D$4:$BK$4&lt;=Y$4+FC_SUPUESTOS!$C$32)*$D$17:$BK$17)</f>
        <v>0</v>
      </c>
      <c r="Z40" s="425" t="n">
        <f aca="false">SUMPRODUCT(($D$4:$BK$4&gt;Z$4)*($D$4:$BK$4&lt;=Z$4+FC_SUPUESTOS!$C$32)*$D$17:$BK$17)</f>
        <v>0</v>
      </c>
      <c r="AA40" s="425" t="n">
        <f aca="false">SUMPRODUCT(($D$4:$BK$4&gt;AA$4)*($D$4:$BK$4&lt;=AA$4+FC_SUPUESTOS!$C$32)*$D$17:$BK$17)</f>
        <v>0</v>
      </c>
      <c r="AB40" s="425" t="n">
        <f aca="false">SUMPRODUCT(($D$4:$BK$4&gt;AB$4)*($D$4:$BK$4&lt;=AB$4+FC_SUPUESTOS!$C$32)*$D$17:$BK$17)</f>
        <v>0</v>
      </c>
      <c r="AC40" s="425" t="n">
        <f aca="false">SUMPRODUCT(($D$4:$BK$4&gt;AC$4)*($D$4:$BK$4&lt;=AC$4+FC_SUPUESTOS!$C$32)*$D$17:$BK$17)</f>
        <v>0</v>
      </c>
      <c r="AD40" s="425" t="n">
        <f aca="false">SUMPRODUCT(($D$4:$BK$4&gt;AD$4)*($D$4:$BK$4&lt;=AD$4+FC_SUPUESTOS!$C$32)*$D$17:$BK$17)</f>
        <v>0</v>
      </c>
      <c r="AE40" s="425" t="n">
        <f aca="false">SUMPRODUCT(($D$4:$BK$4&gt;AE$4)*($D$4:$BK$4&lt;=AE$4+FC_SUPUESTOS!$C$32)*$D$17:$BK$17)</f>
        <v>0</v>
      </c>
      <c r="AF40" s="425" t="n">
        <f aca="false">SUMPRODUCT(($D$4:$BK$4&gt;AF$4)*($D$4:$BK$4&lt;=AF$4+FC_SUPUESTOS!$C$32)*$D$17:$BK$17)</f>
        <v>0</v>
      </c>
      <c r="AG40" s="425" t="n">
        <f aca="false">SUMPRODUCT(($D$4:$BK$4&gt;AG$4)*($D$4:$BK$4&lt;=AG$4+FC_SUPUESTOS!$C$32)*$D$17:$BK$17)</f>
        <v>0</v>
      </c>
      <c r="AH40" s="425" t="n">
        <f aca="false">SUMPRODUCT(($D$4:$BK$4&gt;AH$4)*($D$4:$BK$4&lt;=AH$4+FC_SUPUESTOS!$C$32)*$D$17:$BK$17)</f>
        <v>0</v>
      </c>
      <c r="AI40" s="425" t="n">
        <f aca="false">SUMPRODUCT(($D$4:$BK$4&gt;AI$4)*($D$4:$BK$4&lt;=AI$4+FC_SUPUESTOS!$C$32)*$D$17:$BK$17)</f>
        <v>0</v>
      </c>
      <c r="AJ40" s="425" t="n">
        <f aca="false">SUMPRODUCT(($D$4:$BK$4&gt;AJ$4)*($D$4:$BK$4&lt;=AJ$4+FC_SUPUESTOS!$C$32)*$D$17:$BK$17)</f>
        <v>0</v>
      </c>
      <c r="AK40" s="425" t="n">
        <f aca="false">SUMPRODUCT(($D$4:$BK$4&gt;AK$4)*($D$4:$BK$4&lt;=AK$4+FC_SUPUESTOS!$C$32)*$D$17:$BK$17)</f>
        <v>0</v>
      </c>
      <c r="AL40" s="425" t="n">
        <f aca="false">SUMPRODUCT(($D$4:$BK$4&gt;AL$4)*($D$4:$BK$4&lt;=AL$4+FC_SUPUESTOS!$C$32)*$D$17:$BK$17)</f>
        <v>0</v>
      </c>
      <c r="AM40" s="425" t="n">
        <f aca="false">SUMPRODUCT(($D$4:$BK$4&gt;AM$4)*($D$4:$BK$4&lt;=AM$4+FC_SUPUESTOS!$C$32)*$D$17:$BK$17)</f>
        <v>0</v>
      </c>
      <c r="AN40" s="425" t="n">
        <f aca="false">SUMPRODUCT(($D$4:$BK$4&gt;AN$4)*($D$4:$BK$4&lt;=AN$4+FC_SUPUESTOS!$C$32)*$D$17:$BK$17)</f>
        <v>0</v>
      </c>
      <c r="AO40" s="425" t="n">
        <f aca="false">SUMPRODUCT(($D$4:$BK$4&gt;AO$4)*($D$4:$BK$4&lt;=AO$4+FC_SUPUESTOS!$C$32)*$D$17:$BK$17)</f>
        <v>0</v>
      </c>
      <c r="AP40" s="425" t="n">
        <f aca="false">SUMPRODUCT(($D$4:$BK$4&gt;AP$4)*($D$4:$BK$4&lt;=AP$4+FC_SUPUESTOS!$C$32)*$D$17:$BK$17)</f>
        <v>0</v>
      </c>
      <c r="AQ40" s="425" t="n">
        <f aca="false">SUMPRODUCT(($D$4:$BK$4&gt;AQ$4)*($D$4:$BK$4&lt;=AQ$4+FC_SUPUESTOS!$C$32)*$D$17:$BK$17)</f>
        <v>0</v>
      </c>
      <c r="AR40" s="425" t="n">
        <f aca="false">SUMPRODUCT(($D$4:$BK$4&gt;AR$4)*($D$4:$BK$4&lt;=AR$4+FC_SUPUESTOS!$C$32)*$D$17:$BK$17)</f>
        <v>0</v>
      </c>
      <c r="AS40" s="425" t="n">
        <f aca="false">SUMPRODUCT(($D$4:$BK$4&gt;AS$4)*($D$4:$BK$4&lt;=AS$4+FC_SUPUESTOS!$C$32)*$D$17:$BK$17)</f>
        <v>0</v>
      </c>
      <c r="AT40" s="425" t="n">
        <f aca="false">SUMPRODUCT(($D$4:$BK$4&gt;AT$4)*($D$4:$BK$4&lt;=AT$4+FC_SUPUESTOS!$C$32)*$D$17:$BK$17)</f>
        <v>0</v>
      </c>
      <c r="AU40" s="425" t="n">
        <f aca="false">SUMPRODUCT(($D$4:$BK$4&gt;AU$4)*($D$4:$BK$4&lt;=AU$4+FC_SUPUESTOS!$C$32)*$D$17:$BK$17)</f>
        <v>0</v>
      </c>
      <c r="AV40" s="425" t="n">
        <f aca="false">SUMPRODUCT(($D$4:$BK$4&gt;AV$4)*($D$4:$BK$4&lt;=AV$4+FC_SUPUESTOS!$C$32)*$D$17:$BK$17)</f>
        <v>0</v>
      </c>
      <c r="AW40" s="425" t="n">
        <f aca="false">SUMPRODUCT(($D$4:$BK$4&gt;AW$4)*($D$4:$BK$4&lt;=AW$4+FC_SUPUESTOS!$C$32)*$D$17:$BK$17)</f>
        <v>0</v>
      </c>
      <c r="AX40" s="425" t="n">
        <f aca="false">SUMPRODUCT(($D$4:$BK$4&gt;AX$4)*($D$4:$BK$4&lt;=AX$4+FC_SUPUESTOS!$C$32)*$D$17:$BK$17)</f>
        <v>0</v>
      </c>
      <c r="AY40" s="425" t="n">
        <f aca="false">SUMPRODUCT(($D$4:$BK$4&gt;AY$4)*($D$4:$BK$4&lt;=AY$4+FC_SUPUESTOS!$C$32)*$D$17:$BK$17)</f>
        <v>0</v>
      </c>
      <c r="AZ40" s="425" t="n">
        <f aca="false">SUMPRODUCT(($D$4:$BK$4&gt;AZ$4)*($D$4:$BK$4&lt;=AZ$4+FC_SUPUESTOS!$C$32)*$D$17:$BK$17)</f>
        <v>0</v>
      </c>
      <c r="BA40" s="425" t="n">
        <f aca="false">SUMPRODUCT(($D$4:$BK$4&gt;BA$4)*($D$4:$BK$4&lt;=BA$4+FC_SUPUESTOS!$C$32)*$D$17:$BK$17)</f>
        <v>0</v>
      </c>
      <c r="BB40" s="425" t="n">
        <f aca="false">SUMPRODUCT(($D$4:$BK$4&gt;BB$4)*($D$4:$BK$4&lt;=BB$4+FC_SUPUESTOS!$C$32)*$D$17:$BK$17)</f>
        <v>0</v>
      </c>
      <c r="BC40" s="425" t="n">
        <f aca="false">SUMPRODUCT(($D$4:$BK$4&gt;BC$4)*($D$4:$BK$4&lt;=BC$4+FC_SUPUESTOS!$C$32)*$D$17:$BK$17)</f>
        <v>0</v>
      </c>
      <c r="BD40" s="425" t="n">
        <f aca="false">SUMPRODUCT(($D$4:$BK$4&gt;BD$4)*($D$4:$BK$4&lt;=BD$4+FC_SUPUESTOS!$C$32)*$D$17:$BK$17)</f>
        <v>0</v>
      </c>
      <c r="BE40" s="425" t="n">
        <f aca="false">SUMPRODUCT(($D$4:$BK$4&gt;BE$4)*($D$4:$BK$4&lt;=BE$4+FC_SUPUESTOS!$C$32)*$D$17:$BK$17)</f>
        <v>0</v>
      </c>
      <c r="BF40" s="425" t="n">
        <f aca="false">SUMPRODUCT(($D$4:$BK$4&gt;BF$4)*($D$4:$BK$4&lt;=BF$4+FC_SUPUESTOS!$C$32)*$D$17:$BK$17)</f>
        <v>0</v>
      </c>
      <c r="BG40" s="425" t="n">
        <f aca="false">SUMPRODUCT(($D$4:$BK$4&gt;BG$4)*($D$4:$BK$4&lt;=BG$4+FC_SUPUESTOS!$C$32)*$D$17:$BK$17)</f>
        <v>0</v>
      </c>
      <c r="BH40" s="425" t="n">
        <f aca="false">SUMPRODUCT(($D$4:$BK$4&gt;BH$4)*($D$4:$BK$4&lt;=BH$4+FC_SUPUESTOS!$C$32)*$D$17:$BK$17)</f>
        <v>0</v>
      </c>
      <c r="BI40" s="425" t="n">
        <f aca="false">SUMPRODUCT(($D$4:$BK$4&gt;BI$4)*($D$4:$BK$4&lt;=BI$4+FC_SUPUESTOS!$C$32)*$D$17:$BK$17)</f>
        <v>0</v>
      </c>
      <c r="BJ40" s="425" t="n">
        <f aca="false">SUMPRODUCT(($D$4:$BK$4&gt;BJ$4)*($D$4:$BK$4&lt;=BJ$4+FC_SUPUESTOS!$C$32)*$D$17:$BK$17)</f>
        <v>0</v>
      </c>
      <c r="BK40" s="425" t="n">
        <f aca="false">SUMPRODUCT(($D$4:$BK$4&gt;BK$4)*($D$4:$BK$4&lt;=BK$4+FC_SUPUESTOS!$C$32)*$D$17:$BK$17)</f>
        <v>0</v>
      </c>
    </row>
    <row r="41" customFormat="false" ht="15" hidden="false" customHeight="true" outlineLevel="0" collapsed="false">
      <c r="B41" s="297" t="s">
        <v>2382</v>
      </c>
      <c r="D41" s="425" t="n">
        <f aca="false">SUMPRODUCT(($D$4:$BK$4&gt;D$4)*($D$4:$BK$4&lt;=D$4+FC_SUPUESTOS!$C$32)*$D$18:$BK$18)</f>
        <v>0</v>
      </c>
      <c r="E41" s="425" t="n">
        <f aca="false">SUMPRODUCT(($D$4:$BK$4&gt;E$4)*($D$4:$BK$4&lt;=E$4+FC_SUPUESTOS!$C$32)*$D$18:$BK$18)</f>
        <v>0</v>
      </c>
      <c r="F41" s="425" t="n">
        <f aca="false">SUMPRODUCT(($D$4:$BK$4&gt;F$4)*($D$4:$BK$4&lt;=F$4+FC_SUPUESTOS!$C$32)*$D$18:$BK$18)</f>
        <v>0</v>
      </c>
      <c r="G41" s="425" t="n">
        <f aca="false">SUMPRODUCT(($D$4:$BK$4&gt;G$4)*($D$4:$BK$4&lt;=G$4+FC_SUPUESTOS!$C$32)*$D$18:$BK$18)</f>
        <v>0</v>
      </c>
      <c r="H41" s="425" t="n">
        <f aca="false">SUMPRODUCT(($D$4:$BK$4&gt;H$4)*($D$4:$BK$4&lt;=H$4+FC_SUPUESTOS!$C$32)*$D$18:$BK$18)</f>
        <v>0</v>
      </c>
      <c r="I41" s="425" t="n">
        <f aca="false">SUMPRODUCT(($D$4:$BK$4&gt;I$4)*($D$4:$BK$4&lt;=I$4+FC_SUPUESTOS!$C$32)*$D$18:$BK$18)</f>
        <v>0</v>
      </c>
      <c r="J41" s="425" t="n">
        <f aca="false">SUMPRODUCT(($D$4:$BK$4&gt;J$4)*($D$4:$BK$4&lt;=J$4+FC_SUPUESTOS!$C$32)*$D$18:$BK$18)</f>
        <v>0</v>
      </c>
      <c r="K41" s="425" t="n">
        <f aca="false">SUMPRODUCT(($D$4:$BK$4&gt;K$4)*($D$4:$BK$4&lt;=K$4+FC_SUPUESTOS!$C$32)*$D$18:$BK$18)</f>
        <v>0</v>
      </c>
      <c r="L41" s="425" t="n">
        <f aca="false">SUMPRODUCT(($D$4:$BK$4&gt;L$4)*($D$4:$BK$4&lt;=L$4+FC_SUPUESTOS!$C$32)*$D$18:$BK$18)</f>
        <v>0</v>
      </c>
      <c r="M41" s="425" t="n">
        <f aca="false">SUMPRODUCT(($D$4:$BK$4&gt;M$4)*($D$4:$BK$4&lt;=M$4+FC_SUPUESTOS!$C$32)*$D$18:$BK$18)</f>
        <v>0</v>
      </c>
      <c r="N41" s="425" t="n">
        <f aca="false">SUMPRODUCT(($D$4:$BK$4&gt;N$4)*($D$4:$BK$4&lt;=N$4+FC_SUPUESTOS!$C$32)*$D$18:$BK$18)</f>
        <v>1</v>
      </c>
      <c r="O41" s="425" t="n">
        <f aca="false">SUMPRODUCT(($D$4:$BK$4&gt;O$4)*($D$4:$BK$4&lt;=O$4+FC_SUPUESTOS!$C$32)*$D$18:$BK$18)</f>
        <v>3</v>
      </c>
      <c r="P41" s="425" t="n">
        <f aca="false">SUMPRODUCT(($D$4:$BK$4&gt;P$4)*($D$4:$BK$4&lt;=P$4+FC_SUPUESTOS!$C$32)*$D$18:$BK$18)</f>
        <v>2</v>
      </c>
      <c r="Q41" s="425" t="n">
        <f aca="false">SUMPRODUCT(($D$4:$BK$4&gt;Q$4)*($D$4:$BK$4&lt;=Q$4+FC_SUPUESTOS!$C$32)*$D$18:$BK$18)</f>
        <v>0</v>
      </c>
      <c r="R41" s="425" t="n">
        <f aca="false">SUMPRODUCT(($D$4:$BK$4&gt;R$4)*($D$4:$BK$4&lt;=R$4+FC_SUPUESTOS!$C$32)*$D$18:$BK$18)</f>
        <v>0</v>
      </c>
      <c r="S41" s="425" t="n">
        <f aca="false">SUMPRODUCT(($D$4:$BK$4&gt;S$4)*($D$4:$BK$4&lt;=S$4+FC_SUPUESTOS!$C$32)*$D$18:$BK$18)</f>
        <v>0</v>
      </c>
      <c r="T41" s="425" t="n">
        <f aca="false">SUMPRODUCT(($D$4:$BK$4&gt;T$4)*($D$4:$BK$4&lt;=T$4+FC_SUPUESTOS!$C$32)*$D$18:$BK$18)</f>
        <v>0</v>
      </c>
      <c r="U41" s="425" t="n">
        <f aca="false">SUMPRODUCT(($D$4:$BK$4&gt;U$4)*($D$4:$BK$4&lt;=U$4+FC_SUPUESTOS!$C$32)*$D$18:$BK$18)</f>
        <v>0</v>
      </c>
      <c r="V41" s="425" t="n">
        <f aca="false">SUMPRODUCT(($D$4:$BK$4&gt;V$4)*($D$4:$BK$4&lt;=V$4+FC_SUPUESTOS!$C$32)*$D$18:$BK$18)</f>
        <v>0</v>
      </c>
      <c r="W41" s="425" t="n">
        <f aca="false">SUMPRODUCT(($D$4:$BK$4&gt;W$4)*($D$4:$BK$4&lt;=W$4+FC_SUPUESTOS!$C$32)*$D$18:$BK$18)</f>
        <v>0</v>
      </c>
      <c r="X41" s="425" t="n">
        <f aca="false">SUMPRODUCT(($D$4:$BK$4&gt;X$4)*($D$4:$BK$4&lt;=X$4+FC_SUPUESTOS!$C$32)*$D$18:$BK$18)</f>
        <v>0</v>
      </c>
      <c r="Y41" s="425" t="n">
        <f aca="false">SUMPRODUCT(($D$4:$BK$4&gt;Y$4)*($D$4:$BK$4&lt;=Y$4+FC_SUPUESTOS!$C$32)*$D$18:$BK$18)</f>
        <v>0</v>
      </c>
      <c r="Z41" s="425" t="n">
        <f aca="false">SUMPRODUCT(($D$4:$BK$4&gt;Z$4)*($D$4:$BK$4&lt;=Z$4+FC_SUPUESTOS!$C$32)*$D$18:$BK$18)</f>
        <v>0</v>
      </c>
      <c r="AA41" s="425" t="n">
        <f aca="false">SUMPRODUCT(($D$4:$BK$4&gt;AA$4)*($D$4:$BK$4&lt;=AA$4+FC_SUPUESTOS!$C$32)*$D$18:$BK$18)</f>
        <v>0</v>
      </c>
      <c r="AB41" s="425" t="n">
        <f aca="false">SUMPRODUCT(($D$4:$BK$4&gt;AB$4)*($D$4:$BK$4&lt;=AB$4+FC_SUPUESTOS!$C$32)*$D$18:$BK$18)</f>
        <v>0</v>
      </c>
      <c r="AC41" s="425" t="n">
        <f aca="false">SUMPRODUCT(($D$4:$BK$4&gt;AC$4)*($D$4:$BK$4&lt;=AC$4+FC_SUPUESTOS!$C$32)*$D$18:$BK$18)</f>
        <v>0</v>
      </c>
      <c r="AD41" s="425" t="n">
        <f aca="false">SUMPRODUCT(($D$4:$BK$4&gt;AD$4)*($D$4:$BK$4&lt;=AD$4+FC_SUPUESTOS!$C$32)*$D$18:$BK$18)</f>
        <v>0</v>
      </c>
      <c r="AE41" s="425" t="n">
        <f aca="false">SUMPRODUCT(($D$4:$BK$4&gt;AE$4)*($D$4:$BK$4&lt;=AE$4+FC_SUPUESTOS!$C$32)*$D$18:$BK$18)</f>
        <v>0</v>
      </c>
      <c r="AF41" s="425" t="n">
        <f aca="false">SUMPRODUCT(($D$4:$BK$4&gt;AF$4)*($D$4:$BK$4&lt;=AF$4+FC_SUPUESTOS!$C$32)*$D$18:$BK$18)</f>
        <v>0</v>
      </c>
      <c r="AG41" s="425" t="n">
        <f aca="false">SUMPRODUCT(($D$4:$BK$4&gt;AG$4)*($D$4:$BK$4&lt;=AG$4+FC_SUPUESTOS!$C$32)*$D$18:$BK$18)</f>
        <v>0</v>
      </c>
      <c r="AH41" s="425" t="n">
        <f aca="false">SUMPRODUCT(($D$4:$BK$4&gt;AH$4)*($D$4:$BK$4&lt;=AH$4+FC_SUPUESTOS!$C$32)*$D$18:$BK$18)</f>
        <v>0</v>
      </c>
      <c r="AI41" s="425" t="n">
        <f aca="false">SUMPRODUCT(($D$4:$BK$4&gt;AI$4)*($D$4:$BK$4&lt;=AI$4+FC_SUPUESTOS!$C$32)*$D$18:$BK$18)</f>
        <v>0</v>
      </c>
      <c r="AJ41" s="425" t="n">
        <f aca="false">SUMPRODUCT(($D$4:$BK$4&gt;AJ$4)*($D$4:$BK$4&lt;=AJ$4+FC_SUPUESTOS!$C$32)*$D$18:$BK$18)</f>
        <v>0</v>
      </c>
      <c r="AK41" s="425" t="n">
        <f aca="false">SUMPRODUCT(($D$4:$BK$4&gt;AK$4)*($D$4:$BK$4&lt;=AK$4+FC_SUPUESTOS!$C$32)*$D$18:$BK$18)</f>
        <v>0</v>
      </c>
      <c r="AL41" s="425" t="n">
        <f aca="false">SUMPRODUCT(($D$4:$BK$4&gt;AL$4)*($D$4:$BK$4&lt;=AL$4+FC_SUPUESTOS!$C$32)*$D$18:$BK$18)</f>
        <v>0</v>
      </c>
      <c r="AM41" s="425" t="n">
        <f aca="false">SUMPRODUCT(($D$4:$BK$4&gt;AM$4)*($D$4:$BK$4&lt;=AM$4+FC_SUPUESTOS!$C$32)*$D$18:$BK$18)</f>
        <v>0</v>
      </c>
      <c r="AN41" s="425" t="n">
        <f aca="false">SUMPRODUCT(($D$4:$BK$4&gt;AN$4)*($D$4:$BK$4&lt;=AN$4+FC_SUPUESTOS!$C$32)*$D$18:$BK$18)</f>
        <v>0</v>
      </c>
      <c r="AO41" s="425" t="n">
        <f aca="false">SUMPRODUCT(($D$4:$BK$4&gt;AO$4)*($D$4:$BK$4&lt;=AO$4+FC_SUPUESTOS!$C$32)*$D$18:$BK$18)</f>
        <v>0</v>
      </c>
      <c r="AP41" s="425" t="n">
        <f aca="false">SUMPRODUCT(($D$4:$BK$4&gt;AP$4)*($D$4:$BK$4&lt;=AP$4+FC_SUPUESTOS!$C$32)*$D$18:$BK$18)</f>
        <v>0</v>
      </c>
      <c r="AQ41" s="425" t="n">
        <f aca="false">SUMPRODUCT(($D$4:$BK$4&gt;AQ$4)*($D$4:$BK$4&lt;=AQ$4+FC_SUPUESTOS!$C$32)*$D$18:$BK$18)</f>
        <v>0</v>
      </c>
      <c r="AR41" s="425" t="n">
        <f aca="false">SUMPRODUCT(($D$4:$BK$4&gt;AR$4)*($D$4:$BK$4&lt;=AR$4+FC_SUPUESTOS!$C$32)*$D$18:$BK$18)</f>
        <v>0</v>
      </c>
      <c r="AS41" s="425" t="n">
        <f aca="false">SUMPRODUCT(($D$4:$BK$4&gt;AS$4)*($D$4:$BK$4&lt;=AS$4+FC_SUPUESTOS!$C$32)*$D$18:$BK$18)</f>
        <v>0</v>
      </c>
      <c r="AT41" s="425" t="n">
        <f aca="false">SUMPRODUCT(($D$4:$BK$4&gt;AT$4)*($D$4:$BK$4&lt;=AT$4+FC_SUPUESTOS!$C$32)*$D$18:$BK$18)</f>
        <v>0</v>
      </c>
      <c r="AU41" s="425" t="n">
        <f aca="false">SUMPRODUCT(($D$4:$BK$4&gt;AU$4)*($D$4:$BK$4&lt;=AU$4+FC_SUPUESTOS!$C$32)*$D$18:$BK$18)</f>
        <v>0</v>
      </c>
      <c r="AV41" s="425" t="n">
        <f aca="false">SUMPRODUCT(($D$4:$BK$4&gt;AV$4)*($D$4:$BK$4&lt;=AV$4+FC_SUPUESTOS!$C$32)*$D$18:$BK$18)</f>
        <v>0</v>
      </c>
      <c r="AW41" s="425" t="n">
        <f aca="false">SUMPRODUCT(($D$4:$BK$4&gt;AW$4)*($D$4:$BK$4&lt;=AW$4+FC_SUPUESTOS!$C$32)*$D$18:$BK$18)</f>
        <v>0</v>
      </c>
      <c r="AX41" s="425" t="n">
        <f aca="false">SUMPRODUCT(($D$4:$BK$4&gt;AX$4)*($D$4:$BK$4&lt;=AX$4+FC_SUPUESTOS!$C$32)*$D$18:$BK$18)</f>
        <v>0</v>
      </c>
      <c r="AY41" s="425" t="n">
        <f aca="false">SUMPRODUCT(($D$4:$BK$4&gt;AY$4)*($D$4:$BK$4&lt;=AY$4+FC_SUPUESTOS!$C$32)*$D$18:$BK$18)</f>
        <v>0</v>
      </c>
      <c r="AZ41" s="425" t="n">
        <f aca="false">SUMPRODUCT(($D$4:$BK$4&gt;AZ$4)*($D$4:$BK$4&lt;=AZ$4+FC_SUPUESTOS!$C$32)*$D$18:$BK$18)</f>
        <v>0</v>
      </c>
      <c r="BA41" s="425" t="n">
        <f aca="false">SUMPRODUCT(($D$4:$BK$4&gt;BA$4)*($D$4:$BK$4&lt;=BA$4+FC_SUPUESTOS!$C$32)*$D$18:$BK$18)</f>
        <v>0</v>
      </c>
      <c r="BB41" s="425" t="n">
        <f aca="false">SUMPRODUCT(($D$4:$BK$4&gt;BB$4)*($D$4:$BK$4&lt;=BB$4+FC_SUPUESTOS!$C$32)*$D$18:$BK$18)</f>
        <v>0</v>
      </c>
      <c r="BC41" s="425" t="n">
        <f aca="false">SUMPRODUCT(($D$4:$BK$4&gt;BC$4)*($D$4:$BK$4&lt;=BC$4+FC_SUPUESTOS!$C$32)*$D$18:$BK$18)</f>
        <v>0</v>
      </c>
      <c r="BD41" s="425" t="n">
        <f aca="false">SUMPRODUCT(($D$4:$BK$4&gt;BD$4)*($D$4:$BK$4&lt;=BD$4+FC_SUPUESTOS!$C$32)*$D$18:$BK$18)</f>
        <v>0</v>
      </c>
      <c r="BE41" s="425" t="n">
        <f aca="false">SUMPRODUCT(($D$4:$BK$4&gt;BE$4)*($D$4:$BK$4&lt;=BE$4+FC_SUPUESTOS!$C$32)*$D$18:$BK$18)</f>
        <v>0</v>
      </c>
      <c r="BF41" s="425" t="n">
        <f aca="false">SUMPRODUCT(($D$4:$BK$4&gt;BF$4)*($D$4:$BK$4&lt;=BF$4+FC_SUPUESTOS!$C$32)*$D$18:$BK$18)</f>
        <v>0</v>
      </c>
      <c r="BG41" s="425" t="n">
        <f aca="false">SUMPRODUCT(($D$4:$BK$4&gt;BG$4)*($D$4:$BK$4&lt;=BG$4+FC_SUPUESTOS!$C$32)*$D$18:$BK$18)</f>
        <v>0</v>
      </c>
      <c r="BH41" s="425" t="n">
        <f aca="false">SUMPRODUCT(($D$4:$BK$4&gt;BH$4)*($D$4:$BK$4&lt;=BH$4+FC_SUPUESTOS!$C$32)*$D$18:$BK$18)</f>
        <v>0</v>
      </c>
      <c r="BI41" s="425" t="n">
        <f aca="false">SUMPRODUCT(($D$4:$BK$4&gt;BI$4)*($D$4:$BK$4&lt;=BI$4+FC_SUPUESTOS!$C$32)*$D$18:$BK$18)</f>
        <v>0</v>
      </c>
      <c r="BJ41" s="425" t="n">
        <f aca="false">SUMPRODUCT(($D$4:$BK$4&gt;BJ$4)*($D$4:$BK$4&lt;=BJ$4+FC_SUPUESTOS!$C$32)*$D$18:$BK$18)</f>
        <v>0</v>
      </c>
      <c r="BK41" s="425" t="n">
        <f aca="false">SUMPRODUCT(($D$4:$BK$4&gt;BK$4)*($D$4:$BK$4&lt;=BK$4+FC_SUPUESTOS!$C$32)*$D$18:$BK$18)</f>
        <v>0</v>
      </c>
    </row>
    <row r="43" customFormat="false" ht="15" hidden="false" customHeight="true" outlineLevel="0" collapsed="false">
      <c r="A43" s="351" t="s">
        <v>2383</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row>
    <row r="44" customFormat="false" ht="15" hidden="false" customHeight="true" outlineLevel="0" collapsed="false">
      <c r="B44" s="421" t="s">
        <v>2384</v>
      </c>
      <c r="D44" s="422" t="n">
        <f aca="false">IF(FC_SUPUESTOS!$C$12=0,0,IF(D$4&gt;=FC_SUPUESTOS!$C$13,1,0))</f>
        <v>0</v>
      </c>
      <c r="E44" s="422" t="n">
        <f aca="false">IF(FC_SUPUESTOS!$C$12=0,0,IF(E$4&gt;=FC_SUPUESTOS!$C$13,1,0))</f>
        <v>0</v>
      </c>
      <c r="F44" s="422" t="n">
        <f aca="false">IF(FC_SUPUESTOS!$C$12=0,0,IF(F$4&gt;=FC_SUPUESTOS!$C$13,1,0))</f>
        <v>0</v>
      </c>
      <c r="G44" s="422" t="n">
        <f aca="false">IF(FC_SUPUESTOS!$C$12=0,0,IF(G$4&gt;=FC_SUPUESTOS!$C$13,1,0))</f>
        <v>0</v>
      </c>
      <c r="H44" s="422" t="n">
        <f aca="false">IF(FC_SUPUESTOS!$C$12=0,0,IF(H$4&gt;=FC_SUPUESTOS!$C$13,1,0))</f>
        <v>0</v>
      </c>
      <c r="I44" s="422" t="n">
        <f aca="false">IF(FC_SUPUESTOS!$C$12=0,0,IF(I$4&gt;=FC_SUPUESTOS!$C$13,1,0))</f>
        <v>0</v>
      </c>
      <c r="J44" s="422" t="n">
        <f aca="false">IF(FC_SUPUESTOS!$C$12=0,0,IF(J$4&gt;=FC_SUPUESTOS!$C$13,1,0))</f>
        <v>0</v>
      </c>
      <c r="K44" s="422" t="n">
        <f aca="false">IF(FC_SUPUESTOS!$C$12=0,0,IF(K$4&gt;=FC_SUPUESTOS!$C$13,1,0))</f>
        <v>0</v>
      </c>
      <c r="L44" s="422" t="n">
        <f aca="false">IF(FC_SUPUESTOS!$C$12=0,0,IF(L$4&gt;=FC_SUPUESTOS!$C$13,1,0))</f>
        <v>0</v>
      </c>
      <c r="M44" s="422" t="n">
        <f aca="false">IF(FC_SUPUESTOS!$C$12=0,0,IF(M$4&gt;=FC_SUPUESTOS!$C$13,1,0))</f>
        <v>0</v>
      </c>
      <c r="N44" s="422" t="n">
        <f aca="false">IF(FC_SUPUESTOS!$C$12=0,0,IF(N$4&gt;=FC_SUPUESTOS!$C$13,1,0))</f>
        <v>0</v>
      </c>
      <c r="O44" s="422" t="n">
        <f aca="false">IF(FC_SUPUESTOS!$C$12=0,0,IF(O$4&gt;=FC_SUPUESTOS!$C$13,1,0))</f>
        <v>0</v>
      </c>
      <c r="P44" s="422" t="n">
        <f aca="false">IF(FC_SUPUESTOS!$C$12=0,0,IF(P$4&gt;=FC_SUPUESTOS!$C$13,1,0))</f>
        <v>0</v>
      </c>
      <c r="Q44" s="422" t="n">
        <f aca="false">IF(FC_SUPUESTOS!$C$12=0,0,IF(Q$4&gt;=FC_SUPUESTOS!$C$13,1,0))</f>
        <v>0</v>
      </c>
      <c r="R44" s="422" t="n">
        <f aca="false">IF(FC_SUPUESTOS!$C$12=0,0,IF(R$4&gt;=FC_SUPUESTOS!$C$13,1,0))</f>
        <v>0</v>
      </c>
      <c r="S44" s="422" t="n">
        <f aca="false">IF(FC_SUPUESTOS!$C$12=0,0,IF(S$4&gt;=FC_SUPUESTOS!$C$13,1,0))</f>
        <v>0</v>
      </c>
      <c r="T44" s="422" t="n">
        <f aca="false">IF(FC_SUPUESTOS!$C$12=0,0,IF(T$4&gt;=FC_SUPUESTOS!$C$13,1,0))</f>
        <v>0</v>
      </c>
      <c r="U44" s="422" t="n">
        <f aca="false">IF(FC_SUPUESTOS!$C$12=0,0,IF(U$4&gt;=FC_SUPUESTOS!$C$13,1,0))</f>
        <v>0</v>
      </c>
      <c r="V44" s="422" t="n">
        <f aca="false">IF(FC_SUPUESTOS!$C$12=0,0,IF(V$4&gt;=FC_SUPUESTOS!$C$13,1,0))</f>
        <v>0</v>
      </c>
      <c r="W44" s="422" t="n">
        <f aca="false">IF(FC_SUPUESTOS!$C$12=0,0,IF(W$4&gt;=FC_SUPUESTOS!$C$13,1,0))</f>
        <v>0</v>
      </c>
      <c r="X44" s="422" t="n">
        <f aca="false">IF(FC_SUPUESTOS!$C$12=0,0,IF(X$4&gt;=FC_SUPUESTOS!$C$13,1,0))</f>
        <v>0</v>
      </c>
      <c r="Y44" s="422" t="n">
        <f aca="false">IF(FC_SUPUESTOS!$C$12=0,0,IF(Y$4&gt;=FC_SUPUESTOS!$C$13,1,0))</f>
        <v>0</v>
      </c>
      <c r="Z44" s="422" t="n">
        <f aca="false">IF(FC_SUPUESTOS!$C$12=0,0,IF(Z$4&gt;=FC_SUPUESTOS!$C$13,1,0))</f>
        <v>0</v>
      </c>
      <c r="AA44" s="422" t="n">
        <f aca="false">IF(FC_SUPUESTOS!$C$12=0,0,IF(AA$4&gt;=FC_SUPUESTOS!$C$13,1,0))</f>
        <v>0</v>
      </c>
      <c r="AB44" s="422" t="n">
        <f aca="false">IF(FC_SUPUESTOS!$C$12=0,0,IF(AB$4&gt;=FC_SUPUESTOS!$C$13,1,0))</f>
        <v>0</v>
      </c>
      <c r="AC44" s="422" t="n">
        <f aca="false">IF(FC_SUPUESTOS!$C$12=0,0,IF(AC$4&gt;=FC_SUPUESTOS!$C$13,1,0))</f>
        <v>0</v>
      </c>
      <c r="AD44" s="422" t="n">
        <f aca="false">IF(FC_SUPUESTOS!$C$12=0,0,IF(AD$4&gt;=FC_SUPUESTOS!$C$13,1,0))</f>
        <v>0</v>
      </c>
      <c r="AE44" s="422" t="n">
        <f aca="false">IF(FC_SUPUESTOS!$C$12=0,0,IF(AE$4&gt;=FC_SUPUESTOS!$C$13,1,0))</f>
        <v>0</v>
      </c>
      <c r="AF44" s="422" t="n">
        <f aca="false">IF(FC_SUPUESTOS!$C$12=0,0,IF(AF$4&gt;=FC_SUPUESTOS!$C$13,1,0))</f>
        <v>0</v>
      </c>
      <c r="AG44" s="422" t="n">
        <f aca="false">IF(FC_SUPUESTOS!$C$12=0,0,IF(AG$4&gt;=FC_SUPUESTOS!$C$13,1,0))</f>
        <v>0</v>
      </c>
      <c r="AH44" s="422" t="n">
        <f aca="false">IF(FC_SUPUESTOS!$C$12=0,0,IF(AH$4&gt;=FC_SUPUESTOS!$C$13,1,0))</f>
        <v>0</v>
      </c>
      <c r="AI44" s="422" t="n">
        <f aca="false">IF(FC_SUPUESTOS!$C$12=0,0,IF(AI$4&gt;=FC_SUPUESTOS!$C$13,1,0))</f>
        <v>0</v>
      </c>
      <c r="AJ44" s="422" t="n">
        <f aca="false">IF(FC_SUPUESTOS!$C$12=0,0,IF(AJ$4&gt;=FC_SUPUESTOS!$C$13,1,0))</f>
        <v>0</v>
      </c>
      <c r="AK44" s="422" t="n">
        <f aca="false">IF(FC_SUPUESTOS!$C$12=0,0,IF(AK$4&gt;=FC_SUPUESTOS!$C$13,1,0))</f>
        <v>0</v>
      </c>
      <c r="AL44" s="422" t="n">
        <f aca="false">IF(FC_SUPUESTOS!$C$12=0,0,IF(AL$4&gt;=FC_SUPUESTOS!$C$13,1,0))</f>
        <v>0</v>
      </c>
      <c r="AM44" s="422" t="n">
        <f aca="false">IF(FC_SUPUESTOS!$C$12=0,0,IF(AM$4&gt;=FC_SUPUESTOS!$C$13,1,0))</f>
        <v>0</v>
      </c>
      <c r="AN44" s="422" t="n">
        <f aca="false">IF(FC_SUPUESTOS!$C$12=0,0,IF(AN$4&gt;=FC_SUPUESTOS!$C$13,1,0))</f>
        <v>0</v>
      </c>
      <c r="AO44" s="422" t="n">
        <f aca="false">IF(FC_SUPUESTOS!$C$12=0,0,IF(AO$4&gt;=FC_SUPUESTOS!$C$13,1,0))</f>
        <v>0</v>
      </c>
      <c r="AP44" s="422" t="n">
        <f aca="false">IF(FC_SUPUESTOS!$C$12=0,0,IF(AP$4&gt;=FC_SUPUESTOS!$C$13,1,0))</f>
        <v>0</v>
      </c>
      <c r="AQ44" s="422" t="n">
        <f aca="false">IF(FC_SUPUESTOS!$C$12=0,0,IF(AQ$4&gt;=FC_SUPUESTOS!$C$13,1,0))</f>
        <v>0</v>
      </c>
      <c r="AR44" s="422" t="n">
        <f aca="false">IF(FC_SUPUESTOS!$C$12=0,0,IF(AR$4&gt;=FC_SUPUESTOS!$C$13,1,0))</f>
        <v>0</v>
      </c>
      <c r="AS44" s="422" t="n">
        <f aca="false">IF(FC_SUPUESTOS!$C$12=0,0,IF(AS$4&gt;=FC_SUPUESTOS!$C$13,1,0))</f>
        <v>0</v>
      </c>
      <c r="AT44" s="422" t="n">
        <f aca="false">IF(FC_SUPUESTOS!$C$12=0,0,IF(AT$4&gt;=FC_SUPUESTOS!$C$13,1,0))</f>
        <v>0</v>
      </c>
      <c r="AU44" s="422" t="n">
        <f aca="false">IF(FC_SUPUESTOS!$C$12=0,0,IF(AU$4&gt;=FC_SUPUESTOS!$C$13,1,0))</f>
        <v>0</v>
      </c>
      <c r="AV44" s="422" t="n">
        <f aca="false">IF(FC_SUPUESTOS!$C$12=0,0,IF(AV$4&gt;=FC_SUPUESTOS!$C$13,1,0))</f>
        <v>0</v>
      </c>
      <c r="AW44" s="422" t="n">
        <f aca="false">IF(FC_SUPUESTOS!$C$12=0,0,IF(AW$4&gt;=FC_SUPUESTOS!$C$13,1,0))</f>
        <v>0</v>
      </c>
      <c r="AX44" s="422" t="n">
        <f aca="false">IF(FC_SUPUESTOS!$C$12=0,0,IF(AX$4&gt;=FC_SUPUESTOS!$C$13,1,0))</f>
        <v>0</v>
      </c>
      <c r="AY44" s="422" t="n">
        <f aca="false">IF(FC_SUPUESTOS!$C$12=0,0,IF(AY$4&gt;=FC_SUPUESTOS!$C$13,1,0))</f>
        <v>0</v>
      </c>
      <c r="AZ44" s="422" t="n">
        <f aca="false">IF(FC_SUPUESTOS!$C$12=0,0,IF(AZ$4&gt;=FC_SUPUESTOS!$C$13,1,0))</f>
        <v>0</v>
      </c>
      <c r="BA44" s="422" t="n">
        <f aca="false">IF(FC_SUPUESTOS!$C$12=0,0,IF(BA$4&gt;=FC_SUPUESTOS!$C$13,1,0))</f>
        <v>0</v>
      </c>
      <c r="BB44" s="422" t="n">
        <f aca="false">IF(FC_SUPUESTOS!$C$12=0,0,IF(BB$4&gt;=FC_SUPUESTOS!$C$13,1,0))</f>
        <v>0</v>
      </c>
      <c r="BC44" s="422" t="n">
        <f aca="false">IF(FC_SUPUESTOS!$C$12=0,0,IF(BC$4&gt;=FC_SUPUESTOS!$C$13,1,0))</f>
        <v>0</v>
      </c>
      <c r="BD44" s="422" t="n">
        <f aca="false">IF(FC_SUPUESTOS!$C$12=0,0,IF(BD$4&gt;=FC_SUPUESTOS!$C$13,1,0))</f>
        <v>0</v>
      </c>
      <c r="BE44" s="422" t="n">
        <f aca="false">IF(FC_SUPUESTOS!$C$12=0,0,IF(BE$4&gt;=FC_SUPUESTOS!$C$13,1,0))</f>
        <v>0</v>
      </c>
      <c r="BF44" s="422" t="n">
        <f aca="false">IF(FC_SUPUESTOS!$C$12=0,0,IF(BF$4&gt;=FC_SUPUESTOS!$C$13,1,0))</f>
        <v>0</v>
      </c>
      <c r="BG44" s="422" t="n">
        <f aca="false">IF(FC_SUPUESTOS!$C$12=0,0,IF(BG$4&gt;=FC_SUPUESTOS!$C$13,1,0))</f>
        <v>0</v>
      </c>
      <c r="BH44" s="422" t="n">
        <f aca="false">IF(FC_SUPUESTOS!$C$12=0,0,IF(BH$4&gt;=FC_SUPUESTOS!$C$13,1,0))</f>
        <v>0</v>
      </c>
      <c r="BI44" s="422" t="n">
        <f aca="false">IF(FC_SUPUESTOS!$C$12=0,0,IF(BI$4&gt;=FC_SUPUESTOS!$C$13,1,0))</f>
        <v>0</v>
      </c>
      <c r="BJ44" s="422" t="n">
        <f aca="false">IF(FC_SUPUESTOS!$C$12=0,0,IF(BJ$4&gt;=FC_SUPUESTOS!$C$13,1,0))</f>
        <v>0</v>
      </c>
      <c r="BK44" s="422" t="n">
        <f aca="false">IF(FC_SUPUESTOS!$C$12=0,0,IF(BK$4&gt;=FC_SUPUESTOS!$C$13,1,0))</f>
        <v>0</v>
      </c>
    </row>
    <row r="45" customFormat="false" ht="15" hidden="false" customHeight="true" outlineLevel="0" collapsed="false">
      <c r="B45" s="297" t="s">
        <v>2385</v>
      </c>
      <c r="D45" s="425" t="n">
        <f aca="false">IF(D44=0,0,IF(D$4=FC_SUPUESTOS!$C$13,SUP_OPEX!$C$38,IF(D$4=FC_SUPUESTOS!$C$13+1,SUP_OPEX!$C$39,1)))</f>
        <v>0</v>
      </c>
      <c r="E45" s="425" t="n">
        <f aca="false">IF(E44=0,0,IF(E$4=FC_SUPUESTOS!$C$13,SUP_OPEX!$C$38,IF(E$4=FC_SUPUESTOS!$C$13+1,SUP_OPEX!$C$39,1)))</f>
        <v>0</v>
      </c>
      <c r="F45" s="425" t="n">
        <f aca="false">IF(F44=0,0,IF(F$4=FC_SUPUESTOS!$C$13,SUP_OPEX!$C$38,IF(F$4=FC_SUPUESTOS!$C$13+1,SUP_OPEX!$C$39,1)))</f>
        <v>0</v>
      </c>
      <c r="G45" s="425" t="n">
        <f aca="false">IF(G44=0,0,IF(G$4=FC_SUPUESTOS!$C$13,SUP_OPEX!$C$38,IF(G$4=FC_SUPUESTOS!$C$13+1,SUP_OPEX!$C$39,1)))</f>
        <v>0</v>
      </c>
      <c r="H45" s="425" t="n">
        <f aca="false">IF(H44=0,0,IF(H$4=FC_SUPUESTOS!$C$13,SUP_OPEX!$C$38,IF(H$4=FC_SUPUESTOS!$C$13+1,SUP_OPEX!$C$39,1)))</f>
        <v>0</v>
      </c>
      <c r="I45" s="425" t="n">
        <f aca="false">IF(I44=0,0,IF(I$4=FC_SUPUESTOS!$C$13,SUP_OPEX!$C$38,IF(I$4=FC_SUPUESTOS!$C$13+1,SUP_OPEX!$C$39,1)))</f>
        <v>0</v>
      </c>
      <c r="J45" s="425" t="n">
        <f aca="false">IF(J44=0,0,IF(J$4=FC_SUPUESTOS!$C$13,SUP_OPEX!$C$38,IF(J$4=FC_SUPUESTOS!$C$13+1,SUP_OPEX!$C$39,1)))</f>
        <v>0</v>
      </c>
      <c r="K45" s="425" t="n">
        <f aca="false">IF(K44=0,0,IF(K$4=FC_SUPUESTOS!$C$13,SUP_OPEX!$C$38,IF(K$4=FC_SUPUESTOS!$C$13+1,SUP_OPEX!$C$39,1)))</f>
        <v>0</v>
      </c>
      <c r="L45" s="425" t="n">
        <f aca="false">IF(L44=0,0,IF(L$4=FC_SUPUESTOS!$C$13,SUP_OPEX!$C$38,IF(L$4=FC_SUPUESTOS!$C$13+1,SUP_OPEX!$C$39,1)))</f>
        <v>0</v>
      </c>
      <c r="M45" s="425" t="n">
        <f aca="false">IF(M44=0,0,IF(M$4=FC_SUPUESTOS!$C$13,SUP_OPEX!$C$38,IF(M$4=FC_SUPUESTOS!$C$13+1,SUP_OPEX!$C$39,1)))</f>
        <v>0</v>
      </c>
      <c r="N45" s="425" t="n">
        <f aca="false">IF(N44=0,0,IF(N$4=FC_SUPUESTOS!$C$13,SUP_OPEX!$C$38,IF(N$4=FC_SUPUESTOS!$C$13+1,SUP_OPEX!$C$39,1)))</f>
        <v>0</v>
      </c>
      <c r="O45" s="425" t="n">
        <f aca="false">IF(O44=0,0,IF(O$4=FC_SUPUESTOS!$C$13,SUP_OPEX!$C$38,IF(O$4=FC_SUPUESTOS!$C$13+1,SUP_OPEX!$C$39,1)))</f>
        <v>0</v>
      </c>
      <c r="P45" s="425" t="n">
        <f aca="false">IF(P44=0,0,IF(P$4=FC_SUPUESTOS!$C$13,SUP_OPEX!$C$38,IF(P$4=FC_SUPUESTOS!$C$13+1,SUP_OPEX!$C$39,1)))</f>
        <v>0</v>
      </c>
      <c r="Q45" s="425" t="n">
        <f aca="false">IF(Q44=0,0,IF(Q$4=FC_SUPUESTOS!$C$13,SUP_OPEX!$C$38,IF(Q$4=FC_SUPUESTOS!$C$13+1,SUP_OPEX!$C$39,1)))</f>
        <v>0</v>
      </c>
      <c r="R45" s="425" t="n">
        <f aca="false">IF(R44=0,0,IF(R$4=FC_SUPUESTOS!$C$13,SUP_OPEX!$C$38,IF(R$4=FC_SUPUESTOS!$C$13+1,SUP_OPEX!$C$39,1)))</f>
        <v>0</v>
      </c>
      <c r="S45" s="425" t="n">
        <f aca="false">IF(S44=0,0,IF(S$4=FC_SUPUESTOS!$C$13,SUP_OPEX!$C$38,IF(S$4=FC_SUPUESTOS!$C$13+1,SUP_OPEX!$C$39,1)))</f>
        <v>0</v>
      </c>
      <c r="T45" s="425" t="n">
        <f aca="false">IF(T44=0,0,IF(T$4=FC_SUPUESTOS!$C$13,SUP_OPEX!$C$38,IF(T$4=FC_SUPUESTOS!$C$13+1,SUP_OPEX!$C$39,1)))</f>
        <v>0</v>
      </c>
      <c r="U45" s="425" t="n">
        <f aca="false">IF(U44=0,0,IF(U$4=FC_SUPUESTOS!$C$13,SUP_OPEX!$C$38,IF(U$4=FC_SUPUESTOS!$C$13+1,SUP_OPEX!$C$39,1)))</f>
        <v>0</v>
      </c>
      <c r="V45" s="425" t="n">
        <f aca="false">IF(V44=0,0,IF(V$4=FC_SUPUESTOS!$C$13,SUP_OPEX!$C$38,IF(V$4=FC_SUPUESTOS!$C$13+1,SUP_OPEX!$C$39,1)))</f>
        <v>0</v>
      </c>
      <c r="W45" s="425" t="n">
        <f aca="false">IF(W44=0,0,IF(W$4=FC_SUPUESTOS!$C$13,SUP_OPEX!$C$38,IF(W$4=FC_SUPUESTOS!$C$13+1,SUP_OPEX!$C$39,1)))</f>
        <v>0</v>
      </c>
      <c r="X45" s="425" t="n">
        <f aca="false">IF(X44=0,0,IF(X$4=FC_SUPUESTOS!$C$13,SUP_OPEX!$C$38,IF(X$4=FC_SUPUESTOS!$C$13+1,SUP_OPEX!$C$39,1)))</f>
        <v>0</v>
      </c>
      <c r="Y45" s="425" t="n">
        <f aca="false">IF(Y44=0,0,IF(Y$4=FC_SUPUESTOS!$C$13,SUP_OPEX!$C$38,IF(Y$4=FC_SUPUESTOS!$C$13+1,SUP_OPEX!$C$39,1)))</f>
        <v>0</v>
      </c>
      <c r="Z45" s="425" t="n">
        <f aca="false">IF(Z44=0,0,IF(Z$4=FC_SUPUESTOS!$C$13,SUP_OPEX!$C$38,IF(Z$4=FC_SUPUESTOS!$C$13+1,SUP_OPEX!$C$39,1)))</f>
        <v>0</v>
      </c>
      <c r="AA45" s="425" t="n">
        <f aca="false">IF(AA44=0,0,IF(AA$4=FC_SUPUESTOS!$C$13,SUP_OPEX!$C$38,IF(AA$4=FC_SUPUESTOS!$C$13+1,SUP_OPEX!$C$39,1)))</f>
        <v>0</v>
      </c>
      <c r="AB45" s="425" t="n">
        <f aca="false">IF(AB44=0,0,IF(AB$4=FC_SUPUESTOS!$C$13,SUP_OPEX!$C$38,IF(AB$4=FC_SUPUESTOS!$C$13+1,SUP_OPEX!$C$39,1)))</f>
        <v>0</v>
      </c>
      <c r="AC45" s="425" t="n">
        <f aca="false">IF(AC44=0,0,IF(AC$4=FC_SUPUESTOS!$C$13,SUP_OPEX!$C$38,IF(AC$4=FC_SUPUESTOS!$C$13+1,SUP_OPEX!$C$39,1)))</f>
        <v>0</v>
      </c>
      <c r="AD45" s="425" t="n">
        <f aca="false">IF(AD44=0,0,IF(AD$4=FC_SUPUESTOS!$C$13,SUP_OPEX!$C$38,IF(AD$4=FC_SUPUESTOS!$C$13+1,SUP_OPEX!$C$39,1)))</f>
        <v>0</v>
      </c>
      <c r="AE45" s="425" t="n">
        <f aca="false">IF(AE44=0,0,IF(AE$4=FC_SUPUESTOS!$C$13,SUP_OPEX!$C$38,IF(AE$4=FC_SUPUESTOS!$C$13+1,SUP_OPEX!$C$39,1)))</f>
        <v>0</v>
      </c>
      <c r="AF45" s="425" t="n">
        <f aca="false">IF(AF44=0,0,IF(AF$4=FC_SUPUESTOS!$C$13,SUP_OPEX!$C$38,IF(AF$4=FC_SUPUESTOS!$C$13+1,SUP_OPEX!$C$39,1)))</f>
        <v>0</v>
      </c>
      <c r="AG45" s="425" t="n">
        <f aca="false">IF(AG44=0,0,IF(AG$4=FC_SUPUESTOS!$C$13,SUP_OPEX!$C$38,IF(AG$4=FC_SUPUESTOS!$C$13+1,SUP_OPEX!$C$39,1)))</f>
        <v>0</v>
      </c>
      <c r="AH45" s="425" t="n">
        <f aca="false">IF(AH44=0,0,IF(AH$4=FC_SUPUESTOS!$C$13,SUP_OPEX!$C$38,IF(AH$4=FC_SUPUESTOS!$C$13+1,SUP_OPEX!$C$39,1)))</f>
        <v>0</v>
      </c>
      <c r="AI45" s="425" t="n">
        <f aca="false">IF(AI44=0,0,IF(AI$4=FC_SUPUESTOS!$C$13,SUP_OPEX!$C$38,IF(AI$4=FC_SUPUESTOS!$C$13+1,SUP_OPEX!$C$39,1)))</f>
        <v>0</v>
      </c>
      <c r="AJ45" s="425" t="n">
        <f aca="false">IF(AJ44=0,0,IF(AJ$4=FC_SUPUESTOS!$C$13,SUP_OPEX!$C$38,IF(AJ$4=FC_SUPUESTOS!$C$13+1,SUP_OPEX!$C$39,1)))</f>
        <v>0</v>
      </c>
      <c r="AK45" s="425" t="n">
        <f aca="false">IF(AK44=0,0,IF(AK$4=FC_SUPUESTOS!$C$13,SUP_OPEX!$C$38,IF(AK$4=FC_SUPUESTOS!$C$13+1,SUP_OPEX!$C$39,1)))</f>
        <v>0</v>
      </c>
      <c r="AL45" s="425" t="n">
        <f aca="false">IF(AL44=0,0,IF(AL$4=FC_SUPUESTOS!$C$13,SUP_OPEX!$C$38,IF(AL$4=FC_SUPUESTOS!$C$13+1,SUP_OPEX!$C$39,1)))</f>
        <v>0</v>
      </c>
      <c r="AM45" s="425" t="n">
        <f aca="false">IF(AM44=0,0,IF(AM$4=FC_SUPUESTOS!$C$13,SUP_OPEX!$C$38,IF(AM$4=FC_SUPUESTOS!$C$13+1,SUP_OPEX!$C$39,1)))</f>
        <v>0</v>
      </c>
      <c r="AN45" s="425" t="n">
        <f aca="false">IF(AN44=0,0,IF(AN$4=FC_SUPUESTOS!$C$13,SUP_OPEX!$C$38,IF(AN$4=FC_SUPUESTOS!$C$13+1,SUP_OPEX!$C$39,1)))</f>
        <v>0</v>
      </c>
      <c r="AO45" s="425" t="n">
        <f aca="false">IF(AO44=0,0,IF(AO$4=FC_SUPUESTOS!$C$13,SUP_OPEX!$C$38,IF(AO$4=FC_SUPUESTOS!$C$13+1,SUP_OPEX!$C$39,1)))</f>
        <v>0</v>
      </c>
      <c r="AP45" s="425" t="n">
        <f aca="false">IF(AP44=0,0,IF(AP$4=FC_SUPUESTOS!$C$13,SUP_OPEX!$C$38,IF(AP$4=FC_SUPUESTOS!$C$13+1,SUP_OPEX!$C$39,1)))</f>
        <v>0</v>
      </c>
      <c r="AQ45" s="425" t="n">
        <f aca="false">IF(AQ44=0,0,IF(AQ$4=FC_SUPUESTOS!$C$13,SUP_OPEX!$C$38,IF(AQ$4=FC_SUPUESTOS!$C$13+1,SUP_OPEX!$C$39,1)))</f>
        <v>0</v>
      </c>
      <c r="AR45" s="425" t="n">
        <f aca="false">IF(AR44=0,0,IF(AR$4=FC_SUPUESTOS!$C$13,SUP_OPEX!$C$38,IF(AR$4=FC_SUPUESTOS!$C$13+1,SUP_OPEX!$C$39,1)))</f>
        <v>0</v>
      </c>
      <c r="AS45" s="425" t="n">
        <f aca="false">IF(AS44=0,0,IF(AS$4=FC_SUPUESTOS!$C$13,SUP_OPEX!$C$38,IF(AS$4=FC_SUPUESTOS!$C$13+1,SUP_OPEX!$C$39,1)))</f>
        <v>0</v>
      </c>
      <c r="AT45" s="425" t="n">
        <f aca="false">IF(AT44=0,0,IF(AT$4=FC_SUPUESTOS!$C$13,SUP_OPEX!$C$38,IF(AT$4=FC_SUPUESTOS!$C$13+1,SUP_OPEX!$C$39,1)))</f>
        <v>0</v>
      </c>
      <c r="AU45" s="425" t="n">
        <f aca="false">IF(AU44=0,0,IF(AU$4=FC_SUPUESTOS!$C$13,SUP_OPEX!$C$38,IF(AU$4=FC_SUPUESTOS!$C$13+1,SUP_OPEX!$C$39,1)))</f>
        <v>0</v>
      </c>
      <c r="AV45" s="425" t="n">
        <f aca="false">IF(AV44=0,0,IF(AV$4=FC_SUPUESTOS!$C$13,SUP_OPEX!$C$38,IF(AV$4=FC_SUPUESTOS!$C$13+1,SUP_OPEX!$C$39,1)))</f>
        <v>0</v>
      </c>
      <c r="AW45" s="425" t="n">
        <f aca="false">IF(AW44=0,0,IF(AW$4=FC_SUPUESTOS!$C$13,SUP_OPEX!$C$38,IF(AW$4=FC_SUPUESTOS!$C$13+1,SUP_OPEX!$C$39,1)))</f>
        <v>0</v>
      </c>
      <c r="AX45" s="425" t="n">
        <f aca="false">IF(AX44=0,0,IF(AX$4=FC_SUPUESTOS!$C$13,SUP_OPEX!$C$38,IF(AX$4=FC_SUPUESTOS!$C$13+1,SUP_OPEX!$C$39,1)))</f>
        <v>0</v>
      </c>
      <c r="AY45" s="425" t="n">
        <f aca="false">IF(AY44=0,0,IF(AY$4=FC_SUPUESTOS!$C$13,SUP_OPEX!$C$38,IF(AY$4=FC_SUPUESTOS!$C$13+1,SUP_OPEX!$C$39,1)))</f>
        <v>0</v>
      </c>
      <c r="AZ45" s="425" t="n">
        <f aca="false">IF(AZ44=0,0,IF(AZ$4=FC_SUPUESTOS!$C$13,SUP_OPEX!$C$38,IF(AZ$4=FC_SUPUESTOS!$C$13+1,SUP_OPEX!$C$39,1)))</f>
        <v>0</v>
      </c>
      <c r="BA45" s="425" t="n">
        <f aca="false">IF(BA44=0,0,IF(BA$4=FC_SUPUESTOS!$C$13,SUP_OPEX!$C$38,IF(BA$4=FC_SUPUESTOS!$C$13+1,SUP_OPEX!$C$39,1)))</f>
        <v>0</v>
      </c>
      <c r="BB45" s="425" t="n">
        <f aca="false">IF(BB44=0,0,IF(BB$4=FC_SUPUESTOS!$C$13,SUP_OPEX!$C$38,IF(BB$4=FC_SUPUESTOS!$C$13+1,SUP_OPEX!$C$39,1)))</f>
        <v>0</v>
      </c>
      <c r="BC45" s="425" t="n">
        <f aca="false">IF(BC44=0,0,IF(BC$4=FC_SUPUESTOS!$C$13,SUP_OPEX!$C$38,IF(BC$4=FC_SUPUESTOS!$C$13+1,SUP_OPEX!$C$39,1)))</f>
        <v>0</v>
      </c>
      <c r="BD45" s="425" t="n">
        <f aca="false">IF(BD44=0,0,IF(BD$4=FC_SUPUESTOS!$C$13,SUP_OPEX!$C$38,IF(BD$4=FC_SUPUESTOS!$C$13+1,SUP_OPEX!$C$39,1)))</f>
        <v>0</v>
      </c>
      <c r="BE45" s="425" t="n">
        <f aca="false">IF(BE44=0,0,IF(BE$4=FC_SUPUESTOS!$C$13,SUP_OPEX!$C$38,IF(BE$4=FC_SUPUESTOS!$C$13+1,SUP_OPEX!$C$39,1)))</f>
        <v>0</v>
      </c>
      <c r="BF45" s="425" t="n">
        <f aca="false">IF(BF44=0,0,IF(BF$4=FC_SUPUESTOS!$C$13,SUP_OPEX!$C$38,IF(BF$4=FC_SUPUESTOS!$C$13+1,SUP_OPEX!$C$39,1)))</f>
        <v>0</v>
      </c>
      <c r="BG45" s="425" t="n">
        <f aca="false">IF(BG44=0,0,IF(BG$4=FC_SUPUESTOS!$C$13,SUP_OPEX!$C$38,IF(BG$4=FC_SUPUESTOS!$C$13+1,SUP_OPEX!$C$39,1)))</f>
        <v>0</v>
      </c>
      <c r="BH45" s="425" t="n">
        <f aca="false">IF(BH44=0,0,IF(BH$4=FC_SUPUESTOS!$C$13,SUP_OPEX!$C$38,IF(BH$4=FC_SUPUESTOS!$C$13+1,SUP_OPEX!$C$39,1)))</f>
        <v>0</v>
      </c>
      <c r="BI45" s="425" t="n">
        <f aca="false">IF(BI44=0,0,IF(BI$4=FC_SUPUESTOS!$C$13,SUP_OPEX!$C$38,IF(BI$4=FC_SUPUESTOS!$C$13+1,SUP_OPEX!$C$39,1)))</f>
        <v>0</v>
      </c>
      <c r="BJ45" s="425" t="n">
        <f aca="false">IF(BJ44=0,0,IF(BJ$4=FC_SUPUESTOS!$C$13,SUP_OPEX!$C$38,IF(BJ$4=FC_SUPUESTOS!$C$13+1,SUP_OPEX!$C$39,1)))</f>
        <v>0</v>
      </c>
      <c r="BK45" s="425" t="n">
        <f aca="false">IF(BK44=0,0,IF(BK$4=FC_SUPUESTOS!$C$13,SUP_OPEX!$C$38,IF(BK$4=FC_SUPUESTOS!$C$13+1,SUP_OPEX!$C$39,1)))</f>
        <v>0</v>
      </c>
    </row>
    <row r="46" customFormat="false" ht="15" hidden="false" customHeight="true" outlineLevel="0" collapsed="false">
      <c r="B46" s="297" t="s">
        <v>2386</v>
      </c>
      <c r="D46" s="420" t="n">
        <f aca="false">IF(FC_SUPUESTOS!$C$12=0,0,IF(D$4=MAX(1,FC_SUPUESTOS!$C$13-(FC_SUPUESTOS!$C$31)),1,0))</f>
        <v>0</v>
      </c>
      <c r="E46" s="420" t="n">
        <f aca="false">IF(FC_SUPUESTOS!$C$12=0,0,IF(E$4=MAX(1,FC_SUPUESTOS!$C$13-(FC_SUPUESTOS!$C$31)),1,0))</f>
        <v>0</v>
      </c>
      <c r="F46" s="420" t="n">
        <f aca="false">IF(FC_SUPUESTOS!$C$12=0,0,IF(F$4=MAX(1,FC_SUPUESTOS!$C$13-(FC_SUPUESTOS!$C$31)),1,0))</f>
        <v>0</v>
      </c>
      <c r="G46" s="420" t="n">
        <f aca="false">IF(FC_SUPUESTOS!$C$12=0,0,IF(G$4=MAX(1,FC_SUPUESTOS!$C$13-(FC_SUPUESTOS!$C$31)),1,0))</f>
        <v>0</v>
      </c>
      <c r="H46" s="420" t="n">
        <f aca="false">IF(FC_SUPUESTOS!$C$12=0,0,IF(H$4=MAX(1,FC_SUPUESTOS!$C$13-(FC_SUPUESTOS!$C$31)),1,0))</f>
        <v>0</v>
      </c>
      <c r="I46" s="420" t="n">
        <f aca="false">IF(FC_SUPUESTOS!$C$12=0,0,IF(I$4=MAX(1,FC_SUPUESTOS!$C$13-(FC_SUPUESTOS!$C$31)),1,0))</f>
        <v>0</v>
      </c>
      <c r="J46" s="420" t="n">
        <f aca="false">IF(FC_SUPUESTOS!$C$12=0,0,IF(J$4=MAX(1,FC_SUPUESTOS!$C$13-(FC_SUPUESTOS!$C$31)),1,0))</f>
        <v>0</v>
      </c>
      <c r="K46" s="420" t="n">
        <f aca="false">IF(FC_SUPUESTOS!$C$12=0,0,IF(K$4=MAX(1,FC_SUPUESTOS!$C$13-(FC_SUPUESTOS!$C$31)),1,0))</f>
        <v>0</v>
      </c>
      <c r="L46" s="420" t="n">
        <f aca="false">IF(FC_SUPUESTOS!$C$12=0,0,IF(L$4=MAX(1,FC_SUPUESTOS!$C$13-(FC_SUPUESTOS!$C$31)),1,0))</f>
        <v>0</v>
      </c>
      <c r="M46" s="420" t="n">
        <f aca="false">IF(FC_SUPUESTOS!$C$12=0,0,IF(M$4=MAX(1,FC_SUPUESTOS!$C$13-(FC_SUPUESTOS!$C$31)),1,0))</f>
        <v>0</v>
      </c>
      <c r="N46" s="420" t="n">
        <f aca="false">IF(FC_SUPUESTOS!$C$12=0,0,IF(N$4=MAX(1,FC_SUPUESTOS!$C$13-(FC_SUPUESTOS!$C$31)),1,0))</f>
        <v>0</v>
      </c>
      <c r="O46" s="420" t="n">
        <f aca="false">IF(FC_SUPUESTOS!$C$12=0,0,IF(O$4=MAX(1,FC_SUPUESTOS!$C$13-(FC_SUPUESTOS!$C$31)),1,0))</f>
        <v>0</v>
      </c>
      <c r="P46" s="420" t="n">
        <f aca="false">IF(FC_SUPUESTOS!$C$12=0,0,IF(P$4=MAX(1,FC_SUPUESTOS!$C$13-(FC_SUPUESTOS!$C$31)),1,0))</f>
        <v>0</v>
      </c>
      <c r="Q46" s="420" t="n">
        <f aca="false">IF(FC_SUPUESTOS!$C$12=0,0,IF(Q$4=MAX(1,FC_SUPUESTOS!$C$13-(FC_SUPUESTOS!$C$31)),1,0))</f>
        <v>0</v>
      </c>
      <c r="R46" s="420" t="n">
        <f aca="false">IF(FC_SUPUESTOS!$C$12=0,0,IF(R$4=MAX(1,FC_SUPUESTOS!$C$13-(FC_SUPUESTOS!$C$31)),1,0))</f>
        <v>0</v>
      </c>
      <c r="S46" s="420" t="n">
        <f aca="false">IF(FC_SUPUESTOS!$C$12=0,0,IF(S$4=MAX(1,FC_SUPUESTOS!$C$13-(FC_SUPUESTOS!$C$31)),1,0))</f>
        <v>0</v>
      </c>
      <c r="T46" s="420" t="n">
        <f aca="false">IF(FC_SUPUESTOS!$C$12=0,0,IF(T$4=MAX(1,FC_SUPUESTOS!$C$13-(FC_SUPUESTOS!$C$31)),1,0))</f>
        <v>0</v>
      </c>
      <c r="U46" s="420" t="n">
        <f aca="false">IF(FC_SUPUESTOS!$C$12=0,0,IF(U$4=MAX(1,FC_SUPUESTOS!$C$13-(FC_SUPUESTOS!$C$31)),1,0))</f>
        <v>0</v>
      </c>
      <c r="V46" s="420" t="n">
        <f aca="false">IF(FC_SUPUESTOS!$C$12=0,0,IF(V$4=MAX(1,FC_SUPUESTOS!$C$13-(FC_SUPUESTOS!$C$31)),1,0))</f>
        <v>0</v>
      </c>
      <c r="W46" s="420" t="n">
        <f aca="false">IF(FC_SUPUESTOS!$C$12=0,0,IF(W$4=MAX(1,FC_SUPUESTOS!$C$13-(FC_SUPUESTOS!$C$31)),1,0))</f>
        <v>0</v>
      </c>
      <c r="X46" s="420" t="n">
        <f aca="false">IF(FC_SUPUESTOS!$C$12=0,0,IF(X$4=MAX(1,FC_SUPUESTOS!$C$13-(FC_SUPUESTOS!$C$31)),1,0))</f>
        <v>0</v>
      </c>
      <c r="Y46" s="420" t="n">
        <f aca="false">IF(FC_SUPUESTOS!$C$12=0,0,IF(Y$4=MAX(1,FC_SUPUESTOS!$C$13-(FC_SUPUESTOS!$C$31)),1,0))</f>
        <v>0</v>
      </c>
      <c r="Z46" s="420" t="n">
        <f aca="false">IF(FC_SUPUESTOS!$C$12=0,0,IF(Z$4=MAX(1,FC_SUPUESTOS!$C$13-(FC_SUPUESTOS!$C$31)),1,0))</f>
        <v>0</v>
      </c>
      <c r="AA46" s="420" t="n">
        <f aca="false">IF(FC_SUPUESTOS!$C$12=0,0,IF(AA$4=MAX(1,FC_SUPUESTOS!$C$13-(FC_SUPUESTOS!$C$31)),1,0))</f>
        <v>0</v>
      </c>
      <c r="AB46" s="420" t="n">
        <f aca="false">IF(FC_SUPUESTOS!$C$12=0,0,IF(AB$4=MAX(1,FC_SUPUESTOS!$C$13-(FC_SUPUESTOS!$C$31)),1,0))</f>
        <v>0</v>
      </c>
      <c r="AC46" s="420" t="n">
        <f aca="false">IF(FC_SUPUESTOS!$C$12=0,0,IF(AC$4=MAX(1,FC_SUPUESTOS!$C$13-(FC_SUPUESTOS!$C$31)),1,0))</f>
        <v>0</v>
      </c>
      <c r="AD46" s="420" t="n">
        <f aca="false">IF(FC_SUPUESTOS!$C$12=0,0,IF(AD$4=MAX(1,FC_SUPUESTOS!$C$13-(FC_SUPUESTOS!$C$31)),1,0))</f>
        <v>0</v>
      </c>
      <c r="AE46" s="420" t="n">
        <f aca="false">IF(FC_SUPUESTOS!$C$12=0,0,IF(AE$4=MAX(1,FC_SUPUESTOS!$C$13-(FC_SUPUESTOS!$C$31)),1,0))</f>
        <v>0</v>
      </c>
      <c r="AF46" s="420" t="n">
        <f aca="false">IF(FC_SUPUESTOS!$C$12=0,0,IF(AF$4=MAX(1,FC_SUPUESTOS!$C$13-(FC_SUPUESTOS!$C$31)),1,0))</f>
        <v>0</v>
      </c>
      <c r="AG46" s="420" t="n">
        <f aca="false">IF(FC_SUPUESTOS!$C$12=0,0,IF(AG$4=MAX(1,FC_SUPUESTOS!$C$13-(FC_SUPUESTOS!$C$31)),1,0))</f>
        <v>0</v>
      </c>
      <c r="AH46" s="420" t="n">
        <f aca="false">IF(FC_SUPUESTOS!$C$12=0,0,IF(AH$4=MAX(1,FC_SUPUESTOS!$C$13-(FC_SUPUESTOS!$C$31)),1,0))</f>
        <v>0</v>
      </c>
      <c r="AI46" s="420" t="n">
        <f aca="false">IF(FC_SUPUESTOS!$C$12=0,0,IF(AI$4=MAX(1,FC_SUPUESTOS!$C$13-(FC_SUPUESTOS!$C$31)),1,0))</f>
        <v>0</v>
      </c>
      <c r="AJ46" s="420" t="n">
        <f aca="false">IF(FC_SUPUESTOS!$C$12=0,0,IF(AJ$4=MAX(1,FC_SUPUESTOS!$C$13-(FC_SUPUESTOS!$C$31)),1,0))</f>
        <v>0</v>
      </c>
      <c r="AK46" s="420" t="n">
        <f aca="false">IF(FC_SUPUESTOS!$C$12=0,0,IF(AK$4=MAX(1,FC_SUPUESTOS!$C$13-(FC_SUPUESTOS!$C$31)),1,0))</f>
        <v>0</v>
      </c>
      <c r="AL46" s="420" t="n">
        <f aca="false">IF(FC_SUPUESTOS!$C$12=0,0,IF(AL$4=MAX(1,FC_SUPUESTOS!$C$13-(FC_SUPUESTOS!$C$31)),1,0))</f>
        <v>0</v>
      </c>
      <c r="AM46" s="420" t="n">
        <f aca="false">IF(FC_SUPUESTOS!$C$12=0,0,IF(AM$4=MAX(1,FC_SUPUESTOS!$C$13-(FC_SUPUESTOS!$C$31)),1,0))</f>
        <v>0</v>
      </c>
      <c r="AN46" s="420" t="n">
        <f aca="false">IF(FC_SUPUESTOS!$C$12=0,0,IF(AN$4=MAX(1,FC_SUPUESTOS!$C$13-(FC_SUPUESTOS!$C$31)),1,0))</f>
        <v>0</v>
      </c>
      <c r="AO46" s="420" t="n">
        <f aca="false">IF(FC_SUPUESTOS!$C$12=0,0,IF(AO$4=MAX(1,FC_SUPUESTOS!$C$13-(FC_SUPUESTOS!$C$31)),1,0))</f>
        <v>0</v>
      </c>
      <c r="AP46" s="420" t="n">
        <f aca="false">IF(FC_SUPUESTOS!$C$12=0,0,IF(AP$4=MAX(1,FC_SUPUESTOS!$C$13-(FC_SUPUESTOS!$C$31)),1,0))</f>
        <v>0</v>
      </c>
      <c r="AQ46" s="420" t="n">
        <f aca="false">IF(FC_SUPUESTOS!$C$12=0,0,IF(AQ$4=MAX(1,FC_SUPUESTOS!$C$13-(FC_SUPUESTOS!$C$31)),1,0))</f>
        <v>0</v>
      </c>
      <c r="AR46" s="420" t="n">
        <f aca="false">IF(FC_SUPUESTOS!$C$12=0,0,IF(AR$4=MAX(1,FC_SUPUESTOS!$C$13-(FC_SUPUESTOS!$C$31)),1,0))</f>
        <v>0</v>
      </c>
      <c r="AS46" s="420" t="n">
        <f aca="false">IF(FC_SUPUESTOS!$C$12=0,0,IF(AS$4=MAX(1,FC_SUPUESTOS!$C$13-(FC_SUPUESTOS!$C$31)),1,0))</f>
        <v>0</v>
      </c>
      <c r="AT46" s="420" t="n">
        <f aca="false">IF(FC_SUPUESTOS!$C$12=0,0,IF(AT$4=MAX(1,FC_SUPUESTOS!$C$13-(FC_SUPUESTOS!$C$31)),1,0))</f>
        <v>0</v>
      </c>
      <c r="AU46" s="420" t="n">
        <f aca="false">IF(FC_SUPUESTOS!$C$12=0,0,IF(AU$4=MAX(1,FC_SUPUESTOS!$C$13-(FC_SUPUESTOS!$C$31)),1,0))</f>
        <v>0</v>
      </c>
      <c r="AV46" s="420" t="n">
        <f aca="false">IF(FC_SUPUESTOS!$C$12=0,0,IF(AV$4=MAX(1,FC_SUPUESTOS!$C$13-(FC_SUPUESTOS!$C$31)),1,0))</f>
        <v>0</v>
      </c>
      <c r="AW46" s="420" t="n">
        <f aca="false">IF(FC_SUPUESTOS!$C$12=0,0,IF(AW$4=MAX(1,FC_SUPUESTOS!$C$13-(FC_SUPUESTOS!$C$31)),1,0))</f>
        <v>0</v>
      </c>
      <c r="AX46" s="420" t="n">
        <f aca="false">IF(FC_SUPUESTOS!$C$12=0,0,IF(AX$4=MAX(1,FC_SUPUESTOS!$C$13-(FC_SUPUESTOS!$C$31)),1,0))</f>
        <v>0</v>
      </c>
      <c r="AY46" s="420" t="n">
        <f aca="false">IF(FC_SUPUESTOS!$C$12=0,0,IF(AY$4=MAX(1,FC_SUPUESTOS!$C$13-(FC_SUPUESTOS!$C$31)),1,0))</f>
        <v>0</v>
      </c>
      <c r="AZ46" s="420" t="n">
        <f aca="false">IF(FC_SUPUESTOS!$C$12=0,0,IF(AZ$4=MAX(1,FC_SUPUESTOS!$C$13-(FC_SUPUESTOS!$C$31)),1,0))</f>
        <v>0</v>
      </c>
      <c r="BA46" s="420" t="n">
        <f aca="false">IF(FC_SUPUESTOS!$C$12=0,0,IF(BA$4=MAX(1,FC_SUPUESTOS!$C$13-(FC_SUPUESTOS!$C$31)),1,0))</f>
        <v>0</v>
      </c>
      <c r="BB46" s="420" t="n">
        <f aca="false">IF(FC_SUPUESTOS!$C$12=0,0,IF(BB$4=MAX(1,FC_SUPUESTOS!$C$13-(FC_SUPUESTOS!$C$31)),1,0))</f>
        <v>0</v>
      </c>
      <c r="BC46" s="420" t="n">
        <f aca="false">IF(FC_SUPUESTOS!$C$12=0,0,IF(BC$4=MAX(1,FC_SUPUESTOS!$C$13-(FC_SUPUESTOS!$C$31)),1,0))</f>
        <v>0</v>
      </c>
      <c r="BD46" s="420" t="n">
        <f aca="false">IF(FC_SUPUESTOS!$C$12=0,0,IF(BD$4=MAX(1,FC_SUPUESTOS!$C$13-(FC_SUPUESTOS!$C$31)),1,0))</f>
        <v>0</v>
      </c>
      <c r="BE46" s="420" t="n">
        <f aca="false">IF(FC_SUPUESTOS!$C$12=0,0,IF(BE$4=MAX(1,FC_SUPUESTOS!$C$13-(FC_SUPUESTOS!$C$31)),1,0))</f>
        <v>0</v>
      </c>
      <c r="BF46" s="420" t="n">
        <f aca="false">IF(FC_SUPUESTOS!$C$12=0,0,IF(BF$4=MAX(1,FC_SUPUESTOS!$C$13-(FC_SUPUESTOS!$C$31)),1,0))</f>
        <v>0</v>
      </c>
      <c r="BG46" s="420" t="n">
        <f aca="false">IF(FC_SUPUESTOS!$C$12=0,0,IF(BG$4=MAX(1,FC_SUPUESTOS!$C$13-(FC_SUPUESTOS!$C$31)),1,0))</f>
        <v>0</v>
      </c>
      <c r="BH46" s="420" t="n">
        <f aca="false">IF(FC_SUPUESTOS!$C$12=0,0,IF(BH$4=MAX(1,FC_SUPUESTOS!$C$13-(FC_SUPUESTOS!$C$31)),1,0))</f>
        <v>0</v>
      </c>
      <c r="BI46" s="420" t="n">
        <f aca="false">IF(FC_SUPUESTOS!$C$12=0,0,IF(BI$4=MAX(1,FC_SUPUESTOS!$C$13-(FC_SUPUESTOS!$C$31)),1,0))</f>
        <v>0</v>
      </c>
      <c r="BJ46" s="420" t="n">
        <f aca="false">IF(FC_SUPUESTOS!$C$12=0,0,IF(BJ$4=MAX(1,FC_SUPUESTOS!$C$13-(FC_SUPUESTOS!$C$31)),1,0))</f>
        <v>0</v>
      </c>
      <c r="BK46" s="420" t="n">
        <f aca="false">IF(FC_SUPUESTOS!$C$12=0,0,IF(BK$4=MAX(1,FC_SUPUESTOS!$C$13-(FC_SUPUESTOS!$C$31)),1,0))</f>
        <v>0</v>
      </c>
    </row>
    <row r="47" customFormat="false" ht="15" hidden="false" customHeight="true" outlineLevel="0" collapsed="false">
      <c r="B47" s="297" t="s">
        <v>2387</v>
      </c>
      <c r="D47" s="420" t="n">
        <f aca="false">IF(FC_SUPUESTOS!$C$12=0,0,IF(D$4=MAX(1,FC_SUPUESTOS!$C$13-(FC_SUPUESTOS!$C$30+FC_SUPUESTOS!$C$29+FC_SUPUESTOS!$C$28)),1,0))</f>
        <v>0</v>
      </c>
      <c r="E47" s="420" t="n">
        <f aca="false">IF(FC_SUPUESTOS!$C$12=0,0,IF(E$4=MAX(1,FC_SUPUESTOS!$C$13-(FC_SUPUESTOS!$C$30+FC_SUPUESTOS!$C$29+FC_SUPUESTOS!$C$28)),1,0))</f>
        <v>0</v>
      </c>
      <c r="F47" s="420" t="n">
        <f aca="false">IF(FC_SUPUESTOS!$C$12=0,0,IF(F$4=MAX(1,FC_SUPUESTOS!$C$13-(FC_SUPUESTOS!$C$30+FC_SUPUESTOS!$C$29+FC_SUPUESTOS!$C$28)),1,0))</f>
        <v>0</v>
      </c>
      <c r="G47" s="420" t="n">
        <f aca="false">IF(FC_SUPUESTOS!$C$12=0,0,IF(G$4=MAX(1,FC_SUPUESTOS!$C$13-(FC_SUPUESTOS!$C$30+FC_SUPUESTOS!$C$29+FC_SUPUESTOS!$C$28)),1,0))</f>
        <v>0</v>
      </c>
      <c r="H47" s="420" t="n">
        <f aca="false">IF(FC_SUPUESTOS!$C$12=0,0,IF(H$4=MAX(1,FC_SUPUESTOS!$C$13-(FC_SUPUESTOS!$C$30+FC_SUPUESTOS!$C$29+FC_SUPUESTOS!$C$28)),1,0))</f>
        <v>0</v>
      </c>
      <c r="I47" s="420" t="n">
        <f aca="false">IF(FC_SUPUESTOS!$C$12=0,0,IF(I$4=MAX(1,FC_SUPUESTOS!$C$13-(FC_SUPUESTOS!$C$30+FC_SUPUESTOS!$C$29+FC_SUPUESTOS!$C$28)),1,0))</f>
        <v>0</v>
      </c>
      <c r="J47" s="420" t="n">
        <f aca="false">IF(FC_SUPUESTOS!$C$12=0,0,IF(J$4=MAX(1,FC_SUPUESTOS!$C$13-(FC_SUPUESTOS!$C$30+FC_SUPUESTOS!$C$29+FC_SUPUESTOS!$C$28)),1,0))</f>
        <v>0</v>
      </c>
      <c r="K47" s="420" t="n">
        <f aca="false">IF(FC_SUPUESTOS!$C$12=0,0,IF(K$4=MAX(1,FC_SUPUESTOS!$C$13-(FC_SUPUESTOS!$C$30+FC_SUPUESTOS!$C$29+FC_SUPUESTOS!$C$28)),1,0))</f>
        <v>0</v>
      </c>
      <c r="L47" s="420" t="n">
        <f aca="false">IF(FC_SUPUESTOS!$C$12=0,0,IF(L$4=MAX(1,FC_SUPUESTOS!$C$13-(FC_SUPUESTOS!$C$30+FC_SUPUESTOS!$C$29+FC_SUPUESTOS!$C$28)),1,0))</f>
        <v>0</v>
      </c>
      <c r="M47" s="420" t="n">
        <f aca="false">IF(FC_SUPUESTOS!$C$12=0,0,IF(M$4=MAX(1,FC_SUPUESTOS!$C$13-(FC_SUPUESTOS!$C$30+FC_SUPUESTOS!$C$29+FC_SUPUESTOS!$C$28)),1,0))</f>
        <v>0</v>
      </c>
      <c r="N47" s="420" t="n">
        <f aca="false">IF(FC_SUPUESTOS!$C$12=0,0,IF(N$4=MAX(1,FC_SUPUESTOS!$C$13-(FC_SUPUESTOS!$C$30+FC_SUPUESTOS!$C$29+FC_SUPUESTOS!$C$28)),1,0))</f>
        <v>0</v>
      </c>
      <c r="O47" s="420" t="n">
        <f aca="false">IF(FC_SUPUESTOS!$C$12=0,0,IF(O$4=MAX(1,FC_SUPUESTOS!$C$13-(FC_SUPUESTOS!$C$30+FC_SUPUESTOS!$C$29+FC_SUPUESTOS!$C$28)),1,0))</f>
        <v>0</v>
      </c>
      <c r="P47" s="420" t="n">
        <f aca="false">IF(FC_SUPUESTOS!$C$12=0,0,IF(P$4=MAX(1,FC_SUPUESTOS!$C$13-(FC_SUPUESTOS!$C$30+FC_SUPUESTOS!$C$29+FC_SUPUESTOS!$C$28)),1,0))</f>
        <v>0</v>
      </c>
      <c r="Q47" s="420" t="n">
        <f aca="false">IF(FC_SUPUESTOS!$C$12=0,0,IF(Q$4=MAX(1,FC_SUPUESTOS!$C$13-(FC_SUPUESTOS!$C$30+FC_SUPUESTOS!$C$29+FC_SUPUESTOS!$C$28)),1,0))</f>
        <v>0</v>
      </c>
      <c r="R47" s="420" t="n">
        <f aca="false">IF(FC_SUPUESTOS!$C$12=0,0,IF(R$4=MAX(1,FC_SUPUESTOS!$C$13-(FC_SUPUESTOS!$C$30+FC_SUPUESTOS!$C$29+FC_SUPUESTOS!$C$28)),1,0))</f>
        <v>0</v>
      </c>
      <c r="S47" s="420" t="n">
        <f aca="false">IF(FC_SUPUESTOS!$C$12=0,0,IF(S$4=MAX(1,FC_SUPUESTOS!$C$13-(FC_SUPUESTOS!$C$30+FC_SUPUESTOS!$C$29+FC_SUPUESTOS!$C$28)),1,0))</f>
        <v>0</v>
      </c>
      <c r="T47" s="420" t="n">
        <f aca="false">IF(FC_SUPUESTOS!$C$12=0,0,IF(T$4=MAX(1,FC_SUPUESTOS!$C$13-(FC_SUPUESTOS!$C$30+FC_SUPUESTOS!$C$29+FC_SUPUESTOS!$C$28)),1,0))</f>
        <v>0</v>
      </c>
      <c r="U47" s="420" t="n">
        <f aca="false">IF(FC_SUPUESTOS!$C$12=0,0,IF(U$4=MAX(1,FC_SUPUESTOS!$C$13-(FC_SUPUESTOS!$C$30+FC_SUPUESTOS!$C$29+FC_SUPUESTOS!$C$28)),1,0))</f>
        <v>0</v>
      </c>
      <c r="V47" s="420" t="n">
        <f aca="false">IF(FC_SUPUESTOS!$C$12=0,0,IF(V$4=MAX(1,FC_SUPUESTOS!$C$13-(FC_SUPUESTOS!$C$30+FC_SUPUESTOS!$C$29+FC_SUPUESTOS!$C$28)),1,0))</f>
        <v>0</v>
      </c>
      <c r="W47" s="420" t="n">
        <f aca="false">IF(FC_SUPUESTOS!$C$12=0,0,IF(W$4=MAX(1,FC_SUPUESTOS!$C$13-(FC_SUPUESTOS!$C$30+FC_SUPUESTOS!$C$29+FC_SUPUESTOS!$C$28)),1,0))</f>
        <v>0</v>
      </c>
      <c r="X47" s="420" t="n">
        <f aca="false">IF(FC_SUPUESTOS!$C$12=0,0,IF(X$4=MAX(1,FC_SUPUESTOS!$C$13-(FC_SUPUESTOS!$C$30+FC_SUPUESTOS!$C$29+FC_SUPUESTOS!$C$28)),1,0))</f>
        <v>0</v>
      </c>
      <c r="Y47" s="420" t="n">
        <f aca="false">IF(FC_SUPUESTOS!$C$12=0,0,IF(Y$4=MAX(1,FC_SUPUESTOS!$C$13-(FC_SUPUESTOS!$C$30+FC_SUPUESTOS!$C$29+FC_SUPUESTOS!$C$28)),1,0))</f>
        <v>0</v>
      </c>
      <c r="Z47" s="420" t="n">
        <f aca="false">IF(FC_SUPUESTOS!$C$12=0,0,IF(Z$4=MAX(1,FC_SUPUESTOS!$C$13-(FC_SUPUESTOS!$C$30+FC_SUPUESTOS!$C$29+FC_SUPUESTOS!$C$28)),1,0))</f>
        <v>0</v>
      </c>
      <c r="AA47" s="420" t="n">
        <f aca="false">IF(FC_SUPUESTOS!$C$12=0,0,IF(AA$4=MAX(1,FC_SUPUESTOS!$C$13-(FC_SUPUESTOS!$C$30+FC_SUPUESTOS!$C$29+FC_SUPUESTOS!$C$28)),1,0))</f>
        <v>0</v>
      </c>
      <c r="AB47" s="420" t="n">
        <f aca="false">IF(FC_SUPUESTOS!$C$12=0,0,IF(AB$4=MAX(1,FC_SUPUESTOS!$C$13-(FC_SUPUESTOS!$C$30+FC_SUPUESTOS!$C$29+FC_SUPUESTOS!$C$28)),1,0))</f>
        <v>0</v>
      </c>
      <c r="AC47" s="420" t="n">
        <f aca="false">IF(FC_SUPUESTOS!$C$12=0,0,IF(AC$4=MAX(1,FC_SUPUESTOS!$C$13-(FC_SUPUESTOS!$C$30+FC_SUPUESTOS!$C$29+FC_SUPUESTOS!$C$28)),1,0))</f>
        <v>0</v>
      </c>
      <c r="AD47" s="420" t="n">
        <f aca="false">IF(FC_SUPUESTOS!$C$12=0,0,IF(AD$4=MAX(1,FC_SUPUESTOS!$C$13-(FC_SUPUESTOS!$C$30+FC_SUPUESTOS!$C$29+FC_SUPUESTOS!$C$28)),1,0))</f>
        <v>0</v>
      </c>
      <c r="AE47" s="420" t="n">
        <f aca="false">IF(FC_SUPUESTOS!$C$12=0,0,IF(AE$4=MAX(1,FC_SUPUESTOS!$C$13-(FC_SUPUESTOS!$C$30+FC_SUPUESTOS!$C$29+FC_SUPUESTOS!$C$28)),1,0))</f>
        <v>0</v>
      </c>
      <c r="AF47" s="420" t="n">
        <f aca="false">IF(FC_SUPUESTOS!$C$12=0,0,IF(AF$4=MAX(1,FC_SUPUESTOS!$C$13-(FC_SUPUESTOS!$C$30+FC_SUPUESTOS!$C$29+FC_SUPUESTOS!$C$28)),1,0))</f>
        <v>0</v>
      </c>
      <c r="AG47" s="420" t="n">
        <f aca="false">IF(FC_SUPUESTOS!$C$12=0,0,IF(AG$4=MAX(1,FC_SUPUESTOS!$C$13-(FC_SUPUESTOS!$C$30+FC_SUPUESTOS!$C$29+FC_SUPUESTOS!$C$28)),1,0))</f>
        <v>0</v>
      </c>
      <c r="AH47" s="420" t="n">
        <f aca="false">IF(FC_SUPUESTOS!$C$12=0,0,IF(AH$4=MAX(1,FC_SUPUESTOS!$C$13-(FC_SUPUESTOS!$C$30+FC_SUPUESTOS!$C$29+FC_SUPUESTOS!$C$28)),1,0))</f>
        <v>0</v>
      </c>
      <c r="AI47" s="420" t="n">
        <f aca="false">IF(FC_SUPUESTOS!$C$12=0,0,IF(AI$4=MAX(1,FC_SUPUESTOS!$C$13-(FC_SUPUESTOS!$C$30+FC_SUPUESTOS!$C$29+FC_SUPUESTOS!$C$28)),1,0))</f>
        <v>0</v>
      </c>
      <c r="AJ47" s="420" t="n">
        <f aca="false">IF(FC_SUPUESTOS!$C$12=0,0,IF(AJ$4=MAX(1,FC_SUPUESTOS!$C$13-(FC_SUPUESTOS!$C$30+FC_SUPUESTOS!$C$29+FC_SUPUESTOS!$C$28)),1,0))</f>
        <v>0</v>
      </c>
      <c r="AK47" s="420" t="n">
        <f aca="false">IF(FC_SUPUESTOS!$C$12=0,0,IF(AK$4=MAX(1,FC_SUPUESTOS!$C$13-(FC_SUPUESTOS!$C$30+FC_SUPUESTOS!$C$29+FC_SUPUESTOS!$C$28)),1,0))</f>
        <v>0</v>
      </c>
      <c r="AL47" s="420" t="n">
        <f aca="false">IF(FC_SUPUESTOS!$C$12=0,0,IF(AL$4=MAX(1,FC_SUPUESTOS!$C$13-(FC_SUPUESTOS!$C$30+FC_SUPUESTOS!$C$29+FC_SUPUESTOS!$C$28)),1,0))</f>
        <v>0</v>
      </c>
      <c r="AM47" s="420" t="n">
        <f aca="false">IF(FC_SUPUESTOS!$C$12=0,0,IF(AM$4=MAX(1,FC_SUPUESTOS!$C$13-(FC_SUPUESTOS!$C$30+FC_SUPUESTOS!$C$29+FC_SUPUESTOS!$C$28)),1,0))</f>
        <v>0</v>
      </c>
      <c r="AN47" s="420" t="n">
        <f aca="false">IF(FC_SUPUESTOS!$C$12=0,0,IF(AN$4=MAX(1,FC_SUPUESTOS!$C$13-(FC_SUPUESTOS!$C$30+FC_SUPUESTOS!$C$29+FC_SUPUESTOS!$C$28)),1,0))</f>
        <v>0</v>
      </c>
      <c r="AO47" s="420" t="n">
        <f aca="false">IF(FC_SUPUESTOS!$C$12=0,0,IF(AO$4=MAX(1,FC_SUPUESTOS!$C$13-(FC_SUPUESTOS!$C$30+FC_SUPUESTOS!$C$29+FC_SUPUESTOS!$C$28)),1,0))</f>
        <v>0</v>
      </c>
      <c r="AP47" s="420" t="n">
        <f aca="false">IF(FC_SUPUESTOS!$C$12=0,0,IF(AP$4=MAX(1,FC_SUPUESTOS!$C$13-(FC_SUPUESTOS!$C$30+FC_SUPUESTOS!$C$29+FC_SUPUESTOS!$C$28)),1,0))</f>
        <v>0</v>
      </c>
      <c r="AQ47" s="420" t="n">
        <f aca="false">IF(FC_SUPUESTOS!$C$12=0,0,IF(AQ$4=MAX(1,FC_SUPUESTOS!$C$13-(FC_SUPUESTOS!$C$30+FC_SUPUESTOS!$C$29+FC_SUPUESTOS!$C$28)),1,0))</f>
        <v>0</v>
      </c>
      <c r="AR47" s="420" t="n">
        <f aca="false">IF(FC_SUPUESTOS!$C$12=0,0,IF(AR$4=MAX(1,FC_SUPUESTOS!$C$13-(FC_SUPUESTOS!$C$30+FC_SUPUESTOS!$C$29+FC_SUPUESTOS!$C$28)),1,0))</f>
        <v>0</v>
      </c>
      <c r="AS47" s="420" t="n">
        <f aca="false">IF(FC_SUPUESTOS!$C$12=0,0,IF(AS$4=MAX(1,FC_SUPUESTOS!$C$13-(FC_SUPUESTOS!$C$30+FC_SUPUESTOS!$C$29+FC_SUPUESTOS!$C$28)),1,0))</f>
        <v>0</v>
      </c>
      <c r="AT47" s="420" t="n">
        <f aca="false">IF(FC_SUPUESTOS!$C$12=0,0,IF(AT$4=MAX(1,FC_SUPUESTOS!$C$13-(FC_SUPUESTOS!$C$30+FC_SUPUESTOS!$C$29+FC_SUPUESTOS!$C$28)),1,0))</f>
        <v>0</v>
      </c>
      <c r="AU47" s="420" t="n">
        <f aca="false">IF(FC_SUPUESTOS!$C$12=0,0,IF(AU$4=MAX(1,FC_SUPUESTOS!$C$13-(FC_SUPUESTOS!$C$30+FC_SUPUESTOS!$C$29+FC_SUPUESTOS!$C$28)),1,0))</f>
        <v>0</v>
      </c>
      <c r="AV47" s="420" t="n">
        <f aca="false">IF(FC_SUPUESTOS!$C$12=0,0,IF(AV$4=MAX(1,FC_SUPUESTOS!$C$13-(FC_SUPUESTOS!$C$30+FC_SUPUESTOS!$C$29+FC_SUPUESTOS!$C$28)),1,0))</f>
        <v>0</v>
      </c>
      <c r="AW47" s="420" t="n">
        <f aca="false">IF(FC_SUPUESTOS!$C$12=0,0,IF(AW$4=MAX(1,FC_SUPUESTOS!$C$13-(FC_SUPUESTOS!$C$30+FC_SUPUESTOS!$C$29+FC_SUPUESTOS!$C$28)),1,0))</f>
        <v>0</v>
      </c>
      <c r="AX47" s="420" t="n">
        <f aca="false">IF(FC_SUPUESTOS!$C$12=0,0,IF(AX$4=MAX(1,FC_SUPUESTOS!$C$13-(FC_SUPUESTOS!$C$30+FC_SUPUESTOS!$C$29+FC_SUPUESTOS!$C$28)),1,0))</f>
        <v>0</v>
      </c>
      <c r="AY47" s="420" t="n">
        <f aca="false">IF(FC_SUPUESTOS!$C$12=0,0,IF(AY$4=MAX(1,FC_SUPUESTOS!$C$13-(FC_SUPUESTOS!$C$30+FC_SUPUESTOS!$C$29+FC_SUPUESTOS!$C$28)),1,0))</f>
        <v>0</v>
      </c>
      <c r="AZ47" s="420" t="n">
        <f aca="false">IF(FC_SUPUESTOS!$C$12=0,0,IF(AZ$4=MAX(1,FC_SUPUESTOS!$C$13-(FC_SUPUESTOS!$C$30+FC_SUPUESTOS!$C$29+FC_SUPUESTOS!$C$28)),1,0))</f>
        <v>0</v>
      </c>
      <c r="BA47" s="420" t="n">
        <f aca="false">IF(FC_SUPUESTOS!$C$12=0,0,IF(BA$4=MAX(1,FC_SUPUESTOS!$C$13-(FC_SUPUESTOS!$C$30+FC_SUPUESTOS!$C$29+FC_SUPUESTOS!$C$28)),1,0))</f>
        <v>0</v>
      </c>
      <c r="BB47" s="420" t="n">
        <f aca="false">IF(FC_SUPUESTOS!$C$12=0,0,IF(BB$4=MAX(1,FC_SUPUESTOS!$C$13-(FC_SUPUESTOS!$C$30+FC_SUPUESTOS!$C$29+FC_SUPUESTOS!$C$28)),1,0))</f>
        <v>0</v>
      </c>
      <c r="BC47" s="420" t="n">
        <f aca="false">IF(FC_SUPUESTOS!$C$12=0,0,IF(BC$4=MAX(1,FC_SUPUESTOS!$C$13-(FC_SUPUESTOS!$C$30+FC_SUPUESTOS!$C$29+FC_SUPUESTOS!$C$28)),1,0))</f>
        <v>0</v>
      </c>
      <c r="BD47" s="420" t="n">
        <f aca="false">IF(FC_SUPUESTOS!$C$12=0,0,IF(BD$4=MAX(1,FC_SUPUESTOS!$C$13-(FC_SUPUESTOS!$C$30+FC_SUPUESTOS!$C$29+FC_SUPUESTOS!$C$28)),1,0))</f>
        <v>0</v>
      </c>
      <c r="BE47" s="420" t="n">
        <f aca="false">IF(FC_SUPUESTOS!$C$12=0,0,IF(BE$4=MAX(1,FC_SUPUESTOS!$C$13-(FC_SUPUESTOS!$C$30+FC_SUPUESTOS!$C$29+FC_SUPUESTOS!$C$28)),1,0))</f>
        <v>0</v>
      </c>
      <c r="BF47" s="420" t="n">
        <f aca="false">IF(FC_SUPUESTOS!$C$12=0,0,IF(BF$4=MAX(1,FC_SUPUESTOS!$C$13-(FC_SUPUESTOS!$C$30+FC_SUPUESTOS!$C$29+FC_SUPUESTOS!$C$28)),1,0))</f>
        <v>0</v>
      </c>
      <c r="BG47" s="420" t="n">
        <f aca="false">IF(FC_SUPUESTOS!$C$12=0,0,IF(BG$4=MAX(1,FC_SUPUESTOS!$C$13-(FC_SUPUESTOS!$C$30+FC_SUPUESTOS!$C$29+FC_SUPUESTOS!$C$28)),1,0))</f>
        <v>0</v>
      </c>
      <c r="BH47" s="420" t="n">
        <f aca="false">IF(FC_SUPUESTOS!$C$12=0,0,IF(BH$4=MAX(1,FC_SUPUESTOS!$C$13-(FC_SUPUESTOS!$C$30+FC_SUPUESTOS!$C$29+FC_SUPUESTOS!$C$28)),1,0))</f>
        <v>0</v>
      </c>
      <c r="BI47" s="420" t="n">
        <f aca="false">IF(FC_SUPUESTOS!$C$12=0,0,IF(BI$4=MAX(1,FC_SUPUESTOS!$C$13-(FC_SUPUESTOS!$C$30+FC_SUPUESTOS!$C$29+FC_SUPUESTOS!$C$28)),1,0))</f>
        <v>0</v>
      </c>
      <c r="BJ47" s="420" t="n">
        <f aca="false">IF(FC_SUPUESTOS!$C$12=0,0,IF(BJ$4=MAX(1,FC_SUPUESTOS!$C$13-(FC_SUPUESTOS!$C$30+FC_SUPUESTOS!$C$29+FC_SUPUESTOS!$C$28)),1,0))</f>
        <v>0</v>
      </c>
      <c r="BK47" s="420" t="n">
        <f aca="false">IF(FC_SUPUESTOS!$C$12=0,0,IF(BK$4=MAX(1,FC_SUPUESTOS!$C$13-(FC_SUPUESTOS!$C$30+FC_SUPUESTOS!$C$29+FC_SUPUESTOS!$C$28)),1,0))</f>
        <v>0</v>
      </c>
    </row>
    <row r="48" customFormat="false" ht="15" hidden="false" customHeight="true" outlineLevel="0" collapsed="false">
      <c r="B48" s="297" t="s">
        <v>2388</v>
      </c>
      <c r="D48" s="420" t="n">
        <f aca="false">IF(FC_SUPUESTOS!$C$12=0,0,IF(D$4=MAX(1,FC_SUPUESTOS!$C$13-(FC_SUPUESTOS!$C$30+FC_SUPUESTOS!$C$29)),1,0))</f>
        <v>0</v>
      </c>
      <c r="E48" s="420" t="n">
        <f aca="false">IF(FC_SUPUESTOS!$C$12=0,0,IF(E$4=MAX(1,FC_SUPUESTOS!$C$13-(FC_SUPUESTOS!$C$30+FC_SUPUESTOS!$C$29)),1,0))</f>
        <v>0</v>
      </c>
      <c r="F48" s="420" t="n">
        <f aca="false">IF(FC_SUPUESTOS!$C$12=0,0,IF(F$4=MAX(1,FC_SUPUESTOS!$C$13-(FC_SUPUESTOS!$C$30+FC_SUPUESTOS!$C$29)),1,0))</f>
        <v>0</v>
      </c>
      <c r="G48" s="420" t="n">
        <f aca="false">IF(FC_SUPUESTOS!$C$12=0,0,IF(G$4=MAX(1,FC_SUPUESTOS!$C$13-(FC_SUPUESTOS!$C$30+FC_SUPUESTOS!$C$29)),1,0))</f>
        <v>0</v>
      </c>
      <c r="H48" s="420" t="n">
        <f aca="false">IF(FC_SUPUESTOS!$C$12=0,0,IF(H$4=MAX(1,FC_SUPUESTOS!$C$13-(FC_SUPUESTOS!$C$30+FC_SUPUESTOS!$C$29)),1,0))</f>
        <v>0</v>
      </c>
      <c r="I48" s="420" t="n">
        <f aca="false">IF(FC_SUPUESTOS!$C$12=0,0,IF(I$4=MAX(1,FC_SUPUESTOS!$C$13-(FC_SUPUESTOS!$C$30+FC_SUPUESTOS!$C$29)),1,0))</f>
        <v>0</v>
      </c>
      <c r="J48" s="420" t="n">
        <f aca="false">IF(FC_SUPUESTOS!$C$12=0,0,IF(J$4=MAX(1,FC_SUPUESTOS!$C$13-(FC_SUPUESTOS!$C$30+FC_SUPUESTOS!$C$29)),1,0))</f>
        <v>0</v>
      </c>
      <c r="K48" s="420" t="n">
        <f aca="false">IF(FC_SUPUESTOS!$C$12=0,0,IF(K$4=MAX(1,FC_SUPUESTOS!$C$13-(FC_SUPUESTOS!$C$30+FC_SUPUESTOS!$C$29)),1,0))</f>
        <v>0</v>
      </c>
      <c r="L48" s="420" t="n">
        <f aca="false">IF(FC_SUPUESTOS!$C$12=0,0,IF(L$4=MAX(1,FC_SUPUESTOS!$C$13-(FC_SUPUESTOS!$C$30+FC_SUPUESTOS!$C$29)),1,0))</f>
        <v>0</v>
      </c>
      <c r="M48" s="420" t="n">
        <f aca="false">IF(FC_SUPUESTOS!$C$12=0,0,IF(M$4=MAX(1,FC_SUPUESTOS!$C$13-(FC_SUPUESTOS!$C$30+FC_SUPUESTOS!$C$29)),1,0))</f>
        <v>0</v>
      </c>
      <c r="N48" s="420" t="n">
        <f aca="false">IF(FC_SUPUESTOS!$C$12=0,0,IF(N$4=MAX(1,FC_SUPUESTOS!$C$13-(FC_SUPUESTOS!$C$30+FC_SUPUESTOS!$C$29)),1,0))</f>
        <v>0</v>
      </c>
      <c r="O48" s="420" t="n">
        <f aca="false">IF(FC_SUPUESTOS!$C$12=0,0,IF(O$4=MAX(1,FC_SUPUESTOS!$C$13-(FC_SUPUESTOS!$C$30+FC_SUPUESTOS!$C$29)),1,0))</f>
        <v>0</v>
      </c>
      <c r="P48" s="420" t="n">
        <f aca="false">IF(FC_SUPUESTOS!$C$12=0,0,IF(P$4=MAX(1,FC_SUPUESTOS!$C$13-(FC_SUPUESTOS!$C$30+FC_SUPUESTOS!$C$29)),1,0))</f>
        <v>0</v>
      </c>
      <c r="Q48" s="420" t="n">
        <f aca="false">IF(FC_SUPUESTOS!$C$12=0,0,IF(Q$4=MAX(1,FC_SUPUESTOS!$C$13-(FC_SUPUESTOS!$C$30+FC_SUPUESTOS!$C$29)),1,0))</f>
        <v>0</v>
      </c>
      <c r="R48" s="420" t="n">
        <f aca="false">IF(FC_SUPUESTOS!$C$12=0,0,IF(R$4=MAX(1,FC_SUPUESTOS!$C$13-(FC_SUPUESTOS!$C$30+FC_SUPUESTOS!$C$29)),1,0))</f>
        <v>0</v>
      </c>
      <c r="S48" s="420" t="n">
        <f aca="false">IF(FC_SUPUESTOS!$C$12=0,0,IF(S$4=MAX(1,FC_SUPUESTOS!$C$13-(FC_SUPUESTOS!$C$30+FC_SUPUESTOS!$C$29)),1,0))</f>
        <v>0</v>
      </c>
      <c r="T48" s="420" t="n">
        <f aca="false">IF(FC_SUPUESTOS!$C$12=0,0,IF(T$4=MAX(1,FC_SUPUESTOS!$C$13-(FC_SUPUESTOS!$C$30+FC_SUPUESTOS!$C$29)),1,0))</f>
        <v>0</v>
      </c>
      <c r="U48" s="420" t="n">
        <f aca="false">IF(FC_SUPUESTOS!$C$12=0,0,IF(U$4=MAX(1,FC_SUPUESTOS!$C$13-(FC_SUPUESTOS!$C$30+FC_SUPUESTOS!$C$29)),1,0))</f>
        <v>0</v>
      </c>
      <c r="V48" s="420" t="n">
        <f aca="false">IF(FC_SUPUESTOS!$C$12=0,0,IF(V$4=MAX(1,FC_SUPUESTOS!$C$13-(FC_SUPUESTOS!$C$30+FC_SUPUESTOS!$C$29)),1,0))</f>
        <v>0</v>
      </c>
      <c r="W48" s="420" t="n">
        <f aca="false">IF(FC_SUPUESTOS!$C$12=0,0,IF(W$4=MAX(1,FC_SUPUESTOS!$C$13-(FC_SUPUESTOS!$C$30+FC_SUPUESTOS!$C$29)),1,0))</f>
        <v>0</v>
      </c>
      <c r="X48" s="420" t="n">
        <f aca="false">IF(FC_SUPUESTOS!$C$12=0,0,IF(X$4=MAX(1,FC_SUPUESTOS!$C$13-(FC_SUPUESTOS!$C$30+FC_SUPUESTOS!$C$29)),1,0))</f>
        <v>0</v>
      </c>
      <c r="Y48" s="420" t="n">
        <f aca="false">IF(FC_SUPUESTOS!$C$12=0,0,IF(Y$4=MAX(1,FC_SUPUESTOS!$C$13-(FC_SUPUESTOS!$C$30+FC_SUPUESTOS!$C$29)),1,0))</f>
        <v>0</v>
      </c>
      <c r="Z48" s="420" t="n">
        <f aca="false">IF(FC_SUPUESTOS!$C$12=0,0,IF(Z$4=MAX(1,FC_SUPUESTOS!$C$13-(FC_SUPUESTOS!$C$30+FC_SUPUESTOS!$C$29)),1,0))</f>
        <v>0</v>
      </c>
      <c r="AA48" s="420" t="n">
        <f aca="false">IF(FC_SUPUESTOS!$C$12=0,0,IF(AA$4=MAX(1,FC_SUPUESTOS!$C$13-(FC_SUPUESTOS!$C$30+FC_SUPUESTOS!$C$29)),1,0))</f>
        <v>0</v>
      </c>
      <c r="AB48" s="420" t="n">
        <f aca="false">IF(FC_SUPUESTOS!$C$12=0,0,IF(AB$4=MAX(1,FC_SUPUESTOS!$C$13-(FC_SUPUESTOS!$C$30+FC_SUPUESTOS!$C$29)),1,0))</f>
        <v>0</v>
      </c>
      <c r="AC48" s="420" t="n">
        <f aca="false">IF(FC_SUPUESTOS!$C$12=0,0,IF(AC$4=MAX(1,FC_SUPUESTOS!$C$13-(FC_SUPUESTOS!$C$30+FC_SUPUESTOS!$C$29)),1,0))</f>
        <v>0</v>
      </c>
      <c r="AD48" s="420" t="n">
        <f aca="false">IF(FC_SUPUESTOS!$C$12=0,0,IF(AD$4=MAX(1,FC_SUPUESTOS!$C$13-(FC_SUPUESTOS!$C$30+FC_SUPUESTOS!$C$29)),1,0))</f>
        <v>0</v>
      </c>
      <c r="AE48" s="420" t="n">
        <f aca="false">IF(FC_SUPUESTOS!$C$12=0,0,IF(AE$4=MAX(1,FC_SUPUESTOS!$C$13-(FC_SUPUESTOS!$C$30+FC_SUPUESTOS!$C$29)),1,0))</f>
        <v>0</v>
      </c>
      <c r="AF48" s="420" t="n">
        <f aca="false">IF(FC_SUPUESTOS!$C$12=0,0,IF(AF$4=MAX(1,FC_SUPUESTOS!$C$13-(FC_SUPUESTOS!$C$30+FC_SUPUESTOS!$C$29)),1,0))</f>
        <v>0</v>
      </c>
      <c r="AG48" s="420" t="n">
        <f aca="false">IF(FC_SUPUESTOS!$C$12=0,0,IF(AG$4=MAX(1,FC_SUPUESTOS!$C$13-(FC_SUPUESTOS!$C$30+FC_SUPUESTOS!$C$29)),1,0))</f>
        <v>0</v>
      </c>
      <c r="AH48" s="420" t="n">
        <f aca="false">IF(FC_SUPUESTOS!$C$12=0,0,IF(AH$4=MAX(1,FC_SUPUESTOS!$C$13-(FC_SUPUESTOS!$C$30+FC_SUPUESTOS!$C$29)),1,0))</f>
        <v>0</v>
      </c>
      <c r="AI48" s="420" t="n">
        <f aca="false">IF(FC_SUPUESTOS!$C$12=0,0,IF(AI$4=MAX(1,FC_SUPUESTOS!$C$13-(FC_SUPUESTOS!$C$30+FC_SUPUESTOS!$C$29)),1,0))</f>
        <v>0</v>
      </c>
      <c r="AJ48" s="420" t="n">
        <f aca="false">IF(FC_SUPUESTOS!$C$12=0,0,IF(AJ$4=MAX(1,FC_SUPUESTOS!$C$13-(FC_SUPUESTOS!$C$30+FC_SUPUESTOS!$C$29)),1,0))</f>
        <v>0</v>
      </c>
      <c r="AK48" s="420" t="n">
        <f aca="false">IF(FC_SUPUESTOS!$C$12=0,0,IF(AK$4=MAX(1,FC_SUPUESTOS!$C$13-(FC_SUPUESTOS!$C$30+FC_SUPUESTOS!$C$29)),1,0))</f>
        <v>0</v>
      </c>
      <c r="AL48" s="420" t="n">
        <f aca="false">IF(FC_SUPUESTOS!$C$12=0,0,IF(AL$4=MAX(1,FC_SUPUESTOS!$C$13-(FC_SUPUESTOS!$C$30+FC_SUPUESTOS!$C$29)),1,0))</f>
        <v>0</v>
      </c>
      <c r="AM48" s="420" t="n">
        <f aca="false">IF(FC_SUPUESTOS!$C$12=0,0,IF(AM$4=MAX(1,FC_SUPUESTOS!$C$13-(FC_SUPUESTOS!$C$30+FC_SUPUESTOS!$C$29)),1,0))</f>
        <v>0</v>
      </c>
      <c r="AN48" s="420" t="n">
        <f aca="false">IF(FC_SUPUESTOS!$C$12=0,0,IF(AN$4=MAX(1,FC_SUPUESTOS!$C$13-(FC_SUPUESTOS!$C$30+FC_SUPUESTOS!$C$29)),1,0))</f>
        <v>0</v>
      </c>
      <c r="AO48" s="420" t="n">
        <f aca="false">IF(FC_SUPUESTOS!$C$12=0,0,IF(AO$4=MAX(1,FC_SUPUESTOS!$C$13-(FC_SUPUESTOS!$C$30+FC_SUPUESTOS!$C$29)),1,0))</f>
        <v>0</v>
      </c>
      <c r="AP48" s="420" t="n">
        <f aca="false">IF(FC_SUPUESTOS!$C$12=0,0,IF(AP$4=MAX(1,FC_SUPUESTOS!$C$13-(FC_SUPUESTOS!$C$30+FC_SUPUESTOS!$C$29)),1,0))</f>
        <v>0</v>
      </c>
      <c r="AQ48" s="420" t="n">
        <f aca="false">IF(FC_SUPUESTOS!$C$12=0,0,IF(AQ$4=MAX(1,FC_SUPUESTOS!$C$13-(FC_SUPUESTOS!$C$30+FC_SUPUESTOS!$C$29)),1,0))</f>
        <v>0</v>
      </c>
      <c r="AR48" s="420" t="n">
        <f aca="false">IF(FC_SUPUESTOS!$C$12=0,0,IF(AR$4=MAX(1,FC_SUPUESTOS!$C$13-(FC_SUPUESTOS!$C$30+FC_SUPUESTOS!$C$29)),1,0))</f>
        <v>0</v>
      </c>
      <c r="AS48" s="420" t="n">
        <f aca="false">IF(FC_SUPUESTOS!$C$12=0,0,IF(AS$4=MAX(1,FC_SUPUESTOS!$C$13-(FC_SUPUESTOS!$C$30+FC_SUPUESTOS!$C$29)),1,0))</f>
        <v>0</v>
      </c>
      <c r="AT48" s="420" t="n">
        <f aca="false">IF(FC_SUPUESTOS!$C$12=0,0,IF(AT$4=MAX(1,FC_SUPUESTOS!$C$13-(FC_SUPUESTOS!$C$30+FC_SUPUESTOS!$C$29)),1,0))</f>
        <v>0</v>
      </c>
      <c r="AU48" s="420" t="n">
        <f aca="false">IF(FC_SUPUESTOS!$C$12=0,0,IF(AU$4=MAX(1,FC_SUPUESTOS!$C$13-(FC_SUPUESTOS!$C$30+FC_SUPUESTOS!$C$29)),1,0))</f>
        <v>0</v>
      </c>
      <c r="AV48" s="420" t="n">
        <f aca="false">IF(FC_SUPUESTOS!$C$12=0,0,IF(AV$4=MAX(1,FC_SUPUESTOS!$C$13-(FC_SUPUESTOS!$C$30+FC_SUPUESTOS!$C$29)),1,0))</f>
        <v>0</v>
      </c>
      <c r="AW48" s="420" t="n">
        <f aca="false">IF(FC_SUPUESTOS!$C$12=0,0,IF(AW$4=MAX(1,FC_SUPUESTOS!$C$13-(FC_SUPUESTOS!$C$30+FC_SUPUESTOS!$C$29)),1,0))</f>
        <v>0</v>
      </c>
      <c r="AX48" s="420" t="n">
        <f aca="false">IF(FC_SUPUESTOS!$C$12=0,0,IF(AX$4=MAX(1,FC_SUPUESTOS!$C$13-(FC_SUPUESTOS!$C$30+FC_SUPUESTOS!$C$29)),1,0))</f>
        <v>0</v>
      </c>
      <c r="AY48" s="420" t="n">
        <f aca="false">IF(FC_SUPUESTOS!$C$12=0,0,IF(AY$4=MAX(1,FC_SUPUESTOS!$C$13-(FC_SUPUESTOS!$C$30+FC_SUPUESTOS!$C$29)),1,0))</f>
        <v>0</v>
      </c>
      <c r="AZ48" s="420" t="n">
        <f aca="false">IF(FC_SUPUESTOS!$C$12=0,0,IF(AZ$4=MAX(1,FC_SUPUESTOS!$C$13-(FC_SUPUESTOS!$C$30+FC_SUPUESTOS!$C$29)),1,0))</f>
        <v>0</v>
      </c>
      <c r="BA48" s="420" t="n">
        <f aca="false">IF(FC_SUPUESTOS!$C$12=0,0,IF(BA$4=MAX(1,FC_SUPUESTOS!$C$13-(FC_SUPUESTOS!$C$30+FC_SUPUESTOS!$C$29)),1,0))</f>
        <v>0</v>
      </c>
      <c r="BB48" s="420" t="n">
        <f aca="false">IF(FC_SUPUESTOS!$C$12=0,0,IF(BB$4=MAX(1,FC_SUPUESTOS!$C$13-(FC_SUPUESTOS!$C$30+FC_SUPUESTOS!$C$29)),1,0))</f>
        <v>0</v>
      </c>
      <c r="BC48" s="420" t="n">
        <f aca="false">IF(FC_SUPUESTOS!$C$12=0,0,IF(BC$4=MAX(1,FC_SUPUESTOS!$C$13-(FC_SUPUESTOS!$C$30+FC_SUPUESTOS!$C$29)),1,0))</f>
        <v>0</v>
      </c>
      <c r="BD48" s="420" t="n">
        <f aca="false">IF(FC_SUPUESTOS!$C$12=0,0,IF(BD$4=MAX(1,FC_SUPUESTOS!$C$13-(FC_SUPUESTOS!$C$30+FC_SUPUESTOS!$C$29)),1,0))</f>
        <v>0</v>
      </c>
      <c r="BE48" s="420" t="n">
        <f aca="false">IF(FC_SUPUESTOS!$C$12=0,0,IF(BE$4=MAX(1,FC_SUPUESTOS!$C$13-(FC_SUPUESTOS!$C$30+FC_SUPUESTOS!$C$29)),1,0))</f>
        <v>0</v>
      </c>
      <c r="BF48" s="420" t="n">
        <f aca="false">IF(FC_SUPUESTOS!$C$12=0,0,IF(BF$4=MAX(1,FC_SUPUESTOS!$C$13-(FC_SUPUESTOS!$C$30+FC_SUPUESTOS!$C$29)),1,0))</f>
        <v>0</v>
      </c>
      <c r="BG48" s="420" t="n">
        <f aca="false">IF(FC_SUPUESTOS!$C$12=0,0,IF(BG$4=MAX(1,FC_SUPUESTOS!$C$13-(FC_SUPUESTOS!$C$30+FC_SUPUESTOS!$C$29)),1,0))</f>
        <v>0</v>
      </c>
      <c r="BH48" s="420" t="n">
        <f aca="false">IF(FC_SUPUESTOS!$C$12=0,0,IF(BH$4=MAX(1,FC_SUPUESTOS!$C$13-(FC_SUPUESTOS!$C$30+FC_SUPUESTOS!$C$29)),1,0))</f>
        <v>0</v>
      </c>
      <c r="BI48" s="420" t="n">
        <f aca="false">IF(FC_SUPUESTOS!$C$12=0,0,IF(BI$4=MAX(1,FC_SUPUESTOS!$C$13-(FC_SUPUESTOS!$C$30+FC_SUPUESTOS!$C$29)),1,0))</f>
        <v>0</v>
      </c>
      <c r="BJ48" s="420" t="n">
        <f aca="false">IF(FC_SUPUESTOS!$C$12=0,0,IF(BJ$4=MAX(1,FC_SUPUESTOS!$C$13-(FC_SUPUESTOS!$C$30+FC_SUPUESTOS!$C$29)),1,0))</f>
        <v>0</v>
      </c>
      <c r="BK48" s="420" t="n">
        <f aca="false">IF(FC_SUPUESTOS!$C$12=0,0,IF(BK$4=MAX(1,FC_SUPUESTOS!$C$13-(FC_SUPUESTOS!$C$30+FC_SUPUESTOS!$C$29)),1,0))</f>
        <v>0</v>
      </c>
    </row>
    <row r="49" customFormat="false" ht="15" hidden="false" customHeight="true" outlineLevel="0" collapsed="false">
      <c r="B49" s="297" t="s">
        <v>2389</v>
      </c>
      <c r="D49" s="420" t="n">
        <f aca="false">IF(FC_SUPUESTOS!$C$12=0,0,IF(D$4=MAX(1,FC_SUPUESTOS!$C$13-(FC_SUPUESTOS!$C$53)),1,0))</f>
        <v>0</v>
      </c>
      <c r="E49" s="420" t="n">
        <f aca="false">IF(FC_SUPUESTOS!$C$12=0,0,IF(E$4=MAX(1,FC_SUPUESTOS!$C$13-(FC_SUPUESTOS!$C$53)),1,0))</f>
        <v>0</v>
      </c>
      <c r="F49" s="420" t="n">
        <f aca="false">IF(FC_SUPUESTOS!$C$12=0,0,IF(F$4=MAX(1,FC_SUPUESTOS!$C$13-(FC_SUPUESTOS!$C$53)),1,0))</f>
        <v>0</v>
      </c>
      <c r="G49" s="420" t="n">
        <f aca="false">IF(FC_SUPUESTOS!$C$12=0,0,IF(G$4=MAX(1,FC_SUPUESTOS!$C$13-(FC_SUPUESTOS!$C$53)),1,0))</f>
        <v>0</v>
      </c>
      <c r="H49" s="420" t="n">
        <f aca="false">IF(FC_SUPUESTOS!$C$12=0,0,IF(H$4=MAX(1,FC_SUPUESTOS!$C$13-(FC_SUPUESTOS!$C$53)),1,0))</f>
        <v>0</v>
      </c>
      <c r="I49" s="420" t="n">
        <f aca="false">IF(FC_SUPUESTOS!$C$12=0,0,IF(I$4=MAX(1,FC_SUPUESTOS!$C$13-(FC_SUPUESTOS!$C$53)),1,0))</f>
        <v>0</v>
      </c>
      <c r="J49" s="420" t="n">
        <f aca="false">IF(FC_SUPUESTOS!$C$12=0,0,IF(J$4=MAX(1,FC_SUPUESTOS!$C$13-(FC_SUPUESTOS!$C$53)),1,0))</f>
        <v>0</v>
      </c>
      <c r="K49" s="420" t="n">
        <f aca="false">IF(FC_SUPUESTOS!$C$12=0,0,IF(K$4=MAX(1,FC_SUPUESTOS!$C$13-(FC_SUPUESTOS!$C$53)),1,0))</f>
        <v>0</v>
      </c>
      <c r="L49" s="420" t="n">
        <f aca="false">IF(FC_SUPUESTOS!$C$12=0,0,IF(L$4=MAX(1,FC_SUPUESTOS!$C$13-(FC_SUPUESTOS!$C$53)),1,0))</f>
        <v>0</v>
      </c>
      <c r="M49" s="420" t="n">
        <f aca="false">IF(FC_SUPUESTOS!$C$12=0,0,IF(M$4=MAX(1,FC_SUPUESTOS!$C$13-(FC_SUPUESTOS!$C$53)),1,0))</f>
        <v>0</v>
      </c>
      <c r="N49" s="420" t="n">
        <f aca="false">IF(FC_SUPUESTOS!$C$12=0,0,IF(N$4=MAX(1,FC_SUPUESTOS!$C$13-(FC_SUPUESTOS!$C$53)),1,0))</f>
        <v>0</v>
      </c>
      <c r="O49" s="420" t="n">
        <f aca="false">IF(FC_SUPUESTOS!$C$12=0,0,IF(O$4=MAX(1,FC_SUPUESTOS!$C$13-(FC_SUPUESTOS!$C$53)),1,0))</f>
        <v>0</v>
      </c>
      <c r="P49" s="420" t="n">
        <f aca="false">IF(FC_SUPUESTOS!$C$12=0,0,IF(P$4=MAX(1,FC_SUPUESTOS!$C$13-(FC_SUPUESTOS!$C$53)),1,0))</f>
        <v>0</v>
      </c>
      <c r="Q49" s="420" t="n">
        <f aca="false">IF(FC_SUPUESTOS!$C$12=0,0,IF(Q$4=MAX(1,FC_SUPUESTOS!$C$13-(FC_SUPUESTOS!$C$53)),1,0))</f>
        <v>0</v>
      </c>
      <c r="R49" s="420" t="n">
        <f aca="false">IF(FC_SUPUESTOS!$C$12=0,0,IF(R$4=MAX(1,FC_SUPUESTOS!$C$13-(FC_SUPUESTOS!$C$53)),1,0))</f>
        <v>0</v>
      </c>
      <c r="S49" s="420" t="n">
        <f aca="false">IF(FC_SUPUESTOS!$C$12=0,0,IF(S$4=MAX(1,FC_SUPUESTOS!$C$13-(FC_SUPUESTOS!$C$53)),1,0))</f>
        <v>0</v>
      </c>
      <c r="T49" s="420" t="n">
        <f aca="false">IF(FC_SUPUESTOS!$C$12=0,0,IF(T$4=MAX(1,FC_SUPUESTOS!$C$13-(FC_SUPUESTOS!$C$53)),1,0))</f>
        <v>0</v>
      </c>
      <c r="U49" s="420" t="n">
        <f aca="false">IF(FC_SUPUESTOS!$C$12=0,0,IF(U$4=MAX(1,FC_SUPUESTOS!$C$13-(FC_SUPUESTOS!$C$53)),1,0))</f>
        <v>0</v>
      </c>
      <c r="V49" s="420" t="n">
        <f aca="false">IF(FC_SUPUESTOS!$C$12=0,0,IF(V$4=MAX(1,FC_SUPUESTOS!$C$13-(FC_SUPUESTOS!$C$53)),1,0))</f>
        <v>0</v>
      </c>
      <c r="W49" s="420" t="n">
        <f aca="false">IF(FC_SUPUESTOS!$C$12=0,0,IF(W$4=MAX(1,FC_SUPUESTOS!$C$13-(FC_SUPUESTOS!$C$53)),1,0))</f>
        <v>0</v>
      </c>
      <c r="X49" s="420" t="n">
        <f aca="false">IF(FC_SUPUESTOS!$C$12=0,0,IF(X$4=MAX(1,FC_SUPUESTOS!$C$13-(FC_SUPUESTOS!$C$53)),1,0))</f>
        <v>0</v>
      </c>
      <c r="Y49" s="420" t="n">
        <f aca="false">IF(FC_SUPUESTOS!$C$12=0,0,IF(Y$4=MAX(1,FC_SUPUESTOS!$C$13-(FC_SUPUESTOS!$C$53)),1,0))</f>
        <v>0</v>
      </c>
      <c r="Z49" s="420" t="n">
        <f aca="false">IF(FC_SUPUESTOS!$C$12=0,0,IF(Z$4=MAX(1,FC_SUPUESTOS!$C$13-(FC_SUPUESTOS!$C$53)),1,0))</f>
        <v>0</v>
      </c>
      <c r="AA49" s="420" t="n">
        <f aca="false">IF(FC_SUPUESTOS!$C$12=0,0,IF(AA$4=MAX(1,FC_SUPUESTOS!$C$13-(FC_SUPUESTOS!$C$53)),1,0))</f>
        <v>0</v>
      </c>
      <c r="AB49" s="420" t="n">
        <f aca="false">IF(FC_SUPUESTOS!$C$12=0,0,IF(AB$4=MAX(1,FC_SUPUESTOS!$C$13-(FC_SUPUESTOS!$C$53)),1,0))</f>
        <v>0</v>
      </c>
      <c r="AC49" s="420" t="n">
        <f aca="false">IF(FC_SUPUESTOS!$C$12=0,0,IF(AC$4=MAX(1,FC_SUPUESTOS!$C$13-(FC_SUPUESTOS!$C$53)),1,0))</f>
        <v>0</v>
      </c>
      <c r="AD49" s="420" t="n">
        <f aca="false">IF(FC_SUPUESTOS!$C$12=0,0,IF(AD$4=MAX(1,FC_SUPUESTOS!$C$13-(FC_SUPUESTOS!$C$53)),1,0))</f>
        <v>0</v>
      </c>
      <c r="AE49" s="420" t="n">
        <f aca="false">IF(FC_SUPUESTOS!$C$12=0,0,IF(AE$4=MAX(1,FC_SUPUESTOS!$C$13-(FC_SUPUESTOS!$C$53)),1,0))</f>
        <v>0</v>
      </c>
      <c r="AF49" s="420" t="n">
        <f aca="false">IF(FC_SUPUESTOS!$C$12=0,0,IF(AF$4=MAX(1,FC_SUPUESTOS!$C$13-(FC_SUPUESTOS!$C$53)),1,0))</f>
        <v>0</v>
      </c>
      <c r="AG49" s="420" t="n">
        <f aca="false">IF(FC_SUPUESTOS!$C$12=0,0,IF(AG$4=MAX(1,FC_SUPUESTOS!$C$13-(FC_SUPUESTOS!$C$53)),1,0))</f>
        <v>0</v>
      </c>
      <c r="AH49" s="420" t="n">
        <f aca="false">IF(FC_SUPUESTOS!$C$12=0,0,IF(AH$4=MAX(1,FC_SUPUESTOS!$C$13-(FC_SUPUESTOS!$C$53)),1,0))</f>
        <v>0</v>
      </c>
      <c r="AI49" s="420" t="n">
        <f aca="false">IF(FC_SUPUESTOS!$C$12=0,0,IF(AI$4=MAX(1,FC_SUPUESTOS!$C$13-(FC_SUPUESTOS!$C$53)),1,0))</f>
        <v>0</v>
      </c>
      <c r="AJ49" s="420" t="n">
        <f aca="false">IF(FC_SUPUESTOS!$C$12=0,0,IF(AJ$4=MAX(1,FC_SUPUESTOS!$C$13-(FC_SUPUESTOS!$C$53)),1,0))</f>
        <v>0</v>
      </c>
      <c r="AK49" s="420" t="n">
        <f aca="false">IF(FC_SUPUESTOS!$C$12=0,0,IF(AK$4=MAX(1,FC_SUPUESTOS!$C$13-(FC_SUPUESTOS!$C$53)),1,0))</f>
        <v>0</v>
      </c>
      <c r="AL49" s="420" t="n">
        <f aca="false">IF(FC_SUPUESTOS!$C$12=0,0,IF(AL$4=MAX(1,FC_SUPUESTOS!$C$13-(FC_SUPUESTOS!$C$53)),1,0))</f>
        <v>0</v>
      </c>
      <c r="AM49" s="420" t="n">
        <f aca="false">IF(FC_SUPUESTOS!$C$12=0,0,IF(AM$4=MAX(1,FC_SUPUESTOS!$C$13-(FC_SUPUESTOS!$C$53)),1,0))</f>
        <v>0</v>
      </c>
      <c r="AN49" s="420" t="n">
        <f aca="false">IF(FC_SUPUESTOS!$C$12=0,0,IF(AN$4=MAX(1,FC_SUPUESTOS!$C$13-(FC_SUPUESTOS!$C$53)),1,0))</f>
        <v>0</v>
      </c>
      <c r="AO49" s="420" t="n">
        <f aca="false">IF(FC_SUPUESTOS!$C$12=0,0,IF(AO$4=MAX(1,FC_SUPUESTOS!$C$13-(FC_SUPUESTOS!$C$53)),1,0))</f>
        <v>0</v>
      </c>
      <c r="AP49" s="420" t="n">
        <f aca="false">IF(FC_SUPUESTOS!$C$12=0,0,IF(AP$4=MAX(1,FC_SUPUESTOS!$C$13-(FC_SUPUESTOS!$C$53)),1,0))</f>
        <v>0</v>
      </c>
      <c r="AQ49" s="420" t="n">
        <f aca="false">IF(FC_SUPUESTOS!$C$12=0,0,IF(AQ$4=MAX(1,FC_SUPUESTOS!$C$13-(FC_SUPUESTOS!$C$53)),1,0))</f>
        <v>0</v>
      </c>
      <c r="AR49" s="420" t="n">
        <f aca="false">IF(FC_SUPUESTOS!$C$12=0,0,IF(AR$4=MAX(1,FC_SUPUESTOS!$C$13-(FC_SUPUESTOS!$C$53)),1,0))</f>
        <v>0</v>
      </c>
      <c r="AS49" s="420" t="n">
        <f aca="false">IF(FC_SUPUESTOS!$C$12=0,0,IF(AS$4=MAX(1,FC_SUPUESTOS!$C$13-(FC_SUPUESTOS!$C$53)),1,0))</f>
        <v>0</v>
      </c>
      <c r="AT49" s="420" t="n">
        <f aca="false">IF(FC_SUPUESTOS!$C$12=0,0,IF(AT$4=MAX(1,FC_SUPUESTOS!$C$13-(FC_SUPUESTOS!$C$53)),1,0))</f>
        <v>0</v>
      </c>
      <c r="AU49" s="420" t="n">
        <f aca="false">IF(FC_SUPUESTOS!$C$12=0,0,IF(AU$4=MAX(1,FC_SUPUESTOS!$C$13-(FC_SUPUESTOS!$C$53)),1,0))</f>
        <v>0</v>
      </c>
      <c r="AV49" s="420" t="n">
        <f aca="false">IF(FC_SUPUESTOS!$C$12=0,0,IF(AV$4=MAX(1,FC_SUPUESTOS!$C$13-(FC_SUPUESTOS!$C$53)),1,0))</f>
        <v>0</v>
      </c>
      <c r="AW49" s="420" t="n">
        <f aca="false">IF(FC_SUPUESTOS!$C$12=0,0,IF(AW$4=MAX(1,FC_SUPUESTOS!$C$13-(FC_SUPUESTOS!$C$53)),1,0))</f>
        <v>0</v>
      </c>
      <c r="AX49" s="420" t="n">
        <f aca="false">IF(FC_SUPUESTOS!$C$12=0,0,IF(AX$4=MAX(1,FC_SUPUESTOS!$C$13-(FC_SUPUESTOS!$C$53)),1,0))</f>
        <v>0</v>
      </c>
      <c r="AY49" s="420" t="n">
        <f aca="false">IF(FC_SUPUESTOS!$C$12=0,0,IF(AY$4=MAX(1,FC_SUPUESTOS!$C$13-(FC_SUPUESTOS!$C$53)),1,0))</f>
        <v>0</v>
      </c>
      <c r="AZ49" s="420" t="n">
        <f aca="false">IF(FC_SUPUESTOS!$C$12=0,0,IF(AZ$4=MAX(1,FC_SUPUESTOS!$C$13-(FC_SUPUESTOS!$C$53)),1,0))</f>
        <v>0</v>
      </c>
      <c r="BA49" s="420" t="n">
        <f aca="false">IF(FC_SUPUESTOS!$C$12=0,0,IF(BA$4=MAX(1,FC_SUPUESTOS!$C$13-(FC_SUPUESTOS!$C$53)),1,0))</f>
        <v>0</v>
      </c>
      <c r="BB49" s="420" t="n">
        <f aca="false">IF(FC_SUPUESTOS!$C$12=0,0,IF(BB$4=MAX(1,FC_SUPUESTOS!$C$13-(FC_SUPUESTOS!$C$53)),1,0))</f>
        <v>0</v>
      </c>
      <c r="BC49" s="420" t="n">
        <f aca="false">IF(FC_SUPUESTOS!$C$12=0,0,IF(BC$4=MAX(1,FC_SUPUESTOS!$C$13-(FC_SUPUESTOS!$C$53)),1,0))</f>
        <v>0</v>
      </c>
      <c r="BD49" s="420" t="n">
        <f aca="false">IF(FC_SUPUESTOS!$C$12=0,0,IF(BD$4=MAX(1,FC_SUPUESTOS!$C$13-(FC_SUPUESTOS!$C$53)),1,0))</f>
        <v>0</v>
      </c>
      <c r="BE49" s="420" t="n">
        <f aca="false">IF(FC_SUPUESTOS!$C$12=0,0,IF(BE$4=MAX(1,FC_SUPUESTOS!$C$13-(FC_SUPUESTOS!$C$53)),1,0))</f>
        <v>0</v>
      </c>
      <c r="BF49" s="420" t="n">
        <f aca="false">IF(FC_SUPUESTOS!$C$12=0,0,IF(BF$4=MAX(1,FC_SUPUESTOS!$C$13-(FC_SUPUESTOS!$C$53)),1,0))</f>
        <v>0</v>
      </c>
      <c r="BG49" s="420" t="n">
        <f aca="false">IF(FC_SUPUESTOS!$C$12=0,0,IF(BG$4=MAX(1,FC_SUPUESTOS!$C$13-(FC_SUPUESTOS!$C$53)),1,0))</f>
        <v>0</v>
      </c>
      <c r="BH49" s="420" t="n">
        <f aca="false">IF(FC_SUPUESTOS!$C$12=0,0,IF(BH$4=MAX(1,FC_SUPUESTOS!$C$13-(FC_SUPUESTOS!$C$53)),1,0))</f>
        <v>0</v>
      </c>
      <c r="BI49" s="420" t="n">
        <f aca="false">IF(FC_SUPUESTOS!$C$12=0,0,IF(BI$4=MAX(1,FC_SUPUESTOS!$C$13-(FC_SUPUESTOS!$C$53)),1,0))</f>
        <v>0</v>
      </c>
      <c r="BJ49" s="420" t="n">
        <f aca="false">IF(FC_SUPUESTOS!$C$12=0,0,IF(BJ$4=MAX(1,FC_SUPUESTOS!$C$13-(FC_SUPUESTOS!$C$53)),1,0))</f>
        <v>0</v>
      </c>
      <c r="BK49" s="420" t="n">
        <f aca="false">IF(FC_SUPUESTOS!$C$12=0,0,IF(BK$4=MAX(1,FC_SUPUESTOS!$C$13-(FC_SUPUESTOS!$C$53)),1,0))</f>
        <v>0</v>
      </c>
    </row>
    <row r="50" customFormat="false" ht="15" hidden="false" customHeight="true" outlineLevel="0" collapsed="false">
      <c r="B50" s="297" t="s">
        <v>2390</v>
      </c>
      <c r="D50" s="420" t="n">
        <f aca="false">IF(FC_SUPUESTOS!$C$12=0,0,IF(D$4=MAX(1,FC_SUPUESTOS!$C$13-(FC_SUPUESTOS!$C$54)),1,0))</f>
        <v>0</v>
      </c>
      <c r="E50" s="420" t="n">
        <f aca="false">IF(FC_SUPUESTOS!$C$12=0,0,IF(E$4=MAX(1,FC_SUPUESTOS!$C$13-(FC_SUPUESTOS!$C$54)),1,0))</f>
        <v>0</v>
      </c>
      <c r="F50" s="420" t="n">
        <f aca="false">IF(FC_SUPUESTOS!$C$12=0,0,IF(F$4=MAX(1,FC_SUPUESTOS!$C$13-(FC_SUPUESTOS!$C$54)),1,0))</f>
        <v>0</v>
      </c>
      <c r="G50" s="420" t="n">
        <f aca="false">IF(FC_SUPUESTOS!$C$12=0,0,IF(G$4=MAX(1,FC_SUPUESTOS!$C$13-(FC_SUPUESTOS!$C$54)),1,0))</f>
        <v>0</v>
      </c>
      <c r="H50" s="420" t="n">
        <f aca="false">IF(FC_SUPUESTOS!$C$12=0,0,IF(H$4=MAX(1,FC_SUPUESTOS!$C$13-(FC_SUPUESTOS!$C$54)),1,0))</f>
        <v>0</v>
      </c>
      <c r="I50" s="420" t="n">
        <f aca="false">IF(FC_SUPUESTOS!$C$12=0,0,IF(I$4=MAX(1,FC_SUPUESTOS!$C$13-(FC_SUPUESTOS!$C$54)),1,0))</f>
        <v>0</v>
      </c>
      <c r="J50" s="420" t="n">
        <f aca="false">IF(FC_SUPUESTOS!$C$12=0,0,IF(J$4=MAX(1,FC_SUPUESTOS!$C$13-(FC_SUPUESTOS!$C$54)),1,0))</f>
        <v>0</v>
      </c>
      <c r="K50" s="420" t="n">
        <f aca="false">IF(FC_SUPUESTOS!$C$12=0,0,IF(K$4=MAX(1,FC_SUPUESTOS!$C$13-(FC_SUPUESTOS!$C$54)),1,0))</f>
        <v>0</v>
      </c>
      <c r="L50" s="420" t="n">
        <f aca="false">IF(FC_SUPUESTOS!$C$12=0,0,IF(L$4=MAX(1,FC_SUPUESTOS!$C$13-(FC_SUPUESTOS!$C$54)),1,0))</f>
        <v>0</v>
      </c>
      <c r="M50" s="420" t="n">
        <f aca="false">IF(FC_SUPUESTOS!$C$12=0,0,IF(M$4=MAX(1,FC_SUPUESTOS!$C$13-(FC_SUPUESTOS!$C$54)),1,0))</f>
        <v>0</v>
      </c>
      <c r="N50" s="420" t="n">
        <f aca="false">IF(FC_SUPUESTOS!$C$12=0,0,IF(N$4=MAX(1,FC_SUPUESTOS!$C$13-(FC_SUPUESTOS!$C$54)),1,0))</f>
        <v>0</v>
      </c>
      <c r="O50" s="420" t="n">
        <f aca="false">IF(FC_SUPUESTOS!$C$12=0,0,IF(O$4=MAX(1,FC_SUPUESTOS!$C$13-(FC_SUPUESTOS!$C$54)),1,0))</f>
        <v>0</v>
      </c>
      <c r="P50" s="420" t="n">
        <f aca="false">IF(FC_SUPUESTOS!$C$12=0,0,IF(P$4=MAX(1,FC_SUPUESTOS!$C$13-(FC_SUPUESTOS!$C$54)),1,0))</f>
        <v>0</v>
      </c>
      <c r="Q50" s="420" t="n">
        <f aca="false">IF(FC_SUPUESTOS!$C$12=0,0,IF(Q$4=MAX(1,FC_SUPUESTOS!$C$13-(FC_SUPUESTOS!$C$54)),1,0))</f>
        <v>0</v>
      </c>
      <c r="R50" s="420" t="n">
        <f aca="false">IF(FC_SUPUESTOS!$C$12=0,0,IF(R$4=MAX(1,FC_SUPUESTOS!$C$13-(FC_SUPUESTOS!$C$54)),1,0))</f>
        <v>0</v>
      </c>
      <c r="S50" s="420" t="n">
        <f aca="false">IF(FC_SUPUESTOS!$C$12=0,0,IF(S$4=MAX(1,FC_SUPUESTOS!$C$13-(FC_SUPUESTOS!$C$54)),1,0))</f>
        <v>0</v>
      </c>
      <c r="T50" s="420" t="n">
        <f aca="false">IF(FC_SUPUESTOS!$C$12=0,0,IF(T$4=MAX(1,FC_SUPUESTOS!$C$13-(FC_SUPUESTOS!$C$54)),1,0))</f>
        <v>0</v>
      </c>
      <c r="U50" s="420" t="n">
        <f aca="false">IF(FC_SUPUESTOS!$C$12=0,0,IF(U$4=MAX(1,FC_SUPUESTOS!$C$13-(FC_SUPUESTOS!$C$54)),1,0))</f>
        <v>0</v>
      </c>
      <c r="V50" s="420" t="n">
        <f aca="false">IF(FC_SUPUESTOS!$C$12=0,0,IF(V$4=MAX(1,FC_SUPUESTOS!$C$13-(FC_SUPUESTOS!$C$54)),1,0))</f>
        <v>0</v>
      </c>
      <c r="W50" s="420" t="n">
        <f aca="false">IF(FC_SUPUESTOS!$C$12=0,0,IF(W$4=MAX(1,FC_SUPUESTOS!$C$13-(FC_SUPUESTOS!$C$54)),1,0))</f>
        <v>0</v>
      </c>
      <c r="X50" s="420" t="n">
        <f aca="false">IF(FC_SUPUESTOS!$C$12=0,0,IF(X$4=MAX(1,FC_SUPUESTOS!$C$13-(FC_SUPUESTOS!$C$54)),1,0))</f>
        <v>0</v>
      </c>
      <c r="Y50" s="420" t="n">
        <f aca="false">IF(FC_SUPUESTOS!$C$12=0,0,IF(Y$4=MAX(1,FC_SUPUESTOS!$C$13-(FC_SUPUESTOS!$C$54)),1,0))</f>
        <v>0</v>
      </c>
      <c r="Z50" s="420" t="n">
        <f aca="false">IF(FC_SUPUESTOS!$C$12=0,0,IF(Z$4=MAX(1,FC_SUPUESTOS!$C$13-(FC_SUPUESTOS!$C$54)),1,0))</f>
        <v>0</v>
      </c>
      <c r="AA50" s="420" t="n">
        <f aca="false">IF(FC_SUPUESTOS!$C$12=0,0,IF(AA$4=MAX(1,FC_SUPUESTOS!$C$13-(FC_SUPUESTOS!$C$54)),1,0))</f>
        <v>0</v>
      </c>
      <c r="AB50" s="420" t="n">
        <f aca="false">IF(FC_SUPUESTOS!$C$12=0,0,IF(AB$4=MAX(1,FC_SUPUESTOS!$C$13-(FC_SUPUESTOS!$C$54)),1,0))</f>
        <v>0</v>
      </c>
      <c r="AC50" s="420" t="n">
        <f aca="false">IF(FC_SUPUESTOS!$C$12=0,0,IF(AC$4=MAX(1,FC_SUPUESTOS!$C$13-(FC_SUPUESTOS!$C$54)),1,0))</f>
        <v>0</v>
      </c>
      <c r="AD50" s="420" t="n">
        <f aca="false">IF(FC_SUPUESTOS!$C$12=0,0,IF(AD$4=MAX(1,FC_SUPUESTOS!$C$13-(FC_SUPUESTOS!$C$54)),1,0))</f>
        <v>0</v>
      </c>
      <c r="AE50" s="420" t="n">
        <f aca="false">IF(FC_SUPUESTOS!$C$12=0,0,IF(AE$4=MAX(1,FC_SUPUESTOS!$C$13-(FC_SUPUESTOS!$C$54)),1,0))</f>
        <v>0</v>
      </c>
      <c r="AF50" s="420" t="n">
        <f aca="false">IF(FC_SUPUESTOS!$C$12=0,0,IF(AF$4=MAX(1,FC_SUPUESTOS!$C$13-(FC_SUPUESTOS!$C$54)),1,0))</f>
        <v>0</v>
      </c>
      <c r="AG50" s="420" t="n">
        <f aca="false">IF(FC_SUPUESTOS!$C$12=0,0,IF(AG$4=MAX(1,FC_SUPUESTOS!$C$13-(FC_SUPUESTOS!$C$54)),1,0))</f>
        <v>0</v>
      </c>
      <c r="AH50" s="420" t="n">
        <f aca="false">IF(FC_SUPUESTOS!$C$12=0,0,IF(AH$4=MAX(1,FC_SUPUESTOS!$C$13-(FC_SUPUESTOS!$C$54)),1,0))</f>
        <v>0</v>
      </c>
      <c r="AI50" s="420" t="n">
        <f aca="false">IF(FC_SUPUESTOS!$C$12=0,0,IF(AI$4=MAX(1,FC_SUPUESTOS!$C$13-(FC_SUPUESTOS!$C$54)),1,0))</f>
        <v>0</v>
      </c>
      <c r="AJ50" s="420" t="n">
        <f aca="false">IF(FC_SUPUESTOS!$C$12=0,0,IF(AJ$4=MAX(1,FC_SUPUESTOS!$C$13-(FC_SUPUESTOS!$C$54)),1,0))</f>
        <v>0</v>
      </c>
      <c r="AK50" s="420" t="n">
        <f aca="false">IF(FC_SUPUESTOS!$C$12=0,0,IF(AK$4=MAX(1,FC_SUPUESTOS!$C$13-(FC_SUPUESTOS!$C$54)),1,0))</f>
        <v>0</v>
      </c>
      <c r="AL50" s="420" t="n">
        <f aca="false">IF(FC_SUPUESTOS!$C$12=0,0,IF(AL$4=MAX(1,FC_SUPUESTOS!$C$13-(FC_SUPUESTOS!$C$54)),1,0))</f>
        <v>0</v>
      </c>
      <c r="AM50" s="420" t="n">
        <f aca="false">IF(FC_SUPUESTOS!$C$12=0,0,IF(AM$4=MAX(1,FC_SUPUESTOS!$C$13-(FC_SUPUESTOS!$C$54)),1,0))</f>
        <v>0</v>
      </c>
      <c r="AN50" s="420" t="n">
        <f aca="false">IF(FC_SUPUESTOS!$C$12=0,0,IF(AN$4=MAX(1,FC_SUPUESTOS!$C$13-(FC_SUPUESTOS!$C$54)),1,0))</f>
        <v>0</v>
      </c>
      <c r="AO50" s="420" t="n">
        <f aca="false">IF(FC_SUPUESTOS!$C$12=0,0,IF(AO$4=MAX(1,FC_SUPUESTOS!$C$13-(FC_SUPUESTOS!$C$54)),1,0))</f>
        <v>0</v>
      </c>
      <c r="AP50" s="420" t="n">
        <f aca="false">IF(FC_SUPUESTOS!$C$12=0,0,IF(AP$4=MAX(1,FC_SUPUESTOS!$C$13-(FC_SUPUESTOS!$C$54)),1,0))</f>
        <v>0</v>
      </c>
      <c r="AQ50" s="420" t="n">
        <f aca="false">IF(FC_SUPUESTOS!$C$12=0,0,IF(AQ$4=MAX(1,FC_SUPUESTOS!$C$13-(FC_SUPUESTOS!$C$54)),1,0))</f>
        <v>0</v>
      </c>
      <c r="AR50" s="420" t="n">
        <f aca="false">IF(FC_SUPUESTOS!$C$12=0,0,IF(AR$4=MAX(1,FC_SUPUESTOS!$C$13-(FC_SUPUESTOS!$C$54)),1,0))</f>
        <v>0</v>
      </c>
      <c r="AS50" s="420" t="n">
        <f aca="false">IF(FC_SUPUESTOS!$C$12=0,0,IF(AS$4=MAX(1,FC_SUPUESTOS!$C$13-(FC_SUPUESTOS!$C$54)),1,0))</f>
        <v>0</v>
      </c>
      <c r="AT50" s="420" t="n">
        <f aca="false">IF(FC_SUPUESTOS!$C$12=0,0,IF(AT$4=MAX(1,FC_SUPUESTOS!$C$13-(FC_SUPUESTOS!$C$54)),1,0))</f>
        <v>0</v>
      </c>
      <c r="AU50" s="420" t="n">
        <f aca="false">IF(FC_SUPUESTOS!$C$12=0,0,IF(AU$4=MAX(1,FC_SUPUESTOS!$C$13-(FC_SUPUESTOS!$C$54)),1,0))</f>
        <v>0</v>
      </c>
      <c r="AV50" s="420" t="n">
        <f aca="false">IF(FC_SUPUESTOS!$C$12=0,0,IF(AV$4=MAX(1,FC_SUPUESTOS!$C$13-(FC_SUPUESTOS!$C$54)),1,0))</f>
        <v>0</v>
      </c>
      <c r="AW50" s="420" t="n">
        <f aca="false">IF(FC_SUPUESTOS!$C$12=0,0,IF(AW$4=MAX(1,FC_SUPUESTOS!$C$13-(FC_SUPUESTOS!$C$54)),1,0))</f>
        <v>0</v>
      </c>
      <c r="AX50" s="420" t="n">
        <f aca="false">IF(FC_SUPUESTOS!$C$12=0,0,IF(AX$4=MAX(1,FC_SUPUESTOS!$C$13-(FC_SUPUESTOS!$C$54)),1,0))</f>
        <v>0</v>
      </c>
      <c r="AY50" s="420" t="n">
        <f aca="false">IF(FC_SUPUESTOS!$C$12=0,0,IF(AY$4=MAX(1,FC_SUPUESTOS!$C$13-(FC_SUPUESTOS!$C$54)),1,0))</f>
        <v>0</v>
      </c>
      <c r="AZ50" s="420" t="n">
        <f aca="false">IF(FC_SUPUESTOS!$C$12=0,0,IF(AZ$4=MAX(1,FC_SUPUESTOS!$C$13-(FC_SUPUESTOS!$C$54)),1,0))</f>
        <v>0</v>
      </c>
      <c r="BA50" s="420" t="n">
        <f aca="false">IF(FC_SUPUESTOS!$C$12=0,0,IF(BA$4=MAX(1,FC_SUPUESTOS!$C$13-(FC_SUPUESTOS!$C$54)),1,0))</f>
        <v>0</v>
      </c>
      <c r="BB50" s="420" t="n">
        <f aca="false">IF(FC_SUPUESTOS!$C$12=0,0,IF(BB$4=MAX(1,FC_SUPUESTOS!$C$13-(FC_SUPUESTOS!$C$54)),1,0))</f>
        <v>0</v>
      </c>
      <c r="BC50" s="420" t="n">
        <f aca="false">IF(FC_SUPUESTOS!$C$12=0,0,IF(BC$4=MAX(1,FC_SUPUESTOS!$C$13-(FC_SUPUESTOS!$C$54)),1,0))</f>
        <v>0</v>
      </c>
      <c r="BD50" s="420" t="n">
        <f aca="false">IF(FC_SUPUESTOS!$C$12=0,0,IF(BD$4=MAX(1,FC_SUPUESTOS!$C$13-(FC_SUPUESTOS!$C$54)),1,0))</f>
        <v>0</v>
      </c>
      <c r="BE50" s="420" t="n">
        <f aca="false">IF(FC_SUPUESTOS!$C$12=0,0,IF(BE$4=MAX(1,FC_SUPUESTOS!$C$13-(FC_SUPUESTOS!$C$54)),1,0))</f>
        <v>0</v>
      </c>
      <c r="BF50" s="420" t="n">
        <f aca="false">IF(FC_SUPUESTOS!$C$12=0,0,IF(BF$4=MAX(1,FC_SUPUESTOS!$C$13-(FC_SUPUESTOS!$C$54)),1,0))</f>
        <v>0</v>
      </c>
      <c r="BG50" s="420" t="n">
        <f aca="false">IF(FC_SUPUESTOS!$C$12=0,0,IF(BG$4=MAX(1,FC_SUPUESTOS!$C$13-(FC_SUPUESTOS!$C$54)),1,0))</f>
        <v>0</v>
      </c>
      <c r="BH50" s="420" t="n">
        <f aca="false">IF(FC_SUPUESTOS!$C$12=0,0,IF(BH$4=MAX(1,FC_SUPUESTOS!$C$13-(FC_SUPUESTOS!$C$54)),1,0))</f>
        <v>0</v>
      </c>
      <c r="BI50" s="420" t="n">
        <f aca="false">IF(FC_SUPUESTOS!$C$12=0,0,IF(BI$4=MAX(1,FC_SUPUESTOS!$C$13-(FC_SUPUESTOS!$C$54)),1,0))</f>
        <v>0</v>
      </c>
      <c r="BJ50" s="420" t="n">
        <f aca="false">IF(FC_SUPUESTOS!$C$12=0,0,IF(BJ$4=MAX(1,FC_SUPUESTOS!$C$13-(FC_SUPUESTOS!$C$54)),1,0))</f>
        <v>0</v>
      </c>
      <c r="BK50" s="420" t="n">
        <f aca="false">IF(FC_SUPUESTOS!$C$12=0,0,IF(BK$4=MAX(1,FC_SUPUESTOS!$C$13-(FC_SUPUESTOS!$C$54)),1,0))</f>
        <v>0</v>
      </c>
    </row>
    <row r="51" customFormat="false" ht="15" hidden="false" customHeight="true" outlineLevel="0" collapsed="false">
      <c r="B51" s="297" t="s">
        <v>2391</v>
      </c>
      <c r="D51" s="420" t="n">
        <f aca="false">IF(FC_SUPUESTOS!$C$12=0,0,IF(D$4=MAX(1,FC_SUPUESTOS!$C$13-(FC_SUPUESTOS!$C$67)),1,0))</f>
        <v>0</v>
      </c>
      <c r="E51" s="420" t="n">
        <f aca="false">IF(FC_SUPUESTOS!$C$12=0,0,IF(E$4=MAX(1,FC_SUPUESTOS!$C$13-(FC_SUPUESTOS!$C$67)),1,0))</f>
        <v>0</v>
      </c>
      <c r="F51" s="420" t="n">
        <f aca="false">IF(FC_SUPUESTOS!$C$12=0,0,IF(F$4=MAX(1,FC_SUPUESTOS!$C$13-(FC_SUPUESTOS!$C$67)),1,0))</f>
        <v>0</v>
      </c>
      <c r="G51" s="420" t="n">
        <f aca="false">IF(FC_SUPUESTOS!$C$12=0,0,IF(G$4=MAX(1,FC_SUPUESTOS!$C$13-(FC_SUPUESTOS!$C$67)),1,0))</f>
        <v>0</v>
      </c>
      <c r="H51" s="420" t="n">
        <f aca="false">IF(FC_SUPUESTOS!$C$12=0,0,IF(H$4=MAX(1,FC_SUPUESTOS!$C$13-(FC_SUPUESTOS!$C$67)),1,0))</f>
        <v>0</v>
      </c>
      <c r="I51" s="420" t="n">
        <f aca="false">IF(FC_SUPUESTOS!$C$12=0,0,IF(I$4=MAX(1,FC_SUPUESTOS!$C$13-(FC_SUPUESTOS!$C$67)),1,0))</f>
        <v>0</v>
      </c>
      <c r="J51" s="420" t="n">
        <f aca="false">IF(FC_SUPUESTOS!$C$12=0,0,IF(J$4=MAX(1,FC_SUPUESTOS!$C$13-(FC_SUPUESTOS!$C$67)),1,0))</f>
        <v>0</v>
      </c>
      <c r="K51" s="420" t="n">
        <f aca="false">IF(FC_SUPUESTOS!$C$12=0,0,IF(K$4=MAX(1,FC_SUPUESTOS!$C$13-(FC_SUPUESTOS!$C$67)),1,0))</f>
        <v>0</v>
      </c>
      <c r="L51" s="420" t="n">
        <f aca="false">IF(FC_SUPUESTOS!$C$12=0,0,IF(L$4=MAX(1,FC_SUPUESTOS!$C$13-(FC_SUPUESTOS!$C$67)),1,0))</f>
        <v>0</v>
      </c>
      <c r="M51" s="420" t="n">
        <f aca="false">IF(FC_SUPUESTOS!$C$12=0,0,IF(M$4=MAX(1,FC_SUPUESTOS!$C$13-(FC_SUPUESTOS!$C$67)),1,0))</f>
        <v>0</v>
      </c>
      <c r="N51" s="420" t="n">
        <f aca="false">IF(FC_SUPUESTOS!$C$12=0,0,IF(N$4=MAX(1,FC_SUPUESTOS!$C$13-(FC_SUPUESTOS!$C$67)),1,0))</f>
        <v>0</v>
      </c>
      <c r="O51" s="420" t="n">
        <f aca="false">IF(FC_SUPUESTOS!$C$12=0,0,IF(O$4=MAX(1,FC_SUPUESTOS!$C$13-(FC_SUPUESTOS!$C$67)),1,0))</f>
        <v>0</v>
      </c>
      <c r="P51" s="420" t="n">
        <f aca="false">IF(FC_SUPUESTOS!$C$12=0,0,IF(P$4=MAX(1,FC_SUPUESTOS!$C$13-(FC_SUPUESTOS!$C$67)),1,0))</f>
        <v>0</v>
      </c>
      <c r="Q51" s="420" t="n">
        <f aca="false">IF(FC_SUPUESTOS!$C$12=0,0,IF(Q$4=MAX(1,FC_SUPUESTOS!$C$13-(FC_SUPUESTOS!$C$67)),1,0))</f>
        <v>0</v>
      </c>
      <c r="R51" s="420" t="n">
        <f aca="false">IF(FC_SUPUESTOS!$C$12=0,0,IF(R$4=MAX(1,FC_SUPUESTOS!$C$13-(FC_SUPUESTOS!$C$67)),1,0))</f>
        <v>0</v>
      </c>
      <c r="S51" s="420" t="n">
        <f aca="false">IF(FC_SUPUESTOS!$C$12=0,0,IF(S$4=MAX(1,FC_SUPUESTOS!$C$13-(FC_SUPUESTOS!$C$67)),1,0))</f>
        <v>0</v>
      </c>
      <c r="T51" s="420" t="n">
        <f aca="false">IF(FC_SUPUESTOS!$C$12=0,0,IF(T$4=MAX(1,FC_SUPUESTOS!$C$13-(FC_SUPUESTOS!$C$67)),1,0))</f>
        <v>0</v>
      </c>
      <c r="U51" s="420" t="n">
        <f aca="false">IF(FC_SUPUESTOS!$C$12=0,0,IF(U$4=MAX(1,FC_SUPUESTOS!$C$13-(FC_SUPUESTOS!$C$67)),1,0))</f>
        <v>0</v>
      </c>
      <c r="V51" s="420" t="n">
        <f aca="false">IF(FC_SUPUESTOS!$C$12=0,0,IF(V$4=MAX(1,FC_SUPUESTOS!$C$13-(FC_SUPUESTOS!$C$67)),1,0))</f>
        <v>0</v>
      </c>
      <c r="W51" s="420" t="n">
        <f aca="false">IF(FC_SUPUESTOS!$C$12=0,0,IF(W$4=MAX(1,FC_SUPUESTOS!$C$13-(FC_SUPUESTOS!$C$67)),1,0))</f>
        <v>0</v>
      </c>
      <c r="X51" s="420" t="n">
        <f aca="false">IF(FC_SUPUESTOS!$C$12=0,0,IF(X$4=MAX(1,FC_SUPUESTOS!$C$13-(FC_SUPUESTOS!$C$67)),1,0))</f>
        <v>0</v>
      </c>
      <c r="Y51" s="420" t="n">
        <f aca="false">IF(FC_SUPUESTOS!$C$12=0,0,IF(Y$4=MAX(1,FC_SUPUESTOS!$C$13-(FC_SUPUESTOS!$C$67)),1,0))</f>
        <v>0</v>
      </c>
      <c r="Z51" s="420" t="n">
        <f aca="false">IF(FC_SUPUESTOS!$C$12=0,0,IF(Z$4=MAX(1,FC_SUPUESTOS!$C$13-(FC_SUPUESTOS!$C$67)),1,0))</f>
        <v>0</v>
      </c>
      <c r="AA51" s="420" t="n">
        <f aca="false">IF(FC_SUPUESTOS!$C$12=0,0,IF(AA$4=MAX(1,FC_SUPUESTOS!$C$13-(FC_SUPUESTOS!$C$67)),1,0))</f>
        <v>0</v>
      </c>
      <c r="AB51" s="420" t="n">
        <f aca="false">IF(FC_SUPUESTOS!$C$12=0,0,IF(AB$4=MAX(1,FC_SUPUESTOS!$C$13-(FC_SUPUESTOS!$C$67)),1,0))</f>
        <v>0</v>
      </c>
      <c r="AC51" s="420" t="n">
        <f aca="false">IF(FC_SUPUESTOS!$C$12=0,0,IF(AC$4=MAX(1,FC_SUPUESTOS!$C$13-(FC_SUPUESTOS!$C$67)),1,0))</f>
        <v>0</v>
      </c>
      <c r="AD51" s="420" t="n">
        <f aca="false">IF(FC_SUPUESTOS!$C$12=0,0,IF(AD$4=MAX(1,FC_SUPUESTOS!$C$13-(FC_SUPUESTOS!$C$67)),1,0))</f>
        <v>0</v>
      </c>
      <c r="AE51" s="420" t="n">
        <f aca="false">IF(FC_SUPUESTOS!$C$12=0,0,IF(AE$4=MAX(1,FC_SUPUESTOS!$C$13-(FC_SUPUESTOS!$C$67)),1,0))</f>
        <v>0</v>
      </c>
      <c r="AF51" s="420" t="n">
        <f aca="false">IF(FC_SUPUESTOS!$C$12=0,0,IF(AF$4=MAX(1,FC_SUPUESTOS!$C$13-(FC_SUPUESTOS!$C$67)),1,0))</f>
        <v>0</v>
      </c>
      <c r="AG51" s="420" t="n">
        <f aca="false">IF(FC_SUPUESTOS!$C$12=0,0,IF(AG$4=MAX(1,FC_SUPUESTOS!$C$13-(FC_SUPUESTOS!$C$67)),1,0))</f>
        <v>0</v>
      </c>
      <c r="AH51" s="420" t="n">
        <f aca="false">IF(FC_SUPUESTOS!$C$12=0,0,IF(AH$4=MAX(1,FC_SUPUESTOS!$C$13-(FC_SUPUESTOS!$C$67)),1,0))</f>
        <v>0</v>
      </c>
      <c r="AI51" s="420" t="n">
        <f aca="false">IF(FC_SUPUESTOS!$C$12=0,0,IF(AI$4=MAX(1,FC_SUPUESTOS!$C$13-(FC_SUPUESTOS!$C$67)),1,0))</f>
        <v>0</v>
      </c>
      <c r="AJ51" s="420" t="n">
        <f aca="false">IF(FC_SUPUESTOS!$C$12=0,0,IF(AJ$4=MAX(1,FC_SUPUESTOS!$C$13-(FC_SUPUESTOS!$C$67)),1,0))</f>
        <v>0</v>
      </c>
      <c r="AK51" s="420" t="n">
        <f aca="false">IF(FC_SUPUESTOS!$C$12=0,0,IF(AK$4=MAX(1,FC_SUPUESTOS!$C$13-(FC_SUPUESTOS!$C$67)),1,0))</f>
        <v>0</v>
      </c>
      <c r="AL51" s="420" t="n">
        <f aca="false">IF(FC_SUPUESTOS!$C$12=0,0,IF(AL$4=MAX(1,FC_SUPUESTOS!$C$13-(FC_SUPUESTOS!$C$67)),1,0))</f>
        <v>0</v>
      </c>
      <c r="AM51" s="420" t="n">
        <f aca="false">IF(FC_SUPUESTOS!$C$12=0,0,IF(AM$4=MAX(1,FC_SUPUESTOS!$C$13-(FC_SUPUESTOS!$C$67)),1,0))</f>
        <v>0</v>
      </c>
      <c r="AN51" s="420" t="n">
        <f aca="false">IF(FC_SUPUESTOS!$C$12=0,0,IF(AN$4=MAX(1,FC_SUPUESTOS!$C$13-(FC_SUPUESTOS!$C$67)),1,0))</f>
        <v>0</v>
      </c>
      <c r="AO51" s="420" t="n">
        <f aca="false">IF(FC_SUPUESTOS!$C$12=0,0,IF(AO$4=MAX(1,FC_SUPUESTOS!$C$13-(FC_SUPUESTOS!$C$67)),1,0))</f>
        <v>0</v>
      </c>
      <c r="AP51" s="420" t="n">
        <f aca="false">IF(FC_SUPUESTOS!$C$12=0,0,IF(AP$4=MAX(1,FC_SUPUESTOS!$C$13-(FC_SUPUESTOS!$C$67)),1,0))</f>
        <v>0</v>
      </c>
      <c r="AQ51" s="420" t="n">
        <f aca="false">IF(FC_SUPUESTOS!$C$12=0,0,IF(AQ$4=MAX(1,FC_SUPUESTOS!$C$13-(FC_SUPUESTOS!$C$67)),1,0))</f>
        <v>0</v>
      </c>
      <c r="AR51" s="420" t="n">
        <f aca="false">IF(FC_SUPUESTOS!$C$12=0,0,IF(AR$4=MAX(1,FC_SUPUESTOS!$C$13-(FC_SUPUESTOS!$C$67)),1,0))</f>
        <v>0</v>
      </c>
      <c r="AS51" s="420" t="n">
        <f aca="false">IF(FC_SUPUESTOS!$C$12=0,0,IF(AS$4=MAX(1,FC_SUPUESTOS!$C$13-(FC_SUPUESTOS!$C$67)),1,0))</f>
        <v>0</v>
      </c>
      <c r="AT51" s="420" t="n">
        <f aca="false">IF(FC_SUPUESTOS!$C$12=0,0,IF(AT$4=MAX(1,FC_SUPUESTOS!$C$13-(FC_SUPUESTOS!$C$67)),1,0))</f>
        <v>0</v>
      </c>
      <c r="AU51" s="420" t="n">
        <f aca="false">IF(FC_SUPUESTOS!$C$12=0,0,IF(AU$4=MAX(1,FC_SUPUESTOS!$C$13-(FC_SUPUESTOS!$C$67)),1,0))</f>
        <v>0</v>
      </c>
      <c r="AV51" s="420" t="n">
        <f aca="false">IF(FC_SUPUESTOS!$C$12=0,0,IF(AV$4=MAX(1,FC_SUPUESTOS!$C$13-(FC_SUPUESTOS!$C$67)),1,0))</f>
        <v>0</v>
      </c>
      <c r="AW51" s="420" t="n">
        <f aca="false">IF(FC_SUPUESTOS!$C$12=0,0,IF(AW$4=MAX(1,FC_SUPUESTOS!$C$13-(FC_SUPUESTOS!$C$67)),1,0))</f>
        <v>0</v>
      </c>
      <c r="AX51" s="420" t="n">
        <f aca="false">IF(FC_SUPUESTOS!$C$12=0,0,IF(AX$4=MAX(1,FC_SUPUESTOS!$C$13-(FC_SUPUESTOS!$C$67)),1,0))</f>
        <v>0</v>
      </c>
      <c r="AY51" s="420" t="n">
        <f aca="false">IF(FC_SUPUESTOS!$C$12=0,0,IF(AY$4=MAX(1,FC_SUPUESTOS!$C$13-(FC_SUPUESTOS!$C$67)),1,0))</f>
        <v>0</v>
      </c>
      <c r="AZ51" s="420" t="n">
        <f aca="false">IF(FC_SUPUESTOS!$C$12=0,0,IF(AZ$4=MAX(1,FC_SUPUESTOS!$C$13-(FC_SUPUESTOS!$C$67)),1,0))</f>
        <v>0</v>
      </c>
      <c r="BA51" s="420" t="n">
        <f aca="false">IF(FC_SUPUESTOS!$C$12=0,0,IF(BA$4=MAX(1,FC_SUPUESTOS!$C$13-(FC_SUPUESTOS!$C$67)),1,0))</f>
        <v>0</v>
      </c>
      <c r="BB51" s="420" t="n">
        <f aca="false">IF(FC_SUPUESTOS!$C$12=0,0,IF(BB$4=MAX(1,FC_SUPUESTOS!$C$13-(FC_SUPUESTOS!$C$67)),1,0))</f>
        <v>0</v>
      </c>
      <c r="BC51" s="420" t="n">
        <f aca="false">IF(FC_SUPUESTOS!$C$12=0,0,IF(BC$4=MAX(1,FC_SUPUESTOS!$C$13-(FC_SUPUESTOS!$C$67)),1,0))</f>
        <v>0</v>
      </c>
      <c r="BD51" s="420" t="n">
        <f aca="false">IF(FC_SUPUESTOS!$C$12=0,0,IF(BD$4=MAX(1,FC_SUPUESTOS!$C$13-(FC_SUPUESTOS!$C$67)),1,0))</f>
        <v>0</v>
      </c>
      <c r="BE51" s="420" t="n">
        <f aca="false">IF(FC_SUPUESTOS!$C$12=0,0,IF(BE$4=MAX(1,FC_SUPUESTOS!$C$13-(FC_SUPUESTOS!$C$67)),1,0))</f>
        <v>0</v>
      </c>
      <c r="BF51" s="420" t="n">
        <f aca="false">IF(FC_SUPUESTOS!$C$12=0,0,IF(BF$4=MAX(1,FC_SUPUESTOS!$C$13-(FC_SUPUESTOS!$C$67)),1,0))</f>
        <v>0</v>
      </c>
      <c r="BG51" s="420" t="n">
        <f aca="false">IF(FC_SUPUESTOS!$C$12=0,0,IF(BG$4=MAX(1,FC_SUPUESTOS!$C$13-(FC_SUPUESTOS!$C$67)),1,0))</f>
        <v>0</v>
      </c>
      <c r="BH51" s="420" t="n">
        <f aca="false">IF(FC_SUPUESTOS!$C$12=0,0,IF(BH$4=MAX(1,FC_SUPUESTOS!$C$13-(FC_SUPUESTOS!$C$67)),1,0))</f>
        <v>0</v>
      </c>
      <c r="BI51" s="420" t="n">
        <f aca="false">IF(FC_SUPUESTOS!$C$12=0,0,IF(BI$4=MAX(1,FC_SUPUESTOS!$C$13-(FC_SUPUESTOS!$C$67)),1,0))</f>
        <v>0</v>
      </c>
      <c r="BJ51" s="420" t="n">
        <f aca="false">IF(FC_SUPUESTOS!$C$12=0,0,IF(BJ$4=MAX(1,FC_SUPUESTOS!$C$13-(FC_SUPUESTOS!$C$67)),1,0))</f>
        <v>0</v>
      </c>
      <c r="BK51" s="420" t="n">
        <f aca="false">IF(FC_SUPUESTOS!$C$12=0,0,IF(BK$4=MAX(1,FC_SUPUESTOS!$C$13-(FC_SUPUESTOS!$C$67)),1,0))</f>
        <v>0</v>
      </c>
    </row>
    <row r="52" customFormat="false" ht="15" hidden="false" customHeight="true" outlineLevel="0" collapsed="false">
      <c r="B52" s="297" t="s">
        <v>2392</v>
      </c>
      <c r="D52" s="420" t="n">
        <f aca="false">IF(FC_SUPUESTOS!$C$12=0,0,IF(D$4=MAX(1,FC_SUPUESTOS!$C$13-(1)),1,0))</f>
        <v>0</v>
      </c>
      <c r="E52" s="420" t="n">
        <f aca="false">IF(FC_SUPUESTOS!$C$12=0,0,IF(E$4=MAX(1,FC_SUPUESTOS!$C$13-(1)),1,0))</f>
        <v>0</v>
      </c>
      <c r="F52" s="420" t="n">
        <f aca="false">IF(FC_SUPUESTOS!$C$12=0,0,IF(F$4=MAX(1,FC_SUPUESTOS!$C$13-(1)),1,0))</f>
        <v>0</v>
      </c>
      <c r="G52" s="420" t="n">
        <f aca="false">IF(FC_SUPUESTOS!$C$12=0,0,IF(G$4=MAX(1,FC_SUPUESTOS!$C$13-(1)),1,0))</f>
        <v>0</v>
      </c>
      <c r="H52" s="420" t="n">
        <f aca="false">IF(FC_SUPUESTOS!$C$12=0,0,IF(H$4=MAX(1,FC_SUPUESTOS!$C$13-(1)),1,0))</f>
        <v>0</v>
      </c>
      <c r="I52" s="420" t="n">
        <f aca="false">IF(FC_SUPUESTOS!$C$12=0,0,IF(I$4=MAX(1,FC_SUPUESTOS!$C$13-(1)),1,0))</f>
        <v>0</v>
      </c>
      <c r="J52" s="420" t="n">
        <f aca="false">IF(FC_SUPUESTOS!$C$12=0,0,IF(J$4=MAX(1,FC_SUPUESTOS!$C$13-(1)),1,0))</f>
        <v>0</v>
      </c>
      <c r="K52" s="420" t="n">
        <f aca="false">IF(FC_SUPUESTOS!$C$12=0,0,IF(K$4=MAX(1,FC_SUPUESTOS!$C$13-(1)),1,0))</f>
        <v>0</v>
      </c>
      <c r="L52" s="420" t="n">
        <f aca="false">IF(FC_SUPUESTOS!$C$12=0,0,IF(L$4=MAX(1,FC_SUPUESTOS!$C$13-(1)),1,0))</f>
        <v>0</v>
      </c>
      <c r="M52" s="420" t="n">
        <f aca="false">IF(FC_SUPUESTOS!$C$12=0,0,IF(M$4=MAX(1,FC_SUPUESTOS!$C$13-(1)),1,0))</f>
        <v>0</v>
      </c>
      <c r="N52" s="420" t="n">
        <f aca="false">IF(FC_SUPUESTOS!$C$12=0,0,IF(N$4=MAX(1,FC_SUPUESTOS!$C$13-(1)),1,0))</f>
        <v>0</v>
      </c>
      <c r="O52" s="420" t="n">
        <f aca="false">IF(FC_SUPUESTOS!$C$12=0,0,IF(O$4=MAX(1,FC_SUPUESTOS!$C$13-(1)),1,0))</f>
        <v>0</v>
      </c>
      <c r="P52" s="420" t="n">
        <f aca="false">IF(FC_SUPUESTOS!$C$12=0,0,IF(P$4=MAX(1,FC_SUPUESTOS!$C$13-(1)),1,0))</f>
        <v>0</v>
      </c>
      <c r="Q52" s="420" t="n">
        <f aca="false">IF(FC_SUPUESTOS!$C$12=0,0,IF(Q$4=MAX(1,FC_SUPUESTOS!$C$13-(1)),1,0))</f>
        <v>0</v>
      </c>
      <c r="R52" s="420" t="n">
        <f aca="false">IF(FC_SUPUESTOS!$C$12=0,0,IF(R$4=MAX(1,FC_SUPUESTOS!$C$13-(1)),1,0))</f>
        <v>0</v>
      </c>
      <c r="S52" s="420" t="n">
        <f aca="false">IF(FC_SUPUESTOS!$C$12=0,0,IF(S$4=MAX(1,FC_SUPUESTOS!$C$13-(1)),1,0))</f>
        <v>0</v>
      </c>
      <c r="T52" s="420" t="n">
        <f aca="false">IF(FC_SUPUESTOS!$C$12=0,0,IF(T$4=MAX(1,FC_SUPUESTOS!$C$13-(1)),1,0))</f>
        <v>0</v>
      </c>
      <c r="U52" s="420" t="n">
        <f aca="false">IF(FC_SUPUESTOS!$C$12=0,0,IF(U$4=MAX(1,FC_SUPUESTOS!$C$13-(1)),1,0))</f>
        <v>0</v>
      </c>
      <c r="V52" s="420" t="n">
        <f aca="false">IF(FC_SUPUESTOS!$C$12=0,0,IF(V$4=MAX(1,FC_SUPUESTOS!$C$13-(1)),1,0))</f>
        <v>0</v>
      </c>
      <c r="W52" s="420" t="n">
        <f aca="false">IF(FC_SUPUESTOS!$C$12=0,0,IF(W$4=MAX(1,FC_SUPUESTOS!$C$13-(1)),1,0))</f>
        <v>0</v>
      </c>
      <c r="X52" s="420" t="n">
        <f aca="false">IF(FC_SUPUESTOS!$C$12=0,0,IF(X$4=MAX(1,FC_SUPUESTOS!$C$13-(1)),1,0))</f>
        <v>0</v>
      </c>
      <c r="Y52" s="420" t="n">
        <f aca="false">IF(FC_SUPUESTOS!$C$12=0,0,IF(Y$4=MAX(1,FC_SUPUESTOS!$C$13-(1)),1,0))</f>
        <v>0</v>
      </c>
      <c r="Z52" s="420" t="n">
        <f aca="false">IF(FC_SUPUESTOS!$C$12=0,0,IF(Z$4=MAX(1,FC_SUPUESTOS!$C$13-(1)),1,0))</f>
        <v>0</v>
      </c>
      <c r="AA52" s="420" t="n">
        <f aca="false">IF(FC_SUPUESTOS!$C$12=0,0,IF(AA$4=MAX(1,FC_SUPUESTOS!$C$13-(1)),1,0))</f>
        <v>0</v>
      </c>
      <c r="AB52" s="420" t="n">
        <f aca="false">IF(FC_SUPUESTOS!$C$12=0,0,IF(AB$4=MAX(1,FC_SUPUESTOS!$C$13-(1)),1,0))</f>
        <v>0</v>
      </c>
      <c r="AC52" s="420" t="n">
        <f aca="false">IF(FC_SUPUESTOS!$C$12=0,0,IF(AC$4=MAX(1,FC_SUPUESTOS!$C$13-(1)),1,0))</f>
        <v>0</v>
      </c>
      <c r="AD52" s="420" t="n">
        <f aca="false">IF(FC_SUPUESTOS!$C$12=0,0,IF(AD$4=MAX(1,FC_SUPUESTOS!$C$13-(1)),1,0))</f>
        <v>0</v>
      </c>
      <c r="AE52" s="420" t="n">
        <f aca="false">IF(FC_SUPUESTOS!$C$12=0,0,IF(AE$4=MAX(1,FC_SUPUESTOS!$C$13-(1)),1,0))</f>
        <v>0</v>
      </c>
      <c r="AF52" s="420" t="n">
        <f aca="false">IF(FC_SUPUESTOS!$C$12=0,0,IF(AF$4=MAX(1,FC_SUPUESTOS!$C$13-(1)),1,0))</f>
        <v>0</v>
      </c>
      <c r="AG52" s="420" t="n">
        <f aca="false">IF(FC_SUPUESTOS!$C$12=0,0,IF(AG$4=MAX(1,FC_SUPUESTOS!$C$13-(1)),1,0))</f>
        <v>0</v>
      </c>
      <c r="AH52" s="420" t="n">
        <f aca="false">IF(FC_SUPUESTOS!$C$12=0,0,IF(AH$4=MAX(1,FC_SUPUESTOS!$C$13-(1)),1,0))</f>
        <v>0</v>
      </c>
      <c r="AI52" s="420" t="n">
        <f aca="false">IF(FC_SUPUESTOS!$C$12=0,0,IF(AI$4=MAX(1,FC_SUPUESTOS!$C$13-(1)),1,0))</f>
        <v>0</v>
      </c>
      <c r="AJ52" s="420" t="n">
        <f aca="false">IF(FC_SUPUESTOS!$C$12=0,0,IF(AJ$4=MAX(1,FC_SUPUESTOS!$C$13-(1)),1,0))</f>
        <v>0</v>
      </c>
      <c r="AK52" s="420" t="n">
        <f aca="false">IF(FC_SUPUESTOS!$C$12=0,0,IF(AK$4=MAX(1,FC_SUPUESTOS!$C$13-(1)),1,0))</f>
        <v>0</v>
      </c>
      <c r="AL52" s="420" t="n">
        <f aca="false">IF(FC_SUPUESTOS!$C$12=0,0,IF(AL$4=MAX(1,FC_SUPUESTOS!$C$13-(1)),1,0))</f>
        <v>0</v>
      </c>
      <c r="AM52" s="420" t="n">
        <f aca="false">IF(FC_SUPUESTOS!$C$12=0,0,IF(AM$4=MAX(1,FC_SUPUESTOS!$C$13-(1)),1,0))</f>
        <v>0</v>
      </c>
      <c r="AN52" s="420" t="n">
        <f aca="false">IF(FC_SUPUESTOS!$C$12=0,0,IF(AN$4=MAX(1,FC_SUPUESTOS!$C$13-(1)),1,0))</f>
        <v>0</v>
      </c>
      <c r="AO52" s="420" t="n">
        <f aca="false">IF(FC_SUPUESTOS!$C$12=0,0,IF(AO$4=MAX(1,FC_SUPUESTOS!$C$13-(1)),1,0))</f>
        <v>0</v>
      </c>
      <c r="AP52" s="420" t="n">
        <f aca="false">IF(FC_SUPUESTOS!$C$12=0,0,IF(AP$4=MAX(1,FC_SUPUESTOS!$C$13-(1)),1,0))</f>
        <v>0</v>
      </c>
      <c r="AQ52" s="420" t="n">
        <f aca="false">IF(FC_SUPUESTOS!$C$12=0,0,IF(AQ$4=MAX(1,FC_SUPUESTOS!$C$13-(1)),1,0))</f>
        <v>0</v>
      </c>
      <c r="AR52" s="420" t="n">
        <f aca="false">IF(FC_SUPUESTOS!$C$12=0,0,IF(AR$4=MAX(1,FC_SUPUESTOS!$C$13-(1)),1,0))</f>
        <v>0</v>
      </c>
      <c r="AS52" s="420" t="n">
        <f aca="false">IF(FC_SUPUESTOS!$C$12=0,0,IF(AS$4=MAX(1,FC_SUPUESTOS!$C$13-(1)),1,0))</f>
        <v>0</v>
      </c>
      <c r="AT52" s="420" t="n">
        <f aca="false">IF(FC_SUPUESTOS!$C$12=0,0,IF(AT$4=MAX(1,FC_SUPUESTOS!$C$13-(1)),1,0))</f>
        <v>0</v>
      </c>
      <c r="AU52" s="420" t="n">
        <f aca="false">IF(FC_SUPUESTOS!$C$12=0,0,IF(AU$4=MAX(1,FC_SUPUESTOS!$C$13-(1)),1,0))</f>
        <v>0</v>
      </c>
      <c r="AV52" s="420" t="n">
        <f aca="false">IF(FC_SUPUESTOS!$C$12=0,0,IF(AV$4=MAX(1,FC_SUPUESTOS!$C$13-(1)),1,0))</f>
        <v>0</v>
      </c>
      <c r="AW52" s="420" t="n">
        <f aca="false">IF(FC_SUPUESTOS!$C$12=0,0,IF(AW$4=MAX(1,FC_SUPUESTOS!$C$13-(1)),1,0))</f>
        <v>0</v>
      </c>
      <c r="AX52" s="420" t="n">
        <f aca="false">IF(FC_SUPUESTOS!$C$12=0,0,IF(AX$4=MAX(1,FC_SUPUESTOS!$C$13-(1)),1,0))</f>
        <v>0</v>
      </c>
      <c r="AY52" s="420" t="n">
        <f aca="false">IF(FC_SUPUESTOS!$C$12=0,0,IF(AY$4=MAX(1,FC_SUPUESTOS!$C$13-(1)),1,0))</f>
        <v>0</v>
      </c>
      <c r="AZ52" s="420" t="n">
        <f aca="false">IF(FC_SUPUESTOS!$C$12=0,0,IF(AZ$4=MAX(1,FC_SUPUESTOS!$C$13-(1)),1,0))</f>
        <v>0</v>
      </c>
      <c r="BA52" s="420" t="n">
        <f aca="false">IF(FC_SUPUESTOS!$C$12=0,0,IF(BA$4=MAX(1,FC_SUPUESTOS!$C$13-(1)),1,0))</f>
        <v>0</v>
      </c>
      <c r="BB52" s="420" t="n">
        <f aca="false">IF(FC_SUPUESTOS!$C$12=0,0,IF(BB$4=MAX(1,FC_SUPUESTOS!$C$13-(1)),1,0))</f>
        <v>0</v>
      </c>
      <c r="BC52" s="420" t="n">
        <f aca="false">IF(FC_SUPUESTOS!$C$12=0,0,IF(BC$4=MAX(1,FC_SUPUESTOS!$C$13-(1)),1,0))</f>
        <v>0</v>
      </c>
      <c r="BD52" s="420" t="n">
        <f aca="false">IF(FC_SUPUESTOS!$C$12=0,0,IF(BD$4=MAX(1,FC_SUPUESTOS!$C$13-(1)),1,0))</f>
        <v>0</v>
      </c>
      <c r="BE52" s="420" t="n">
        <f aca="false">IF(FC_SUPUESTOS!$C$12=0,0,IF(BE$4=MAX(1,FC_SUPUESTOS!$C$13-(1)),1,0))</f>
        <v>0</v>
      </c>
      <c r="BF52" s="420" t="n">
        <f aca="false">IF(FC_SUPUESTOS!$C$12=0,0,IF(BF$4=MAX(1,FC_SUPUESTOS!$C$13-(1)),1,0))</f>
        <v>0</v>
      </c>
      <c r="BG52" s="420" t="n">
        <f aca="false">IF(FC_SUPUESTOS!$C$12=0,0,IF(BG$4=MAX(1,FC_SUPUESTOS!$C$13-(1)),1,0))</f>
        <v>0</v>
      </c>
      <c r="BH52" s="420" t="n">
        <f aca="false">IF(FC_SUPUESTOS!$C$12=0,0,IF(BH$4=MAX(1,FC_SUPUESTOS!$C$13-(1)),1,0))</f>
        <v>0</v>
      </c>
      <c r="BI52" s="420" t="n">
        <f aca="false">IF(FC_SUPUESTOS!$C$12=0,0,IF(BI$4=MAX(1,FC_SUPUESTOS!$C$13-(1)),1,0))</f>
        <v>0</v>
      </c>
      <c r="BJ52" s="420" t="n">
        <f aca="false">IF(FC_SUPUESTOS!$C$12=0,0,IF(BJ$4=MAX(1,FC_SUPUESTOS!$C$13-(1)),1,0))</f>
        <v>0</v>
      </c>
      <c r="BK52" s="420" t="n">
        <f aca="false">IF(FC_SUPUESTOS!$C$12=0,0,IF(BK$4=MAX(1,FC_SUPUESTOS!$C$13-(1)),1,0))</f>
        <v>0</v>
      </c>
    </row>
    <row r="53" customFormat="false" ht="15" hidden="false" customHeight="true" outlineLevel="0" collapsed="false">
      <c r="B53" s="297" t="s">
        <v>2393</v>
      </c>
      <c r="D53" s="420" t="n">
        <f aca="false">IF(FC_SUPUESTOS!$C$12=0,0,IF(AND(D$4&gt;=MAX(1,FC_SUPUESTOS!$C$13-FC_SUPUESTOS!$C$33),D$4&lt;=FC_SUPUESTOS!$C$13-1),1,0))</f>
        <v>0</v>
      </c>
      <c r="E53" s="420" t="n">
        <f aca="false">IF(FC_SUPUESTOS!$C$12=0,0,IF(AND(E$4&gt;=MAX(1,FC_SUPUESTOS!$C$13-FC_SUPUESTOS!$C$33),E$4&lt;=FC_SUPUESTOS!$C$13-1),1,0))</f>
        <v>0</v>
      </c>
      <c r="F53" s="420" t="n">
        <f aca="false">IF(FC_SUPUESTOS!$C$12=0,0,IF(AND(F$4&gt;=MAX(1,FC_SUPUESTOS!$C$13-FC_SUPUESTOS!$C$33),F$4&lt;=FC_SUPUESTOS!$C$13-1),1,0))</f>
        <v>0</v>
      </c>
      <c r="G53" s="420" t="n">
        <f aca="false">IF(FC_SUPUESTOS!$C$12=0,0,IF(AND(G$4&gt;=MAX(1,FC_SUPUESTOS!$C$13-FC_SUPUESTOS!$C$33),G$4&lt;=FC_SUPUESTOS!$C$13-1),1,0))</f>
        <v>0</v>
      </c>
      <c r="H53" s="420" t="n">
        <f aca="false">IF(FC_SUPUESTOS!$C$12=0,0,IF(AND(H$4&gt;=MAX(1,FC_SUPUESTOS!$C$13-FC_SUPUESTOS!$C$33),H$4&lt;=FC_SUPUESTOS!$C$13-1),1,0))</f>
        <v>0</v>
      </c>
      <c r="I53" s="420" t="n">
        <f aca="false">IF(FC_SUPUESTOS!$C$12=0,0,IF(AND(I$4&gt;=MAX(1,FC_SUPUESTOS!$C$13-FC_SUPUESTOS!$C$33),I$4&lt;=FC_SUPUESTOS!$C$13-1),1,0))</f>
        <v>0</v>
      </c>
      <c r="J53" s="420" t="n">
        <f aca="false">IF(FC_SUPUESTOS!$C$12=0,0,IF(AND(J$4&gt;=MAX(1,FC_SUPUESTOS!$C$13-FC_SUPUESTOS!$C$33),J$4&lt;=FC_SUPUESTOS!$C$13-1),1,0))</f>
        <v>0</v>
      </c>
      <c r="K53" s="420" t="n">
        <f aca="false">IF(FC_SUPUESTOS!$C$12=0,0,IF(AND(K$4&gt;=MAX(1,FC_SUPUESTOS!$C$13-FC_SUPUESTOS!$C$33),K$4&lt;=FC_SUPUESTOS!$C$13-1),1,0))</f>
        <v>0</v>
      </c>
      <c r="L53" s="420" t="n">
        <f aca="false">IF(FC_SUPUESTOS!$C$12=0,0,IF(AND(L$4&gt;=MAX(1,FC_SUPUESTOS!$C$13-FC_SUPUESTOS!$C$33),L$4&lt;=FC_SUPUESTOS!$C$13-1),1,0))</f>
        <v>0</v>
      </c>
      <c r="M53" s="420" t="n">
        <f aca="false">IF(FC_SUPUESTOS!$C$12=0,0,IF(AND(M$4&gt;=MAX(1,FC_SUPUESTOS!$C$13-FC_SUPUESTOS!$C$33),M$4&lt;=FC_SUPUESTOS!$C$13-1),1,0))</f>
        <v>0</v>
      </c>
      <c r="N53" s="420" t="n">
        <f aca="false">IF(FC_SUPUESTOS!$C$12=0,0,IF(AND(N$4&gt;=MAX(1,FC_SUPUESTOS!$C$13-FC_SUPUESTOS!$C$33),N$4&lt;=FC_SUPUESTOS!$C$13-1),1,0))</f>
        <v>0</v>
      </c>
      <c r="O53" s="420" t="n">
        <f aca="false">IF(FC_SUPUESTOS!$C$12=0,0,IF(AND(O$4&gt;=MAX(1,FC_SUPUESTOS!$C$13-FC_SUPUESTOS!$C$33),O$4&lt;=FC_SUPUESTOS!$C$13-1),1,0))</f>
        <v>0</v>
      </c>
      <c r="P53" s="420" t="n">
        <f aca="false">IF(FC_SUPUESTOS!$C$12=0,0,IF(AND(P$4&gt;=MAX(1,FC_SUPUESTOS!$C$13-FC_SUPUESTOS!$C$33),P$4&lt;=FC_SUPUESTOS!$C$13-1),1,0))</f>
        <v>0</v>
      </c>
      <c r="Q53" s="420" t="n">
        <f aca="false">IF(FC_SUPUESTOS!$C$12=0,0,IF(AND(Q$4&gt;=MAX(1,FC_SUPUESTOS!$C$13-FC_SUPUESTOS!$C$33),Q$4&lt;=FC_SUPUESTOS!$C$13-1),1,0))</f>
        <v>0</v>
      </c>
      <c r="R53" s="420" t="n">
        <f aca="false">IF(FC_SUPUESTOS!$C$12=0,0,IF(AND(R$4&gt;=MAX(1,FC_SUPUESTOS!$C$13-FC_SUPUESTOS!$C$33),R$4&lt;=FC_SUPUESTOS!$C$13-1),1,0))</f>
        <v>0</v>
      </c>
      <c r="S53" s="420" t="n">
        <f aca="false">IF(FC_SUPUESTOS!$C$12=0,0,IF(AND(S$4&gt;=MAX(1,FC_SUPUESTOS!$C$13-FC_SUPUESTOS!$C$33),S$4&lt;=FC_SUPUESTOS!$C$13-1),1,0))</f>
        <v>0</v>
      </c>
      <c r="T53" s="420" t="n">
        <f aca="false">IF(FC_SUPUESTOS!$C$12=0,0,IF(AND(T$4&gt;=MAX(1,FC_SUPUESTOS!$C$13-FC_SUPUESTOS!$C$33),T$4&lt;=FC_SUPUESTOS!$C$13-1),1,0))</f>
        <v>0</v>
      </c>
      <c r="U53" s="420" t="n">
        <f aca="false">IF(FC_SUPUESTOS!$C$12=0,0,IF(AND(U$4&gt;=MAX(1,FC_SUPUESTOS!$C$13-FC_SUPUESTOS!$C$33),U$4&lt;=FC_SUPUESTOS!$C$13-1),1,0))</f>
        <v>0</v>
      </c>
      <c r="V53" s="420" t="n">
        <f aca="false">IF(FC_SUPUESTOS!$C$12=0,0,IF(AND(V$4&gt;=MAX(1,FC_SUPUESTOS!$C$13-FC_SUPUESTOS!$C$33),V$4&lt;=FC_SUPUESTOS!$C$13-1),1,0))</f>
        <v>0</v>
      </c>
      <c r="W53" s="420" t="n">
        <f aca="false">IF(FC_SUPUESTOS!$C$12=0,0,IF(AND(W$4&gt;=MAX(1,FC_SUPUESTOS!$C$13-FC_SUPUESTOS!$C$33),W$4&lt;=FC_SUPUESTOS!$C$13-1),1,0))</f>
        <v>0</v>
      </c>
      <c r="X53" s="420" t="n">
        <f aca="false">IF(FC_SUPUESTOS!$C$12=0,0,IF(AND(X$4&gt;=MAX(1,FC_SUPUESTOS!$C$13-FC_SUPUESTOS!$C$33),X$4&lt;=FC_SUPUESTOS!$C$13-1),1,0))</f>
        <v>0</v>
      </c>
      <c r="Y53" s="420" t="n">
        <f aca="false">IF(FC_SUPUESTOS!$C$12=0,0,IF(AND(Y$4&gt;=MAX(1,FC_SUPUESTOS!$C$13-FC_SUPUESTOS!$C$33),Y$4&lt;=FC_SUPUESTOS!$C$13-1),1,0))</f>
        <v>0</v>
      </c>
      <c r="Z53" s="420" t="n">
        <f aca="false">IF(FC_SUPUESTOS!$C$12=0,0,IF(AND(Z$4&gt;=MAX(1,FC_SUPUESTOS!$C$13-FC_SUPUESTOS!$C$33),Z$4&lt;=FC_SUPUESTOS!$C$13-1),1,0))</f>
        <v>0</v>
      </c>
      <c r="AA53" s="420" t="n">
        <f aca="false">IF(FC_SUPUESTOS!$C$12=0,0,IF(AND(AA$4&gt;=MAX(1,FC_SUPUESTOS!$C$13-FC_SUPUESTOS!$C$33),AA$4&lt;=FC_SUPUESTOS!$C$13-1),1,0))</f>
        <v>0</v>
      </c>
      <c r="AB53" s="420" t="n">
        <f aca="false">IF(FC_SUPUESTOS!$C$12=0,0,IF(AND(AB$4&gt;=MAX(1,FC_SUPUESTOS!$C$13-FC_SUPUESTOS!$C$33),AB$4&lt;=FC_SUPUESTOS!$C$13-1),1,0))</f>
        <v>0</v>
      </c>
      <c r="AC53" s="420" t="n">
        <f aca="false">IF(FC_SUPUESTOS!$C$12=0,0,IF(AND(AC$4&gt;=MAX(1,FC_SUPUESTOS!$C$13-FC_SUPUESTOS!$C$33),AC$4&lt;=FC_SUPUESTOS!$C$13-1),1,0))</f>
        <v>0</v>
      </c>
      <c r="AD53" s="420" t="n">
        <f aca="false">IF(FC_SUPUESTOS!$C$12=0,0,IF(AND(AD$4&gt;=MAX(1,FC_SUPUESTOS!$C$13-FC_SUPUESTOS!$C$33),AD$4&lt;=FC_SUPUESTOS!$C$13-1),1,0))</f>
        <v>0</v>
      </c>
      <c r="AE53" s="420" t="n">
        <f aca="false">IF(FC_SUPUESTOS!$C$12=0,0,IF(AND(AE$4&gt;=MAX(1,FC_SUPUESTOS!$C$13-FC_SUPUESTOS!$C$33),AE$4&lt;=FC_SUPUESTOS!$C$13-1),1,0))</f>
        <v>0</v>
      </c>
      <c r="AF53" s="420" t="n">
        <f aca="false">IF(FC_SUPUESTOS!$C$12=0,0,IF(AND(AF$4&gt;=MAX(1,FC_SUPUESTOS!$C$13-FC_SUPUESTOS!$C$33),AF$4&lt;=FC_SUPUESTOS!$C$13-1),1,0))</f>
        <v>0</v>
      </c>
      <c r="AG53" s="420" t="n">
        <f aca="false">IF(FC_SUPUESTOS!$C$12=0,0,IF(AND(AG$4&gt;=MAX(1,FC_SUPUESTOS!$C$13-FC_SUPUESTOS!$C$33),AG$4&lt;=FC_SUPUESTOS!$C$13-1),1,0))</f>
        <v>0</v>
      </c>
      <c r="AH53" s="420" t="n">
        <f aca="false">IF(FC_SUPUESTOS!$C$12=0,0,IF(AND(AH$4&gt;=MAX(1,FC_SUPUESTOS!$C$13-FC_SUPUESTOS!$C$33),AH$4&lt;=FC_SUPUESTOS!$C$13-1),1,0))</f>
        <v>0</v>
      </c>
      <c r="AI53" s="420" t="n">
        <f aca="false">IF(FC_SUPUESTOS!$C$12=0,0,IF(AND(AI$4&gt;=MAX(1,FC_SUPUESTOS!$C$13-FC_SUPUESTOS!$C$33),AI$4&lt;=FC_SUPUESTOS!$C$13-1),1,0))</f>
        <v>0</v>
      </c>
      <c r="AJ53" s="420" t="n">
        <f aca="false">IF(FC_SUPUESTOS!$C$12=0,0,IF(AND(AJ$4&gt;=MAX(1,FC_SUPUESTOS!$C$13-FC_SUPUESTOS!$C$33),AJ$4&lt;=FC_SUPUESTOS!$C$13-1),1,0))</f>
        <v>0</v>
      </c>
      <c r="AK53" s="420" t="n">
        <f aca="false">IF(FC_SUPUESTOS!$C$12=0,0,IF(AND(AK$4&gt;=MAX(1,FC_SUPUESTOS!$C$13-FC_SUPUESTOS!$C$33),AK$4&lt;=FC_SUPUESTOS!$C$13-1),1,0))</f>
        <v>0</v>
      </c>
      <c r="AL53" s="420" t="n">
        <f aca="false">IF(FC_SUPUESTOS!$C$12=0,0,IF(AND(AL$4&gt;=MAX(1,FC_SUPUESTOS!$C$13-FC_SUPUESTOS!$C$33),AL$4&lt;=FC_SUPUESTOS!$C$13-1),1,0))</f>
        <v>0</v>
      </c>
      <c r="AM53" s="420" t="n">
        <f aca="false">IF(FC_SUPUESTOS!$C$12=0,0,IF(AND(AM$4&gt;=MAX(1,FC_SUPUESTOS!$C$13-FC_SUPUESTOS!$C$33),AM$4&lt;=FC_SUPUESTOS!$C$13-1),1,0))</f>
        <v>0</v>
      </c>
      <c r="AN53" s="420" t="n">
        <f aca="false">IF(FC_SUPUESTOS!$C$12=0,0,IF(AND(AN$4&gt;=MAX(1,FC_SUPUESTOS!$C$13-FC_SUPUESTOS!$C$33),AN$4&lt;=FC_SUPUESTOS!$C$13-1),1,0))</f>
        <v>0</v>
      </c>
      <c r="AO53" s="420" t="n">
        <f aca="false">IF(FC_SUPUESTOS!$C$12=0,0,IF(AND(AO$4&gt;=MAX(1,FC_SUPUESTOS!$C$13-FC_SUPUESTOS!$C$33),AO$4&lt;=FC_SUPUESTOS!$C$13-1),1,0))</f>
        <v>0</v>
      </c>
      <c r="AP53" s="420" t="n">
        <f aca="false">IF(FC_SUPUESTOS!$C$12=0,0,IF(AND(AP$4&gt;=MAX(1,FC_SUPUESTOS!$C$13-FC_SUPUESTOS!$C$33),AP$4&lt;=FC_SUPUESTOS!$C$13-1),1,0))</f>
        <v>0</v>
      </c>
      <c r="AQ53" s="420" t="n">
        <f aca="false">IF(FC_SUPUESTOS!$C$12=0,0,IF(AND(AQ$4&gt;=MAX(1,FC_SUPUESTOS!$C$13-FC_SUPUESTOS!$C$33),AQ$4&lt;=FC_SUPUESTOS!$C$13-1),1,0))</f>
        <v>0</v>
      </c>
      <c r="AR53" s="420" t="n">
        <f aca="false">IF(FC_SUPUESTOS!$C$12=0,0,IF(AND(AR$4&gt;=MAX(1,FC_SUPUESTOS!$C$13-FC_SUPUESTOS!$C$33),AR$4&lt;=FC_SUPUESTOS!$C$13-1),1,0))</f>
        <v>0</v>
      </c>
      <c r="AS53" s="420" t="n">
        <f aca="false">IF(FC_SUPUESTOS!$C$12=0,0,IF(AND(AS$4&gt;=MAX(1,FC_SUPUESTOS!$C$13-FC_SUPUESTOS!$C$33),AS$4&lt;=FC_SUPUESTOS!$C$13-1),1,0))</f>
        <v>0</v>
      </c>
      <c r="AT53" s="420" t="n">
        <f aca="false">IF(FC_SUPUESTOS!$C$12=0,0,IF(AND(AT$4&gt;=MAX(1,FC_SUPUESTOS!$C$13-FC_SUPUESTOS!$C$33),AT$4&lt;=FC_SUPUESTOS!$C$13-1),1,0))</f>
        <v>0</v>
      </c>
      <c r="AU53" s="420" t="n">
        <f aca="false">IF(FC_SUPUESTOS!$C$12=0,0,IF(AND(AU$4&gt;=MAX(1,FC_SUPUESTOS!$C$13-FC_SUPUESTOS!$C$33),AU$4&lt;=FC_SUPUESTOS!$C$13-1),1,0))</f>
        <v>0</v>
      </c>
      <c r="AV53" s="420" t="n">
        <f aca="false">IF(FC_SUPUESTOS!$C$12=0,0,IF(AND(AV$4&gt;=MAX(1,FC_SUPUESTOS!$C$13-FC_SUPUESTOS!$C$33),AV$4&lt;=FC_SUPUESTOS!$C$13-1),1,0))</f>
        <v>0</v>
      </c>
      <c r="AW53" s="420" t="n">
        <f aca="false">IF(FC_SUPUESTOS!$C$12=0,0,IF(AND(AW$4&gt;=MAX(1,FC_SUPUESTOS!$C$13-FC_SUPUESTOS!$C$33),AW$4&lt;=FC_SUPUESTOS!$C$13-1),1,0))</f>
        <v>0</v>
      </c>
      <c r="AX53" s="420" t="n">
        <f aca="false">IF(FC_SUPUESTOS!$C$12=0,0,IF(AND(AX$4&gt;=MAX(1,FC_SUPUESTOS!$C$13-FC_SUPUESTOS!$C$33),AX$4&lt;=FC_SUPUESTOS!$C$13-1),1,0))</f>
        <v>0</v>
      </c>
      <c r="AY53" s="420" t="n">
        <f aca="false">IF(FC_SUPUESTOS!$C$12=0,0,IF(AND(AY$4&gt;=MAX(1,FC_SUPUESTOS!$C$13-FC_SUPUESTOS!$C$33),AY$4&lt;=FC_SUPUESTOS!$C$13-1),1,0))</f>
        <v>0</v>
      </c>
      <c r="AZ53" s="420" t="n">
        <f aca="false">IF(FC_SUPUESTOS!$C$12=0,0,IF(AND(AZ$4&gt;=MAX(1,FC_SUPUESTOS!$C$13-FC_SUPUESTOS!$C$33),AZ$4&lt;=FC_SUPUESTOS!$C$13-1),1,0))</f>
        <v>0</v>
      </c>
      <c r="BA53" s="420" t="n">
        <f aca="false">IF(FC_SUPUESTOS!$C$12=0,0,IF(AND(BA$4&gt;=MAX(1,FC_SUPUESTOS!$C$13-FC_SUPUESTOS!$C$33),BA$4&lt;=FC_SUPUESTOS!$C$13-1),1,0))</f>
        <v>0</v>
      </c>
      <c r="BB53" s="420" t="n">
        <f aca="false">IF(FC_SUPUESTOS!$C$12=0,0,IF(AND(BB$4&gt;=MAX(1,FC_SUPUESTOS!$C$13-FC_SUPUESTOS!$C$33),BB$4&lt;=FC_SUPUESTOS!$C$13-1),1,0))</f>
        <v>0</v>
      </c>
      <c r="BC53" s="420" t="n">
        <f aca="false">IF(FC_SUPUESTOS!$C$12=0,0,IF(AND(BC$4&gt;=MAX(1,FC_SUPUESTOS!$C$13-FC_SUPUESTOS!$C$33),BC$4&lt;=FC_SUPUESTOS!$C$13-1),1,0))</f>
        <v>0</v>
      </c>
      <c r="BD53" s="420" t="n">
        <f aca="false">IF(FC_SUPUESTOS!$C$12=0,0,IF(AND(BD$4&gt;=MAX(1,FC_SUPUESTOS!$C$13-FC_SUPUESTOS!$C$33),BD$4&lt;=FC_SUPUESTOS!$C$13-1),1,0))</f>
        <v>0</v>
      </c>
      <c r="BE53" s="420" t="n">
        <f aca="false">IF(FC_SUPUESTOS!$C$12=0,0,IF(AND(BE$4&gt;=MAX(1,FC_SUPUESTOS!$C$13-FC_SUPUESTOS!$C$33),BE$4&lt;=FC_SUPUESTOS!$C$13-1),1,0))</f>
        <v>0</v>
      </c>
      <c r="BF53" s="420" t="n">
        <f aca="false">IF(FC_SUPUESTOS!$C$12=0,0,IF(AND(BF$4&gt;=MAX(1,FC_SUPUESTOS!$C$13-FC_SUPUESTOS!$C$33),BF$4&lt;=FC_SUPUESTOS!$C$13-1),1,0))</f>
        <v>0</v>
      </c>
      <c r="BG53" s="420" t="n">
        <f aca="false">IF(FC_SUPUESTOS!$C$12=0,0,IF(AND(BG$4&gt;=MAX(1,FC_SUPUESTOS!$C$13-FC_SUPUESTOS!$C$33),BG$4&lt;=FC_SUPUESTOS!$C$13-1),1,0))</f>
        <v>0</v>
      </c>
      <c r="BH53" s="420" t="n">
        <f aca="false">IF(FC_SUPUESTOS!$C$12=0,0,IF(AND(BH$4&gt;=MAX(1,FC_SUPUESTOS!$C$13-FC_SUPUESTOS!$C$33),BH$4&lt;=FC_SUPUESTOS!$C$13-1),1,0))</f>
        <v>0</v>
      </c>
      <c r="BI53" s="420" t="n">
        <f aca="false">IF(FC_SUPUESTOS!$C$12=0,0,IF(AND(BI$4&gt;=MAX(1,FC_SUPUESTOS!$C$13-FC_SUPUESTOS!$C$33),BI$4&lt;=FC_SUPUESTOS!$C$13-1),1,0))</f>
        <v>0</v>
      </c>
      <c r="BJ53" s="420" t="n">
        <f aca="false">IF(FC_SUPUESTOS!$C$12=0,0,IF(AND(BJ$4&gt;=MAX(1,FC_SUPUESTOS!$C$13-FC_SUPUESTOS!$C$33),BJ$4&lt;=FC_SUPUESTOS!$C$13-1),1,0))</f>
        <v>0</v>
      </c>
      <c r="BK53" s="420" t="n">
        <f aca="false">IF(FC_SUPUESTOS!$C$12=0,0,IF(AND(BK$4&gt;=MAX(1,FC_SUPUESTOS!$C$13-FC_SUPUESTOS!$C$33),BK$4&lt;=FC_SUPUESTOS!$C$13-1),1,0))</f>
        <v>0</v>
      </c>
    </row>
    <row r="54" customFormat="false" ht="15" hidden="false" customHeight="true" outlineLevel="0" collapsed="false">
      <c r="B54" s="357" t="s">
        <v>2394</v>
      </c>
      <c r="C54" s="428" t="str">
        <f aca="false">IF(FC_SUPUESTOS!$C$12=0,"Flagship apagado — el flujo muestra el piloto puro.",IF(FC_SUPUESTOS!$C$13-FC_SUPUESTOS!$C$31&lt;1,"⚠ El mes de apertura elegido exige haber ordenado los equipos antes del arranque del proyecto: el flujo concentra ese pago en el mes 1.",IF(FC_SUPUESTOS!$C$13&lt;FC_SUPUESTOS!$C$23,"⚠ El flagship abriría antes de que la planta esté operativa.","✓ Fecha de apertura del flagship factible con los lead time cargados.")))</f>
        <v>Flagship apagado — el flujo muestra el piloto puro.</v>
      </c>
      <c r="D54" s="428"/>
      <c r="E54" s="428"/>
      <c r="F54" s="428"/>
      <c r="G54" s="428"/>
      <c r="H54" s="428"/>
      <c r="I54" s="428"/>
      <c r="J54" s="428"/>
      <c r="K54" s="428"/>
      <c r="L54" s="428"/>
      <c r="M54" s="428"/>
      <c r="N54" s="428"/>
    </row>
    <row r="56" customFormat="false" ht="15" hidden="false" customHeight="true" outlineLevel="0" collapsed="false">
      <c r="A56" s="351" t="s">
        <v>2395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row>
    <row r="57" customFormat="false" ht="15" hidden="false" customHeight="true" outlineLevel="0" collapsed="false">
      <c r="B57" s="297" t="s">
        <v>2396</v>
      </c>
      <c r="D57" s="423" t="n">
        <f aca="false">SUP_CONTROL!$C$8*(D23+D24*(1+SUP_VOLUMEN!$C$26))</f>
        <v>0</v>
      </c>
      <c r="E57" s="423" t="n">
        <f aca="false">SUP_CONTROL!$C$8*(E23+E24*(1+SUP_VOLUMEN!$C$26))</f>
        <v>0</v>
      </c>
      <c r="F57" s="423" t="n">
        <f aca="false">SUP_CONTROL!$C$8*(F23+F24*(1+SUP_VOLUMEN!$C$26))</f>
        <v>0</v>
      </c>
      <c r="G57" s="423" t="n">
        <f aca="false">SUP_CONTROL!$C$8*(G23+G24*(1+SUP_VOLUMEN!$C$26))</f>
        <v>0</v>
      </c>
      <c r="H57" s="423" t="n">
        <f aca="false">SUP_CONTROL!$C$8*(H23+H24*(1+SUP_VOLUMEN!$C$26))</f>
        <v>0</v>
      </c>
      <c r="I57" s="423" t="n">
        <f aca="false">SUP_CONTROL!$C$8*(I23+I24*(1+SUP_VOLUMEN!$C$26))</f>
        <v>0</v>
      </c>
      <c r="J57" s="423" t="n">
        <f aca="false">SUP_CONTROL!$C$8*(J23+J24*(1+SUP_VOLUMEN!$C$26))</f>
        <v>0</v>
      </c>
      <c r="K57" s="423" t="n">
        <f aca="false">SUP_CONTROL!$C$8*(K23+K24*(1+SUP_VOLUMEN!$C$26))</f>
        <v>0</v>
      </c>
      <c r="L57" s="423" t="n">
        <f aca="false">SUP_CONTROL!$C$8*(L23+L24*(1+SUP_VOLUMEN!$C$26))</f>
        <v>0</v>
      </c>
      <c r="M57" s="423" t="n">
        <f aca="false">SUP_CONTROL!$C$8*(M23+M24*(1+SUP_VOLUMEN!$C$26))</f>
        <v>5880</v>
      </c>
      <c r="N57" s="423" t="n">
        <f aca="false">SUP_CONTROL!$C$8*(N23+N24*(1+SUP_VOLUMEN!$C$26))</f>
        <v>13020</v>
      </c>
      <c r="O57" s="423" t="n">
        <f aca="false">SUP_CONTROL!$C$8*(O23+O24*(1+SUP_VOLUMEN!$C$26))</f>
        <v>21420</v>
      </c>
      <c r="P57" s="423" t="n">
        <f aca="false">SUP_CONTROL!$C$8*(P23+P24*(1+SUP_VOLUMEN!$C$26))</f>
        <v>30702</v>
      </c>
      <c r="Q57" s="423" t="n">
        <f aca="false">SUP_CONTROL!$C$8*(Q23+Q24*(1+SUP_VOLUMEN!$C$26))</f>
        <v>41055</v>
      </c>
      <c r="R57" s="423" t="n">
        <f aca="false">SUP_CONTROL!$C$8*(R23+R24*(1+SUP_VOLUMEN!$C$26))</f>
        <v>44142</v>
      </c>
      <c r="S57" s="423" t="n">
        <f aca="false">SUP_CONTROL!$C$8*(S23+S24*(1+SUP_VOLUMEN!$C$26))</f>
        <v>45780</v>
      </c>
      <c r="T57" s="423" t="n">
        <f aca="false">SUP_CONTROL!$C$8*(T23+T24*(1+SUP_VOLUMEN!$C$26))</f>
        <v>45780</v>
      </c>
      <c r="U57" s="423" t="n">
        <f aca="false">SUP_CONTROL!$C$8*(U23+U24*(1+SUP_VOLUMEN!$C$26))</f>
        <v>45780</v>
      </c>
      <c r="V57" s="423" t="n">
        <f aca="false">SUP_CONTROL!$C$8*(V23+V24*(1+SUP_VOLUMEN!$C$26))</f>
        <v>45780</v>
      </c>
      <c r="W57" s="423" t="n">
        <f aca="false">SUP_CONTROL!$C$8*(W23+W24*(1+SUP_VOLUMEN!$C$26))</f>
        <v>45780</v>
      </c>
      <c r="X57" s="423" t="n">
        <f aca="false">SUP_CONTROL!$C$8*(X23+X24*(1+SUP_VOLUMEN!$C$26))</f>
        <v>45780</v>
      </c>
      <c r="Y57" s="423" t="n">
        <f aca="false">SUP_CONTROL!$C$8*(Y23+Y24*(1+SUP_VOLUMEN!$C$26))</f>
        <v>45780</v>
      </c>
      <c r="Z57" s="423" t="n">
        <f aca="false">SUP_CONTROL!$C$8*(Z23+Z24*(1+SUP_VOLUMEN!$C$26))</f>
        <v>45780</v>
      </c>
      <c r="AA57" s="423" t="n">
        <f aca="false">SUP_CONTROL!$C$8*(AA23+AA24*(1+SUP_VOLUMEN!$C$26))</f>
        <v>45780</v>
      </c>
      <c r="AB57" s="423" t="n">
        <f aca="false">SUP_CONTROL!$C$8*(AB23+AB24*(1+SUP_VOLUMEN!$C$26))</f>
        <v>45780</v>
      </c>
      <c r="AC57" s="423" t="n">
        <f aca="false">SUP_CONTROL!$C$8*(AC23+AC24*(1+SUP_VOLUMEN!$C$26))</f>
        <v>45780</v>
      </c>
      <c r="AD57" s="423" t="n">
        <f aca="false">SUP_CONTROL!$C$8*(AD23+AD24*(1+SUP_VOLUMEN!$C$26))</f>
        <v>45780</v>
      </c>
      <c r="AE57" s="423" t="n">
        <f aca="false">SUP_CONTROL!$C$8*(AE23+AE24*(1+SUP_VOLUMEN!$C$26))</f>
        <v>45780</v>
      </c>
      <c r="AF57" s="423" t="n">
        <f aca="false">SUP_CONTROL!$C$8*(AF23+AF24*(1+SUP_VOLUMEN!$C$26))</f>
        <v>45780</v>
      </c>
      <c r="AG57" s="423" t="n">
        <f aca="false">SUP_CONTROL!$C$8*(AG23+AG24*(1+SUP_VOLUMEN!$C$26))</f>
        <v>45780</v>
      </c>
      <c r="AH57" s="423" t="n">
        <f aca="false">SUP_CONTROL!$C$8*(AH23+AH24*(1+SUP_VOLUMEN!$C$26))</f>
        <v>45780</v>
      </c>
      <c r="AI57" s="423" t="n">
        <f aca="false">SUP_CONTROL!$C$8*(AI23+AI24*(1+SUP_VOLUMEN!$C$26))</f>
        <v>45780</v>
      </c>
      <c r="AJ57" s="423" t="n">
        <f aca="false">SUP_CONTROL!$C$8*(AJ23+AJ24*(1+SUP_VOLUMEN!$C$26))</f>
        <v>45780</v>
      </c>
      <c r="AK57" s="423" t="n">
        <f aca="false">SUP_CONTROL!$C$8*(AK23+AK24*(1+SUP_VOLUMEN!$C$26))</f>
        <v>45780</v>
      </c>
      <c r="AL57" s="423" t="n">
        <f aca="false">SUP_CONTROL!$C$8*(AL23+AL24*(1+SUP_VOLUMEN!$C$26))</f>
        <v>45780</v>
      </c>
      <c r="AM57" s="423" t="n">
        <f aca="false">SUP_CONTROL!$C$8*(AM23+AM24*(1+SUP_VOLUMEN!$C$26))</f>
        <v>45780</v>
      </c>
      <c r="AN57" s="423" t="n">
        <f aca="false">SUP_CONTROL!$C$8*(AN23+AN24*(1+SUP_VOLUMEN!$C$26))</f>
        <v>45780</v>
      </c>
      <c r="AO57" s="423" t="n">
        <f aca="false">SUP_CONTROL!$C$8*(AO23+AO24*(1+SUP_VOLUMEN!$C$26))</f>
        <v>45780</v>
      </c>
      <c r="AP57" s="423" t="n">
        <f aca="false">SUP_CONTROL!$C$8*(AP23+AP24*(1+SUP_VOLUMEN!$C$26))</f>
        <v>45780</v>
      </c>
      <c r="AQ57" s="423" t="n">
        <f aca="false">SUP_CONTROL!$C$8*(AQ23+AQ24*(1+SUP_VOLUMEN!$C$26))</f>
        <v>45780</v>
      </c>
      <c r="AR57" s="423" t="n">
        <f aca="false">SUP_CONTROL!$C$8*(AR23+AR24*(1+SUP_VOLUMEN!$C$26))</f>
        <v>45780</v>
      </c>
      <c r="AS57" s="423" t="n">
        <f aca="false">SUP_CONTROL!$C$8*(AS23+AS24*(1+SUP_VOLUMEN!$C$26))</f>
        <v>45780</v>
      </c>
      <c r="AT57" s="423" t="n">
        <f aca="false">SUP_CONTROL!$C$8*(AT23+AT24*(1+SUP_VOLUMEN!$C$26))</f>
        <v>45780</v>
      </c>
      <c r="AU57" s="423" t="n">
        <f aca="false">SUP_CONTROL!$C$8*(AU23+AU24*(1+SUP_VOLUMEN!$C$26))</f>
        <v>45780</v>
      </c>
      <c r="AV57" s="423" t="n">
        <f aca="false">SUP_CONTROL!$C$8*(AV23+AV24*(1+SUP_VOLUMEN!$C$26))</f>
        <v>45780</v>
      </c>
      <c r="AW57" s="423" t="n">
        <f aca="false">SUP_CONTROL!$C$8*(AW23+AW24*(1+SUP_VOLUMEN!$C$26))</f>
        <v>45780</v>
      </c>
      <c r="AX57" s="423" t="n">
        <f aca="false">SUP_CONTROL!$C$8*(AX23+AX24*(1+SUP_VOLUMEN!$C$26))</f>
        <v>45780</v>
      </c>
      <c r="AY57" s="423" t="n">
        <f aca="false">SUP_CONTROL!$C$8*(AY23+AY24*(1+SUP_VOLUMEN!$C$26))</f>
        <v>45780</v>
      </c>
      <c r="AZ57" s="423" t="n">
        <f aca="false">SUP_CONTROL!$C$8*(AZ23+AZ24*(1+SUP_VOLUMEN!$C$26))</f>
        <v>45780</v>
      </c>
      <c r="BA57" s="423" t="n">
        <f aca="false">SUP_CONTROL!$C$8*(BA23+BA24*(1+SUP_VOLUMEN!$C$26))</f>
        <v>45780</v>
      </c>
      <c r="BB57" s="423" t="n">
        <f aca="false">SUP_CONTROL!$C$8*(BB23+BB24*(1+SUP_VOLUMEN!$C$26))</f>
        <v>45780</v>
      </c>
      <c r="BC57" s="423" t="n">
        <f aca="false">SUP_CONTROL!$C$8*(BC23+BC24*(1+SUP_VOLUMEN!$C$26))</f>
        <v>45780</v>
      </c>
      <c r="BD57" s="423" t="n">
        <f aca="false">SUP_CONTROL!$C$8*(BD23+BD24*(1+SUP_VOLUMEN!$C$26))</f>
        <v>45780</v>
      </c>
      <c r="BE57" s="423" t="n">
        <f aca="false">SUP_CONTROL!$C$8*(BE23+BE24*(1+SUP_VOLUMEN!$C$26))</f>
        <v>45780</v>
      </c>
      <c r="BF57" s="423" t="n">
        <f aca="false">SUP_CONTROL!$C$8*(BF23+BF24*(1+SUP_VOLUMEN!$C$26))</f>
        <v>45780</v>
      </c>
      <c r="BG57" s="423" t="n">
        <f aca="false">SUP_CONTROL!$C$8*(BG23+BG24*(1+SUP_VOLUMEN!$C$26))</f>
        <v>45780</v>
      </c>
      <c r="BH57" s="423" t="n">
        <f aca="false">SUP_CONTROL!$C$8*(BH23+BH24*(1+SUP_VOLUMEN!$C$26))</f>
        <v>45780</v>
      </c>
      <c r="BI57" s="423" t="n">
        <f aca="false">SUP_CONTROL!$C$8*(BI23+BI24*(1+SUP_VOLUMEN!$C$26))</f>
        <v>45780</v>
      </c>
      <c r="BJ57" s="423" t="n">
        <f aca="false">SUP_CONTROL!$C$8*(BJ23+BJ24*(1+SUP_VOLUMEN!$C$26))</f>
        <v>45780</v>
      </c>
      <c r="BK57" s="423" t="n">
        <f aca="false">SUP_CONTROL!$C$8*(BK23+BK24*(1+SUP_VOLUMEN!$C$26))</f>
        <v>45780</v>
      </c>
    </row>
    <row r="58" customFormat="false" ht="15" hidden="false" customHeight="true" outlineLevel="0" collapsed="false">
      <c r="B58" s="297" t="s">
        <v>2397</v>
      </c>
      <c r="D58" s="423" t="n">
        <f aca="false">SUP_CONTROL!$C$8*(1+SUP_VOLUMEN!$C$27)*D45</f>
        <v>0</v>
      </c>
      <c r="E58" s="423" t="n">
        <f aca="false">SUP_CONTROL!$C$8*(1+SUP_VOLUMEN!$C$27)*E45</f>
        <v>0</v>
      </c>
      <c r="F58" s="423" t="n">
        <f aca="false">SUP_CONTROL!$C$8*(1+SUP_VOLUMEN!$C$27)*F45</f>
        <v>0</v>
      </c>
      <c r="G58" s="423" t="n">
        <f aca="false">SUP_CONTROL!$C$8*(1+SUP_VOLUMEN!$C$27)*G45</f>
        <v>0</v>
      </c>
      <c r="H58" s="423" t="n">
        <f aca="false">SUP_CONTROL!$C$8*(1+SUP_VOLUMEN!$C$27)*H45</f>
        <v>0</v>
      </c>
      <c r="I58" s="423" t="n">
        <f aca="false">SUP_CONTROL!$C$8*(1+SUP_VOLUMEN!$C$27)*I45</f>
        <v>0</v>
      </c>
      <c r="J58" s="423" t="n">
        <f aca="false">SUP_CONTROL!$C$8*(1+SUP_VOLUMEN!$C$27)*J45</f>
        <v>0</v>
      </c>
      <c r="K58" s="423" t="n">
        <f aca="false">SUP_CONTROL!$C$8*(1+SUP_VOLUMEN!$C$27)*K45</f>
        <v>0</v>
      </c>
      <c r="L58" s="423" t="n">
        <f aca="false">SUP_CONTROL!$C$8*(1+SUP_VOLUMEN!$C$27)*L45</f>
        <v>0</v>
      </c>
      <c r="M58" s="423" t="n">
        <f aca="false">SUP_CONTROL!$C$8*(1+SUP_VOLUMEN!$C$27)*M45</f>
        <v>0</v>
      </c>
      <c r="N58" s="423" t="n">
        <f aca="false">SUP_CONTROL!$C$8*(1+SUP_VOLUMEN!$C$27)*N45</f>
        <v>0</v>
      </c>
      <c r="O58" s="423" t="n">
        <f aca="false">SUP_CONTROL!$C$8*(1+SUP_VOLUMEN!$C$27)*O45</f>
        <v>0</v>
      </c>
      <c r="P58" s="423" t="n">
        <f aca="false">SUP_CONTROL!$C$8*(1+SUP_VOLUMEN!$C$27)*P45</f>
        <v>0</v>
      </c>
      <c r="Q58" s="423" t="n">
        <f aca="false">SUP_CONTROL!$C$8*(1+SUP_VOLUMEN!$C$27)*Q45</f>
        <v>0</v>
      </c>
      <c r="R58" s="423" t="n">
        <f aca="false">SUP_CONTROL!$C$8*(1+SUP_VOLUMEN!$C$27)*R45</f>
        <v>0</v>
      </c>
      <c r="S58" s="423" t="n">
        <f aca="false">SUP_CONTROL!$C$8*(1+SUP_VOLUMEN!$C$27)*S45</f>
        <v>0</v>
      </c>
      <c r="T58" s="423" t="n">
        <f aca="false">SUP_CONTROL!$C$8*(1+SUP_VOLUMEN!$C$27)*T45</f>
        <v>0</v>
      </c>
      <c r="U58" s="423" t="n">
        <f aca="false">SUP_CONTROL!$C$8*(1+SUP_VOLUMEN!$C$27)*U45</f>
        <v>0</v>
      </c>
      <c r="V58" s="423" t="n">
        <f aca="false">SUP_CONTROL!$C$8*(1+SUP_VOLUMEN!$C$27)*V45</f>
        <v>0</v>
      </c>
      <c r="W58" s="423" t="n">
        <f aca="false">SUP_CONTROL!$C$8*(1+SUP_VOLUMEN!$C$27)*W45</f>
        <v>0</v>
      </c>
      <c r="X58" s="423" t="n">
        <f aca="false">SUP_CONTROL!$C$8*(1+SUP_VOLUMEN!$C$27)*X45</f>
        <v>0</v>
      </c>
      <c r="Y58" s="423" t="n">
        <f aca="false">SUP_CONTROL!$C$8*(1+SUP_VOLUMEN!$C$27)*Y45</f>
        <v>0</v>
      </c>
      <c r="Z58" s="423" t="n">
        <f aca="false">SUP_CONTROL!$C$8*(1+SUP_VOLUMEN!$C$27)*Z45</f>
        <v>0</v>
      </c>
      <c r="AA58" s="423" t="n">
        <f aca="false">SUP_CONTROL!$C$8*(1+SUP_VOLUMEN!$C$27)*AA45</f>
        <v>0</v>
      </c>
      <c r="AB58" s="423" t="n">
        <f aca="false">SUP_CONTROL!$C$8*(1+SUP_VOLUMEN!$C$27)*AB45</f>
        <v>0</v>
      </c>
      <c r="AC58" s="423" t="n">
        <f aca="false">SUP_CONTROL!$C$8*(1+SUP_VOLUMEN!$C$27)*AC45</f>
        <v>0</v>
      </c>
      <c r="AD58" s="423" t="n">
        <f aca="false">SUP_CONTROL!$C$8*(1+SUP_VOLUMEN!$C$27)*AD45</f>
        <v>0</v>
      </c>
      <c r="AE58" s="423" t="n">
        <f aca="false">SUP_CONTROL!$C$8*(1+SUP_VOLUMEN!$C$27)*AE45</f>
        <v>0</v>
      </c>
      <c r="AF58" s="423" t="n">
        <f aca="false">SUP_CONTROL!$C$8*(1+SUP_VOLUMEN!$C$27)*AF45</f>
        <v>0</v>
      </c>
      <c r="AG58" s="423" t="n">
        <f aca="false">SUP_CONTROL!$C$8*(1+SUP_VOLUMEN!$C$27)*AG45</f>
        <v>0</v>
      </c>
      <c r="AH58" s="423" t="n">
        <f aca="false">SUP_CONTROL!$C$8*(1+SUP_VOLUMEN!$C$27)*AH45</f>
        <v>0</v>
      </c>
      <c r="AI58" s="423" t="n">
        <f aca="false">SUP_CONTROL!$C$8*(1+SUP_VOLUMEN!$C$27)*AI45</f>
        <v>0</v>
      </c>
      <c r="AJ58" s="423" t="n">
        <f aca="false">SUP_CONTROL!$C$8*(1+SUP_VOLUMEN!$C$27)*AJ45</f>
        <v>0</v>
      </c>
      <c r="AK58" s="423" t="n">
        <f aca="false">SUP_CONTROL!$C$8*(1+SUP_VOLUMEN!$C$27)*AK45</f>
        <v>0</v>
      </c>
      <c r="AL58" s="423" t="n">
        <f aca="false">SUP_CONTROL!$C$8*(1+SUP_VOLUMEN!$C$27)*AL45</f>
        <v>0</v>
      </c>
      <c r="AM58" s="423" t="n">
        <f aca="false">SUP_CONTROL!$C$8*(1+SUP_VOLUMEN!$C$27)*AM45</f>
        <v>0</v>
      </c>
      <c r="AN58" s="423" t="n">
        <f aca="false">SUP_CONTROL!$C$8*(1+SUP_VOLUMEN!$C$27)*AN45</f>
        <v>0</v>
      </c>
      <c r="AO58" s="423" t="n">
        <f aca="false">SUP_CONTROL!$C$8*(1+SUP_VOLUMEN!$C$27)*AO45</f>
        <v>0</v>
      </c>
      <c r="AP58" s="423" t="n">
        <f aca="false">SUP_CONTROL!$C$8*(1+SUP_VOLUMEN!$C$27)*AP45</f>
        <v>0</v>
      </c>
      <c r="AQ58" s="423" t="n">
        <f aca="false">SUP_CONTROL!$C$8*(1+SUP_VOLUMEN!$C$27)*AQ45</f>
        <v>0</v>
      </c>
      <c r="AR58" s="423" t="n">
        <f aca="false">SUP_CONTROL!$C$8*(1+SUP_VOLUMEN!$C$27)*AR45</f>
        <v>0</v>
      </c>
      <c r="AS58" s="423" t="n">
        <f aca="false">SUP_CONTROL!$C$8*(1+SUP_VOLUMEN!$C$27)*AS45</f>
        <v>0</v>
      </c>
      <c r="AT58" s="423" t="n">
        <f aca="false">SUP_CONTROL!$C$8*(1+SUP_VOLUMEN!$C$27)*AT45</f>
        <v>0</v>
      </c>
      <c r="AU58" s="423" t="n">
        <f aca="false">SUP_CONTROL!$C$8*(1+SUP_VOLUMEN!$C$27)*AU45</f>
        <v>0</v>
      </c>
      <c r="AV58" s="423" t="n">
        <f aca="false">SUP_CONTROL!$C$8*(1+SUP_VOLUMEN!$C$27)*AV45</f>
        <v>0</v>
      </c>
      <c r="AW58" s="423" t="n">
        <f aca="false">SUP_CONTROL!$C$8*(1+SUP_VOLUMEN!$C$27)*AW45</f>
        <v>0</v>
      </c>
      <c r="AX58" s="423" t="n">
        <f aca="false">SUP_CONTROL!$C$8*(1+SUP_VOLUMEN!$C$27)*AX45</f>
        <v>0</v>
      </c>
      <c r="AY58" s="423" t="n">
        <f aca="false">SUP_CONTROL!$C$8*(1+SUP_VOLUMEN!$C$27)*AY45</f>
        <v>0</v>
      </c>
      <c r="AZ58" s="423" t="n">
        <f aca="false">SUP_CONTROL!$C$8*(1+SUP_VOLUMEN!$C$27)*AZ45</f>
        <v>0</v>
      </c>
      <c r="BA58" s="423" t="n">
        <f aca="false">SUP_CONTROL!$C$8*(1+SUP_VOLUMEN!$C$27)*BA45</f>
        <v>0</v>
      </c>
      <c r="BB58" s="423" t="n">
        <f aca="false">SUP_CONTROL!$C$8*(1+SUP_VOLUMEN!$C$27)*BB45</f>
        <v>0</v>
      </c>
      <c r="BC58" s="423" t="n">
        <f aca="false">SUP_CONTROL!$C$8*(1+SUP_VOLUMEN!$C$27)*BC45</f>
        <v>0</v>
      </c>
      <c r="BD58" s="423" t="n">
        <f aca="false">SUP_CONTROL!$C$8*(1+SUP_VOLUMEN!$C$27)*BD45</f>
        <v>0</v>
      </c>
      <c r="BE58" s="423" t="n">
        <f aca="false">SUP_CONTROL!$C$8*(1+SUP_VOLUMEN!$C$27)*BE45</f>
        <v>0</v>
      </c>
      <c r="BF58" s="423" t="n">
        <f aca="false">SUP_CONTROL!$C$8*(1+SUP_VOLUMEN!$C$27)*BF45</f>
        <v>0</v>
      </c>
      <c r="BG58" s="423" t="n">
        <f aca="false">SUP_CONTROL!$C$8*(1+SUP_VOLUMEN!$C$27)*BG45</f>
        <v>0</v>
      </c>
      <c r="BH58" s="423" t="n">
        <f aca="false">SUP_CONTROL!$C$8*(1+SUP_VOLUMEN!$C$27)*BH45</f>
        <v>0</v>
      </c>
      <c r="BI58" s="423" t="n">
        <f aca="false">SUP_CONTROL!$C$8*(1+SUP_VOLUMEN!$C$27)*BI45</f>
        <v>0</v>
      </c>
      <c r="BJ58" s="423" t="n">
        <f aca="false">SUP_CONTROL!$C$8*(1+SUP_VOLUMEN!$C$27)*BJ45</f>
        <v>0</v>
      </c>
      <c r="BK58" s="423" t="n">
        <f aca="false">SUP_CONTROL!$C$8*(1+SUP_VOLUMEN!$C$27)*BK45</f>
        <v>0</v>
      </c>
    </row>
    <row r="59" customFormat="false" ht="15" hidden="false" customHeight="true" outlineLevel="0" collapsed="false">
      <c r="B59" s="421" t="s">
        <v>2398</v>
      </c>
      <c r="D59" s="424" t="n">
        <f aca="false">D57+D58</f>
        <v>0</v>
      </c>
      <c r="E59" s="424" t="n">
        <f aca="false">E57+E58</f>
        <v>0</v>
      </c>
      <c r="F59" s="424" t="n">
        <f aca="false">F57+F58</f>
        <v>0</v>
      </c>
      <c r="G59" s="424" t="n">
        <f aca="false">G57+G58</f>
        <v>0</v>
      </c>
      <c r="H59" s="424" t="n">
        <f aca="false">H57+H58</f>
        <v>0</v>
      </c>
      <c r="I59" s="424" t="n">
        <f aca="false">I57+I58</f>
        <v>0</v>
      </c>
      <c r="J59" s="424" t="n">
        <f aca="false">J57+J58</f>
        <v>0</v>
      </c>
      <c r="K59" s="424" t="n">
        <f aca="false">K57+K58</f>
        <v>0</v>
      </c>
      <c r="L59" s="424" t="n">
        <f aca="false">L57+L58</f>
        <v>0</v>
      </c>
      <c r="M59" s="424" t="n">
        <f aca="false">M57+M58</f>
        <v>5880</v>
      </c>
      <c r="N59" s="424" t="n">
        <f aca="false">N57+N58</f>
        <v>13020</v>
      </c>
      <c r="O59" s="424" t="n">
        <f aca="false">O57+O58</f>
        <v>21420</v>
      </c>
      <c r="P59" s="424" t="n">
        <f aca="false">P57+P58</f>
        <v>30702</v>
      </c>
      <c r="Q59" s="424" t="n">
        <f aca="false">Q57+Q58</f>
        <v>41055</v>
      </c>
      <c r="R59" s="424" t="n">
        <f aca="false">R57+R58</f>
        <v>44142</v>
      </c>
      <c r="S59" s="424" t="n">
        <f aca="false">S57+S58</f>
        <v>45780</v>
      </c>
      <c r="T59" s="424" t="n">
        <f aca="false">T57+T58</f>
        <v>45780</v>
      </c>
      <c r="U59" s="424" t="n">
        <f aca="false">U57+U58</f>
        <v>45780</v>
      </c>
      <c r="V59" s="424" t="n">
        <f aca="false">V57+V58</f>
        <v>45780</v>
      </c>
      <c r="W59" s="424" t="n">
        <f aca="false">W57+W58</f>
        <v>45780</v>
      </c>
      <c r="X59" s="424" t="n">
        <f aca="false">X57+X58</f>
        <v>45780</v>
      </c>
      <c r="Y59" s="424" t="n">
        <f aca="false">Y57+Y58</f>
        <v>45780</v>
      </c>
      <c r="Z59" s="424" t="n">
        <f aca="false">Z57+Z58</f>
        <v>45780</v>
      </c>
      <c r="AA59" s="424" t="n">
        <f aca="false">AA57+AA58</f>
        <v>45780</v>
      </c>
      <c r="AB59" s="424" t="n">
        <f aca="false">AB57+AB58</f>
        <v>45780</v>
      </c>
      <c r="AC59" s="424" t="n">
        <f aca="false">AC57+AC58</f>
        <v>45780</v>
      </c>
      <c r="AD59" s="424" t="n">
        <f aca="false">AD57+AD58</f>
        <v>45780</v>
      </c>
      <c r="AE59" s="424" t="n">
        <f aca="false">AE57+AE58</f>
        <v>45780</v>
      </c>
      <c r="AF59" s="424" t="n">
        <f aca="false">AF57+AF58</f>
        <v>45780</v>
      </c>
      <c r="AG59" s="424" t="n">
        <f aca="false">AG57+AG58</f>
        <v>45780</v>
      </c>
      <c r="AH59" s="424" t="n">
        <f aca="false">AH57+AH58</f>
        <v>45780</v>
      </c>
      <c r="AI59" s="424" t="n">
        <f aca="false">AI57+AI58</f>
        <v>45780</v>
      </c>
      <c r="AJ59" s="424" t="n">
        <f aca="false">AJ57+AJ58</f>
        <v>45780</v>
      </c>
      <c r="AK59" s="424" t="n">
        <f aca="false">AK57+AK58</f>
        <v>45780</v>
      </c>
      <c r="AL59" s="424" t="n">
        <f aca="false">AL57+AL58</f>
        <v>45780</v>
      </c>
      <c r="AM59" s="424" t="n">
        <f aca="false">AM57+AM58</f>
        <v>45780</v>
      </c>
      <c r="AN59" s="424" t="n">
        <f aca="false">AN57+AN58</f>
        <v>45780</v>
      </c>
      <c r="AO59" s="424" t="n">
        <f aca="false">AO57+AO58</f>
        <v>45780</v>
      </c>
      <c r="AP59" s="424" t="n">
        <f aca="false">AP57+AP58</f>
        <v>45780</v>
      </c>
      <c r="AQ59" s="424" t="n">
        <f aca="false">AQ57+AQ58</f>
        <v>45780</v>
      </c>
      <c r="AR59" s="424" t="n">
        <f aca="false">AR57+AR58</f>
        <v>45780</v>
      </c>
      <c r="AS59" s="424" t="n">
        <f aca="false">AS57+AS58</f>
        <v>45780</v>
      </c>
      <c r="AT59" s="424" t="n">
        <f aca="false">AT57+AT58</f>
        <v>45780</v>
      </c>
      <c r="AU59" s="424" t="n">
        <f aca="false">AU57+AU58</f>
        <v>45780</v>
      </c>
      <c r="AV59" s="424" t="n">
        <f aca="false">AV57+AV58</f>
        <v>45780</v>
      </c>
      <c r="AW59" s="424" t="n">
        <f aca="false">AW57+AW58</f>
        <v>45780</v>
      </c>
      <c r="AX59" s="424" t="n">
        <f aca="false">AX57+AX58</f>
        <v>45780</v>
      </c>
      <c r="AY59" s="424" t="n">
        <f aca="false">AY57+AY58</f>
        <v>45780</v>
      </c>
      <c r="AZ59" s="424" t="n">
        <f aca="false">AZ57+AZ58</f>
        <v>45780</v>
      </c>
      <c r="BA59" s="424" t="n">
        <f aca="false">BA57+BA58</f>
        <v>45780</v>
      </c>
      <c r="BB59" s="424" t="n">
        <f aca="false">BB57+BB58</f>
        <v>45780</v>
      </c>
      <c r="BC59" s="424" t="n">
        <f aca="false">BC57+BC58</f>
        <v>45780</v>
      </c>
      <c r="BD59" s="424" t="n">
        <f aca="false">BD57+BD58</f>
        <v>45780</v>
      </c>
      <c r="BE59" s="424" t="n">
        <f aca="false">BE57+BE58</f>
        <v>45780</v>
      </c>
      <c r="BF59" s="424" t="n">
        <f aca="false">BF57+BF58</f>
        <v>45780</v>
      </c>
      <c r="BG59" s="424" t="n">
        <f aca="false">BG57+BG58</f>
        <v>45780</v>
      </c>
      <c r="BH59" s="424" t="n">
        <f aca="false">BH57+BH58</f>
        <v>45780</v>
      </c>
      <c r="BI59" s="424" t="n">
        <f aca="false">BI57+BI58</f>
        <v>45780</v>
      </c>
      <c r="BJ59" s="424" t="n">
        <f aca="false">BJ57+BJ58</f>
        <v>45780</v>
      </c>
      <c r="BK59" s="424" t="n">
        <f aca="false">BK57+BK58</f>
        <v>45780</v>
      </c>
    </row>
    <row r="60" customFormat="false" ht="15" hidden="false" customHeight="true" outlineLevel="0" collapsed="false">
      <c r="B60" s="297" t="s">
        <v>2399</v>
      </c>
      <c r="D60" s="423" t="n">
        <f aca="false">D57*SUP_CONTROL!$C$28</f>
        <v>0</v>
      </c>
      <c r="E60" s="423" t="n">
        <f aca="false">E57*SUP_CONTROL!$C$28</f>
        <v>0</v>
      </c>
      <c r="F60" s="423" t="n">
        <f aca="false">F57*SUP_CONTROL!$C$28</f>
        <v>0</v>
      </c>
      <c r="G60" s="423" t="n">
        <f aca="false">G57*SUP_CONTROL!$C$28</f>
        <v>0</v>
      </c>
      <c r="H60" s="423" t="n">
        <f aca="false">H57*SUP_CONTROL!$C$28</f>
        <v>0</v>
      </c>
      <c r="I60" s="423" t="n">
        <f aca="false">I57*SUP_CONTROL!$C$28</f>
        <v>0</v>
      </c>
      <c r="J60" s="423" t="n">
        <f aca="false">J57*SUP_CONTROL!$C$28</f>
        <v>0</v>
      </c>
      <c r="K60" s="423" t="n">
        <f aca="false">K57*SUP_CONTROL!$C$28</f>
        <v>0</v>
      </c>
      <c r="L60" s="423" t="n">
        <f aca="false">L57*SUP_CONTROL!$C$28</f>
        <v>0</v>
      </c>
      <c r="M60" s="423" t="n">
        <f aca="false">M57*SUP_CONTROL!$C$28</f>
        <v>9702</v>
      </c>
      <c r="N60" s="423" t="n">
        <f aca="false">N57*SUP_CONTROL!$C$28</f>
        <v>21483</v>
      </c>
      <c r="O60" s="423" t="n">
        <f aca="false">O57*SUP_CONTROL!$C$28</f>
        <v>35343</v>
      </c>
      <c r="P60" s="423" t="n">
        <f aca="false">P57*SUP_CONTROL!$C$28</f>
        <v>50658.3</v>
      </c>
      <c r="Q60" s="423" t="n">
        <f aca="false">Q57*SUP_CONTROL!$C$28</f>
        <v>67740.75</v>
      </c>
      <c r="R60" s="423" t="n">
        <f aca="false">R57*SUP_CONTROL!$C$28</f>
        <v>72834.3</v>
      </c>
      <c r="S60" s="423" t="n">
        <f aca="false">S57*SUP_CONTROL!$C$28</f>
        <v>75537</v>
      </c>
      <c r="T60" s="423" t="n">
        <f aca="false">T57*SUP_CONTROL!$C$28</f>
        <v>75537</v>
      </c>
      <c r="U60" s="423" t="n">
        <f aca="false">U57*SUP_CONTROL!$C$28</f>
        <v>75537</v>
      </c>
      <c r="V60" s="423" t="n">
        <f aca="false">V57*SUP_CONTROL!$C$28</f>
        <v>75537</v>
      </c>
      <c r="W60" s="423" t="n">
        <f aca="false">W57*SUP_CONTROL!$C$28</f>
        <v>75537</v>
      </c>
      <c r="X60" s="423" t="n">
        <f aca="false">X57*SUP_CONTROL!$C$28</f>
        <v>75537</v>
      </c>
      <c r="Y60" s="423" t="n">
        <f aca="false">Y57*SUP_CONTROL!$C$28</f>
        <v>75537</v>
      </c>
      <c r="Z60" s="423" t="n">
        <f aca="false">Z57*SUP_CONTROL!$C$28</f>
        <v>75537</v>
      </c>
      <c r="AA60" s="423" t="n">
        <f aca="false">AA57*SUP_CONTROL!$C$28</f>
        <v>75537</v>
      </c>
      <c r="AB60" s="423" t="n">
        <f aca="false">AB57*SUP_CONTROL!$C$28</f>
        <v>75537</v>
      </c>
      <c r="AC60" s="423" t="n">
        <f aca="false">AC57*SUP_CONTROL!$C$28</f>
        <v>75537</v>
      </c>
      <c r="AD60" s="423" t="n">
        <f aca="false">AD57*SUP_CONTROL!$C$28</f>
        <v>75537</v>
      </c>
      <c r="AE60" s="423" t="n">
        <f aca="false">AE57*SUP_CONTROL!$C$28</f>
        <v>75537</v>
      </c>
      <c r="AF60" s="423" t="n">
        <f aca="false">AF57*SUP_CONTROL!$C$28</f>
        <v>75537</v>
      </c>
      <c r="AG60" s="423" t="n">
        <f aca="false">AG57*SUP_CONTROL!$C$28</f>
        <v>75537</v>
      </c>
      <c r="AH60" s="423" t="n">
        <f aca="false">AH57*SUP_CONTROL!$C$28</f>
        <v>75537</v>
      </c>
      <c r="AI60" s="423" t="n">
        <f aca="false">AI57*SUP_CONTROL!$C$28</f>
        <v>75537</v>
      </c>
      <c r="AJ60" s="423" t="n">
        <f aca="false">AJ57*SUP_CONTROL!$C$28</f>
        <v>75537</v>
      </c>
      <c r="AK60" s="423" t="n">
        <f aca="false">AK57*SUP_CONTROL!$C$28</f>
        <v>75537</v>
      </c>
      <c r="AL60" s="423" t="n">
        <f aca="false">AL57*SUP_CONTROL!$C$28</f>
        <v>75537</v>
      </c>
      <c r="AM60" s="423" t="n">
        <f aca="false">AM57*SUP_CONTROL!$C$28</f>
        <v>75537</v>
      </c>
      <c r="AN60" s="423" t="n">
        <f aca="false">AN57*SUP_CONTROL!$C$28</f>
        <v>75537</v>
      </c>
      <c r="AO60" s="423" t="n">
        <f aca="false">AO57*SUP_CONTROL!$C$28</f>
        <v>75537</v>
      </c>
      <c r="AP60" s="423" t="n">
        <f aca="false">AP57*SUP_CONTROL!$C$28</f>
        <v>75537</v>
      </c>
      <c r="AQ60" s="423" t="n">
        <f aca="false">AQ57*SUP_CONTROL!$C$28</f>
        <v>75537</v>
      </c>
      <c r="AR60" s="423" t="n">
        <f aca="false">AR57*SUP_CONTROL!$C$28</f>
        <v>75537</v>
      </c>
      <c r="AS60" s="423" t="n">
        <f aca="false">AS57*SUP_CONTROL!$C$28</f>
        <v>75537</v>
      </c>
      <c r="AT60" s="423" t="n">
        <f aca="false">AT57*SUP_CONTROL!$C$28</f>
        <v>75537</v>
      </c>
      <c r="AU60" s="423" t="n">
        <f aca="false">AU57*SUP_CONTROL!$C$28</f>
        <v>75537</v>
      </c>
      <c r="AV60" s="423" t="n">
        <f aca="false">AV57*SUP_CONTROL!$C$28</f>
        <v>75537</v>
      </c>
      <c r="AW60" s="423" t="n">
        <f aca="false">AW57*SUP_CONTROL!$C$28</f>
        <v>75537</v>
      </c>
      <c r="AX60" s="423" t="n">
        <f aca="false">AX57*SUP_CONTROL!$C$28</f>
        <v>75537</v>
      </c>
      <c r="AY60" s="423" t="n">
        <f aca="false">AY57*SUP_CONTROL!$C$28</f>
        <v>75537</v>
      </c>
      <c r="AZ60" s="423" t="n">
        <f aca="false">AZ57*SUP_CONTROL!$C$28</f>
        <v>75537</v>
      </c>
      <c r="BA60" s="423" t="n">
        <f aca="false">BA57*SUP_CONTROL!$C$28</f>
        <v>75537</v>
      </c>
      <c r="BB60" s="423" t="n">
        <f aca="false">BB57*SUP_CONTROL!$C$28</f>
        <v>75537</v>
      </c>
      <c r="BC60" s="423" t="n">
        <f aca="false">BC57*SUP_CONTROL!$C$28</f>
        <v>75537</v>
      </c>
      <c r="BD60" s="423" t="n">
        <f aca="false">BD57*SUP_CONTROL!$C$28</f>
        <v>75537</v>
      </c>
      <c r="BE60" s="423" t="n">
        <f aca="false">BE57*SUP_CONTROL!$C$28</f>
        <v>75537</v>
      </c>
      <c r="BF60" s="423" t="n">
        <f aca="false">BF57*SUP_CONTROL!$C$28</f>
        <v>75537</v>
      </c>
      <c r="BG60" s="423" t="n">
        <f aca="false">BG57*SUP_CONTROL!$C$28</f>
        <v>75537</v>
      </c>
      <c r="BH60" s="423" t="n">
        <f aca="false">BH57*SUP_CONTROL!$C$28</f>
        <v>75537</v>
      </c>
      <c r="BI60" s="423" t="n">
        <f aca="false">BI57*SUP_CONTROL!$C$28</f>
        <v>75537</v>
      </c>
      <c r="BJ60" s="423" t="n">
        <f aca="false">BJ57*SUP_CONTROL!$C$28</f>
        <v>75537</v>
      </c>
      <c r="BK60" s="423" t="n">
        <f aca="false">BK57*SUP_CONTROL!$C$28</f>
        <v>75537</v>
      </c>
    </row>
    <row r="61" customFormat="false" ht="15" hidden="false" customHeight="true" outlineLevel="0" collapsed="false">
      <c r="B61" s="297" t="s">
        <v>2400</v>
      </c>
      <c r="D61" s="423" t="n">
        <f aca="false">D58*SUP_CONTROL!$C$28</f>
        <v>0</v>
      </c>
      <c r="E61" s="423" t="n">
        <f aca="false">E58*SUP_CONTROL!$C$28</f>
        <v>0</v>
      </c>
      <c r="F61" s="423" t="n">
        <f aca="false">F58*SUP_CONTROL!$C$28</f>
        <v>0</v>
      </c>
      <c r="G61" s="423" t="n">
        <f aca="false">G58*SUP_CONTROL!$C$28</f>
        <v>0</v>
      </c>
      <c r="H61" s="423" t="n">
        <f aca="false">H58*SUP_CONTROL!$C$28</f>
        <v>0</v>
      </c>
      <c r="I61" s="423" t="n">
        <f aca="false">I58*SUP_CONTROL!$C$28</f>
        <v>0</v>
      </c>
      <c r="J61" s="423" t="n">
        <f aca="false">J58*SUP_CONTROL!$C$28</f>
        <v>0</v>
      </c>
      <c r="K61" s="423" t="n">
        <f aca="false">K58*SUP_CONTROL!$C$28</f>
        <v>0</v>
      </c>
      <c r="L61" s="423" t="n">
        <f aca="false">L58*SUP_CONTROL!$C$28</f>
        <v>0</v>
      </c>
      <c r="M61" s="423" t="n">
        <f aca="false">M58*SUP_CONTROL!$C$28</f>
        <v>0</v>
      </c>
      <c r="N61" s="423" t="n">
        <f aca="false">N58*SUP_CONTROL!$C$28</f>
        <v>0</v>
      </c>
      <c r="O61" s="423" t="n">
        <f aca="false">O58*SUP_CONTROL!$C$28</f>
        <v>0</v>
      </c>
      <c r="P61" s="423" t="n">
        <f aca="false">P58*SUP_CONTROL!$C$28</f>
        <v>0</v>
      </c>
      <c r="Q61" s="423" t="n">
        <f aca="false">Q58*SUP_CONTROL!$C$28</f>
        <v>0</v>
      </c>
      <c r="R61" s="423" t="n">
        <f aca="false">R58*SUP_CONTROL!$C$28</f>
        <v>0</v>
      </c>
      <c r="S61" s="423" t="n">
        <f aca="false">S58*SUP_CONTROL!$C$28</f>
        <v>0</v>
      </c>
      <c r="T61" s="423" t="n">
        <f aca="false">T58*SUP_CONTROL!$C$28</f>
        <v>0</v>
      </c>
      <c r="U61" s="423" t="n">
        <f aca="false">U58*SUP_CONTROL!$C$28</f>
        <v>0</v>
      </c>
      <c r="V61" s="423" t="n">
        <f aca="false">V58*SUP_CONTROL!$C$28</f>
        <v>0</v>
      </c>
      <c r="W61" s="423" t="n">
        <f aca="false">W58*SUP_CONTROL!$C$28</f>
        <v>0</v>
      </c>
      <c r="X61" s="423" t="n">
        <f aca="false">X58*SUP_CONTROL!$C$28</f>
        <v>0</v>
      </c>
      <c r="Y61" s="423" t="n">
        <f aca="false">Y58*SUP_CONTROL!$C$28</f>
        <v>0</v>
      </c>
      <c r="Z61" s="423" t="n">
        <f aca="false">Z58*SUP_CONTROL!$C$28</f>
        <v>0</v>
      </c>
      <c r="AA61" s="423" t="n">
        <f aca="false">AA58*SUP_CONTROL!$C$28</f>
        <v>0</v>
      </c>
      <c r="AB61" s="423" t="n">
        <f aca="false">AB58*SUP_CONTROL!$C$28</f>
        <v>0</v>
      </c>
      <c r="AC61" s="423" t="n">
        <f aca="false">AC58*SUP_CONTROL!$C$28</f>
        <v>0</v>
      </c>
      <c r="AD61" s="423" t="n">
        <f aca="false">AD58*SUP_CONTROL!$C$28</f>
        <v>0</v>
      </c>
      <c r="AE61" s="423" t="n">
        <f aca="false">AE58*SUP_CONTROL!$C$28</f>
        <v>0</v>
      </c>
      <c r="AF61" s="423" t="n">
        <f aca="false">AF58*SUP_CONTROL!$C$28</f>
        <v>0</v>
      </c>
      <c r="AG61" s="423" t="n">
        <f aca="false">AG58*SUP_CONTROL!$C$28</f>
        <v>0</v>
      </c>
      <c r="AH61" s="423" t="n">
        <f aca="false">AH58*SUP_CONTROL!$C$28</f>
        <v>0</v>
      </c>
      <c r="AI61" s="423" t="n">
        <f aca="false">AI58*SUP_CONTROL!$C$28</f>
        <v>0</v>
      </c>
      <c r="AJ61" s="423" t="n">
        <f aca="false">AJ58*SUP_CONTROL!$C$28</f>
        <v>0</v>
      </c>
      <c r="AK61" s="423" t="n">
        <f aca="false">AK58*SUP_CONTROL!$C$28</f>
        <v>0</v>
      </c>
      <c r="AL61" s="423" t="n">
        <f aca="false">AL58*SUP_CONTROL!$C$28</f>
        <v>0</v>
      </c>
      <c r="AM61" s="423" t="n">
        <f aca="false">AM58*SUP_CONTROL!$C$28</f>
        <v>0</v>
      </c>
      <c r="AN61" s="423" t="n">
        <f aca="false">AN58*SUP_CONTROL!$C$28</f>
        <v>0</v>
      </c>
      <c r="AO61" s="423" t="n">
        <f aca="false">AO58*SUP_CONTROL!$C$28</f>
        <v>0</v>
      </c>
      <c r="AP61" s="423" t="n">
        <f aca="false">AP58*SUP_CONTROL!$C$28</f>
        <v>0</v>
      </c>
      <c r="AQ61" s="423" t="n">
        <f aca="false">AQ58*SUP_CONTROL!$C$28</f>
        <v>0</v>
      </c>
      <c r="AR61" s="423" t="n">
        <f aca="false">AR58*SUP_CONTROL!$C$28</f>
        <v>0</v>
      </c>
      <c r="AS61" s="423" t="n">
        <f aca="false">AS58*SUP_CONTROL!$C$28</f>
        <v>0</v>
      </c>
      <c r="AT61" s="423" t="n">
        <f aca="false">AT58*SUP_CONTROL!$C$28</f>
        <v>0</v>
      </c>
      <c r="AU61" s="423" t="n">
        <f aca="false">AU58*SUP_CONTROL!$C$28</f>
        <v>0</v>
      </c>
      <c r="AV61" s="423" t="n">
        <f aca="false">AV58*SUP_CONTROL!$C$28</f>
        <v>0</v>
      </c>
      <c r="AW61" s="423" t="n">
        <f aca="false">AW58*SUP_CONTROL!$C$28</f>
        <v>0</v>
      </c>
      <c r="AX61" s="423" t="n">
        <f aca="false">AX58*SUP_CONTROL!$C$28</f>
        <v>0</v>
      </c>
      <c r="AY61" s="423" t="n">
        <f aca="false">AY58*SUP_CONTROL!$C$28</f>
        <v>0</v>
      </c>
      <c r="AZ61" s="423" t="n">
        <f aca="false">AZ58*SUP_CONTROL!$C$28</f>
        <v>0</v>
      </c>
      <c r="BA61" s="423" t="n">
        <f aca="false">BA58*SUP_CONTROL!$C$28</f>
        <v>0</v>
      </c>
      <c r="BB61" s="423" t="n">
        <f aca="false">BB58*SUP_CONTROL!$C$28</f>
        <v>0</v>
      </c>
      <c r="BC61" s="423" t="n">
        <f aca="false">BC58*SUP_CONTROL!$C$28</f>
        <v>0</v>
      </c>
      <c r="BD61" s="423" t="n">
        <f aca="false">BD58*SUP_CONTROL!$C$28</f>
        <v>0</v>
      </c>
      <c r="BE61" s="423" t="n">
        <f aca="false">BE58*SUP_CONTROL!$C$28</f>
        <v>0</v>
      </c>
      <c r="BF61" s="423" t="n">
        <f aca="false">BF58*SUP_CONTROL!$C$28</f>
        <v>0</v>
      </c>
      <c r="BG61" s="423" t="n">
        <f aca="false">BG58*SUP_CONTROL!$C$28</f>
        <v>0</v>
      </c>
      <c r="BH61" s="423" t="n">
        <f aca="false">BH58*SUP_CONTROL!$C$28</f>
        <v>0</v>
      </c>
      <c r="BI61" s="423" t="n">
        <f aca="false">BI58*SUP_CONTROL!$C$28</f>
        <v>0</v>
      </c>
      <c r="BJ61" s="423" t="n">
        <f aca="false">BJ58*SUP_CONTROL!$C$28</f>
        <v>0</v>
      </c>
      <c r="BK61" s="423" t="n">
        <f aca="false">BK58*SUP_CONTROL!$C$28</f>
        <v>0</v>
      </c>
    </row>
    <row r="62" customFormat="false" ht="15" hidden="false" customHeight="true" outlineLevel="0" collapsed="false">
      <c r="B62" s="421" t="s">
        <v>2401</v>
      </c>
      <c r="D62" s="424" t="n">
        <f aca="false">D60+D61</f>
        <v>0</v>
      </c>
      <c r="E62" s="424" t="n">
        <f aca="false">E60+E61</f>
        <v>0</v>
      </c>
      <c r="F62" s="424" t="n">
        <f aca="false">F60+F61</f>
        <v>0</v>
      </c>
      <c r="G62" s="424" t="n">
        <f aca="false">G60+G61</f>
        <v>0</v>
      </c>
      <c r="H62" s="424" t="n">
        <f aca="false">H60+H61</f>
        <v>0</v>
      </c>
      <c r="I62" s="424" t="n">
        <f aca="false">I60+I61</f>
        <v>0</v>
      </c>
      <c r="J62" s="424" t="n">
        <f aca="false">J60+J61</f>
        <v>0</v>
      </c>
      <c r="K62" s="424" t="n">
        <f aca="false">K60+K61</f>
        <v>0</v>
      </c>
      <c r="L62" s="424" t="n">
        <f aca="false">L60+L61</f>
        <v>0</v>
      </c>
      <c r="M62" s="424" t="n">
        <f aca="false">M60+M61</f>
        <v>9702</v>
      </c>
      <c r="N62" s="424" t="n">
        <f aca="false">N60+N61</f>
        <v>21483</v>
      </c>
      <c r="O62" s="424" t="n">
        <f aca="false">O60+O61</f>
        <v>35343</v>
      </c>
      <c r="P62" s="424" t="n">
        <f aca="false">P60+P61</f>
        <v>50658.3</v>
      </c>
      <c r="Q62" s="424" t="n">
        <f aca="false">Q60+Q61</f>
        <v>67740.75</v>
      </c>
      <c r="R62" s="424" t="n">
        <f aca="false">R60+R61</f>
        <v>72834.3</v>
      </c>
      <c r="S62" s="424" t="n">
        <f aca="false">S60+S61</f>
        <v>75537</v>
      </c>
      <c r="T62" s="424" t="n">
        <f aca="false">T60+T61</f>
        <v>75537</v>
      </c>
      <c r="U62" s="424" t="n">
        <f aca="false">U60+U61</f>
        <v>75537</v>
      </c>
      <c r="V62" s="424" t="n">
        <f aca="false">V60+V61</f>
        <v>75537</v>
      </c>
      <c r="W62" s="424" t="n">
        <f aca="false">W60+W61</f>
        <v>75537</v>
      </c>
      <c r="X62" s="424" t="n">
        <f aca="false">X60+X61</f>
        <v>75537</v>
      </c>
      <c r="Y62" s="424" t="n">
        <f aca="false">Y60+Y61</f>
        <v>75537</v>
      </c>
      <c r="Z62" s="424" t="n">
        <f aca="false">Z60+Z61</f>
        <v>75537</v>
      </c>
      <c r="AA62" s="424" t="n">
        <f aca="false">AA60+AA61</f>
        <v>75537</v>
      </c>
      <c r="AB62" s="424" t="n">
        <f aca="false">AB60+AB61</f>
        <v>75537</v>
      </c>
      <c r="AC62" s="424" t="n">
        <f aca="false">AC60+AC61</f>
        <v>75537</v>
      </c>
      <c r="AD62" s="424" t="n">
        <f aca="false">AD60+AD61</f>
        <v>75537</v>
      </c>
      <c r="AE62" s="424" t="n">
        <f aca="false">AE60+AE61</f>
        <v>75537</v>
      </c>
      <c r="AF62" s="424" t="n">
        <f aca="false">AF60+AF61</f>
        <v>75537</v>
      </c>
      <c r="AG62" s="424" t="n">
        <f aca="false">AG60+AG61</f>
        <v>75537</v>
      </c>
      <c r="AH62" s="424" t="n">
        <f aca="false">AH60+AH61</f>
        <v>75537</v>
      </c>
      <c r="AI62" s="424" t="n">
        <f aca="false">AI60+AI61</f>
        <v>75537</v>
      </c>
      <c r="AJ62" s="424" t="n">
        <f aca="false">AJ60+AJ61</f>
        <v>75537</v>
      </c>
      <c r="AK62" s="424" t="n">
        <f aca="false">AK60+AK61</f>
        <v>75537</v>
      </c>
      <c r="AL62" s="424" t="n">
        <f aca="false">AL60+AL61</f>
        <v>75537</v>
      </c>
      <c r="AM62" s="424" t="n">
        <f aca="false">AM60+AM61</f>
        <v>75537</v>
      </c>
      <c r="AN62" s="424" t="n">
        <f aca="false">AN60+AN61</f>
        <v>75537</v>
      </c>
      <c r="AO62" s="424" t="n">
        <f aca="false">AO60+AO61</f>
        <v>75537</v>
      </c>
      <c r="AP62" s="424" t="n">
        <f aca="false">AP60+AP61</f>
        <v>75537</v>
      </c>
      <c r="AQ62" s="424" t="n">
        <f aca="false">AQ60+AQ61</f>
        <v>75537</v>
      </c>
      <c r="AR62" s="424" t="n">
        <f aca="false">AR60+AR61</f>
        <v>75537</v>
      </c>
      <c r="AS62" s="424" t="n">
        <f aca="false">AS60+AS61</f>
        <v>75537</v>
      </c>
      <c r="AT62" s="424" t="n">
        <f aca="false">AT60+AT61</f>
        <v>75537</v>
      </c>
      <c r="AU62" s="424" t="n">
        <f aca="false">AU60+AU61</f>
        <v>75537</v>
      </c>
      <c r="AV62" s="424" t="n">
        <f aca="false">AV60+AV61</f>
        <v>75537</v>
      </c>
      <c r="AW62" s="424" t="n">
        <f aca="false">AW60+AW61</f>
        <v>75537</v>
      </c>
      <c r="AX62" s="424" t="n">
        <f aca="false">AX60+AX61</f>
        <v>75537</v>
      </c>
      <c r="AY62" s="424" t="n">
        <f aca="false">AY60+AY61</f>
        <v>75537</v>
      </c>
      <c r="AZ62" s="424" t="n">
        <f aca="false">AZ60+AZ61</f>
        <v>75537</v>
      </c>
      <c r="BA62" s="424" t="n">
        <f aca="false">BA60+BA61</f>
        <v>75537</v>
      </c>
      <c r="BB62" s="424" t="n">
        <f aca="false">BB60+BB61</f>
        <v>75537</v>
      </c>
      <c r="BC62" s="424" t="n">
        <f aca="false">BC60+BC61</f>
        <v>75537</v>
      </c>
      <c r="BD62" s="424" t="n">
        <f aca="false">BD60+BD61</f>
        <v>75537</v>
      </c>
      <c r="BE62" s="424" t="n">
        <f aca="false">BE60+BE61</f>
        <v>75537</v>
      </c>
      <c r="BF62" s="424" t="n">
        <f aca="false">BF60+BF61</f>
        <v>75537</v>
      </c>
      <c r="BG62" s="424" t="n">
        <f aca="false">BG60+BG61</f>
        <v>75537</v>
      </c>
      <c r="BH62" s="424" t="n">
        <f aca="false">BH60+BH61</f>
        <v>75537</v>
      </c>
      <c r="BI62" s="424" t="n">
        <f aca="false">BI60+BI61</f>
        <v>75537</v>
      </c>
      <c r="BJ62" s="424" t="n">
        <f aca="false">BJ60+BJ61</f>
        <v>75537</v>
      </c>
      <c r="BK62" s="424" t="n">
        <f aca="false">BK60+BK61</f>
        <v>75537</v>
      </c>
    </row>
    <row r="63" customFormat="false" ht="15" hidden="false" customHeight="true" outlineLevel="0" collapsed="false">
      <c r="B63" s="297" t="s">
        <v>2402</v>
      </c>
      <c r="D63" s="425" t="n">
        <f aca="false">D62/1000</f>
        <v>0</v>
      </c>
      <c r="E63" s="425" t="n">
        <f aca="false">E62/1000</f>
        <v>0</v>
      </c>
      <c r="F63" s="425" t="n">
        <f aca="false">F62/1000</f>
        <v>0</v>
      </c>
      <c r="G63" s="425" t="n">
        <f aca="false">G62/1000</f>
        <v>0</v>
      </c>
      <c r="H63" s="425" t="n">
        <f aca="false">H62/1000</f>
        <v>0</v>
      </c>
      <c r="I63" s="425" t="n">
        <f aca="false">I62/1000</f>
        <v>0</v>
      </c>
      <c r="J63" s="425" t="n">
        <f aca="false">J62/1000</f>
        <v>0</v>
      </c>
      <c r="K63" s="425" t="n">
        <f aca="false">K62/1000</f>
        <v>0</v>
      </c>
      <c r="L63" s="425" t="n">
        <f aca="false">L62/1000</f>
        <v>0</v>
      </c>
      <c r="M63" s="425" t="n">
        <f aca="false">M62/1000</f>
        <v>9.702</v>
      </c>
      <c r="N63" s="425" t="n">
        <f aca="false">N62/1000</f>
        <v>21.483</v>
      </c>
      <c r="O63" s="425" t="n">
        <f aca="false">O62/1000</f>
        <v>35.343</v>
      </c>
      <c r="P63" s="425" t="n">
        <f aca="false">P62/1000</f>
        <v>50.6583</v>
      </c>
      <c r="Q63" s="425" t="n">
        <f aca="false">Q62/1000</f>
        <v>67.74075</v>
      </c>
      <c r="R63" s="425" t="n">
        <f aca="false">R62/1000</f>
        <v>72.8343</v>
      </c>
      <c r="S63" s="425" t="n">
        <f aca="false">S62/1000</f>
        <v>75.537</v>
      </c>
      <c r="T63" s="425" t="n">
        <f aca="false">T62/1000</f>
        <v>75.537</v>
      </c>
      <c r="U63" s="425" t="n">
        <f aca="false">U62/1000</f>
        <v>75.537</v>
      </c>
      <c r="V63" s="425" t="n">
        <f aca="false">V62/1000</f>
        <v>75.537</v>
      </c>
      <c r="W63" s="425" t="n">
        <f aca="false">W62/1000</f>
        <v>75.537</v>
      </c>
      <c r="X63" s="425" t="n">
        <f aca="false">X62/1000</f>
        <v>75.537</v>
      </c>
      <c r="Y63" s="425" t="n">
        <f aca="false">Y62/1000</f>
        <v>75.537</v>
      </c>
      <c r="Z63" s="425" t="n">
        <f aca="false">Z62/1000</f>
        <v>75.537</v>
      </c>
      <c r="AA63" s="425" t="n">
        <f aca="false">AA62/1000</f>
        <v>75.537</v>
      </c>
      <c r="AB63" s="425" t="n">
        <f aca="false">AB62/1000</f>
        <v>75.537</v>
      </c>
      <c r="AC63" s="425" t="n">
        <f aca="false">AC62/1000</f>
        <v>75.537</v>
      </c>
      <c r="AD63" s="425" t="n">
        <f aca="false">AD62/1000</f>
        <v>75.537</v>
      </c>
      <c r="AE63" s="425" t="n">
        <f aca="false">AE62/1000</f>
        <v>75.537</v>
      </c>
      <c r="AF63" s="425" t="n">
        <f aca="false">AF62/1000</f>
        <v>75.537</v>
      </c>
      <c r="AG63" s="425" t="n">
        <f aca="false">AG62/1000</f>
        <v>75.537</v>
      </c>
      <c r="AH63" s="425" t="n">
        <f aca="false">AH62/1000</f>
        <v>75.537</v>
      </c>
      <c r="AI63" s="425" t="n">
        <f aca="false">AI62/1000</f>
        <v>75.537</v>
      </c>
      <c r="AJ63" s="425" t="n">
        <f aca="false">AJ62/1000</f>
        <v>75.537</v>
      </c>
      <c r="AK63" s="425" t="n">
        <f aca="false">AK62/1000</f>
        <v>75.537</v>
      </c>
      <c r="AL63" s="425" t="n">
        <f aca="false">AL62/1000</f>
        <v>75.537</v>
      </c>
      <c r="AM63" s="425" t="n">
        <f aca="false">AM62/1000</f>
        <v>75.537</v>
      </c>
      <c r="AN63" s="425" t="n">
        <f aca="false">AN62/1000</f>
        <v>75.537</v>
      </c>
      <c r="AO63" s="425" t="n">
        <f aca="false">AO62/1000</f>
        <v>75.537</v>
      </c>
      <c r="AP63" s="425" t="n">
        <f aca="false">AP62/1000</f>
        <v>75.537</v>
      </c>
      <c r="AQ63" s="425" t="n">
        <f aca="false">AQ62/1000</f>
        <v>75.537</v>
      </c>
      <c r="AR63" s="425" t="n">
        <f aca="false">AR62/1000</f>
        <v>75.537</v>
      </c>
      <c r="AS63" s="425" t="n">
        <f aca="false">AS62/1000</f>
        <v>75.537</v>
      </c>
      <c r="AT63" s="425" t="n">
        <f aca="false">AT62/1000</f>
        <v>75.537</v>
      </c>
      <c r="AU63" s="425" t="n">
        <f aca="false">AU62/1000</f>
        <v>75.537</v>
      </c>
      <c r="AV63" s="425" t="n">
        <f aca="false">AV62/1000</f>
        <v>75.537</v>
      </c>
      <c r="AW63" s="425" t="n">
        <f aca="false">AW62/1000</f>
        <v>75.537</v>
      </c>
      <c r="AX63" s="425" t="n">
        <f aca="false">AX62/1000</f>
        <v>75.537</v>
      </c>
      <c r="AY63" s="425" t="n">
        <f aca="false">AY62/1000</f>
        <v>75.537</v>
      </c>
      <c r="AZ63" s="425" t="n">
        <f aca="false">AZ62/1000</f>
        <v>75.537</v>
      </c>
      <c r="BA63" s="425" t="n">
        <f aca="false">BA62/1000</f>
        <v>75.537</v>
      </c>
      <c r="BB63" s="425" t="n">
        <f aca="false">BB62/1000</f>
        <v>75.537</v>
      </c>
      <c r="BC63" s="425" t="n">
        <f aca="false">BC62/1000</f>
        <v>75.537</v>
      </c>
      <c r="BD63" s="425" t="n">
        <f aca="false">BD62/1000</f>
        <v>75.537</v>
      </c>
      <c r="BE63" s="425" t="n">
        <f aca="false">BE62/1000</f>
        <v>75.537</v>
      </c>
      <c r="BF63" s="425" t="n">
        <f aca="false">BF62/1000</f>
        <v>75.537</v>
      </c>
      <c r="BG63" s="425" t="n">
        <f aca="false">BG62/1000</f>
        <v>75.537</v>
      </c>
      <c r="BH63" s="425" t="n">
        <f aca="false">BH62/1000</f>
        <v>75.537</v>
      </c>
      <c r="BI63" s="425" t="n">
        <f aca="false">BI62/1000</f>
        <v>75.537</v>
      </c>
      <c r="BJ63" s="425" t="n">
        <f aca="false">BJ62/1000</f>
        <v>75.537</v>
      </c>
      <c r="BK63" s="425" t="n">
        <f aca="false">BK62/1000</f>
        <v>75.537</v>
      </c>
    </row>
    <row r="64" customFormat="false" ht="15" hidden="false" customHeight="true" outlineLevel="0" collapsed="false">
      <c r="B64" s="297" t="s">
        <v>2403</v>
      </c>
      <c r="D64" s="425" t="n">
        <f aca="false">SUP_PRODUCCION!$C$34</f>
        <v>91.65</v>
      </c>
      <c r="E64" s="425" t="n">
        <f aca="false">SUP_PRODUCCION!$C$34</f>
        <v>91.65</v>
      </c>
      <c r="F64" s="425" t="n">
        <f aca="false">SUP_PRODUCCION!$C$34</f>
        <v>91.65</v>
      </c>
      <c r="G64" s="425" t="n">
        <f aca="false">SUP_PRODUCCION!$C$34</f>
        <v>91.65</v>
      </c>
      <c r="H64" s="425" t="n">
        <f aca="false">SUP_PRODUCCION!$C$34</f>
        <v>91.65</v>
      </c>
      <c r="I64" s="425" t="n">
        <f aca="false">SUP_PRODUCCION!$C$34</f>
        <v>91.65</v>
      </c>
      <c r="J64" s="425" t="n">
        <f aca="false">SUP_PRODUCCION!$C$34</f>
        <v>91.65</v>
      </c>
      <c r="K64" s="425" t="n">
        <f aca="false">SUP_PRODUCCION!$C$34</f>
        <v>91.65</v>
      </c>
      <c r="L64" s="425" t="n">
        <f aca="false">SUP_PRODUCCION!$C$34</f>
        <v>91.65</v>
      </c>
      <c r="M64" s="425" t="n">
        <f aca="false">SUP_PRODUCCION!$C$34</f>
        <v>91.65</v>
      </c>
      <c r="N64" s="425" t="n">
        <f aca="false">SUP_PRODUCCION!$C$34</f>
        <v>91.65</v>
      </c>
      <c r="O64" s="425" t="n">
        <f aca="false">SUP_PRODUCCION!$C$34</f>
        <v>91.65</v>
      </c>
      <c r="P64" s="425" t="n">
        <f aca="false">SUP_PRODUCCION!$C$34</f>
        <v>91.65</v>
      </c>
      <c r="Q64" s="425" t="n">
        <f aca="false">SUP_PRODUCCION!$C$34</f>
        <v>91.65</v>
      </c>
      <c r="R64" s="425" t="n">
        <f aca="false">SUP_PRODUCCION!$C$34</f>
        <v>91.65</v>
      </c>
      <c r="S64" s="425" t="n">
        <f aca="false">SUP_PRODUCCION!$C$34</f>
        <v>91.65</v>
      </c>
      <c r="T64" s="425" t="n">
        <f aca="false">SUP_PRODUCCION!$C$34</f>
        <v>91.65</v>
      </c>
      <c r="U64" s="425" t="n">
        <f aca="false">SUP_PRODUCCION!$C$34</f>
        <v>91.65</v>
      </c>
      <c r="V64" s="425" t="n">
        <f aca="false">SUP_PRODUCCION!$C$34</f>
        <v>91.65</v>
      </c>
      <c r="W64" s="425" t="n">
        <f aca="false">SUP_PRODUCCION!$C$34</f>
        <v>91.65</v>
      </c>
      <c r="X64" s="425" t="n">
        <f aca="false">SUP_PRODUCCION!$C$34</f>
        <v>91.65</v>
      </c>
      <c r="Y64" s="425" t="n">
        <f aca="false">SUP_PRODUCCION!$C$34</f>
        <v>91.65</v>
      </c>
      <c r="Z64" s="425" t="n">
        <f aca="false">SUP_PRODUCCION!$C$34</f>
        <v>91.65</v>
      </c>
      <c r="AA64" s="425" t="n">
        <f aca="false">SUP_PRODUCCION!$C$34</f>
        <v>91.65</v>
      </c>
      <c r="AB64" s="425" t="n">
        <f aca="false">SUP_PRODUCCION!$C$34</f>
        <v>91.65</v>
      </c>
      <c r="AC64" s="425" t="n">
        <f aca="false">SUP_PRODUCCION!$C$34</f>
        <v>91.65</v>
      </c>
      <c r="AD64" s="425" t="n">
        <f aca="false">SUP_PRODUCCION!$C$34</f>
        <v>91.65</v>
      </c>
      <c r="AE64" s="425" t="n">
        <f aca="false">SUP_PRODUCCION!$C$34</f>
        <v>91.65</v>
      </c>
      <c r="AF64" s="425" t="n">
        <f aca="false">SUP_PRODUCCION!$C$34</f>
        <v>91.65</v>
      </c>
      <c r="AG64" s="425" t="n">
        <f aca="false">SUP_PRODUCCION!$C$34</f>
        <v>91.65</v>
      </c>
      <c r="AH64" s="425" t="n">
        <f aca="false">SUP_PRODUCCION!$C$34</f>
        <v>91.65</v>
      </c>
      <c r="AI64" s="425" t="n">
        <f aca="false">SUP_PRODUCCION!$C$34</f>
        <v>91.65</v>
      </c>
      <c r="AJ64" s="425" t="n">
        <f aca="false">SUP_PRODUCCION!$C$34</f>
        <v>91.65</v>
      </c>
      <c r="AK64" s="425" t="n">
        <f aca="false">SUP_PRODUCCION!$C$34</f>
        <v>91.65</v>
      </c>
      <c r="AL64" s="425" t="n">
        <f aca="false">SUP_PRODUCCION!$C$34</f>
        <v>91.65</v>
      </c>
      <c r="AM64" s="425" t="n">
        <f aca="false">SUP_PRODUCCION!$C$34</f>
        <v>91.65</v>
      </c>
      <c r="AN64" s="425" t="n">
        <f aca="false">SUP_PRODUCCION!$C$34</f>
        <v>91.65</v>
      </c>
      <c r="AO64" s="425" t="n">
        <f aca="false">SUP_PRODUCCION!$C$34</f>
        <v>91.65</v>
      </c>
      <c r="AP64" s="425" t="n">
        <f aca="false">SUP_PRODUCCION!$C$34</f>
        <v>91.65</v>
      </c>
      <c r="AQ64" s="425" t="n">
        <f aca="false">SUP_PRODUCCION!$C$34</f>
        <v>91.65</v>
      </c>
      <c r="AR64" s="425" t="n">
        <f aca="false">SUP_PRODUCCION!$C$34</f>
        <v>91.65</v>
      </c>
      <c r="AS64" s="425" t="n">
        <f aca="false">SUP_PRODUCCION!$C$34</f>
        <v>91.65</v>
      </c>
      <c r="AT64" s="425" t="n">
        <f aca="false">SUP_PRODUCCION!$C$34</f>
        <v>91.65</v>
      </c>
      <c r="AU64" s="425" t="n">
        <f aca="false">SUP_PRODUCCION!$C$34</f>
        <v>91.65</v>
      </c>
      <c r="AV64" s="425" t="n">
        <f aca="false">SUP_PRODUCCION!$C$34</f>
        <v>91.65</v>
      </c>
      <c r="AW64" s="425" t="n">
        <f aca="false">SUP_PRODUCCION!$C$34</f>
        <v>91.65</v>
      </c>
      <c r="AX64" s="425" t="n">
        <f aca="false">SUP_PRODUCCION!$C$34</f>
        <v>91.65</v>
      </c>
      <c r="AY64" s="425" t="n">
        <f aca="false">SUP_PRODUCCION!$C$34</f>
        <v>91.65</v>
      </c>
      <c r="AZ64" s="425" t="n">
        <f aca="false">SUP_PRODUCCION!$C$34</f>
        <v>91.65</v>
      </c>
      <c r="BA64" s="425" t="n">
        <f aca="false">SUP_PRODUCCION!$C$34</f>
        <v>91.65</v>
      </c>
      <c r="BB64" s="425" t="n">
        <f aca="false">SUP_PRODUCCION!$C$34</f>
        <v>91.65</v>
      </c>
      <c r="BC64" s="425" t="n">
        <f aca="false">SUP_PRODUCCION!$C$34</f>
        <v>91.65</v>
      </c>
      <c r="BD64" s="425" t="n">
        <f aca="false">SUP_PRODUCCION!$C$34</f>
        <v>91.65</v>
      </c>
      <c r="BE64" s="425" t="n">
        <f aca="false">SUP_PRODUCCION!$C$34</f>
        <v>91.65</v>
      </c>
      <c r="BF64" s="425" t="n">
        <f aca="false">SUP_PRODUCCION!$C$34</f>
        <v>91.65</v>
      </c>
      <c r="BG64" s="425" t="n">
        <f aca="false">SUP_PRODUCCION!$C$34</f>
        <v>91.65</v>
      </c>
      <c r="BH64" s="425" t="n">
        <f aca="false">SUP_PRODUCCION!$C$34</f>
        <v>91.65</v>
      </c>
      <c r="BI64" s="425" t="n">
        <f aca="false">SUP_PRODUCCION!$C$34</f>
        <v>91.65</v>
      </c>
      <c r="BJ64" s="425" t="n">
        <f aca="false">SUP_PRODUCCION!$C$34</f>
        <v>91.65</v>
      </c>
      <c r="BK64" s="425" t="n">
        <f aca="false">SUP_PRODUCCION!$C$34</f>
        <v>91.65</v>
      </c>
    </row>
    <row r="65" customFormat="false" ht="15" hidden="false" customHeight="true" outlineLevel="0" collapsed="false">
      <c r="B65" s="297" t="s">
        <v>2404</v>
      </c>
      <c r="D65" s="299" t="n">
        <f aca="false">IFERROR(D63/D64,0)</f>
        <v>0</v>
      </c>
      <c r="E65" s="299" t="n">
        <f aca="false">IFERROR(E63/E64,0)</f>
        <v>0</v>
      </c>
      <c r="F65" s="299" t="n">
        <f aca="false">IFERROR(F63/F64,0)</f>
        <v>0</v>
      </c>
      <c r="G65" s="299" t="n">
        <f aca="false">IFERROR(G63/G64,0)</f>
        <v>0</v>
      </c>
      <c r="H65" s="299" t="n">
        <f aca="false">IFERROR(H63/H64,0)</f>
        <v>0</v>
      </c>
      <c r="I65" s="299" t="n">
        <f aca="false">IFERROR(I63/I64,0)</f>
        <v>0</v>
      </c>
      <c r="J65" s="299" t="n">
        <f aca="false">IFERROR(J63/J64,0)</f>
        <v>0</v>
      </c>
      <c r="K65" s="299" t="n">
        <f aca="false">IFERROR(K63/K64,0)</f>
        <v>0</v>
      </c>
      <c r="L65" s="299" t="n">
        <f aca="false">IFERROR(L63/L64,0)</f>
        <v>0</v>
      </c>
      <c r="M65" s="299" t="n">
        <f aca="false">IFERROR(M63/M64,0)</f>
        <v>0.105859247135843</v>
      </c>
      <c r="N65" s="299" t="n">
        <f aca="false">IFERROR(N63/N64,0)</f>
        <v>0.234402618657938</v>
      </c>
      <c r="O65" s="299" t="n">
        <f aca="false">IFERROR(O63/O64,0)</f>
        <v>0.385630114566285</v>
      </c>
      <c r="P65" s="299" t="n">
        <f aca="false">IFERROR(P63/P64,0)</f>
        <v>0.552736497545008</v>
      </c>
      <c r="Q65" s="299" t="n">
        <f aca="false">IFERROR(Q63/Q64,0)</f>
        <v>0.739124386252046</v>
      </c>
      <c r="R65" s="299" t="n">
        <f aca="false">IFERROR(R63/R64,0)</f>
        <v>0.794700490998363</v>
      </c>
      <c r="S65" s="299" t="n">
        <f aca="false">IFERROR(S63/S64,0)</f>
        <v>0.824189852700491</v>
      </c>
      <c r="T65" s="299" t="n">
        <f aca="false">IFERROR(T63/T64,0)</f>
        <v>0.824189852700491</v>
      </c>
      <c r="U65" s="299" t="n">
        <f aca="false">IFERROR(U63/U64,0)</f>
        <v>0.824189852700491</v>
      </c>
      <c r="V65" s="299" t="n">
        <f aca="false">IFERROR(V63/V64,0)</f>
        <v>0.824189852700491</v>
      </c>
      <c r="W65" s="299" t="n">
        <f aca="false">IFERROR(W63/W64,0)</f>
        <v>0.824189852700491</v>
      </c>
      <c r="X65" s="299" t="n">
        <f aca="false">IFERROR(X63/X64,0)</f>
        <v>0.824189852700491</v>
      </c>
      <c r="Y65" s="299" t="n">
        <f aca="false">IFERROR(Y63/Y64,0)</f>
        <v>0.824189852700491</v>
      </c>
      <c r="Z65" s="299" t="n">
        <f aca="false">IFERROR(Z63/Z64,0)</f>
        <v>0.824189852700491</v>
      </c>
      <c r="AA65" s="299" t="n">
        <f aca="false">IFERROR(AA63/AA64,0)</f>
        <v>0.824189852700491</v>
      </c>
      <c r="AB65" s="299" t="n">
        <f aca="false">IFERROR(AB63/AB64,0)</f>
        <v>0.824189852700491</v>
      </c>
      <c r="AC65" s="299" t="n">
        <f aca="false">IFERROR(AC63/AC64,0)</f>
        <v>0.824189852700491</v>
      </c>
      <c r="AD65" s="299" t="n">
        <f aca="false">IFERROR(AD63/AD64,0)</f>
        <v>0.824189852700491</v>
      </c>
      <c r="AE65" s="299" t="n">
        <f aca="false">IFERROR(AE63/AE64,0)</f>
        <v>0.824189852700491</v>
      </c>
      <c r="AF65" s="299" t="n">
        <f aca="false">IFERROR(AF63/AF64,0)</f>
        <v>0.824189852700491</v>
      </c>
      <c r="AG65" s="299" t="n">
        <f aca="false">IFERROR(AG63/AG64,0)</f>
        <v>0.824189852700491</v>
      </c>
      <c r="AH65" s="299" t="n">
        <f aca="false">IFERROR(AH63/AH64,0)</f>
        <v>0.824189852700491</v>
      </c>
      <c r="AI65" s="299" t="n">
        <f aca="false">IFERROR(AI63/AI64,0)</f>
        <v>0.824189852700491</v>
      </c>
      <c r="AJ65" s="299" t="n">
        <f aca="false">IFERROR(AJ63/AJ64,0)</f>
        <v>0.824189852700491</v>
      </c>
      <c r="AK65" s="299" t="n">
        <f aca="false">IFERROR(AK63/AK64,0)</f>
        <v>0.824189852700491</v>
      </c>
      <c r="AL65" s="299" t="n">
        <f aca="false">IFERROR(AL63/AL64,0)</f>
        <v>0.824189852700491</v>
      </c>
      <c r="AM65" s="299" t="n">
        <f aca="false">IFERROR(AM63/AM64,0)</f>
        <v>0.824189852700491</v>
      </c>
      <c r="AN65" s="299" t="n">
        <f aca="false">IFERROR(AN63/AN64,0)</f>
        <v>0.824189852700491</v>
      </c>
      <c r="AO65" s="299" t="n">
        <f aca="false">IFERROR(AO63/AO64,0)</f>
        <v>0.824189852700491</v>
      </c>
      <c r="AP65" s="299" t="n">
        <f aca="false">IFERROR(AP63/AP64,0)</f>
        <v>0.824189852700491</v>
      </c>
      <c r="AQ65" s="299" t="n">
        <f aca="false">IFERROR(AQ63/AQ64,0)</f>
        <v>0.824189852700491</v>
      </c>
      <c r="AR65" s="299" t="n">
        <f aca="false">IFERROR(AR63/AR64,0)</f>
        <v>0.824189852700491</v>
      </c>
      <c r="AS65" s="299" t="n">
        <f aca="false">IFERROR(AS63/AS64,0)</f>
        <v>0.824189852700491</v>
      </c>
      <c r="AT65" s="299" t="n">
        <f aca="false">IFERROR(AT63/AT64,0)</f>
        <v>0.824189852700491</v>
      </c>
      <c r="AU65" s="299" t="n">
        <f aca="false">IFERROR(AU63/AU64,0)</f>
        <v>0.824189852700491</v>
      </c>
      <c r="AV65" s="299" t="n">
        <f aca="false">IFERROR(AV63/AV64,0)</f>
        <v>0.824189852700491</v>
      </c>
      <c r="AW65" s="299" t="n">
        <f aca="false">IFERROR(AW63/AW64,0)</f>
        <v>0.824189852700491</v>
      </c>
      <c r="AX65" s="299" t="n">
        <f aca="false">IFERROR(AX63/AX64,0)</f>
        <v>0.824189852700491</v>
      </c>
      <c r="AY65" s="299" t="n">
        <f aca="false">IFERROR(AY63/AY64,0)</f>
        <v>0.824189852700491</v>
      </c>
      <c r="AZ65" s="299" t="n">
        <f aca="false">IFERROR(AZ63/AZ64,0)</f>
        <v>0.824189852700491</v>
      </c>
      <c r="BA65" s="299" t="n">
        <f aca="false">IFERROR(BA63/BA64,0)</f>
        <v>0.824189852700491</v>
      </c>
      <c r="BB65" s="299" t="n">
        <f aca="false">IFERROR(BB63/BB64,0)</f>
        <v>0.824189852700491</v>
      </c>
      <c r="BC65" s="299" t="n">
        <f aca="false">IFERROR(BC63/BC64,0)</f>
        <v>0.824189852700491</v>
      </c>
      <c r="BD65" s="299" t="n">
        <f aca="false">IFERROR(BD63/BD64,0)</f>
        <v>0.824189852700491</v>
      </c>
      <c r="BE65" s="299" t="n">
        <f aca="false">IFERROR(BE63/BE64,0)</f>
        <v>0.824189852700491</v>
      </c>
      <c r="BF65" s="299" t="n">
        <f aca="false">IFERROR(BF63/BF64,0)</f>
        <v>0.824189852700491</v>
      </c>
      <c r="BG65" s="299" t="n">
        <f aca="false">IFERROR(BG63/BG64,0)</f>
        <v>0.824189852700491</v>
      </c>
      <c r="BH65" s="299" t="n">
        <f aca="false">IFERROR(BH63/BH64,0)</f>
        <v>0.824189852700491</v>
      </c>
      <c r="BI65" s="299" t="n">
        <f aca="false">IFERROR(BI63/BI64,0)</f>
        <v>0.824189852700491</v>
      </c>
      <c r="BJ65" s="299" t="n">
        <f aca="false">IFERROR(BJ63/BJ64,0)</f>
        <v>0.824189852700491</v>
      </c>
      <c r="BK65" s="299" t="n">
        <f aca="false">IFERROR(BK63/BK64,0)</f>
        <v>0.824189852700491</v>
      </c>
    </row>
    <row r="66" customFormat="false" ht="15" hidden="false" customHeight="true" outlineLevel="0" collapsed="false">
      <c r="B66" s="297" t="s">
        <v>2405</v>
      </c>
      <c r="D66" s="297" t="str">
        <f aca="false">IF(D65&gt;1,"AMPLIAR",IF(D65&gt;SUP_PRODUCCION!$C$67,"LÍMITE","OK"))</f>
        <v>OK</v>
      </c>
      <c r="E66" s="297" t="str">
        <f aca="false">IF(E65&gt;1,"AMPLIAR",IF(E65&gt;SUP_PRODUCCION!$C$67,"LÍMITE","OK"))</f>
        <v>OK</v>
      </c>
      <c r="F66" s="297" t="str">
        <f aca="false">IF(F65&gt;1,"AMPLIAR",IF(F65&gt;SUP_PRODUCCION!$C$67,"LÍMITE","OK"))</f>
        <v>OK</v>
      </c>
      <c r="G66" s="297" t="str">
        <f aca="false">IF(G65&gt;1,"AMPLIAR",IF(G65&gt;SUP_PRODUCCION!$C$67,"LÍMITE","OK"))</f>
        <v>OK</v>
      </c>
      <c r="H66" s="297" t="str">
        <f aca="false">IF(H65&gt;1,"AMPLIAR",IF(H65&gt;SUP_PRODUCCION!$C$67,"LÍMITE","OK"))</f>
        <v>OK</v>
      </c>
      <c r="I66" s="297" t="str">
        <f aca="false">IF(I65&gt;1,"AMPLIAR",IF(I65&gt;SUP_PRODUCCION!$C$67,"LÍMITE","OK"))</f>
        <v>OK</v>
      </c>
      <c r="J66" s="297" t="str">
        <f aca="false">IF(J65&gt;1,"AMPLIAR",IF(J65&gt;SUP_PRODUCCION!$C$67,"LÍMITE","OK"))</f>
        <v>OK</v>
      </c>
      <c r="K66" s="297" t="str">
        <f aca="false">IF(K65&gt;1,"AMPLIAR",IF(K65&gt;SUP_PRODUCCION!$C$67,"LÍMITE","OK"))</f>
        <v>OK</v>
      </c>
      <c r="L66" s="297" t="str">
        <f aca="false">IF(L65&gt;1,"AMPLIAR",IF(L65&gt;SUP_PRODUCCION!$C$67,"LÍMITE","OK"))</f>
        <v>OK</v>
      </c>
      <c r="M66" s="297" t="str">
        <f aca="false">IF(M65&gt;1,"AMPLIAR",IF(M65&gt;SUP_PRODUCCION!$C$67,"LÍMITE","OK"))</f>
        <v>OK</v>
      </c>
      <c r="N66" s="297" t="str">
        <f aca="false">IF(N65&gt;1,"AMPLIAR",IF(N65&gt;SUP_PRODUCCION!$C$67,"LÍMITE","OK"))</f>
        <v>OK</v>
      </c>
      <c r="O66" s="297" t="str">
        <f aca="false">IF(O65&gt;1,"AMPLIAR",IF(O65&gt;SUP_PRODUCCION!$C$67,"LÍMITE","OK"))</f>
        <v>OK</v>
      </c>
      <c r="P66" s="297" t="str">
        <f aca="false">IF(P65&gt;1,"AMPLIAR",IF(P65&gt;SUP_PRODUCCION!$C$67,"LÍMITE","OK"))</f>
        <v>OK</v>
      </c>
      <c r="Q66" s="297" t="str">
        <f aca="false">IF(Q65&gt;1,"AMPLIAR",IF(Q65&gt;SUP_PRODUCCION!$C$67,"LÍMITE","OK"))</f>
        <v>OK</v>
      </c>
      <c r="R66" s="297" t="str">
        <f aca="false">IF(R65&gt;1,"AMPLIAR",IF(R65&gt;SUP_PRODUCCION!$C$67,"LÍMITE","OK"))</f>
        <v>OK</v>
      </c>
      <c r="S66" s="297" t="str">
        <f aca="false">IF(S65&gt;1,"AMPLIAR",IF(S65&gt;SUP_PRODUCCION!$C$67,"LÍMITE","OK"))</f>
        <v>OK</v>
      </c>
      <c r="T66" s="297" t="str">
        <f aca="false">IF(T65&gt;1,"AMPLIAR",IF(T65&gt;SUP_PRODUCCION!$C$67,"LÍMITE","OK"))</f>
        <v>OK</v>
      </c>
      <c r="U66" s="297" t="str">
        <f aca="false">IF(U65&gt;1,"AMPLIAR",IF(U65&gt;SUP_PRODUCCION!$C$67,"LÍMITE","OK"))</f>
        <v>OK</v>
      </c>
      <c r="V66" s="297" t="str">
        <f aca="false">IF(V65&gt;1,"AMPLIAR",IF(V65&gt;SUP_PRODUCCION!$C$67,"LÍMITE","OK"))</f>
        <v>OK</v>
      </c>
      <c r="W66" s="297" t="str">
        <f aca="false">IF(W65&gt;1,"AMPLIAR",IF(W65&gt;SUP_PRODUCCION!$C$67,"LÍMITE","OK"))</f>
        <v>OK</v>
      </c>
      <c r="X66" s="297" t="str">
        <f aca="false">IF(X65&gt;1,"AMPLIAR",IF(X65&gt;SUP_PRODUCCION!$C$67,"LÍMITE","OK"))</f>
        <v>OK</v>
      </c>
      <c r="Y66" s="297" t="str">
        <f aca="false">IF(Y65&gt;1,"AMPLIAR",IF(Y65&gt;SUP_PRODUCCION!$C$67,"LÍMITE","OK"))</f>
        <v>OK</v>
      </c>
      <c r="Z66" s="297" t="str">
        <f aca="false">IF(Z65&gt;1,"AMPLIAR",IF(Z65&gt;SUP_PRODUCCION!$C$67,"LÍMITE","OK"))</f>
        <v>OK</v>
      </c>
      <c r="AA66" s="297" t="str">
        <f aca="false">IF(AA65&gt;1,"AMPLIAR",IF(AA65&gt;SUP_PRODUCCION!$C$67,"LÍMITE","OK"))</f>
        <v>OK</v>
      </c>
      <c r="AB66" s="297" t="str">
        <f aca="false">IF(AB65&gt;1,"AMPLIAR",IF(AB65&gt;SUP_PRODUCCION!$C$67,"LÍMITE","OK"))</f>
        <v>OK</v>
      </c>
      <c r="AC66" s="297" t="str">
        <f aca="false">IF(AC65&gt;1,"AMPLIAR",IF(AC65&gt;SUP_PRODUCCION!$C$67,"LÍMITE","OK"))</f>
        <v>OK</v>
      </c>
      <c r="AD66" s="297" t="str">
        <f aca="false">IF(AD65&gt;1,"AMPLIAR",IF(AD65&gt;SUP_PRODUCCION!$C$67,"LÍMITE","OK"))</f>
        <v>OK</v>
      </c>
      <c r="AE66" s="297" t="str">
        <f aca="false">IF(AE65&gt;1,"AMPLIAR",IF(AE65&gt;SUP_PRODUCCION!$C$67,"LÍMITE","OK"))</f>
        <v>OK</v>
      </c>
      <c r="AF66" s="297" t="str">
        <f aca="false">IF(AF65&gt;1,"AMPLIAR",IF(AF65&gt;SUP_PRODUCCION!$C$67,"LÍMITE","OK"))</f>
        <v>OK</v>
      </c>
      <c r="AG66" s="297" t="str">
        <f aca="false">IF(AG65&gt;1,"AMPLIAR",IF(AG65&gt;SUP_PRODUCCION!$C$67,"LÍMITE","OK"))</f>
        <v>OK</v>
      </c>
      <c r="AH66" s="297" t="str">
        <f aca="false">IF(AH65&gt;1,"AMPLIAR",IF(AH65&gt;SUP_PRODUCCION!$C$67,"LÍMITE","OK"))</f>
        <v>OK</v>
      </c>
      <c r="AI66" s="297" t="str">
        <f aca="false">IF(AI65&gt;1,"AMPLIAR",IF(AI65&gt;SUP_PRODUCCION!$C$67,"LÍMITE","OK"))</f>
        <v>OK</v>
      </c>
      <c r="AJ66" s="297" t="str">
        <f aca="false">IF(AJ65&gt;1,"AMPLIAR",IF(AJ65&gt;SUP_PRODUCCION!$C$67,"LÍMITE","OK"))</f>
        <v>OK</v>
      </c>
      <c r="AK66" s="297" t="str">
        <f aca="false">IF(AK65&gt;1,"AMPLIAR",IF(AK65&gt;SUP_PRODUCCION!$C$67,"LÍMITE","OK"))</f>
        <v>OK</v>
      </c>
      <c r="AL66" s="297" t="str">
        <f aca="false">IF(AL65&gt;1,"AMPLIAR",IF(AL65&gt;SUP_PRODUCCION!$C$67,"LÍMITE","OK"))</f>
        <v>OK</v>
      </c>
      <c r="AM66" s="297" t="str">
        <f aca="false">IF(AM65&gt;1,"AMPLIAR",IF(AM65&gt;SUP_PRODUCCION!$C$67,"LÍMITE","OK"))</f>
        <v>OK</v>
      </c>
      <c r="AN66" s="297" t="str">
        <f aca="false">IF(AN65&gt;1,"AMPLIAR",IF(AN65&gt;SUP_PRODUCCION!$C$67,"LÍMITE","OK"))</f>
        <v>OK</v>
      </c>
      <c r="AO66" s="297" t="str">
        <f aca="false">IF(AO65&gt;1,"AMPLIAR",IF(AO65&gt;SUP_PRODUCCION!$C$67,"LÍMITE","OK"))</f>
        <v>OK</v>
      </c>
      <c r="AP66" s="297" t="str">
        <f aca="false">IF(AP65&gt;1,"AMPLIAR",IF(AP65&gt;SUP_PRODUCCION!$C$67,"LÍMITE","OK"))</f>
        <v>OK</v>
      </c>
      <c r="AQ66" s="297" t="str">
        <f aca="false">IF(AQ65&gt;1,"AMPLIAR",IF(AQ65&gt;SUP_PRODUCCION!$C$67,"LÍMITE","OK"))</f>
        <v>OK</v>
      </c>
      <c r="AR66" s="297" t="str">
        <f aca="false">IF(AR65&gt;1,"AMPLIAR",IF(AR65&gt;SUP_PRODUCCION!$C$67,"LÍMITE","OK"))</f>
        <v>OK</v>
      </c>
      <c r="AS66" s="297" t="str">
        <f aca="false">IF(AS65&gt;1,"AMPLIAR",IF(AS65&gt;SUP_PRODUCCION!$C$67,"LÍMITE","OK"))</f>
        <v>OK</v>
      </c>
      <c r="AT66" s="297" t="str">
        <f aca="false">IF(AT65&gt;1,"AMPLIAR",IF(AT65&gt;SUP_PRODUCCION!$C$67,"LÍMITE","OK"))</f>
        <v>OK</v>
      </c>
      <c r="AU66" s="297" t="str">
        <f aca="false">IF(AU65&gt;1,"AMPLIAR",IF(AU65&gt;SUP_PRODUCCION!$C$67,"LÍMITE","OK"))</f>
        <v>OK</v>
      </c>
      <c r="AV66" s="297" t="str">
        <f aca="false">IF(AV65&gt;1,"AMPLIAR",IF(AV65&gt;SUP_PRODUCCION!$C$67,"LÍMITE","OK"))</f>
        <v>OK</v>
      </c>
      <c r="AW66" s="297" t="str">
        <f aca="false">IF(AW65&gt;1,"AMPLIAR",IF(AW65&gt;SUP_PRODUCCION!$C$67,"LÍMITE","OK"))</f>
        <v>OK</v>
      </c>
      <c r="AX66" s="297" t="str">
        <f aca="false">IF(AX65&gt;1,"AMPLIAR",IF(AX65&gt;SUP_PRODUCCION!$C$67,"LÍMITE","OK"))</f>
        <v>OK</v>
      </c>
      <c r="AY66" s="297" t="str">
        <f aca="false">IF(AY65&gt;1,"AMPLIAR",IF(AY65&gt;SUP_PRODUCCION!$C$67,"LÍMITE","OK"))</f>
        <v>OK</v>
      </c>
      <c r="AZ66" s="297" t="str">
        <f aca="false">IF(AZ65&gt;1,"AMPLIAR",IF(AZ65&gt;SUP_PRODUCCION!$C$67,"LÍMITE","OK"))</f>
        <v>OK</v>
      </c>
      <c r="BA66" s="297" t="str">
        <f aca="false">IF(BA65&gt;1,"AMPLIAR",IF(BA65&gt;SUP_PRODUCCION!$C$67,"LÍMITE","OK"))</f>
        <v>OK</v>
      </c>
      <c r="BB66" s="297" t="str">
        <f aca="false">IF(BB65&gt;1,"AMPLIAR",IF(BB65&gt;SUP_PRODUCCION!$C$67,"LÍMITE","OK"))</f>
        <v>OK</v>
      </c>
      <c r="BC66" s="297" t="str">
        <f aca="false">IF(BC65&gt;1,"AMPLIAR",IF(BC65&gt;SUP_PRODUCCION!$C$67,"LÍMITE","OK"))</f>
        <v>OK</v>
      </c>
      <c r="BD66" s="297" t="str">
        <f aca="false">IF(BD65&gt;1,"AMPLIAR",IF(BD65&gt;SUP_PRODUCCION!$C$67,"LÍMITE","OK"))</f>
        <v>OK</v>
      </c>
      <c r="BE66" s="297" t="str">
        <f aca="false">IF(BE65&gt;1,"AMPLIAR",IF(BE65&gt;SUP_PRODUCCION!$C$67,"LÍMITE","OK"))</f>
        <v>OK</v>
      </c>
      <c r="BF66" s="297" t="str">
        <f aca="false">IF(BF65&gt;1,"AMPLIAR",IF(BF65&gt;SUP_PRODUCCION!$C$67,"LÍMITE","OK"))</f>
        <v>OK</v>
      </c>
      <c r="BG66" s="297" t="str">
        <f aca="false">IF(BG65&gt;1,"AMPLIAR",IF(BG65&gt;SUP_PRODUCCION!$C$67,"LÍMITE","OK"))</f>
        <v>OK</v>
      </c>
      <c r="BH66" s="297" t="str">
        <f aca="false">IF(BH65&gt;1,"AMPLIAR",IF(BH65&gt;SUP_PRODUCCION!$C$67,"LÍMITE","OK"))</f>
        <v>OK</v>
      </c>
      <c r="BI66" s="297" t="str">
        <f aca="false">IF(BI65&gt;1,"AMPLIAR",IF(BI65&gt;SUP_PRODUCCION!$C$67,"LÍMITE","OK"))</f>
        <v>OK</v>
      </c>
      <c r="BJ66" s="297" t="str">
        <f aca="false">IF(BJ65&gt;1,"AMPLIAR",IF(BJ65&gt;SUP_PRODUCCION!$C$67,"LÍMITE","OK"))</f>
        <v>OK</v>
      </c>
      <c r="BK66" s="297" t="str">
        <f aca="false">IF(BK65&gt;1,"AMPLIAR",IF(BK65&gt;SUP_PRODUCCION!$C$67,"LÍMITE","OK"))</f>
        <v>OK</v>
      </c>
    </row>
    <row r="68" customFormat="false" ht="15" hidden="false" customHeight="true" outlineLevel="0" collapsed="false">
      <c r="B68" s="94" t="s">
        <v>2406</v>
      </c>
    </row>
    <row r="69" customFormat="false" ht="15" hidden="false" customHeight="true" outlineLevel="0" collapsed="false">
      <c r="B69" s="94" t="s">
        <v>2407</v>
      </c>
    </row>
  </sheetData>
  <mergeCells count="2">
    <mergeCell ref="C25:L25"/>
    <mergeCell ref="C54:N5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ED2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3" topLeftCell="O14" activePane="bottomLeft" state="frozen"/>
      <selection pane="topLeft" activeCell="A1" activeCellId="0" sqref="A1"/>
      <selection pane="bottomLeft" activeCell="A1" activeCellId="0" sqref="A1"/>
    </sheetView>
  </sheetViews>
  <sheetFormatPr defaultColWidth="8.66796875" defaultRowHeight="15" zeroHeight="false" outlineLevelRow="0" outlineLevelCol="0"/>
  <cols>
    <col collapsed="false" customWidth="true" hidden="false" outlineLevel="0" max="1" min="1" style="1" width="7"/>
    <col collapsed="false" customWidth="true" hidden="false" outlineLevel="0" max="2" min="2" style="1" width="78"/>
    <col collapsed="false" customWidth="true" hidden="false" outlineLevel="0" max="4" min="3" style="1" width="30"/>
    <col collapsed="false" customWidth="true" hidden="false" outlineLevel="0" max="9" min="5" style="1" width="9"/>
    <col collapsed="false" customWidth="true" hidden="false" outlineLevel="0" max="11" min="10" style="1" width="12"/>
    <col collapsed="false" customWidth="true" hidden="false" outlineLevel="0" max="13" min="12" style="1" width="9"/>
    <col collapsed="false" customWidth="true" hidden="false" outlineLevel="0" max="14" min="14" style="1" width="8"/>
    <col collapsed="false" customWidth="true" hidden="false" outlineLevel="0" max="134" min="15" style="1" width="2.67"/>
  </cols>
  <sheetData>
    <row r="1" customFormat="false" ht="15.75" hidden="false" customHeight="true" outlineLevel="0" collapsed="false">
      <c r="A1" s="185" t="s">
        <v>2408</v>
      </c>
      <c r="B1" s="126"/>
      <c r="C1" s="126"/>
      <c r="D1" s="126"/>
      <c r="E1" s="126"/>
      <c r="F1" s="126"/>
      <c r="G1" s="126"/>
      <c r="H1" s="126"/>
      <c r="I1" s="126"/>
      <c r="J1" s="126"/>
      <c r="K1" s="126"/>
      <c r="L1" s="126"/>
      <c r="M1" s="126"/>
      <c r="N1" s="126"/>
    </row>
    <row r="2" customFormat="false" ht="15" hidden="false" customHeight="true" outlineLevel="0" collapsed="false">
      <c r="A2" s="350" t="s">
        <v>2409</v>
      </c>
    </row>
    <row r="3" customFormat="false" ht="15" hidden="false" customHeight="true" outlineLevel="0" collapsed="false">
      <c r="A3" s="94" t="s">
        <v>1958</v>
      </c>
    </row>
    <row r="4" customFormat="false" ht="15" hidden="false" customHeight="true" outlineLevel="0" collapsed="false">
      <c r="B4" s="287" t="s">
        <v>2410</v>
      </c>
      <c r="D4" s="429" t="n">
        <f aca="false">FC_SUPUESTOS!$D$14</f>
        <v>46300</v>
      </c>
      <c r="F4" s="430" t="s">
        <v>2411</v>
      </c>
    </row>
    <row r="5" customFormat="false" ht="15" hidden="false" customHeight="true" outlineLevel="0" collapsed="false">
      <c r="B5" s="297" t="s">
        <v>2412</v>
      </c>
      <c r="D5" s="431" t="n">
        <f aca="false">52/12</f>
        <v>4.33333333333333</v>
      </c>
    </row>
    <row r="6" customFormat="false" ht="15" hidden="false" customHeight="true" outlineLevel="0" collapsed="false">
      <c r="B6" s="297" t="s">
        <v>2413</v>
      </c>
      <c r="D6" s="354" t="n">
        <f aca="false">FC_SUPUESTOS!$C$40</f>
        <v>10</v>
      </c>
    </row>
    <row r="7" customFormat="false" ht="15" hidden="false" customHeight="true" outlineLevel="0" collapsed="false">
      <c r="B7" s="297" t="s">
        <v>2414</v>
      </c>
      <c r="D7" s="354" t="n">
        <f aca="false">COUNTIF(FC_CRONOGRAMA!$D$22:$BK$22,"&lt;"&amp;MAX(FC_CRONOGRAMA!$D$22:$BK$22))+1</f>
        <v>14</v>
      </c>
    </row>
    <row r="8" customFormat="false" ht="15" hidden="false" customHeight="true" outlineLevel="0" collapsed="false">
      <c r="B8" s="357" t="s">
        <v>2415</v>
      </c>
      <c r="D8" s="432" t="str">
        <f aca="false">FC_SUPUESTOS!$C$41</f>
        <v>El flujo desplaza 6 mes(es) el calendario de CAPA1_PILOTO para respetar el lead time de importación: planta operativa en el mes 10 y primera apertura en el mes 10.</v>
      </c>
      <c r="E8" s="432"/>
      <c r="F8" s="432"/>
      <c r="G8" s="432"/>
      <c r="H8" s="432"/>
      <c r="I8" s="432"/>
      <c r="J8" s="432"/>
      <c r="K8" s="432"/>
      <c r="L8" s="432"/>
      <c r="M8" s="432"/>
    </row>
    <row r="10" customFormat="false" ht="15" hidden="false" customHeight="true" outlineLevel="0" collapsed="false">
      <c r="B10" s="433" t="s">
        <v>2416</v>
      </c>
      <c r="O10" s="434" t="n">
        <f aca="false">ROUNDUP(O11/$D$5,0)</f>
        <v>1</v>
      </c>
      <c r="P10" s="434" t="n">
        <f aca="false">ROUNDUP(P11/$D$5,0)</f>
        <v>1</v>
      </c>
      <c r="Q10" s="434" t="n">
        <f aca="false">ROUNDUP(Q11/$D$5,0)</f>
        <v>1</v>
      </c>
      <c r="R10" s="434" t="n">
        <f aca="false">ROUNDUP(R11/$D$5,0)</f>
        <v>1</v>
      </c>
      <c r="S10" s="434" t="n">
        <f aca="false">ROUNDUP(S11/$D$5,0)</f>
        <v>2</v>
      </c>
      <c r="T10" s="434" t="n">
        <f aca="false">ROUNDUP(T11/$D$5,0)</f>
        <v>2</v>
      </c>
      <c r="U10" s="434" t="n">
        <f aca="false">ROUNDUP(U11/$D$5,0)</f>
        <v>2</v>
      </c>
      <c r="V10" s="434" t="n">
        <f aca="false">ROUNDUP(V11/$D$5,0)</f>
        <v>2</v>
      </c>
      <c r="W10" s="434" t="n">
        <f aca="false">ROUNDUP(W11/$D$5,0)</f>
        <v>3</v>
      </c>
      <c r="X10" s="434" t="n">
        <f aca="false">ROUNDUP(X11/$D$5,0)</f>
        <v>3</v>
      </c>
      <c r="Y10" s="434" t="n">
        <f aca="false">ROUNDUP(Y11/$D$5,0)</f>
        <v>3</v>
      </c>
      <c r="Z10" s="434" t="n">
        <f aca="false">ROUNDUP(Z11/$D$5,0)</f>
        <v>3</v>
      </c>
      <c r="AA10" s="434" t="n">
        <f aca="false">ROUNDUP(AA11/$D$5,0)</f>
        <v>3</v>
      </c>
      <c r="AB10" s="434" t="n">
        <f aca="false">ROUNDUP(AB11/$D$5,0)</f>
        <v>4</v>
      </c>
      <c r="AC10" s="434" t="n">
        <f aca="false">ROUNDUP(AC11/$D$5,0)</f>
        <v>4</v>
      </c>
      <c r="AD10" s="434" t="n">
        <f aca="false">ROUNDUP(AD11/$D$5,0)</f>
        <v>4</v>
      </c>
      <c r="AE10" s="434" t="n">
        <f aca="false">ROUNDUP(AE11/$D$5,0)</f>
        <v>4</v>
      </c>
      <c r="AF10" s="434" t="n">
        <f aca="false">ROUNDUP(AF11/$D$5,0)</f>
        <v>5</v>
      </c>
      <c r="AG10" s="434" t="n">
        <f aca="false">ROUNDUP(AG11/$D$5,0)</f>
        <v>5</v>
      </c>
      <c r="AH10" s="434" t="n">
        <f aca="false">ROUNDUP(AH11/$D$5,0)</f>
        <v>5</v>
      </c>
      <c r="AI10" s="434" t="n">
        <f aca="false">ROUNDUP(AI11/$D$5,0)</f>
        <v>5</v>
      </c>
      <c r="AJ10" s="434" t="n">
        <f aca="false">ROUNDUP(AJ11/$D$5,0)</f>
        <v>6</v>
      </c>
      <c r="AK10" s="434" t="n">
        <f aca="false">ROUNDUP(AK11/$D$5,0)</f>
        <v>6</v>
      </c>
      <c r="AL10" s="434" t="n">
        <f aca="false">ROUNDUP(AL11/$D$5,0)</f>
        <v>6</v>
      </c>
      <c r="AM10" s="434" t="n">
        <f aca="false">ROUNDUP(AM11/$D$5,0)</f>
        <v>6</v>
      </c>
      <c r="AN10" s="434" t="n">
        <f aca="false">ROUNDUP(AN11/$D$5,0)</f>
        <v>6</v>
      </c>
      <c r="AO10" s="434" t="n">
        <f aca="false">ROUNDUP(AO11/$D$5,0)</f>
        <v>7</v>
      </c>
      <c r="AP10" s="434" t="n">
        <f aca="false">ROUNDUP(AP11/$D$5,0)</f>
        <v>7</v>
      </c>
      <c r="AQ10" s="434" t="n">
        <f aca="false">ROUNDUP(AQ11/$D$5,0)</f>
        <v>7</v>
      </c>
      <c r="AR10" s="434" t="n">
        <f aca="false">ROUNDUP(AR11/$D$5,0)</f>
        <v>7</v>
      </c>
      <c r="AS10" s="434" t="n">
        <f aca="false">ROUNDUP(AS11/$D$5,0)</f>
        <v>8</v>
      </c>
      <c r="AT10" s="434" t="n">
        <f aca="false">ROUNDUP(AT11/$D$5,0)</f>
        <v>8</v>
      </c>
      <c r="AU10" s="434" t="n">
        <f aca="false">ROUNDUP(AU11/$D$5,0)</f>
        <v>8</v>
      </c>
      <c r="AV10" s="434" t="n">
        <f aca="false">ROUNDUP(AV11/$D$5,0)</f>
        <v>8</v>
      </c>
      <c r="AW10" s="434" t="n">
        <f aca="false">ROUNDUP(AW11/$D$5,0)</f>
        <v>9</v>
      </c>
      <c r="AX10" s="434" t="n">
        <f aca="false">ROUNDUP(AX11/$D$5,0)</f>
        <v>9</v>
      </c>
      <c r="AY10" s="434" t="n">
        <f aca="false">ROUNDUP(AY11/$D$5,0)</f>
        <v>9</v>
      </c>
      <c r="AZ10" s="434" t="n">
        <f aca="false">ROUNDUP(AZ11/$D$5,0)</f>
        <v>9</v>
      </c>
      <c r="BA10" s="434" t="n">
        <f aca="false">ROUNDUP(BA11/$D$5,0)</f>
        <v>9</v>
      </c>
      <c r="BB10" s="434" t="n">
        <f aca="false">ROUNDUP(BB11/$D$5,0)</f>
        <v>10</v>
      </c>
      <c r="BC10" s="434" t="n">
        <f aca="false">ROUNDUP(BC11/$D$5,0)</f>
        <v>10</v>
      </c>
      <c r="BD10" s="434" t="n">
        <f aca="false">ROUNDUP(BD11/$D$5,0)</f>
        <v>10</v>
      </c>
      <c r="BE10" s="434" t="n">
        <f aca="false">ROUNDUP(BE11/$D$5,0)</f>
        <v>10</v>
      </c>
      <c r="BF10" s="434" t="n">
        <f aca="false">ROUNDUP(BF11/$D$5,0)</f>
        <v>11</v>
      </c>
      <c r="BG10" s="434" t="n">
        <f aca="false">ROUNDUP(BG11/$D$5,0)</f>
        <v>11</v>
      </c>
      <c r="BH10" s="434" t="n">
        <f aca="false">ROUNDUP(BH11/$D$5,0)</f>
        <v>11</v>
      </c>
      <c r="BI10" s="434" t="n">
        <f aca="false">ROUNDUP(BI11/$D$5,0)</f>
        <v>11</v>
      </c>
      <c r="BJ10" s="434" t="n">
        <f aca="false">ROUNDUP(BJ11/$D$5,0)</f>
        <v>12</v>
      </c>
      <c r="BK10" s="434" t="n">
        <f aca="false">ROUNDUP(BK11/$D$5,0)</f>
        <v>12</v>
      </c>
      <c r="BL10" s="434" t="n">
        <f aca="false">ROUNDUP(BL11/$D$5,0)</f>
        <v>12</v>
      </c>
      <c r="BM10" s="434" t="n">
        <f aca="false">ROUNDUP(BM11/$D$5,0)</f>
        <v>12</v>
      </c>
      <c r="BN10" s="434" t="n">
        <f aca="false">ROUNDUP(BN11/$D$5,0)</f>
        <v>12</v>
      </c>
      <c r="BO10" s="434" t="n">
        <f aca="false">ROUNDUP(BO11/$D$5,0)</f>
        <v>13</v>
      </c>
      <c r="BP10" s="434" t="n">
        <f aca="false">ROUNDUP(BP11/$D$5,0)</f>
        <v>13</v>
      </c>
      <c r="BQ10" s="434" t="n">
        <f aca="false">ROUNDUP(BQ11/$D$5,0)</f>
        <v>13</v>
      </c>
      <c r="BR10" s="434" t="n">
        <f aca="false">ROUNDUP(BR11/$D$5,0)</f>
        <v>13</v>
      </c>
      <c r="BS10" s="434" t="n">
        <f aca="false">ROUNDUP(BS11/$D$5,0)</f>
        <v>14</v>
      </c>
      <c r="BT10" s="434" t="n">
        <f aca="false">ROUNDUP(BT11/$D$5,0)</f>
        <v>14</v>
      </c>
      <c r="BU10" s="434" t="n">
        <f aca="false">ROUNDUP(BU11/$D$5,0)</f>
        <v>14</v>
      </c>
      <c r="BV10" s="434" t="n">
        <f aca="false">ROUNDUP(BV11/$D$5,0)</f>
        <v>14</v>
      </c>
      <c r="BW10" s="434" t="n">
        <f aca="false">ROUNDUP(BW11/$D$5,0)</f>
        <v>15</v>
      </c>
      <c r="BX10" s="434" t="n">
        <f aca="false">ROUNDUP(BX11/$D$5,0)</f>
        <v>15</v>
      </c>
      <c r="BY10" s="434" t="n">
        <f aca="false">ROUNDUP(BY11/$D$5,0)</f>
        <v>15</v>
      </c>
      <c r="BZ10" s="434" t="n">
        <f aca="false">ROUNDUP(BZ11/$D$5,0)</f>
        <v>15</v>
      </c>
      <c r="CA10" s="434" t="n">
        <f aca="false">ROUNDUP(CA11/$D$5,0)</f>
        <v>15</v>
      </c>
      <c r="CB10" s="434" t="n">
        <f aca="false">ROUNDUP(CB11/$D$5,0)</f>
        <v>16</v>
      </c>
      <c r="CC10" s="434" t="n">
        <f aca="false">ROUNDUP(CC11/$D$5,0)</f>
        <v>16</v>
      </c>
      <c r="CD10" s="434" t="n">
        <f aca="false">ROUNDUP(CD11/$D$5,0)</f>
        <v>16</v>
      </c>
      <c r="CE10" s="434" t="n">
        <f aca="false">ROUNDUP(CE11/$D$5,0)</f>
        <v>16</v>
      </c>
      <c r="CF10" s="434" t="n">
        <f aca="false">ROUNDUP(CF11/$D$5,0)</f>
        <v>17</v>
      </c>
      <c r="CG10" s="434" t="n">
        <f aca="false">ROUNDUP(CG11/$D$5,0)</f>
        <v>17</v>
      </c>
      <c r="CH10" s="434" t="n">
        <f aca="false">ROUNDUP(CH11/$D$5,0)</f>
        <v>17</v>
      </c>
      <c r="CI10" s="434" t="n">
        <f aca="false">ROUNDUP(CI11/$D$5,0)</f>
        <v>17</v>
      </c>
      <c r="CJ10" s="434" t="n">
        <f aca="false">ROUNDUP(CJ11/$D$5,0)</f>
        <v>18</v>
      </c>
      <c r="CK10" s="434" t="n">
        <f aca="false">ROUNDUP(CK11/$D$5,0)</f>
        <v>18</v>
      </c>
      <c r="CL10" s="434" t="n">
        <f aca="false">ROUNDUP(CL11/$D$5,0)</f>
        <v>18</v>
      </c>
      <c r="CM10" s="434" t="n">
        <f aca="false">ROUNDUP(CM11/$D$5,0)</f>
        <v>18</v>
      </c>
      <c r="CN10" s="434" t="n">
        <f aca="false">ROUNDUP(CN11/$D$5,0)</f>
        <v>18</v>
      </c>
      <c r="CO10" s="434" t="n">
        <f aca="false">ROUNDUP(CO11/$D$5,0)</f>
        <v>19</v>
      </c>
      <c r="CP10" s="434" t="n">
        <f aca="false">ROUNDUP(CP11/$D$5,0)</f>
        <v>19</v>
      </c>
      <c r="CQ10" s="434" t="n">
        <f aca="false">ROUNDUP(CQ11/$D$5,0)</f>
        <v>19</v>
      </c>
      <c r="CR10" s="434" t="n">
        <f aca="false">ROUNDUP(CR11/$D$5,0)</f>
        <v>19</v>
      </c>
      <c r="CS10" s="434" t="n">
        <f aca="false">ROUNDUP(CS11/$D$5,0)</f>
        <v>20</v>
      </c>
      <c r="CT10" s="434" t="n">
        <f aca="false">ROUNDUP(CT11/$D$5,0)</f>
        <v>20</v>
      </c>
      <c r="CU10" s="434" t="n">
        <f aca="false">ROUNDUP(CU11/$D$5,0)</f>
        <v>20</v>
      </c>
      <c r="CV10" s="434" t="n">
        <f aca="false">ROUNDUP(CV11/$D$5,0)</f>
        <v>20</v>
      </c>
      <c r="CW10" s="434" t="n">
        <f aca="false">ROUNDUP(CW11/$D$5,0)</f>
        <v>21</v>
      </c>
      <c r="CX10" s="434" t="n">
        <f aca="false">ROUNDUP(CX11/$D$5,0)</f>
        <v>21</v>
      </c>
      <c r="CY10" s="434" t="n">
        <f aca="false">ROUNDUP(CY11/$D$5,0)</f>
        <v>21</v>
      </c>
      <c r="CZ10" s="434" t="n">
        <f aca="false">ROUNDUP(CZ11/$D$5,0)</f>
        <v>21</v>
      </c>
      <c r="DA10" s="434" t="n">
        <f aca="false">ROUNDUP(DA11/$D$5,0)</f>
        <v>21</v>
      </c>
      <c r="DB10" s="434" t="n">
        <f aca="false">ROUNDUP(DB11/$D$5,0)</f>
        <v>22</v>
      </c>
      <c r="DC10" s="434" t="n">
        <f aca="false">ROUNDUP(DC11/$D$5,0)</f>
        <v>22</v>
      </c>
      <c r="DD10" s="434" t="n">
        <f aca="false">ROUNDUP(DD11/$D$5,0)</f>
        <v>22</v>
      </c>
      <c r="DE10" s="434" t="n">
        <f aca="false">ROUNDUP(DE11/$D$5,0)</f>
        <v>22</v>
      </c>
      <c r="DF10" s="434" t="n">
        <f aca="false">ROUNDUP(DF11/$D$5,0)</f>
        <v>23</v>
      </c>
      <c r="DG10" s="434" t="n">
        <f aca="false">ROUNDUP(DG11/$D$5,0)</f>
        <v>23</v>
      </c>
      <c r="DH10" s="434" t="n">
        <f aca="false">ROUNDUP(DH11/$D$5,0)</f>
        <v>23</v>
      </c>
      <c r="DI10" s="434" t="n">
        <f aca="false">ROUNDUP(DI11/$D$5,0)</f>
        <v>23</v>
      </c>
      <c r="DJ10" s="434" t="n">
        <f aca="false">ROUNDUP(DJ11/$D$5,0)</f>
        <v>24</v>
      </c>
      <c r="DK10" s="434" t="n">
        <f aca="false">ROUNDUP(DK11/$D$5,0)</f>
        <v>24</v>
      </c>
      <c r="DL10" s="434" t="n">
        <f aca="false">ROUNDUP(DL11/$D$5,0)</f>
        <v>24</v>
      </c>
      <c r="DM10" s="434" t="n">
        <f aca="false">ROUNDUP(DM11/$D$5,0)</f>
        <v>24</v>
      </c>
      <c r="DN10" s="434" t="n">
        <f aca="false">ROUNDUP(DN11/$D$5,0)</f>
        <v>24</v>
      </c>
      <c r="DO10" s="434" t="n">
        <f aca="false">ROUNDUP(DO11/$D$5,0)</f>
        <v>25</v>
      </c>
      <c r="DP10" s="434" t="n">
        <f aca="false">ROUNDUP(DP11/$D$5,0)</f>
        <v>25</v>
      </c>
      <c r="DQ10" s="434" t="n">
        <f aca="false">ROUNDUP(DQ11/$D$5,0)</f>
        <v>25</v>
      </c>
      <c r="DR10" s="434" t="n">
        <f aca="false">ROUNDUP(DR11/$D$5,0)</f>
        <v>25</v>
      </c>
      <c r="DS10" s="434" t="n">
        <f aca="false">ROUNDUP(DS11/$D$5,0)</f>
        <v>26</v>
      </c>
      <c r="DT10" s="434" t="n">
        <f aca="false">ROUNDUP(DT11/$D$5,0)</f>
        <v>26</v>
      </c>
      <c r="DU10" s="434" t="n">
        <f aca="false">ROUNDUP(DU11/$D$5,0)</f>
        <v>26</v>
      </c>
      <c r="DV10" s="434" t="n">
        <f aca="false">ROUNDUP(DV11/$D$5,0)</f>
        <v>26</v>
      </c>
      <c r="DW10" s="434" t="n">
        <f aca="false">ROUNDUP(DW11/$D$5,0)</f>
        <v>27</v>
      </c>
      <c r="DX10" s="434" t="n">
        <f aca="false">ROUNDUP(DX11/$D$5,0)</f>
        <v>27</v>
      </c>
      <c r="DY10" s="434" t="n">
        <f aca="false">ROUNDUP(DY11/$D$5,0)</f>
        <v>27</v>
      </c>
      <c r="DZ10" s="434" t="n">
        <f aca="false">ROUNDUP(DZ11/$D$5,0)</f>
        <v>27</v>
      </c>
      <c r="EA10" s="434" t="n">
        <f aca="false">ROUNDUP(EA11/$D$5,0)</f>
        <v>27</v>
      </c>
      <c r="EB10" s="434" t="n">
        <f aca="false">ROUNDUP(EB11/$D$5,0)</f>
        <v>28</v>
      </c>
      <c r="EC10" s="434" t="n">
        <f aca="false">ROUNDUP(EC11/$D$5,0)</f>
        <v>28</v>
      </c>
      <c r="ED10" s="434" t="n">
        <f aca="false">ROUNDUP(ED11/$D$5,0)</f>
        <v>28</v>
      </c>
    </row>
    <row r="11" customFormat="false" ht="15" hidden="false" customHeight="true" outlineLevel="0" collapsed="false">
      <c r="B11" s="433" t="s">
        <v>2417</v>
      </c>
      <c r="O11" s="435" t="n">
        <v>1</v>
      </c>
      <c r="P11" s="435" t="n">
        <v>2</v>
      </c>
      <c r="Q11" s="435" t="n">
        <v>3</v>
      </c>
      <c r="R11" s="435" t="n">
        <v>4</v>
      </c>
      <c r="S11" s="435" t="n">
        <v>5</v>
      </c>
      <c r="T11" s="435" t="n">
        <v>6</v>
      </c>
      <c r="U11" s="435" t="n">
        <v>7</v>
      </c>
      <c r="V11" s="435" t="n">
        <v>8</v>
      </c>
      <c r="W11" s="435" t="n">
        <v>9</v>
      </c>
      <c r="X11" s="435" t="n">
        <v>10</v>
      </c>
      <c r="Y11" s="435" t="n">
        <v>11</v>
      </c>
      <c r="Z11" s="435" t="n">
        <v>12</v>
      </c>
      <c r="AA11" s="435" t="n">
        <v>13</v>
      </c>
      <c r="AB11" s="435" t="n">
        <v>14</v>
      </c>
      <c r="AC11" s="435" t="n">
        <v>15</v>
      </c>
      <c r="AD11" s="435" t="n">
        <v>16</v>
      </c>
      <c r="AE11" s="435" t="n">
        <v>17</v>
      </c>
      <c r="AF11" s="435" t="n">
        <v>18</v>
      </c>
      <c r="AG11" s="435" t="n">
        <v>19</v>
      </c>
      <c r="AH11" s="435" t="n">
        <v>20</v>
      </c>
      <c r="AI11" s="435" t="n">
        <v>21</v>
      </c>
      <c r="AJ11" s="435" t="n">
        <v>22</v>
      </c>
      <c r="AK11" s="435" t="n">
        <v>23</v>
      </c>
      <c r="AL11" s="435" t="n">
        <v>24</v>
      </c>
      <c r="AM11" s="435" t="n">
        <v>25</v>
      </c>
      <c r="AN11" s="435" t="n">
        <v>26</v>
      </c>
      <c r="AO11" s="435" t="n">
        <v>27</v>
      </c>
      <c r="AP11" s="435" t="n">
        <v>28</v>
      </c>
      <c r="AQ11" s="435" t="n">
        <v>29</v>
      </c>
      <c r="AR11" s="435" t="n">
        <v>30</v>
      </c>
      <c r="AS11" s="435" t="n">
        <v>31</v>
      </c>
      <c r="AT11" s="435" t="n">
        <v>32</v>
      </c>
      <c r="AU11" s="435" t="n">
        <v>33</v>
      </c>
      <c r="AV11" s="435" t="n">
        <v>34</v>
      </c>
      <c r="AW11" s="435" t="n">
        <v>35</v>
      </c>
      <c r="AX11" s="435" t="n">
        <v>36</v>
      </c>
      <c r="AY11" s="435" t="n">
        <v>37</v>
      </c>
      <c r="AZ11" s="435" t="n">
        <v>38</v>
      </c>
      <c r="BA11" s="435" t="n">
        <v>39</v>
      </c>
      <c r="BB11" s="435" t="n">
        <v>40</v>
      </c>
      <c r="BC11" s="435" t="n">
        <v>41</v>
      </c>
      <c r="BD11" s="435" t="n">
        <v>42</v>
      </c>
      <c r="BE11" s="435" t="n">
        <v>43</v>
      </c>
      <c r="BF11" s="435" t="n">
        <v>44</v>
      </c>
      <c r="BG11" s="435" t="n">
        <v>45</v>
      </c>
      <c r="BH11" s="435" t="n">
        <v>46</v>
      </c>
      <c r="BI11" s="435" t="n">
        <v>47</v>
      </c>
      <c r="BJ11" s="435" t="n">
        <v>48</v>
      </c>
      <c r="BK11" s="435" t="n">
        <v>49</v>
      </c>
      <c r="BL11" s="435" t="n">
        <v>50</v>
      </c>
      <c r="BM11" s="435" t="n">
        <v>51</v>
      </c>
      <c r="BN11" s="435" t="n">
        <v>52</v>
      </c>
      <c r="BO11" s="435" t="n">
        <v>53</v>
      </c>
      <c r="BP11" s="435" t="n">
        <v>54</v>
      </c>
      <c r="BQ11" s="435" t="n">
        <v>55</v>
      </c>
      <c r="BR11" s="435" t="n">
        <v>56</v>
      </c>
      <c r="BS11" s="435" t="n">
        <v>57</v>
      </c>
      <c r="BT11" s="435" t="n">
        <v>58</v>
      </c>
      <c r="BU11" s="435" t="n">
        <v>59</v>
      </c>
      <c r="BV11" s="435" t="n">
        <v>60</v>
      </c>
      <c r="BW11" s="435" t="n">
        <v>61</v>
      </c>
      <c r="BX11" s="435" t="n">
        <v>62</v>
      </c>
      <c r="BY11" s="435" t="n">
        <v>63</v>
      </c>
      <c r="BZ11" s="435" t="n">
        <v>64</v>
      </c>
      <c r="CA11" s="435" t="n">
        <v>65</v>
      </c>
      <c r="CB11" s="435" t="n">
        <v>66</v>
      </c>
      <c r="CC11" s="435" t="n">
        <v>67</v>
      </c>
      <c r="CD11" s="435" t="n">
        <v>68</v>
      </c>
      <c r="CE11" s="435" t="n">
        <v>69</v>
      </c>
      <c r="CF11" s="435" t="n">
        <v>70</v>
      </c>
      <c r="CG11" s="435" t="n">
        <v>71</v>
      </c>
      <c r="CH11" s="435" t="n">
        <v>72</v>
      </c>
      <c r="CI11" s="435" t="n">
        <v>73</v>
      </c>
      <c r="CJ11" s="435" t="n">
        <v>74</v>
      </c>
      <c r="CK11" s="435" t="n">
        <v>75</v>
      </c>
      <c r="CL11" s="435" t="n">
        <v>76</v>
      </c>
      <c r="CM11" s="435" t="n">
        <v>77</v>
      </c>
      <c r="CN11" s="435" t="n">
        <v>78</v>
      </c>
      <c r="CO11" s="435" t="n">
        <v>79</v>
      </c>
      <c r="CP11" s="435" t="n">
        <v>80</v>
      </c>
      <c r="CQ11" s="435" t="n">
        <v>81</v>
      </c>
      <c r="CR11" s="435" t="n">
        <v>82</v>
      </c>
      <c r="CS11" s="435" t="n">
        <v>83</v>
      </c>
      <c r="CT11" s="435" t="n">
        <v>84</v>
      </c>
      <c r="CU11" s="435" t="n">
        <v>85</v>
      </c>
      <c r="CV11" s="435" t="n">
        <v>86</v>
      </c>
      <c r="CW11" s="435" t="n">
        <v>87</v>
      </c>
      <c r="CX11" s="435" t="n">
        <v>88</v>
      </c>
      <c r="CY11" s="435" t="n">
        <v>89</v>
      </c>
      <c r="CZ11" s="435" t="n">
        <v>90</v>
      </c>
      <c r="DA11" s="435" t="n">
        <v>91</v>
      </c>
      <c r="DB11" s="435" t="n">
        <v>92</v>
      </c>
      <c r="DC11" s="435" t="n">
        <v>93</v>
      </c>
      <c r="DD11" s="435" t="n">
        <v>94</v>
      </c>
      <c r="DE11" s="435" t="n">
        <v>95</v>
      </c>
      <c r="DF11" s="435" t="n">
        <v>96</v>
      </c>
      <c r="DG11" s="435" t="n">
        <v>97</v>
      </c>
      <c r="DH11" s="435" t="n">
        <v>98</v>
      </c>
      <c r="DI11" s="435" t="n">
        <v>99</v>
      </c>
      <c r="DJ11" s="435" t="n">
        <v>100</v>
      </c>
      <c r="DK11" s="435" t="n">
        <v>101</v>
      </c>
      <c r="DL11" s="435" t="n">
        <v>102</v>
      </c>
      <c r="DM11" s="435" t="n">
        <v>103</v>
      </c>
      <c r="DN11" s="435" t="n">
        <v>104</v>
      </c>
      <c r="DO11" s="435" t="n">
        <v>105</v>
      </c>
      <c r="DP11" s="435" t="n">
        <v>106</v>
      </c>
      <c r="DQ11" s="435" t="n">
        <v>107</v>
      </c>
      <c r="DR11" s="435" t="n">
        <v>108</v>
      </c>
      <c r="DS11" s="435" t="n">
        <v>109</v>
      </c>
      <c r="DT11" s="435" t="n">
        <v>110</v>
      </c>
      <c r="DU11" s="435" t="n">
        <v>111</v>
      </c>
      <c r="DV11" s="435" t="n">
        <v>112</v>
      </c>
      <c r="DW11" s="435" t="n">
        <v>113</v>
      </c>
      <c r="DX11" s="435" t="n">
        <v>114</v>
      </c>
      <c r="DY11" s="435" t="n">
        <v>115</v>
      </c>
      <c r="DZ11" s="435" t="n">
        <v>116</v>
      </c>
      <c r="EA11" s="435" t="n">
        <v>117</v>
      </c>
      <c r="EB11" s="435" t="n">
        <v>118</v>
      </c>
      <c r="EC11" s="435" t="n">
        <v>119</v>
      </c>
      <c r="ED11" s="435" t="n">
        <v>120</v>
      </c>
    </row>
    <row r="12" customFormat="false" ht="15" hidden="false" customHeight="true" outlineLevel="0" collapsed="false">
      <c r="B12" s="433" t="s">
        <v>2418</v>
      </c>
      <c r="O12" s="436" t="n">
        <f aca="false">$D$4+(O11-1)*7</f>
        <v>46300</v>
      </c>
      <c r="P12" s="436" t="n">
        <f aca="false">$D$4+(P11-1)*7</f>
        <v>46307</v>
      </c>
      <c r="Q12" s="436" t="n">
        <f aca="false">$D$4+(Q11-1)*7</f>
        <v>46314</v>
      </c>
      <c r="R12" s="436" t="n">
        <f aca="false">$D$4+(R11-1)*7</f>
        <v>46321</v>
      </c>
      <c r="S12" s="436" t="n">
        <f aca="false">$D$4+(S11-1)*7</f>
        <v>46328</v>
      </c>
      <c r="T12" s="436" t="n">
        <f aca="false">$D$4+(T11-1)*7</f>
        <v>46335</v>
      </c>
      <c r="U12" s="436" t="n">
        <f aca="false">$D$4+(U11-1)*7</f>
        <v>46342</v>
      </c>
      <c r="V12" s="436" t="n">
        <f aca="false">$D$4+(V11-1)*7</f>
        <v>46349</v>
      </c>
      <c r="W12" s="436" t="n">
        <f aca="false">$D$4+(W11-1)*7</f>
        <v>46356</v>
      </c>
      <c r="X12" s="436" t="n">
        <f aca="false">$D$4+(X11-1)*7</f>
        <v>46363</v>
      </c>
      <c r="Y12" s="436" t="n">
        <f aca="false">$D$4+(Y11-1)*7</f>
        <v>46370</v>
      </c>
      <c r="Z12" s="436" t="n">
        <f aca="false">$D$4+(Z11-1)*7</f>
        <v>46377</v>
      </c>
      <c r="AA12" s="436" t="n">
        <f aca="false">$D$4+(AA11-1)*7</f>
        <v>46384</v>
      </c>
      <c r="AB12" s="436" t="n">
        <f aca="false">$D$4+(AB11-1)*7</f>
        <v>46391</v>
      </c>
      <c r="AC12" s="436" t="n">
        <f aca="false">$D$4+(AC11-1)*7</f>
        <v>46398</v>
      </c>
      <c r="AD12" s="436" t="n">
        <f aca="false">$D$4+(AD11-1)*7</f>
        <v>46405</v>
      </c>
      <c r="AE12" s="436" t="n">
        <f aca="false">$D$4+(AE11-1)*7</f>
        <v>46412</v>
      </c>
      <c r="AF12" s="436" t="n">
        <f aca="false">$D$4+(AF11-1)*7</f>
        <v>46419</v>
      </c>
      <c r="AG12" s="436" t="n">
        <f aca="false">$D$4+(AG11-1)*7</f>
        <v>46426</v>
      </c>
      <c r="AH12" s="436" t="n">
        <f aca="false">$D$4+(AH11-1)*7</f>
        <v>46433</v>
      </c>
      <c r="AI12" s="436" t="n">
        <f aca="false">$D$4+(AI11-1)*7</f>
        <v>46440</v>
      </c>
      <c r="AJ12" s="436" t="n">
        <f aca="false">$D$4+(AJ11-1)*7</f>
        <v>46447</v>
      </c>
      <c r="AK12" s="436" t="n">
        <f aca="false">$D$4+(AK11-1)*7</f>
        <v>46454</v>
      </c>
      <c r="AL12" s="436" t="n">
        <f aca="false">$D$4+(AL11-1)*7</f>
        <v>46461</v>
      </c>
      <c r="AM12" s="436" t="n">
        <f aca="false">$D$4+(AM11-1)*7</f>
        <v>46468</v>
      </c>
      <c r="AN12" s="436" t="n">
        <f aca="false">$D$4+(AN11-1)*7</f>
        <v>46475</v>
      </c>
      <c r="AO12" s="436" t="n">
        <f aca="false">$D$4+(AO11-1)*7</f>
        <v>46482</v>
      </c>
      <c r="AP12" s="436" t="n">
        <f aca="false">$D$4+(AP11-1)*7</f>
        <v>46489</v>
      </c>
      <c r="AQ12" s="436" t="n">
        <f aca="false">$D$4+(AQ11-1)*7</f>
        <v>46496</v>
      </c>
      <c r="AR12" s="436" t="n">
        <f aca="false">$D$4+(AR11-1)*7</f>
        <v>46503</v>
      </c>
      <c r="AS12" s="436" t="n">
        <f aca="false">$D$4+(AS11-1)*7</f>
        <v>46510</v>
      </c>
      <c r="AT12" s="436" t="n">
        <f aca="false">$D$4+(AT11-1)*7</f>
        <v>46517</v>
      </c>
      <c r="AU12" s="436" t="n">
        <f aca="false">$D$4+(AU11-1)*7</f>
        <v>46524</v>
      </c>
      <c r="AV12" s="436" t="n">
        <f aca="false">$D$4+(AV11-1)*7</f>
        <v>46531</v>
      </c>
      <c r="AW12" s="436" t="n">
        <f aca="false">$D$4+(AW11-1)*7</f>
        <v>46538</v>
      </c>
      <c r="AX12" s="436" t="n">
        <f aca="false">$D$4+(AX11-1)*7</f>
        <v>46545</v>
      </c>
      <c r="AY12" s="436" t="n">
        <f aca="false">$D$4+(AY11-1)*7</f>
        <v>46552</v>
      </c>
      <c r="AZ12" s="436" t="n">
        <f aca="false">$D$4+(AZ11-1)*7</f>
        <v>46559</v>
      </c>
      <c r="BA12" s="436" t="n">
        <f aca="false">$D$4+(BA11-1)*7</f>
        <v>46566</v>
      </c>
      <c r="BB12" s="436" t="n">
        <f aca="false">$D$4+(BB11-1)*7</f>
        <v>46573</v>
      </c>
      <c r="BC12" s="436" t="n">
        <f aca="false">$D$4+(BC11-1)*7</f>
        <v>46580</v>
      </c>
      <c r="BD12" s="436" t="n">
        <f aca="false">$D$4+(BD11-1)*7</f>
        <v>46587</v>
      </c>
      <c r="BE12" s="436" t="n">
        <f aca="false">$D$4+(BE11-1)*7</f>
        <v>46594</v>
      </c>
      <c r="BF12" s="436" t="n">
        <f aca="false">$D$4+(BF11-1)*7</f>
        <v>46601</v>
      </c>
      <c r="BG12" s="436" t="n">
        <f aca="false">$D$4+(BG11-1)*7</f>
        <v>46608</v>
      </c>
      <c r="BH12" s="436" t="n">
        <f aca="false">$D$4+(BH11-1)*7</f>
        <v>46615</v>
      </c>
      <c r="BI12" s="436" t="n">
        <f aca="false">$D$4+(BI11-1)*7</f>
        <v>46622</v>
      </c>
      <c r="BJ12" s="436" t="n">
        <f aca="false">$D$4+(BJ11-1)*7</f>
        <v>46629</v>
      </c>
      <c r="BK12" s="436" t="n">
        <f aca="false">$D$4+(BK11-1)*7</f>
        <v>46636</v>
      </c>
      <c r="BL12" s="436" t="n">
        <f aca="false">$D$4+(BL11-1)*7</f>
        <v>46643</v>
      </c>
      <c r="BM12" s="436" t="n">
        <f aca="false">$D$4+(BM11-1)*7</f>
        <v>46650</v>
      </c>
      <c r="BN12" s="436" t="n">
        <f aca="false">$D$4+(BN11-1)*7</f>
        <v>46657</v>
      </c>
      <c r="BO12" s="436" t="n">
        <f aca="false">$D$4+(BO11-1)*7</f>
        <v>46664</v>
      </c>
      <c r="BP12" s="436" t="n">
        <f aca="false">$D$4+(BP11-1)*7</f>
        <v>46671</v>
      </c>
      <c r="BQ12" s="436" t="n">
        <f aca="false">$D$4+(BQ11-1)*7</f>
        <v>46678</v>
      </c>
      <c r="BR12" s="436" t="n">
        <f aca="false">$D$4+(BR11-1)*7</f>
        <v>46685</v>
      </c>
      <c r="BS12" s="436" t="n">
        <f aca="false">$D$4+(BS11-1)*7</f>
        <v>46692</v>
      </c>
      <c r="BT12" s="436" t="n">
        <f aca="false">$D$4+(BT11-1)*7</f>
        <v>46699</v>
      </c>
      <c r="BU12" s="436" t="n">
        <f aca="false">$D$4+(BU11-1)*7</f>
        <v>46706</v>
      </c>
      <c r="BV12" s="436" t="n">
        <f aca="false">$D$4+(BV11-1)*7</f>
        <v>46713</v>
      </c>
      <c r="BW12" s="436" t="n">
        <f aca="false">$D$4+(BW11-1)*7</f>
        <v>46720</v>
      </c>
      <c r="BX12" s="436" t="n">
        <f aca="false">$D$4+(BX11-1)*7</f>
        <v>46727</v>
      </c>
      <c r="BY12" s="436" t="n">
        <f aca="false">$D$4+(BY11-1)*7</f>
        <v>46734</v>
      </c>
      <c r="BZ12" s="436" t="n">
        <f aca="false">$D$4+(BZ11-1)*7</f>
        <v>46741</v>
      </c>
      <c r="CA12" s="436" t="n">
        <f aca="false">$D$4+(CA11-1)*7</f>
        <v>46748</v>
      </c>
      <c r="CB12" s="436" t="n">
        <f aca="false">$D$4+(CB11-1)*7</f>
        <v>46755</v>
      </c>
      <c r="CC12" s="436" t="n">
        <f aca="false">$D$4+(CC11-1)*7</f>
        <v>46762</v>
      </c>
      <c r="CD12" s="436" t="n">
        <f aca="false">$D$4+(CD11-1)*7</f>
        <v>46769</v>
      </c>
      <c r="CE12" s="436" t="n">
        <f aca="false">$D$4+(CE11-1)*7</f>
        <v>46776</v>
      </c>
      <c r="CF12" s="436" t="n">
        <f aca="false">$D$4+(CF11-1)*7</f>
        <v>46783</v>
      </c>
      <c r="CG12" s="436" t="n">
        <f aca="false">$D$4+(CG11-1)*7</f>
        <v>46790</v>
      </c>
      <c r="CH12" s="436" t="n">
        <f aca="false">$D$4+(CH11-1)*7</f>
        <v>46797</v>
      </c>
      <c r="CI12" s="436" t="n">
        <f aca="false">$D$4+(CI11-1)*7</f>
        <v>46804</v>
      </c>
      <c r="CJ12" s="436" t="n">
        <f aca="false">$D$4+(CJ11-1)*7</f>
        <v>46811</v>
      </c>
      <c r="CK12" s="436" t="n">
        <f aca="false">$D$4+(CK11-1)*7</f>
        <v>46818</v>
      </c>
      <c r="CL12" s="436" t="n">
        <f aca="false">$D$4+(CL11-1)*7</f>
        <v>46825</v>
      </c>
      <c r="CM12" s="436" t="n">
        <f aca="false">$D$4+(CM11-1)*7</f>
        <v>46832</v>
      </c>
      <c r="CN12" s="436" t="n">
        <f aca="false">$D$4+(CN11-1)*7</f>
        <v>46839</v>
      </c>
      <c r="CO12" s="436" t="n">
        <f aca="false">$D$4+(CO11-1)*7</f>
        <v>46846</v>
      </c>
      <c r="CP12" s="436" t="n">
        <f aca="false">$D$4+(CP11-1)*7</f>
        <v>46853</v>
      </c>
      <c r="CQ12" s="436" t="n">
        <f aca="false">$D$4+(CQ11-1)*7</f>
        <v>46860</v>
      </c>
      <c r="CR12" s="436" t="n">
        <f aca="false">$D$4+(CR11-1)*7</f>
        <v>46867</v>
      </c>
      <c r="CS12" s="436" t="n">
        <f aca="false">$D$4+(CS11-1)*7</f>
        <v>46874</v>
      </c>
      <c r="CT12" s="436" t="n">
        <f aca="false">$D$4+(CT11-1)*7</f>
        <v>46881</v>
      </c>
      <c r="CU12" s="436" t="n">
        <f aca="false">$D$4+(CU11-1)*7</f>
        <v>46888</v>
      </c>
      <c r="CV12" s="436" t="n">
        <f aca="false">$D$4+(CV11-1)*7</f>
        <v>46895</v>
      </c>
      <c r="CW12" s="436" t="n">
        <f aca="false">$D$4+(CW11-1)*7</f>
        <v>46902</v>
      </c>
      <c r="CX12" s="436" t="n">
        <f aca="false">$D$4+(CX11-1)*7</f>
        <v>46909</v>
      </c>
      <c r="CY12" s="436" t="n">
        <f aca="false">$D$4+(CY11-1)*7</f>
        <v>46916</v>
      </c>
      <c r="CZ12" s="436" t="n">
        <f aca="false">$D$4+(CZ11-1)*7</f>
        <v>46923</v>
      </c>
      <c r="DA12" s="436" t="n">
        <f aca="false">$D$4+(DA11-1)*7</f>
        <v>46930</v>
      </c>
      <c r="DB12" s="436" t="n">
        <f aca="false">$D$4+(DB11-1)*7</f>
        <v>46937</v>
      </c>
      <c r="DC12" s="436" t="n">
        <f aca="false">$D$4+(DC11-1)*7</f>
        <v>46944</v>
      </c>
      <c r="DD12" s="436" t="n">
        <f aca="false">$D$4+(DD11-1)*7</f>
        <v>46951</v>
      </c>
      <c r="DE12" s="436" t="n">
        <f aca="false">$D$4+(DE11-1)*7</f>
        <v>46958</v>
      </c>
      <c r="DF12" s="436" t="n">
        <f aca="false">$D$4+(DF11-1)*7</f>
        <v>46965</v>
      </c>
      <c r="DG12" s="436" t="n">
        <f aca="false">$D$4+(DG11-1)*7</f>
        <v>46972</v>
      </c>
      <c r="DH12" s="436" t="n">
        <f aca="false">$D$4+(DH11-1)*7</f>
        <v>46979</v>
      </c>
      <c r="DI12" s="436" t="n">
        <f aca="false">$D$4+(DI11-1)*7</f>
        <v>46986</v>
      </c>
      <c r="DJ12" s="436" t="n">
        <f aca="false">$D$4+(DJ11-1)*7</f>
        <v>46993</v>
      </c>
      <c r="DK12" s="436" t="n">
        <f aca="false">$D$4+(DK11-1)*7</f>
        <v>47000</v>
      </c>
      <c r="DL12" s="436" t="n">
        <f aca="false">$D$4+(DL11-1)*7</f>
        <v>47007</v>
      </c>
      <c r="DM12" s="436" t="n">
        <f aca="false">$D$4+(DM11-1)*7</f>
        <v>47014</v>
      </c>
      <c r="DN12" s="436" t="n">
        <f aca="false">$D$4+(DN11-1)*7</f>
        <v>47021</v>
      </c>
      <c r="DO12" s="436" t="n">
        <f aca="false">$D$4+(DO11-1)*7</f>
        <v>47028</v>
      </c>
      <c r="DP12" s="436" t="n">
        <f aca="false">$D$4+(DP11-1)*7</f>
        <v>47035</v>
      </c>
      <c r="DQ12" s="436" t="n">
        <f aca="false">$D$4+(DQ11-1)*7</f>
        <v>47042</v>
      </c>
      <c r="DR12" s="436" t="n">
        <f aca="false">$D$4+(DR11-1)*7</f>
        <v>47049</v>
      </c>
      <c r="DS12" s="436" t="n">
        <f aca="false">$D$4+(DS11-1)*7</f>
        <v>47056</v>
      </c>
      <c r="DT12" s="436" t="n">
        <f aca="false">$D$4+(DT11-1)*7</f>
        <v>47063</v>
      </c>
      <c r="DU12" s="436" t="n">
        <f aca="false">$D$4+(DU11-1)*7</f>
        <v>47070</v>
      </c>
      <c r="DV12" s="436" t="n">
        <f aca="false">$D$4+(DV11-1)*7</f>
        <v>47077</v>
      </c>
      <c r="DW12" s="436" t="n">
        <f aca="false">$D$4+(DW11-1)*7</f>
        <v>47084</v>
      </c>
      <c r="DX12" s="436" t="n">
        <f aca="false">$D$4+(DX11-1)*7</f>
        <v>47091</v>
      </c>
      <c r="DY12" s="436" t="n">
        <f aca="false">$D$4+(DY11-1)*7</f>
        <v>47098</v>
      </c>
      <c r="DZ12" s="436" t="n">
        <f aca="false">$D$4+(DZ11-1)*7</f>
        <v>47105</v>
      </c>
      <c r="EA12" s="436" t="n">
        <f aca="false">$D$4+(EA11-1)*7</f>
        <v>47112</v>
      </c>
      <c r="EB12" s="436" t="n">
        <f aca="false">$D$4+(EB11-1)*7</f>
        <v>47119</v>
      </c>
      <c r="EC12" s="436" t="n">
        <f aca="false">$D$4+(EC11-1)*7</f>
        <v>47126</v>
      </c>
      <c r="ED12" s="436" t="n">
        <f aca="false">$D$4+(ED11-1)*7</f>
        <v>47133</v>
      </c>
    </row>
    <row r="13" customFormat="false" ht="30" hidden="false" customHeight="true" outlineLevel="0" collapsed="false">
      <c r="A13" s="437" t="s">
        <v>2419</v>
      </c>
      <c r="B13" s="437" t="s">
        <v>2420</v>
      </c>
      <c r="C13" s="437" t="s">
        <v>2100</v>
      </c>
      <c r="D13" s="437" t="s">
        <v>2421</v>
      </c>
      <c r="E13" s="438" t="s">
        <v>2422</v>
      </c>
      <c r="F13" s="438" t="s">
        <v>2423</v>
      </c>
      <c r="G13" s="438" t="s">
        <v>2424</v>
      </c>
      <c r="H13" s="438" t="s">
        <v>2425</v>
      </c>
      <c r="I13" s="438" t="s">
        <v>2426</v>
      </c>
      <c r="J13" s="438" t="s">
        <v>2427</v>
      </c>
      <c r="K13" s="438" t="s">
        <v>2428</v>
      </c>
      <c r="L13" s="438" t="s">
        <v>2429</v>
      </c>
      <c r="M13" s="438" t="s">
        <v>2430</v>
      </c>
      <c r="N13" s="438" t="s">
        <v>2431</v>
      </c>
    </row>
    <row r="14" customFormat="false" ht="15" hidden="false" customHeight="true" outlineLevel="0" collapsed="false">
      <c r="A14" s="439"/>
      <c r="B14" s="440" t="s">
        <v>2432</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C14" s="126"/>
      <c r="DD14" s="126"/>
      <c r="DE14" s="126"/>
      <c r="DF14" s="126"/>
      <c r="DG14" s="126"/>
      <c r="DH14" s="126"/>
      <c r="DI14" s="126"/>
      <c r="DJ14" s="126"/>
      <c r="DK14" s="126"/>
      <c r="DL14" s="126"/>
      <c r="DM14" s="126"/>
      <c r="DN14" s="126"/>
      <c r="DO14" s="126"/>
      <c r="DP14" s="126"/>
      <c r="DQ14" s="126"/>
      <c r="DR14" s="126"/>
      <c r="DS14" s="126"/>
      <c r="DT14" s="126"/>
      <c r="DU14" s="126"/>
      <c r="DV14" s="126"/>
      <c r="DW14" s="126"/>
      <c r="DX14" s="126"/>
      <c r="DY14" s="126"/>
      <c r="DZ14" s="126"/>
      <c r="EA14" s="126"/>
      <c r="EB14" s="126"/>
      <c r="EC14" s="126"/>
      <c r="ED14" s="126"/>
    </row>
    <row r="15" customFormat="false" ht="15" hidden="false" customHeight="true" outlineLevel="0" collapsed="false">
      <c r="A15" s="441" t="s">
        <v>2433</v>
      </c>
      <c r="B15" s="297" t="s">
        <v>2434</v>
      </c>
      <c r="C15" s="442" t="s">
        <v>2435</v>
      </c>
      <c r="D15" s="443" t="s">
        <v>2436</v>
      </c>
      <c r="E15" s="354" t="n">
        <f aca="false">1</f>
        <v>1</v>
      </c>
      <c r="F15" s="352" t="n">
        <v>0</v>
      </c>
      <c r="G15" s="352" t="n">
        <v>2</v>
      </c>
      <c r="H15" s="367" t="n">
        <f aca="false">MAX(1,ROUND(($E15-1)*$D$5,0)+1+$F15)</f>
        <v>1</v>
      </c>
      <c r="I15" s="367" t="n">
        <f aca="false">MAX($H15,$H15+$G15-1)</f>
        <v>2</v>
      </c>
      <c r="J15" s="444" t="n">
        <f aca="false">$D$4+($H15-1)*7</f>
        <v>46300</v>
      </c>
      <c r="K15" s="444" t="n">
        <f aca="false">$D$4+$I15*7-1</f>
        <v>46313</v>
      </c>
      <c r="L15" s="445" t="n">
        <f aca="false">ROUNDUP($H15/$D$5,0)</f>
        <v>1</v>
      </c>
      <c r="M15" s="446"/>
      <c r="N15" s="447" t="n">
        <v>0</v>
      </c>
      <c r="O15" s="448" t="n">
        <f aca="false">IF($G15=0,IF(O$11=$H15,"◆",""),IF(AND(O$11&gt;=$H15,O$11&lt;=$I15),1,""))</f>
        <v>1</v>
      </c>
      <c r="P15" s="448" t="n">
        <f aca="false">IF($G15=0,IF(P$11=$H15,"◆",""),IF(AND(P$11&gt;=$H15,P$11&lt;=$I15),1,""))</f>
        <v>1</v>
      </c>
      <c r="Q15" s="448" t="str">
        <f aca="false">IF($G15=0,IF(Q$11=$H15,"◆",""),IF(AND(Q$11&gt;=$H15,Q$11&lt;=$I15),1,""))</f>
        <v/>
      </c>
      <c r="R15" s="448" t="str">
        <f aca="false">IF($G15=0,IF(R$11=$H15,"◆",""),IF(AND(R$11&gt;=$H15,R$11&lt;=$I15),1,""))</f>
        <v/>
      </c>
      <c r="S15" s="448" t="str">
        <f aca="false">IF($G15=0,IF(S$11=$H15,"◆",""),IF(AND(S$11&gt;=$H15,S$11&lt;=$I15),1,""))</f>
        <v/>
      </c>
      <c r="T15" s="448" t="str">
        <f aca="false">IF($G15=0,IF(T$11=$H15,"◆",""),IF(AND(T$11&gt;=$H15,T$11&lt;=$I15),1,""))</f>
        <v/>
      </c>
      <c r="U15" s="448" t="str">
        <f aca="false">IF($G15=0,IF(U$11=$H15,"◆",""),IF(AND(U$11&gt;=$H15,U$11&lt;=$I15),1,""))</f>
        <v/>
      </c>
      <c r="V15" s="448" t="str">
        <f aca="false">IF($G15=0,IF(V$11=$H15,"◆",""),IF(AND(V$11&gt;=$H15,V$11&lt;=$I15),1,""))</f>
        <v/>
      </c>
      <c r="W15" s="448" t="str">
        <f aca="false">IF($G15=0,IF(W$11=$H15,"◆",""),IF(AND(W$11&gt;=$H15,W$11&lt;=$I15),1,""))</f>
        <v/>
      </c>
      <c r="X15" s="448" t="str">
        <f aca="false">IF($G15=0,IF(X$11=$H15,"◆",""),IF(AND(X$11&gt;=$H15,X$11&lt;=$I15),1,""))</f>
        <v/>
      </c>
      <c r="Y15" s="448" t="str">
        <f aca="false">IF($G15=0,IF(Y$11=$H15,"◆",""),IF(AND(Y$11&gt;=$H15,Y$11&lt;=$I15),1,""))</f>
        <v/>
      </c>
      <c r="Z15" s="448" t="str">
        <f aca="false">IF($G15=0,IF(Z$11=$H15,"◆",""),IF(AND(Z$11&gt;=$H15,Z$11&lt;=$I15),1,""))</f>
        <v/>
      </c>
      <c r="AA15" s="448" t="str">
        <f aca="false">IF($G15=0,IF(AA$11=$H15,"◆",""),IF(AND(AA$11&gt;=$H15,AA$11&lt;=$I15),1,""))</f>
        <v/>
      </c>
      <c r="AB15" s="448" t="str">
        <f aca="false">IF($G15=0,IF(AB$11=$H15,"◆",""),IF(AND(AB$11&gt;=$H15,AB$11&lt;=$I15),1,""))</f>
        <v/>
      </c>
      <c r="AC15" s="448" t="str">
        <f aca="false">IF($G15=0,IF(AC$11=$H15,"◆",""),IF(AND(AC$11&gt;=$H15,AC$11&lt;=$I15),1,""))</f>
        <v/>
      </c>
      <c r="AD15" s="448" t="str">
        <f aca="false">IF($G15=0,IF(AD$11=$H15,"◆",""),IF(AND(AD$11&gt;=$H15,AD$11&lt;=$I15),1,""))</f>
        <v/>
      </c>
      <c r="AE15" s="448" t="str">
        <f aca="false">IF($G15=0,IF(AE$11=$H15,"◆",""),IF(AND(AE$11&gt;=$H15,AE$11&lt;=$I15),1,""))</f>
        <v/>
      </c>
      <c r="AF15" s="448" t="str">
        <f aca="false">IF($G15=0,IF(AF$11=$H15,"◆",""),IF(AND(AF$11&gt;=$H15,AF$11&lt;=$I15),1,""))</f>
        <v/>
      </c>
      <c r="AG15" s="448" t="str">
        <f aca="false">IF($G15=0,IF(AG$11=$H15,"◆",""),IF(AND(AG$11&gt;=$H15,AG$11&lt;=$I15),1,""))</f>
        <v/>
      </c>
      <c r="AH15" s="448" t="str">
        <f aca="false">IF($G15=0,IF(AH$11=$H15,"◆",""),IF(AND(AH$11&gt;=$H15,AH$11&lt;=$I15),1,""))</f>
        <v/>
      </c>
      <c r="AI15" s="448" t="str">
        <f aca="false">IF($G15=0,IF(AI$11=$H15,"◆",""),IF(AND(AI$11&gt;=$H15,AI$11&lt;=$I15),1,""))</f>
        <v/>
      </c>
      <c r="AJ15" s="448" t="str">
        <f aca="false">IF($G15=0,IF(AJ$11=$H15,"◆",""),IF(AND(AJ$11&gt;=$H15,AJ$11&lt;=$I15),1,""))</f>
        <v/>
      </c>
      <c r="AK15" s="448" t="str">
        <f aca="false">IF($G15=0,IF(AK$11=$H15,"◆",""),IF(AND(AK$11&gt;=$H15,AK$11&lt;=$I15),1,""))</f>
        <v/>
      </c>
      <c r="AL15" s="448" t="str">
        <f aca="false">IF($G15=0,IF(AL$11=$H15,"◆",""),IF(AND(AL$11&gt;=$H15,AL$11&lt;=$I15),1,""))</f>
        <v/>
      </c>
      <c r="AM15" s="448" t="str">
        <f aca="false">IF($G15=0,IF(AM$11=$H15,"◆",""),IF(AND(AM$11&gt;=$H15,AM$11&lt;=$I15),1,""))</f>
        <v/>
      </c>
      <c r="AN15" s="448" t="str">
        <f aca="false">IF($G15=0,IF(AN$11=$H15,"◆",""),IF(AND(AN$11&gt;=$H15,AN$11&lt;=$I15),1,""))</f>
        <v/>
      </c>
      <c r="AO15" s="448" t="str">
        <f aca="false">IF($G15=0,IF(AO$11=$H15,"◆",""),IF(AND(AO$11&gt;=$H15,AO$11&lt;=$I15),1,""))</f>
        <v/>
      </c>
      <c r="AP15" s="448" t="str">
        <f aca="false">IF($G15=0,IF(AP$11=$H15,"◆",""),IF(AND(AP$11&gt;=$H15,AP$11&lt;=$I15),1,""))</f>
        <v/>
      </c>
      <c r="AQ15" s="448" t="str">
        <f aca="false">IF($G15=0,IF(AQ$11=$H15,"◆",""),IF(AND(AQ$11&gt;=$H15,AQ$11&lt;=$I15),1,""))</f>
        <v/>
      </c>
      <c r="AR15" s="448" t="str">
        <f aca="false">IF($G15=0,IF(AR$11=$H15,"◆",""),IF(AND(AR$11&gt;=$H15,AR$11&lt;=$I15),1,""))</f>
        <v/>
      </c>
      <c r="AS15" s="448" t="str">
        <f aca="false">IF($G15=0,IF(AS$11=$H15,"◆",""),IF(AND(AS$11&gt;=$H15,AS$11&lt;=$I15),1,""))</f>
        <v/>
      </c>
      <c r="AT15" s="448" t="str">
        <f aca="false">IF($G15=0,IF(AT$11=$H15,"◆",""),IF(AND(AT$11&gt;=$H15,AT$11&lt;=$I15),1,""))</f>
        <v/>
      </c>
      <c r="AU15" s="448" t="str">
        <f aca="false">IF($G15=0,IF(AU$11=$H15,"◆",""),IF(AND(AU$11&gt;=$H15,AU$11&lt;=$I15),1,""))</f>
        <v/>
      </c>
      <c r="AV15" s="448" t="str">
        <f aca="false">IF($G15=0,IF(AV$11=$H15,"◆",""),IF(AND(AV$11&gt;=$H15,AV$11&lt;=$I15),1,""))</f>
        <v/>
      </c>
      <c r="AW15" s="448" t="str">
        <f aca="false">IF($G15=0,IF(AW$11=$H15,"◆",""),IF(AND(AW$11&gt;=$H15,AW$11&lt;=$I15),1,""))</f>
        <v/>
      </c>
      <c r="AX15" s="448" t="str">
        <f aca="false">IF($G15=0,IF(AX$11=$H15,"◆",""),IF(AND(AX$11&gt;=$H15,AX$11&lt;=$I15),1,""))</f>
        <v/>
      </c>
      <c r="AY15" s="448" t="str">
        <f aca="false">IF($G15=0,IF(AY$11=$H15,"◆",""),IF(AND(AY$11&gt;=$H15,AY$11&lt;=$I15),1,""))</f>
        <v/>
      </c>
      <c r="AZ15" s="448" t="str">
        <f aca="false">IF($G15=0,IF(AZ$11=$H15,"◆",""),IF(AND(AZ$11&gt;=$H15,AZ$11&lt;=$I15),1,""))</f>
        <v/>
      </c>
      <c r="BA15" s="448" t="str">
        <f aca="false">IF($G15=0,IF(BA$11=$H15,"◆",""),IF(AND(BA$11&gt;=$H15,BA$11&lt;=$I15),1,""))</f>
        <v/>
      </c>
      <c r="BB15" s="448" t="str">
        <f aca="false">IF($G15=0,IF(BB$11=$H15,"◆",""),IF(AND(BB$11&gt;=$H15,BB$11&lt;=$I15),1,""))</f>
        <v/>
      </c>
      <c r="BC15" s="448" t="str">
        <f aca="false">IF($G15=0,IF(BC$11=$H15,"◆",""),IF(AND(BC$11&gt;=$H15,BC$11&lt;=$I15),1,""))</f>
        <v/>
      </c>
      <c r="BD15" s="448" t="str">
        <f aca="false">IF($G15=0,IF(BD$11=$H15,"◆",""),IF(AND(BD$11&gt;=$H15,BD$11&lt;=$I15),1,""))</f>
        <v/>
      </c>
      <c r="BE15" s="448" t="str">
        <f aca="false">IF($G15=0,IF(BE$11=$H15,"◆",""),IF(AND(BE$11&gt;=$H15,BE$11&lt;=$I15),1,""))</f>
        <v/>
      </c>
      <c r="BF15" s="448" t="str">
        <f aca="false">IF($G15=0,IF(BF$11=$H15,"◆",""),IF(AND(BF$11&gt;=$H15,BF$11&lt;=$I15),1,""))</f>
        <v/>
      </c>
      <c r="BG15" s="448" t="str">
        <f aca="false">IF($G15=0,IF(BG$11=$H15,"◆",""),IF(AND(BG$11&gt;=$H15,BG$11&lt;=$I15),1,""))</f>
        <v/>
      </c>
      <c r="BH15" s="448" t="str">
        <f aca="false">IF($G15=0,IF(BH$11=$H15,"◆",""),IF(AND(BH$11&gt;=$H15,BH$11&lt;=$I15),1,""))</f>
        <v/>
      </c>
      <c r="BI15" s="448" t="str">
        <f aca="false">IF($G15=0,IF(BI$11=$H15,"◆",""),IF(AND(BI$11&gt;=$H15,BI$11&lt;=$I15),1,""))</f>
        <v/>
      </c>
      <c r="BJ15" s="448" t="str">
        <f aca="false">IF($G15=0,IF(BJ$11=$H15,"◆",""),IF(AND(BJ$11&gt;=$H15,BJ$11&lt;=$I15),1,""))</f>
        <v/>
      </c>
      <c r="BK15" s="448" t="str">
        <f aca="false">IF($G15=0,IF(BK$11=$H15,"◆",""),IF(AND(BK$11&gt;=$H15,BK$11&lt;=$I15),1,""))</f>
        <v/>
      </c>
      <c r="BL15" s="448" t="str">
        <f aca="false">IF($G15=0,IF(BL$11=$H15,"◆",""),IF(AND(BL$11&gt;=$H15,BL$11&lt;=$I15),1,""))</f>
        <v/>
      </c>
      <c r="BM15" s="448" t="str">
        <f aca="false">IF($G15=0,IF(BM$11=$H15,"◆",""),IF(AND(BM$11&gt;=$H15,BM$11&lt;=$I15),1,""))</f>
        <v/>
      </c>
      <c r="BN15" s="448" t="str">
        <f aca="false">IF($G15=0,IF(BN$11=$H15,"◆",""),IF(AND(BN$11&gt;=$H15,BN$11&lt;=$I15),1,""))</f>
        <v/>
      </c>
      <c r="BO15" s="448" t="str">
        <f aca="false">IF($G15=0,IF(BO$11=$H15,"◆",""),IF(AND(BO$11&gt;=$H15,BO$11&lt;=$I15),1,""))</f>
        <v/>
      </c>
      <c r="BP15" s="448" t="str">
        <f aca="false">IF($G15=0,IF(BP$11=$H15,"◆",""),IF(AND(BP$11&gt;=$H15,BP$11&lt;=$I15),1,""))</f>
        <v/>
      </c>
      <c r="BQ15" s="448" t="str">
        <f aca="false">IF($G15=0,IF(BQ$11=$H15,"◆",""),IF(AND(BQ$11&gt;=$H15,BQ$11&lt;=$I15),1,""))</f>
        <v/>
      </c>
      <c r="BR15" s="448" t="str">
        <f aca="false">IF($G15=0,IF(BR$11=$H15,"◆",""),IF(AND(BR$11&gt;=$H15,BR$11&lt;=$I15),1,""))</f>
        <v/>
      </c>
      <c r="BS15" s="448" t="str">
        <f aca="false">IF($G15=0,IF(BS$11=$H15,"◆",""),IF(AND(BS$11&gt;=$H15,BS$11&lt;=$I15),1,""))</f>
        <v/>
      </c>
      <c r="BT15" s="448" t="str">
        <f aca="false">IF($G15=0,IF(BT$11=$H15,"◆",""),IF(AND(BT$11&gt;=$H15,BT$11&lt;=$I15),1,""))</f>
        <v/>
      </c>
      <c r="BU15" s="448" t="str">
        <f aca="false">IF($G15=0,IF(BU$11=$H15,"◆",""),IF(AND(BU$11&gt;=$H15,BU$11&lt;=$I15),1,""))</f>
        <v/>
      </c>
      <c r="BV15" s="448" t="str">
        <f aca="false">IF($G15=0,IF(BV$11=$H15,"◆",""),IF(AND(BV$11&gt;=$H15,BV$11&lt;=$I15),1,""))</f>
        <v/>
      </c>
      <c r="BW15" s="448" t="str">
        <f aca="false">IF($G15=0,IF(BW$11=$H15,"◆",""),IF(AND(BW$11&gt;=$H15,BW$11&lt;=$I15),1,""))</f>
        <v/>
      </c>
      <c r="BX15" s="448" t="str">
        <f aca="false">IF($G15=0,IF(BX$11=$H15,"◆",""),IF(AND(BX$11&gt;=$H15,BX$11&lt;=$I15),1,""))</f>
        <v/>
      </c>
      <c r="BY15" s="448" t="str">
        <f aca="false">IF($G15=0,IF(BY$11=$H15,"◆",""),IF(AND(BY$11&gt;=$H15,BY$11&lt;=$I15),1,""))</f>
        <v/>
      </c>
      <c r="BZ15" s="448" t="str">
        <f aca="false">IF($G15=0,IF(BZ$11=$H15,"◆",""),IF(AND(BZ$11&gt;=$H15,BZ$11&lt;=$I15),1,""))</f>
        <v/>
      </c>
      <c r="CA15" s="448" t="str">
        <f aca="false">IF($G15=0,IF(CA$11=$H15,"◆",""),IF(AND(CA$11&gt;=$H15,CA$11&lt;=$I15),1,""))</f>
        <v/>
      </c>
      <c r="CB15" s="448" t="str">
        <f aca="false">IF($G15=0,IF(CB$11=$H15,"◆",""),IF(AND(CB$11&gt;=$H15,CB$11&lt;=$I15),1,""))</f>
        <v/>
      </c>
      <c r="CC15" s="448" t="str">
        <f aca="false">IF($G15=0,IF(CC$11=$H15,"◆",""),IF(AND(CC$11&gt;=$H15,CC$11&lt;=$I15),1,""))</f>
        <v/>
      </c>
      <c r="CD15" s="448" t="str">
        <f aca="false">IF($G15=0,IF(CD$11=$H15,"◆",""),IF(AND(CD$11&gt;=$H15,CD$11&lt;=$I15),1,""))</f>
        <v/>
      </c>
      <c r="CE15" s="448" t="str">
        <f aca="false">IF($G15=0,IF(CE$11=$H15,"◆",""),IF(AND(CE$11&gt;=$H15,CE$11&lt;=$I15),1,""))</f>
        <v/>
      </c>
      <c r="CF15" s="448" t="str">
        <f aca="false">IF($G15=0,IF(CF$11=$H15,"◆",""),IF(AND(CF$11&gt;=$H15,CF$11&lt;=$I15),1,""))</f>
        <v/>
      </c>
      <c r="CG15" s="448" t="str">
        <f aca="false">IF($G15=0,IF(CG$11=$H15,"◆",""),IF(AND(CG$11&gt;=$H15,CG$11&lt;=$I15),1,""))</f>
        <v/>
      </c>
      <c r="CH15" s="448" t="str">
        <f aca="false">IF($G15=0,IF(CH$11=$H15,"◆",""),IF(AND(CH$11&gt;=$H15,CH$11&lt;=$I15),1,""))</f>
        <v/>
      </c>
      <c r="CI15" s="448" t="str">
        <f aca="false">IF($G15=0,IF(CI$11=$H15,"◆",""),IF(AND(CI$11&gt;=$H15,CI$11&lt;=$I15),1,""))</f>
        <v/>
      </c>
      <c r="CJ15" s="448" t="str">
        <f aca="false">IF($G15=0,IF(CJ$11=$H15,"◆",""),IF(AND(CJ$11&gt;=$H15,CJ$11&lt;=$I15),1,""))</f>
        <v/>
      </c>
      <c r="CK15" s="448" t="str">
        <f aca="false">IF($G15=0,IF(CK$11=$H15,"◆",""),IF(AND(CK$11&gt;=$H15,CK$11&lt;=$I15),1,""))</f>
        <v/>
      </c>
      <c r="CL15" s="448" t="str">
        <f aca="false">IF($G15=0,IF(CL$11=$H15,"◆",""),IF(AND(CL$11&gt;=$H15,CL$11&lt;=$I15),1,""))</f>
        <v/>
      </c>
      <c r="CM15" s="448" t="str">
        <f aca="false">IF($G15=0,IF(CM$11=$H15,"◆",""),IF(AND(CM$11&gt;=$H15,CM$11&lt;=$I15),1,""))</f>
        <v/>
      </c>
      <c r="CN15" s="448" t="str">
        <f aca="false">IF($G15=0,IF(CN$11=$H15,"◆",""),IF(AND(CN$11&gt;=$H15,CN$11&lt;=$I15),1,""))</f>
        <v/>
      </c>
      <c r="CO15" s="448" t="str">
        <f aca="false">IF($G15=0,IF(CO$11=$H15,"◆",""),IF(AND(CO$11&gt;=$H15,CO$11&lt;=$I15),1,""))</f>
        <v/>
      </c>
      <c r="CP15" s="448" t="str">
        <f aca="false">IF($G15=0,IF(CP$11=$H15,"◆",""),IF(AND(CP$11&gt;=$H15,CP$11&lt;=$I15),1,""))</f>
        <v/>
      </c>
      <c r="CQ15" s="448" t="str">
        <f aca="false">IF($G15=0,IF(CQ$11=$H15,"◆",""),IF(AND(CQ$11&gt;=$H15,CQ$11&lt;=$I15),1,""))</f>
        <v/>
      </c>
      <c r="CR15" s="448" t="str">
        <f aca="false">IF($G15=0,IF(CR$11=$H15,"◆",""),IF(AND(CR$11&gt;=$H15,CR$11&lt;=$I15),1,""))</f>
        <v/>
      </c>
      <c r="CS15" s="448" t="str">
        <f aca="false">IF($G15=0,IF(CS$11=$H15,"◆",""),IF(AND(CS$11&gt;=$H15,CS$11&lt;=$I15),1,""))</f>
        <v/>
      </c>
      <c r="CT15" s="448" t="str">
        <f aca="false">IF($G15=0,IF(CT$11=$H15,"◆",""),IF(AND(CT$11&gt;=$H15,CT$11&lt;=$I15),1,""))</f>
        <v/>
      </c>
      <c r="CU15" s="448" t="str">
        <f aca="false">IF($G15=0,IF(CU$11=$H15,"◆",""),IF(AND(CU$11&gt;=$H15,CU$11&lt;=$I15),1,""))</f>
        <v/>
      </c>
      <c r="CV15" s="448" t="str">
        <f aca="false">IF($G15=0,IF(CV$11=$H15,"◆",""),IF(AND(CV$11&gt;=$H15,CV$11&lt;=$I15),1,""))</f>
        <v/>
      </c>
      <c r="CW15" s="448" t="str">
        <f aca="false">IF($G15=0,IF(CW$11=$H15,"◆",""),IF(AND(CW$11&gt;=$H15,CW$11&lt;=$I15),1,""))</f>
        <v/>
      </c>
      <c r="CX15" s="448" t="str">
        <f aca="false">IF($G15=0,IF(CX$11=$H15,"◆",""),IF(AND(CX$11&gt;=$H15,CX$11&lt;=$I15),1,""))</f>
        <v/>
      </c>
      <c r="CY15" s="448" t="str">
        <f aca="false">IF($G15=0,IF(CY$11=$H15,"◆",""),IF(AND(CY$11&gt;=$H15,CY$11&lt;=$I15),1,""))</f>
        <v/>
      </c>
      <c r="CZ15" s="448" t="str">
        <f aca="false">IF($G15=0,IF(CZ$11=$H15,"◆",""),IF(AND(CZ$11&gt;=$H15,CZ$11&lt;=$I15),1,""))</f>
        <v/>
      </c>
      <c r="DA15" s="448" t="str">
        <f aca="false">IF($G15=0,IF(DA$11=$H15,"◆",""),IF(AND(DA$11&gt;=$H15,DA$11&lt;=$I15),1,""))</f>
        <v/>
      </c>
      <c r="DB15" s="448" t="str">
        <f aca="false">IF($G15=0,IF(DB$11=$H15,"◆",""),IF(AND(DB$11&gt;=$H15,DB$11&lt;=$I15),1,""))</f>
        <v/>
      </c>
      <c r="DC15" s="448" t="str">
        <f aca="false">IF($G15=0,IF(DC$11=$H15,"◆",""),IF(AND(DC$11&gt;=$H15,DC$11&lt;=$I15),1,""))</f>
        <v/>
      </c>
      <c r="DD15" s="448" t="str">
        <f aca="false">IF($G15=0,IF(DD$11=$H15,"◆",""),IF(AND(DD$11&gt;=$H15,DD$11&lt;=$I15),1,""))</f>
        <v/>
      </c>
      <c r="DE15" s="448" t="str">
        <f aca="false">IF($G15=0,IF(DE$11=$H15,"◆",""),IF(AND(DE$11&gt;=$H15,DE$11&lt;=$I15),1,""))</f>
        <v/>
      </c>
      <c r="DF15" s="448" t="str">
        <f aca="false">IF($G15=0,IF(DF$11=$H15,"◆",""),IF(AND(DF$11&gt;=$H15,DF$11&lt;=$I15),1,""))</f>
        <v/>
      </c>
      <c r="DG15" s="448" t="str">
        <f aca="false">IF($G15=0,IF(DG$11=$H15,"◆",""),IF(AND(DG$11&gt;=$H15,DG$11&lt;=$I15),1,""))</f>
        <v/>
      </c>
      <c r="DH15" s="448" t="str">
        <f aca="false">IF($G15=0,IF(DH$11=$H15,"◆",""),IF(AND(DH$11&gt;=$H15,DH$11&lt;=$I15),1,""))</f>
        <v/>
      </c>
      <c r="DI15" s="448" t="str">
        <f aca="false">IF($G15=0,IF(DI$11=$H15,"◆",""),IF(AND(DI$11&gt;=$H15,DI$11&lt;=$I15),1,""))</f>
        <v/>
      </c>
      <c r="DJ15" s="448" t="str">
        <f aca="false">IF($G15=0,IF(DJ$11=$H15,"◆",""),IF(AND(DJ$11&gt;=$H15,DJ$11&lt;=$I15),1,""))</f>
        <v/>
      </c>
      <c r="DK15" s="448" t="str">
        <f aca="false">IF($G15=0,IF(DK$11=$H15,"◆",""),IF(AND(DK$11&gt;=$H15,DK$11&lt;=$I15),1,""))</f>
        <v/>
      </c>
      <c r="DL15" s="448" t="str">
        <f aca="false">IF($G15=0,IF(DL$11=$H15,"◆",""),IF(AND(DL$11&gt;=$H15,DL$11&lt;=$I15),1,""))</f>
        <v/>
      </c>
      <c r="DM15" s="448" t="str">
        <f aca="false">IF($G15=0,IF(DM$11=$H15,"◆",""),IF(AND(DM$11&gt;=$H15,DM$11&lt;=$I15),1,""))</f>
        <v/>
      </c>
      <c r="DN15" s="448" t="str">
        <f aca="false">IF($G15=0,IF(DN$11=$H15,"◆",""),IF(AND(DN$11&gt;=$H15,DN$11&lt;=$I15),1,""))</f>
        <v/>
      </c>
      <c r="DO15" s="448" t="str">
        <f aca="false">IF($G15=0,IF(DO$11=$H15,"◆",""),IF(AND(DO$11&gt;=$H15,DO$11&lt;=$I15),1,""))</f>
        <v/>
      </c>
      <c r="DP15" s="448" t="str">
        <f aca="false">IF($G15=0,IF(DP$11=$H15,"◆",""),IF(AND(DP$11&gt;=$H15,DP$11&lt;=$I15),1,""))</f>
        <v/>
      </c>
      <c r="DQ15" s="448" t="str">
        <f aca="false">IF($G15=0,IF(DQ$11=$H15,"◆",""),IF(AND(DQ$11&gt;=$H15,DQ$11&lt;=$I15),1,""))</f>
        <v/>
      </c>
      <c r="DR15" s="448" t="str">
        <f aca="false">IF($G15=0,IF(DR$11=$H15,"◆",""),IF(AND(DR$11&gt;=$H15,DR$11&lt;=$I15),1,""))</f>
        <v/>
      </c>
      <c r="DS15" s="448" t="str">
        <f aca="false">IF($G15=0,IF(DS$11=$H15,"◆",""),IF(AND(DS$11&gt;=$H15,DS$11&lt;=$I15),1,""))</f>
        <v/>
      </c>
      <c r="DT15" s="448" t="str">
        <f aca="false">IF($G15=0,IF(DT$11=$H15,"◆",""),IF(AND(DT$11&gt;=$H15,DT$11&lt;=$I15),1,""))</f>
        <v/>
      </c>
      <c r="DU15" s="448" t="str">
        <f aca="false">IF($G15=0,IF(DU$11=$H15,"◆",""),IF(AND(DU$11&gt;=$H15,DU$11&lt;=$I15),1,""))</f>
        <v/>
      </c>
      <c r="DV15" s="448" t="str">
        <f aca="false">IF($G15=0,IF(DV$11=$H15,"◆",""),IF(AND(DV$11&gt;=$H15,DV$11&lt;=$I15),1,""))</f>
        <v/>
      </c>
      <c r="DW15" s="448" t="str">
        <f aca="false">IF($G15=0,IF(DW$11=$H15,"◆",""),IF(AND(DW$11&gt;=$H15,DW$11&lt;=$I15),1,""))</f>
        <v/>
      </c>
      <c r="DX15" s="448" t="str">
        <f aca="false">IF($G15=0,IF(DX$11=$H15,"◆",""),IF(AND(DX$11&gt;=$H15,DX$11&lt;=$I15),1,""))</f>
        <v/>
      </c>
      <c r="DY15" s="448" t="str">
        <f aca="false">IF($G15=0,IF(DY$11=$H15,"◆",""),IF(AND(DY$11&gt;=$H15,DY$11&lt;=$I15),1,""))</f>
        <v/>
      </c>
      <c r="DZ15" s="448" t="str">
        <f aca="false">IF($G15=0,IF(DZ$11=$H15,"◆",""),IF(AND(DZ$11&gt;=$H15,DZ$11&lt;=$I15),1,""))</f>
        <v/>
      </c>
      <c r="EA15" s="448" t="str">
        <f aca="false">IF($G15=0,IF(EA$11=$H15,"◆",""),IF(AND(EA$11&gt;=$H15,EA$11&lt;=$I15),1,""))</f>
        <v/>
      </c>
      <c r="EB15" s="448" t="str">
        <f aca="false">IF($G15=0,IF(EB$11=$H15,"◆",""),IF(AND(EB$11&gt;=$H15,EB$11&lt;=$I15),1,""))</f>
        <v/>
      </c>
      <c r="EC15" s="448" t="str">
        <f aca="false">IF($G15=0,IF(EC$11=$H15,"◆",""),IF(AND(EC$11&gt;=$H15,EC$11&lt;=$I15),1,""))</f>
        <v/>
      </c>
      <c r="ED15" s="448" t="str">
        <f aca="false">IF($G15=0,IF(ED$11=$H15,"◆",""),IF(AND(ED$11&gt;=$H15,ED$11&lt;=$I15),1,""))</f>
        <v/>
      </c>
    </row>
    <row r="16" customFormat="false" ht="15" hidden="false" customHeight="true" outlineLevel="0" collapsed="false">
      <c r="A16" s="441" t="s">
        <v>2437</v>
      </c>
      <c r="B16" s="297" t="s">
        <v>2438</v>
      </c>
      <c r="C16" s="442" t="s">
        <v>2439</v>
      </c>
      <c r="D16" s="443" t="s">
        <v>2436</v>
      </c>
      <c r="E16" s="354" t="n">
        <f aca="false">1</f>
        <v>1</v>
      </c>
      <c r="F16" s="352" t="n">
        <v>0</v>
      </c>
      <c r="G16" s="352" t="n">
        <v>84</v>
      </c>
      <c r="H16" s="367" t="n">
        <f aca="false">MAX(1,ROUND(($E16-1)*$D$5,0)+1+$F16)</f>
        <v>1</v>
      </c>
      <c r="I16" s="367" t="n">
        <f aca="false">MAX($H16,$H16+$G16-1)</f>
        <v>84</v>
      </c>
      <c r="J16" s="444" t="n">
        <f aca="false">$D$4+($H16-1)*7</f>
        <v>46300</v>
      </c>
      <c r="K16" s="444" t="n">
        <f aca="false">$D$4+$I16*7-1</f>
        <v>46887</v>
      </c>
      <c r="L16" s="445" t="n">
        <f aca="false">ROUNDUP($H16/$D$5,0)</f>
        <v>1</v>
      </c>
      <c r="M16" s="446"/>
      <c r="N16" s="447" t="n">
        <v>0</v>
      </c>
      <c r="O16" s="448" t="n">
        <f aca="false">IF($G16=0,IF(O$11=$H16,"◆",""),IF(AND(O$11&gt;=$H16,O$11&lt;=$I16),1,""))</f>
        <v>1</v>
      </c>
      <c r="P16" s="448" t="n">
        <f aca="false">IF($G16=0,IF(P$11=$H16,"◆",""),IF(AND(P$11&gt;=$H16,P$11&lt;=$I16),1,""))</f>
        <v>1</v>
      </c>
      <c r="Q16" s="448" t="n">
        <f aca="false">IF($G16=0,IF(Q$11=$H16,"◆",""),IF(AND(Q$11&gt;=$H16,Q$11&lt;=$I16),1,""))</f>
        <v>1</v>
      </c>
      <c r="R16" s="448" t="n">
        <f aca="false">IF($G16=0,IF(R$11=$H16,"◆",""),IF(AND(R$11&gt;=$H16,R$11&lt;=$I16),1,""))</f>
        <v>1</v>
      </c>
      <c r="S16" s="448" t="n">
        <f aca="false">IF($G16=0,IF(S$11=$H16,"◆",""),IF(AND(S$11&gt;=$H16,S$11&lt;=$I16),1,""))</f>
        <v>1</v>
      </c>
      <c r="T16" s="448" t="n">
        <f aca="false">IF($G16=0,IF(T$11=$H16,"◆",""),IF(AND(T$11&gt;=$H16,T$11&lt;=$I16),1,""))</f>
        <v>1</v>
      </c>
      <c r="U16" s="448" t="n">
        <f aca="false">IF($G16=0,IF(U$11=$H16,"◆",""),IF(AND(U$11&gt;=$H16,U$11&lt;=$I16),1,""))</f>
        <v>1</v>
      </c>
      <c r="V16" s="448" t="n">
        <f aca="false">IF($G16=0,IF(V$11=$H16,"◆",""),IF(AND(V$11&gt;=$H16,V$11&lt;=$I16),1,""))</f>
        <v>1</v>
      </c>
      <c r="W16" s="448" t="n">
        <f aca="false">IF($G16=0,IF(W$11=$H16,"◆",""),IF(AND(W$11&gt;=$H16,W$11&lt;=$I16),1,""))</f>
        <v>1</v>
      </c>
      <c r="X16" s="448" t="n">
        <f aca="false">IF($G16=0,IF(X$11=$H16,"◆",""),IF(AND(X$11&gt;=$H16,X$11&lt;=$I16),1,""))</f>
        <v>1</v>
      </c>
      <c r="Y16" s="448" t="n">
        <f aca="false">IF($G16=0,IF(Y$11=$H16,"◆",""),IF(AND(Y$11&gt;=$H16,Y$11&lt;=$I16),1,""))</f>
        <v>1</v>
      </c>
      <c r="Z16" s="448" t="n">
        <f aca="false">IF($G16=0,IF(Z$11=$H16,"◆",""),IF(AND(Z$11&gt;=$H16,Z$11&lt;=$I16),1,""))</f>
        <v>1</v>
      </c>
      <c r="AA16" s="448" t="n">
        <f aca="false">IF($G16=0,IF(AA$11=$H16,"◆",""),IF(AND(AA$11&gt;=$H16,AA$11&lt;=$I16),1,""))</f>
        <v>1</v>
      </c>
      <c r="AB16" s="448" t="n">
        <f aca="false">IF($G16=0,IF(AB$11=$H16,"◆",""),IF(AND(AB$11&gt;=$H16,AB$11&lt;=$I16),1,""))</f>
        <v>1</v>
      </c>
      <c r="AC16" s="448" t="n">
        <f aca="false">IF($G16=0,IF(AC$11=$H16,"◆",""),IF(AND(AC$11&gt;=$H16,AC$11&lt;=$I16),1,""))</f>
        <v>1</v>
      </c>
      <c r="AD16" s="448" t="n">
        <f aca="false">IF($G16=0,IF(AD$11=$H16,"◆",""),IF(AND(AD$11&gt;=$H16,AD$11&lt;=$I16),1,""))</f>
        <v>1</v>
      </c>
      <c r="AE16" s="448" t="n">
        <f aca="false">IF($G16=0,IF(AE$11=$H16,"◆",""),IF(AND(AE$11&gt;=$H16,AE$11&lt;=$I16),1,""))</f>
        <v>1</v>
      </c>
      <c r="AF16" s="448" t="n">
        <f aca="false">IF($G16=0,IF(AF$11=$H16,"◆",""),IF(AND(AF$11&gt;=$H16,AF$11&lt;=$I16),1,""))</f>
        <v>1</v>
      </c>
      <c r="AG16" s="448" t="n">
        <f aca="false">IF($G16=0,IF(AG$11=$H16,"◆",""),IF(AND(AG$11&gt;=$H16,AG$11&lt;=$I16),1,""))</f>
        <v>1</v>
      </c>
      <c r="AH16" s="448" t="n">
        <f aca="false">IF($G16=0,IF(AH$11=$H16,"◆",""),IF(AND(AH$11&gt;=$H16,AH$11&lt;=$I16),1,""))</f>
        <v>1</v>
      </c>
      <c r="AI16" s="448" t="n">
        <f aca="false">IF($G16=0,IF(AI$11=$H16,"◆",""),IF(AND(AI$11&gt;=$H16,AI$11&lt;=$I16),1,""))</f>
        <v>1</v>
      </c>
      <c r="AJ16" s="448" t="n">
        <f aca="false">IF($G16=0,IF(AJ$11=$H16,"◆",""),IF(AND(AJ$11&gt;=$H16,AJ$11&lt;=$I16),1,""))</f>
        <v>1</v>
      </c>
      <c r="AK16" s="448" t="n">
        <f aca="false">IF($G16=0,IF(AK$11=$H16,"◆",""),IF(AND(AK$11&gt;=$H16,AK$11&lt;=$I16),1,""))</f>
        <v>1</v>
      </c>
      <c r="AL16" s="448" t="n">
        <f aca="false">IF($G16=0,IF(AL$11=$H16,"◆",""),IF(AND(AL$11&gt;=$H16,AL$11&lt;=$I16),1,""))</f>
        <v>1</v>
      </c>
      <c r="AM16" s="448" t="n">
        <f aca="false">IF($G16=0,IF(AM$11=$H16,"◆",""),IF(AND(AM$11&gt;=$H16,AM$11&lt;=$I16),1,""))</f>
        <v>1</v>
      </c>
      <c r="AN16" s="448" t="n">
        <f aca="false">IF($G16=0,IF(AN$11=$H16,"◆",""),IF(AND(AN$11&gt;=$H16,AN$11&lt;=$I16),1,""))</f>
        <v>1</v>
      </c>
      <c r="AO16" s="448" t="n">
        <f aca="false">IF($G16=0,IF(AO$11=$H16,"◆",""),IF(AND(AO$11&gt;=$H16,AO$11&lt;=$I16),1,""))</f>
        <v>1</v>
      </c>
      <c r="AP16" s="448" t="n">
        <f aca="false">IF($G16=0,IF(AP$11=$H16,"◆",""),IF(AND(AP$11&gt;=$H16,AP$11&lt;=$I16),1,""))</f>
        <v>1</v>
      </c>
      <c r="AQ16" s="448" t="n">
        <f aca="false">IF($G16=0,IF(AQ$11=$H16,"◆",""),IF(AND(AQ$11&gt;=$H16,AQ$11&lt;=$I16),1,""))</f>
        <v>1</v>
      </c>
      <c r="AR16" s="448" t="n">
        <f aca="false">IF($G16=0,IF(AR$11=$H16,"◆",""),IF(AND(AR$11&gt;=$H16,AR$11&lt;=$I16),1,""))</f>
        <v>1</v>
      </c>
      <c r="AS16" s="448" t="n">
        <f aca="false">IF($G16=0,IF(AS$11=$H16,"◆",""),IF(AND(AS$11&gt;=$H16,AS$11&lt;=$I16),1,""))</f>
        <v>1</v>
      </c>
      <c r="AT16" s="448" t="n">
        <f aca="false">IF($G16=0,IF(AT$11=$H16,"◆",""),IF(AND(AT$11&gt;=$H16,AT$11&lt;=$I16),1,""))</f>
        <v>1</v>
      </c>
      <c r="AU16" s="448" t="n">
        <f aca="false">IF($G16=0,IF(AU$11=$H16,"◆",""),IF(AND(AU$11&gt;=$H16,AU$11&lt;=$I16),1,""))</f>
        <v>1</v>
      </c>
      <c r="AV16" s="448" t="n">
        <f aca="false">IF($G16=0,IF(AV$11=$H16,"◆",""),IF(AND(AV$11&gt;=$H16,AV$11&lt;=$I16),1,""))</f>
        <v>1</v>
      </c>
      <c r="AW16" s="448" t="n">
        <f aca="false">IF($G16=0,IF(AW$11=$H16,"◆",""),IF(AND(AW$11&gt;=$H16,AW$11&lt;=$I16),1,""))</f>
        <v>1</v>
      </c>
      <c r="AX16" s="448" t="n">
        <f aca="false">IF($G16=0,IF(AX$11=$H16,"◆",""),IF(AND(AX$11&gt;=$H16,AX$11&lt;=$I16),1,""))</f>
        <v>1</v>
      </c>
      <c r="AY16" s="448" t="n">
        <f aca="false">IF($G16=0,IF(AY$11=$H16,"◆",""),IF(AND(AY$11&gt;=$H16,AY$11&lt;=$I16),1,""))</f>
        <v>1</v>
      </c>
      <c r="AZ16" s="448" t="n">
        <f aca="false">IF($G16=0,IF(AZ$11=$H16,"◆",""),IF(AND(AZ$11&gt;=$H16,AZ$11&lt;=$I16),1,""))</f>
        <v>1</v>
      </c>
      <c r="BA16" s="448" t="n">
        <f aca="false">IF($G16=0,IF(BA$11=$H16,"◆",""),IF(AND(BA$11&gt;=$H16,BA$11&lt;=$I16),1,""))</f>
        <v>1</v>
      </c>
      <c r="BB16" s="448" t="n">
        <f aca="false">IF($G16=0,IF(BB$11=$H16,"◆",""),IF(AND(BB$11&gt;=$H16,BB$11&lt;=$I16),1,""))</f>
        <v>1</v>
      </c>
      <c r="BC16" s="448" t="n">
        <f aca="false">IF($G16=0,IF(BC$11=$H16,"◆",""),IF(AND(BC$11&gt;=$H16,BC$11&lt;=$I16),1,""))</f>
        <v>1</v>
      </c>
      <c r="BD16" s="448" t="n">
        <f aca="false">IF($G16=0,IF(BD$11=$H16,"◆",""),IF(AND(BD$11&gt;=$H16,BD$11&lt;=$I16),1,""))</f>
        <v>1</v>
      </c>
      <c r="BE16" s="448" t="n">
        <f aca="false">IF($G16=0,IF(BE$11=$H16,"◆",""),IF(AND(BE$11&gt;=$H16,BE$11&lt;=$I16),1,""))</f>
        <v>1</v>
      </c>
      <c r="BF16" s="448" t="n">
        <f aca="false">IF($G16=0,IF(BF$11=$H16,"◆",""),IF(AND(BF$11&gt;=$H16,BF$11&lt;=$I16),1,""))</f>
        <v>1</v>
      </c>
      <c r="BG16" s="448" t="n">
        <f aca="false">IF($G16=0,IF(BG$11=$H16,"◆",""),IF(AND(BG$11&gt;=$H16,BG$11&lt;=$I16),1,""))</f>
        <v>1</v>
      </c>
      <c r="BH16" s="448" t="n">
        <f aca="false">IF($G16=0,IF(BH$11=$H16,"◆",""),IF(AND(BH$11&gt;=$H16,BH$11&lt;=$I16),1,""))</f>
        <v>1</v>
      </c>
      <c r="BI16" s="448" t="n">
        <f aca="false">IF($G16=0,IF(BI$11=$H16,"◆",""),IF(AND(BI$11&gt;=$H16,BI$11&lt;=$I16),1,""))</f>
        <v>1</v>
      </c>
      <c r="BJ16" s="448" t="n">
        <f aca="false">IF($G16=0,IF(BJ$11=$H16,"◆",""),IF(AND(BJ$11&gt;=$H16,BJ$11&lt;=$I16),1,""))</f>
        <v>1</v>
      </c>
      <c r="BK16" s="448" t="n">
        <f aca="false">IF($G16=0,IF(BK$11=$H16,"◆",""),IF(AND(BK$11&gt;=$H16,BK$11&lt;=$I16),1,""))</f>
        <v>1</v>
      </c>
      <c r="BL16" s="448" t="n">
        <f aca="false">IF($G16=0,IF(BL$11=$H16,"◆",""),IF(AND(BL$11&gt;=$H16,BL$11&lt;=$I16),1,""))</f>
        <v>1</v>
      </c>
      <c r="BM16" s="448" t="n">
        <f aca="false">IF($G16=0,IF(BM$11=$H16,"◆",""),IF(AND(BM$11&gt;=$H16,BM$11&lt;=$I16),1,""))</f>
        <v>1</v>
      </c>
      <c r="BN16" s="448" t="n">
        <f aca="false">IF($G16=0,IF(BN$11=$H16,"◆",""),IF(AND(BN$11&gt;=$H16,BN$11&lt;=$I16),1,""))</f>
        <v>1</v>
      </c>
      <c r="BO16" s="448" t="n">
        <f aca="false">IF($G16=0,IF(BO$11=$H16,"◆",""),IF(AND(BO$11&gt;=$H16,BO$11&lt;=$I16),1,""))</f>
        <v>1</v>
      </c>
      <c r="BP16" s="448" t="n">
        <f aca="false">IF($G16=0,IF(BP$11=$H16,"◆",""),IF(AND(BP$11&gt;=$H16,BP$11&lt;=$I16),1,""))</f>
        <v>1</v>
      </c>
      <c r="BQ16" s="448" t="n">
        <f aca="false">IF($G16=0,IF(BQ$11=$H16,"◆",""),IF(AND(BQ$11&gt;=$H16,BQ$11&lt;=$I16),1,""))</f>
        <v>1</v>
      </c>
      <c r="BR16" s="448" t="n">
        <f aca="false">IF($G16=0,IF(BR$11=$H16,"◆",""),IF(AND(BR$11&gt;=$H16,BR$11&lt;=$I16),1,""))</f>
        <v>1</v>
      </c>
      <c r="BS16" s="448" t="n">
        <f aca="false">IF($G16=0,IF(BS$11=$H16,"◆",""),IF(AND(BS$11&gt;=$H16,BS$11&lt;=$I16),1,""))</f>
        <v>1</v>
      </c>
      <c r="BT16" s="448" t="n">
        <f aca="false">IF($G16=0,IF(BT$11=$H16,"◆",""),IF(AND(BT$11&gt;=$H16,BT$11&lt;=$I16),1,""))</f>
        <v>1</v>
      </c>
      <c r="BU16" s="448" t="n">
        <f aca="false">IF($G16=0,IF(BU$11=$H16,"◆",""),IF(AND(BU$11&gt;=$H16,BU$11&lt;=$I16),1,""))</f>
        <v>1</v>
      </c>
      <c r="BV16" s="448" t="n">
        <f aca="false">IF($G16=0,IF(BV$11=$H16,"◆",""),IF(AND(BV$11&gt;=$H16,BV$11&lt;=$I16),1,""))</f>
        <v>1</v>
      </c>
      <c r="BW16" s="448" t="n">
        <f aca="false">IF($G16=0,IF(BW$11=$H16,"◆",""),IF(AND(BW$11&gt;=$H16,BW$11&lt;=$I16),1,""))</f>
        <v>1</v>
      </c>
      <c r="BX16" s="448" t="n">
        <f aca="false">IF($G16=0,IF(BX$11=$H16,"◆",""),IF(AND(BX$11&gt;=$H16,BX$11&lt;=$I16),1,""))</f>
        <v>1</v>
      </c>
      <c r="BY16" s="448" t="n">
        <f aca="false">IF($G16=0,IF(BY$11=$H16,"◆",""),IF(AND(BY$11&gt;=$H16,BY$11&lt;=$I16),1,""))</f>
        <v>1</v>
      </c>
      <c r="BZ16" s="448" t="n">
        <f aca="false">IF($G16=0,IF(BZ$11=$H16,"◆",""),IF(AND(BZ$11&gt;=$H16,BZ$11&lt;=$I16),1,""))</f>
        <v>1</v>
      </c>
      <c r="CA16" s="448" t="n">
        <f aca="false">IF($G16=0,IF(CA$11=$H16,"◆",""),IF(AND(CA$11&gt;=$H16,CA$11&lt;=$I16),1,""))</f>
        <v>1</v>
      </c>
      <c r="CB16" s="448" t="n">
        <f aca="false">IF($G16=0,IF(CB$11=$H16,"◆",""),IF(AND(CB$11&gt;=$H16,CB$11&lt;=$I16),1,""))</f>
        <v>1</v>
      </c>
      <c r="CC16" s="448" t="n">
        <f aca="false">IF($G16=0,IF(CC$11=$H16,"◆",""),IF(AND(CC$11&gt;=$H16,CC$11&lt;=$I16),1,""))</f>
        <v>1</v>
      </c>
      <c r="CD16" s="448" t="n">
        <f aca="false">IF($G16=0,IF(CD$11=$H16,"◆",""),IF(AND(CD$11&gt;=$H16,CD$11&lt;=$I16),1,""))</f>
        <v>1</v>
      </c>
      <c r="CE16" s="448" t="n">
        <f aca="false">IF($G16=0,IF(CE$11=$H16,"◆",""),IF(AND(CE$11&gt;=$H16,CE$11&lt;=$I16),1,""))</f>
        <v>1</v>
      </c>
      <c r="CF16" s="448" t="n">
        <f aca="false">IF($G16=0,IF(CF$11=$H16,"◆",""),IF(AND(CF$11&gt;=$H16,CF$11&lt;=$I16),1,""))</f>
        <v>1</v>
      </c>
      <c r="CG16" s="448" t="n">
        <f aca="false">IF($G16=0,IF(CG$11=$H16,"◆",""),IF(AND(CG$11&gt;=$H16,CG$11&lt;=$I16),1,""))</f>
        <v>1</v>
      </c>
      <c r="CH16" s="448" t="n">
        <f aca="false">IF($G16=0,IF(CH$11=$H16,"◆",""),IF(AND(CH$11&gt;=$H16,CH$11&lt;=$I16),1,""))</f>
        <v>1</v>
      </c>
      <c r="CI16" s="448" t="n">
        <f aca="false">IF($G16=0,IF(CI$11=$H16,"◆",""),IF(AND(CI$11&gt;=$H16,CI$11&lt;=$I16),1,""))</f>
        <v>1</v>
      </c>
      <c r="CJ16" s="448" t="n">
        <f aca="false">IF($G16=0,IF(CJ$11=$H16,"◆",""),IF(AND(CJ$11&gt;=$H16,CJ$11&lt;=$I16),1,""))</f>
        <v>1</v>
      </c>
      <c r="CK16" s="448" t="n">
        <f aca="false">IF($G16=0,IF(CK$11=$H16,"◆",""),IF(AND(CK$11&gt;=$H16,CK$11&lt;=$I16),1,""))</f>
        <v>1</v>
      </c>
      <c r="CL16" s="448" t="n">
        <f aca="false">IF($G16=0,IF(CL$11=$H16,"◆",""),IF(AND(CL$11&gt;=$H16,CL$11&lt;=$I16),1,""))</f>
        <v>1</v>
      </c>
      <c r="CM16" s="448" t="n">
        <f aca="false">IF($G16=0,IF(CM$11=$H16,"◆",""),IF(AND(CM$11&gt;=$H16,CM$11&lt;=$I16),1,""))</f>
        <v>1</v>
      </c>
      <c r="CN16" s="448" t="n">
        <f aca="false">IF($G16=0,IF(CN$11=$H16,"◆",""),IF(AND(CN$11&gt;=$H16,CN$11&lt;=$I16),1,""))</f>
        <v>1</v>
      </c>
      <c r="CO16" s="448" t="n">
        <f aca="false">IF($G16=0,IF(CO$11=$H16,"◆",""),IF(AND(CO$11&gt;=$H16,CO$11&lt;=$I16),1,""))</f>
        <v>1</v>
      </c>
      <c r="CP16" s="448" t="n">
        <f aca="false">IF($G16=0,IF(CP$11=$H16,"◆",""),IF(AND(CP$11&gt;=$H16,CP$11&lt;=$I16),1,""))</f>
        <v>1</v>
      </c>
      <c r="CQ16" s="448" t="n">
        <f aca="false">IF($G16=0,IF(CQ$11=$H16,"◆",""),IF(AND(CQ$11&gt;=$H16,CQ$11&lt;=$I16),1,""))</f>
        <v>1</v>
      </c>
      <c r="CR16" s="448" t="n">
        <f aca="false">IF($G16=0,IF(CR$11=$H16,"◆",""),IF(AND(CR$11&gt;=$H16,CR$11&lt;=$I16),1,""))</f>
        <v>1</v>
      </c>
      <c r="CS16" s="448" t="n">
        <f aca="false">IF($G16=0,IF(CS$11=$H16,"◆",""),IF(AND(CS$11&gt;=$H16,CS$11&lt;=$I16),1,""))</f>
        <v>1</v>
      </c>
      <c r="CT16" s="448" t="n">
        <f aca="false">IF($G16=0,IF(CT$11=$H16,"◆",""),IF(AND(CT$11&gt;=$H16,CT$11&lt;=$I16),1,""))</f>
        <v>1</v>
      </c>
      <c r="CU16" s="448" t="str">
        <f aca="false">IF($G16=0,IF(CU$11=$H16,"◆",""),IF(AND(CU$11&gt;=$H16,CU$11&lt;=$I16),1,""))</f>
        <v/>
      </c>
      <c r="CV16" s="448" t="str">
        <f aca="false">IF($G16=0,IF(CV$11=$H16,"◆",""),IF(AND(CV$11&gt;=$H16,CV$11&lt;=$I16),1,""))</f>
        <v/>
      </c>
      <c r="CW16" s="448" t="str">
        <f aca="false">IF($G16=0,IF(CW$11=$H16,"◆",""),IF(AND(CW$11&gt;=$H16,CW$11&lt;=$I16),1,""))</f>
        <v/>
      </c>
      <c r="CX16" s="448" t="str">
        <f aca="false">IF($G16=0,IF(CX$11=$H16,"◆",""),IF(AND(CX$11&gt;=$H16,CX$11&lt;=$I16),1,""))</f>
        <v/>
      </c>
      <c r="CY16" s="448" t="str">
        <f aca="false">IF($G16=0,IF(CY$11=$H16,"◆",""),IF(AND(CY$11&gt;=$H16,CY$11&lt;=$I16),1,""))</f>
        <v/>
      </c>
      <c r="CZ16" s="448" t="str">
        <f aca="false">IF($G16=0,IF(CZ$11=$H16,"◆",""),IF(AND(CZ$11&gt;=$H16,CZ$11&lt;=$I16),1,""))</f>
        <v/>
      </c>
      <c r="DA16" s="448" t="str">
        <f aca="false">IF($G16=0,IF(DA$11=$H16,"◆",""),IF(AND(DA$11&gt;=$H16,DA$11&lt;=$I16),1,""))</f>
        <v/>
      </c>
      <c r="DB16" s="448" t="str">
        <f aca="false">IF($G16=0,IF(DB$11=$H16,"◆",""),IF(AND(DB$11&gt;=$H16,DB$11&lt;=$I16),1,""))</f>
        <v/>
      </c>
      <c r="DC16" s="448" t="str">
        <f aca="false">IF($G16=0,IF(DC$11=$H16,"◆",""),IF(AND(DC$11&gt;=$H16,DC$11&lt;=$I16),1,""))</f>
        <v/>
      </c>
      <c r="DD16" s="448" t="str">
        <f aca="false">IF($G16=0,IF(DD$11=$H16,"◆",""),IF(AND(DD$11&gt;=$H16,DD$11&lt;=$I16),1,""))</f>
        <v/>
      </c>
      <c r="DE16" s="448" t="str">
        <f aca="false">IF($G16=0,IF(DE$11=$H16,"◆",""),IF(AND(DE$11&gt;=$H16,DE$11&lt;=$I16),1,""))</f>
        <v/>
      </c>
      <c r="DF16" s="448" t="str">
        <f aca="false">IF($G16=0,IF(DF$11=$H16,"◆",""),IF(AND(DF$11&gt;=$H16,DF$11&lt;=$I16),1,""))</f>
        <v/>
      </c>
      <c r="DG16" s="448" t="str">
        <f aca="false">IF($G16=0,IF(DG$11=$H16,"◆",""),IF(AND(DG$11&gt;=$H16,DG$11&lt;=$I16),1,""))</f>
        <v/>
      </c>
      <c r="DH16" s="448" t="str">
        <f aca="false">IF($G16=0,IF(DH$11=$H16,"◆",""),IF(AND(DH$11&gt;=$H16,DH$11&lt;=$I16),1,""))</f>
        <v/>
      </c>
      <c r="DI16" s="448" t="str">
        <f aca="false">IF($G16=0,IF(DI$11=$H16,"◆",""),IF(AND(DI$11&gt;=$H16,DI$11&lt;=$I16),1,""))</f>
        <v/>
      </c>
      <c r="DJ16" s="448" t="str">
        <f aca="false">IF($G16=0,IF(DJ$11=$H16,"◆",""),IF(AND(DJ$11&gt;=$H16,DJ$11&lt;=$I16),1,""))</f>
        <v/>
      </c>
      <c r="DK16" s="448" t="str">
        <f aca="false">IF($G16=0,IF(DK$11=$H16,"◆",""),IF(AND(DK$11&gt;=$H16,DK$11&lt;=$I16),1,""))</f>
        <v/>
      </c>
      <c r="DL16" s="448" t="str">
        <f aca="false">IF($G16=0,IF(DL$11=$H16,"◆",""),IF(AND(DL$11&gt;=$H16,DL$11&lt;=$I16),1,""))</f>
        <v/>
      </c>
      <c r="DM16" s="448" t="str">
        <f aca="false">IF($G16=0,IF(DM$11=$H16,"◆",""),IF(AND(DM$11&gt;=$H16,DM$11&lt;=$I16),1,""))</f>
        <v/>
      </c>
      <c r="DN16" s="448" t="str">
        <f aca="false">IF($G16=0,IF(DN$11=$H16,"◆",""),IF(AND(DN$11&gt;=$H16,DN$11&lt;=$I16),1,""))</f>
        <v/>
      </c>
      <c r="DO16" s="448" t="str">
        <f aca="false">IF($G16=0,IF(DO$11=$H16,"◆",""),IF(AND(DO$11&gt;=$H16,DO$11&lt;=$I16),1,""))</f>
        <v/>
      </c>
      <c r="DP16" s="448" t="str">
        <f aca="false">IF($G16=0,IF(DP$11=$H16,"◆",""),IF(AND(DP$11&gt;=$H16,DP$11&lt;=$I16),1,""))</f>
        <v/>
      </c>
      <c r="DQ16" s="448" t="str">
        <f aca="false">IF($G16=0,IF(DQ$11=$H16,"◆",""),IF(AND(DQ$11&gt;=$H16,DQ$11&lt;=$I16),1,""))</f>
        <v/>
      </c>
      <c r="DR16" s="448" t="str">
        <f aca="false">IF($G16=0,IF(DR$11=$H16,"◆",""),IF(AND(DR$11&gt;=$H16,DR$11&lt;=$I16),1,""))</f>
        <v/>
      </c>
      <c r="DS16" s="448" t="str">
        <f aca="false">IF($G16=0,IF(DS$11=$H16,"◆",""),IF(AND(DS$11&gt;=$H16,DS$11&lt;=$I16),1,""))</f>
        <v/>
      </c>
      <c r="DT16" s="448" t="str">
        <f aca="false">IF($G16=0,IF(DT$11=$H16,"◆",""),IF(AND(DT$11&gt;=$H16,DT$11&lt;=$I16),1,""))</f>
        <v/>
      </c>
      <c r="DU16" s="448" t="str">
        <f aca="false">IF($G16=0,IF(DU$11=$H16,"◆",""),IF(AND(DU$11&gt;=$H16,DU$11&lt;=$I16),1,""))</f>
        <v/>
      </c>
      <c r="DV16" s="448" t="str">
        <f aca="false">IF($G16=0,IF(DV$11=$H16,"◆",""),IF(AND(DV$11&gt;=$H16,DV$11&lt;=$I16),1,""))</f>
        <v/>
      </c>
      <c r="DW16" s="448" t="str">
        <f aca="false">IF($G16=0,IF(DW$11=$H16,"◆",""),IF(AND(DW$11&gt;=$H16,DW$11&lt;=$I16),1,""))</f>
        <v/>
      </c>
      <c r="DX16" s="448" t="str">
        <f aca="false">IF($G16=0,IF(DX$11=$H16,"◆",""),IF(AND(DX$11&gt;=$H16,DX$11&lt;=$I16),1,""))</f>
        <v/>
      </c>
      <c r="DY16" s="448" t="str">
        <f aca="false">IF($G16=0,IF(DY$11=$H16,"◆",""),IF(AND(DY$11&gt;=$H16,DY$11&lt;=$I16),1,""))</f>
        <v/>
      </c>
      <c r="DZ16" s="448" t="str">
        <f aca="false">IF($G16=0,IF(DZ$11=$H16,"◆",""),IF(AND(DZ$11&gt;=$H16,DZ$11&lt;=$I16),1,""))</f>
        <v/>
      </c>
      <c r="EA16" s="448" t="str">
        <f aca="false">IF($G16=0,IF(EA$11=$H16,"◆",""),IF(AND(EA$11&gt;=$H16,EA$11&lt;=$I16),1,""))</f>
        <v/>
      </c>
      <c r="EB16" s="448" t="str">
        <f aca="false">IF($G16=0,IF(EB$11=$H16,"◆",""),IF(AND(EB$11&gt;=$H16,EB$11&lt;=$I16),1,""))</f>
        <v/>
      </c>
      <c r="EC16" s="448" t="str">
        <f aca="false">IF($G16=0,IF(EC$11=$H16,"◆",""),IF(AND(EC$11&gt;=$H16,EC$11&lt;=$I16),1,""))</f>
        <v/>
      </c>
      <c r="ED16" s="448" t="str">
        <f aca="false">IF($G16=0,IF(ED$11=$H16,"◆",""),IF(AND(ED$11&gt;=$H16,ED$11&lt;=$I16),1,""))</f>
        <v/>
      </c>
    </row>
    <row r="17" customFormat="false" ht="15" hidden="false" customHeight="true" outlineLevel="0" collapsed="false">
      <c r="A17" s="441" t="s">
        <v>2440</v>
      </c>
      <c r="B17" s="297" t="s">
        <v>2441</v>
      </c>
      <c r="C17" s="442" t="s">
        <v>2442</v>
      </c>
      <c r="D17" s="443" t="s">
        <v>2436</v>
      </c>
      <c r="E17" s="354" t="n">
        <f aca="false">1</f>
        <v>1</v>
      </c>
      <c r="F17" s="352" t="n">
        <v>2</v>
      </c>
      <c r="G17" s="352" t="n">
        <v>44</v>
      </c>
      <c r="H17" s="367" t="n">
        <f aca="false">MAX(1,ROUND(($E17-1)*$D$5,0)+1+$F17)</f>
        <v>3</v>
      </c>
      <c r="I17" s="367" t="n">
        <f aca="false">MAX($H17,$H17+$G17-1)</f>
        <v>46</v>
      </c>
      <c r="J17" s="444" t="n">
        <f aca="false">$D$4+($H17-1)*7</f>
        <v>46314</v>
      </c>
      <c r="K17" s="444" t="n">
        <f aca="false">$D$4+$I17*7-1</f>
        <v>46621</v>
      </c>
      <c r="L17" s="445" t="n">
        <f aca="false">ROUNDUP($H17/$D$5,0)</f>
        <v>1</v>
      </c>
      <c r="M17" s="446"/>
      <c r="N17" s="447" t="n">
        <v>0</v>
      </c>
      <c r="O17" s="448" t="str">
        <f aca="false">IF($G17=0,IF(O$11=$H17,"◆",""),IF(AND(O$11&gt;=$H17,O$11&lt;=$I17),1,""))</f>
        <v/>
      </c>
      <c r="P17" s="448" t="str">
        <f aca="false">IF($G17=0,IF(P$11=$H17,"◆",""),IF(AND(P$11&gt;=$H17,P$11&lt;=$I17),1,""))</f>
        <v/>
      </c>
      <c r="Q17" s="448" t="n">
        <f aca="false">IF($G17=0,IF(Q$11=$H17,"◆",""),IF(AND(Q$11&gt;=$H17,Q$11&lt;=$I17),1,""))</f>
        <v>1</v>
      </c>
      <c r="R17" s="448" t="n">
        <f aca="false">IF($G17=0,IF(R$11=$H17,"◆",""),IF(AND(R$11&gt;=$H17,R$11&lt;=$I17),1,""))</f>
        <v>1</v>
      </c>
      <c r="S17" s="448" t="n">
        <f aca="false">IF($G17=0,IF(S$11=$H17,"◆",""),IF(AND(S$11&gt;=$H17,S$11&lt;=$I17),1,""))</f>
        <v>1</v>
      </c>
      <c r="T17" s="448" t="n">
        <f aca="false">IF($G17=0,IF(T$11=$H17,"◆",""),IF(AND(T$11&gt;=$H17,T$11&lt;=$I17),1,""))</f>
        <v>1</v>
      </c>
      <c r="U17" s="448" t="n">
        <f aca="false">IF($G17=0,IF(U$11=$H17,"◆",""),IF(AND(U$11&gt;=$H17,U$11&lt;=$I17),1,""))</f>
        <v>1</v>
      </c>
      <c r="V17" s="448" t="n">
        <f aca="false">IF($G17=0,IF(V$11=$H17,"◆",""),IF(AND(V$11&gt;=$H17,V$11&lt;=$I17),1,""))</f>
        <v>1</v>
      </c>
      <c r="W17" s="448" t="n">
        <f aca="false">IF($G17=0,IF(W$11=$H17,"◆",""),IF(AND(W$11&gt;=$H17,W$11&lt;=$I17),1,""))</f>
        <v>1</v>
      </c>
      <c r="X17" s="448" t="n">
        <f aca="false">IF($G17=0,IF(X$11=$H17,"◆",""),IF(AND(X$11&gt;=$H17,X$11&lt;=$I17),1,""))</f>
        <v>1</v>
      </c>
      <c r="Y17" s="448" t="n">
        <f aca="false">IF($G17=0,IF(Y$11=$H17,"◆",""),IF(AND(Y$11&gt;=$H17,Y$11&lt;=$I17),1,""))</f>
        <v>1</v>
      </c>
      <c r="Z17" s="448" t="n">
        <f aca="false">IF($G17=0,IF(Z$11=$H17,"◆",""),IF(AND(Z$11&gt;=$H17,Z$11&lt;=$I17),1,""))</f>
        <v>1</v>
      </c>
      <c r="AA17" s="448" t="n">
        <f aca="false">IF($G17=0,IF(AA$11=$H17,"◆",""),IF(AND(AA$11&gt;=$H17,AA$11&lt;=$I17),1,""))</f>
        <v>1</v>
      </c>
      <c r="AB17" s="448" t="n">
        <f aca="false">IF($G17=0,IF(AB$11=$H17,"◆",""),IF(AND(AB$11&gt;=$H17,AB$11&lt;=$I17),1,""))</f>
        <v>1</v>
      </c>
      <c r="AC17" s="448" t="n">
        <f aca="false">IF($G17=0,IF(AC$11=$H17,"◆",""),IF(AND(AC$11&gt;=$H17,AC$11&lt;=$I17),1,""))</f>
        <v>1</v>
      </c>
      <c r="AD17" s="448" t="n">
        <f aca="false">IF($G17=0,IF(AD$11=$H17,"◆",""),IF(AND(AD$11&gt;=$H17,AD$11&lt;=$I17),1,""))</f>
        <v>1</v>
      </c>
      <c r="AE17" s="448" t="n">
        <f aca="false">IF($G17=0,IF(AE$11=$H17,"◆",""),IF(AND(AE$11&gt;=$H17,AE$11&lt;=$I17),1,""))</f>
        <v>1</v>
      </c>
      <c r="AF17" s="448" t="n">
        <f aca="false">IF($G17=0,IF(AF$11=$H17,"◆",""),IF(AND(AF$11&gt;=$H17,AF$11&lt;=$I17),1,""))</f>
        <v>1</v>
      </c>
      <c r="AG17" s="448" t="n">
        <f aca="false">IF($G17=0,IF(AG$11=$H17,"◆",""),IF(AND(AG$11&gt;=$H17,AG$11&lt;=$I17),1,""))</f>
        <v>1</v>
      </c>
      <c r="AH17" s="448" t="n">
        <f aca="false">IF($G17=0,IF(AH$11=$H17,"◆",""),IF(AND(AH$11&gt;=$H17,AH$11&lt;=$I17),1,""))</f>
        <v>1</v>
      </c>
      <c r="AI17" s="448" t="n">
        <f aca="false">IF($G17=0,IF(AI$11=$H17,"◆",""),IF(AND(AI$11&gt;=$H17,AI$11&lt;=$I17),1,""))</f>
        <v>1</v>
      </c>
      <c r="AJ17" s="448" t="n">
        <f aca="false">IF($G17=0,IF(AJ$11=$H17,"◆",""),IF(AND(AJ$11&gt;=$H17,AJ$11&lt;=$I17),1,""))</f>
        <v>1</v>
      </c>
      <c r="AK17" s="448" t="n">
        <f aca="false">IF($G17=0,IF(AK$11=$H17,"◆",""),IF(AND(AK$11&gt;=$H17,AK$11&lt;=$I17),1,""))</f>
        <v>1</v>
      </c>
      <c r="AL17" s="448" t="n">
        <f aca="false">IF($G17=0,IF(AL$11=$H17,"◆",""),IF(AND(AL$11&gt;=$H17,AL$11&lt;=$I17),1,""))</f>
        <v>1</v>
      </c>
      <c r="AM17" s="448" t="n">
        <f aca="false">IF($G17=0,IF(AM$11=$H17,"◆",""),IF(AND(AM$11&gt;=$H17,AM$11&lt;=$I17),1,""))</f>
        <v>1</v>
      </c>
      <c r="AN17" s="448" t="n">
        <f aca="false">IF($G17=0,IF(AN$11=$H17,"◆",""),IF(AND(AN$11&gt;=$H17,AN$11&lt;=$I17),1,""))</f>
        <v>1</v>
      </c>
      <c r="AO17" s="448" t="n">
        <f aca="false">IF($G17=0,IF(AO$11=$H17,"◆",""),IF(AND(AO$11&gt;=$H17,AO$11&lt;=$I17),1,""))</f>
        <v>1</v>
      </c>
      <c r="AP17" s="448" t="n">
        <f aca="false">IF($G17=0,IF(AP$11=$H17,"◆",""),IF(AND(AP$11&gt;=$H17,AP$11&lt;=$I17),1,""))</f>
        <v>1</v>
      </c>
      <c r="AQ17" s="448" t="n">
        <f aca="false">IF($G17=0,IF(AQ$11=$H17,"◆",""),IF(AND(AQ$11&gt;=$H17,AQ$11&lt;=$I17),1,""))</f>
        <v>1</v>
      </c>
      <c r="AR17" s="448" t="n">
        <f aca="false">IF($G17=0,IF(AR$11=$H17,"◆",""),IF(AND(AR$11&gt;=$H17,AR$11&lt;=$I17),1,""))</f>
        <v>1</v>
      </c>
      <c r="AS17" s="448" t="n">
        <f aca="false">IF($G17=0,IF(AS$11=$H17,"◆",""),IF(AND(AS$11&gt;=$H17,AS$11&lt;=$I17),1,""))</f>
        <v>1</v>
      </c>
      <c r="AT17" s="448" t="n">
        <f aca="false">IF($G17=0,IF(AT$11=$H17,"◆",""),IF(AND(AT$11&gt;=$H17,AT$11&lt;=$I17),1,""))</f>
        <v>1</v>
      </c>
      <c r="AU17" s="448" t="n">
        <f aca="false">IF($G17=0,IF(AU$11=$H17,"◆",""),IF(AND(AU$11&gt;=$H17,AU$11&lt;=$I17),1,""))</f>
        <v>1</v>
      </c>
      <c r="AV17" s="448" t="n">
        <f aca="false">IF($G17=0,IF(AV$11=$H17,"◆",""),IF(AND(AV$11&gt;=$H17,AV$11&lt;=$I17),1,""))</f>
        <v>1</v>
      </c>
      <c r="AW17" s="448" t="n">
        <f aca="false">IF($G17=0,IF(AW$11=$H17,"◆",""),IF(AND(AW$11&gt;=$H17,AW$11&lt;=$I17),1,""))</f>
        <v>1</v>
      </c>
      <c r="AX17" s="448" t="n">
        <f aca="false">IF($G17=0,IF(AX$11=$H17,"◆",""),IF(AND(AX$11&gt;=$H17,AX$11&lt;=$I17),1,""))</f>
        <v>1</v>
      </c>
      <c r="AY17" s="448" t="n">
        <f aca="false">IF($G17=0,IF(AY$11=$H17,"◆",""),IF(AND(AY$11&gt;=$H17,AY$11&lt;=$I17),1,""))</f>
        <v>1</v>
      </c>
      <c r="AZ17" s="448" t="n">
        <f aca="false">IF($G17=0,IF(AZ$11=$H17,"◆",""),IF(AND(AZ$11&gt;=$H17,AZ$11&lt;=$I17),1,""))</f>
        <v>1</v>
      </c>
      <c r="BA17" s="448" t="n">
        <f aca="false">IF($G17=0,IF(BA$11=$H17,"◆",""),IF(AND(BA$11&gt;=$H17,BA$11&lt;=$I17),1,""))</f>
        <v>1</v>
      </c>
      <c r="BB17" s="448" t="n">
        <f aca="false">IF($G17=0,IF(BB$11=$H17,"◆",""),IF(AND(BB$11&gt;=$H17,BB$11&lt;=$I17),1,""))</f>
        <v>1</v>
      </c>
      <c r="BC17" s="448" t="n">
        <f aca="false">IF($G17=0,IF(BC$11=$H17,"◆",""),IF(AND(BC$11&gt;=$H17,BC$11&lt;=$I17),1,""))</f>
        <v>1</v>
      </c>
      <c r="BD17" s="448" t="n">
        <f aca="false">IF($G17=0,IF(BD$11=$H17,"◆",""),IF(AND(BD$11&gt;=$H17,BD$11&lt;=$I17),1,""))</f>
        <v>1</v>
      </c>
      <c r="BE17" s="448" t="n">
        <f aca="false">IF($G17=0,IF(BE$11=$H17,"◆",""),IF(AND(BE$11&gt;=$H17,BE$11&lt;=$I17),1,""))</f>
        <v>1</v>
      </c>
      <c r="BF17" s="448" t="n">
        <f aca="false">IF($G17=0,IF(BF$11=$H17,"◆",""),IF(AND(BF$11&gt;=$H17,BF$11&lt;=$I17),1,""))</f>
        <v>1</v>
      </c>
      <c r="BG17" s="448" t="n">
        <f aca="false">IF($G17=0,IF(BG$11=$H17,"◆",""),IF(AND(BG$11&gt;=$H17,BG$11&lt;=$I17),1,""))</f>
        <v>1</v>
      </c>
      <c r="BH17" s="448" t="n">
        <f aca="false">IF($G17=0,IF(BH$11=$H17,"◆",""),IF(AND(BH$11&gt;=$H17,BH$11&lt;=$I17),1,""))</f>
        <v>1</v>
      </c>
      <c r="BI17" s="448" t="str">
        <f aca="false">IF($G17=0,IF(BI$11=$H17,"◆",""),IF(AND(BI$11&gt;=$H17,BI$11&lt;=$I17),1,""))</f>
        <v/>
      </c>
      <c r="BJ17" s="448" t="str">
        <f aca="false">IF($G17=0,IF(BJ$11=$H17,"◆",""),IF(AND(BJ$11&gt;=$H17,BJ$11&lt;=$I17),1,""))</f>
        <v/>
      </c>
      <c r="BK17" s="448" t="str">
        <f aca="false">IF($G17=0,IF(BK$11=$H17,"◆",""),IF(AND(BK$11&gt;=$H17,BK$11&lt;=$I17),1,""))</f>
        <v/>
      </c>
      <c r="BL17" s="448" t="str">
        <f aca="false">IF($G17=0,IF(BL$11=$H17,"◆",""),IF(AND(BL$11&gt;=$H17,BL$11&lt;=$I17),1,""))</f>
        <v/>
      </c>
      <c r="BM17" s="448" t="str">
        <f aca="false">IF($G17=0,IF(BM$11=$H17,"◆",""),IF(AND(BM$11&gt;=$H17,BM$11&lt;=$I17),1,""))</f>
        <v/>
      </c>
      <c r="BN17" s="448" t="str">
        <f aca="false">IF($G17=0,IF(BN$11=$H17,"◆",""),IF(AND(BN$11&gt;=$H17,BN$11&lt;=$I17),1,""))</f>
        <v/>
      </c>
      <c r="BO17" s="448" t="str">
        <f aca="false">IF($G17=0,IF(BO$11=$H17,"◆",""),IF(AND(BO$11&gt;=$H17,BO$11&lt;=$I17),1,""))</f>
        <v/>
      </c>
      <c r="BP17" s="448" t="str">
        <f aca="false">IF($G17=0,IF(BP$11=$H17,"◆",""),IF(AND(BP$11&gt;=$H17,BP$11&lt;=$I17),1,""))</f>
        <v/>
      </c>
      <c r="BQ17" s="448" t="str">
        <f aca="false">IF($G17=0,IF(BQ$11=$H17,"◆",""),IF(AND(BQ$11&gt;=$H17,BQ$11&lt;=$I17),1,""))</f>
        <v/>
      </c>
      <c r="BR17" s="448" t="str">
        <f aca="false">IF($G17=0,IF(BR$11=$H17,"◆",""),IF(AND(BR$11&gt;=$H17,BR$11&lt;=$I17),1,""))</f>
        <v/>
      </c>
      <c r="BS17" s="448" t="str">
        <f aca="false">IF($G17=0,IF(BS$11=$H17,"◆",""),IF(AND(BS$11&gt;=$H17,BS$11&lt;=$I17),1,""))</f>
        <v/>
      </c>
      <c r="BT17" s="448" t="str">
        <f aca="false">IF($G17=0,IF(BT$11=$H17,"◆",""),IF(AND(BT$11&gt;=$H17,BT$11&lt;=$I17),1,""))</f>
        <v/>
      </c>
      <c r="BU17" s="448" t="str">
        <f aca="false">IF($G17=0,IF(BU$11=$H17,"◆",""),IF(AND(BU$11&gt;=$H17,BU$11&lt;=$I17),1,""))</f>
        <v/>
      </c>
      <c r="BV17" s="448" t="str">
        <f aca="false">IF($G17=0,IF(BV$11=$H17,"◆",""),IF(AND(BV$11&gt;=$H17,BV$11&lt;=$I17),1,""))</f>
        <v/>
      </c>
      <c r="BW17" s="448" t="str">
        <f aca="false">IF($G17=0,IF(BW$11=$H17,"◆",""),IF(AND(BW$11&gt;=$H17,BW$11&lt;=$I17),1,""))</f>
        <v/>
      </c>
      <c r="BX17" s="448" t="str">
        <f aca="false">IF($G17=0,IF(BX$11=$H17,"◆",""),IF(AND(BX$11&gt;=$H17,BX$11&lt;=$I17),1,""))</f>
        <v/>
      </c>
      <c r="BY17" s="448" t="str">
        <f aca="false">IF($G17=0,IF(BY$11=$H17,"◆",""),IF(AND(BY$11&gt;=$H17,BY$11&lt;=$I17),1,""))</f>
        <v/>
      </c>
      <c r="BZ17" s="448" t="str">
        <f aca="false">IF($G17=0,IF(BZ$11=$H17,"◆",""),IF(AND(BZ$11&gt;=$H17,BZ$11&lt;=$I17),1,""))</f>
        <v/>
      </c>
      <c r="CA17" s="448" t="str">
        <f aca="false">IF($G17=0,IF(CA$11=$H17,"◆",""),IF(AND(CA$11&gt;=$H17,CA$11&lt;=$I17),1,""))</f>
        <v/>
      </c>
      <c r="CB17" s="448" t="str">
        <f aca="false">IF($G17=0,IF(CB$11=$H17,"◆",""),IF(AND(CB$11&gt;=$H17,CB$11&lt;=$I17),1,""))</f>
        <v/>
      </c>
      <c r="CC17" s="448" t="str">
        <f aca="false">IF($G17=0,IF(CC$11=$H17,"◆",""),IF(AND(CC$11&gt;=$H17,CC$11&lt;=$I17),1,""))</f>
        <v/>
      </c>
      <c r="CD17" s="448" t="str">
        <f aca="false">IF($G17=0,IF(CD$11=$H17,"◆",""),IF(AND(CD$11&gt;=$H17,CD$11&lt;=$I17),1,""))</f>
        <v/>
      </c>
      <c r="CE17" s="448" t="str">
        <f aca="false">IF($G17=0,IF(CE$11=$H17,"◆",""),IF(AND(CE$11&gt;=$H17,CE$11&lt;=$I17),1,""))</f>
        <v/>
      </c>
      <c r="CF17" s="448" t="str">
        <f aca="false">IF($G17=0,IF(CF$11=$H17,"◆",""),IF(AND(CF$11&gt;=$H17,CF$11&lt;=$I17),1,""))</f>
        <v/>
      </c>
      <c r="CG17" s="448" t="str">
        <f aca="false">IF($G17=0,IF(CG$11=$H17,"◆",""),IF(AND(CG$11&gt;=$H17,CG$11&lt;=$I17),1,""))</f>
        <v/>
      </c>
      <c r="CH17" s="448" t="str">
        <f aca="false">IF($G17=0,IF(CH$11=$H17,"◆",""),IF(AND(CH$11&gt;=$H17,CH$11&lt;=$I17),1,""))</f>
        <v/>
      </c>
      <c r="CI17" s="448" t="str">
        <f aca="false">IF($G17=0,IF(CI$11=$H17,"◆",""),IF(AND(CI$11&gt;=$H17,CI$11&lt;=$I17),1,""))</f>
        <v/>
      </c>
      <c r="CJ17" s="448" t="str">
        <f aca="false">IF($G17=0,IF(CJ$11=$H17,"◆",""),IF(AND(CJ$11&gt;=$H17,CJ$11&lt;=$I17),1,""))</f>
        <v/>
      </c>
      <c r="CK17" s="448" t="str">
        <f aca="false">IF($G17=0,IF(CK$11=$H17,"◆",""),IF(AND(CK$11&gt;=$H17,CK$11&lt;=$I17),1,""))</f>
        <v/>
      </c>
      <c r="CL17" s="448" t="str">
        <f aca="false">IF($G17=0,IF(CL$11=$H17,"◆",""),IF(AND(CL$11&gt;=$H17,CL$11&lt;=$I17),1,""))</f>
        <v/>
      </c>
      <c r="CM17" s="448" t="str">
        <f aca="false">IF($G17=0,IF(CM$11=$H17,"◆",""),IF(AND(CM$11&gt;=$H17,CM$11&lt;=$I17),1,""))</f>
        <v/>
      </c>
      <c r="CN17" s="448" t="str">
        <f aca="false">IF($G17=0,IF(CN$11=$H17,"◆",""),IF(AND(CN$11&gt;=$H17,CN$11&lt;=$I17),1,""))</f>
        <v/>
      </c>
      <c r="CO17" s="448" t="str">
        <f aca="false">IF($G17=0,IF(CO$11=$H17,"◆",""),IF(AND(CO$11&gt;=$H17,CO$11&lt;=$I17),1,""))</f>
        <v/>
      </c>
      <c r="CP17" s="448" t="str">
        <f aca="false">IF($G17=0,IF(CP$11=$H17,"◆",""),IF(AND(CP$11&gt;=$H17,CP$11&lt;=$I17),1,""))</f>
        <v/>
      </c>
      <c r="CQ17" s="448" t="str">
        <f aca="false">IF($G17=0,IF(CQ$11=$H17,"◆",""),IF(AND(CQ$11&gt;=$H17,CQ$11&lt;=$I17),1,""))</f>
        <v/>
      </c>
      <c r="CR17" s="448" t="str">
        <f aca="false">IF($G17=0,IF(CR$11=$H17,"◆",""),IF(AND(CR$11&gt;=$H17,CR$11&lt;=$I17),1,""))</f>
        <v/>
      </c>
      <c r="CS17" s="448" t="str">
        <f aca="false">IF($G17=0,IF(CS$11=$H17,"◆",""),IF(AND(CS$11&gt;=$H17,CS$11&lt;=$I17),1,""))</f>
        <v/>
      </c>
      <c r="CT17" s="448" t="str">
        <f aca="false">IF($G17=0,IF(CT$11=$H17,"◆",""),IF(AND(CT$11&gt;=$H17,CT$11&lt;=$I17),1,""))</f>
        <v/>
      </c>
      <c r="CU17" s="448" t="str">
        <f aca="false">IF($G17=0,IF(CU$11=$H17,"◆",""),IF(AND(CU$11&gt;=$H17,CU$11&lt;=$I17),1,""))</f>
        <v/>
      </c>
      <c r="CV17" s="448" t="str">
        <f aca="false">IF($G17=0,IF(CV$11=$H17,"◆",""),IF(AND(CV$11&gt;=$H17,CV$11&lt;=$I17),1,""))</f>
        <v/>
      </c>
      <c r="CW17" s="448" t="str">
        <f aca="false">IF($G17=0,IF(CW$11=$H17,"◆",""),IF(AND(CW$11&gt;=$H17,CW$11&lt;=$I17),1,""))</f>
        <v/>
      </c>
      <c r="CX17" s="448" t="str">
        <f aca="false">IF($G17=0,IF(CX$11=$H17,"◆",""),IF(AND(CX$11&gt;=$H17,CX$11&lt;=$I17),1,""))</f>
        <v/>
      </c>
      <c r="CY17" s="448" t="str">
        <f aca="false">IF($G17=0,IF(CY$11=$H17,"◆",""),IF(AND(CY$11&gt;=$H17,CY$11&lt;=$I17),1,""))</f>
        <v/>
      </c>
      <c r="CZ17" s="448" t="str">
        <f aca="false">IF($G17=0,IF(CZ$11=$H17,"◆",""),IF(AND(CZ$11&gt;=$H17,CZ$11&lt;=$I17),1,""))</f>
        <v/>
      </c>
      <c r="DA17" s="448" t="str">
        <f aca="false">IF($G17=0,IF(DA$11=$H17,"◆",""),IF(AND(DA$11&gt;=$H17,DA$11&lt;=$I17),1,""))</f>
        <v/>
      </c>
      <c r="DB17" s="448" t="str">
        <f aca="false">IF($G17=0,IF(DB$11=$H17,"◆",""),IF(AND(DB$11&gt;=$H17,DB$11&lt;=$I17),1,""))</f>
        <v/>
      </c>
      <c r="DC17" s="448" t="str">
        <f aca="false">IF($G17=0,IF(DC$11=$H17,"◆",""),IF(AND(DC$11&gt;=$H17,DC$11&lt;=$I17),1,""))</f>
        <v/>
      </c>
      <c r="DD17" s="448" t="str">
        <f aca="false">IF($G17=0,IF(DD$11=$H17,"◆",""),IF(AND(DD$11&gt;=$H17,DD$11&lt;=$I17),1,""))</f>
        <v/>
      </c>
      <c r="DE17" s="448" t="str">
        <f aca="false">IF($G17=0,IF(DE$11=$H17,"◆",""),IF(AND(DE$11&gt;=$H17,DE$11&lt;=$I17),1,""))</f>
        <v/>
      </c>
      <c r="DF17" s="448" t="str">
        <f aca="false">IF($G17=0,IF(DF$11=$H17,"◆",""),IF(AND(DF$11&gt;=$H17,DF$11&lt;=$I17),1,""))</f>
        <v/>
      </c>
      <c r="DG17" s="448" t="str">
        <f aca="false">IF($G17=0,IF(DG$11=$H17,"◆",""),IF(AND(DG$11&gt;=$H17,DG$11&lt;=$I17),1,""))</f>
        <v/>
      </c>
      <c r="DH17" s="448" t="str">
        <f aca="false">IF($G17=0,IF(DH$11=$H17,"◆",""),IF(AND(DH$11&gt;=$H17,DH$11&lt;=$I17),1,""))</f>
        <v/>
      </c>
      <c r="DI17" s="448" t="str">
        <f aca="false">IF($G17=0,IF(DI$11=$H17,"◆",""),IF(AND(DI$11&gt;=$H17,DI$11&lt;=$I17),1,""))</f>
        <v/>
      </c>
      <c r="DJ17" s="448" t="str">
        <f aca="false">IF($G17=0,IF(DJ$11=$H17,"◆",""),IF(AND(DJ$11&gt;=$H17,DJ$11&lt;=$I17),1,""))</f>
        <v/>
      </c>
      <c r="DK17" s="448" t="str">
        <f aca="false">IF($G17=0,IF(DK$11=$H17,"◆",""),IF(AND(DK$11&gt;=$H17,DK$11&lt;=$I17),1,""))</f>
        <v/>
      </c>
      <c r="DL17" s="448" t="str">
        <f aca="false">IF($G17=0,IF(DL$11=$H17,"◆",""),IF(AND(DL$11&gt;=$H17,DL$11&lt;=$I17),1,""))</f>
        <v/>
      </c>
      <c r="DM17" s="448" t="str">
        <f aca="false">IF($G17=0,IF(DM$11=$H17,"◆",""),IF(AND(DM$11&gt;=$H17,DM$11&lt;=$I17),1,""))</f>
        <v/>
      </c>
      <c r="DN17" s="448" t="str">
        <f aca="false">IF($G17=0,IF(DN$11=$H17,"◆",""),IF(AND(DN$11&gt;=$H17,DN$11&lt;=$I17),1,""))</f>
        <v/>
      </c>
      <c r="DO17" s="448" t="str">
        <f aca="false">IF($G17=0,IF(DO$11=$H17,"◆",""),IF(AND(DO$11&gt;=$H17,DO$11&lt;=$I17),1,""))</f>
        <v/>
      </c>
      <c r="DP17" s="448" t="str">
        <f aca="false">IF($G17=0,IF(DP$11=$H17,"◆",""),IF(AND(DP$11&gt;=$H17,DP$11&lt;=$I17),1,""))</f>
        <v/>
      </c>
      <c r="DQ17" s="448" t="str">
        <f aca="false">IF($G17=0,IF(DQ$11=$H17,"◆",""),IF(AND(DQ$11&gt;=$H17,DQ$11&lt;=$I17),1,""))</f>
        <v/>
      </c>
      <c r="DR17" s="448" t="str">
        <f aca="false">IF($G17=0,IF(DR$11=$H17,"◆",""),IF(AND(DR$11&gt;=$H17,DR$11&lt;=$I17),1,""))</f>
        <v/>
      </c>
      <c r="DS17" s="448" t="str">
        <f aca="false">IF($G17=0,IF(DS$11=$H17,"◆",""),IF(AND(DS$11&gt;=$H17,DS$11&lt;=$I17),1,""))</f>
        <v/>
      </c>
      <c r="DT17" s="448" t="str">
        <f aca="false">IF($G17=0,IF(DT$11=$H17,"◆",""),IF(AND(DT$11&gt;=$H17,DT$11&lt;=$I17),1,""))</f>
        <v/>
      </c>
      <c r="DU17" s="448" t="str">
        <f aca="false">IF($G17=0,IF(DU$11=$H17,"◆",""),IF(AND(DU$11&gt;=$H17,DU$11&lt;=$I17),1,""))</f>
        <v/>
      </c>
      <c r="DV17" s="448" t="str">
        <f aca="false">IF($G17=0,IF(DV$11=$H17,"◆",""),IF(AND(DV$11&gt;=$H17,DV$11&lt;=$I17),1,""))</f>
        <v/>
      </c>
      <c r="DW17" s="448" t="str">
        <f aca="false">IF($G17=0,IF(DW$11=$H17,"◆",""),IF(AND(DW$11&gt;=$H17,DW$11&lt;=$I17),1,""))</f>
        <v/>
      </c>
      <c r="DX17" s="448" t="str">
        <f aca="false">IF($G17=0,IF(DX$11=$H17,"◆",""),IF(AND(DX$11&gt;=$H17,DX$11&lt;=$I17),1,""))</f>
        <v/>
      </c>
      <c r="DY17" s="448" t="str">
        <f aca="false">IF($G17=0,IF(DY$11=$H17,"◆",""),IF(AND(DY$11&gt;=$H17,DY$11&lt;=$I17),1,""))</f>
        <v/>
      </c>
      <c r="DZ17" s="448" t="str">
        <f aca="false">IF($G17=0,IF(DZ$11=$H17,"◆",""),IF(AND(DZ$11&gt;=$H17,DZ$11&lt;=$I17),1,""))</f>
        <v/>
      </c>
      <c r="EA17" s="448" t="str">
        <f aca="false">IF($G17=0,IF(EA$11=$H17,"◆",""),IF(AND(EA$11&gt;=$H17,EA$11&lt;=$I17),1,""))</f>
        <v/>
      </c>
      <c r="EB17" s="448" t="str">
        <f aca="false">IF($G17=0,IF(EB$11=$H17,"◆",""),IF(AND(EB$11&gt;=$H17,EB$11&lt;=$I17),1,""))</f>
        <v/>
      </c>
      <c r="EC17" s="448" t="str">
        <f aca="false">IF($G17=0,IF(EC$11=$H17,"◆",""),IF(AND(EC$11&gt;=$H17,EC$11&lt;=$I17),1,""))</f>
        <v/>
      </c>
      <c r="ED17" s="448" t="str">
        <f aca="false">IF($G17=0,IF(ED$11=$H17,"◆",""),IF(AND(ED$11&gt;=$H17,ED$11&lt;=$I17),1,""))</f>
        <v/>
      </c>
    </row>
    <row r="18" customFormat="false" ht="15" hidden="false" customHeight="true" outlineLevel="0" collapsed="false">
      <c r="A18" s="441" t="s">
        <v>2443</v>
      </c>
      <c r="B18" s="297" t="s">
        <v>2444</v>
      </c>
      <c r="C18" s="442" t="s">
        <v>2445</v>
      </c>
      <c r="D18" s="443" t="s">
        <v>2436</v>
      </c>
      <c r="E18" s="354" t="n">
        <f aca="false">1</f>
        <v>1</v>
      </c>
      <c r="F18" s="352" t="n">
        <v>0</v>
      </c>
      <c r="G18" s="352" t="n">
        <v>84</v>
      </c>
      <c r="H18" s="367" t="n">
        <f aca="false">MAX(1,ROUND(($E18-1)*$D$5,0)+1+$F18)</f>
        <v>1</v>
      </c>
      <c r="I18" s="367" t="n">
        <f aca="false">MAX($H18,$H18+$G18-1)</f>
        <v>84</v>
      </c>
      <c r="J18" s="444" t="n">
        <f aca="false">$D$4+($H18-1)*7</f>
        <v>46300</v>
      </c>
      <c r="K18" s="444" t="n">
        <f aca="false">$D$4+$I18*7-1</f>
        <v>46887</v>
      </c>
      <c r="L18" s="445" t="n">
        <f aca="false">ROUNDUP($H18/$D$5,0)</f>
        <v>1</v>
      </c>
      <c r="M18" s="446"/>
      <c r="N18" s="447" t="n">
        <v>0</v>
      </c>
      <c r="O18" s="448" t="n">
        <f aca="false">IF($G18=0,IF(O$11=$H18,"◆",""),IF(AND(O$11&gt;=$H18,O$11&lt;=$I18),1,""))</f>
        <v>1</v>
      </c>
      <c r="P18" s="448" t="n">
        <f aca="false">IF($G18=0,IF(P$11=$H18,"◆",""),IF(AND(P$11&gt;=$H18,P$11&lt;=$I18),1,""))</f>
        <v>1</v>
      </c>
      <c r="Q18" s="448" t="n">
        <f aca="false">IF($G18=0,IF(Q$11=$H18,"◆",""),IF(AND(Q$11&gt;=$H18,Q$11&lt;=$I18),1,""))</f>
        <v>1</v>
      </c>
      <c r="R18" s="448" t="n">
        <f aca="false">IF($G18=0,IF(R$11=$H18,"◆",""),IF(AND(R$11&gt;=$H18,R$11&lt;=$I18),1,""))</f>
        <v>1</v>
      </c>
      <c r="S18" s="448" t="n">
        <f aca="false">IF($G18=0,IF(S$11=$H18,"◆",""),IF(AND(S$11&gt;=$H18,S$11&lt;=$I18),1,""))</f>
        <v>1</v>
      </c>
      <c r="T18" s="448" t="n">
        <f aca="false">IF($G18=0,IF(T$11=$H18,"◆",""),IF(AND(T$11&gt;=$H18,T$11&lt;=$I18),1,""))</f>
        <v>1</v>
      </c>
      <c r="U18" s="448" t="n">
        <f aca="false">IF($G18=0,IF(U$11=$H18,"◆",""),IF(AND(U$11&gt;=$H18,U$11&lt;=$I18),1,""))</f>
        <v>1</v>
      </c>
      <c r="V18" s="448" t="n">
        <f aca="false">IF($G18=0,IF(V$11=$H18,"◆",""),IF(AND(V$11&gt;=$H18,V$11&lt;=$I18),1,""))</f>
        <v>1</v>
      </c>
      <c r="W18" s="448" t="n">
        <f aca="false">IF($G18=0,IF(W$11=$H18,"◆",""),IF(AND(W$11&gt;=$H18,W$11&lt;=$I18),1,""))</f>
        <v>1</v>
      </c>
      <c r="X18" s="448" t="n">
        <f aca="false">IF($G18=0,IF(X$11=$H18,"◆",""),IF(AND(X$11&gt;=$H18,X$11&lt;=$I18),1,""))</f>
        <v>1</v>
      </c>
      <c r="Y18" s="448" t="n">
        <f aca="false">IF($G18=0,IF(Y$11=$H18,"◆",""),IF(AND(Y$11&gt;=$H18,Y$11&lt;=$I18),1,""))</f>
        <v>1</v>
      </c>
      <c r="Z18" s="448" t="n">
        <f aca="false">IF($G18=0,IF(Z$11=$H18,"◆",""),IF(AND(Z$11&gt;=$H18,Z$11&lt;=$I18),1,""))</f>
        <v>1</v>
      </c>
      <c r="AA18" s="448" t="n">
        <f aca="false">IF($G18=0,IF(AA$11=$H18,"◆",""),IF(AND(AA$11&gt;=$H18,AA$11&lt;=$I18),1,""))</f>
        <v>1</v>
      </c>
      <c r="AB18" s="448" t="n">
        <f aca="false">IF($G18=0,IF(AB$11=$H18,"◆",""),IF(AND(AB$11&gt;=$H18,AB$11&lt;=$I18),1,""))</f>
        <v>1</v>
      </c>
      <c r="AC18" s="448" t="n">
        <f aca="false">IF($G18=0,IF(AC$11=$H18,"◆",""),IF(AND(AC$11&gt;=$H18,AC$11&lt;=$I18),1,""))</f>
        <v>1</v>
      </c>
      <c r="AD18" s="448" t="n">
        <f aca="false">IF($G18=0,IF(AD$11=$H18,"◆",""),IF(AND(AD$11&gt;=$H18,AD$11&lt;=$I18),1,""))</f>
        <v>1</v>
      </c>
      <c r="AE18" s="448" t="n">
        <f aca="false">IF($G18=0,IF(AE$11=$H18,"◆",""),IF(AND(AE$11&gt;=$H18,AE$11&lt;=$I18),1,""))</f>
        <v>1</v>
      </c>
      <c r="AF18" s="448" t="n">
        <f aca="false">IF($G18=0,IF(AF$11=$H18,"◆",""),IF(AND(AF$11&gt;=$H18,AF$11&lt;=$I18),1,""))</f>
        <v>1</v>
      </c>
      <c r="AG18" s="448" t="n">
        <f aca="false">IF($G18=0,IF(AG$11=$H18,"◆",""),IF(AND(AG$11&gt;=$H18,AG$11&lt;=$I18),1,""))</f>
        <v>1</v>
      </c>
      <c r="AH18" s="448" t="n">
        <f aca="false">IF($G18=0,IF(AH$11=$H18,"◆",""),IF(AND(AH$11&gt;=$H18,AH$11&lt;=$I18),1,""))</f>
        <v>1</v>
      </c>
      <c r="AI18" s="448" t="n">
        <f aca="false">IF($G18=0,IF(AI$11=$H18,"◆",""),IF(AND(AI$11&gt;=$H18,AI$11&lt;=$I18),1,""))</f>
        <v>1</v>
      </c>
      <c r="AJ18" s="448" t="n">
        <f aca="false">IF($G18=0,IF(AJ$11=$H18,"◆",""),IF(AND(AJ$11&gt;=$H18,AJ$11&lt;=$I18),1,""))</f>
        <v>1</v>
      </c>
      <c r="AK18" s="448" t="n">
        <f aca="false">IF($G18=0,IF(AK$11=$H18,"◆",""),IF(AND(AK$11&gt;=$H18,AK$11&lt;=$I18),1,""))</f>
        <v>1</v>
      </c>
      <c r="AL18" s="448" t="n">
        <f aca="false">IF($G18=0,IF(AL$11=$H18,"◆",""),IF(AND(AL$11&gt;=$H18,AL$11&lt;=$I18),1,""))</f>
        <v>1</v>
      </c>
      <c r="AM18" s="448" t="n">
        <f aca="false">IF($G18=0,IF(AM$11=$H18,"◆",""),IF(AND(AM$11&gt;=$H18,AM$11&lt;=$I18),1,""))</f>
        <v>1</v>
      </c>
      <c r="AN18" s="448" t="n">
        <f aca="false">IF($G18=0,IF(AN$11=$H18,"◆",""),IF(AND(AN$11&gt;=$H18,AN$11&lt;=$I18),1,""))</f>
        <v>1</v>
      </c>
      <c r="AO18" s="448" t="n">
        <f aca="false">IF($G18=0,IF(AO$11=$H18,"◆",""),IF(AND(AO$11&gt;=$H18,AO$11&lt;=$I18),1,""))</f>
        <v>1</v>
      </c>
      <c r="AP18" s="448" t="n">
        <f aca="false">IF($G18=0,IF(AP$11=$H18,"◆",""),IF(AND(AP$11&gt;=$H18,AP$11&lt;=$I18),1,""))</f>
        <v>1</v>
      </c>
      <c r="AQ18" s="448" t="n">
        <f aca="false">IF($G18=0,IF(AQ$11=$H18,"◆",""),IF(AND(AQ$11&gt;=$H18,AQ$11&lt;=$I18),1,""))</f>
        <v>1</v>
      </c>
      <c r="AR18" s="448" t="n">
        <f aca="false">IF($G18=0,IF(AR$11=$H18,"◆",""),IF(AND(AR$11&gt;=$H18,AR$11&lt;=$I18),1,""))</f>
        <v>1</v>
      </c>
      <c r="AS18" s="448" t="n">
        <f aca="false">IF($G18=0,IF(AS$11=$H18,"◆",""),IF(AND(AS$11&gt;=$H18,AS$11&lt;=$I18),1,""))</f>
        <v>1</v>
      </c>
      <c r="AT18" s="448" t="n">
        <f aca="false">IF($G18=0,IF(AT$11=$H18,"◆",""),IF(AND(AT$11&gt;=$H18,AT$11&lt;=$I18),1,""))</f>
        <v>1</v>
      </c>
      <c r="AU18" s="448" t="n">
        <f aca="false">IF($G18=0,IF(AU$11=$H18,"◆",""),IF(AND(AU$11&gt;=$H18,AU$11&lt;=$I18),1,""))</f>
        <v>1</v>
      </c>
      <c r="AV18" s="448" t="n">
        <f aca="false">IF($G18=0,IF(AV$11=$H18,"◆",""),IF(AND(AV$11&gt;=$H18,AV$11&lt;=$I18),1,""))</f>
        <v>1</v>
      </c>
      <c r="AW18" s="448" t="n">
        <f aca="false">IF($G18=0,IF(AW$11=$H18,"◆",""),IF(AND(AW$11&gt;=$H18,AW$11&lt;=$I18),1,""))</f>
        <v>1</v>
      </c>
      <c r="AX18" s="448" t="n">
        <f aca="false">IF($G18=0,IF(AX$11=$H18,"◆",""),IF(AND(AX$11&gt;=$H18,AX$11&lt;=$I18),1,""))</f>
        <v>1</v>
      </c>
      <c r="AY18" s="448" t="n">
        <f aca="false">IF($G18=0,IF(AY$11=$H18,"◆",""),IF(AND(AY$11&gt;=$H18,AY$11&lt;=$I18),1,""))</f>
        <v>1</v>
      </c>
      <c r="AZ18" s="448" t="n">
        <f aca="false">IF($G18=0,IF(AZ$11=$H18,"◆",""),IF(AND(AZ$11&gt;=$H18,AZ$11&lt;=$I18),1,""))</f>
        <v>1</v>
      </c>
      <c r="BA18" s="448" t="n">
        <f aca="false">IF($G18=0,IF(BA$11=$H18,"◆",""),IF(AND(BA$11&gt;=$H18,BA$11&lt;=$I18),1,""))</f>
        <v>1</v>
      </c>
      <c r="BB18" s="448" t="n">
        <f aca="false">IF($G18=0,IF(BB$11=$H18,"◆",""),IF(AND(BB$11&gt;=$H18,BB$11&lt;=$I18),1,""))</f>
        <v>1</v>
      </c>
      <c r="BC18" s="448" t="n">
        <f aca="false">IF($G18=0,IF(BC$11=$H18,"◆",""),IF(AND(BC$11&gt;=$H18,BC$11&lt;=$I18),1,""))</f>
        <v>1</v>
      </c>
      <c r="BD18" s="448" t="n">
        <f aca="false">IF($G18=0,IF(BD$11=$H18,"◆",""),IF(AND(BD$11&gt;=$H18,BD$11&lt;=$I18),1,""))</f>
        <v>1</v>
      </c>
      <c r="BE18" s="448" t="n">
        <f aca="false">IF($G18=0,IF(BE$11=$H18,"◆",""),IF(AND(BE$11&gt;=$H18,BE$11&lt;=$I18),1,""))</f>
        <v>1</v>
      </c>
      <c r="BF18" s="448" t="n">
        <f aca="false">IF($G18=0,IF(BF$11=$H18,"◆",""),IF(AND(BF$11&gt;=$H18,BF$11&lt;=$I18),1,""))</f>
        <v>1</v>
      </c>
      <c r="BG18" s="448" t="n">
        <f aca="false">IF($G18=0,IF(BG$11=$H18,"◆",""),IF(AND(BG$11&gt;=$H18,BG$11&lt;=$I18),1,""))</f>
        <v>1</v>
      </c>
      <c r="BH18" s="448" t="n">
        <f aca="false">IF($G18=0,IF(BH$11=$H18,"◆",""),IF(AND(BH$11&gt;=$H18,BH$11&lt;=$I18),1,""))</f>
        <v>1</v>
      </c>
      <c r="BI18" s="448" t="n">
        <f aca="false">IF($G18=0,IF(BI$11=$H18,"◆",""),IF(AND(BI$11&gt;=$H18,BI$11&lt;=$I18),1,""))</f>
        <v>1</v>
      </c>
      <c r="BJ18" s="448" t="n">
        <f aca="false">IF($G18=0,IF(BJ$11=$H18,"◆",""),IF(AND(BJ$11&gt;=$H18,BJ$11&lt;=$I18),1,""))</f>
        <v>1</v>
      </c>
      <c r="BK18" s="448" t="n">
        <f aca="false">IF($G18=0,IF(BK$11=$H18,"◆",""),IF(AND(BK$11&gt;=$H18,BK$11&lt;=$I18),1,""))</f>
        <v>1</v>
      </c>
      <c r="BL18" s="448" t="n">
        <f aca="false">IF($G18=0,IF(BL$11=$H18,"◆",""),IF(AND(BL$11&gt;=$H18,BL$11&lt;=$I18),1,""))</f>
        <v>1</v>
      </c>
      <c r="BM18" s="448" t="n">
        <f aca="false">IF($G18=0,IF(BM$11=$H18,"◆",""),IF(AND(BM$11&gt;=$H18,BM$11&lt;=$I18),1,""))</f>
        <v>1</v>
      </c>
      <c r="BN18" s="448" t="n">
        <f aca="false">IF($G18=0,IF(BN$11=$H18,"◆",""),IF(AND(BN$11&gt;=$H18,BN$11&lt;=$I18),1,""))</f>
        <v>1</v>
      </c>
      <c r="BO18" s="448" t="n">
        <f aca="false">IF($G18=0,IF(BO$11=$H18,"◆",""),IF(AND(BO$11&gt;=$H18,BO$11&lt;=$I18),1,""))</f>
        <v>1</v>
      </c>
      <c r="BP18" s="448" t="n">
        <f aca="false">IF($G18=0,IF(BP$11=$H18,"◆",""),IF(AND(BP$11&gt;=$H18,BP$11&lt;=$I18),1,""))</f>
        <v>1</v>
      </c>
      <c r="BQ18" s="448" t="n">
        <f aca="false">IF($G18=0,IF(BQ$11=$H18,"◆",""),IF(AND(BQ$11&gt;=$H18,BQ$11&lt;=$I18),1,""))</f>
        <v>1</v>
      </c>
      <c r="BR18" s="448" t="n">
        <f aca="false">IF($G18=0,IF(BR$11=$H18,"◆",""),IF(AND(BR$11&gt;=$H18,BR$11&lt;=$I18),1,""))</f>
        <v>1</v>
      </c>
      <c r="BS18" s="448" t="n">
        <f aca="false">IF($G18=0,IF(BS$11=$H18,"◆",""),IF(AND(BS$11&gt;=$H18,BS$11&lt;=$I18),1,""))</f>
        <v>1</v>
      </c>
      <c r="BT18" s="448" t="n">
        <f aca="false">IF($G18=0,IF(BT$11=$H18,"◆",""),IF(AND(BT$11&gt;=$H18,BT$11&lt;=$I18),1,""))</f>
        <v>1</v>
      </c>
      <c r="BU18" s="448" t="n">
        <f aca="false">IF($G18=0,IF(BU$11=$H18,"◆",""),IF(AND(BU$11&gt;=$H18,BU$11&lt;=$I18),1,""))</f>
        <v>1</v>
      </c>
      <c r="BV18" s="448" t="n">
        <f aca="false">IF($G18=0,IF(BV$11=$H18,"◆",""),IF(AND(BV$11&gt;=$H18,BV$11&lt;=$I18),1,""))</f>
        <v>1</v>
      </c>
      <c r="BW18" s="448" t="n">
        <f aca="false">IF($G18=0,IF(BW$11=$H18,"◆",""),IF(AND(BW$11&gt;=$H18,BW$11&lt;=$I18),1,""))</f>
        <v>1</v>
      </c>
      <c r="BX18" s="448" t="n">
        <f aca="false">IF($G18=0,IF(BX$11=$H18,"◆",""),IF(AND(BX$11&gt;=$H18,BX$11&lt;=$I18),1,""))</f>
        <v>1</v>
      </c>
      <c r="BY18" s="448" t="n">
        <f aca="false">IF($G18=0,IF(BY$11=$H18,"◆",""),IF(AND(BY$11&gt;=$H18,BY$11&lt;=$I18),1,""))</f>
        <v>1</v>
      </c>
      <c r="BZ18" s="448" t="n">
        <f aca="false">IF($G18=0,IF(BZ$11=$H18,"◆",""),IF(AND(BZ$11&gt;=$H18,BZ$11&lt;=$I18),1,""))</f>
        <v>1</v>
      </c>
      <c r="CA18" s="448" t="n">
        <f aca="false">IF($G18=0,IF(CA$11=$H18,"◆",""),IF(AND(CA$11&gt;=$H18,CA$11&lt;=$I18),1,""))</f>
        <v>1</v>
      </c>
      <c r="CB18" s="448" t="n">
        <f aca="false">IF($G18=0,IF(CB$11=$H18,"◆",""),IF(AND(CB$11&gt;=$H18,CB$11&lt;=$I18),1,""))</f>
        <v>1</v>
      </c>
      <c r="CC18" s="448" t="n">
        <f aca="false">IF($G18=0,IF(CC$11=$H18,"◆",""),IF(AND(CC$11&gt;=$H18,CC$11&lt;=$I18),1,""))</f>
        <v>1</v>
      </c>
      <c r="CD18" s="448" t="n">
        <f aca="false">IF($G18=0,IF(CD$11=$H18,"◆",""),IF(AND(CD$11&gt;=$H18,CD$11&lt;=$I18),1,""))</f>
        <v>1</v>
      </c>
      <c r="CE18" s="448" t="n">
        <f aca="false">IF($G18=0,IF(CE$11=$H18,"◆",""),IF(AND(CE$11&gt;=$H18,CE$11&lt;=$I18),1,""))</f>
        <v>1</v>
      </c>
      <c r="CF18" s="448" t="n">
        <f aca="false">IF($G18=0,IF(CF$11=$H18,"◆",""),IF(AND(CF$11&gt;=$H18,CF$11&lt;=$I18),1,""))</f>
        <v>1</v>
      </c>
      <c r="CG18" s="448" t="n">
        <f aca="false">IF($G18=0,IF(CG$11=$H18,"◆",""),IF(AND(CG$11&gt;=$H18,CG$11&lt;=$I18),1,""))</f>
        <v>1</v>
      </c>
      <c r="CH18" s="448" t="n">
        <f aca="false">IF($G18=0,IF(CH$11=$H18,"◆",""),IF(AND(CH$11&gt;=$H18,CH$11&lt;=$I18),1,""))</f>
        <v>1</v>
      </c>
      <c r="CI18" s="448" t="n">
        <f aca="false">IF($G18=0,IF(CI$11=$H18,"◆",""),IF(AND(CI$11&gt;=$H18,CI$11&lt;=$I18),1,""))</f>
        <v>1</v>
      </c>
      <c r="CJ18" s="448" t="n">
        <f aca="false">IF($G18=0,IF(CJ$11=$H18,"◆",""),IF(AND(CJ$11&gt;=$H18,CJ$11&lt;=$I18),1,""))</f>
        <v>1</v>
      </c>
      <c r="CK18" s="448" t="n">
        <f aca="false">IF($G18=0,IF(CK$11=$H18,"◆",""),IF(AND(CK$11&gt;=$H18,CK$11&lt;=$I18),1,""))</f>
        <v>1</v>
      </c>
      <c r="CL18" s="448" t="n">
        <f aca="false">IF($G18=0,IF(CL$11=$H18,"◆",""),IF(AND(CL$11&gt;=$H18,CL$11&lt;=$I18),1,""))</f>
        <v>1</v>
      </c>
      <c r="CM18" s="448" t="n">
        <f aca="false">IF($G18=0,IF(CM$11=$H18,"◆",""),IF(AND(CM$11&gt;=$H18,CM$11&lt;=$I18),1,""))</f>
        <v>1</v>
      </c>
      <c r="CN18" s="448" t="n">
        <f aca="false">IF($G18=0,IF(CN$11=$H18,"◆",""),IF(AND(CN$11&gt;=$H18,CN$11&lt;=$I18),1,""))</f>
        <v>1</v>
      </c>
      <c r="CO18" s="448" t="n">
        <f aca="false">IF($G18=0,IF(CO$11=$H18,"◆",""),IF(AND(CO$11&gt;=$H18,CO$11&lt;=$I18),1,""))</f>
        <v>1</v>
      </c>
      <c r="CP18" s="448" t="n">
        <f aca="false">IF($G18=0,IF(CP$11=$H18,"◆",""),IF(AND(CP$11&gt;=$H18,CP$11&lt;=$I18),1,""))</f>
        <v>1</v>
      </c>
      <c r="CQ18" s="448" t="n">
        <f aca="false">IF($G18=0,IF(CQ$11=$H18,"◆",""),IF(AND(CQ$11&gt;=$H18,CQ$11&lt;=$I18),1,""))</f>
        <v>1</v>
      </c>
      <c r="CR18" s="448" t="n">
        <f aca="false">IF($G18=0,IF(CR$11=$H18,"◆",""),IF(AND(CR$11&gt;=$H18,CR$11&lt;=$I18),1,""))</f>
        <v>1</v>
      </c>
      <c r="CS18" s="448" t="n">
        <f aca="false">IF($G18=0,IF(CS$11=$H18,"◆",""),IF(AND(CS$11&gt;=$H18,CS$11&lt;=$I18),1,""))</f>
        <v>1</v>
      </c>
      <c r="CT18" s="448" t="n">
        <f aca="false">IF($G18=0,IF(CT$11=$H18,"◆",""),IF(AND(CT$11&gt;=$H18,CT$11&lt;=$I18),1,""))</f>
        <v>1</v>
      </c>
      <c r="CU18" s="448" t="str">
        <f aca="false">IF($G18=0,IF(CU$11=$H18,"◆",""),IF(AND(CU$11&gt;=$H18,CU$11&lt;=$I18),1,""))</f>
        <v/>
      </c>
      <c r="CV18" s="448" t="str">
        <f aca="false">IF($G18=0,IF(CV$11=$H18,"◆",""),IF(AND(CV$11&gt;=$H18,CV$11&lt;=$I18),1,""))</f>
        <v/>
      </c>
      <c r="CW18" s="448" t="str">
        <f aca="false">IF($G18=0,IF(CW$11=$H18,"◆",""),IF(AND(CW$11&gt;=$H18,CW$11&lt;=$I18),1,""))</f>
        <v/>
      </c>
      <c r="CX18" s="448" t="str">
        <f aca="false">IF($G18=0,IF(CX$11=$H18,"◆",""),IF(AND(CX$11&gt;=$H18,CX$11&lt;=$I18),1,""))</f>
        <v/>
      </c>
      <c r="CY18" s="448" t="str">
        <f aca="false">IF($G18=0,IF(CY$11=$H18,"◆",""),IF(AND(CY$11&gt;=$H18,CY$11&lt;=$I18),1,""))</f>
        <v/>
      </c>
      <c r="CZ18" s="448" t="str">
        <f aca="false">IF($G18=0,IF(CZ$11=$H18,"◆",""),IF(AND(CZ$11&gt;=$H18,CZ$11&lt;=$I18),1,""))</f>
        <v/>
      </c>
      <c r="DA18" s="448" t="str">
        <f aca="false">IF($G18=0,IF(DA$11=$H18,"◆",""),IF(AND(DA$11&gt;=$H18,DA$11&lt;=$I18),1,""))</f>
        <v/>
      </c>
      <c r="DB18" s="448" t="str">
        <f aca="false">IF($G18=0,IF(DB$11=$H18,"◆",""),IF(AND(DB$11&gt;=$H18,DB$11&lt;=$I18),1,""))</f>
        <v/>
      </c>
      <c r="DC18" s="448" t="str">
        <f aca="false">IF($G18=0,IF(DC$11=$H18,"◆",""),IF(AND(DC$11&gt;=$H18,DC$11&lt;=$I18),1,""))</f>
        <v/>
      </c>
      <c r="DD18" s="448" t="str">
        <f aca="false">IF($G18=0,IF(DD$11=$H18,"◆",""),IF(AND(DD$11&gt;=$H18,DD$11&lt;=$I18),1,""))</f>
        <v/>
      </c>
      <c r="DE18" s="448" t="str">
        <f aca="false">IF($G18=0,IF(DE$11=$H18,"◆",""),IF(AND(DE$11&gt;=$H18,DE$11&lt;=$I18),1,""))</f>
        <v/>
      </c>
      <c r="DF18" s="448" t="str">
        <f aca="false">IF($G18=0,IF(DF$11=$H18,"◆",""),IF(AND(DF$11&gt;=$H18,DF$11&lt;=$I18),1,""))</f>
        <v/>
      </c>
      <c r="DG18" s="448" t="str">
        <f aca="false">IF($G18=0,IF(DG$11=$H18,"◆",""),IF(AND(DG$11&gt;=$H18,DG$11&lt;=$I18),1,""))</f>
        <v/>
      </c>
      <c r="DH18" s="448" t="str">
        <f aca="false">IF($G18=0,IF(DH$11=$H18,"◆",""),IF(AND(DH$11&gt;=$H18,DH$11&lt;=$I18),1,""))</f>
        <v/>
      </c>
      <c r="DI18" s="448" t="str">
        <f aca="false">IF($G18=0,IF(DI$11=$H18,"◆",""),IF(AND(DI$11&gt;=$H18,DI$11&lt;=$I18),1,""))</f>
        <v/>
      </c>
      <c r="DJ18" s="448" t="str">
        <f aca="false">IF($G18=0,IF(DJ$11=$H18,"◆",""),IF(AND(DJ$11&gt;=$H18,DJ$11&lt;=$I18),1,""))</f>
        <v/>
      </c>
      <c r="DK18" s="448" t="str">
        <f aca="false">IF($G18=0,IF(DK$11=$H18,"◆",""),IF(AND(DK$11&gt;=$H18,DK$11&lt;=$I18),1,""))</f>
        <v/>
      </c>
      <c r="DL18" s="448" t="str">
        <f aca="false">IF($G18=0,IF(DL$11=$H18,"◆",""),IF(AND(DL$11&gt;=$H18,DL$11&lt;=$I18),1,""))</f>
        <v/>
      </c>
      <c r="DM18" s="448" t="str">
        <f aca="false">IF($G18=0,IF(DM$11=$H18,"◆",""),IF(AND(DM$11&gt;=$H18,DM$11&lt;=$I18),1,""))</f>
        <v/>
      </c>
      <c r="DN18" s="448" t="str">
        <f aca="false">IF($G18=0,IF(DN$11=$H18,"◆",""),IF(AND(DN$11&gt;=$H18,DN$11&lt;=$I18),1,""))</f>
        <v/>
      </c>
      <c r="DO18" s="448" t="str">
        <f aca="false">IF($G18=0,IF(DO$11=$H18,"◆",""),IF(AND(DO$11&gt;=$H18,DO$11&lt;=$I18),1,""))</f>
        <v/>
      </c>
      <c r="DP18" s="448" t="str">
        <f aca="false">IF($G18=0,IF(DP$11=$H18,"◆",""),IF(AND(DP$11&gt;=$H18,DP$11&lt;=$I18),1,""))</f>
        <v/>
      </c>
      <c r="DQ18" s="448" t="str">
        <f aca="false">IF($G18=0,IF(DQ$11=$H18,"◆",""),IF(AND(DQ$11&gt;=$H18,DQ$11&lt;=$I18),1,""))</f>
        <v/>
      </c>
      <c r="DR18" s="448" t="str">
        <f aca="false">IF($G18=0,IF(DR$11=$H18,"◆",""),IF(AND(DR$11&gt;=$H18,DR$11&lt;=$I18),1,""))</f>
        <v/>
      </c>
      <c r="DS18" s="448" t="str">
        <f aca="false">IF($G18=0,IF(DS$11=$H18,"◆",""),IF(AND(DS$11&gt;=$H18,DS$11&lt;=$I18),1,""))</f>
        <v/>
      </c>
      <c r="DT18" s="448" t="str">
        <f aca="false">IF($G18=0,IF(DT$11=$H18,"◆",""),IF(AND(DT$11&gt;=$H18,DT$11&lt;=$I18),1,""))</f>
        <v/>
      </c>
      <c r="DU18" s="448" t="str">
        <f aca="false">IF($G18=0,IF(DU$11=$H18,"◆",""),IF(AND(DU$11&gt;=$H18,DU$11&lt;=$I18),1,""))</f>
        <v/>
      </c>
      <c r="DV18" s="448" t="str">
        <f aca="false">IF($G18=0,IF(DV$11=$H18,"◆",""),IF(AND(DV$11&gt;=$H18,DV$11&lt;=$I18),1,""))</f>
        <v/>
      </c>
      <c r="DW18" s="448" t="str">
        <f aca="false">IF($G18=0,IF(DW$11=$H18,"◆",""),IF(AND(DW$11&gt;=$H18,DW$11&lt;=$I18),1,""))</f>
        <v/>
      </c>
      <c r="DX18" s="448" t="str">
        <f aca="false">IF($G18=0,IF(DX$11=$H18,"◆",""),IF(AND(DX$11&gt;=$H18,DX$11&lt;=$I18),1,""))</f>
        <v/>
      </c>
      <c r="DY18" s="448" t="str">
        <f aca="false">IF($G18=0,IF(DY$11=$H18,"◆",""),IF(AND(DY$11&gt;=$H18,DY$11&lt;=$I18),1,""))</f>
        <v/>
      </c>
      <c r="DZ18" s="448" t="str">
        <f aca="false">IF($G18=0,IF(DZ$11=$H18,"◆",""),IF(AND(DZ$11&gt;=$H18,DZ$11&lt;=$I18),1,""))</f>
        <v/>
      </c>
      <c r="EA18" s="448" t="str">
        <f aca="false">IF($G18=0,IF(EA$11=$H18,"◆",""),IF(AND(EA$11&gt;=$H18,EA$11&lt;=$I18),1,""))</f>
        <v/>
      </c>
      <c r="EB18" s="448" t="str">
        <f aca="false">IF($G18=0,IF(EB$11=$H18,"◆",""),IF(AND(EB$11&gt;=$H18,EB$11&lt;=$I18),1,""))</f>
        <v/>
      </c>
      <c r="EC18" s="448" t="str">
        <f aca="false">IF($G18=0,IF(EC$11=$H18,"◆",""),IF(AND(EC$11&gt;=$H18,EC$11&lt;=$I18),1,""))</f>
        <v/>
      </c>
      <c r="ED18" s="448" t="str">
        <f aca="false">IF($G18=0,IF(ED$11=$H18,"◆",""),IF(AND(ED$11&gt;=$H18,ED$11&lt;=$I18),1,""))</f>
        <v/>
      </c>
    </row>
    <row r="19" customFormat="false" ht="15" hidden="false" customHeight="true" outlineLevel="0" collapsed="false">
      <c r="A19" s="441" t="s">
        <v>2446</v>
      </c>
      <c r="B19" s="297" t="s">
        <v>2447</v>
      </c>
      <c r="C19" s="442" t="s">
        <v>2439</v>
      </c>
      <c r="D19" s="443" t="s">
        <v>2448</v>
      </c>
      <c r="E19" s="354" t="n">
        <f aca="false">$D$7</f>
        <v>14</v>
      </c>
      <c r="F19" s="352" t="n">
        <v>8</v>
      </c>
      <c r="G19" s="352" t="n">
        <v>4</v>
      </c>
      <c r="H19" s="367" t="n">
        <f aca="false">MAX(1,ROUND(($E19-1)*$D$5,0)+1+$F19)</f>
        <v>65</v>
      </c>
      <c r="I19" s="367" t="n">
        <f aca="false">MAX($H19,$H19+$G19-1)</f>
        <v>68</v>
      </c>
      <c r="J19" s="444" t="n">
        <f aca="false">$D$4+($H19-1)*7</f>
        <v>46748</v>
      </c>
      <c r="K19" s="444" t="n">
        <f aca="false">$D$4+$I19*7-1</f>
        <v>46775</v>
      </c>
      <c r="L19" s="445" t="n">
        <f aca="false">ROUNDUP($H19/$D$5,0)</f>
        <v>15</v>
      </c>
      <c r="M19" s="446"/>
      <c r="N19" s="447" t="n">
        <v>0</v>
      </c>
      <c r="O19" s="448" t="str">
        <f aca="false">IF($G19=0,IF(O$11=$H19,"◆",""),IF(AND(O$11&gt;=$H19,O$11&lt;=$I19),1,""))</f>
        <v/>
      </c>
      <c r="P19" s="448" t="str">
        <f aca="false">IF($G19=0,IF(P$11=$H19,"◆",""),IF(AND(P$11&gt;=$H19,P$11&lt;=$I19),1,""))</f>
        <v/>
      </c>
      <c r="Q19" s="448" t="str">
        <f aca="false">IF($G19=0,IF(Q$11=$H19,"◆",""),IF(AND(Q$11&gt;=$H19,Q$11&lt;=$I19),1,""))</f>
        <v/>
      </c>
      <c r="R19" s="448" t="str">
        <f aca="false">IF($G19=0,IF(R$11=$H19,"◆",""),IF(AND(R$11&gt;=$H19,R$11&lt;=$I19),1,""))</f>
        <v/>
      </c>
      <c r="S19" s="448" t="str">
        <f aca="false">IF($G19=0,IF(S$11=$H19,"◆",""),IF(AND(S$11&gt;=$H19,S$11&lt;=$I19),1,""))</f>
        <v/>
      </c>
      <c r="T19" s="448" t="str">
        <f aca="false">IF($G19=0,IF(T$11=$H19,"◆",""),IF(AND(T$11&gt;=$H19,T$11&lt;=$I19),1,""))</f>
        <v/>
      </c>
      <c r="U19" s="448" t="str">
        <f aca="false">IF($G19=0,IF(U$11=$H19,"◆",""),IF(AND(U$11&gt;=$H19,U$11&lt;=$I19),1,""))</f>
        <v/>
      </c>
      <c r="V19" s="448" t="str">
        <f aca="false">IF($G19=0,IF(V$11=$H19,"◆",""),IF(AND(V$11&gt;=$H19,V$11&lt;=$I19),1,""))</f>
        <v/>
      </c>
      <c r="W19" s="448" t="str">
        <f aca="false">IF($G19=0,IF(W$11=$H19,"◆",""),IF(AND(W$11&gt;=$H19,W$11&lt;=$I19),1,""))</f>
        <v/>
      </c>
      <c r="X19" s="448" t="str">
        <f aca="false">IF($G19=0,IF(X$11=$H19,"◆",""),IF(AND(X$11&gt;=$H19,X$11&lt;=$I19),1,""))</f>
        <v/>
      </c>
      <c r="Y19" s="448" t="str">
        <f aca="false">IF($G19=0,IF(Y$11=$H19,"◆",""),IF(AND(Y$11&gt;=$H19,Y$11&lt;=$I19),1,""))</f>
        <v/>
      </c>
      <c r="Z19" s="448" t="str">
        <f aca="false">IF($G19=0,IF(Z$11=$H19,"◆",""),IF(AND(Z$11&gt;=$H19,Z$11&lt;=$I19),1,""))</f>
        <v/>
      </c>
      <c r="AA19" s="448" t="str">
        <f aca="false">IF($G19=0,IF(AA$11=$H19,"◆",""),IF(AND(AA$11&gt;=$H19,AA$11&lt;=$I19),1,""))</f>
        <v/>
      </c>
      <c r="AB19" s="448" t="str">
        <f aca="false">IF($G19=0,IF(AB$11=$H19,"◆",""),IF(AND(AB$11&gt;=$H19,AB$11&lt;=$I19),1,""))</f>
        <v/>
      </c>
      <c r="AC19" s="448" t="str">
        <f aca="false">IF($G19=0,IF(AC$11=$H19,"◆",""),IF(AND(AC$11&gt;=$H19,AC$11&lt;=$I19),1,""))</f>
        <v/>
      </c>
      <c r="AD19" s="448" t="str">
        <f aca="false">IF($G19=0,IF(AD$11=$H19,"◆",""),IF(AND(AD$11&gt;=$H19,AD$11&lt;=$I19),1,""))</f>
        <v/>
      </c>
      <c r="AE19" s="448" t="str">
        <f aca="false">IF($G19=0,IF(AE$11=$H19,"◆",""),IF(AND(AE$11&gt;=$H19,AE$11&lt;=$I19),1,""))</f>
        <v/>
      </c>
      <c r="AF19" s="448" t="str">
        <f aca="false">IF($G19=0,IF(AF$11=$H19,"◆",""),IF(AND(AF$11&gt;=$H19,AF$11&lt;=$I19),1,""))</f>
        <v/>
      </c>
      <c r="AG19" s="448" t="str">
        <f aca="false">IF($G19=0,IF(AG$11=$H19,"◆",""),IF(AND(AG$11&gt;=$H19,AG$11&lt;=$I19),1,""))</f>
        <v/>
      </c>
      <c r="AH19" s="448" t="str">
        <f aca="false">IF($G19=0,IF(AH$11=$H19,"◆",""),IF(AND(AH$11&gt;=$H19,AH$11&lt;=$I19),1,""))</f>
        <v/>
      </c>
      <c r="AI19" s="448" t="str">
        <f aca="false">IF($G19=0,IF(AI$11=$H19,"◆",""),IF(AND(AI$11&gt;=$H19,AI$11&lt;=$I19),1,""))</f>
        <v/>
      </c>
      <c r="AJ19" s="448" t="str">
        <f aca="false">IF($G19=0,IF(AJ$11=$H19,"◆",""),IF(AND(AJ$11&gt;=$H19,AJ$11&lt;=$I19),1,""))</f>
        <v/>
      </c>
      <c r="AK19" s="448" t="str">
        <f aca="false">IF($G19=0,IF(AK$11=$H19,"◆",""),IF(AND(AK$11&gt;=$H19,AK$11&lt;=$I19),1,""))</f>
        <v/>
      </c>
      <c r="AL19" s="448" t="str">
        <f aca="false">IF($G19=0,IF(AL$11=$H19,"◆",""),IF(AND(AL$11&gt;=$H19,AL$11&lt;=$I19),1,""))</f>
        <v/>
      </c>
      <c r="AM19" s="448" t="str">
        <f aca="false">IF($G19=0,IF(AM$11=$H19,"◆",""),IF(AND(AM$11&gt;=$H19,AM$11&lt;=$I19),1,""))</f>
        <v/>
      </c>
      <c r="AN19" s="448" t="str">
        <f aca="false">IF($G19=0,IF(AN$11=$H19,"◆",""),IF(AND(AN$11&gt;=$H19,AN$11&lt;=$I19),1,""))</f>
        <v/>
      </c>
      <c r="AO19" s="448" t="str">
        <f aca="false">IF($G19=0,IF(AO$11=$H19,"◆",""),IF(AND(AO$11&gt;=$H19,AO$11&lt;=$I19),1,""))</f>
        <v/>
      </c>
      <c r="AP19" s="448" t="str">
        <f aca="false">IF($G19=0,IF(AP$11=$H19,"◆",""),IF(AND(AP$11&gt;=$H19,AP$11&lt;=$I19),1,""))</f>
        <v/>
      </c>
      <c r="AQ19" s="448" t="str">
        <f aca="false">IF($G19=0,IF(AQ$11=$H19,"◆",""),IF(AND(AQ$11&gt;=$H19,AQ$11&lt;=$I19),1,""))</f>
        <v/>
      </c>
      <c r="AR19" s="448" t="str">
        <f aca="false">IF($G19=0,IF(AR$11=$H19,"◆",""),IF(AND(AR$11&gt;=$H19,AR$11&lt;=$I19),1,""))</f>
        <v/>
      </c>
      <c r="AS19" s="448" t="str">
        <f aca="false">IF($G19=0,IF(AS$11=$H19,"◆",""),IF(AND(AS$11&gt;=$H19,AS$11&lt;=$I19),1,""))</f>
        <v/>
      </c>
      <c r="AT19" s="448" t="str">
        <f aca="false">IF($G19=0,IF(AT$11=$H19,"◆",""),IF(AND(AT$11&gt;=$H19,AT$11&lt;=$I19),1,""))</f>
        <v/>
      </c>
      <c r="AU19" s="448" t="str">
        <f aca="false">IF($G19=0,IF(AU$11=$H19,"◆",""),IF(AND(AU$11&gt;=$H19,AU$11&lt;=$I19),1,""))</f>
        <v/>
      </c>
      <c r="AV19" s="448" t="str">
        <f aca="false">IF($G19=0,IF(AV$11=$H19,"◆",""),IF(AND(AV$11&gt;=$H19,AV$11&lt;=$I19),1,""))</f>
        <v/>
      </c>
      <c r="AW19" s="448" t="str">
        <f aca="false">IF($G19=0,IF(AW$11=$H19,"◆",""),IF(AND(AW$11&gt;=$H19,AW$11&lt;=$I19),1,""))</f>
        <v/>
      </c>
      <c r="AX19" s="448" t="str">
        <f aca="false">IF($G19=0,IF(AX$11=$H19,"◆",""),IF(AND(AX$11&gt;=$H19,AX$11&lt;=$I19),1,""))</f>
        <v/>
      </c>
      <c r="AY19" s="448" t="str">
        <f aca="false">IF($G19=0,IF(AY$11=$H19,"◆",""),IF(AND(AY$11&gt;=$H19,AY$11&lt;=$I19),1,""))</f>
        <v/>
      </c>
      <c r="AZ19" s="448" t="str">
        <f aca="false">IF($G19=0,IF(AZ$11=$H19,"◆",""),IF(AND(AZ$11&gt;=$H19,AZ$11&lt;=$I19),1,""))</f>
        <v/>
      </c>
      <c r="BA19" s="448" t="str">
        <f aca="false">IF($G19=0,IF(BA$11=$H19,"◆",""),IF(AND(BA$11&gt;=$H19,BA$11&lt;=$I19),1,""))</f>
        <v/>
      </c>
      <c r="BB19" s="448" t="str">
        <f aca="false">IF($G19=0,IF(BB$11=$H19,"◆",""),IF(AND(BB$11&gt;=$H19,BB$11&lt;=$I19),1,""))</f>
        <v/>
      </c>
      <c r="BC19" s="448" t="str">
        <f aca="false">IF($G19=0,IF(BC$11=$H19,"◆",""),IF(AND(BC$11&gt;=$H19,BC$11&lt;=$I19),1,""))</f>
        <v/>
      </c>
      <c r="BD19" s="448" t="str">
        <f aca="false">IF($G19=0,IF(BD$11=$H19,"◆",""),IF(AND(BD$11&gt;=$H19,BD$11&lt;=$I19),1,""))</f>
        <v/>
      </c>
      <c r="BE19" s="448" t="str">
        <f aca="false">IF($G19=0,IF(BE$11=$H19,"◆",""),IF(AND(BE$11&gt;=$H19,BE$11&lt;=$I19),1,""))</f>
        <v/>
      </c>
      <c r="BF19" s="448" t="str">
        <f aca="false">IF($G19=0,IF(BF$11=$H19,"◆",""),IF(AND(BF$11&gt;=$H19,BF$11&lt;=$I19),1,""))</f>
        <v/>
      </c>
      <c r="BG19" s="448" t="str">
        <f aca="false">IF($G19=0,IF(BG$11=$H19,"◆",""),IF(AND(BG$11&gt;=$H19,BG$11&lt;=$I19),1,""))</f>
        <v/>
      </c>
      <c r="BH19" s="448" t="str">
        <f aca="false">IF($G19=0,IF(BH$11=$H19,"◆",""),IF(AND(BH$11&gt;=$H19,BH$11&lt;=$I19),1,""))</f>
        <v/>
      </c>
      <c r="BI19" s="448" t="str">
        <f aca="false">IF($G19=0,IF(BI$11=$H19,"◆",""),IF(AND(BI$11&gt;=$H19,BI$11&lt;=$I19),1,""))</f>
        <v/>
      </c>
      <c r="BJ19" s="448" t="str">
        <f aca="false">IF($G19=0,IF(BJ$11=$H19,"◆",""),IF(AND(BJ$11&gt;=$H19,BJ$11&lt;=$I19),1,""))</f>
        <v/>
      </c>
      <c r="BK19" s="448" t="str">
        <f aca="false">IF($G19=0,IF(BK$11=$H19,"◆",""),IF(AND(BK$11&gt;=$H19,BK$11&lt;=$I19),1,""))</f>
        <v/>
      </c>
      <c r="BL19" s="448" t="str">
        <f aca="false">IF($G19=0,IF(BL$11=$H19,"◆",""),IF(AND(BL$11&gt;=$H19,BL$11&lt;=$I19),1,""))</f>
        <v/>
      </c>
      <c r="BM19" s="448" t="str">
        <f aca="false">IF($G19=0,IF(BM$11=$H19,"◆",""),IF(AND(BM$11&gt;=$H19,BM$11&lt;=$I19),1,""))</f>
        <v/>
      </c>
      <c r="BN19" s="448" t="str">
        <f aca="false">IF($G19=0,IF(BN$11=$H19,"◆",""),IF(AND(BN$11&gt;=$H19,BN$11&lt;=$I19),1,""))</f>
        <v/>
      </c>
      <c r="BO19" s="448" t="str">
        <f aca="false">IF($G19=0,IF(BO$11=$H19,"◆",""),IF(AND(BO$11&gt;=$H19,BO$11&lt;=$I19),1,""))</f>
        <v/>
      </c>
      <c r="BP19" s="448" t="str">
        <f aca="false">IF($G19=0,IF(BP$11=$H19,"◆",""),IF(AND(BP$11&gt;=$H19,BP$11&lt;=$I19),1,""))</f>
        <v/>
      </c>
      <c r="BQ19" s="448" t="str">
        <f aca="false">IF($G19=0,IF(BQ$11=$H19,"◆",""),IF(AND(BQ$11&gt;=$H19,BQ$11&lt;=$I19),1,""))</f>
        <v/>
      </c>
      <c r="BR19" s="448" t="str">
        <f aca="false">IF($G19=0,IF(BR$11=$H19,"◆",""),IF(AND(BR$11&gt;=$H19,BR$11&lt;=$I19),1,""))</f>
        <v/>
      </c>
      <c r="BS19" s="448" t="str">
        <f aca="false">IF($G19=0,IF(BS$11=$H19,"◆",""),IF(AND(BS$11&gt;=$H19,BS$11&lt;=$I19),1,""))</f>
        <v/>
      </c>
      <c r="BT19" s="448" t="str">
        <f aca="false">IF($G19=0,IF(BT$11=$H19,"◆",""),IF(AND(BT$11&gt;=$H19,BT$11&lt;=$I19),1,""))</f>
        <v/>
      </c>
      <c r="BU19" s="448" t="str">
        <f aca="false">IF($G19=0,IF(BU$11=$H19,"◆",""),IF(AND(BU$11&gt;=$H19,BU$11&lt;=$I19),1,""))</f>
        <v/>
      </c>
      <c r="BV19" s="448" t="str">
        <f aca="false">IF($G19=0,IF(BV$11=$H19,"◆",""),IF(AND(BV$11&gt;=$H19,BV$11&lt;=$I19),1,""))</f>
        <v/>
      </c>
      <c r="BW19" s="448" t="str">
        <f aca="false">IF($G19=0,IF(BW$11=$H19,"◆",""),IF(AND(BW$11&gt;=$H19,BW$11&lt;=$I19),1,""))</f>
        <v/>
      </c>
      <c r="BX19" s="448" t="str">
        <f aca="false">IF($G19=0,IF(BX$11=$H19,"◆",""),IF(AND(BX$11&gt;=$H19,BX$11&lt;=$I19),1,""))</f>
        <v/>
      </c>
      <c r="BY19" s="448" t="str">
        <f aca="false">IF($G19=0,IF(BY$11=$H19,"◆",""),IF(AND(BY$11&gt;=$H19,BY$11&lt;=$I19),1,""))</f>
        <v/>
      </c>
      <c r="BZ19" s="448" t="str">
        <f aca="false">IF($G19=0,IF(BZ$11=$H19,"◆",""),IF(AND(BZ$11&gt;=$H19,BZ$11&lt;=$I19),1,""))</f>
        <v/>
      </c>
      <c r="CA19" s="448" t="n">
        <f aca="false">IF($G19=0,IF(CA$11=$H19,"◆",""),IF(AND(CA$11&gt;=$H19,CA$11&lt;=$I19),1,""))</f>
        <v>1</v>
      </c>
      <c r="CB19" s="448" t="n">
        <f aca="false">IF($G19=0,IF(CB$11=$H19,"◆",""),IF(AND(CB$11&gt;=$H19,CB$11&lt;=$I19),1,""))</f>
        <v>1</v>
      </c>
      <c r="CC19" s="448" t="n">
        <f aca="false">IF($G19=0,IF(CC$11=$H19,"◆",""),IF(AND(CC$11&gt;=$H19,CC$11&lt;=$I19),1,""))</f>
        <v>1</v>
      </c>
      <c r="CD19" s="448" t="n">
        <f aca="false">IF($G19=0,IF(CD$11=$H19,"◆",""),IF(AND(CD$11&gt;=$H19,CD$11&lt;=$I19),1,""))</f>
        <v>1</v>
      </c>
      <c r="CE19" s="448" t="str">
        <f aca="false">IF($G19=0,IF(CE$11=$H19,"◆",""),IF(AND(CE$11&gt;=$H19,CE$11&lt;=$I19),1,""))</f>
        <v/>
      </c>
      <c r="CF19" s="448" t="str">
        <f aca="false">IF($G19=0,IF(CF$11=$H19,"◆",""),IF(AND(CF$11&gt;=$H19,CF$11&lt;=$I19),1,""))</f>
        <v/>
      </c>
      <c r="CG19" s="448" t="str">
        <f aca="false">IF($G19=0,IF(CG$11=$H19,"◆",""),IF(AND(CG$11&gt;=$H19,CG$11&lt;=$I19),1,""))</f>
        <v/>
      </c>
      <c r="CH19" s="448" t="str">
        <f aca="false">IF($G19=0,IF(CH$11=$H19,"◆",""),IF(AND(CH$11&gt;=$H19,CH$11&lt;=$I19),1,""))</f>
        <v/>
      </c>
      <c r="CI19" s="448" t="str">
        <f aca="false">IF($G19=0,IF(CI$11=$H19,"◆",""),IF(AND(CI$11&gt;=$H19,CI$11&lt;=$I19),1,""))</f>
        <v/>
      </c>
      <c r="CJ19" s="448" t="str">
        <f aca="false">IF($G19=0,IF(CJ$11=$H19,"◆",""),IF(AND(CJ$11&gt;=$H19,CJ$11&lt;=$I19),1,""))</f>
        <v/>
      </c>
      <c r="CK19" s="448" t="str">
        <f aca="false">IF($G19=0,IF(CK$11=$H19,"◆",""),IF(AND(CK$11&gt;=$H19,CK$11&lt;=$I19),1,""))</f>
        <v/>
      </c>
      <c r="CL19" s="448" t="str">
        <f aca="false">IF($G19=0,IF(CL$11=$H19,"◆",""),IF(AND(CL$11&gt;=$H19,CL$11&lt;=$I19),1,""))</f>
        <v/>
      </c>
      <c r="CM19" s="448" t="str">
        <f aca="false">IF($G19=0,IF(CM$11=$H19,"◆",""),IF(AND(CM$11&gt;=$H19,CM$11&lt;=$I19),1,""))</f>
        <v/>
      </c>
      <c r="CN19" s="448" t="str">
        <f aca="false">IF($G19=0,IF(CN$11=$H19,"◆",""),IF(AND(CN$11&gt;=$H19,CN$11&lt;=$I19),1,""))</f>
        <v/>
      </c>
      <c r="CO19" s="448" t="str">
        <f aca="false">IF($G19=0,IF(CO$11=$H19,"◆",""),IF(AND(CO$11&gt;=$H19,CO$11&lt;=$I19),1,""))</f>
        <v/>
      </c>
      <c r="CP19" s="448" t="str">
        <f aca="false">IF($G19=0,IF(CP$11=$H19,"◆",""),IF(AND(CP$11&gt;=$H19,CP$11&lt;=$I19),1,""))</f>
        <v/>
      </c>
      <c r="CQ19" s="448" t="str">
        <f aca="false">IF($G19=0,IF(CQ$11=$H19,"◆",""),IF(AND(CQ$11&gt;=$H19,CQ$11&lt;=$I19),1,""))</f>
        <v/>
      </c>
      <c r="CR19" s="448" t="str">
        <f aca="false">IF($G19=0,IF(CR$11=$H19,"◆",""),IF(AND(CR$11&gt;=$H19,CR$11&lt;=$I19),1,""))</f>
        <v/>
      </c>
      <c r="CS19" s="448" t="str">
        <f aca="false">IF($G19=0,IF(CS$11=$H19,"◆",""),IF(AND(CS$11&gt;=$H19,CS$11&lt;=$I19),1,""))</f>
        <v/>
      </c>
      <c r="CT19" s="448" t="str">
        <f aca="false">IF($G19=0,IF(CT$11=$H19,"◆",""),IF(AND(CT$11&gt;=$H19,CT$11&lt;=$I19),1,""))</f>
        <v/>
      </c>
      <c r="CU19" s="448" t="str">
        <f aca="false">IF($G19=0,IF(CU$11=$H19,"◆",""),IF(AND(CU$11&gt;=$H19,CU$11&lt;=$I19),1,""))</f>
        <v/>
      </c>
      <c r="CV19" s="448" t="str">
        <f aca="false">IF($G19=0,IF(CV$11=$H19,"◆",""),IF(AND(CV$11&gt;=$H19,CV$11&lt;=$I19),1,""))</f>
        <v/>
      </c>
      <c r="CW19" s="448" t="str">
        <f aca="false">IF($G19=0,IF(CW$11=$H19,"◆",""),IF(AND(CW$11&gt;=$H19,CW$11&lt;=$I19),1,""))</f>
        <v/>
      </c>
      <c r="CX19" s="448" t="str">
        <f aca="false">IF($G19=0,IF(CX$11=$H19,"◆",""),IF(AND(CX$11&gt;=$H19,CX$11&lt;=$I19),1,""))</f>
        <v/>
      </c>
      <c r="CY19" s="448" t="str">
        <f aca="false">IF($G19=0,IF(CY$11=$H19,"◆",""),IF(AND(CY$11&gt;=$H19,CY$11&lt;=$I19),1,""))</f>
        <v/>
      </c>
      <c r="CZ19" s="448" t="str">
        <f aca="false">IF($G19=0,IF(CZ$11=$H19,"◆",""),IF(AND(CZ$11&gt;=$H19,CZ$11&lt;=$I19),1,""))</f>
        <v/>
      </c>
      <c r="DA19" s="448" t="str">
        <f aca="false">IF($G19=0,IF(DA$11=$H19,"◆",""),IF(AND(DA$11&gt;=$H19,DA$11&lt;=$I19),1,""))</f>
        <v/>
      </c>
      <c r="DB19" s="448" t="str">
        <f aca="false">IF($G19=0,IF(DB$11=$H19,"◆",""),IF(AND(DB$11&gt;=$H19,DB$11&lt;=$I19),1,""))</f>
        <v/>
      </c>
      <c r="DC19" s="448" t="str">
        <f aca="false">IF($G19=0,IF(DC$11=$H19,"◆",""),IF(AND(DC$11&gt;=$H19,DC$11&lt;=$I19),1,""))</f>
        <v/>
      </c>
      <c r="DD19" s="448" t="str">
        <f aca="false">IF($G19=0,IF(DD$11=$H19,"◆",""),IF(AND(DD$11&gt;=$H19,DD$11&lt;=$I19),1,""))</f>
        <v/>
      </c>
      <c r="DE19" s="448" t="str">
        <f aca="false">IF($G19=0,IF(DE$11=$H19,"◆",""),IF(AND(DE$11&gt;=$H19,DE$11&lt;=$I19),1,""))</f>
        <v/>
      </c>
      <c r="DF19" s="448" t="str">
        <f aca="false">IF($G19=0,IF(DF$11=$H19,"◆",""),IF(AND(DF$11&gt;=$H19,DF$11&lt;=$I19),1,""))</f>
        <v/>
      </c>
      <c r="DG19" s="448" t="str">
        <f aca="false">IF($G19=0,IF(DG$11=$H19,"◆",""),IF(AND(DG$11&gt;=$H19,DG$11&lt;=$I19),1,""))</f>
        <v/>
      </c>
      <c r="DH19" s="448" t="str">
        <f aca="false">IF($G19=0,IF(DH$11=$H19,"◆",""),IF(AND(DH$11&gt;=$H19,DH$11&lt;=$I19),1,""))</f>
        <v/>
      </c>
      <c r="DI19" s="448" t="str">
        <f aca="false">IF($G19=0,IF(DI$11=$H19,"◆",""),IF(AND(DI$11&gt;=$H19,DI$11&lt;=$I19),1,""))</f>
        <v/>
      </c>
      <c r="DJ19" s="448" t="str">
        <f aca="false">IF($G19=0,IF(DJ$11=$H19,"◆",""),IF(AND(DJ$11&gt;=$H19,DJ$11&lt;=$I19),1,""))</f>
        <v/>
      </c>
      <c r="DK19" s="448" t="str">
        <f aca="false">IF($G19=0,IF(DK$11=$H19,"◆",""),IF(AND(DK$11&gt;=$H19,DK$11&lt;=$I19),1,""))</f>
        <v/>
      </c>
      <c r="DL19" s="448" t="str">
        <f aca="false">IF($G19=0,IF(DL$11=$H19,"◆",""),IF(AND(DL$11&gt;=$H19,DL$11&lt;=$I19),1,""))</f>
        <v/>
      </c>
      <c r="DM19" s="448" t="str">
        <f aca="false">IF($G19=0,IF(DM$11=$H19,"◆",""),IF(AND(DM$11&gt;=$H19,DM$11&lt;=$I19),1,""))</f>
        <v/>
      </c>
      <c r="DN19" s="448" t="str">
        <f aca="false">IF($G19=0,IF(DN$11=$H19,"◆",""),IF(AND(DN$11&gt;=$H19,DN$11&lt;=$I19),1,""))</f>
        <v/>
      </c>
      <c r="DO19" s="448" t="str">
        <f aca="false">IF($G19=0,IF(DO$11=$H19,"◆",""),IF(AND(DO$11&gt;=$H19,DO$11&lt;=$I19),1,""))</f>
        <v/>
      </c>
      <c r="DP19" s="448" t="str">
        <f aca="false">IF($G19=0,IF(DP$11=$H19,"◆",""),IF(AND(DP$11&gt;=$H19,DP$11&lt;=$I19),1,""))</f>
        <v/>
      </c>
      <c r="DQ19" s="448" t="str">
        <f aca="false">IF($G19=0,IF(DQ$11=$H19,"◆",""),IF(AND(DQ$11&gt;=$H19,DQ$11&lt;=$I19),1,""))</f>
        <v/>
      </c>
      <c r="DR19" s="448" t="str">
        <f aca="false">IF($G19=0,IF(DR$11=$H19,"◆",""),IF(AND(DR$11&gt;=$H19,DR$11&lt;=$I19),1,""))</f>
        <v/>
      </c>
      <c r="DS19" s="448" t="str">
        <f aca="false">IF($G19=0,IF(DS$11=$H19,"◆",""),IF(AND(DS$11&gt;=$H19,DS$11&lt;=$I19),1,""))</f>
        <v/>
      </c>
      <c r="DT19" s="448" t="str">
        <f aca="false">IF($G19=0,IF(DT$11=$H19,"◆",""),IF(AND(DT$11&gt;=$H19,DT$11&lt;=$I19),1,""))</f>
        <v/>
      </c>
      <c r="DU19" s="448" t="str">
        <f aca="false">IF($G19=0,IF(DU$11=$H19,"◆",""),IF(AND(DU$11&gt;=$H19,DU$11&lt;=$I19),1,""))</f>
        <v/>
      </c>
      <c r="DV19" s="448" t="str">
        <f aca="false">IF($G19=0,IF(DV$11=$H19,"◆",""),IF(AND(DV$11&gt;=$H19,DV$11&lt;=$I19),1,""))</f>
        <v/>
      </c>
      <c r="DW19" s="448" t="str">
        <f aca="false">IF($G19=0,IF(DW$11=$H19,"◆",""),IF(AND(DW$11&gt;=$H19,DW$11&lt;=$I19),1,""))</f>
        <v/>
      </c>
      <c r="DX19" s="448" t="str">
        <f aca="false">IF($G19=0,IF(DX$11=$H19,"◆",""),IF(AND(DX$11&gt;=$H19,DX$11&lt;=$I19),1,""))</f>
        <v/>
      </c>
      <c r="DY19" s="448" t="str">
        <f aca="false">IF($G19=0,IF(DY$11=$H19,"◆",""),IF(AND(DY$11&gt;=$H19,DY$11&lt;=$I19),1,""))</f>
        <v/>
      </c>
      <c r="DZ19" s="448" t="str">
        <f aca="false">IF($G19=0,IF(DZ$11=$H19,"◆",""),IF(AND(DZ$11&gt;=$H19,DZ$11&lt;=$I19),1,""))</f>
        <v/>
      </c>
      <c r="EA19" s="448" t="str">
        <f aca="false">IF($G19=0,IF(EA$11=$H19,"◆",""),IF(AND(EA$11&gt;=$H19,EA$11&lt;=$I19),1,""))</f>
        <v/>
      </c>
      <c r="EB19" s="448" t="str">
        <f aca="false">IF($G19=0,IF(EB$11=$H19,"◆",""),IF(AND(EB$11&gt;=$H19,EB$11&lt;=$I19),1,""))</f>
        <v/>
      </c>
      <c r="EC19" s="448" t="str">
        <f aca="false">IF($G19=0,IF(EC$11=$H19,"◆",""),IF(AND(EC$11&gt;=$H19,EC$11&lt;=$I19),1,""))</f>
        <v/>
      </c>
      <c r="ED19" s="448" t="str">
        <f aca="false">IF($G19=0,IF(ED$11=$H19,"◆",""),IF(AND(ED$11&gt;=$H19,ED$11&lt;=$I19),1,""))</f>
        <v/>
      </c>
    </row>
    <row r="20" customFormat="false" ht="15" hidden="false" customHeight="true" outlineLevel="0" collapsed="false">
      <c r="A20" s="449"/>
      <c r="B20" s="314" t="s">
        <v>2449</v>
      </c>
      <c r="C20" s="414"/>
      <c r="D20" s="414"/>
      <c r="E20" s="414"/>
      <c r="F20" s="414"/>
      <c r="G20" s="414"/>
      <c r="H20" s="414"/>
      <c r="I20" s="414"/>
      <c r="J20" s="414"/>
      <c r="K20" s="414"/>
      <c r="L20" s="414"/>
      <c r="M20" s="414"/>
      <c r="N20" s="414"/>
      <c r="O20" s="414"/>
      <c r="P20" s="414"/>
      <c r="Q20" s="414"/>
      <c r="R20" s="414"/>
      <c r="S20" s="414"/>
      <c r="T20" s="414"/>
      <c r="U20" s="414"/>
      <c r="V20" s="414"/>
      <c r="W20" s="414"/>
      <c r="X20" s="414"/>
      <c r="Y20" s="414"/>
      <c r="Z20" s="414"/>
      <c r="AA20" s="414"/>
      <c r="AB20" s="414"/>
      <c r="AC20" s="414"/>
      <c r="AD20" s="414"/>
      <c r="AE20" s="414"/>
      <c r="AF20" s="414"/>
      <c r="AG20" s="414"/>
      <c r="AH20" s="414"/>
      <c r="AI20" s="414"/>
      <c r="AJ20" s="414"/>
      <c r="AK20" s="414"/>
      <c r="AL20" s="414"/>
      <c r="AM20" s="414"/>
      <c r="AN20" s="414"/>
      <c r="AO20" s="414"/>
      <c r="AP20" s="414"/>
      <c r="AQ20" s="414"/>
      <c r="AR20" s="414"/>
      <c r="AS20" s="414"/>
      <c r="AT20" s="414"/>
      <c r="AU20" s="414"/>
      <c r="AV20" s="414"/>
      <c r="AW20" s="414"/>
      <c r="AX20" s="414"/>
      <c r="AY20" s="414"/>
      <c r="AZ20" s="414"/>
      <c r="BA20" s="414"/>
      <c r="BB20" s="414"/>
      <c r="BC20" s="414"/>
      <c r="BD20" s="414"/>
      <c r="BE20" s="414"/>
      <c r="BF20" s="414"/>
      <c r="BG20" s="414"/>
      <c r="BH20" s="414"/>
      <c r="BI20" s="414"/>
      <c r="BJ20" s="414"/>
      <c r="BK20" s="414"/>
      <c r="BL20" s="414"/>
      <c r="BM20" s="414"/>
      <c r="BN20" s="414"/>
      <c r="BO20" s="414"/>
      <c r="BP20" s="414"/>
      <c r="BQ20" s="414"/>
      <c r="BR20" s="414"/>
      <c r="BS20" s="414"/>
      <c r="BT20" s="414"/>
      <c r="BU20" s="414"/>
      <c r="BV20" s="414"/>
      <c r="BW20" s="414"/>
      <c r="BX20" s="414"/>
      <c r="BY20" s="414"/>
      <c r="BZ20" s="414"/>
      <c r="CA20" s="414"/>
      <c r="CB20" s="414"/>
      <c r="CC20" s="414"/>
      <c r="CD20" s="414"/>
      <c r="CE20" s="414"/>
      <c r="CF20" s="414"/>
      <c r="CG20" s="414"/>
      <c r="CH20" s="414"/>
      <c r="CI20" s="414"/>
      <c r="CJ20" s="414"/>
      <c r="CK20" s="414"/>
      <c r="CL20" s="414"/>
      <c r="CM20" s="414"/>
      <c r="CN20" s="414"/>
      <c r="CO20" s="414"/>
      <c r="CP20" s="414"/>
      <c r="CQ20" s="414"/>
      <c r="CR20" s="414"/>
      <c r="CS20" s="414"/>
      <c r="CT20" s="414"/>
      <c r="CU20" s="414"/>
      <c r="CV20" s="414"/>
      <c r="CW20" s="414"/>
      <c r="CX20" s="414"/>
      <c r="CY20" s="414"/>
      <c r="CZ20" s="414"/>
      <c r="DA20" s="414"/>
      <c r="DB20" s="414"/>
      <c r="DC20" s="414"/>
      <c r="DD20" s="414"/>
      <c r="DE20" s="414"/>
      <c r="DF20" s="414"/>
      <c r="DG20" s="414"/>
      <c r="DH20" s="414"/>
      <c r="DI20" s="414"/>
      <c r="DJ20" s="414"/>
      <c r="DK20" s="414"/>
      <c r="DL20" s="414"/>
      <c r="DM20" s="414"/>
      <c r="DN20" s="414"/>
      <c r="DO20" s="414"/>
      <c r="DP20" s="414"/>
      <c r="DQ20" s="414"/>
      <c r="DR20" s="414"/>
      <c r="DS20" s="414"/>
      <c r="DT20" s="414"/>
      <c r="DU20" s="414"/>
      <c r="DV20" s="414"/>
      <c r="DW20" s="414"/>
      <c r="DX20" s="414"/>
      <c r="DY20" s="414"/>
      <c r="DZ20" s="414"/>
      <c r="EA20" s="414"/>
      <c r="EB20" s="414"/>
      <c r="EC20" s="414"/>
      <c r="ED20" s="414"/>
    </row>
    <row r="21" customFormat="false" ht="15" hidden="false" customHeight="true" outlineLevel="0" collapsed="false">
      <c r="A21" s="441" t="s">
        <v>2450</v>
      </c>
      <c r="B21" s="297" t="s">
        <v>2451</v>
      </c>
      <c r="C21" s="442" t="s">
        <v>2452</v>
      </c>
      <c r="D21" s="443" t="s">
        <v>2436</v>
      </c>
      <c r="E21" s="354" t="n">
        <f aca="false">1</f>
        <v>1</v>
      </c>
      <c r="F21" s="352" t="n">
        <v>0</v>
      </c>
      <c r="G21" s="352" t="n">
        <v>3</v>
      </c>
      <c r="H21" s="367" t="n">
        <f aca="false">MAX(1,ROUND(($E21-1)*$D$5,0)+1+$F21)</f>
        <v>1</v>
      </c>
      <c r="I21" s="367" t="n">
        <f aca="false">MAX($H21,$H21+$G21-1)</f>
        <v>3</v>
      </c>
      <c r="J21" s="444" t="n">
        <f aca="false">$D$4+($H21-1)*7</f>
        <v>46300</v>
      </c>
      <c r="K21" s="444" t="n">
        <f aca="false">$D$4+$I21*7-1</f>
        <v>46320</v>
      </c>
      <c r="L21" s="445" t="n">
        <f aca="false">ROUNDUP($H21/$D$5,0)</f>
        <v>1</v>
      </c>
      <c r="M21" s="446" t="s">
        <v>2453</v>
      </c>
      <c r="N21" s="447" t="n">
        <v>0</v>
      </c>
      <c r="O21" s="448" t="n">
        <f aca="false">IF($G21=0,IF(O$11=$H21,"◆",""),IF(AND(O$11&gt;=$H21,O$11&lt;=$I21),1,""))</f>
        <v>1</v>
      </c>
      <c r="P21" s="448" t="n">
        <f aca="false">IF($G21=0,IF(P$11=$H21,"◆",""),IF(AND(P$11&gt;=$H21,P$11&lt;=$I21),1,""))</f>
        <v>1</v>
      </c>
      <c r="Q21" s="448" t="n">
        <f aca="false">IF($G21=0,IF(Q$11=$H21,"◆",""),IF(AND(Q$11&gt;=$H21,Q$11&lt;=$I21),1,""))</f>
        <v>1</v>
      </c>
      <c r="R21" s="448" t="str">
        <f aca="false">IF($G21=0,IF(R$11=$H21,"◆",""),IF(AND(R$11&gt;=$H21,R$11&lt;=$I21),1,""))</f>
        <v/>
      </c>
      <c r="S21" s="448" t="str">
        <f aca="false">IF($G21=0,IF(S$11=$H21,"◆",""),IF(AND(S$11&gt;=$H21,S$11&lt;=$I21),1,""))</f>
        <v/>
      </c>
      <c r="T21" s="448" t="str">
        <f aca="false">IF($G21=0,IF(T$11=$H21,"◆",""),IF(AND(T$11&gt;=$H21,T$11&lt;=$I21),1,""))</f>
        <v/>
      </c>
      <c r="U21" s="448" t="str">
        <f aca="false">IF($G21=0,IF(U$11=$H21,"◆",""),IF(AND(U$11&gt;=$H21,U$11&lt;=$I21),1,""))</f>
        <v/>
      </c>
      <c r="V21" s="448" t="str">
        <f aca="false">IF($G21=0,IF(V$11=$H21,"◆",""),IF(AND(V$11&gt;=$H21,V$11&lt;=$I21),1,""))</f>
        <v/>
      </c>
      <c r="W21" s="448" t="str">
        <f aca="false">IF($G21=0,IF(W$11=$H21,"◆",""),IF(AND(W$11&gt;=$H21,W$11&lt;=$I21),1,""))</f>
        <v/>
      </c>
      <c r="X21" s="448" t="str">
        <f aca="false">IF($G21=0,IF(X$11=$H21,"◆",""),IF(AND(X$11&gt;=$H21,X$11&lt;=$I21),1,""))</f>
        <v/>
      </c>
      <c r="Y21" s="448" t="str">
        <f aca="false">IF($G21=0,IF(Y$11=$H21,"◆",""),IF(AND(Y$11&gt;=$H21,Y$11&lt;=$I21),1,""))</f>
        <v/>
      </c>
      <c r="Z21" s="448" t="str">
        <f aca="false">IF($G21=0,IF(Z$11=$H21,"◆",""),IF(AND(Z$11&gt;=$H21,Z$11&lt;=$I21),1,""))</f>
        <v/>
      </c>
      <c r="AA21" s="448" t="str">
        <f aca="false">IF($G21=0,IF(AA$11=$H21,"◆",""),IF(AND(AA$11&gt;=$H21,AA$11&lt;=$I21),1,""))</f>
        <v/>
      </c>
      <c r="AB21" s="448" t="str">
        <f aca="false">IF($G21=0,IF(AB$11=$H21,"◆",""),IF(AND(AB$11&gt;=$H21,AB$11&lt;=$I21),1,""))</f>
        <v/>
      </c>
      <c r="AC21" s="448" t="str">
        <f aca="false">IF($G21=0,IF(AC$11=$H21,"◆",""),IF(AND(AC$11&gt;=$H21,AC$11&lt;=$I21),1,""))</f>
        <v/>
      </c>
      <c r="AD21" s="448" t="str">
        <f aca="false">IF($G21=0,IF(AD$11=$H21,"◆",""),IF(AND(AD$11&gt;=$H21,AD$11&lt;=$I21),1,""))</f>
        <v/>
      </c>
      <c r="AE21" s="448" t="str">
        <f aca="false">IF($G21=0,IF(AE$11=$H21,"◆",""),IF(AND(AE$11&gt;=$H21,AE$11&lt;=$I21),1,""))</f>
        <v/>
      </c>
      <c r="AF21" s="448" t="str">
        <f aca="false">IF($G21=0,IF(AF$11=$H21,"◆",""),IF(AND(AF$11&gt;=$H21,AF$11&lt;=$I21),1,""))</f>
        <v/>
      </c>
      <c r="AG21" s="448" t="str">
        <f aca="false">IF($G21=0,IF(AG$11=$H21,"◆",""),IF(AND(AG$11&gt;=$H21,AG$11&lt;=$I21),1,""))</f>
        <v/>
      </c>
      <c r="AH21" s="448" t="str">
        <f aca="false">IF($G21=0,IF(AH$11=$H21,"◆",""),IF(AND(AH$11&gt;=$H21,AH$11&lt;=$I21),1,""))</f>
        <v/>
      </c>
      <c r="AI21" s="448" t="str">
        <f aca="false">IF($G21=0,IF(AI$11=$H21,"◆",""),IF(AND(AI$11&gt;=$H21,AI$11&lt;=$I21),1,""))</f>
        <v/>
      </c>
      <c r="AJ21" s="448" t="str">
        <f aca="false">IF($G21=0,IF(AJ$11=$H21,"◆",""),IF(AND(AJ$11&gt;=$H21,AJ$11&lt;=$I21),1,""))</f>
        <v/>
      </c>
      <c r="AK21" s="448" t="str">
        <f aca="false">IF($G21=0,IF(AK$11=$H21,"◆",""),IF(AND(AK$11&gt;=$H21,AK$11&lt;=$I21),1,""))</f>
        <v/>
      </c>
      <c r="AL21" s="448" t="str">
        <f aca="false">IF($G21=0,IF(AL$11=$H21,"◆",""),IF(AND(AL$11&gt;=$H21,AL$11&lt;=$I21),1,""))</f>
        <v/>
      </c>
      <c r="AM21" s="448" t="str">
        <f aca="false">IF($G21=0,IF(AM$11=$H21,"◆",""),IF(AND(AM$11&gt;=$H21,AM$11&lt;=$I21),1,""))</f>
        <v/>
      </c>
      <c r="AN21" s="448" t="str">
        <f aca="false">IF($G21=0,IF(AN$11=$H21,"◆",""),IF(AND(AN$11&gt;=$H21,AN$11&lt;=$I21),1,""))</f>
        <v/>
      </c>
      <c r="AO21" s="448" t="str">
        <f aca="false">IF($G21=0,IF(AO$11=$H21,"◆",""),IF(AND(AO$11&gt;=$H21,AO$11&lt;=$I21),1,""))</f>
        <v/>
      </c>
      <c r="AP21" s="448" t="str">
        <f aca="false">IF($G21=0,IF(AP$11=$H21,"◆",""),IF(AND(AP$11&gt;=$H21,AP$11&lt;=$I21),1,""))</f>
        <v/>
      </c>
      <c r="AQ21" s="448" t="str">
        <f aca="false">IF($G21=0,IF(AQ$11=$H21,"◆",""),IF(AND(AQ$11&gt;=$H21,AQ$11&lt;=$I21),1,""))</f>
        <v/>
      </c>
      <c r="AR21" s="448" t="str">
        <f aca="false">IF($G21=0,IF(AR$11=$H21,"◆",""),IF(AND(AR$11&gt;=$H21,AR$11&lt;=$I21),1,""))</f>
        <v/>
      </c>
      <c r="AS21" s="448" t="str">
        <f aca="false">IF($G21=0,IF(AS$11=$H21,"◆",""),IF(AND(AS$11&gt;=$H21,AS$11&lt;=$I21),1,""))</f>
        <v/>
      </c>
      <c r="AT21" s="448" t="str">
        <f aca="false">IF($G21=0,IF(AT$11=$H21,"◆",""),IF(AND(AT$11&gt;=$H21,AT$11&lt;=$I21),1,""))</f>
        <v/>
      </c>
      <c r="AU21" s="448" t="str">
        <f aca="false">IF($G21=0,IF(AU$11=$H21,"◆",""),IF(AND(AU$11&gt;=$H21,AU$11&lt;=$I21),1,""))</f>
        <v/>
      </c>
      <c r="AV21" s="448" t="str">
        <f aca="false">IF($G21=0,IF(AV$11=$H21,"◆",""),IF(AND(AV$11&gt;=$H21,AV$11&lt;=$I21),1,""))</f>
        <v/>
      </c>
      <c r="AW21" s="448" t="str">
        <f aca="false">IF($G21=0,IF(AW$11=$H21,"◆",""),IF(AND(AW$11&gt;=$H21,AW$11&lt;=$I21),1,""))</f>
        <v/>
      </c>
      <c r="AX21" s="448" t="str">
        <f aca="false">IF($G21=0,IF(AX$11=$H21,"◆",""),IF(AND(AX$11&gt;=$H21,AX$11&lt;=$I21),1,""))</f>
        <v/>
      </c>
      <c r="AY21" s="448" t="str">
        <f aca="false">IF($G21=0,IF(AY$11=$H21,"◆",""),IF(AND(AY$11&gt;=$H21,AY$11&lt;=$I21),1,""))</f>
        <v/>
      </c>
      <c r="AZ21" s="448" t="str">
        <f aca="false">IF($G21=0,IF(AZ$11=$H21,"◆",""),IF(AND(AZ$11&gt;=$H21,AZ$11&lt;=$I21),1,""))</f>
        <v/>
      </c>
      <c r="BA21" s="448" t="str">
        <f aca="false">IF($G21=0,IF(BA$11=$H21,"◆",""),IF(AND(BA$11&gt;=$H21,BA$11&lt;=$I21),1,""))</f>
        <v/>
      </c>
      <c r="BB21" s="448" t="str">
        <f aca="false">IF($G21=0,IF(BB$11=$H21,"◆",""),IF(AND(BB$11&gt;=$H21,BB$11&lt;=$I21),1,""))</f>
        <v/>
      </c>
      <c r="BC21" s="448" t="str">
        <f aca="false">IF($G21=0,IF(BC$11=$H21,"◆",""),IF(AND(BC$11&gt;=$H21,BC$11&lt;=$I21),1,""))</f>
        <v/>
      </c>
      <c r="BD21" s="448" t="str">
        <f aca="false">IF($G21=0,IF(BD$11=$H21,"◆",""),IF(AND(BD$11&gt;=$H21,BD$11&lt;=$I21),1,""))</f>
        <v/>
      </c>
      <c r="BE21" s="448" t="str">
        <f aca="false">IF($G21=0,IF(BE$11=$H21,"◆",""),IF(AND(BE$11&gt;=$H21,BE$11&lt;=$I21),1,""))</f>
        <v/>
      </c>
      <c r="BF21" s="448" t="str">
        <f aca="false">IF($G21=0,IF(BF$11=$H21,"◆",""),IF(AND(BF$11&gt;=$H21,BF$11&lt;=$I21),1,""))</f>
        <v/>
      </c>
      <c r="BG21" s="448" t="str">
        <f aca="false">IF($G21=0,IF(BG$11=$H21,"◆",""),IF(AND(BG$11&gt;=$H21,BG$11&lt;=$I21),1,""))</f>
        <v/>
      </c>
      <c r="BH21" s="448" t="str">
        <f aca="false">IF($G21=0,IF(BH$11=$H21,"◆",""),IF(AND(BH$11&gt;=$H21,BH$11&lt;=$I21),1,""))</f>
        <v/>
      </c>
      <c r="BI21" s="448" t="str">
        <f aca="false">IF($G21=0,IF(BI$11=$H21,"◆",""),IF(AND(BI$11&gt;=$H21,BI$11&lt;=$I21),1,""))</f>
        <v/>
      </c>
      <c r="BJ21" s="448" t="str">
        <f aca="false">IF($G21=0,IF(BJ$11=$H21,"◆",""),IF(AND(BJ$11&gt;=$H21,BJ$11&lt;=$I21),1,""))</f>
        <v/>
      </c>
      <c r="BK21" s="448" t="str">
        <f aca="false">IF($G21=0,IF(BK$11=$H21,"◆",""),IF(AND(BK$11&gt;=$H21,BK$11&lt;=$I21),1,""))</f>
        <v/>
      </c>
      <c r="BL21" s="448" t="str">
        <f aca="false">IF($G21=0,IF(BL$11=$H21,"◆",""),IF(AND(BL$11&gt;=$H21,BL$11&lt;=$I21),1,""))</f>
        <v/>
      </c>
      <c r="BM21" s="448" t="str">
        <f aca="false">IF($G21=0,IF(BM$11=$H21,"◆",""),IF(AND(BM$11&gt;=$H21,BM$11&lt;=$I21),1,""))</f>
        <v/>
      </c>
      <c r="BN21" s="448" t="str">
        <f aca="false">IF($G21=0,IF(BN$11=$H21,"◆",""),IF(AND(BN$11&gt;=$H21,BN$11&lt;=$I21),1,""))</f>
        <v/>
      </c>
      <c r="BO21" s="448" t="str">
        <f aca="false">IF($G21=0,IF(BO$11=$H21,"◆",""),IF(AND(BO$11&gt;=$H21,BO$11&lt;=$I21),1,""))</f>
        <v/>
      </c>
      <c r="BP21" s="448" t="str">
        <f aca="false">IF($G21=0,IF(BP$11=$H21,"◆",""),IF(AND(BP$11&gt;=$H21,BP$11&lt;=$I21),1,""))</f>
        <v/>
      </c>
      <c r="BQ21" s="448" t="str">
        <f aca="false">IF($G21=0,IF(BQ$11=$H21,"◆",""),IF(AND(BQ$11&gt;=$H21,BQ$11&lt;=$I21),1,""))</f>
        <v/>
      </c>
      <c r="BR21" s="448" t="str">
        <f aca="false">IF($G21=0,IF(BR$11=$H21,"◆",""),IF(AND(BR$11&gt;=$H21,BR$11&lt;=$I21),1,""))</f>
        <v/>
      </c>
      <c r="BS21" s="448" t="str">
        <f aca="false">IF($G21=0,IF(BS$11=$H21,"◆",""),IF(AND(BS$11&gt;=$H21,BS$11&lt;=$I21),1,""))</f>
        <v/>
      </c>
      <c r="BT21" s="448" t="str">
        <f aca="false">IF($G21=0,IF(BT$11=$H21,"◆",""),IF(AND(BT$11&gt;=$H21,BT$11&lt;=$I21),1,""))</f>
        <v/>
      </c>
      <c r="BU21" s="448" t="str">
        <f aca="false">IF($G21=0,IF(BU$11=$H21,"◆",""),IF(AND(BU$11&gt;=$H21,BU$11&lt;=$I21),1,""))</f>
        <v/>
      </c>
      <c r="BV21" s="448" t="str">
        <f aca="false">IF($G21=0,IF(BV$11=$H21,"◆",""),IF(AND(BV$11&gt;=$H21,BV$11&lt;=$I21),1,""))</f>
        <v/>
      </c>
      <c r="BW21" s="448" t="str">
        <f aca="false">IF($G21=0,IF(BW$11=$H21,"◆",""),IF(AND(BW$11&gt;=$H21,BW$11&lt;=$I21),1,""))</f>
        <v/>
      </c>
      <c r="BX21" s="448" t="str">
        <f aca="false">IF($G21=0,IF(BX$11=$H21,"◆",""),IF(AND(BX$11&gt;=$H21,BX$11&lt;=$I21),1,""))</f>
        <v/>
      </c>
      <c r="BY21" s="448" t="str">
        <f aca="false">IF($G21=0,IF(BY$11=$H21,"◆",""),IF(AND(BY$11&gt;=$H21,BY$11&lt;=$I21),1,""))</f>
        <v/>
      </c>
      <c r="BZ21" s="448" t="str">
        <f aca="false">IF($G21=0,IF(BZ$11=$H21,"◆",""),IF(AND(BZ$11&gt;=$H21,BZ$11&lt;=$I21),1,""))</f>
        <v/>
      </c>
      <c r="CA21" s="448" t="str">
        <f aca="false">IF($G21=0,IF(CA$11=$H21,"◆",""),IF(AND(CA$11&gt;=$H21,CA$11&lt;=$I21),1,""))</f>
        <v/>
      </c>
      <c r="CB21" s="448" t="str">
        <f aca="false">IF($G21=0,IF(CB$11=$H21,"◆",""),IF(AND(CB$11&gt;=$H21,CB$11&lt;=$I21),1,""))</f>
        <v/>
      </c>
      <c r="CC21" s="448" t="str">
        <f aca="false">IF($G21=0,IF(CC$11=$H21,"◆",""),IF(AND(CC$11&gt;=$H21,CC$11&lt;=$I21),1,""))</f>
        <v/>
      </c>
      <c r="CD21" s="448" t="str">
        <f aca="false">IF($G21=0,IF(CD$11=$H21,"◆",""),IF(AND(CD$11&gt;=$H21,CD$11&lt;=$I21),1,""))</f>
        <v/>
      </c>
      <c r="CE21" s="448" t="str">
        <f aca="false">IF($G21=0,IF(CE$11=$H21,"◆",""),IF(AND(CE$11&gt;=$H21,CE$11&lt;=$I21),1,""))</f>
        <v/>
      </c>
      <c r="CF21" s="448" t="str">
        <f aca="false">IF($G21=0,IF(CF$11=$H21,"◆",""),IF(AND(CF$11&gt;=$H21,CF$11&lt;=$I21),1,""))</f>
        <v/>
      </c>
      <c r="CG21" s="448" t="str">
        <f aca="false">IF($G21=0,IF(CG$11=$H21,"◆",""),IF(AND(CG$11&gt;=$H21,CG$11&lt;=$I21),1,""))</f>
        <v/>
      </c>
      <c r="CH21" s="448" t="str">
        <f aca="false">IF($G21=0,IF(CH$11=$H21,"◆",""),IF(AND(CH$11&gt;=$H21,CH$11&lt;=$I21),1,""))</f>
        <v/>
      </c>
      <c r="CI21" s="448" t="str">
        <f aca="false">IF($G21=0,IF(CI$11=$H21,"◆",""),IF(AND(CI$11&gt;=$H21,CI$11&lt;=$I21),1,""))</f>
        <v/>
      </c>
      <c r="CJ21" s="448" t="str">
        <f aca="false">IF($G21=0,IF(CJ$11=$H21,"◆",""),IF(AND(CJ$11&gt;=$H21,CJ$11&lt;=$I21),1,""))</f>
        <v/>
      </c>
      <c r="CK21" s="448" t="str">
        <f aca="false">IF($G21=0,IF(CK$11=$H21,"◆",""),IF(AND(CK$11&gt;=$H21,CK$11&lt;=$I21),1,""))</f>
        <v/>
      </c>
      <c r="CL21" s="448" t="str">
        <f aca="false">IF($G21=0,IF(CL$11=$H21,"◆",""),IF(AND(CL$11&gt;=$H21,CL$11&lt;=$I21),1,""))</f>
        <v/>
      </c>
      <c r="CM21" s="448" t="str">
        <f aca="false">IF($G21=0,IF(CM$11=$H21,"◆",""),IF(AND(CM$11&gt;=$H21,CM$11&lt;=$I21),1,""))</f>
        <v/>
      </c>
      <c r="CN21" s="448" t="str">
        <f aca="false">IF($G21=0,IF(CN$11=$H21,"◆",""),IF(AND(CN$11&gt;=$H21,CN$11&lt;=$I21),1,""))</f>
        <v/>
      </c>
      <c r="CO21" s="448" t="str">
        <f aca="false">IF($G21=0,IF(CO$11=$H21,"◆",""),IF(AND(CO$11&gt;=$H21,CO$11&lt;=$I21),1,""))</f>
        <v/>
      </c>
      <c r="CP21" s="448" t="str">
        <f aca="false">IF($G21=0,IF(CP$11=$H21,"◆",""),IF(AND(CP$11&gt;=$H21,CP$11&lt;=$I21),1,""))</f>
        <v/>
      </c>
      <c r="CQ21" s="448" t="str">
        <f aca="false">IF($G21=0,IF(CQ$11=$H21,"◆",""),IF(AND(CQ$11&gt;=$H21,CQ$11&lt;=$I21),1,""))</f>
        <v/>
      </c>
      <c r="CR21" s="448" t="str">
        <f aca="false">IF($G21=0,IF(CR$11=$H21,"◆",""),IF(AND(CR$11&gt;=$H21,CR$11&lt;=$I21),1,""))</f>
        <v/>
      </c>
      <c r="CS21" s="448" t="str">
        <f aca="false">IF($G21=0,IF(CS$11=$H21,"◆",""),IF(AND(CS$11&gt;=$H21,CS$11&lt;=$I21),1,""))</f>
        <v/>
      </c>
      <c r="CT21" s="448" t="str">
        <f aca="false">IF($G21=0,IF(CT$11=$H21,"◆",""),IF(AND(CT$11&gt;=$H21,CT$11&lt;=$I21),1,""))</f>
        <v/>
      </c>
      <c r="CU21" s="448" t="str">
        <f aca="false">IF($G21=0,IF(CU$11=$H21,"◆",""),IF(AND(CU$11&gt;=$H21,CU$11&lt;=$I21),1,""))</f>
        <v/>
      </c>
      <c r="CV21" s="448" t="str">
        <f aca="false">IF($G21=0,IF(CV$11=$H21,"◆",""),IF(AND(CV$11&gt;=$H21,CV$11&lt;=$I21),1,""))</f>
        <v/>
      </c>
      <c r="CW21" s="448" t="str">
        <f aca="false">IF($G21=0,IF(CW$11=$H21,"◆",""),IF(AND(CW$11&gt;=$H21,CW$11&lt;=$I21),1,""))</f>
        <v/>
      </c>
      <c r="CX21" s="448" t="str">
        <f aca="false">IF($G21=0,IF(CX$11=$H21,"◆",""),IF(AND(CX$11&gt;=$H21,CX$11&lt;=$I21),1,""))</f>
        <v/>
      </c>
      <c r="CY21" s="448" t="str">
        <f aca="false">IF($G21=0,IF(CY$11=$H21,"◆",""),IF(AND(CY$11&gt;=$H21,CY$11&lt;=$I21),1,""))</f>
        <v/>
      </c>
      <c r="CZ21" s="448" t="str">
        <f aca="false">IF($G21=0,IF(CZ$11=$H21,"◆",""),IF(AND(CZ$11&gt;=$H21,CZ$11&lt;=$I21),1,""))</f>
        <v/>
      </c>
      <c r="DA21" s="448" t="str">
        <f aca="false">IF($G21=0,IF(DA$11=$H21,"◆",""),IF(AND(DA$11&gt;=$H21,DA$11&lt;=$I21),1,""))</f>
        <v/>
      </c>
      <c r="DB21" s="448" t="str">
        <f aca="false">IF($G21=0,IF(DB$11=$H21,"◆",""),IF(AND(DB$11&gt;=$H21,DB$11&lt;=$I21),1,""))</f>
        <v/>
      </c>
      <c r="DC21" s="448" t="str">
        <f aca="false">IF($G21=0,IF(DC$11=$H21,"◆",""),IF(AND(DC$11&gt;=$H21,DC$11&lt;=$I21),1,""))</f>
        <v/>
      </c>
      <c r="DD21" s="448" t="str">
        <f aca="false">IF($G21=0,IF(DD$11=$H21,"◆",""),IF(AND(DD$11&gt;=$H21,DD$11&lt;=$I21),1,""))</f>
        <v/>
      </c>
      <c r="DE21" s="448" t="str">
        <f aca="false">IF($G21=0,IF(DE$11=$H21,"◆",""),IF(AND(DE$11&gt;=$H21,DE$11&lt;=$I21),1,""))</f>
        <v/>
      </c>
      <c r="DF21" s="448" t="str">
        <f aca="false">IF($G21=0,IF(DF$11=$H21,"◆",""),IF(AND(DF$11&gt;=$H21,DF$11&lt;=$I21),1,""))</f>
        <v/>
      </c>
      <c r="DG21" s="448" t="str">
        <f aca="false">IF($G21=0,IF(DG$11=$H21,"◆",""),IF(AND(DG$11&gt;=$H21,DG$11&lt;=$I21),1,""))</f>
        <v/>
      </c>
      <c r="DH21" s="448" t="str">
        <f aca="false">IF($G21=0,IF(DH$11=$H21,"◆",""),IF(AND(DH$11&gt;=$H21,DH$11&lt;=$I21),1,""))</f>
        <v/>
      </c>
      <c r="DI21" s="448" t="str">
        <f aca="false">IF($G21=0,IF(DI$11=$H21,"◆",""),IF(AND(DI$11&gt;=$H21,DI$11&lt;=$I21),1,""))</f>
        <v/>
      </c>
      <c r="DJ21" s="448" t="str">
        <f aca="false">IF($G21=0,IF(DJ$11=$H21,"◆",""),IF(AND(DJ$11&gt;=$H21,DJ$11&lt;=$I21),1,""))</f>
        <v/>
      </c>
      <c r="DK21" s="448" t="str">
        <f aca="false">IF($G21=0,IF(DK$11=$H21,"◆",""),IF(AND(DK$11&gt;=$H21,DK$11&lt;=$I21),1,""))</f>
        <v/>
      </c>
      <c r="DL21" s="448" t="str">
        <f aca="false">IF($G21=0,IF(DL$11=$H21,"◆",""),IF(AND(DL$11&gt;=$H21,DL$11&lt;=$I21),1,""))</f>
        <v/>
      </c>
      <c r="DM21" s="448" t="str">
        <f aca="false">IF($G21=0,IF(DM$11=$H21,"◆",""),IF(AND(DM$11&gt;=$H21,DM$11&lt;=$I21),1,""))</f>
        <v/>
      </c>
      <c r="DN21" s="448" t="str">
        <f aca="false">IF($G21=0,IF(DN$11=$H21,"◆",""),IF(AND(DN$11&gt;=$H21,DN$11&lt;=$I21),1,""))</f>
        <v/>
      </c>
      <c r="DO21" s="448" t="str">
        <f aca="false">IF($G21=0,IF(DO$11=$H21,"◆",""),IF(AND(DO$11&gt;=$H21,DO$11&lt;=$I21),1,""))</f>
        <v/>
      </c>
      <c r="DP21" s="448" t="str">
        <f aca="false">IF($G21=0,IF(DP$11=$H21,"◆",""),IF(AND(DP$11&gt;=$H21,DP$11&lt;=$I21),1,""))</f>
        <v/>
      </c>
      <c r="DQ21" s="448" t="str">
        <f aca="false">IF($G21=0,IF(DQ$11=$H21,"◆",""),IF(AND(DQ$11&gt;=$H21,DQ$11&lt;=$I21),1,""))</f>
        <v/>
      </c>
      <c r="DR21" s="448" t="str">
        <f aca="false">IF($G21=0,IF(DR$11=$H21,"◆",""),IF(AND(DR$11&gt;=$H21,DR$11&lt;=$I21),1,""))</f>
        <v/>
      </c>
      <c r="DS21" s="448" t="str">
        <f aca="false">IF($G21=0,IF(DS$11=$H21,"◆",""),IF(AND(DS$11&gt;=$H21,DS$11&lt;=$I21),1,""))</f>
        <v/>
      </c>
      <c r="DT21" s="448" t="str">
        <f aca="false">IF($G21=0,IF(DT$11=$H21,"◆",""),IF(AND(DT$11&gt;=$H21,DT$11&lt;=$I21),1,""))</f>
        <v/>
      </c>
      <c r="DU21" s="448" t="str">
        <f aca="false">IF($G21=0,IF(DU$11=$H21,"◆",""),IF(AND(DU$11&gt;=$H21,DU$11&lt;=$I21),1,""))</f>
        <v/>
      </c>
      <c r="DV21" s="448" t="str">
        <f aca="false">IF($G21=0,IF(DV$11=$H21,"◆",""),IF(AND(DV$11&gt;=$H21,DV$11&lt;=$I21),1,""))</f>
        <v/>
      </c>
      <c r="DW21" s="448" t="str">
        <f aca="false">IF($G21=0,IF(DW$11=$H21,"◆",""),IF(AND(DW$11&gt;=$H21,DW$11&lt;=$I21),1,""))</f>
        <v/>
      </c>
      <c r="DX21" s="448" t="str">
        <f aca="false">IF($G21=0,IF(DX$11=$H21,"◆",""),IF(AND(DX$11&gt;=$H21,DX$11&lt;=$I21),1,""))</f>
        <v/>
      </c>
      <c r="DY21" s="448" t="str">
        <f aca="false">IF($G21=0,IF(DY$11=$H21,"◆",""),IF(AND(DY$11&gt;=$H21,DY$11&lt;=$I21),1,""))</f>
        <v/>
      </c>
      <c r="DZ21" s="448" t="str">
        <f aca="false">IF($G21=0,IF(DZ$11=$H21,"◆",""),IF(AND(DZ$11&gt;=$H21,DZ$11&lt;=$I21),1,""))</f>
        <v/>
      </c>
      <c r="EA21" s="448" t="str">
        <f aca="false">IF($G21=0,IF(EA$11=$H21,"◆",""),IF(AND(EA$11&gt;=$H21,EA$11&lt;=$I21),1,""))</f>
        <v/>
      </c>
      <c r="EB21" s="448" t="str">
        <f aca="false">IF($G21=0,IF(EB$11=$H21,"◆",""),IF(AND(EB$11&gt;=$H21,EB$11&lt;=$I21),1,""))</f>
        <v/>
      </c>
      <c r="EC21" s="448" t="str">
        <f aca="false">IF($G21=0,IF(EC$11=$H21,"◆",""),IF(AND(EC$11&gt;=$H21,EC$11&lt;=$I21),1,""))</f>
        <v/>
      </c>
      <c r="ED21" s="448" t="str">
        <f aca="false">IF($G21=0,IF(ED$11=$H21,"◆",""),IF(AND(ED$11&gt;=$H21,ED$11&lt;=$I21),1,""))</f>
        <v/>
      </c>
    </row>
    <row r="22" customFormat="false" ht="15" hidden="false" customHeight="true" outlineLevel="0" collapsed="false">
      <c r="A22" s="441" t="s">
        <v>2454</v>
      </c>
      <c r="B22" s="297" t="s">
        <v>2455</v>
      </c>
      <c r="C22" s="442" t="s">
        <v>2456</v>
      </c>
      <c r="D22" s="443" t="s">
        <v>2436</v>
      </c>
      <c r="E22" s="354" t="n">
        <f aca="false">1</f>
        <v>1</v>
      </c>
      <c r="F22" s="352" t="n">
        <v>2</v>
      </c>
      <c r="G22" s="352" t="n">
        <v>4</v>
      </c>
      <c r="H22" s="367" t="n">
        <f aca="false">MAX(1,ROUND(($E22-1)*$D$5,0)+1+$F22)</f>
        <v>3</v>
      </c>
      <c r="I22" s="367" t="n">
        <f aca="false">MAX($H22,$H22+$G22-1)</f>
        <v>6</v>
      </c>
      <c r="J22" s="444" t="n">
        <f aca="false">$D$4+($H22-1)*7</f>
        <v>46314</v>
      </c>
      <c r="K22" s="444" t="n">
        <f aca="false">$D$4+$I22*7-1</f>
        <v>46341</v>
      </c>
      <c r="L22" s="445" t="n">
        <f aca="false">ROUNDUP($H22/$D$5,0)</f>
        <v>1</v>
      </c>
      <c r="M22" s="446" t="s">
        <v>2453</v>
      </c>
      <c r="N22" s="447" t="n">
        <v>0</v>
      </c>
      <c r="O22" s="448" t="str">
        <f aca="false">IF($G22=0,IF(O$11=$H22,"◆",""),IF(AND(O$11&gt;=$H22,O$11&lt;=$I22),1,""))</f>
        <v/>
      </c>
      <c r="P22" s="448" t="str">
        <f aca="false">IF($G22=0,IF(P$11=$H22,"◆",""),IF(AND(P$11&gt;=$H22,P$11&lt;=$I22),1,""))</f>
        <v/>
      </c>
      <c r="Q22" s="448" t="n">
        <f aca="false">IF($G22=0,IF(Q$11=$H22,"◆",""),IF(AND(Q$11&gt;=$H22,Q$11&lt;=$I22),1,""))</f>
        <v>1</v>
      </c>
      <c r="R22" s="448" t="n">
        <f aca="false">IF($G22=0,IF(R$11=$H22,"◆",""),IF(AND(R$11&gt;=$H22,R$11&lt;=$I22),1,""))</f>
        <v>1</v>
      </c>
      <c r="S22" s="448" t="n">
        <f aca="false">IF($G22=0,IF(S$11=$H22,"◆",""),IF(AND(S$11&gt;=$H22,S$11&lt;=$I22),1,""))</f>
        <v>1</v>
      </c>
      <c r="T22" s="448" t="n">
        <f aca="false">IF($G22=0,IF(T$11=$H22,"◆",""),IF(AND(T$11&gt;=$H22,T$11&lt;=$I22),1,""))</f>
        <v>1</v>
      </c>
      <c r="U22" s="448" t="str">
        <f aca="false">IF($G22=0,IF(U$11=$H22,"◆",""),IF(AND(U$11&gt;=$H22,U$11&lt;=$I22),1,""))</f>
        <v/>
      </c>
      <c r="V22" s="448" t="str">
        <f aca="false">IF($G22=0,IF(V$11=$H22,"◆",""),IF(AND(V$11&gt;=$H22,V$11&lt;=$I22),1,""))</f>
        <v/>
      </c>
      <c r="W22" s="448" t="str">
        <f aca="false">IF($G22=0,IF(W$11=$H22,"◆",""),IF(AND(W$11&gt;=$H22,W$11&lt;=$I22),1,""))</f>
        <v/>
      </c>
      <c r="X22" s="448" t="str">
        <f aca="false">IF($G22=0,IF(X$11=$H22,"◆",""),IF(AND(X$11&gt;=$H22,X$11&lt;=$I22),1,""))</f>
        <v/>
      </c>
      <c r="Y22" s="448" t="str">
        <f aca="false">IF($G22=0,IF(Y$11=$H22,"◆",""),IF(AND(Y$11&gt;=$H22,Y$11&lt;=$I22),1,""))</f>
        <v/>
      </c>
      <c r="Z22" s="448" t="str">
        <f aca="false">IF($G22=0,IF(Z$11=$H22,"◆",""),IF(AND(Z$11&gt;=$H22,Z$11&lt;=$I22),1,""))</f>
        <v/>
      </c>
      <c r="AA22" s="448" t="str">
        <f aca="false">IF($G22=0,IF(AA$11=$H22,"◆",""),IF(AND(AA$11&gt;=$H22,AA$11&lt;=$I22),1,""))</f>
        <v/>
      </c>
      <c r="AB22" s="448" t="str">
        <f aca="false">IF($G22=0,IF(AB$11=$H22,"◆",""),IF(AND(AB$11&gt;=$H22,AB$11&lt;=$I22),1,""))</f>
        <v/>
      </c>
      <c r="AC22" s="448" t="str">
        <f aca="false">IF($G22=0,IF(AC$11=$H22,"◆",""),IF(AND(AC$11&gt;=$H22,AC$11&lt;=$I22),1,""))</f>
        <v/>
      </c>
      <c r="AD22" s="448" t="str">
        <f aca="false">IF($G22=0,IF(AD$11=$H22,"◆",""),IF(AND(AD$11&gt;=$H22,AD$11&lt;=$I22),1,""))</f>
        <v/>
      </c>
      <c r="AE22" s="448" t="str">
        <f aca="false">IF($G22=0,IF(AE$11=$H22,"◆",""),IF(AND(AE$11&gt;=$H22,AE$11&lt;=$I22),1,""))</f>
        <v/>
      </c>
      <c r="AF22" s="448" t="str">
        <f aca="false">IF($G22=0,IF(AF$11=$H22,"◆",""),IF(AND(AF$11&gt;=$H22,AF$11&lt;=$I22),1,""))</f>
        <v/>
      </c>
      <c r="AG22" s="448" t="str">
        <f aca="false">IF($G22=0,IF(AG$11=$H22,"◆",""),IF(AND(AG$11&gt;=$H22,AG$11&lt;=$I22),1,""))</f>
        <v/>
      </c>
      <c r="AH22" s="448" t="str">
        <f aca="false">IF($G22=0,IF(AH$11=$H22,"◆",""),IF(AND(AH$11&gt;=$H22,AH$11&lt;=$I22),1,""))</f>
        <v/>
      </c>
      <c r="AI22" s="448" t="str">
        <f aca="false">IF($G22=0,IF(AI$11=$H22,"◆",""),IF(AND(AI$11&gt;=$H22,AI$11&lt;=$I22),1,""))</f>
        <v/>
      </c>
      <c r="AJ22" s="448" t="str">
        <f aca="false">IF($G22=0,IF(AJ$11=$H22,"◆",""),IF(AND(AJ$11&gt;=$H22,AJ$11&lt;=$I22),1,""))</f>
        <v/>
      </c>
      <c r="AK22" s="448" t="str">
        <f aca="false">IF($G22=0,IF(AK$11=$H22,"◆",""),IF(AND(AK$11&gt;=$H22,AK$11&lt;=$I22),1,""))</f>
        <v/>
      </c>
      <c r="AL22" s="448" t="str">
        <f aca="false">IF($G22=0,IF(AL$11=$H22,"◆",""),IF(AND(AL$11&gt;=$H22,AL$11&lt;=$I22),1,""))</f>
        <v/>
      </c>
      <c r="AM22" s="448" t="str">
        <f aca="false">IF($G22=0,IF(AM$11=$H22,"◆",""),IF(AND(AM$11&gt;=$H22,AM$11&lt;=$I22),1,""))</f>
        <v/>
      </c>
      <c r="AN22" s="448" t="str">
        <f aca="false">IF($G22=0,IF(AN$11=$H22,"◆",""),IF(AND(AN$11&gt;=$H22,AN$11&lt;=$I22),1,""))</f>
        <v/>
      </c>
      <c r="AO22" s="448" t="str">
        <f aca="false">IF($G22=0,IF(AO$11=$H22,"◆",""),IF(AND(AO$11&gt;=$H22,AO$11&lt;=$I22),1,""))</f>
        <v/>
      </c>
      <c r="AP22" s="448" t="str">
        <f aca="false">IF($G22=0,IF(AP$11=$H22,"◆",""),IF(AND(AP$11&gt;=$H22,AP$11&lt;=$I22),1,""))</f>
        <v/>
      </c>
      <c r="AQ22" s="448" t="str">
        <f aca="false">IF($G22=0,IF(AQ$11=$H22,"◆",""),IF(AND(AQ$11&gt;=$H22,AQ$11&lt;=$I22),1,""))</f>
        <v/>
      </c>
      <c r="AR22" s="448" t="str">
        <f aca="false">IF($G22=0,IF(AR$11=$H22,"◆",""),IF(AND(AR$11&gt;=$H22,AR$11&lt;=$I22),1,""))</f>
        <v/>
      </c>
      <c r="AS22" s="448" t="str">
        <f aca="false">IF($G22=0,IF(AS$11=$H22,"◆",""),IF(AND(AS$11&gt;=$H22,AS$11&lt;=$I22),1,""))</f>
        <v/>
      </c>
      <c r="AT22" s="448" t="str">
        <f aca="false">IF($G22=0,IF(AT$11=$H22,"◆",""),IF(AND(AT$11&gt;=$H22,AT$11&lt;=$I22),1,""))</f>
        <v/>
      </c>
      <c r="AU22" s="448" t="str">
        <f aca="false">IF($G22=0,IF(AU$11=$H22,"◆",""),IF(AND(AU$11&gt;=$H22,AU$11&lt;=$I22),1,""))</f>
        <v/>
      </c>
      <c r="AV22" s="448" t="str">
        <f aca="false">IF($G22=0,IF(AV$11=$H22,"◆",""),IF(AND(AV$11&gt;=$H22,AV$11&lt;=$I22),1,""))</f>
        <v/>
      </c>
      <c r="AW22" s="448" t="str">
        <f aca="false">IF($G22=0,IF(AW$11=$H22,"◆",""),IF(AND(AW$11&gt;=$H22,AW$11&lt;=$I22),1,""))</f>
        <v/>
      </c>
      <c r="AX22" s="448" t="str">
        <f aca="false">IF($G22=0,IF(AX$11=$H22,"◆",""),IF(AND(AX$11&gt;=$H22,AX$11&lt;=$I22),1,""))</f>
        <v/>
      </c>
      <c r="AY22" s="448" t="str">
        <f aca="false">IF($G22=0,IF(AY$11=$H22,"◆",""),IF(AND(AY$11&gt;=$H22,AY$11&lt;=$I22),1,""))</f>
        <v/>
      </c>
      <c r="AZ22" s="448" t="str">
        <f aca="false">IF($G22=0,IF(AZ$11=$H22,"◆",""),IF(AND(AZ$11&gt;=$H22,AZ$11&lt;=$I22),1,""))</f>
        <v/>
      </c>
      <c r="BA22" s="448" t="str">
        <f aca="false">IF($G22=0,IF(BA$11=$H22,"◆",""),IF(AND(BA$11&gt;=$H22,BA$11&lt;=$I22),1,""))</f>
        <v/>
      </c>
      <c r="BB22" s="448" t="str">
        <f aca="false">IF($G22=0,IF(BB$11=$H22,"◆",""),IF(AND(BB$11&gt;=$H22,BB$11&lt;=$I22),1,""))</f>
        <v/>
      </c>
      <c r="BC22" s="448" t="str">
        <f aca="false">IF($G22=0,IF(BC$11=$H22,"◆",""),IF(AND(BC$11&gt;=$H22,BC$11&lt;=$I22),1,""))</f>
        <v/>
      </c>
      <c r="BD22" s="448" t="str">
        <f aca="false">IF($G22=0,IF(BD$11=$H22,"◆",""),IF(AND(BD$11&gt;=$H22,BD$11&lt;=$I22),1,""))</f>
        <v/>
      </c>
      <c r="BE22" s="448" t="str">
        <f aca="false">IF($G22=0,IF(BE$11=$H22,"◆",""),IF(AND(BE$11&gt;=$H22,BE$11&lt;=$I22),1,""))</f>
        <v/>
      </c>
      <c r="BF22" s="448" t="str">
        <f aca="false">IF($G22=0,IF(BF$11=$H22,"◆",""),IF(AND(BF$11&gt;=$H22,BF$11&lt;=$I22),1,""))</f>
        <v/>
      </c>
      <c r="BG22" s="448" t="str">
        <f aca="false">IF($G22=0,IF(BG$11=$H22,"◆",""),IF(AND(BG$11&gt;=$H22,BG$11&lt;=$I22),1,""))</f>
        <v/>
      </c>
      <c r="BH22" s="448" t="str">
        <f aca="false">IF($G22=0,IF(BH$11=$H22,"◆",""),IF(AND(BH$11&gt;=$H22,BH$11&lt;=$I22),1,""))</f>
        <v/>
      </c>
      <c r="BI22" s="448" t="str">
        <f aca="false">IF($G22=0,IF(BI$11=$H22,"◆",""),IF(AND(BI$11&gt;=$H22,BI$11&lt;=$I22),1,""))</f>
        <v/>
      </c>
      <c r="BJ22" s="448" t="str">
        <f aca="false">IF($G22=0,IF(BJ$11=$H22,"◆",""),IF(AND(BJ$11&gt;=$H22,BJ$11&lt;=$I22),1,""))</f>
        <v/>
      </c>
      <c r="BK22" s="448" t="str">
        <f aca="false">IF($G22=0,IF(BK$11=$H22,"◆",""),IF(AND(BK$11&gt;=$H22,BK$11&lt;=$I22),1,""))</f>
        <v/>
      </c>
      <c r="BL22" s="448" t="str">
        <f aca="false">IF($G22=0,IF(BL$11=$H22,"◆",""),IF(AND(BL$11&gt;=$H22,BL$11&lt;=$I22),1,""))</f>
        <v/>
      </c>
      <c r="BM22" s="448" t="str">
        <f aca="false">IF($G22=0,IF(BM$11=$H22,"◆",""),IF(AND(BM$11&gt;=$H22,BM$11&lt;=$I22),1,""))</f>
        <v/>
      </c>
      <c r="BN22" s="448" t="str">
        <f aca="false">IF($G22=0,IF(BN$11=$H22,"◆",""),IF(AND(BN$11&gt;=$H22,BN$11&lt;=$I22),1,""))</f>
        <v/>
      </c>
      <c r="BO22" s="448" t="str">
        <f aca="false">IF($G22=0,IF(BO$11=$H22,"◆",""),IF(AND(BO$11&gt;=$H22,BO$11&lt;=$I22),1,""))</f>
        <v/>
      </c>
      <c r="BP22" s="448" t="str">
        <f aca="false">IF($G22=0,IF(BP$11=$H22,"◆",""),IF(AND(BP$11&gt;=$H22,BP$11&lt;=$I22),1,""))</f>
        <v/>
      </c>
      <c r="BQ22" s="448" t="str">
        <f aca="false">IF($G22=0,IF(BQ$11=$H22,"◆",""),IF(AND(BQ$11&gt;=$H22,BQ$11&lt;=$I22),1,""))</f>
        <v/>
      </c>
      <c r="BR22" s="448" t="str">
        <f aca="false">IF($G22=0,IF(BR$11=$H22,"◆",""),IF(AND(BR$11&gt;=$H22,BR$11&lt;=$I22),1,""))</f>
        <v/>
      </c>
      <c r="BS22" s="448" t="str">
        <f aca="false">IF($G22=0,IF(BS$11=$H22,"◆",""),IF(AND(BS$11&gt;=$H22,BS$11&lt;=$I22),1,""))</f>
        <v/>
      </c>
      <c r="BT22" s="448" t="str">
        <f aca="false">IF($G22=0,IF(BT$11=$H22,"◆",""),IF(AND(BT$11&gt;=$H22,BT$11&lt;=$I22),1,""))</f>
        <v/>
      </c>
      <c r="BU22" s="448" t="str">
        <f aca="false">IF($G22=0,IF(BU$11=$H22,"◆",""),IF(AND(BU$11&gt;=$H22,BU$11&lt;=$I22),1,""))</f>
        <v/>
      </c>
      <c r="BV22" s="448" t="str">
        <f aca="false">IF($G22=0,IF(BV$11=$H22,"◆",""),IF(AND(BV$11&gt;=$H22,BV$11&lt;=$I22),1,""))</f>
        <v/>
      </c>
      <c r="BW22" s="448" t="str">
        <f aca="false">IF($G22=0,IF(BW$11=$H22,"◆",""),IF(AND(BW$11&gt;=$H22,BW$11&lt;=$I22),1,""))</f>
        <v/>
      </c>
      <c r="BX22" s="448" t="str">
        <f aca="false">IF($G22=0,IF(BX$11=$H22,"◆",""),IF(AND(BX$11&gt;=$H22,BX$11&lt;=$I22),1,""))</f>
        <v/>
      </c>
      <c r="BY22" s="448" t="str">
        <f aca="false">IF($G22=0,IF(BY$11=$H22,"◆",""),IF(AND(BY$11&gt;=$H22,BY$11&lt;=$I22),1,""))</f>
        <v/>
      </c>
      <c r="BZ22" s="448" t="str">
        <f aca="false">IF($G22=0,IF(BZ$11=$H22,"◆",""),IF(AND(BZ$11&gt;=$H22,BZ$11&lt;=$I22),1,""))</f>
        <v/>
      </c>
      <c r="CA22" s="448" t="str">
        <f aca="false">IF($G22=0,IF(CA$11=$H22,"◆",""),IF(AND(CA$11&gt;=$H22,CA$11&lt;=$I22),1,""))</f>
        <v/>
      </c>
      <c r="CB22" s="448" t="str">
        <f aca="false">IF($G22=0,IF(CB$11=$H22,"◆",""),IF(AND(CB$11&gt;=$H22,CB$11&lt;=$I22),1,""))</f>
        <v/>
      </c>
      <c r="CC22" s="448" t="str">
        <f aca="false">IF($G22=0,IF(CC$11=$H22,"◆",""),IF(AND(CC$11&gt;=$H22,CC$11&lt;=$I22),1,""))</f>
        <v/>
      </c>
      <c r="CD22" s="448" t="str">
        <f aca="false">IF($G22=0,IF(CD$11=$H22,"◆",""),IF(AND(CD$11&gt;=$H22,CD$11&lt;=$I22),1,""))</f>
        <v/>
      </c>
      <c r="CE22" s="448" t="str">
        <f aca="false">IF($G22=0,IF(CE$11=$H22,"◆",""),IF(AND(CE$11&gt;=$H22,CE$11&lt;=$I22),1,""))</f>
        <v/>
      </c>
      <c r="CF22" s="448" t="str">
        <f aca="false">IF($G22=0,IF(CF$11=$H22,"◆",""),IF(AND(CF$11&gt;=$H22,CF$11&lt;=$I22),1,""))</f>
        <v/>
      </c>
      <c r="CG22" s="448" t="str">
        <f aca="false">IF($G22=0,IF(CG$11=$H22,"◆",""),IF(AND(CG$11&gt;=$H22,CG$11&lt;=$I22),1,""))</f>
        <v/>
      </c>
      <c r="CH22" s="448" t="str">
        <f aca="false">IF($G22=0,IF(CH$11=$H22,"◆",""),IF(AND(CH$11&gt;=$H22,CH$11&lt;=$I22),1,""))</f>
        <v/>
      </c>
      <c r="CI22" s="448" t="str">
        <f aca="false">IF($G22=0,IF(CI$11=$H22,"◆",""),IF(AND(CI$11&gt;=$H22,CI$11&lt;=$I22),1,""))</f>
        <v/>
      </c>
      <c r="CJ22" s="448" t="str">
        <f aca="false">IF($G22=0,IF(CJ$11=$H22,"◆",""),IF(AND(CJ$11&gt;=$H22,CJ$11&lt;=$I22),1,""))</f>
        <v/>
      </c>
      <c r="CK22" s="448" t="str">
        <f aca="false">IF($G22=0,IF(CK$11=$H22,"◆",""),IF(AND(CK$11&gt;=$H22,CK$11&lt;=$I22),1,""))</f>
        <v/>
      </c>
      <c r="CL22" s="448" t="str">
        <f aca="false">IF($G22=0,IF(CL$11=$H22,"◆",""),IF(AND(CL$11&gt;=$H22,CL$11&lt;=$I22),1,""))</f>
        <v/>
      </c>
      <c r="CM22" s="448" t="str">
        <f aca="false">IF($G22=0,IF(CM$11=$H22,"◆",""),IF(AND(CM$11&gt;=$H22,CM$11&lt;=$I22),1,""))</f>
        <v/>
      </c>
      <c r="CN22" s="448" t="str">
        <f aca="false">IF($G22=0,IF(CN$11=$H22,"◆",""),IF(AND(CN$11&gt;=$H22,CN$11&lt;=$I22),1,""))</f>
        <v/>
      </c>
      <c r="CO22" s="448" t="str">
        <f aca="false">IF($G22=0,IF(CO$11=$H22,"◆",""),IF(AND(CO$11&gt;=$H22,CO$11&lt;=$I22),1,""))</f>
        <v/>
      </c>
      <c r="CP22" s="448" t="str">
        <f aca="false">IF($G22=0,IF(CP$11=$H22,"◆",""),IF(AND(CP$11&gt;=$H22,CP$11&lt;=$I22),1,""))</f>
        <v/>
      </c>
      <c r="CQ22" s="448" t="str">
        <f aca="false">IF($G22=0,IF(CQ$11=$H22,"◆",""),IF(AND(CQ$11&gt;=$H22,CQ$11&lt;=$I22),1,""))</f>
        <v/>
      </c>
      <c r="CR22" s="448" t="str">
        <f aca="false">IF($G22=0,IF(CR$11=$H22,"◆",""),IF(AND(CR$11&gt;=$H22,CR$11&lt;=$I22),1,""))</f>
        <v/>
      </c>
      <c r="CS22" s="448" t="str">
        <f aca="false">IF($G22=0,IF(CS$11=$H22,"◆",""),IF(AND(CS$11&gt;=$H22,CS$11&lt;=$I22),1,""))</f>
        <v/>
      </c>
      <c r="CT22" s="448" t="str">
        <f aca="false">IF($G22=0,IF(CT$11=$H22,"◆",""),IF(AND(CT$11&gt;=$H22,CT$11&lt;=$I22),1,""))</f>
        <v/>
      </c>
      <c r="CU22" s="448" t="str">
        <f aca="false">IF($G22=0,IF(CU$11=$H22,"◆",""),IF(AND(CU$11&gt;=$H22,CU$11&lt;=$I22),1,""))</f>
        <v/>
      </c>
      <c r="CV22" s="448" t="str">
        <f aca="false">IF($G22=0,IF(CV$11=$H22,"◆",""),IF(AND(CV$11&gt;=$H22,CV$11&lt;=$I22),1,""))</f>
        <v/>
      </c>
      <c r="CW22" s="448" t="str">
        <f aca="false">IF($G22=0,IF(CW$11=$H22,"◆",""),IF(AND(CW$11&gt;=$H22,CW$11&lt;=$I22),1,""))</f>
        <v/>
      </c>
      <c r="CX22" s="448" t="str">
        <f aca="false">IF($G22=0,IF(CX$11=$H22,"◆",""),IF(AND(CX$11&gt;=$H22,CX$11&lt;=$I22),1,""))</f>
        <v/>
      </c>
      <c r="CY22" s="448" t="str">
        <f aca="false">IF($G22=0,IF(CY$11=$H22,"◆",""),IF(AND(CY$11&gt;=$H22,CY$11&lt;=$I22),1,""))</f>
        <v/>
      </c>
      <c r="CZ22" s="448" t="str">
        <f aca="false">IF($G22=0,IF(CZ$11=$H22,"◆",""),IF(AND(CZ$11&gt;=$H22,CZ$11&lt;=$I22),1,""))</f>
        <v/>
      </c>
      <c r="DA22" s="448" t="str">
        <f aca="false">IF($G22=0,IF(DA$11=$H22,"◆",""),IF(AND(DA$11&gt;=$H22,DA$11&lt;=$I22),1,""))</f>
        <v/>
      </c>
      <c r="DB22" s="448" t="str">
        <f aca="false">IF($G22=0,IF(DB$11=$H22,"◆",""),IF(AND(DB$11&gt;=$H22,DB$11&lt;=$I22),1,""))</f>
        <v/>
      </c>
      <c r="DC22" s="448" t="str">
        <f aca="false">IF($G22=0,IF(DC$11=$H22,"◆",""),IF(AND(DC$11&gt;=$H22,DC$11&lt;=$I22),1,""))</f>
        <v/>
      </c>
      <c r="DD22" s="448" t="str">
        <f aca="false">IF($G22=0,IF(DD$11=$H22,"◆",""),IF(AND(DD$11&gt;=$H22,DD$11&lt;=$I22),1,""))</f>
        <v/>
      </c>
      <c r="DE22" s="448" t="str">
        <f aca="false">IF($G22=0,IF(DE$11=$H22,"◆",""),IF(AND(DE$11&gt;=$H22,DE$11&lt;=$I22),1,""))</f>
        <v/>
      </c>
      <c r="DF22" s="448" t="str">
        <f aca="false">IF($G22=0,IF(DF$11=$H22,"◆",""),IF(AND(DF$11&gt;=$H22,DF$11&lt;=$I22),1,""))</f>
        <v/>
      </c>
      <c r="DG22" s="448" t="str">
        <f aca="false">IF($G22=0,IF(DG$11=$H22,"◆",""),IF(AND(DG$11&gt;=$H22,DG$11&lt;=$I22),1,""))</f>
        <v/>
      </c>
      <c r="DH22" s="448" t="str">
        <f aca="false">IF($G22=0,IF(DH$11=$H22,"◆",""),IF(AND(DH$11&gt;=$H22,DH$11&lt;=$I22),1,""))</f>
        <v/>
      </c>
      <c r="DI22" s="448" t="str">
        <f aca="false">IF($G22=0,IF(DI$11=$H22,"◆",""),IF(AND(DI$11&gt;=$H22,DI$11&lt;=$I22),1,""))</f>
        <v/>
      </c>
      <c r="DJ22" s="448" t="str">
        <f aca="false">IF($G22=0,IF(DJ$11=$H22,"◆",""),IF(AND(DJ$11&gt;=$H22,DJ$11&lt;=$I22),1,""))</f>
        <v/>
      </c>
      <c r="DK22" s="448" t="str">
        <f aca="false">IF($G22=0,IF(DK$11=$H22,"◆",""),IF(AND(DK$11&gt;=$H22,DK$11&lt;=$I22),1,""))</f>
        <v/>
      </c>
      <c r="DL22" s="448" t="str">
        <f aca="false">IF($G22=0,IF(DL$11=$H22,"◆",""),IF(AND(DL$11&gt;=$H22,DL$11&lt;=$I22),1,""))</f>
        <v/>
      </c>
      <c r="DM22" s="448" t="str">
        <f aca="false">IF($G22=0,IF(DM$11=$H22,"◆",""),IF(AND(DM$11&gt;=$H22,DM$11&lt;=$I22),1,""))</f>
        <v/>
      </c>
      <c r="DN22" s="448" t="str">
        <f aca="false">IF($G22=0,IF(DN$11=$H22,"◆",""),IF(AND(DN$11&gt;=$H22,DN$11&lt;=$I22),1,""))</f>
        <v/>
      </c>
      <c r="DO22" s="448" t="str">
        <f aca="false">IF($G22=0,IF(DO$11=$H22,"◆",""),IF(AND(DO$11&gt;=$H22,DO$11&lt;=$I22),1,""))</f>
        <v/>
      </c>
      <c r="DP22" s="448" t="str">
        <f aca="false">IF($G22=0,IF(DP$11=$H22,"◆",""),IF(AND(DP$11&gt;=$H22,DP$11&lt;=$I22),1,""))</f>
        <v/>
      </c>
      <c r="DQ22" s="448" t="str">
        <f aca="false">IF($G22=0,IF(DQ$11=$H22,"◆",""),IF(AND(DQ$11&gt;=$H22,DQ$11&lt;=$I22),1,""))</f>
        <v/>
      </c>
      <c r="DR22" s="448" t="str">
        <f aca="false">IF($G22=0,IF(DR$11=$H22,"◆",""),IF(AND(DR$11&gt;=$H22,DR$11&lt;=$I22),1,""))</f>
        <v/>
      </c>
      <c r="DS22" s="448" t="str">
        <f aca="false">IF($G22=0,IF(DS$11=$H22,"◆",""),IF(AND(DS$11&gt;=$H22,DS$11&lt;=$I22),1,""))</f>
        <v/>
      </c>
      <c r="DT22" s="448" t="str">
        <f aca="false">IF($G22=0,IF(DT$11=$H22,"◆",""),IF(AND(DT$11&gt;=$H22,DT$11&lt;=$I22),1,""))</f>
        <v/>
      </c>
      <c r="DU22" s="448" t="str">
        <f aca="false">IF($G22=0,IF(DU$11=$H22,"◆",""),IF(AND(DU$11&gt;=$H22,DU$11&lt;=$I22),1,""))</f>
        <v/>
      </c>
      <c r="DV22" s="448" t="str">
        <f aca="false">IF($G22=0,IF(DV$11=$H22,"◆",""),IF(AND(DV$11&gt;=$H22,DV$11&lt;=$I22),1,""))</f>
        <v/>
      </c>
      <c r="DW22" s="448" t="str">
        <f aca="false">IF($G22=0,IF(DW$11=$H22,"◆",""),IF(AND(DW$11&gt;=$H22,DW$11&lt;=$I22),1,""))</f>
        <v/>
      </c>
      <c r="DX22" s="448" t="str">
        <f aca="false">IF($G22=0,IF(DX$11=$H22,"◆",""),IF(AND(DX$11&gt;=$H22,DX$11&lt;=$I22),1,""))</f>
        <v/>
      </c>
      <c r="DY22" s="448" t="str">
        <f aca="false">IF($G22=0,IF(DY$11=$H22,"◆",""),IF(AND(DY$11&gt;=$H22,DY$11&lt;=$I22),1,""))</f>
        <v/>
      </c>
      <c r="DZ22" s="448" t="str">
        <f aca="false">IF($G22=0,IF(DZ$11=$H22,"◆",""),IF(AND(DZ$11&gt;=$H22,DZ$11&lt;=$I22),1,""))</f>
        <v/>
      </c>
      <c r="EA22" s="448" t="str">
        <f aca="false">IF($G22=0,IF(EA$11=$H22,"◆",""),IF(AND(EA$11&gt;=$H22,EA$11&lt;=$I22),1,""))</f>
        <v/>
      </c>
      <c r="EB22" s="448" t="str">
        <f aca="false">IF($G22=0,IF(EB$11=$H22,"◆",""),IF(AND(EB$11&gt;=$H22,EB$11&lt;=$I22),1,""))</f>
        <v/>
      </c>
      <c r="EC22" s="448" t="str">
        <f aca="false">IF($G22=0,IF(EC$11=$H22,"◆",""),IF(AND(EC$11&gt;=$H22,EC$11&lt;=$I22),1,""))</f>
        <v/>
      </c>
      <c r="ED22" s="448" t="str">
        <f aca="false">IF($G22=0,IF(ED$11=$H22,"◆",""),IF(AND(ED$11&gt;=$H22,ED$11&lt;=$I22),1,""))</f>
        <v/>
      </c>
    </row>
    <row r="23" customFormat="false" ht="15" hidden="false" customHeight="true" outlineLevel="0" collapsed="false">
      <c r="A23" s="441" t="s">
        <v>2457</v>
      </c>
      <c r="B23" s="297" t="s">
        <v>2458</v>
      </c>
      <c r="C23" s="442" t="s">
        <v>2452</v>
      </c>
      <c r="D23" s="443" t="s">
        <v>2436</v>
      </c>
      <c r="E23" s="354" t="n">
        <f aca="false">1</f>
        <v>1</v>
      </c>
      <c r="F23" s="352" t="n">
        <v>3</v>
      </c>
      <c r="G23" s="352" t="n">
        <v>3</v>
      </c>
      <c r="H23" s="367" t="n">
        <f aca="false">MAX(1,ROUND(($E23-1)*$D$5,0)+1+$F23)</f>
        <v>4</v>
      </c>
      <c r="I23" s="367" t="n">
        <f aca="false">MAX($H23,$H23+$G23-1)</f>
        <v>6</v>
      </c>
      <c r="J23" s="444" t="n">
        <f aca="false">$D$4+($H23-1)*7</f>
        <v>46321</v>
      </c>
      <c r="K23" s="444" t="n">
        <f aca="false">$D$4+$I23*7-1</f>
        <v>46341</v>
      </c>
      <c r="L23" s="445" t="n">
        <f aca="false">ROUNDUP($H23/$D$5,0)</f>
        <v>1</v>
      </c>
      <c r="M23" s="446" t="s">
        <v>2453</v>
      </c>
      <c r="N23" s="447" t="n">
        <v>0</v>
      </c>
      <c r="O23" s="448" t="str">
        <f aca="false">IF($G23=0,IF(O$11=$H23,"◆",""),IF(AND(O$11&gt;=$H23,O$11&lt;=$I23),1,""))</f>
        <v/>
      </c>
      <c r="P23" s="448" t="str">
        <f aca="false">IF($G23=0,IF(P$11=$H23,"◆",""),IF(AND(P$11&gt;=$H23,P$11&lt;=$I23),1,""))</f>
        <v/>
      </c>
      <c r="Q23" s="448" t="str">
        <f aca="false">IF($G23=0,IF(Q$11=$H23,"◆",""),IF(AND(Q$11&gt;=$H23,Q$11&lt;=$I23),1,""))</f>
        <v/>
      </c>
      <c r="R23" s="448" t="n">
        <f aca="false">IF($G23=0,IF(R$11=$H23,"◆",""),IF(AND(R$11&gt;=$H23,R$11&lt;=$I23),1,""))</f>
        <v>1</v>
      </c>
      <c r="S23" s="448" t="n">
        <f aca="false">IF($G23=0,IF(S$11=$H23,"◆",""),IF(AND(S$11&gt;=$H23,S$11&lt;=$I23),1,""))</f>
        <v>1</v>
      </c>
      <c r="T23" s="448" t="n">
        <f aca="false">IF($G23=0,IF(T$11=$H23,"◆",""),IF(AND(T$11&gt;=$H23,T$11&lt;=$I23),1,""))</f>
        <v>1</v>
      </c>
      <c r="U23" s="448" t="str">
        <f aca="false">IF($G23=0,IF(U$11=$H23,"◆",""),IF(AND(U$11&gt;=$H23,U$11&lt;=$I23),1,""))</f>
        <v/>
      </c>
      <c r="V23" s="448" t="str">
        <f aca="false">IF($G23=0,IF(V$11=$H23,"◆",""),IF(AND(V$11&gt;=$H23,V$11&lt;=$I23),1,""))</f>
        <v/>
      </c>
      <c r="W23" s="448" t="str">
        <f aca="false">IF($G23=0,IF(W$11=$H23,"◆",""),IF(AND(W$11&gt;=$H23,W$11&lt;=$I23),1,""))</f>
        <v/>
      </c>
      <c r="X23" s="448" t="str">
        <f aca="false">IF($G23=0,IF(X$11=$H23,"◆",""),IF(AND(X$11&gt;=$H23,X$11&lt;=$I23),1,""))</f>
        <v/>
      </c>
      <c r="Y23" s="448" t="str">
        <f aca="false">IF($G23=0,IF(Y$11=$H23,"◆",""),IF(AND(Y$11&gt;=$H23,Y$11&lt;=$I23),1,""))</f>
        <v/>
      </c>
      <c r="Z23" s="448" t="str">
        <f aca="false">IF($G23=0,IF(Z$11=$H23,"◆",""),IF(AND(Z$11&gt;=$H23,Z$11&lt;=$I23),1,""))</f>
        <v/>
      </c>
      <c r="AA23" s="448" t="str">
        <f aca="false">IF($G23=0,IF(AA$11=$H23,"◆",""),IF(AND(AA$11&gt;=$H23,AA$11&lt;=$I23),1,""))</f>
        <v/>
      </c>
      <c r="AB23" s="448" t="str">
        <f aca="false">IF($G23=0,IF(AB$11=$H23,"◆",""),IF(AND(AB$11&gt;=$H23,AB$11&lt;=$I23),1,""))</f>
        <v/>
      </c>
      <c r="AC23" s="448" t="str">
        <f aca="false">IF($G23=0,IF(AC$11=$H23,"◆",""),IF(AND(AC$11&gt;=$H23,AC$11&lt;=$I23),1,""))</f>
        <v/>
      </c>
      <c r="AD23" s="448" t="str">
        <f aca="false">IF($G23=0,IF(AD$11=$H23,"◆",""),IF(AND(AD$11&gt;=$H23,AD$11&lt;=$I23),1,""))</f>
        <v/>
      </c>
      <c r="AE23" s="448" t="str">
        <f aca="false">IF($G23=0,IF(AE$11=$H23,"◆",""),IF(AND(AE$11&gt;=$H23,AE$11&lt;=$I23),1,""))</f>
        <v/>
      </c>
      <c r="AF23" s="448" t="str">
        <f aca="false">IF($G23=0,IF(AF$11=$H23,"◆",""),IF(AND(AF$11&gt;=$H23,AF$11&lt;=$I23),1,""))</f>
        <v/>
      </c>
      <c r="AG23" s="448" t="str">
        <f aca="false">IF($G23=0,IF(AG$11=$H23,"◆",""),IF(AND(AG$11&gt;=$H23,AG$11&lt;=$I23),1,""))</f>
        <v/>
      </c>
      <c r="AH23" s="448" t="str">
        <f aca="false">IF($G23=0,IF(AH$11=$H23,"◆",""),IF(AND(AH$11&gt;=$H23,AH$11&lt;=$I23),1,""))</f>
        <v/>
      </c>
      <c r="AI23" s="448" t="str">
        <f aca="false">IF($G23=0,IF(AI$11=$H23,"◆",""),IF(AND(AI$11&gt;=$H23,AI$11&lt;=$I23),1,""))</f>
        <v/>
      </c>
      <c r="AJ23" s="448" t="str">
        <f aca="false">IF($G23=0,IF(AJ$11=$H23,"◆",""),IF(AND(AJ$11&gt;=$H23,AJ$11&lt;=$I23),1,""))</f>
        <v/>
      </c>
      <c r="AK23" s="448" t="str">
        <f aca="false">IF($G23=0,IF(AK$11=$H23,"◆",""),IF(AND(AK$11&gt;=$H23,AK$11&lt;=$I23),1,""))</f>
        <v/>
      </c>
      <c r="AL23" s="448" t="str">
        <f aca="false">IF($G23=0,IF(AL$11=$H23,"◆",""),IF(AND(AL$11&gt;=$H23,AL$11&lt;=$I23),1,""))</f>
        <v/>
      </c>
      <c r="AM23" s="448" t="str">
        <f aca="false">IF($G23=0,IF(AM$11=$H23,"◆",""),IF(AND(AM$11&gt;=$H23,AM$11&lt;=$I23),1,""))</f>
        <v/>
      </c>
      <c r="AN23" s="448" t="str">
        <f aca="false">IF($G23=0,IF(AN$11=$H23,"◆",""),IF(AND(AN$11&gt;=$H23,AN$11&lt;=$I23),1,""))</f>
        <v/>
      </c>
      <c r="AO23" s="448" t="str">
        <f aca="false">IF($G23=0,IF(AO$11=$H23,"◆",""),IF(AND(AO$11&gt;=$H23,AO$11&lt;=$I23),1,""))</f>
        <v/>
      </c>
      <c r="AP23" s="448" t="str">
        <f aca="false">IF($G23=0,IF(AP$11=$H23,"◆",""),IF(AND(AP$11&gt;=$H23,AP$11&lt;=$I23),1,""))</f>
        <v/>
      </c>
      <c r="AQ23" s="448" t="str">
        <f aca="false">IF($G23=0,IF(AQ$11=$H23,"◆",""),IF(AND(AQ$11&gt;=$H23,AQ$11&lt;=$I23),1,""))</f>
        <v/>
      </c>
      <c r="AR23" s="448" t="str">
        <f aca="false">IF($G23=0,IF(AR$11=$H23,"◆",""),IF(AND(AR$11&gt;=$H23,AR$11&lt;=$I23),1,""))</f>
        <v/>
      </c>
      <c r="AS23" s="448" t="str">
        <f aca="false">IF($G23=0,IF(AS$11=$H23,"◆",""),IF(AND(AS$11&gt;=$H23,AS$11&lt;=$I23),1,""))</f>
        <v/>
      </c>
      <c r="AT23" s="448" t="str">
        <f aca="false">IF($G23=0,IF(AT$11=$H23,"◆",""),IF(AND(AT$11&gt;=$H23,AT$11&lt;=$I23),1,""))</f>
        <v/>
      </c>
      <c r="AU23" s="448" t="str">
        <f aca="false">IF($G23=0,IF(AU$11=$H23,"◆",""),IF(AND(AU$11&gt;=$H23,AU$11&lt;=$I23),1,""))</f>
        <v/>
      </c>
      <c r="AV23" s="448" t="str">
        <f aca="false">IF($G23=0,IF(AV$11=$H23,"◆",""),IF(AND(AV$11&gt;=$H23,AV$11&lt;=$I23),1,""))</f>
        <v/>
      </c>
      <c r="AW23" s="448" t="str">
        <f aca="false">IF($G23=0,IF(AW$11=$H23,"◆",""),IF(AND(AW$11&gt;=$H23,AW$11&lt;=$I23),1,""))</f>
        <v/>
      </c>
      <c r="AX23" s="448" t="str">
        <f aca="false">IF($G23=0,IF(AX$11=$H23,"◆",""),IF(AND(AX$11&gt;=$H23,AX$11&lt;=$I23),1,""))</f>
        <v/>
      </c>
      <c r="AY23" s="448" t="str">
        <f aca="false">IF($G23=0,IF(AY$11=$H23,"◆",""),IF(AND(AY$11&gt;=$H23,AY$11&lt;=$I23),1,""))</f>
        <v/>
      </c>
      <c r="AZ23" s="448" t="str">
        <f aca="false">IF($G23=0,IF(AZ$11=$H23,"◆",""),IF(AND(AZ$11&gt;=$H23,AZ$11&lt;=$I23),1,""))</f>
        <v/>
      </c>
      <c r="BA23" s="448" t="str">
        <f aca="false">IF($G23=0,IF(BA$11=$H23,"◆",""),IF(AND(BA$11&gt;=$H23,BA$11&lt;=$I23),1,""))</f>
        <v/>
      </c>
      <c r="BB23" s="448" t="str">
        <f aca="false">IF($G23=0,IF(BB$11=$H23,"◆",""),IF(AND(BB$11&gt;=$H23,BB$11&lt;=$I23),1,""))</f>
        <v/>
      </c>
      <c r="BC23" s="448" t="str">
        <f aca="false">IF($G23=0,IF(BC$11=$H23,"◆",""),IF(AND(BC$11&gt;=$H23,BC$11&lt;=$I23),1,""))</f>
        <v/>
      </c>
      <c r="BD23" s="448" t="str">
        <f aca="false">IF($G23=0,IF(BD$11=$H23,"◆",""),IF(AND(BD$11&gt;=$H23,BD$11&lt;=$I23),1,""))</f>
        <v/>
      </c>
      <c r="BE23" s="448" t="str">
        <f aca="false">IF($G23=0,IF(BE$11=$H23,"◆",""),IF(AND(BE$11&gt;=$H23,BE$11&lt;=$I23),1,""))</f>
        <v/>
      </c>
      <c r="BF23" s="448" t="str">
        <f aca="false">IF($G23=0,IF(BF$11=$H23,"◆",""),IF(AND(BF$11&gt;=$H23,BF$11&lt;=$I23),1,""))</f>
        <v/>
      </c>
      <c r="BG23" s="448" t="str">
        <f aca="false">IF($G23=0,IF(BG$11=$H23,"◆",""),IF(AND(BG$11&gt;=$H23,BG$11&lt;=$I23),1,""))</f>
        <v/>
      </c>
      <c r="BH23" s="448" t="str">
        <f aca="false">IF($G23=0,IF(BH$11=$H23,"◆",""),IF(AND(BH$11&gt;=$H23,BH$11&lt;=$I23),1,""))</f>
        <v/>
      </c>
      <c r="BI23" s="448" t="str">
        <f aca="false">IF($G23=0,IF(BI$11=$H23,"◆",""),IF(AND(BI$11&gt;=$H23,BI$11&lt;=$I23),1,""))</f>
        <v/>
      </c>
      <c r="BJ23" s="448" t="str">
        <f aca="false">IF($G23=0,IF(BJ$11=$H23,"◆",""),IF(AND(BJ$11&gt;=$H23,BJ$11&lt;=$I23),1,""))</f>
        <v/>
      </c>
      <c r="BK23" s="448" t="str">
        <f aca="false">IF($G23=0,IF(BK$11=$H23,"◆",""),IF(AND(BK$11&gt;=$H23,BK$11&lt;=$I23),1,""))</f>
        <v/>
      </c>
      <c r="BL23" s="448" t="str">
        <f aca="false">IF($G23=0,IF(BL$11=$H23,"◆",""),IF(AND(BL$11&gt;=$H23,BL$11&lt;=$I23),1,""))</f>
        <v/>
      </c>
      <c r="BM23" s="448" t="str">
        <f aca="false">IF($G23=0,IF(BM$11=$H23,"◆",""),IF(AND(BM$11&gt;=$H23,BM$11&lt;=$I23),1,""))</f>
        <v/>
      </c>
      <c r="BN23" s="448" t="str">
        <f aca="false">IF($G23=0,IF(BN$11=$H23,"◆",""),IF(AND(BN$11&gt;=$H23,BN$11&lt;=$I23),1,""))</f>
        <v/>
      </c>
      <c r="BO23" s="448" t="str">
        <f aca="false">IF($G23=0,IF(BO$11=$H23,"◆",""),IF(AND(BO$11&gt;=$H23,BO$11&lt;=$I23),1,""))</f>
        <v/>
      </c>
      <c r="BP23" s="448" t="str">
        <f aca="false">IF($G23=0,IF(BP$11=$H23,"◆",""),IF(AND(BP$11&gt;=$H23,BP$11&lt;=$I23),1,""))</f>
        <v/>
      </c>
      <c r="BQ23" s="448" t="str">
        <f aca="false">IF($G23=0,IF(BQ$11=$H23,"◆",""),IF(AND(BQ$11&gt;=$H23,BQ$11&lt;=$I23),1,""))</f>
        <v/>
      </c>
      <c r="BR23" s="448" t="str">
        <f aca="false">IF($G23=0,IF(BR$11=$H23,"◆",""),IF(AND(BR$11&gt;=$H23,BR$11&lt;=$I23),1,""))</f>
        <v/>
      </c>
      <c r="BS23" s="448" t="str">
        <f aca="false">IF($G23=0,IF(BS$11=$H23,"◆",""),IF(AND(BS$11&gt;=$H23,BS$11&lt;=$I23),1,""))</f>
        <v/>
      </c>
      <c r="BT23" s="448" t="str">
        <f aca="false">IF($G23=0,IF(BT$11=$H23,"◆",""),IF(AND(BT$11&gt;=$H23,BT$11&lt;=$I23),1,""))</f>
        <v/>
      </c>
      <c r="BU23" s="448" t="str">
        <f aca="false">IF($G23=0,IF(BU$11=$H23,"◆",""),IF(AND(BU$11&gt;=$H23,BU$11&lt;=$I23),1,""))</f>
        <v/>
      </c>
      <c r="BV23" s="448" t="str">
        <f aca="false">IF($G23=0,IF(BV$11=$H23,"◆",""),IF(AND(BV$11&gt;=$H23,BV$11&lt;=$I23),1,""))</f>
        <v/>
      </c>
      <c r="BW23" s="448" t="str">
        <f aca="false">IF($G23=0,IF(BW$11=$H23,"◆",""),IF(AND(BW$11&gt;=$H23,BW$11&lt;=$I23),1,""))</f>
        <v/>
      </c>
      <c r="BX23" s="448" t="str">
        <f aca="false">IF($G23=0,IF(BX$11=$H23,"◆",""),IF(AND(BX$11&gt;=$H23,BX$11&lt;=$I23),1,""))</f>
        <v/>
      </c>
      <c r="BY23" s="448" t="str">
        <f aca="false">IF($G23=0,IF(BY$11=$H23,"◆",""),IF(AND(BY$11&gt;=$H23,BY$11&lt;=$I23),1,""))</f>
        <v/>
      </c>
      <c r="BZ23" s="448" t="str">
        <f aca="false">IF($G23=0,IF(BZ$11=$H23,"◆",""),IF(AND(BZ$11&gt;=$H23,BZ$11&lt;=$I23),1,""))</f>
        <v/>
      </c>
      <c r="CA23" s="448" t="str">
        <f aca="false">IF($G23=0,IF(CA$11=$H23,"◆",""),IF(AND(CA$11&gt;=$H23,CA$11&lt;=$I23),1,""))</f>
        <v/>
      </c>
      <c r="CB23" s="448" t="str">
        <f aca="false">IF($G23=0,IF(CB$11=$H23,"◆",""),IF(AND(CB$11&gt;=$H23,CB$11&lt;=$I23),1,""))</f>
        <v/>
      </c>
      <c r="CC23" s="448" t="str">
        <f aca="false">IF($G23=0,IF(CC$11=$H23,"◆",""),IF(AND(CC$11&gt;=$H23,CC$11&lt;=$I23),1,""))</f>
        <v/>
      </c>
      <c r="CD23" s="448" t="str">
        <f aca="false">IF($G23=0,IF(CD$11=$H23,"◆",""),IF(AND(CD$11&gt;=$H23,CD$11&lt;=$I23),1,""))</f>
        <v/>
      </c>
      <c r="CE23" s="448" t="str">
        <f aca="false">IF($G23=0,IF(CE$11=$H23,"◆",""),IF(AND(CE$11&gt;=$H23,CE$11&lt;=$I23),1,""))</f>
        <v/>
      </c>
      <c r="CF23" s="448" t="str">
        <f aca="false">IF($G23=0,IF(CF$11=$H23,"◆",""),IF(AND(CF$11&gt;=$H23,CF$11&lt;=$I23),1,""))</f>
        <v/>
      </c>
      <c r="CG23" s="448" t="str">
        <f aca="false">IF($G23=0,IF(CG$11=$H23,"◆",""),IF(AND(CG$11&gt;=$H23,CG$11&lt;=$I23),1,""))</f>
        <v/>
      </c>
      <c r="CH23" s="448" t="str">
        <f aca="false">IF($G23=0,IF(CH$11=$H23,"◆",""),IF(AND(CH$11&gt;=$H23,CH$11&lt;=$I23),1,""))</f>
        <v/>
      </c>
      <c r="CI23" s="448" t="str">
        <f aca="false">IF($G23=0,IF(CI$11=$H23,"◆",""),IF(AND(CI$11&gt;=$H23,CI$11&lt;=$I23),1,""))</f>
        <v/>
      </c>
      <c r="CJ23" s="448" t="str">
        <f aca="false">IF($G23=0,IF(CJ$11=$H23,"◆",""),IF(AND(CJ$11&gt;=$H23,CJ$11&lt;=$I23),1,""))</f>
        <v/>
      </c>
      <c r="CK23" s="448" t="str">
        <f aca="false">IF($G23=0,IF(CK$11=$H23,"◆",""),IF(AND(CK$11&gt;=$H23,CK$11&lt;=$I23),1,""))</f>
        <v/>
      </c>
      <c r="CL23" s="448" t="str">
        <f aca="false">IF($G23=0,IF(CL$11=$H23,"◆",""),IF(AND(CL$11&gt;=$H23,CL$11&lt;=$I23),1,""))</f>
        <v/>
      </c>
      <c r="CM23" s="448" t="str">
        <f aca="false">IF($G23=0,IF(CM$11=$H23,"◆",""),IF(AND(CM$11&gt;=$H23,CM$11&lt;=$I23),1,""))</f>
        <v/>
      </c>
      <c r="CN23" s="448" t="str">
        <f aca="false">IF($G23=0,IF(CN$11=$H23,"◆",""),IF(AND(CN$11&gt;=$H23,CN$11&lt;=$I23),1,""))</f>
        <v/>
      </c>
      <c r="CO23" s="448" t="str">
        <f aca="false">IF($G23=0,IF(CO$11=$H23,"◆",""),IF(AND(CO$11&gt;=$H23,CO$11&lt;=$I23),1,""))</f>
        <v/>
      </c>
      <c r="CP23" s="448" t="str">
        <f aca="false">IF($G23=0,IF(CP$11=$H23,"◆",""),IF(AND(CP$11&gt;=$H23,CP$11&lt;=$I23),1,""))</f>
        <v/>
      </c>
      <c r="CQ23" s="448" t="str">
        <f aca="false">IF($G23=0,IF(CQ$11=$H23,"◆",""),IF(AND(CQ$11&gt;=$H23,CQ$11&lt;=$I23),1,""))</f>
        <v/>
      </c>
      <c r="CR23" s="448" t="str">
        <f aca="false">IF($G23=0,IF(CR$11=$H23,"◆",""),IF(AND(CR$11&gt;=$H23,CR$11&lt;=$I23),1,""))</f>
        <v/>
      </c>
      <c r="CS23" s="448" t="str">
        <f aca="false">IF($G23=0,IF(CS$11=$H23,"◆",""),IF(AND(CS$11&gt;=$H23,CS$11&lt;=$I23),1,""))</f>
        <v/>
      </c>
      <c r="CT23" s="448" t="str">
        <f aca="false">IF($G23=0,IF(CT$11=$H23,"◆",""),IF(AND(CT$11&gt;=$H23,CT$11&lt;=$I23),1,""))</f>
        <v/>
      </c>
      <c r="CU23" s="448" t="str">
        <f aca="false">IF($G23=0,IF(CU$11=$H23,"◆",""),IF(AND(CU$11&gt;=$H23,CU$11&lt;=$I23),1,""))</f>
        <v/>
      </c>
      <c r="CV23" s="448" t="str">
        <f aca="false">IF($G23=0,IF(CV$11=$H23,"◆",""),IF(AND(CV$11&gt;=$H23,CV$11&lt;=$I23),1,""))</f>
        <v/>
      </c>
      <c r="CW23" s="448" t="str">
        <f aca="false">IF($G23=0,IF(CW$11=$H23,"◆",""),IF(AND(CW$11&gt;=$H23,CW$11&lt;=$I23),1,""))</f>
        <v/>
      </c>
      <c r="CX23" s="448" t="str">
        <f aca="false">IF($G23=0,IF(CX$11=$H23,"◆",""),IF(AND(CX$11&gt;=$H23,CX$11&lt;=$I23),1,""))</f>
        <v/>
      </c>
      <c r="CY23" s="448" t="str">
        <f aca="false">IF($G23=0,IF(CY$11=$H23,"◆",""),IF(AND(CY$11&gt;=$H23,CY$11&lt;=$I23),1,""))</f>
        <v/>
      </c>
      <c r="CZ23" s="448" t="str">
        <f aca="false">IF($G23=0,IF(CZ$11=$H23,"◆",""),IF(AND(CZ$11&gt;=$H23,CZ$11&lt;=$I23),1,""))</f>
        <v/>
      </c>
      <c r="DA23" s="448" t="str">
        <f aca="false">IF($G23=0,IF(DA$11=$H23,"◆",""),IF(AND(DA$11&gt;=$H23,DA$11&lt;=$I23),1,""))</f>
        <v/>
      </c>
      <c r="DB23" s="448" t="str">
        <f aca="false">IF($G23=0,IF(DB$11=$H23,"◆",""),IF(AND(DB$11&gt;=$H23,DB$11&lt;=$I23),1,""))</f>
        <v/>
      </c>
      <c r="DC23" s="448" t="str">
        <f aca="false">IF($G23=0,IF(DC$11=$H23,"◆",""),IF(AND(DC$11&gt;=$H23,DC$11&lt;=$I23),1,""))</f>
        <v/>
      </c>
      <c r="DD23" s="448" t="str">
        <f aca="false">IF($G23=0,IF(DD$11=$H23,"◆",""),IF(AND(DD$11&gt;=$H23,DD$11&lt;=$I23),1,""))</f>
        <v/>
      </c>
      <c r="DE23" s="448" t="str">
        <f aca="false">IF($G23=0,IF(DE$11=$H23,"◆",""),IF(AND(DE$11&gt;=$H23,DE$11&lt;=$I23),1,""))</f>
        <v/>
      </c>
      <c r="DF23" s="448" t="str">
        <f aca="false">IF($G23=0,IF(DF$11=$H23,"◆",""),IF(AND(DF$11&gt;=$H23,DF$11&lt;=$I23),1,""))</f>
        <v/>
      </c>
      <c r="DG23" s="448" t="str">
        <f aca="false">IF($G23=0,IF(DG$11=$H23,"◆",""),IF(AND(DG$11&gt;=$H23,DG$11&lt;=$I23),1,""))</f>
        <v/>
      </c>
      <c r="DH23" s="448" t="str">
        <f aca="false">IF($G23=0,IF(DH$11=$H23,"◆",""),IF(AND(DH$11&gt;=$H23,DH$11&lt;=$I23),1,""))</f>
        <v/>
      </c>
      <c r="DI23" s="448" t="str">
        <f aca="false">IF($G23=0,IF(DI$11=$H23,"◆",""),IF(AND(DI$11&gt;=$H23,DI$11&lt;=$I23),1,""))</f>
        <v/>
      </c>
      <c r="DJ23" s="448" t="str">
        <f aca="false">IF($G23=0,IF(DJ$11=$H23,"◆",""),IF(AND(DJ$11&gt;=$H23,DJ$11&lt;=$I23),1,""))</f>
        <v/>
      </c>
      <c r="DK23" s="448" t="str">
        <f aca="false">IF($G23=0,IF(DK$11=$H23,"◆",""),IF(AND(DK$11&gt;=$H23,DK$11&lt;=$I23),1,""))</f>
        <v/>
      </c>
      <c r="DL23" s="448" t="str">
        <f aca="false">IF($G23=0,IF(DL$11=$H23,"◆",""),IF(AND(DL$11&gt;=$H23,DL$11&lt;=$I23),1,""))</f>
        <v/>
      </c>
      <c r="DM23" s="448" t="str">
        <f aca="false">IF($G23=0,IF(DM$11=$H23,"◆",""),IF(AND(DM$11&gt;=$H23,DM$11&lt;=$I23),1,""))</f>
        <v/>
      </c>
      <c r="DN23" s="448" t="str">
        <f aca="false">IF($G23=0,IF(DN$11=$H23,"◆",""),IF(AND(DN$11&gt;=$H23,DN$11&lt;=$I23),1,""))</f>
        <v/>
      </c>
      <c r="DO23" s="448" t="str">
        <f aca="false">IF($G23=0,IF(DO$11=$H23,"◆",""),IF(AND(DO$11&gt;=$H23,DO$11&lt;=$I23),1,""))</f>
        <v/>
      </c>
      <c r="DP23" s="448" t="str">
        <f aca="false">IF($G23=0,IF(DP$11=$H23,"◆",""),IF(AND(DP$11&gt;=$H23,DP$11&lt;=$I23),1,""))</f>
        <v/>
      </c>
      <c r="DQ23" s="448" t="str">
        <f aca="false">IF($G23=0,IF(DQ$11=$H23,"◆",""),IF(AND(DQ$11&gt;=$H23,DQ$11&lt;=$I23),1,""))</f>
        <v/>
      </c>
      <c r="DR23" s="448" t="str">
        <f aca="false">IF($G23=0,IF(DR$11=$H23,"◆",""),IF(AND(DR$11&gt;=$H23,DR$11&lt;=$I23),1,""))</f>
        <v/>
      </c>
      <c r="DS23" s="448" t="str">
        <f aca="false">IF($G23=0,IF(DS$11=$H23,"◆",""),IF(AND(DS$11&gt;=$H23,DS$11&lt;=$I23),1,""))</f>
        <v/>
      </c>
      <c r="DT23" s="448" t="str">
        <f aca="false">IF($G23=0,IF(DT$11=$H23,"◆",""),IF(AND(DT$11&gt;=$H23,DT$11&lt;=$I23),1,""))</f>
        <v/>
      </c>
      <c r="DU23" s="448" t="str">
        <f aca="false">IF($G23=0,IF(DU$11=$H23,"◆",""),IF(AND(DU$11&gt;=$H23,DU$11&lt;=$I23),1,""))</f>
        <v/>
      </c>
      <c r="DV23" s="448" t="str">
        <f aca="false">IF($G23=0,IF(DV$11=$H23,"◆",""),IF(AND(DV$11&gt;=$H23,DV$11&lt;=$I23),1,""))</f>
        <v/>
      </c>
      <c r="DW23" s="448" t="str">
        <f aca="false">IF($G23=0,IF(DW$11=$H23,"◆",""),IF(AND(DW$11&gt;=$H23,DW$11&lt;=$I23),1,""))</f>
        <v/>
      </c>
      <c r="DX23" s="448" t="str">
        <f aca="false">IF($G23=0,IF(DX$11=$H23,"◆",""),IF(AND(DX$11&gt;=$H23,DX$11&lt;=$I23),1,""))</f>
        <v/>
      </c>
      <c r="DY23" s="448" t="str">
        <f aca="false">IF($G23=0,IF(DY$11=$H23,"◆",""),IF(AND(DY$11&gt;=$H23,DY$11&lt;=$I23),1,""))</f>
        <v/>
      </c>
      <c r="DZ23" s="448" t="str">
        <f aca="false">IF($G23=0,IF(DZ$11=$H23,"◆",""),IF(AND(DZ$11&gt;=$H23,DZ$11&lt;=$I23),1,""))</f>
        <v/>
      </c>
      <c r="EA23" s="448" t="str">
        <f aca="false">IF($G23=0,IF(EA$11=$H23,"◆",""),IF(AND(EA$11&gt;=$H23,EA$11&lt;=$I23),1,""))</f>
        <v/>
      </c>
      <c r="EB23" s="448" t="str">
        <f aca="false">IF($G23=0,IF(EB$11=$H23,"◆",""),IF(AND(EB$11&gt;=$H23,EB$11&lt;=$I23),1,""))</f>
        <v/>
      </c>
      <c r="EC23" s="448" t="str">
        <f aca="false">IF($G23=0,IF(EC$11=$H23,"◆",""),IF(AND(EC$11&gt;=$H23,EC$11&lt;=$I23),1,""))</f>
        <v/>
      </c>
      <c r="ED23" s="448" t="str">
        <f aca="false">IF($G23=0,IF(ED$11=$H23,"◆",""),IF(AND(ED$11&gt;=$H23,ED$11&lt;=$I23),1,""))</f>
        <v/>
      </c>
    </row>
    <row r="24" customFormat="false" ht="15" hidden="false" customHeight="true" outlineLevel="0" collapsed="false">
      <c r="A24" s="441" t="s">
        <v>2459</v>
      </c>
      <c r="B24" s="297" t="s">
        <v>2460</v>
      </c>
      <c r="C24" s="442" t="s">
        <v>2461</v>
      </c>
      <c r="D24" s="443" t="s">
        <v>2436</v>
      </c>
      <c r="E24" s="354" t="n">
        <f aca="false">1</f>
        <v>1</v>
      </c>
      <c r="F24" s="352" t="n">
        <v>5</v>
      </c>
      <c r="G24" s="352" t="n">
        <v>5</v>
      </c>
      <c r="H24" s="367" t="n">
        <f aca="false">MAX(1,ROUND(($E24-1)*$D$5,0)+1+$F24)</f>
        <v>6</v>
      </c>
      <c r="I24" s="367" t="n">
        <f aca="false">MAX($H24,$H24+$G24-1)</f>
        <v>10</v>
      </c>
      <c r="J24" s="444" t="n">
        <f aca="false">$D$4+($H24-1)*7</f>
        <v>46335</v>
      </c>
      <c r="K24" s="444" t="n">
        <f aca="false">$D$4+$I24*7-1</f>
        <v>46369</v>
      </c>
      <c r="L24" s="445" t="n">
        <f aca="false">ROUNDUP($H24/$D$5,0)</f>
        <v>2</v>
      </c>
      <c r="M24" s="446" t="s">
        <v>2453</v>
      </c>
      <c r="N24" s="447" t="n">
        <v>0</v>
      </c>
      <c r="O24" s="448" t="str">
        <f aca="false">IF($G24=0,IF(O$11=$H24,"◆",""),IF(AND(O$11&gt;=$H24,O$11&lt;=$I24),1,""))</f>
        <v/>
      </c>
      <c r="P24" s="448" t="str">
        <f aca="false">IF($G24=0,IF(P$11=$H24,"◆",""),IF(AND(P$11&gt;=$H24,P$11&lt;=$I24),1,""))</f>
        <v/>
      </c>
      <c r="Q24" s="448" t="str">
        <f aca="false">IF($G24=0,IF(Q$11=$H24,"◆",""),IF(AND(Q$11&gt;=$H24,Q$11&lt;=$I24),1,""))</f>
        <v/>
      </c>
      <c r="R24" s="448" t="str">
        <f aca="false">IF($G24=0,IF(R$11=$H24,"◆",""),IF(AND(R$11&gt;=$H24,R$11&lt;=$I24),1,""))</f>
        <v/>
      </c>
      <c r="S24" s="448" t="str">
        <f aca="false">IF($G24=0,IF(S$11=$H24,"◆",""),IF(AND(S$11&gt;=$H24,S$11&lt;=$I24),1,""))</f>
        <v/>
      </c>
      <c r="T24" s="448" t="n">
        <f aca="false">IF($G24=0,IF(T$11=$H24,"◆",""),IF(AND(T$11&gt;=$H24,T$11&lt;=$I24),1,""))</f>
        <v>1</v>
      </c>
      <c r="U24" s="448" t="n">
        <f aca="false">IF($G24=0,IF(U$11=$H24,"◆",""),IF(AND(U$11&gt;=$H24,U$11&lt;=$I24),1,""))</f>
        <v>1</v>
      </c>
      <c r="V24" s="448" t="n">
        <f aca="false">IF($G24=0,IF(V$11=$H24,"◆",""),IF(AND(V$11&gt;=$H24,V$11&lt;=$I24),1,""))</f>
        <v>1</v>
      </c>
      <c r="W24" s="448" t="n">
        <f aca="false">IF($G24=0,IF(W$11=$H24,"◆",""),IF(AND(W$11&gt;=$H24,W$11&lt;=$I24),1,""))</f>
        <v>1</v>
      </c>
      <c r="X24" s="448" t="n">
        <f aca="false">IF($G24=0,IF(X$11=$H24,"◆",""),IF(AND(X$11&gt;=$H24,X$11&lt;=$I24),1,""))</f>
        <v>1</v>
      </c>
      <c r="Y24" s="448" t="str">
        <f aca="false">IF($G24=0,IF(Y$11=$H24,"◆",""),IF(AND(Y$11&gt;=$H24,Y$11&lt;=$I24),1,""))</f>
        <v/>
      </c>
      <c r="Z24" s="448" t="str">
        <f aca="false">IF($G24=0,IF(Z$11=$H24,"◆",""),IF(AND(Z$11&gt;=$H24,Z$11&lt;=$I24),1,""))</f>
        <v/>
      </c>
      <c r="AA24" s="448" t="str">
        <f aca="false">IF($G24=0,IF(AA$11=$H24,"◆",""),IF(AND(AA$11&gt;=$H24,AA$11&lt;=$I24),1,""))</f>
        <v/>
      </c>
      <c r="AB24" s="448" t="str">
        <f aca="false">IF($G24=0,IF(AB$11=$H24,"◆",""),IF(AND(AB$11&gt;=$H24,AB$11&lt;=$I24),1,""))</f>
        <v/>
      </c>
      <c r="AC24" s="448" t="str">
        <f aca="false">IF($G24=0,IF(AC$11=$H24,"◆",""),IF(AND(AC$11&gt;=$H24,AC$11&lt;=$I24),1,""))</f>
        <v/>
      </c>
      <c r="AD24" s="448" t="str">
        <f aca="false">IF($G24=0,IF(AD$11=$H24,"◆",""),IF(AND(AD$11&gt;=$H24,AD$11&lt;=$I24),1,""))</f>
        <v/>
      </c>
      <c r="AE24" s="448" t="str">
        <f aca="false">IF($G24=0,IF(AE$11=$H24,"◆",""),IF(AND(AE$11&gt;=$H24,AE$11&lt;=$I24),1,""))</f>
        <v/>
      </c>
      <c r="AF24" s="448" t="str">
        <f aca="false">IF($G24=0,IF(AF$11=$H24,"◆",""),IF(AND(AF$11&gt;=$H24,AF$11&lt;=$I24),1,""))</f>
        <v/>
      </c>
      <c r="AG24" s="448" t="str">
        <f aca="false">IF($G24=0,IF(AG$11=$H24,"◆",""),IF(AND(AG$11&gt;=$H24,AG$11&lt;=$I24),1,""))</f>
        <v/>
      </c>
      <c r="AH24" s="448" t="str">
        <f aca="false">IF($G24=0,IF(AH$11=$H24,"◆",""),IF(AND(AH$11&gt;=$H24,AH$11&lt;=$I24),1,""))</f>
        <v/>
      </c>
      <c r="AI24" s="448" t="str">
        <f aca="false">IF($G24=0,IF(AI$11=$H24,"◆",""),IF(AND(AI$11&gt;=$H24,AI$11&lt;=$I24),1,""))</f>
        <v/>
      </c>
      <c r="AJ24" s="448" t="str">
        <f aca="false">IF($G24=0,IF(AJ$11=$H24,"◆",""),IF(AND(AJ$11&gt;=$H24,AJ$11&lt;=$I24),1,""))</f>
        <v/>
      </c>
      <c r="AK24" s="448" t="str">
        <f aca="false">IF($G24=0,IF(AK$11=$H24,"◆",""),IF(AND(AK$11&gt;=$H24,AK$11&lt;=$I24),1,""))</f>
        <v/>
      </c>
      <c r="AL24" s="448" t="str">
        <f aca="false">IF($G24=0,IF(AL$11=$H24,"◆",""),IF(AND(AL$11&gt;=$H24,AL$11&lt;=$I24),1,""))</f>
        <v/>
      </c>
      <c r="AM24" s="448" t="str">
        <f aca="false">IF($G24=0,IF(AM$11=$H24,"◆",""),IF(AND(AM$11&gt;=$H24,AM$11&lt;=$I24),1,""))</f>
        <v/>
      </c>
      <c r="AN24" s="448" t="str">
        <f aca="false">IF($G24=0,IF(AN$11=$H24,"◆",""),IF(AND(AN$11&gt;=$H24,AN$11&lt;=$I24),1,""))</f>
        <v/>
      </c>
      <c r="AO24" s="448" t="str">
        <f aca="false">IF($G24=0,IF(AO$11=$H24,"◆",""),IF(AND(AO$11&gt;=$H24,AO$11&lt;=$I24),1,""))</f>
        <v/>
      </c>
      <c r="AP24" s="448" t="str">
        <f aca="false">IF($G24=0,IF(AP$11=$H24,"◆",""),IF(AND(AP$11&gt;=$H24,AP$11&lt;=$I24),1,""))</f>
        <v/>
      </c>
      <c r="AQ24" s="448" t="str">
        <f aca="false">IF($G24=0,IF(AQ$11=$H24,"◆",""),IF(AND(AQ$11&gt;=$H24,AQ$11&lt;=$I24),1,""))</f>
        <v/>
      </c>
      <c r="AR24" s="448" t="str">
        <f aca="false">IF($G24=0,IF(AR$11=$H24,"◆",""),IF(AND(AR$11&gt;=$H24,AR$11&lt;=$I24),1,""))</f>
        <v/>
      </c>
      <c r="AS24" s="448" t="str">
        <f aca="false">IF($G24=0,IF(AS$11=$H24,"◆",""),IF(AND(AS$11&gt;=$H24,AS$11&lt;=$I24),1,""))</f>
        <v/>
      </c>
      <c r="AT24" s="448" t="str">
        <f aca="false">IF($G24=0,IF(AT$11=$H24,"◆",""),IF(AND(AT$11&gt;=$H24,AT$11&lt;=$I24),1,""))</f>
        <v/>
      </c>
      <c r="AU24" s="448" t="str">
        <f aca="false">IF($G24=0,IF(AU$11=$H24,"◆",""),IF(AND(AU$11&gt;=$H24,AU$11&lt;=$I24),1,""))</f>
        <v/>
      </c>
      <c r="AV24" s="448" t="str">
        <f aca="false">IF($G24=0,IF(AV$11=$H24,"◆",""),IF(AND(AV$11&gt;=$H24,AV$11&lt;=$I24),1,""))</f>
        <v/>
      </c>
      <c r="AW24" s="448" t="str">
        <f aca="false">IF($G24=0,IF(AW$11=$H24,"◆",""),IF(AND(AW$11&gt;=$H24,AW$11&lt;=$I24),1,""))</f>
        <v/>
      </c>
      <c r="AX24" s="448" t="str">
        <f aca="false">IF($G24=0,IF(AX$11=$H24,"◆",""),IF(AND(AX$11&gt;=$H24,AX$11&lt;=$I24),1,""))</f>
        <v/>
      </c>
      <c r="AY24" s="448" t="str">
        <f aca="false">IF($G24=0,IF(AY$11=$H24,"◆",""),IF(AND(AY$11&gt;=$H24,AY$11&lt;=$I24),1,""))</f>
        <v/>
      </c>
      <c r="AZ24" s="448" t="str">
        <f aca="false">IF($G24=0,IF(AZ$11=$H24,"◆",""),IF(AND(AZ$11&gt;=$H24,AZ$11&lt;=$I24),1,""))</f>
        <v/>
      </c>
      <c r="BA24" s="448" t="str">
        <f aca="false">IF($G24=0,IF(BA$11=$H24,"◆",""),IF(AND(BA$11&gt;=$H24,BA$11&lt;=$I24),1,""))</f>
        <v/>
      </c>
      <c r="BB24" s="448" t="str">
        <f aca="false">IF($G24=0,IF(BB$11=$H24,"◆",""),IF(AND(BB$11&gt;=$H24,BB$11&lt;=$I24),1,""))</f>
        <v/>
      </c>
      <c r="BC24" s="448" t="str">
        <f aca="false">IF($G24=0,IF(BC$11=$H24,"◆",""),IF(AND(BC$11&gt;=$H24,BC$11&lt;=$I24),1,""))</f>
        <v/>
      </c>
      <c r="BD24" s="448" t="str">
        <f aca="false">IF($G24=0,IF(BD$11=$H24,"◆",""),IF(AND(BD$11&gt;=$H24,BD$11&lt;=$I24),1,""))</f>
        <v/>
      </c>
      <c r="BE24" s="448" t="str">
        <f aca="false">IF($G24=0,IF(BE$11=$H24,"◆",""),IF(AND(BE$11&gt;=$H24,BE$11&lt;=$I24),1,""))</f>
        <v/>
      </c>
      <c r="BF24" s="448" t="str">
        <f aca="false">IF($G24=0,IF(BF$11=$H24,"◆",""),IF(AND(BF$11&gt;=$H24,BF$11&lt;=$I24),1,""))</f>
        <v/>
      </c>
      <c r="BG24" s="448" t="str">
        <f aca="false">IF($G24=0,IF(BG$11=$H24,"◆",""),IF(AND(BG$11&gt;=$H24,BG$11&lt;=$I24),1,""))</f>
        <v/>
      </c>
      <c r="BH24" s="448" t="str">
        <f aca="false">IF($G24=0,IF(BH$11=$H24,"◆",""),IF(AND(BH$11&gt;=$H24,BH$11&lt;=$I24),1,""))</f>
        <v/>
      </c>
      <c r="BI24" s="448" t="str">
        <f aca="false">IF($G24=0,IF(BI$11=$H24,"◆",""),IF(AND(BI$11&gt;=$H24,BI$11&lt;=$I24),1,""))</f>
        <v/>
      </c>
      <c r="BJ24" s="448" t="str">
        <f aca="false">IF($G24=0,IF(BJ$11=$H24,"◆",""),IF(AND(BJ$11&gt;=$H24,BJ$11&lt;=$I24),1,""))</f>
        <v/>
      </c>
      <c r="BK24" s="448" t="str">
        <f aca="false">IF($G24=0,IF(BK$11=$H24,"◆",""),IF(AND(BK$11&gt;=$H24,BK$11&lt;=$I24),1,""))</f>
        <v/>
      </c>
      <c r="BL24" s="448" t="str">
        <f aca="false">IF($G24=0,IF(BL$11=$H24,"◆",""),IF(AND(BL$11&gt;=$H24,BL$11&lt;=$I24),1,""))</f>
        <v/>
      </c>
      <c r="BM24" s="448" t="str">
        <f aca="false">IF($G24=0,IF(BM$11=$H24,"◆",""),IF(AND(BM$11&gt;=$H24,BM$11&lt;=$I24),1,""))</f>
        <v/>
      </c>
      <c r="BN24" s="448" t="str">
        <f aca="false">IF($G24=0,IF(BN$11=$H24,"◆",""),IF(AND(BN$11&gt;=$H24,BN$11&lt;=$I24),1,""))</f>
        <v/>
      </c>
      <c r="BO24" s="448" t="str">
        <f aca="false">IF($G24=0,IF(BO$11=$H24,"◆",""),IF(AND(BO$11&gt;=$H24,BO$11&lt;=$I24),1,""))</f>
        <v/>
      </c>
      <c r="BP24" s="448" t="str">
        <f aca="false">IF($G24=0,IF(BP$11=$H24,"◆",""),IF(AND(BP$11&gt;=$H24,BP$11&lt;=$I24),1,""))</f>
        <v/>
      </c>
      <c r="BQ24" s="448" t="str">
        <f aca="false">IF($G24=0,IF(BQ$11=$H24,"◆",""),IF(AND(BQ$11&gt;=$H24,BQ$11&lt;=$I24),1,""))</f>
        <v/>
      </c>
      <c r="BR24" s="448" t="str">
        <f aca="false">IF($G24=0,IF(BR$11=$H24,"◆",""),IF(AND(BR$11&gt;=$H24,BR$11&lt;=$I24),1,""))</f>
        <v/>
      </c>
      <c r="BS24" s="448" t="str">
        <f aca="false">IF($G24=0,IF(BS$11=$H24,"◆",""),IF(AND(BS$11&gt;=$H24,BS$11&lt;=$I24),1,""))</f>
        <v/>
      </c>
      <c r="BT24" s="448" t="str">
        <f aca="false">IF($G24=0,IF(BT$11=$H24,"◆",""),IF(AND(BT$11&gt;=$H24,BT$11&lt;=$I24),1,""))</f>
        <v/>
      </c>
      <c r="BU24" s="448" t="str">
        <f aca="false">IF($G24=0,IF(BU$11=$H24,"◆",""),IF(AND(BU$11&gt;=$H24,BU$11&lt;=$I24),1,""))</f>
        <v/>
      </c>
      <c r="BV24" s="448" t="str">
        <f aca="false">IF($G24=0,IF(BV$11=$H24,"◆",""),IF(AND(BV$11&gt;=$H24,BV$11&lt;=$I24),1,""))</f>
        <v/>
      </c>
      <c r="BW24" s="448" t="str">
        <f aca="false">IF($G24=0,IF(BW$11=$H24,"◆",""),IF(AND(BW$11&gt;=$H24,BW$11&lt;=$I24),1,""))</f>
        <v/>
      </c>
      <c r="BX24" s="448" t="str">
        <f aca="false">IF($G24=0,IF(BX$11=$H24,"◆",""),IF(AND(BX$11&gt;=$H24,BX$11&lt;=$I24),1,""))</f>
        <v/>
      </c>
      <c r="BY24" s="448" t="str">
        <f aca="false">IF($G24=0,IF(BY$11=$H24,"◆",""),IF(AND(BY$11&gt;=$H24,BY$11&lt;=$I24),1,""))</f>
        <v/>
      </c>
      <c r="BZ24" s="448" t="str">
        <f aca="false">IF($G24=0,IF(BZ$11=$H24,"◆",""),IF(AND(BZ$11&gt;=$H24,BZ$11&lt;=$I24),1,""))</f>
        <v/>
      </c>
      <c r="CA24" s="448" t="str">
        <f aca="false">IF($G24=0,IF(CA$11=$H24,"◆",""),IF(AND(CA$11&gt;=$H24,CA$11&lt;=$I24),1,""))</f>
        <v/>
      </c>
      <c r="CB24" s="448" t="str">
        <f aca="false">IF($G24=0,IF(CB$11=$H24,"◆",""),IF(AND(CB$11&gt;=$H24,CB$11&lt;=$I24),1,""))</f>
        <v/>
      </c>
      <c r="CC24" s="448" t="str">
        <f aca="false">IF($G24=0,IF(CC$11=$H24,"◆",""),IF(AND(CC$11&gt;=$H24,CC$11&lt;=$I24),1,""))</f>
        <v/>
      </c>
      <c r="CD24" s="448" t="str">
        <f aca="false">IF($G24=0,IF(CD$11=$H24,"◆",""),IF(AND(CD$11&gt;=$H24,CD$11&lt;=$I24),1,""))</f>
        <v/>
      </c>
      <c r="CE24" s="448" t="str">
        <f aca="false">IF($G24=0,IF(CE$11=$H24,"◆",""),IF(AND(CE$11&gt;=$H24,CE$11&lt;=$I24),1,""))</f>
        <v/>
      </c>
      <c r="CF24" s="448" t="str">
        <f aca="false">IF($G24=0,IF(CF$11=$H24,"◆",""),IF(AND(CF$11&gt;=$H24,CF$11&lt;=$I24),1,""))</f>
        <v/>
      </c>
      <c r="CG24" s="448" t="str">
        <f aca="false">IF($G24=0,IF(CG$11=$H24,"◆",""),IF(AND(CG$11&gt;=$H24,CG$11&lt;=$I24),1,""))</f>
        <v/>
      </c>
      <c r="CH24" s="448" t="str">
        <f aca="false">IF($G24=0,IF(CH$11=$H24,"◆",""),IF(AND(CH$11&gt;=$H24,CH$11&lt;=$I24),1,""))</f>
        <v/>
      </c>
      <c r="CI24" s="448" t="str">
        <f aca="false">IF($G24=0,IF(CI$11=$H24,"◆",""),IF(AND(CI$11&gt;=$H24,CI$11&lt;=$I24),1,""))</f>
        <v/>
      </c>
      <c r="CJ24" s="448" t="str">
        <f aca="false">IF($G24=0,IF(CJ$11=$H24,"◆",""),IF(AND(CJ$11&gt;=$H24,CJ$11&lt;=$I24),1,""))</f>
        <v/>
      </c>
      <c r="CK24" s="448" t="str">
        <f aca="false">IF($G24=0,IF(CK$11=$H24,"◆",""),IF(AND(CK$11&gt;=$H24,CK$11&lt;=$I24),1,""))</f>
        <v/>
      </c>
      <c r="CL24" s="448" t="str">
        <f aca="false">IF($G24=0,IF(CL$11=$H24,"◆",""),IF(AND(CL$11&gt;=$H24,CL$11&lt;=$I24),1,""))</f>
        <v/>
      </c>
      <c r="CM24" s="448" t="str">
        <f aca="false">IF($G24=0,IF(CM$11=$H24,"◆",""),IF(AND(CM$11&gt;=$H24,CM$11&lt;=$I24),1,""))</f>
        <v/>
      </c>
      <c r="CN24" s="448" t="str">
        <f aca="false">IF($G24=0,IF(CN$11=$H24,"◆",""),IF(AND(CN$11&gt;=$H24,CN$11&lt;=$I24),1,""))</f>
        <v/>
      </c>
      <c r="CO24" s="448" t="str">
        <f aca="false">IF($G24=0,IF(CO$11=$H24,"◆",""),IF(AND(CO$11&gt;=$H24,CO$11&lt;=$I24),1,""))</f>
        <v/>
      </c>
      <c r="CP24" s="448" t="str">
        <f aca="false">IF($G24=0,IF(CP$11=$H24,"◆",""),IF(AND(CP$11&gt;=$H24,CP$11&lt;=$I24),1,""))</f>
        <v/>
      </c>
      <c r="CQ24" s="448" t="str">
        <f aca="false">IF($G24=0,IF(CQ$11=$H24,"◆",""),IF(AND(CQ$11&gt;=$H24,CQ$11&lt;=$I24),1,""))</f>
        <v/>
      </c>
      <c r="CR24" s="448" t="str">
        <f aca="false">IF($G24=0,IF(CR$11=$H24,"◆",""),IF(AND(CR$11&gt;=$H24,CR$11&lt;=$I24),1,""))</f>
        <v/>
      </c>
      <c r="CS24" s="448" t="str">
        <f aca="false">IF($G24=0,IF(CS$11=$H24,"◆",""),IF(AND(CS$11&gt;=$H24,CS$11&lt;=$I24),1,""))</f>
        <v/>
      </c>
      <c r="CT24" s="448" t="str">
        <f aca="false">IF($G24=0,IF(CT$11=$H24,"◆",""),IF(AND(CT$11&gt;=$H24,CT$11&lt;=$I24),1,""))</f>
        <v/>
      </c>
      <c r="CU24" s="448" t="str">
        <f aca="false">IF($G24=0,IF(CU$11=$H24,"◆",""),IF(AND(CU$11&gt;=$H24,CU$11&lt;=$I24),1,""))</f>
        <v/>
      </c>
      <c r="CV24" s="448" t="str">
        <f aca="false">IF($G24=0,IF(CV$11=$H24,"◆",""),IF(AND(CV$11&gt;=$H24,CV$11&lt;=$I24),1,""))</f>
        <v/>
      </c>
      <c r="CW24" s="448" t="str">
        <f aca="false">IF($G24=0,IF(CW$11=$H24,"◆",""),IF(AND(CW$11&gt;=$H24,CW$11&lt;=$I24),1,""))</f>
        <v/>
      </c>
      <c r="CX24" s="448" t="str">
        <f aca="false">IF($G24=0,IF(CX$11=$H24,"◆",""),IF(AND(CX$11&gt;=$H24,CX$11&lt;=$I24),1,""))</f>
        <v/>
      </c>
      <c r="CY24" s="448" t="str">
        <f aca="false">IF($G24=0,IF(CY$11=$H24,"◆",""),IF(AND(CY$11&gt;=$H24,CY$11&lt;=$I24),1,""))</f>
        <v/>
      </c>
      <c r="CZ24" s="448" t="str">
        <f aca="false">IF($G24=0,IF(CZ$11=$H24,"◆",""),IF(AND(CZ$11&gt;=$H24,CZ$11&lt;=$I24),1,""))</f>
        <v/>
      </c>
      <c r="DA24" s="448" t="str">
        <f aca="false">IF($G24=0,IF(DA$11=$H24,"◆",""),IF(AND(DA$11&gt;=$H24,DA$11&lt;=$I24),1,""))</f>
        <v/>
      </c>
      <c r="DB24" s="448" t="str">
        <f aca="false">IF($G24=0,IF(DB$11=$H24,"◆",""),IF(AND(DB$11&gt;=$H24,DB$11&lt;=$I24),1,""))</f>
        <v/>
      </c>
      <c r="DC24" s="448" t="str">
        <f aca="false">IF($G24=0,IF(DC$11=$H24,"◆",""),IF(AND(DC$11&gt;=$H24,DC$11&lt;=$I24),1,""))</f>
        <v/>
      </c>
      <c r="DD24" s="448" t="str">
        <f aca="false">IF($G24=0,IF(DD$11=$H24,"◆",""),IF(AND(DD$11&gt;=$H24,DD$11&lt;=$I24),1,""))</f>
        <v/>
      </c>
      <c r="DE24" s="448" t="str">
        <f aca="false">IF($G24=0,IF(DE$11=$H24,"◆",""),IF(AND(DE$11&gt;=$H24,DE$11&lt;=$I24),1,""))</f>
        <v/>
      </c>
      <c r="DF24" s="448" t="str">
        <f aca="false">IF($G24=0,IF(DF$11=$H24,"◆",""),IF(AND(DF$11&gt;=$H24,DF$11&lt;=$I24),1,""))</f>
        <v/>
      </c>
      <c r="DG24" s="448" t="str">
        <f aca="false">IF($G24=0,IF(DG$11=$H24,"◆",""),IF(AND(DG$11&gt;=$H24,DG$11&lt;=$I24),1,""))</f>
        <v/>
      </c>
      <c r="DH24" s="448" t="str">
        <f aca="false">IF($G24=0,IF(DH$11=$H24,"◆",""),IF(AND(DH$11&gt;=$H24,DH$11&lt;=$I24),1,""))</f>
        <v/>
      </c>
      <c r="DI24" s="448" t="str">
        <f aca="false">IF($G24=0,IF(DI$11=$H24,"◆",""),IF(AND(DI$11&gt;=$H24,DI$11&lt;=$I24),1,""))</f>
        <v/>
      </c>
      <c r="DJ24" s="448" t="str">
        <f aca="false">IF($G24=0,IF(DJ$11=$H24,"◆",""),IF(AND(DJ$11&gt;=$H24,DJ$11&lt;=$I24),1,""))</f>
        <v/>
      </c>
      <c r="DK24" s="448" t="str">
        <f aca="false">IF($G24=0,IF(DK$11=$H24,"◆",""),IF(AND(DK$11&gt;=$H24,DK$11&lt;=$I24),1,""))</f>
        <v/>
      </c>
      <c r="DL24" s="448" t="str">
        <f aca="false">IF($G24=0,IF(DL$11=$H24,"◆",""),IF(AND(DL$11&gt;=$H24,DL$11&lt;=$I24),1,""))</f>
        <v/>
      </c>
      <c r="DM24" s="448" t="str">
        <f aca="false">IF($G24=0,IF(DM$11=$H24,"◆",""),IF(AND(DM$11&gt;=$H24,DM$11&lt;=$I24),1,""))</f>
        <v/>
      </c>
      <c r="DN24" s="448" t="str">
        <f aca="false">IF($G24=0,IF(DN$11=$H24,"◆",""),IF(AND(DN$11&gt;=$H24,DN$11&lt;=$I24),1,""))</f>
        <v/>
      </c>
      <c r="DO24" s="448" t="str">
        <f aca="false">IF($G24=0,IF(DO$11=$H24,"◆",""),IF(AND(DO$11&gt;=$H24,DO$11&lt;=$I24),1,""))</f>
        <v/>
      </c>
      <c r="DP24" s="448" t="str">
        <f aca="false">IF($G24=0,IF(DP$11=$H24,"◆",""),IF(AND(DP$11&gt;=$H24,DP$11&lt;=$I24),1,""))</f>
        <v/>
      </c>
      <c r="DQ24" s="448" t="str">
        <f aca="false">IF($G24=0,IF(DQ$11=$H24,"◆",""),IF(AND(DQ$11&gt;=$H24,DQ$11&lt;=$I24),1,""))</f>
        <v/>
      </c>
      <c r="DR24" s="448" t="str">
        <f aca="false">IF($G24=0,IF(DR$11=$H24,"◆",""),IF(AND(DR$11&gt;=$H24,DR$11&lt;=$I24),1,""))</f>
        <v/>
      </c>
      <c r="DS24" s="448" t="str">
        <f aca="false">IF($G24=0,IF(DS$11=$H24,"◆",""),IF(AND(DS$11&gt;=$H24,DS$11&lt;=$I24),1,""))</f>
        <v/>
      </c>
      <c r="DT24" s="448" t="str">
        <f aca="false">IF($G24=0,IF(DT$11=$H24,"◆",""),IF(AND(DT$11&gt;=$H24,DT$11&lt;=$I24),1,""))</f>
        <v/>
      </c>
      <c r="DU24" s="448" t="str">
        <f aca="false">IF($G24=0,IF(DU$11=$H24,"◆",""),IF(AND(DU$11&gt;=$H24,DU$11&lt;=$I24),1,""))</f>
        <v/>
      </c>
      <c r="DV24" s="448" t="str">
        <f aca="false">IF($G24=0,IF(DV$11=$H24,"◆",""),IF(AND(DV$11&gt;=$H24,DV$11&lt;=$I24),1,""))</f>
        <v/>
      </c>
      <c r="DW24" s="448" t="str">
        <f aca="false">IF($G24=0,IF(DW$11=$H24,"◆",""),IF(AND(DW$11&gt;=$H24,DW$11&lt;=$I24),1,""))</f>
        <v/>
      </c>
      <c r="DX24" s="448" t="str">
        <f aca="false">IF($G24=0,IF(DX$11=$H24,"◆",""),IF(AND(DX$11&gt;=$H24,DX$11&lt;=$I24),1,""))</f>
        <v/>
      </c>
      <c r="DY24" s="448" t="str">
        <f aca="false">IF($G24=0,IF(DY$11=$H24,"◆",""),IF(AND(DY$11&gt;=$H24,DY$11&lt;=$I24),1,""))</f>
        <v/>
      </c>
      <c r="DZ24" s="448" t="str">
        <f aca="false">IF($G24=0,IF(DZ$11=$H24,"◆",""),IF(AND(DZ$11&gt;=$H24,DZ$11&lt;=$I24),1,""))</f>
        <v/>
      </c>
      <c r="EA24" s="448" t="str">
        <f aca="false">IF($G24=0,IF(EA$11=$H24,"◆",""),IF(AND(EA$11&gt;=$H24,EA$11&lt;=$I24),1,""))</f>
        <v/>
      </c>
      <c r="EB24" s="448" t="str">
        <f aca="false">IF($G24=0,IF(EB$11=$H24,"◆",""),IF(AND(EB$11&gt;=$H24,EB$11&lt;=$I24),1,""))</f>
        <v/>
      </c>
      <c r="EC24" s="448" t="str">
        <f aca="false">IF($G24=0,IF(EC$11=$H24,"◆",""),IF(AND(EC$11&gt;=$H24,EC$11&lt;=$I24),1,""))</f>
        <v/>
      </c>
      <c r="ED24" s="448" t="str">
        <f aca="false">IF($G24=0,IF(ED$11=$H24,"◆",""),IF(AND(ED$11&gt;=$H24,ED$11&lt;=$I24),1,""))</f>
        <v/>
      </c>
    </row>
    <row r="25" customFormat="false" ht="15" hidden="false" customHeight="true" outlineLevel="0" collapsed="false">
      <c r="A25" s="441" t="s">
        <v>2462</v>
      </c>
      <c r="B25" s="297" t="s">
        <v>2463</v>
      </c>
      <c r="C25" s="442" t="s">
        <v>2461</v>
      </c>
      <c r="D25" s="443" t="s">
        <v>2436</v>
      </c>
      <c r="E25" s="354" t="n">
        <f aca="false">1</f>
        <v>1</v>
      </c>
      <c r="F25" s="352" t="n">
        <v>6</v>
      </c>
      <c r="G25" s="352" t="n">
        <v>4</v>
      </c>
      <c r="H25" s="367" t="n">
        <f aca="false">MAX(1,ROUND(($E25-1)*$D$5,0)+1+$F25)</f>
        <v>7</v>
      </c>
      <c r="I25" s="367" t="n">
        <f aca="false">MAX($H25,$H25+$G25-1)</f>
        <v>10</v>
      </c>
      <c r="J25" s="444" t="n">
        <f aca="false">$D$4+($H25-1)*7</f>
        <v>46342</v>
      </c>
      <c r="K25" s="444" t="n">
        <f aca="false">$D$4+$I25*7-1</f>
        <v>46369</v>
      </c>
      <c r="L25" s="445" t="n">
        <f aca="false">ROUNDUP($H25/$D$5,0)</f>
        <v>2</v>
      </c>
      <c r="M25" s="446"/>
      <c r="N25" s="447" t="n">
        <v>0</v>
      </c>
      <c r="O25" s="448" t="str">
        <f aca="false">IF($G25=0,IF(O$11=$H25,"◆",""),IF(AND(O$11&gt;=$H25,O$11&lt;=$I25),1,""))</f>
        <v/>
      </c>
      <c r="P25" s="448" t="str">
        <f aca="false">IF($G25=0,IF(P$11=$H25,"◆",""),IF(AND(P$11&gt;=$H25,P$11&lt;=$I25),1,""))</f>
        <v/>
      </c>
      <c r="Q25" s="448" t="str">
        <f aca="false">IF($G25=0,IF(Q$11=$H25,"◆",""),IF(AND(Q$11&gt;=$H25,Q$11&lt;=$I25),1,""))</f>
        <v/>
      </c>
      <c r="R25" s="448" t="str">
        <f aca="false">IF($G25=0,IF(R$11=$H25,"◆",""),IF(AND(R$11&gt;=$H25,R$11&lt;=$I25),1,""))</f>
        <v/>
      </c>
      <c r="S25" s="448" t="str">
        <f aca="false">IF($G25=0,IF(S$11=$H25,"◆",""),IF(AND(S$11&gt;=$H25,S$11&lt;=$I25),1,""))</f>
        <v/>
      </c>
      <c r="T25" s="448" t="str">
        <f aca="false">IF($G25=0,IF(T$11=$H25,"◆",""),IF(AND(T$11&gt;=$H25,T$11&lt;=$I25),1,""))</f>
        <v/>
      </c>
      <c r="U25" s="448" t="n">
        <f aca="false">IF($G25=0,IF(U$11=$H25,"◆",""),IF(AND(U$11&gt;=$H25,U$11&lt;=$I25),1,""))</f>
        <v>1</v>
      </c>
      <c r="V25" s="448" t="n">
        <f aca="false">IF($G25=0,IF(V$11=$H25,"◆",""),IF(AND(V$11&gt;=$H25,V$11&lt;=$I25),1,""))</f>
        <v>1</v>
      </c>
      <c r="W25" s="448" t="n">
        <f aca="false">IF($G25=0,IF(W$11=$H25,"◆",""),IF(AND(W$11&gt;=$H25,W$11&lt;=$I25),1,""))</f>
        <v>1</v>
      </c>
      <c r="X25" s="448" t="n">
        <f aca="false">IF($G25=0,IF(X$11=$H25,"◆",""),IF(AND(X$11&gt;=$H25,X$11&lt;=$I25),1,""))</f>
        <v>1</v>
      </c>
      <c r="Y25" s="448" t="str">
        <f aca="false">IF($G25=0,IF(Y$11=$H25,"◆",""),IF(AND(Y$11&gt;=$H25,Y$11&lt;=$I25),1,""))</f>
        <v/>
      </c>
      <c r="Z25" s="448" t="str">
        <f aca="false">IF($G25=0,IF(Z$11=$H25,"◆",""),IF(AND(Z$11&gt;=$H25,Z$11&lt;=$I25),1,""))</f>
        <v/>
      </c>
      <c r="AA25" s="448" t="str">
        <f aca="false">IF($G25=0,IF(AA$11=$H25,"◆",""),IF(AND(AA$11&gt;=$H25,AA$11&lt;=$I25),1,""))</f>
        <v/>
      </c>
      <c r="AB25" s="448" t="str">
        <f aca="false">IF($G25=0,IF(AB$11=$H25,"◆",""),IF(AND(AB$11&gt;=$H25,AB$11&lt;=$I25),1,""))</f>
        <v/>
      </c>
      <c r="AC25" s="448" t="str">
        <f aca="false">IF($G25=0,IF(AC$11=$H25,"◆",""),IF(AND(AC$11&gt;=$H25,AC$11&lt;=$I25),1,""))</f>
        <v/>
      </c>
      <c r="AD25" s="448" t="str">
        <f aca="false">IF($G25=0,IF(AD$11=$H25,"◆",""),IF(AND(AD$11&gt;=$H25,AD$11&lt;=$I25),1,""))</f>
        <v/>
      </c>
      <c r="AE25" s="448" t="str">
        <f aca="false">IF($G25=0,IF(AE$11=$H25,"◆",""),IF(AND(AE$11&gt;=$H25,AE$11&lt;=$I25),1,""))</f>
        <v/>
      </c>
      <c r="AF25" s="448" t="str">
        <f aca="false">IF($G25=0,IF(AF$11=$H25,"◆",""),IF(AND(AF$11&gt;=$H25,AF$11&lt;=$I25),1,""))</f>
        <v/>
      </c>
      <c r="AG25" s="448" t="str">
        <f aca="false">IF($G25=0,IF(AG$11=$H25,"◆",""),IF(AND(AG$11&gt;=$H25,AG$11&lt;=$I25),1,""))</f>
        <v/>
      </c>
      <c r="AH25" s="448" t="str">
        <f aca="false">IF($G25=0,IF(AH$11=$H25,"◆",""),IF(AND(AH$11&gt;=$H25,AH$11&lt;=$I25),1,""))</f>
        <v/>
      </c>
      <c r="AI25" s="448" t="str">
        <f aca="false">IF($G25=0,IF(AI$11=$H25,"◆",""),IF(AND(AI$11&gt;=$H25,AI$11&lt;=$I25),1,""))</f>
        <v/>
      </c>
      <c r="AJ25" s="448" t="str">
        <f aca="false">IF($G25=0,IF(AJ$11=$H25,"◆",""),IF(AND(AJ$11&gt;=$H25,AJ$11&lt;=$I25),1,""))</f>
        <v/>
      </c>
      <c r="AK25" s="448" t="str">
        <f aca="false">IF($G25=0,IF(AK$11=$H25,"◆",""),IF(AND(AK$11&gt;=$H25,AK$11&lt;=$I25),1,""))</f>
        <v/>
      </c>
      <c r="AL25" s="448" t="str">
        <f aca="false">IF($G25=0,IF(AL$11=$H25,"◆",""),IF(AND(AL$11&gt;=$H25,AL$11&lt;=$I25),1,""))</f>
        <v/>
      </c>
      <c r="AM25" s="448" t="str">
        <f aca="false">IF($G25=0,IF(AM$11=$H25,"◆",""),IF(AND(AM$11&gt;=$H25,AM$11&lt;=$I25),1,""))</f>
        <v/>
      </c>
      <c r="AN25" s="448" t="str">
        <f aca="false">IF($G25=0,IF(AN$11=$H25,"◆",""),IF(AND(AN$11&gt;=$H25,AN$11&lt;=$I25),1,""))</f>
        <v/>
      </c>
      <c r="AO25" s="448" t="str">
        <f aca="false">IF($G25=0,IF(AO$11=$H25,"◆",""),IF(AND(AO$11&gt;=$H25,AO$11&lt;=$I25),1,""))</f>
        <v/>
      </c>
      <c r="AP25" s="448" t="str">
        <f aca="false">IF($G25=0,IF(AP$11=$H25,"◆",""),IF(AND(AP$11&gt;=$H25,AP$11&lt;=$I25),1,""))</f>
        <v/>
      </c>
      <c r="AQ25" s="448" t="str">
        <f aca="false">IF($G25=0,IF(AQ$11=$H25,"◆",""),IF(AND(AQ$11&gt;=$H25,AQ$11&lt;=$I25),1,""))</f>
        <v/>
      </c>
      <c r="AR25" s="448" t="str">
        <f aca="false">IF($G25=0,IF(AR$11=$H25,"◆",""),IF(AND(AR$11&gt;=$H25,AR$11&lt;=$I25),1,""))</f>
        <v/>
      </c>
      <c r="AS25" s="448" t="str">
        <f aca="false">IF($G25=0,IF(AS$11=$H25,"◆",""),IF(AND(AS$11&gt;=$H25,AS$11&lt;=$I25),1,""))</f>
        <v/>
      </c>
      <c r="AT25" s="448" t="str">
        <f aca="false">IF($G25=0,IF(AT$11=$H25,"◆",""),IF(AND(AT$11&gt;=$H25,AT$11&lt;=$I25),1,""))</f>
        <v/>
      </c>
      <c r="AU25" s="448" t="str">
        <f aca="false">IF($G25=0,IF(AU$11=$H25,"◆",""),IF(AND(AU$11&gt;=$H25,AU$11&lt;=$I25),1,""))</f>
        <v/>
      </c>
      <c r="AV25" s="448" t="str">
        <f aca="false">IF($G25=0,IF(AV$11=$H25,"◆",""),IF(AND(AV$11&gt;=$H25,AV$11&lt;=$I25),1,""))</f>
        <v/>
      </c>
      <c r="AW25" s="448" t="str">
        <f aca="false">IF($G25=0,IF(AW$11=$H25,"◆",""),IF(AND(AW$11&gt;=$H25,AW$11&lt;=$I25),1,""))</f>
        <v/>
      </c>
      <c r="AX25" s="448" t="str">
        <f aca="false">IF($G25=0,IF(AX$11=$H25,"◆",""),IF(AND(AX$11&gt;=$H25,AX$11&lt;=$I25),1,""))</f>
        <v/>
      </c>
      <c r="AY25" s="448" t="str">
        <f aca="false">IF($G25=0,IF(AY$11=$H25,"◆",""),IF(AND(AY$11&gt;=$H25,AY$11&lt;=$I25),1,""))</f>
        <v/>
      </c>
      <c r="AZ25" s="448" t="str">
        <f aca="false">IF($G25=0,IF(AZ$11=$H25,"◆",""),IF(AND(AZ$11&gt;=$H25,AZ$11&lt;=$I25),1,""))</f>
        <v/>
      </c>
      <c r="BA25" s="448" t="str">
        <f aca="false">IF($G25=0,IF(BA$11=$H25,"◆",""),IF(AND(BA$11&gt;=$H25,BA$11&lt;=$I25),1,""))</f>
        <v/>
      </c>
      <c r="BB25" s="448" t="str">
        <f aca="false">IF($G25=0,IF(BB$11=$H25,"◆",""),IF(AND(BB$11&gt;=$H25,BB$11&lt;=$I25),1,""))</f>
        <v/>
      </c>
      <c r="BC25" s="448" t="str">
        <f aca="false">IF($G25=0,IF(BC$11=$H25,"◆",""),IF(AND(BC$11&gt;=$H25,BC$11&lt;=$I25),1,""))</f>
        <v/>
      </c>
      <c r="BD25" s="448" t="str">
        <f aca="false">IF($G25=0,IF(BD$11=$H25,"◆",""),IF(AND(BD$11&gt;=$H25,BD$11&lt;=$I25),1,""))</f>
        <v/>
      </c>
      <c r="BE25" s="448" t="str">
        <f aca="false">IF($G25=0,IF(BE$11=$H25,"◆",""),IF(AND(BE$11&gt;=$H25,BE$11&lt;=$I25),1,""))</f>
        <v/>
      </c>
      <c r="BF25" s="448" t="str">
        <f aca="false">IF($G25=0,IF(BF$11=$H25,"◆",""),IF(AND(BF$11&gt;=$H25,BF$11&lt;=$I25),1,""))</f>
        <v/>
      </c>
      <c r="BG25" s="448" t="str">
        <f aca="false">IF($G25=0,IF(BG$11=$H25,"◆",""),IF(AND(BG$11&gt;=$H25,BG$11&lt;=$I25),1,""))</f>
        <v/>
      </c>
      <c r="BH25" s="448" t="str">
        <f aca="false">IF($G25=0,IF(BH$11=$H25,"◆",""),IF(AND(BH$11&gt;=$H25,BH$11&lt;=$I25),1,""))</f>
        <v/>
      </c>
      <c r="BI25" s="448" t="str">
        <f aca="false">IF($G25=0,IF(BI$11=$H25,"◆",""),IF(AND(BI$11&gt;=$H25,BI$11&lt;=$I25),1,""))</f>
        <v/>
      </c>
      <c r="BJ25" s="448" t="str">
        <f aca="false">IF($G25=0,IF(BJ$11=$H25,"◆",""),IF(AND(BJ$11&gt;=$H25,BJ$11&lt;=$I25),1,""))</f>
        <v/>
      </c>
      <c r="BK25" s="448" t="str">
        <f aca="false">IF($G25=0,IF(BK$11=$H25,"◆",""),IF(AND(BK$11&gt;=$H25,BK$11&lt;=$I25),1,""))</f>
        <v/>
      </c>
      <c r="BL25" s="448" t="str">
        <f aca="false">IF($G25=0,IF(BL$11=$H25,"◆",""),IF(AND(BL$11&gt;=$H25,BL$11&lt;=$I25),1,""))</f>
        <v/>
      </c>
      <c r="BM25" s="448" t="str">
        <f aca="false">IF($G25=0,IF(BM$11=$H25,"◆",""),IF(AND(BM$11&gt;=$H25,BM$11&lt;=$I25),1,""))</f>
        <v/>
      </c>
      <c r="BN25" s="448" t="str">
        <f aca="false">IF($G25=0,IF(BN$11=$H25,"◆",""),IF(AND(BN$11&gt;=$H25,BN$11&lt;=$I25),1,""))</f>
        <v/>
      </c>
      <c r="BO25" s="448" t="str">
        <f aca="false">IF($G25=0,IF(BO$11=$H25,"◆",""),IF(AND(BO$11&gt;=$H25,BO$11&lt;=$I25),1,""))</f>
        <v/>
      </c>
      <c r="BP25" s="448" t="str">
        <f aca="false">IF($G25=0,IF(BP$11=$H25,"◆",""),IF(AND(BP$11&gt;=$H25,BP$11&lt;=$I25),1,""))</f>
        <v/>
      </c>
      <c r="BQ25" s="448" t="str">
        <f aca="false">IF($G25=0,IF(BQ$11=$H25,"◆",""),IF(AND(BQ$11&gt;=$H25,BQ$11&lt;=$I25),1,""))</f>
        <v/>
      </c>
      <c r="BR25" s="448" t="str">
        <f aca="false">IF($G25=0,IF(BR$11=$H25,"◆",""),IF(AND(BR$11&gt;=$H25,BR$11&lt;=$I25),1,""))</f>
        <v/>
      </c>
      <c r="BS25" s="448" t="str">
        <f aca="false">IF($G25=0,IF(BS$11=$H25,"◆",""),IF(AND(BS$11&gt;=$H25,BS$11&lt;=$I25),1,""))</f>
        <v/>
      </c>
      <c r="BT25" s="448" t="str">
        <f aca="false">IF($G25=0,IF(BT$11=$H25,"◆",""),IF(AND(BT$11&gt;=$H25,BT$11&lt;=$I25),1,""))</f>
        <v/>
      </c>
      <c r="BU25" s="448" t="str">
        <f aca="false">IF($G25=0,IF(BU$11=$H25,"◆",""),IF(AND(BU$11&gt;=$H25,BU$11&lt;=$I25),1,""))</f>
        <v/>
      </c>
      <c r="BV25" s="448" t="str">
        <f aca="false">IF($G25=0,IF(BV$11=$H25,"◆",""),IF(AND(BV$11&gt;=$H25,BV$11&lt;=$I25),1,""))</f>
        <v/>
      </c>
      <c r="BW25" s="448" t="str">
        <f aca="false">IF($G25=0,IF(BW$11=$H25,"◆",""),IF(AND(BW$11&gt;=$H25,BW$11&lt;=$I25),1,""))</f>
        <v/>
      </c>
      <c r="BX25" s="448" t="str">
        <f aca="false">IF($G25=0,IF(BX$11=$H25,"◆",""),IF(AND(BX$11&gt;=$H25,BX$11&lt;=$I25),1,""))</f>
        <v/>
      </c>
      <c r="BY25" s="448" t="str">
        <f aca="false">IF($G25=0,IF(BY$11=$H25,"◆",""),IF(AND(BY$11&gt;=$H25,BY$11&lt;=$I25),1,""))</f>
        <v/>
      </c>
      <c r="BZ25" s="448" t="str">
        <f aca="false">IF($G25=0,IF(BZ$11=$H25,"◆",""),IF(AND(BZ$11&gt;=$H25,BZ$11&lt;=$I25),1,""))</f>
        <v/>
      </c>
      <c r="CA25" s="448" t="str">
        <f aca="false">IF($G25=0,IF(CA$11=$H25,"◆",""),IF(AND(CA$11&gt;=$H25,CA$11&lt;=$I25),1,""))</f>
        <v/>
      </c>
      <c r="CB25" s="448" t="str">
        <f aca="false">IF($G25=0,IF(CB$11=$H25,"◆",""),IF(AND(CB$11&gt;=$H25,CB$11&lt;=$I25),1,""))</f>
        <v/>
      </c>
      <c r="CC25" s="448" t="str">
        <f aca="false">IF($G25=0,IF(CC$11=$H25,"◆",""),IF(AND(CC$11&gt;=$H25,CC$11&lt;=$I25),1,""))</f>
        <v/>
      </c>
      <c r="CD25" s="448" t="str">
        <f aca="false">IF($G25=0,IF(CD$11=$H25,"◆",""),IF(AND(CD$11&gt;=$H25,CD$11&lt;=$I25),1,""))</f>
        <v/>
      </c>
      <c r="CE25" s="448" t="str">
        <f aca="false">IF($G25=0,IF(CE$11=$H25,"◆",""),IF(AND(CE$11&gt;=$H25,CE$11&lt;=$I25),1,""))</f>
        <v/>
      </c>
      <c r="CF25" s="448" t="str">
        <f aca="false">IF($G25=0,IF(CF$11=$H25,"◆",""),IF(AND(CF$11&gt;=$H25,CF$11&lt;=$I25),1,""))</f>
        <v/>
      </c>
      <c r="CG25" s="448" t="str">
        <f aca="false">IF($G25=0,IF(CG$11=$H25,"◆",""),IF(AND(CG$11&gt;=$H25,CG$11&lt;=$I25),1,""))</f>
        <v/>
      </c>
      <c r="CH25" s="448" t="str">
        <f aca="false">IF($G25=0,IF(CH$11=$H25,"◆",""),IF(AND(CH$11&gt;=$H25,CH$11&lt;=$I25),1,""))</f>
        <v/>
      </c>
      <c r="CI25" s="448" t="str">
        <f aca="false">IF($G25=0,IF(CI$11=$H25,"◆",""),IF(AND(CI$11&gt;=$H25,CI$11&lt;=$I25),1,""))</f>
        <v/>
      </c>
      <c r="CJ25" s="448" t="str">
        <f aca="false">IF($G25=0,IF(CJ$11=$H25,"◆",""),IF(AND(CJ$11&gt;=$H25,CJ$11&lt;=$I25),1,""))</f>
        <v/>
      </c>
      <c r="CK25" s="448" t="str">
        <f aca="false">IF($G25=0,IF(CK$11=$H25,"◆",""),IF(AND(CK$11&gt;=$H25,CK$11&lt;=$I25),1,""))</f>
        <v/>
      </c>
      <c r="CL25" s="448" t="str">
        <f aca="false">IF($G25=0,IF(CL$11=$H25,"◆",""),IF(AND(CL$11&gt;=$H25,CL$11&lt;=$I25),1,""))</f>
        <v/>
      </c>
      <c r="CM25" s="448" t="str">
        <f aca="false">IF($G25=0,IF(CM$11=$H25,"◆",""),IF(AND(CM$11&gt;=$H25,CM$11&lt;=$I25),1,""))</f>
        <v/>
      </c>
      <c r="CN25" s="448" t="str">
        <f aca="false">IF($G25=0,IF(CN$11=$H25,"◆",""),IF(AND(CN$11&gt;=$H25,CN$11&lt;=$I25),1,""))</f>
        <v/>
      </c>
      <c r="CO25" s="448" t="str">
        <f aca="false">IF($G25=0,IF(CO$11=$H25,"◆",""),IF(AND(CO$11&gt;=$H25,CO$11&lt;=$I25),1,""))</f>
        <v/>
      </c>
      <c r="CP25" s="448" t="str">
        <f aca="false">IF($G25=0,IF(CP$11=$H25,"◆",""),IF(AND(CP$11&gt;=$H25,CP$11&lt;=$I25),1,""))</f>
        <v/>
      </c>
      <c r="CQ25" s="448" t="str">
        <f aca="false">IF($G25=0,IF(CQ$11=$H25,"◆",""),IF(AND(CQ$11&gt;=$H25,CQ$11&lt;=$I25),1,""))</f>
        <v/>
      </c>
      <c r="CR25" s="448" t="str">
        <f aca="false">IF($G25=0,IF(CR$11=$H25,"◆",""),IF(AND(CR$11&gt;=$H25,CR$11&lt;=$I25),1,""))</f>
        <v/>
      </c>
      <c r="CS25" s="448" t="str">
        <f aca="false">IF($G25=0,IF(CS$11=$H25,"◆",""),IF(AND(CS$11&gt;=$H25,CS$11&lt;=$I25),1,""))</f>
        <v/>
      </c>
      <c r="CT25" s="448" t="str">
        <f aca="false">IF($G25=0,IF(CT$11=$H25,"◆",""),IF(AND(CT$11&gt;=$H25,CT$11&lt;=$I25),1,""))</f>
        <v/>
      </c>
      <c r="CU25" s="448" t="str">
        <f aca="false">IF($G25=0,IF(CU$11=$H25,"◆",""),IF(AND(CU$11&gt;=$H25,CU$11&lt;=$I25),1,""))</f>
        <v/>
      </c>
      <c r="CV25" s="448" t="str">
        <f aca="false">IF($G25=0,IF(CV$11=$H25,"◆",""),IF(AND(CV$11&gt;=$H25,CV$11&lt;=$I25),1,""))</f>
        <v/>
      </c>
      <c r="CW25" s="448" t="str">
        <f aca="false">IF($G25=0,IF(CW$11=$H25,"◆",""),IF(AND(CW$11&gt;=$H25,CW$11&lt;=$I25),1,""))</f>
        <v/>
      </c>
      <c r="CX25" s="448" t="str">
        <f aca="false">IF($G25=0,IF(CX$11=$H25,"◆",""),IF(AND(CX$11&gt;=$H25,CX$11&lt;=$I25),1,""))</f>
        <v/>
      </c>
      <c r="CY25" s="448" t="str">
        <f aca="false">IF($G25=0,IF(CY$11=$H25,"◆",""),IF(AND(CY$11&gt;=$H25,CY$11&lt;=$I25),1,""))</f>
        <v/>
      </c>
      <c r="CZ25" s="448" t="str">
        <f aca="false">IF($G25=0,IF(CZ$11=$H25,"◆",""),IF(AND(CZ$11&gt;=$H25,CZ$11&lt;=$I25),1,""))</f>
        <v/>
      </c>
      <c r="DA25" s="448" t="str">
        <f aca="false">IF($G25=0,IF(DA$11=$H25,"◆",""),IF(AND(DA$11&gt;=$H25,DA$11&lt;=$I25),1,""))</f>
        <v/>
      </c>
      <c r="DB25" s="448" t="str">
        <f aca="false">IF($G25=0,IF(DB$11=$H25,"◆",""),IF(AND(DB$11&gt;=$H25,DB$11&lt;=$I25),1,""))</f>
        <v/>
      </c>
      <c r="DC25" s="448" t="str">
        <f aca="false">IF($G25=0,IF(DC$11=$H25,"◆",""),IF(AND(DC$11&gt;=$H25,DC$11&lt;=$I25),1,""))</f>
        <v/>
      </c>
      <c r="DD25" s="448" t="str">
        <f aca="false">IF($G25=0,IF(DD$11=$H25,"◆",""),IF(AND(DD$11&gt;=$H25,DD$11&lt;=$I25),1,""))</f>
        <v/>
      </c>
      <c r="DE25" s="448" t="str">
        <f aca="false">IF($G25=0,IF(DE$11=$H25,"◆",""),IF(AND(DE$11&gt;=$H25,DE$11&lt;=$I25),1,""))</f>
        <v/>
      </c>
      <c r="DF25" s="448" t="str">
        <f aca="false">IF($G25=0,IF(DF$11=$H25,"◆",""),IF(AND(DF$11&gt;=$H25,DF$11&lt;=$I25),1,""))</f>
        <v/>
      </c>
      <c r="DG25" s="448" t="str">
        <f aca="false">IF($G25=0,IF(DG$11=$H25,"◆",""),IF(AND(DG$11&gt;=$H25,DG$11&lt;=$I25),1,""))</f>
        <v/>
      </c>
      <c r="DH25" s="448" t="str">
        <f aca="false">IF($G25=0,IF(DH$11=$H25,"◆",""),IF(AND(DH$11&gt;=$H25,DH$11&lt;=$I25),1,""))</f>
        <v/>
      </c>
      <c r="DI25" s="448" t="str">
        <f aca="false">IF($G25=0,IF(DI$11=$H25,"◆",""),IF(AND(DI$11&gt;=$H25,DI$11&lt;=$I25),1,""))</f>
        <v/>
      </c>
      <c r="DJ25" s="448" t="str">
        <f aca="false">IF($G25=0,IF(DJ$11=$H25,"◆",""),IF(AND(DJ$11&gt;=$H25,DJ$11&lt;=$I25),1,""))</f>
        <v/>
      </c>
      <c r="DK25" s="448" t="str">
        <f aca="false">IF($G25=0,IF(DK$11=$H25,"◆",""),IF(AND(DK$11&gt;=$H25,DK$11&lt;=$I25),1,""))</f>
        <v/>
      </c>
      <c r="DL25" s="448" t="str">
        <f aca="false">IF($G25=0,IF(DL$11=$H25,"◆",""),IF(AND(DL$11&gt;=$H25,DL$11&lt;=$I25),1,""))</f>
        <v/>
      </c>
      <c r="DM25" s="448" t="str">
        <f aca="false">IF($G25=0,IF(DM$11=$H25,"◆",""),IF(AND(DM$11&gt;=$H25,DM$11&lt;=$I25),1,""))</f>
        <v/>
      </c>
      <c r="DN25" s="448" t="str">
        <f aca="false">IF($G25=0,IF(DN$11=$H25,"◆",""),IF(AND(DN$11&gt;=$H25,DN$11&lt;=$I25),1,""))</f>
        <v/>
      </c>
      <c r="DO25" s="448" t="str">
        <f aca="false">IF($G25=0,IF(DO$11=$H25,"◆",""),IF(AND(DO$11&gt;=$H25,DO$11&lt;=$I25),1,""))</f>
        <v/>
      </c>
      <c r="DP25" s="448" t="str">
        <f aca="false">IF($G25=0,IF(DP$11=$H25,"◆",""),IF(AND(DP$11&gt;=$H25,DP$11&lt;=$I25),1,""))</f>
        <v/>
      </c>
      <c r="DQ25" s="448" t="str">
        <f aca="false">IF($G25=0,IF(DQ$11=$H25,"◆",""),IF(AND(DQ$11&gt;=$H25,DQ$11&lt;=$I25),1,""))</f>
        <v/>
      </c>
      <c r="DR25" s="448" t="str">
        <f aca="false">IF($G25=0,IF(DR$11=$H25,"◆",""),IF(AND(DR$11&gt;=$H25,DR$11&lt;=$I25),1,""))</f>
        <v/>
      </c>
      <c r="DS25" s="448" t="str">
        <f aca="false">IF($G25=0,IF(DS$11=$H25,"◆",""),IF(AND(DS$11&gt;=$H25,DS$11&lt;=$I25),1,""))</f>
        <v/>
      </c>
      <c r="DT25" s="448" t="str">
        <f aca="false">IF($G25=0,IF(DT$11=$H25,"◆",""),IF(AND(DT$11&gt;=$H25,DT$11&lt;=$I25),1,""))</f>
        <v/>
      </c>
      <c r="DU25" s="448" t="str">
        <f aca="false">IF($G25=0,IF(DU$11=$H25,"◆",""),IF(AND(DU$11&gt;=$H25,DU$11&lt;=$I25),1,""))</f>
        <v/>
      </c>
      <c r="DV25" s="448" t="str">
        <f aca="false">IF($G25=0,IF(DV$11=$H25,"◆",""),IF(AND(DV$11&gt;=$H25,DV$11&lt;=$I25),1,""))</f>
        <v/>
      </c>
      <c r="DW25" s="448" t="str">
        <f aca="false">IF($G25=0,IF(DW$11=$H25,"◆",""),IF(AND(DW$11&gt;=$H25,DW$11&lt;=$I25),1,""))</f>
        <v/>
      </c>
      <c r="DX25" s="448" t="str">
        <f aca="false">IF($G25=0,IF(DX$11=$H25,"◆",""),IF(AND(DX$11&gt;=$H25,DX$11&lt;=$I25),1,""))</f>
        <v/>
      </c>
      <c r="DY25" s="448" t="str">
        <f aca="false">IF($G25=0,IF(DY$11=$H25,"◆",""),IF(AND(DY$11&gt;=$H25,DY$11&lt;=$I25),1,""))</f>
        <v/>
      </c>
      <c r="DZ25" s="448" t="str">
        <f aca="false">IF($G25=0,IF(DZ$11=$H25,"◆",""),IF(AND(DZ$11&gt;=$H25,DZ$11&lt;=$I25),1,""))</f>
        <v/>
      </c>
      <c r="EA25" s="448" t="str">
        <f aca="false">IF($G25=0,IF(EA$11=$H25,"◆",""),IF(AND(EA$11&gt;=$H25,EA$11&lt;=$I25),1,""))</f>
        <v/>
      </c>
      <c r="EB25" s="448" t="str">
        <f aca="false">IF($G25=0,IF(EB$11=$H25,"◆",""),IF(AND(EB$11&gt;=$H25,EB$11&lt;=$I25),1,""))</f>
        <v/>
      </c>
      <c r="EC25" s="448" t="str">
        <f aca="false">IF($G25=0,IF(EC$11=$H25,"◆",""),IF(AND(EC$11&gt;=$H25,EC$11&lt;=$I25),1,""))</f>
        <v/>
      </c>
      <c r="ED25" s="448" t="str">
        <f aca="false">IF($G25=0,IF(ED$11=$H25,"◆",""),IF(AND(ED$11&gt;=$H25,ED$11&lt;=$I25),1,""))</f>
        <v/>
      </c>
    </row>
    <row r="26" customFormat="false" ht="15" hidden="false" customHeight="true" outlineLevel="0" collapsed="false">
      <c r="A26" s="441" t="s">
        <v>2464</v>
      </c>
      <c r="B26" s="297" t="s">
        <v>2465</v>
      </c>
      <c r="C26" s="442" t="s">
        <v>2461</v>
      </c>
      <c r="D26" s="443" t="s">
        <v>2436</v>
      </c>
      <c r="E26" s="354" t="n">
        <f aca="false">1</f>
        <v>1</v>
      </c>
      <c r="F26" s="352" t="n">
        <v>6</v>
      </c>
      <c r="G26" s="352" t="n">
        <v>4</v>
      </c>
      <c r="H26" s="367" t="n">
        <f aca="false">MAX(1,ROUND(($E26-1)*$D$5,0)+1+$F26)</f>
        <v>7</v>
      </c>
      <c r="I26" s="367" t="n">
        <f aca="false">MAX($H26,$H26+$G26-1)</f>
        <v>10</v>
      </c>
      <c r="J26" s="444" t="n">
        <f aca="false">$D$4+($H26-1)*7</f>
        <v>46342</v>
      </c>
      <c r="K26" s="444" t="n">
        <f aca="false">$D$4+$I26*7-1</f>
        <v>46369</v>
      </c>
      <c r="L26" s="445" t="n">
        <f aca="false">ROUNDUP($H26/$D$5,0)</f>
        <v>2</v>
      </c>
      <c r="M26" s="446"/>
      <c r="N26" s="447" t="n">
        <v>0</v>
      </c>
      <c r="O26" s="448" t="str">
        <f aca="false">IF($G26=0,IF(O$11=$H26,"◆",""),IF(AND(O$11&gt;=$H26,O$11&lt;=$I26),1,""))</f>
        <v/>
      </c>
      <c r="P26" s="448" t="str">
        <f aca="false">IF($G26=0,IF(P$11=$H26,"◆",""),IF(AND(P$11&gt;=$H26,P$11&lt;=$I26),1,""))</f>
        <v/>
      </c>
      <c r="Q26" s="448" t="str">
        <f aca="false">IF($G26=0,IF(Q$11=$H26,"◆",""),IF(AND(Q$11&gt;=$H26,Q$11&lt;=$I26),1,""))</f>
        <v/>
      </c>
      <c r="R26" s="448" t="str">
        <f aca="false">IF($G26=0,IF(R$11=$H26,"◆",""),IF(AND(R$11&gt;=$H26,R$11&lt;=$I26),1,""))</f>
        <v/>
      </c>
      <c r="S26" s="448" t="str">
        <f aca="false">IF($G26=0,IF(S$11=$H26,"◆",""),IF(AND(S$11&gt;=$H26,S$11&lt;=$I26),1,""))</f>
        <v/>
      </c>
      <c r="T26" s="448" t="str">
        <f aca="false">IF($G26=0,IF(T$11=$H26,"◆",""),IF(AND(T$11&gt;=$H26,T$11&lt;=$I26),1,""))</f>
        <v/>
      </c>
      <c r="U26" s="448" t="n">
        <f aca="false">IF($G26=0,IF(U$11=$H26,"◆",""),IF(AND(U$11&gt;=$H26,U$11&lt;=$I26),1,""))</f>
        <v>1</v>
      </c>
      <c r="V26" s="448" t="n">
        <f aca="false">IF($G26=0,IF(V$11=$H26,"◆",""),IF(AND(V$11&gt;=$H26,V$11&lt;=$I26),1,""))</f>
        <v>1</v>
      </c>
      <c r="W26" s="448" t="n">
        <f aca="false">IF($G26=0,IF(W$11=$H26,"◆",""),IF(AND(W$11&gt;=$H26,W$11&lt;=$I26),1,""))</f>
        <v>1</v>
      </c>
      <c r="X26" s="448" t="n">
        <f aca="false">IF($G26=0,IF(X$11=$H26,"◆",""),IF(AND(X$11&gt;=$H26,X$11&lt;=$I26),1,""))</f>
        <v>1</v>
      </c>
      <c r="Y26" s="448" t="str">
        <f aca="false">IF($G26=0,IF(Y$11=$H26,"◆",""),IF(AND(Y$11&gt;=$H26,Y$11&lt;=$I26),1,""))</f>
        <v/>
      </c>
      <c r="Z26" s="448" t="str">
        <f aca="false">IF($G26=0,IF(Z$11=$H26,"◆",""),IF(AND(Z$11&gt;=$H26,Z$11&lt;=$I26),1,""))</f>
        <v/>
      </c>
      <c r="AA26" s="448" t="str">
        <f aca="false">IF($G26=0,IF(AA$11=$H26,"◆",""),IF(AND(AA$11&gt;=$H26,AA$11&lt;=$I26),1,""))</f>
        <v/>
      </c>
      <c r="AB26" s="448" t="str">
        <f aca="false">IF($G26=0,IF(AB$11=$H26,"◆",""),IF(AND(AB$11&gt;=$H26,AB$11&lt;=$I26),1,""))</f>
        <v/>
      </c>
      <c r="AC26" s="448" t="str">
        <f aca="false">IF($G26=0,IF(AC$11=$H26,"◆",""),IF(AND(AC$11&gt;=$H26,AC$11&lt;=$I26),1,""))</f>
        <v/>
      </c>
      <c r="AD26" s="448" t="str">
        <f aca="false">IF($G26=0,IF(AD$11=$H26,"◆",""),IF(AND(AD$11&gt;=$H26,AD$11&lt;=$I26),1,""))</f>
        <v/>
      </c>
      <c r="AE26" s="448" t="str">
        <f aca="false">IF($G26=0,IF(AE$11=$H26,"◆",""),IF(AND(AE$11&gt;=$H26,AE$11&lt;=$I26),1,""))</f>
        <v/>
      </c>
      <c r="AF26" s="448" t="str">
        <f aca="false">IF($G26=0,IF(AF$11=$H26,"◆",""),IF(AND(AF$11&gt;=$H26,AF$11&lt;=$I26),1,""))</f>
        <v/>
      </c>
      <c r="AG26" s="448" t="str">
        <f aca="false">IF($G26=0,IF(AG$11=$H26,"◆",""),IF(AND(AG$11&gt;=$H26,AG$11&lt;=$I26),1,""))</f>
        <v/>
      </c>
      <c r="AH26" s="448" t="str">
        <f aca="false">IF($G26=0,IF(AH$11=$H26,"◆",""),IF(AND(AH$11&gt;=$H26,AH$11&lt;=$I26),1,""))</f>
        <v/>
      </c>
      <c r="AI26" s="448" t="str">
        <f aca="false">IF($G26=0,IF(AI$11=$H26,"◆",""),IF(AND(AI$11&gt;=$H26,AI$11&lt;=$I26),1,""))</f>
        <v/>
      </c>
      <c r="AJ26" s="448" t="str">
        <f aca="false">IF($G26=0,IF(AJ$11=$H26,"◆",""),IF(AND(AJ$11&gt;=$H26,AJ$11&lt;=$I26),1,""))</f>
        <v/>
      </c>
      <c r="AK26" s="448" t="str">
        <f aca="false">IF($G26=0,IF(AK$11=$H26,"◆",""),IF(AND(AK$11&gt;=$H26,AK$11&lt;=$I26),1,""))</f>
        <v/>
      </c>
      <c r="AL26" s="448" t="str">
        <f aca="false">IF($G26=0,IF(AL$11=$H26,"◆",""),IF(AND(AL$11&gt;=$H26,AL$11&lt;=$I26),1,""))</f>
        <v/>
      </c>
      <c r="AM26" s="448" t="str">
        <f aca="false">IF($G26=0,IF(AM$11=$H26,"◆",""),IF(AND(AM$11&gt;=$H26,AM$11&lt;=$I26),1,""))</f>
        <v/>
      </c>
      <c r="AN26" s="448" t="str">
        <f aca="false">IF($G26=0,IF(AN$11=$H26,"◆",""),IF(AND(AN$11&gt;=$H26,AN$11&lt;=$I26),1,""))</f>
        <v/>
      </c>
      <c r="AO26" s="448" t="str">
        <f aca="false">IF($G26=0,IF(AO$11=$H26,"◆",""),IF(AND(AO$11&gt;=$H26,AO$11&lt;=$I26),1,""))</f>
        <v/>
      </c>
      <c r="AP26" s="448" t="str">
        <f aca="false">IF($G26=0,IF(AP$11=$H26,"◆",""),IF(AND(AP$11&gt;=$H26,AP$11&lt;=$I26),1,""))</f>
        <v/>
      </c>
      <c r="AQ26" s="448" t="str">
        <f aca="false">IF($G26=0,IF(AQ$11=$H26,"◆",""),IF(AND(AQ$11&gt;=$H26,AQ$11&lt;=$I26),1,""))</f>
        <v/>
      </c>
      <c r="AR26" s="448" t="str">
        <f aca="false">IF($G26=0,IF(AR$11=$H26,"◆",""),IF(AND(AR$11&gt;=$H26,AR$11&lt;=$I26),1,""))</f>
        <v/>
      </c>
      <c r="AS26" s="448" t="str">
        <f aca="false">IF($G26=0,IF(AS$11=$H26,"◆",""),IF(AND(AS$11&gt;=$H26,AS$11&lt;=$I26),1,""))</f>
        <v/>
      </c>
      <c r="AT26" s="448" t="str">
        <f aca="false">IF($G26=0,IF(AT$11=$H26,"◆",""),IF(AND(AT$11&gt;=$H26,AT$11&lt;=$I26),1,""))</f>
        <v/>
      </c>
      <c r="AU26" s="448" t="str">
        <f aca="false">IF($G26=0,IF(AU$11=$H26,"◆",""),IF(AND(AU$11&gt;=$H26,AU$11&lt;=$I26),1,""))</f>
        <v/>
      </c>
      <c r="AV26" s="448" t="str">
        <f aca="false">IF($G26=0,IF(AV$11=$H26,"◆",""),IF(AND(AV$11&gt;=$H26,AV$11&lt;=$I26),1,""))</f>
        <v/>
      </c>
      <c r="AW26" s="448" t="str">
        <f aca="false">IF($G26=0,IF(AW$11=$H26,"◆",""),IF(AND(AW$11&gt;=$H26,AW$11&lt;=$I26),1,""))</f>
        <v/>
      </c>
      <c r="AX26" s="448" t="str">
        <f aca="false">IF($G26=0,IF(AX$11=$H26,"◆",""),IF(AND(AX$11&gt;=$H26,AX$11&lt;=$I26),1,""))</f>
        <v/>
      </c>
      <c r="AY26" s="448" t="str">
        <f aca="false">IF($G26=0,IF(AY$11=$H26,"◆",""),IF(AND(AY$11&gt;=$H26,AY$11&lt;=$I26),1,""))</f>
        <v/>
      </c>
      <c r="AZ26" s="448" t="str">
        <f aca="false">IF($G26=0,IF(AZ$11=$H26,"◆",""),IF(AND(AZ$11&gt;=$H26,AZ$11&lt;=$I26),1,""))</f>
        <v/>
      </c>
      <c r="BA26" s="448" t="str">
        <f aca="false">IF($G26=0,IF(BA$11=$H26,"◆",""),IF(AND(BA$11&gt;=$H26,BA$11&lt;=$I26),1,""))</f>
        <v/>
      </c>
      <c r="BB26" s="448" t="str">
        <f aca="false">IF($G26=0,IF(BB$11=$H26,"◆",""),IF(AND(BB$11&gt;=$H26,BB$11&lt;=$I26),1,""))</f>
        <v/>
      </c>
      <c r="BC26" s="448" t="str">
        <f aca="false">IF($G26=0,IF(BC$11=$H26,"◆",""),IF(AND(BC$11&gt;=$H26,BC$11&lt;=$I26),1,""))</f>
        <v/>
      </c>
      <c r="BD26" s="448" t="str">
        <f aca="false">IF($G26=0,IF(BD$11=$H26,"◆",""),IF(AND(BD$11&gt;=$H26,BD$11&lt;=$I26),1,""))</f>
        <v/>
      </c>
      <c r="BE26" s="448" t="str">
        <f aca="false">IF($G26=0,IF(BE$11=$H26,"◆",""),IF(AND(BE$11&gt;=$H26,BE$11&lt;=$I26),1,""))</f>
        <v/>
      </c>
      <c r="BF26" s="448" t="str">
        <f aca="false">IF($G26=0,IF(BF$11=$H26,"◆",""),IF(AND(BF$11&gt;=$H26,BF$11&lt;=$I26),1,""))</f>
        <v/>
      </c>
      <c r="BG26" s="448" t="str">
        <f aca="false">IF($G26=0,IF(BG$11=$H26,"◆",""),IF(AND(BG$11&gt;=$H26,BG$11&lt;=$I26),1,""))</f>
        <v/>
      </c>
      <c r="BH26" s="448" t="str">
        <f aca="false">IF($G26=0,IF(BH$11=$H26,"◆",""),IF(AND(BH$11&gt;=$H26,BH$11&lt;=$I26),1,""))</f>
        <v/>
      </c>
      <c r="BI26" s="448" t="str">
        <f aca="false">IF($G26=0,IF(BI$11=$H26,"◆",""),IF(AND(BI$11&gt;=$H26,BI$11&lt;=$I26),1,""))</f>
        <v/>
      </c>
      <c r="BJ26" s="448" t="str">
        <f aca="false">IF($G26=0,IF(BJ$11=$H26,"◆",""),IF(AND(BJ$11&gt;=$H26,BJ$11&lt;=$I26),1,""))</f>
        <v/>
      </c>
      <c r="BK26" s="448" t="str">
        <f aca="false">IF($G26=0,IF(BK$11=$H26,"◆",""),IF(AND(BK$11&gt;=$H26,BK$11&lt;=$I26),1,""))</f>
        <v/>
      </c>
      <c r="BL26" s="448" t="str">
        <f aca="false">IF($G26=0,IF(BL$11=$H26,"◆",""),IF(AND(BL$11&gt;=$H26,BL$11&lt;=$I26),1,""))</f>
        <v/>
      </c>
      <c r="BM26" s="448" t="str">
        <f aca="false">IF($G26=0,IF(BM$11=$H26,"◆",""),IF(AND(BM$11&gt;=$H26,BM$11&lt;=$I26),1,""))</f>
        <v/>
      </c>
      <c r="BN26" s="448" t="str">
        <f aca="false">IF($G26=0,IF(BN$11=$H26,"◆",""),IF(AND(BN$11&gt;=$H26,BN$11&lt;=$I26),1,""))</f>
        <v/>
      </c>
      <c r="BO26" s="448" t="str">
        <f aca="false">IF($G26=0,IF(BO$11=$H26,"◆",""),IF(AND(BO$11&gt;=$H26,BO$11&lt;=$I26),1,""))</f>
        <v/>
      </c>
      <c r="BP26" s="448" t="str">
        <f aca="false">IF($G26=0,IF(BP$11=$H26,"◆",""),IF(AND(BP$11&gt;=$H26,BP$11&lt;=$I26),1,""))</f>
        <v/>
      </c>
      <c r="BQ26" s="448" t="str">
        <f aca="false">IF($G26=0,IF(BQ$11=$H26,"◆",""),IF(AND(BQ$11&gt;=$H26,BQ$11&lt;=$I26),1,""))</f>
        <v/>
      </c>
      <c r="BR26" s="448" t="str">
        <f aca="false">IF($G26=0,IF(BR$11=$H26,"◆",""),IF(AND(BR$11&gt;=$H26,BR$11&lt;=$I26),1,""))</f>
        <v/>
      </c>
      <c r="BS26" s="448" t="str">
        <f aca="false">IF($G26=0,IF(BS$11=$H26,"◆",""),IF(AND(BS$11&gt;=$H26,BS$11&lt;=$I26),1,""))</f>
        <v/>
      </c>
      <c r="BT26" s="448" t="str">
        <f aca="false">IF($G26=0,IF(BT$11=$H26,"◆",""),IF(AND(BT$11&gt;=$H26,BT$11&lt;=$I26),1,""))</f>
        <v/>
      </c>
      <c r="BU26" s="448" t="str">
        <f aca="false">IF($G26=0,IF(BU$11=$H26,"◆",""),IF(AND(BU$11&gt;=$H26,BU$11&lt;=$I26),1,""))</f>
        <v/>
      </c>
      <c r="BV26" s="448" t="str">
        <f aca="false">IF($G26=0,IF(BV$11=$H26,"◆",""),IF(AND(BV$11&gt;=$H26,BV$11&lt;=$I26),1,""))</f>
        <v/>
      </c>
      <c r="BW26" s="448" t="str">
        <f aca="false">IF($G26=0,IF(BW$11=$H26,"◆",""),IF(AND(BW$11&gt;=$H26,BW$11&lt;=$I26),1,""))</f>
        <v/>
      </c>
      <c r="BX26" s="448" t="str">
        <f aca="false">IF($G26=0,IF(BX$11=$H26,"◆",""),IF(AND(BX$11&gt;=$H26,BX$11&lt;=$I26),1,""))</f>
        <v/>
      </c>
      <c r="BY26" s="448" t="str">
        <f aca="false">IF($G26=0,IF(BY$11=$H26,"◆",""),IF(AND(BY$11&gt;=$H26,BY$11&lt;=$I26),1,""))</f>
        <v/>
      </c>
      <c r="BZ26" s="448" t="str">
        <f aca="false">IF($G26=0,IF(BZ$11=$H26,"◆",""),IF(AND(BZ$11&gt;=$H26,BZ$11&lt;=$I26),1,""))</f>
        <v/>
      </c>
      <c r="CA26" s="448" t="str">
        <f aca="false">IF($G26=0,IF(CA$11=$H26,"◆",""),IF(AND(CA$11&gt;=$H26,CA$11&lt;=$I26),1,""))</f>
        <v/>
      </c>
      <c r="CB26" s="448" t="str">
        <f aca="false">IF($G26=0,IF(CB$11=$H26,"◆",""),IF(AND(CB$11&gt;=$H26,CB$11&lt;=$I26),1,""))</f>
        <v/>
      </c>
      <c r="CC26" s="448" t="str">
        <f aca="false">IF($G26=0,IF(CC$11=$H26,"◆",""),IF(AND(CC$11&gt;=$H26,CC$11&lt;=$I26),1,""))</f>
        <v/>
      </c>
      <c r="CD26" s="448" t="str">
        <f aca="false">IF($G26=0,IF(CD$11=$H26,"◆",""),IF(AND(CD$11&gt;=$H26,CD$11&lt;=$I26),1,""))</f>
        <v/>
      </c>
      <c r="CE26" s="448" t="str">
        <f aca="false">IF($G26=0,IF(CE$11=$H26,"◆",""),IF(AND(CE$11&gt;=$H26,CE$11&lt;=$I26),1,""))</f>
        <v/>
      </c>
      <c r="CF26" s="448" t="str">
        <f aca="false">IF($G26=0,IF(CF$11=$H26,"◆",""),IF(AND(CF$11&gt;=$H26,CF$11&lt;=$I26),1,""))</f>
        <v/>
      </c>
      <c r="CG26" s="448" t="str">
        <f aca="false">IF($G26=0,IF(CG$11=$H26,"◆",""),IF(AND(CG$11&gt;=$H26,CG$11&lt;=$I26),1,""))</f>
        <v/>
      </c>
      <c r="CH26" s="448" t="str">
        <f aca="false">IF($G26=0,IF(CH$11=$H26,"◆",""),IF(AND(CH$11&gt;=$H26,CH$11&lt;=$I26),1,""))</f>
        <v/>
      </c>
      <c r="CI26" s="448" t="str">
        <f aca="false">IF($G26=0,IF(CI$11=$H26,"◆",""),IF(AND(CI$11&gt;=$H26,CI$11&lt;=$I26),1,""))</f>
        <v/>
      </c>
      <c r="CJ26" s="448" t="str">
        <f aca="false">IF($G26=0,IF(CJ$11=$H26,"◆",""),IF(AND(CJ$11&gt;=$H26,CJ$11&lt;=$I26),1,""))</f>
        <v/>
      </c>
      <c r="CK26" s="448" t="str">
        <f aca="false">IF($G26=0,IF(CK$11=$H26,"◆",""),IF(AND(CK$11&gt;=$H26,CK$11&lt;=$I26),1,""))</f>
        <v/>
      </c>
      <c r="CL26" s="448" t="str">
        <f aca="false">IF($G26=0,IF(CL$11=$H26,"◆",""),IF(AND(CL$11&gt;=$H26,CL$11&lt;=$I26),1,""))</f>
        <v/>
      </c>
      <c r="CM26" s="448" t="str">
        <f aca="false">IF($G26=0,IF(CM$11=$H26,"◆",""),IF(AND(CM$11&gt;=$H26,CM$11&lt;=$I26),1,""))</f>
        <v/>
      </c>
      <c r="CN26" s="448" t="str">
        <f aca="false">IF($G26=0,IF(CN$11=$H26,"◆",""),IF(AND(CN$11&gt;=$H26,CN$11&lt;=$I26),1,""))</f>
        <v/>
      </c>
      <c r="CO26" s="448" t="str">
        <f aca="false">IF($G26=0,IF(CO$11=$H26,"◆",""),IF(AND(CO$11&gt;=$H26,CO$11&lt;=$I26),1,""))</f>
        <v/>
      </c>
      <c r="CP26" s="448" t="str">
        <f aca="false">IF($G26=0,IF(CP$11=$H26,"◆",""),IF(AND(CP$11&gt;=$H26,CP$11&lt;=$I26),1,""))</f>
        <v/>
      </c>
      <c r="CQ26" s="448" t="str">
        <f aca="false">IF($G26=0,IF(CQ$11=$H26,"◆",""),IF(AND(CQ$11&gt;=$H26,CQ$11&lt;=$I26),1,""))</f>
        <v/>
      </c>
      <c r="CR26" s="448" t="str">
        <f aca="false">IF($G26=0,IF(CR$11=$H26,"◆",""),IF(AND(CR$11&gt;=$H26,CR$11&lt;=$I26),1,""))</f>
        <v/>
      </c>
      <c r="CS26" s="448" t="str">
        <f aca="false">IF($G26=0,IF(CS$11=$H26,"◆",""),IF(AND(CS$11&gt;=$H26,CS$11&lt;=$I26),1,""))</f>
        <v/>
      </c>
      <c r="CT26" s="448" t="str">
        <f aca="false">IF($G26=0,IF(CT$11=$H26,"◆",""),IF(AND(CT$11&gt;=$H26,CT$11&lt;=$I26),1,""))</f>
        <v/>
      </c>
      <c r="CU26" s="448" t="str">
        <f aca="false">IF($G26=0,IF(CU$11=$H26,"◆",""),IF(AND(CU$11&gt;=$H26,CU$11&lt;=$I26),1,""))</f>
        <v/>
      </c>
      <c r="CV26" s="448" t="str">
        <f aca="false">IF($G26=0,IF(CV$11=$H26,"◆",""),IF(AND(CV$11&gt;=$H26,CV$11&lt;=$I26),1,""))</f>
        <v/>
      </c>
      <c r="CW26" s="448" t="str">
        <f aca="false">IF($G26=0,IF(CW$11=$H26,"◆",""),IF(AND(CW$11&gt;=$H26,CW$11&lt;=$I26),1,""))</f>
        <v/>
      </c>
      <c r="CX26" s="448" t="str">
        <f aca="false">IF($G26=0,IF(CX$11=$H26,"◆",""),IF(AND(CX$11&gt;=$H26,CX$11&lt;=$I26),1,""))</f>
        <v/>
      </c>
      <c r="CY26" s="448" t="str">
        <f aca="false">IF($G26=0,IF(CY$11=$H26,"◆",""),IF(AND(CY$11&gt;=$H26,CY$11&lt;=$I26),1,""))</f>
        <v/>
      </c>
      <c r="CZ26" s="448" t="str">
        <f aca="false">IF($G26=0,IF(CZ$11=$H26,"◆",""),IF(AND(CZ$11&gt;=$H26,CZ$11&lt;=$I26),1,""))</f>
        <v/>
      </c>
      <c r="DA26" s="448" t="str">
        <f aca="false">IF($G26=0,IF(DA$11=$H26,"◆",""),IF(AND(DA$11&gt;=$H26,DA$11&lt;=$I26),1,""))</f>
        <v/>
      </c>
      <c r="DB26" s="448" t="str">
        <f aca="false">IF($G26=0,IF(DB$11=$H26,"◆",""),IF(AND(DB$11&gt;=$H26,DB$11&lt;=$I26),1,""))</f>
        <v/>
      </c>
      <c r="DC26" s="448" t="str">
        <f aca="false">IF($G26=0,IF(DC$11=$H26,"◆",""),IF(AND(DC$11&gt;=$H26,DC$11&lt;=$I26),1,""))</f>
        <v/>
      </c>
      <c r="DD26" s="448" t="str">
        <f aca="false">IF($G26=0,IF(DD$11=$H26,"◆",""),IF(AND(DD$11&gt;=$H26,DD$11&lt;=$I26),1,""))</f>
        <v/>
      </c>
      <c r="DE26" s="448" t="str">
        <f aca="false">IF($G26=0,IF(DE$11=$H26,"◆",""),IF(AND(DE$11&gt;=$H26,DE$11&lt;=$I26),1,""))</f>
        <v/>
      </c>
      <c r="DF26" s="448" t="str">
        <f aca="false">IF($G26=0,IF(DF$11=$H26,"◆",""),IF(AND(DF$11&gt;=$H26,DF$11&lt;=$I26),1,""))</f>
        <v/>
      </c>
      <c r="DG26" s="448" t="str">
        <f aca="false">IF($G26=0,IF(DG$11=$H26,"◆",""),IF(AND(DG$11&gt;=$H26,DG$11&lt;=$I26),1,""))</f>
        <v/>
      </c>
      <c r="DH26" s="448" t="str">
        <f aca="false">IF($G26=0,IF(DH$11=$H26,"◆",""),IF(AND(DH$11&gt;=$H26,DH$11&lt;=$I26),1,""))</f>
        <v/>
      </c>
      <c r="DI26" s="448" t="str">
        <f aca="false">IF($G26=0,IF(DI$11=$H26,"◆",""),IF(AND(DI$11&gt;=$H26,DI$11&lt;=$I26),1,""))</f>
        <v/>
      </c>
      <c r="DJ26" s="448" t="str">
        <f aca="false">IF($G26=0,IF(DJ$11=$H26,"◆",""),IF(AND(DJ$11&gt;=$H26,DJ$11&lt;=$I26),1,""))</f>
        <v/>
      </c>
      <c r="DK26" s="448" t="str">
        <f aca="false">IF($G26=0,IF(DK$11=$H26,"◆",""),IF(AND(DK$11&gt;=$H26,DK$11&lt;=$I26),1,""))</f>
        <v/>
      </c>
      <c r="DL26" s="448" t="str">
        <f aca="false">IF($G26=0,IF(DL$11=$H26,"◆",""),IF(AND(DL$11&gt;=$H26,DL$11&lt;=$I26),1,""))</f>
        <v/>
      </c>
      <c r="DM26" s="448" t="str">
        <f aca="false">IF($G26=0,IF(DM$11=$H26,"◆",""),IF(AND(DM$11&gt;=$H26,DM$11&lt;=$I26),1,""))</f>
        <v/>
      </c>
      <c r="DN26" s="448" t="str">
        <f aca="false">IF($G26=0,IF(DN$11=$H26,"◆",""),IF(AND(DN$11&gt;=$H26,DN$11&lt;=$I26),1,""))</f>
        <v/>
      </c>
      <c r="DO26" s="448" t="str">
        <f aca="false">IF($G26=0,IF(DO$11=$H26,"◆",""),IF(AND(DO$11&gt;=$H26,DO$11&lt;=$I26),1,""))</f>
        <v/>
      </c>
      <c r="DP26" s="448" t="str">
        <f aca="false">IF($G26=0,IF(DP$11=$H26,"◆",""),IF(AND(DP$11&gt;=$H26,DP$11&lt;=$I26),1,""))</f>
        <v/>
      </c>
      <c r="DQ26" s="448" t="str">
        <f aca="false">IF($G26=0,IF(DQ$11=$H26,"◆",""),IF(AND(DQ$11&gt;=$H26,DQ$11&lt;=$I26),1,""))</f>
        <v/>
      </c>
      <c r="DR26" s="448" t="str">
        <f aca="false">IF($G26=0,IF(DR$11=$H26,"◆",""),IF(AND(DR$11&gt;=$H26,DR$11&lt;=$I26),1,""))</f>
        <v/>
      </c>
      <c r="DS26" s="448" t="str">
        <f aca="false">IF($G26=0,IF(DS$11=$H26,"◆",""),IF(AND(DS$11&gt;=$H26,DS$11&lt;=$I26),1,""))</f>
        <v/>
      </c>
      <c r="DT26" s="448" t="str">
        <f aca="false">IF($G26=0,IF(DT$11=$H26,"◆",""),IF(AND(DT$11&gt;=$H26,DT$11&lt;=$I26),1,""))</f>
        <v/>
      </c>
      <c r="DU26" s="448" t="str">
        <f aca="false">IF($G26=0,IF(DU$11=$H26,"◆",""),IF(AND(DU$11&gt;=$H26,DU$11&lt;=$I26),1,""))</f>
        <v/>
      </c>
      <c r="DV26" s="448" t="str">
        <f aca="false">IF($G26=0,IF(DV$11=$H26,"◆",""),IF(AND(DV$11&gt;=$H26,DV$11&lt;=$I26),1,""))</f>
        <v/>
      </c>
      <c r="DW26" s="448" t="str">
        <f aca="false">IF($G26=0,IF(DW$11=$H26,"◆",""),IF(AND(DW$11&gt;=$H26,DW$11&lt;=$I26),1,""))</f>
        <v/>
      </c>
      <c r="DX26" s="448" t="str">
        <f aca="false">IF($G26=0,IF(DX$11=$H26,"◆",""),IF(AND(DX$11&gt;=$H26,DX$11&lt;=$I26),1,""))</f>
        <v/>
      </c>
      <c r="DY26" s="448" t="str">
        <f aca="false">IF($G26=0,IF(DY$11=$H26,"◆",""),IF(AND(DY$11&gt;=$H26,DY$11&lt;=$I26),1,""))</f>
        <v/>
      </c>
      <c r="DZ26" s="448" t="str">
        <f aca="false">IF($G26=0,IF(DZ$11=$H26,"◆",""),IF(AND(DZ$11&gt;=$H26,DZ$11&lt;=$I26),1,""))</f>
        <v/>
      </c>
      <c r="EA26" s="448" t="str">
        <f aca="false">IF($G26=0,IF(EA$11=$H26,"◆",""),IF(AND(EA$11&gt;=$H26,EA$11&lt;=$I26),1,""))</f>
        <v/>
      </c>
      <c r="EB26" s="448" t="str">
        <f aca="false">IF($G26=0,IF(EB$11=$H26,"◆",""),IF(AND(EB$11&gt;=$H26,EB$11&lt;=$I26),1,""))</f>
        <v/>
      </c>
      <c r="EC26" s="448" t="str">
        <f aca="false">IF($G26=0,IF(EC$11=$H26,"◆",""),IF(AND(EC$11&gt;=$H26,EC$11&lt;=$I26),1,""))</f>
        <v/>
      </c>
      <c r="ED26" s="448" t="str">
        <f aca="false">IF($G26=0,IF(ED$11=$H26,"◆",""),IF(AND(ED$11&gt;=$H26,ED$11&lt;=$I26),1,""))</f>
        <v/>
      </c>
    </row>
    <row r="27" customFormat="false" ht="15" hidden="false" customHeight="true" outlineLevel="0" collapsed="false">
      <c r="A27" s="441" t="s">
        <v>2466</v>
      </c>
      <c r="B27" s="297" t="s">
        <v>2467</v>
      </c>
      <c r="C27" s="442" t="s">
        <v>2468</v>
      </c>
      <c r="D27" s="443" t="s">
        <v>2436</v>
      </c>
      <c r="E27" s="354" t="n">
        <f aca="false">1</f>
        <v>1</v>
      </c>
      <c r="F27" s="352" t="n">
        <v>7</v>
      </c>
      <c r="G27" s="352" t="n">
        <v>3</v>
      </c>
      <c r="H27" s="367" t="n">
        <f aca="false">MAX(1,ROUND(($E27-1)*$D$5,0)+1+$F27)</f>
        <v>8</v>
      </c>
      <c r="I27" s="367" t="n">
        <f aca="false">MAX($H27,$H27+$G27-1)</f>
        <v>10</v>
      </c>
      <c r="J27" s="444" t="n">
        <f aca="false">$D$4+($H27-1)*7</f>
        <v>46349</v>
      </c>
      <c r="K27" s="444" t="n">
        <f aca="false">$D$4+$I27*7-1</f>
        <v>46369</v>
      </c>
      <c r="L27" s="445" t="n">
        <f aca="false">ROUNDUP($H27/$D$5,0)</f>
        <v>2</v>
      </c>
      <c r="M27" s="446"/>
      <c r="N27" s="447" t="n">
        <v>0</v>
      </c>
      <c r="O27" s="448" t="str">
        <f aca="false">IF($G27=0,IF(O$11=$H27,"◆",""),IF(AND(O$11&gt;=$H27,O$11&lt;=$I27),1,""))</f>
        <v/>
      </c>
      <c r="P27" s="448" t="str">
        <f aca="false">IF($G27=0,IF(P$11=$H27,"◆",""),IF(AND(P$11&gt;=$H27,P$11&lt;=$I27),1,""))</f>
        <v/>
      </c>
      <c r="Q27" s="448" t="str">
        <f aca="false">IF($G27=0,IF(Q$11=$H27,"◆",""),IF(AND(Q$11&gt;=$H27,Q$11&lt;=$I27),1,""))</f>
        <v/>
      </c>
      <c r="R27" s="448" t="str">
        <f aca="false">IF($G27=0,IF(R$11=$H27,"◆",""),IF(AND(R$11&gt;=$H27,R$11&lt;=$I27),1,""))</f>
        <v/>
      </c>
      <c r="S27" s="448" t="str">
        <f aca="false">IF($G27=0,IF(S$11=$H27,"◆",""),IF(AND(S$11&gt;=$H27,S$11&lt;=$I27),1,""))</f>
        <v/>
      </c>
      <c r="T27" s="448" t="str">
        <f aca="false">IF($G27=0,IF(T$11=$H27,"◆",""),IF(AND(T$11&gt;=$H27,T$11&lt;=$I27),1,""))</f>
        <v/>
      </c>
      <c r="U27" s="448" t="str">
        <f aca="false">IF($G27=0,IF(U$11=$H27,"◆",""),IF(AND(U$11&gt;=$H27,U$11&lt;=$I27),1,""))</f>
        <v/>
      </c>
      <c r="V27" s="448" t="n">
        <f aca="false">IF($G27=0,IF(V$11=$H27,"◆",""),IF(AND(V$11&gt;=$H27,V$11&lt;=$I27),1,""))</f>
        <v>1</v>
      </c>
      <c r="W27" s="448" t="n">
        <f aca="false">IF($G27=0,IF(W$11=$H27,"◆",""),IF(AND(W$11&gt;=$H27,W$11&lt;=$I27),1,""))</f>
        <v>1</v>
      </c>
      <c r="X27" s="448" t="n">
        <f aca="false">IF($G27=0,IF(X$11=$H27,"◆",""),IF(AND(X$11&gt;=$H27,X$11&lt;=$I27),1,""))</f>
        <v>1</v>
      </c>
      <c r="Y27" s="448" t="str">
        <f aca="false">IF($G27=0,IF(Y$11=$H27,"◆",""),IF(AND(Y$11&gt;=$H27,Y$11&lt;=$I27),1,""))</f>
        <v/>
      </c>
      <c r="Z27" s="448" t="str">
        <f aca="false">IF($G27=0,IF(Z$11=$H27,"◆",""),IF(AND(Z$11&gt;=$H27,Z$11&lt;=$I27),1,""))</f>
        <v/>
      </c>
      <c r="AA27" s="448" t="str">
        <f aca="false">IF($G27=0,IF(AA$11=$H27,"◆",""),IF(AND(AA$11&gt;=$H27,AA$11&lt;=$I27),1,""))</f>
        <v/>
      </c>
      <c r="AB27" s="448" t="str">
        <f aca="false">IF($G27=0,IF(AB$11=$H27,"◆",""),IF(AND(AB$11&gt;=$H27,AB$11&lt;=$I27),1,""))</f>
        <v/>
      </c>
      <c r="AC27" s="448" t="str">
        <f aca="false">IF($G27=0,IF(AC$11=$H27,"◆",""),IF(AND(AC$11&gt;=$H27,AC$11&lt;=$I27),1,""))</f>
        <v/>
      </c>
      <c r="AD27" s="448" t="str">
        <f aca="false">IF($G27=0,IF(AD$11=$H27,"◆",""),IF(AND(AD$11&gt;=$H27,AD$11&lt;=$I27),1,""))</f>
        <v/>
      </c>
      <c r="AE27" s="448" t="str">
        <f aca="false">IF($G27=0,IF(AE$11=$H27,"◆",""),IF(AND(AE$11&gt;=$H27,AE$11&lt;=$I27),1,""))</f>
        <v/>
      </c>
      <c r="AF27" s="448" t="str">
        <f aca="false">IF($G27=0,IF(AF$11=$H27,"◆",""),IF(AND(AF$11&gt;=$H27,AF$11&lt;=$I27),1,""))</f>
        <v/>
      </c>
      <c r="AG27" s="448" t="str">
        <f aca="false">IF($G27=0,IF(AG$11=$H27,"◆",""),IF(AND(AG$11&gt;=$H27,AG$11&lt;=$I27),1,""))</f>
        <v/>
      </c>
      <c r="AH27" s="448" t="str">
        <f aca="false">IF($G27=0,IF(AH$11=$H27,"◆",""),IF(AND(AH$11&gt;=$H27,AH$11&lt;=$I27),1,""))</f>
        <v/>
      </c>
      <c r="AI27" s="448" t="str">
        <f aca="false">IF($G27=0,IF(AI$11=$H27,"◆",""),IF(AND(AI$11&gt;=$H27,AI$11&lt;=$I27),1,""))</f>
        <v/>
      </c>
      <c r="AJ27" s="448" t="str">
        <f aca="false">IF($G27=0,IF(AJ$11=$H27,"◆",""),IF(AND(AJ$11&gt;=$H27,AJ$11&lt;=$I27),1,""))</f>
        <v/>
      </c>
      <c r="AK27" s="448" t="str">
        <f aca="false">IF($G27=0,IF(AK$11=$H27,"◆",""),IF(AND(AK$11&gt;=$H27,AK$11&lt;=$I27),1,""))</f>
        <v/>
      </c>
      <c r="AL27" s="448" t="str">
        <f aca="false">IF($G27=0,IF(AL$11=$H27,"◆",""),IF(AND(AL$11&gt;=$H27,AL$11&lt;=$I27),1,""))</f>
        <v/>
      </c>
      <c r="AM27" s="448" t="str">
        <f aca="false">IF($G27=0,IF(AM$11=$H27,"◆",""),IF(AND(AM$11&gt;=$H27,AM$11&lt;=$I27),1,""))</f>
        <v/>
      </c>
      <c r="AN27" s="448" t="str">
        <f aca="false">IF($G27=0,IF(AN$11=$H27,"◆",""),IF(AND(AN$11&gt;=$H27,AN$11&lt;=$I27),1,""))</f>
        <v/>
      </c>
      <c r="AO27" s="448" t="str">
        <f aca="false">IF($G27=0,IF(AO$11=$H27,"◆",""),IF(AND(AO$11&gt;=$H27,AO$11&lt;=$I27),1,""))</f>
        <v/>
      </c>
      <c r="AP27" s="448" t="str">
        <f aca="false">IF($G27=0,IF(AP$11=$H27,"◆",""),IF(AND(AP$11&gt;=$H27,AP$11&lt;=$I27),1,""))</f>
        <v/>
      </c>
      <c r="AQ27" s="448" t="str">
        <f aca="false">IF($G27=0,IF(AQ$11=$H27,"◆",""),IF(AND(AQ$11&gt;=$H27,AQ$11&lt;=$I27),1,""))</f>
        <v/>
      </c>
      <c r="AR27" s="448" t="str">
        <f aca="false">IF($G27=0,IF(AR$11=$H27,"◆",""),IF(AND(AR$11&gt;=$H27,AR$11&lt;=$I27),1,""))</f>
        <v/>
      </c>
      <c r="AS27" s="448" t="str">
        <f aca="false">IF($G27=0,IF(AS$11=$H27,"◆",""),IF(AND(AS$11&gt;=$H27,AS$11&lt;=$I27),1,""))</f>
        <v/>
      </c>
      <c r="AT27" s="448" t="str">
        <f aca="false">IF($G27=0,IF(AT$11=$H27,"◆",""),IF(AND(AT$11&gt;=$H27,AT$11&lt;=$I27),1,""))</f>
        <v/>
      </c>
      <c r="AU27" s="448" t="str">
        <f aca="false">IF($G27=0,IF(AU$11=$H27,"◆",""),IF(AND(AU$11&gt;=$H27,AU$11&lt;=$I27),1,""))</f>
        <v/>
      </c>
      <c r="AV27" s="448" t="str">
        <f aca="false">IF($G27=0,IF(AV$11=$H27,"◆",""),IF(AND(AV$11&gt;=$H27,AV$11&lt;=$I27),1,""))</f>
        <v/>
      </c>
      <c r="AW27" s="448" t="str">
        <f aca="false">IF($G27=0,IF(AW$11=$H27,"◆",""),IF(AND(AW$11&gt;=$H27,AW$11&lt;=$I27),1,""))</f>
        <v/>
      </c>
      <c r="AX27" s="448" t="str">
        <f aca="false">IF($G27=0,IF(AX$11=$H27,"◆",""),IF(AND(AX$11&gt;=$H27,AX$11&lt;=$I27),1,""))</f>
        <v/>
      </c>
      <c r="AY27" s="448" t="str">
        <f aca="false">IF($G27=0,IF(AY$11=$H27,"◆",""),IF(AND(AY$11&gt;=$H27,AY$11&lt;=$I27),1,""))</f>
        <v/>
      </c>
      <c r="AZ27" s="448" t="str">
        <f aca="false">IF($G27=0,IF(AZ$11=$H27,"◆",""),IF(AND(AZ$11&gt;=$H27,AZ$11&lt;=$I27),1,""))</f>
        <v/>
      </c>
      <c r="BA27" s="448" t="str">
        <f aca="false">IF($G27=0,IF(BA$11=$H27,"◆",""),IF(AND(BA$11&gt;=$H27,BA$11&lt;=$I27),1,""))</f>
        <v/>
      </c>
      <c r="BB27" s="448" t="str">
        <f aca="false">IF($G27=0,IF(BB$11=$H27,"◆",""),IF(AND(BB$11&gt;=$H27,BB$11&lt;=$I27),1,""))</f>
        <v/>
      </c>
      <c r="BC27" s="448" t="str">
        <f aca="false">IF($G27=0,IF(BC$11=$H27,"◆",""),IF(AND(BC$11&gt;=$H27,BC$11&lt;=$I27),1,""))</f>
        <v/>
      </c>
      <c r="BD27" s="448" t="str">
        <f aca="false">IF($G27=0,IF(BD$11=$H27,"◆",""),IF(AND(BD$11&gt;=$H27,BD$11&lt;=$I27),1,""))</f>
        <v/>
      </c>
      <c r="BE27" s="448" t="str">
        <f aca="false">IF($G27=0,IF(BE$11=$H27,"◆",""),IF(AND(BE$11&gt;=$H27,BE$11&lt;=$I27),1,""))</f>
        <v/>
      </c>
      <c r="BF27" s="448" t="str">
        <f aca="false">IF($G27=0,IF(BF$11=$H27,"◆",""),IF(AND(BF$11&gt;=$H27,BF$11&lt;=$I27),1,""))</f>
        <v/>
      </c>
      <c r="BG27" s="448" t="str">
        <f aca="false">IF($G27=0,IF(BG$11=$H27,"◆",""),IF(AND(BG$11&gt;=$H27,BG$11&lt;=$I27),1,""))</f>
        <v/>
      </c>
      <c r="BH27" s="448" t="str">
        <f aca="false">IF($G27=0,IF(BH$11=$H27,"◆",""),IF(AND(BH$11&gt;=$H27,BH$11&lt;=$I27),1,""))</f>
        <v/>
      </c>
      <c r="BI27" s="448" t="str">
        <f aca="false">IF($G27=0,IF(BI$11=$H27,"◆",""),IF(AND(BI$11&gt;=$H27,BI$11&lt;=$I27),1,""))</f>
        <v/>
      </c>
      <c r="BJ27" s="448" t="str">
        <f aca="false">IF($G27=0,IF(BJ$11=$H27,"◆",""),IF(AND(BJ$11&gt;=$H27,BJ$11&lt;=$I27),1,""))</f>
        <v/>
      </c>
      <c r="BK27" s="448" t="str">
        <f aca="false">IF($G27=0,IF(BK$11=$H27,"◆",""),IF(AND(BK$11&gt;=$H27,BK$11&lt;=$I27),1,""))</f>
        <v/>
      </c>
      <c r="BL27" s="448" t="str">
        <f aca="false">IF($G27=0,IF(BL$11=$H27,"◆",""),IF(AND(BL$11&gt;=$H27,BL$11&lt;=$I27),1,""))</f>
        <v/>
      </c>
      <c r="BM27" s="448" t="str">
        <f aca="false">IF($G27=0,IF(BM$11=$H27,"◆",""),IF(AND(BM$11&gt;=$H27,BM$11&lt;=$I27),1,""))</f>
        <v/>
      </c>
      <c r="BN27" s="448" t="str">
        <f aca="false">IF($G27=0,IF(BN$11=$H27,"◆",""),IF(AND(BN$11&gt;=$H27,BN$11&lt;=$I27),1,""))</f>
        <v/>
      </c>
      <c r="BO27" s="448" t="str">
        <f aca="false">IF($G27=0,IF(BO$11=$H27,"◆",""),IF(AND(BO$11&gt;=$H27,BO$11&lt;=$I27),1,""))</f>
        <v/>
      </c>
      <c r="BP27" s="448" t="str">
        <f aca="false">IF($G27=0,IF(BP$11=$H27,"◆",""),IF(AND(BP$11&gt;=$H27,BP$11&lt;=$I27),1,""))</f>
        <v/>
      </c>
      <c r="BQ27" s="448" t="str">
        <f aca="false">IF($G27=0,IF(BQ$11=$H27,"◆",""),IF(AND(BQ$11&gt;=$H27,BQ$11&lt;=$I27),1,""))</f>
        <v/>
      </c>
      <c r="BR27" s="448" t="str">
        <f aca="false">IF($G27=0,IF(BR$11=$H27,"◆",""),IF(AND(BR$11&gt;=$H27,BR$11&lt;=$I27),1,""))</f>
        <v/>
      </c>
      <c r="BS27" s="448" t="str">
        <f aca="false">IF($G27=0,IF(BS$11=$H27,"◆",""),IF(AND(BS$11&gt;=$H27,BS$11&lt;=$I27),1,""))</f>
        <v/>
      </c>
      <c r="BT27" s="448" t="str">
        <f aca="false">IF($G27=0,IF(BT$11=$H27,"◆",""),IF(AND(BT$11&gt;=$H27,BT$11&lt;=$I27),1,""))</f>
        <v/>
      </c>
      <c r="BU27" s="448" t="str">
        <f aca="false">IF($G27=0,IF(BU$11=$H27,"◆",""),IF(AND(BU$11&gt;=$H27,BU$11&lt;=$I27),1,""))</f>
        <v/>
      </c>
      <c r="BV27" s="448" t="str">
        <f aca="false">IF($G27=0,IF(BV$11=$H27,"◆",""),IF(AND(BV$11&gt;=$H27,BV$11&lt;=$I27),1,""))</f>
        <v/>
      </c>
      <c r="BW27" s="448" t="str">
        <f aca="false">IF($G27=0,IF(BW$11=$H27,"◆",""),IF(AND(BW$11&gt;=$H27,BW$11&lt;=$I27),1,""))</f>
        <v/>
      </c>
      <c r="BX27" s="448" t="str">
        <f aca="false">IF($G27=0,IF(BX$11=$H27,"◆",""),IF(AND(BX$11&gt;=$H27,BX$11&lt;=$I27),1,""))</f>
        <v/>
      </c>
      <c r="BY27" s="448" t="str">
        <f aca="false">IF($G27=0,IF(BY$11=$H27,"◆",""),IF(AND(BY$11&gt;=$H27,BY$11&lt;=$I27),1,""))</f>
        <v/>
      </c>
      <c r="BZ27" s="448" t="str">
        <f aca="false">IF($G27=0,IF(BZ$11=$H27,"◆",""),IF(AND(BZ$11&gt;=$H27,BZ$11&lt;=$I27),1,""))</f>
        <v/>
      </c>
      <c r="CA27" s="448" t="str">
        <f aca="false">IF($G27=0,IF(CA$11=$H27,"◆",""),IF(AND(CA$11&gt;=$H27,CA$11&lt;=$I27),1,""))</f>
        <v/>
      </c>
      <c r="CB27" s="448" t="str">
        <f aca="false">IF($G27=0,IF(CB$11=$H27,"◆",""),IF(AND(CB$11&gt;=$H27,CB$11&lt;=$I27),1,""))</f>
        <v/>
      </c>
      <c r="CC27" s="448" t="str">
        <f aca="false">IF($G27=0,IF(CC$11=$H27,"◆",""),IF(AND(CC$11&gt;=$H27,CC$11&lt;=$I27),1,""))</f>
        <v/>
      </c>
      <c r="CD27" s="448" t="str">
        <f aca="false">IF($G27=0,IF(CD$11=$H27,"◆",""),IF(AND(CD$11&gt;=$H27,CD$11&lt;=$I27),1,""))</f>
        <v/>
      </c>
      <c r="CE27" s="448" t="str">
        <f aca="false">IF($G27=0,IF(CE$11=$H27,"◆",""),IF(AND(CE$11&gt;=$H27,CE$11&lt;=$I27),1,""))</f>
        <v/>
      </c>
      <c r="CF27" s="448" t="str">
        <f aca="false">IF($G27=0,IF(CF$11=$H27,"◆",""),IF(AND(CF$11&gt;=$H27,CF$11&lt;=$I27),1,""))</f>
        <v/>
      </c>
      <c r="CG27" s="448" t="str">
        <f aca="false">IF($G27=0,IF(CG$11=$H27,"◆",""),IF(AND(CG$11&gt;=$H27,CG$11&lt;=$I27),1,""))</f>
        <v/>
      </c>
      <c r="CH27" s="448" t="str">
        <f aca="false">IF($G27=0,IF(CH$11=$H27,"◆",""),IF(AND(CH$11&gt;=$H27,CH$11&lt;=$I27),1,""))</f>
        <v/>
      </c>
      <c r="CI27" s="448" t="str">
        <f aca="false">IF($G27=0,IF(CI$11=$H27,"◆",""),IF(AND(CI$11&gt;=$H27,CI$11&lt;=$I27),1,""))</f>
        <v/>
      </c>
      <c r="CJ27" s="448" t="str">
        <f aca="false">IF($G27=0,IF(CJ$11=$H27,"◆",""),IF(AND(CJ$11&gt;=$H27,CJ$11&lt;=$I27),1,""))</f>
        <v/>
      </c>
      <c r="CK27" s="448" t="str">
        <f aca="false">IF($G27=0,IF(CK$11=$H27,"◆",""),IF(AND(CK$11&gt;=$H27,CK$11&lt;=$I27),1,""))</f>
        <v/>
      </c>
      <c r="CL27" s="448" t="str">
        <f aca="false">IF($G27=0,IF(CL$11=$H27,"◆",""),IF(AND(CL$11&gt;=$H27,CL$11&lt;=$I27),1,""))</f>
        <v/>
      </c>
      <c r="CM27" s="448" t="str">
        <f aca="false">IF($G27=0,IF(CM$11=$H27,"◆",""),IF(AND(CM$11&gt;=$H27,CM$11&lt;=$I27),1,""))</f>
        <v/>
      </c>
      <c r="CN27" s="448" t="str">
        <f aca="false">IF($G27=0,IF(CN$11=$H27,"◆",""),IF(AND(CN$11&gt;=$H27,CN$11&lt;=$I27),1,""))</f>
        <v/>
      </c>
      <c r="CO27" s="448" t="str">
        <f aca="false">IF($G27=0,IF(CO$11=$H27,"◆",""),IF(AND(CO$11&gt;=$H27,CO$11&lt;=$I27),1,""))</f>
        <v/>
      </c>
      <c r="CP27" s="448" t="str">
        <f aca="false">IF($G27=0,IF(CP$11=$H27,"◆",""),IF(AND(CP$11&gt;=$H27,CP$11&lt;=$I27),1,""))</f>
        <v/>
      </c>
      <c r="CQ27" s="448" t="str">
        <f aca="false">IF($G27=0,IF(CQ$11=$H27,"◆",""),IF(AND(CQ$11&gt;=$H27,CQ$11&lt;=$I27),1,""))</f>
        <v/>
      </c>
      <c r="CR27" s="448" t="str">
        <f aca="false">IF($G27=0,IF(CR$11=$H27,"◆",""),IF(AND(CR$11&gt;=$H27,CR$11&lt;=$I27),1,""))</f>
        <v/>
      </c>
      <c r="CS27" s="448" t="str">
        <f aca="false">IF($G27=0,IF(CS$11=$H27,"◆",""),IF(AND(CS$11&gt;=$H27,CS$11&lt;=$I27),1,""))</f>
        <v/>
      </c>
      <c r="CT27" s="448" t="str">
        <f aca="false">IF($G27=0,IF(CT$11=$H27,"◆",""),IF(AND(CT$11&gt;=$H27,CT$11&lt;=$I27),1,""))</f>
        <v/>
      </c>
      <c r="CU27" s="448" t="str">
        <f aca="false">IF($G27=0,IF(CU$11=$H27,"◆",""),IF(AND(CU$11&gt;=$H27,CU$11&lt;=$I27),1,""))</f>
        <v/>
      </c>
      <c r="CV27" s="448" t="str">
        <f aca="false">IF($G27=0,IF(CV$11=$H27,"◆",""),IF(AND(CV$11&gt;=$H27,CV$11&lt;=$I27),1,""))</f>
        <v/>
      </c>
      <c r="CW27" s="448" t="str">
        <f aca="false">IF($G27=0,IF(CW$11=$H27,"◆",""),IF(AND(CW$11&gt;=$H27,CW$11&lt;=$I27),1,""))</f>
        <v/>
      </c>
      <c r="CX27" s="448" t="str">
        <f aca="false">IF($G27=0,IF(CX$11=$H27,"◆",""),IF(AND(CX$11&gt;=$H27,CX$11&lt;=$I27),1,""))</f>
        <v/>
      </c>
      <c r="CY27" s="448" t="str">
        <f aca="false">IF($G27=0,IF(CY$11=$H27,"◆",""),IF(AND(CY$11&gt;=$H27,CY$11&lt;=$I27),1,""))</f>
        <v/>
      </c>
      <c r="CZ27" s="448" t="str">
        <f aca="false">IF($G27=0,IF(CZ$11=$H27,"◆",""),IF(AND(CZ$11&gt;=$H27,CZ$11&lt;=$I27),1,""))</f>
        <v/>
      </c>
      <c r="DA27" s="448" t="str">
        <f aca="false">IF($G27=0,IF(DA$11=$H27,"◆",""),IF(AND(DA$11&gt;=$H27,DA$11&lt;=$I27),1,""))</f>
        <v/>
      </c>
      <c r="DB27" s="448" t="str">
        <f aca="false">IF($G27=0,IF(DB$11=$H27,"◆",""),IF(AND(DB$11&gt;=$H27,DB$11&lt;=$I27),1,""))</f>
        <v/>
      </c>
      <c r="DC27" s="448" t="str">
        <f aca="false">IF($G27=0,IF(DC$11=$H27,"◆",""),IF(AND(DC$11&gt;=$H27,DC$11&lt;=$I27),1,""))</f>
        <v/>
      </c>
      <c r="DD27" s="448" t="str">
        <f aca="false">IF($G27=0,IF(DD$11=$H27,"◆",""),IF(AND(DD$11&gt;=$H27,DD$11&lt;=$I27),1,""))</f>
        <v/>
      </c>
      <c r="DE27" s="448" t="str">
        <f aca="false">IF($G27=0,IF(DE$11=$H27,"◆",""),IF(AND(DE$11&gt;=$H27,DE$11&lt;=$I27),1,""))</f>
        <v/>
      </c>
      <c r="DF27" s="448" t="str">
        <f aca="false">IF($G27=0,IF(DF$11=$H27,"◆",""),IF(AND(DF$11&gt;=$H27,DF$11&lt;=$I27),1,""))</f>
        <v/>
      </c>
      <c r="DG27" s="448" t="str">
        <f aca="false">IF($G27=0,IF(DG$11=$H27,"◆",""),IF(AND(DG$11&gt;=$H27,DG$11&lt;=$I27),1,""))</f>
        <v/>
      </c>
      <c r="DH27" s="448" t="str">
        <f aca="false">IF($G27=0,IF(DH$11=$H27,"◆",""),IF(AND(DH$11&gt;=$H27,DH$11&lt;=$I27),1,""))</f>
        <v/>
      </c>
      <c r="DI27" s="448" t="str">
        <f aca="false">IF($G27=0,IF(DI$11=$H27,"◆",""),IF(AND(DI$11&gt;=$H27,DI$11&lt;=$I27),1,""))</f>
        <v/>
      </c>
      <c r="DJ27" s="448" t="str">
        <f aca="false">IF($G27=0,IF(DJ$11=$H27,"◆",""),IF(AND(DJ$11&gt;=$H27,DJ$11&lt;=$I27),1,""))</f>
        <v/>
      </c>
      <c r="DK27" s="448" t="str">
        <f aca="false">IF($G27=0,IF(DK$11=$H27,"◆",""),IF(AND(DK$11&gt;=$H27,DK$11&lt;=$I27),1,""))</f>
        <v/>
      </c>
      <c r="DL27" s="448" t="str">
        <f aca="false">IF($G27=0,IF(DL$11=$H27,"◆",""),IF(AND(DL$11&gt;=$H27,DL$11&lt;=$I27),1,""))</f>
        <v/>
      </c>
      <c r="DM27" s="448" t="str">
        <f aca="false">IF($G27=0,IF(DM$11=$H27,"◆",""),IF(AND(DM$11&gt;=$H27,DM$11&lt;=$I27),1,""))</f>
        <v/>
      </c>
      <c r="DN27" s="448" t="str">
        <f aca="false">IF($G27=0,IF(DN$11=$H27,"◆",""),IF(AND(DN$11&gt;=$H27,DN$11&lt;=$I27),1,""))</f>
        <v/>
      </c>
      <c r="DO27" s="448" t="str">
        <f aca="false">IF($G27=0,IF(DO$11=$H27,"◆",""),IF(AND(DO$11&gt;=$H27,DO$11&lt;=$I27),1,""))</f>
        <v/>
      </c>
      <c r="DP27" s="448" t="str">
        <f aca="false">IF($G27=0,IF(DP$11=$H27,"◆",""),IF(AND(DP$11&gt;=$H27,DP$11&lt;=$I27),1,""))</f>
        <v/>
      </c>
      <c r="DQ27" s="448" t="str">
        <f aca="false">IF($G27=0,IF(DQ$11=$H27,"◆",""),IF(AND(DQ$11&gt;=$H27,DQ$11&lt;=$I27),1,""))</f>
        <v/>
      </c>
      <c r="DR27" s="448" t="str">
        <f aca="false">IF($G27=0,IF(DR$11=$H27,"◆",""),IF(AND(DR$11&gt;=$H27,DR$11&lt;=$I27),1,""))</f>
        <v/>
      </c>
      <c r="DS27" s="448" t="str">
        <f aca="false">IF($G27=0,IF(DS$11=$H27,"◆",""),IF(AND(DS$11&gt;=$H27,DS$11&lt;=$I27),1,""))</f>
        <v/>
      </c>
      <c r="DT27" s="448" t="str">
        <f aca="false">IF($G27=0,IF(DT$11=$H27,"◆",""),IF(AND(DT$11&gt;=$H27,DT$11&lt;=$I27),1,""))</f>
        <v/>
      </c>
      <c r="DU27" s="448" t="str">
        <f aca="false">IF($G27=0,IF(DU$11=$H27,"◆",""),IF(AND(DU$11&gt;=$H27,DU$11&lt;=$I27),1,""))</f>
        <v/>
      </c>
      <c r="DV27" s="448" t="str">
        <f aca="false">IF($G27=0,IF(DV$11=$H27,"◆",""),IF(AND(DV$11&gt;=$H27,DV$11&lt;=$I27),1,""))</f>
        <v/>
      </c>
      <c r="DW27" s="448" t="str">
        <f aca="false">IF($G27=0,IF(DW$11=$H27,"◆",""),IF(AND(DW$11&gt;=$H27,DW$11&lt;=$I27),1,""))</f>
        <v/>
      </c>
      <c r="DX27" s="448" t="str">
        <f aca="false">IF($G27=0,IF(DX$11=$H27,"◆",""),IF(AND(DX$11&gt;=$H27,DX$11&lt;=$I27),1,""))</f>
        <v/>
      </c>
      <c r="DY27" s="448" t="str">
        <f aca="false">IF($G27=0,IF(DY$11=$H27,"◆",""),IF(AND(DY$11&gt;=$H27,DY$11&lt;=$I27),1,""))</f>
        <v/>
      </c>
      <c r="DZ27" s="448" t="str">
        <f aca="false">IF($G27=0,IF(DZ$11=$H27,"◆",""),IF(AND(DZ$11&gt;=$H27,DZ$11&lt;=$I27),1,""))</f>
        <v/>
      </c>
      <c r="EA27" s="448" t="str">
        <f aca="false">IF($G27=0,IF(EA$11=$H27,"◆",""),IF(AND(EA$11&gt;=$H27,EA$11&lt;=$I27),1,""))</f>
        <v/>
      </c>
      <c r="EB27" s="448" t="str">
        <f aca="false">IF($G27=0,IF(EB$11=$H27,"◆",""),IF(AND(EB$11&gt;=$H27,EB$11&lt;=$I27),1,""))</f>
        <v/>
      </c>
      <c r="EC27" s="448" t="str">
        <f aca="false">IF($G27=0,IF(EC$11=$H27,"◆",""),IF(AND(EC$11&gt;=$H27,EC$11&lt;=$I27),1,""))</f>
        <v/>
      </c>
      <c r="ED27" s="448" t="str">
        <f aca="false">IF($G27=0,IF(ED$11=$H27,"◆",""),IF(AND(ED$11&gt;=$H27,ED$11&lt;=$I27),1,""))</f>
        <v/>
      </c>
    </row>
    <row r="28" customFormat="false" ht="15" hidden="false" customHeight="true" outlineLevel="0" collapsed="false">
      <c r="A28" s="441" t="s">
        <v>2469</v>
      </c>
      <c r="B28" s="297" t="s">
        <v>2470</v>
      </c>
      <c r="C28" s="442" t="s">
        <v>2461</v>
      </c>
      <c r="D28" s="443" t="s">
        <v>2436</v>
      </c>
      <c r="E28" s="354" t="n">
        <f aca="false">1</f>
        <v>1</v>
      </c>
      <c r="F28" s="352" t="n">
        <v>8</v>
      </c>
      <c r="G28" s="352" t="n">
        <v>3</v>
      </c>
      <c r="H28" s="367" t="n">
        <f aca="false">MAX(1,ROUND(($E28-1)*$D$5,0)+1+$F28)</f>
        <v>9</v>
      </c>
      <c r="I28" s="367" t="n">
        <f aca="false">MAX($H28,$H28+$G28-1)</f>
        <v>11</v>
      </c>
      <c r="J28" s="444" t="n">
        <f aca="false">$D$4+($H28-1)*7</f>
        <v>46356</v>
      </c>
      <c r="K28" s="444" t="n">
        <f aca="false">$D$4+$I28*7-1</f>
        <v>46376</v>
      </c>
      <c r="L28" s="445" t="n">
        <f aca="false">ROUNDUP($H28/$D$5,0)</f>
        <v>3</v>
      </c>
      <c r="M28" s="446"/>
      <c r="N28" s="447" t="n">
        <v>0</v>
      </c>
      <c r="O28" s="448" t="str">
        <f aca="false">IF($G28=0,IF(O$11=$H28,"◆",""),IF(AND(O$11&gt;=$H28,O$11&lt;=$I28),1,""))</f>
        <v/>
      </c>
      <c r="P28" s="448" t="str">
        <f aca="false">IF($G28=0,IF(P$11=$H28,"◆",""),IF(AND(P$11&gt;=$H28,P$11&lt;=$I28),1,""))</f>
        <v/>
      </c>
      <c r="Q28" s="448" t="str">
        <f aca="false">IF($G28=0,IF(Q$11=$H28,"◆",""),IF(AND(Q$11&gt;=$H28,Q$11&lt;=$I28),1,""))</f>
        <v/>
      </c>
      <c r="R28" s="448" t="str">
        <f aca="false">IF($G28=0,IF(R$11=$H28,"◆",""),IF(AND(R$11&gt;=$H28,R$11&lt;=$I28),1,""))</f>
        <v/>
      </c>
      <c r="S28" s="448" t="str">
        <f aca="false">IF($G28=0,IF(S$11=$H28,"◆",""),IF(AND(S$11&gt;=$H28,S$11&lt;=$I28),1,""))</f>
        <v/>
      </c>
      <c r="T28" s="448" t="str">
        <f aca="false">IF($G28=0,IF(T$11=$H28,"◆",""),IF(AND(T$11&gt;=$H28,T$11&lt;=$I28),1,""))</f>
        <v/>
      </c>
      <c r="U28" s="448" t="str">
        <f aca="false">IF($G28=0,IF(U$11=$H28,"◆",""),IF(AND(U$11&gt;=$H28,U$11&lt;=$I28),1,""))</f>
        <v/>
      </c>
      <c r="V28" s="448" t="str">
        <f aca="false">IF($G28=0,IF(V$11=$H28,"◆",""),IF(AND(V$11&gt;=$H28,V$11&lt;=$I28),1,""))</f>
        <v/>
      </c>
      <c r="W28" s="448" t="n">
        <f aca="false">IF($G28=0,IF(W$11=$H28,"◆",""),IF(AND(W$11&gt;=$H28,W$11&lt;=$I28),1,""))</f>
        <v>1</v>
      </c>
      <c r="X28" s="448" t="n">
        <f aca="false">IF($G28=0,IF(X$11=$H28,"◆",""),IF(AND(X$11&gt;=$H28,X$11&lt;=$I28),1,""))</f>
        <v>1</v>
      </c>
      <c r="Y28" s="448" t="n">
        <f aca="false">IF($G28=0,IF(Y$11=$H28,"◆",""),IF(AND(Y$11&gt;=$H28,Y$11&lt;=$I28),1,""))</f>
        <v>1</v>
      </c>
      <c r="Z28" s="448" t="str">
        <f aca="false">IF($G28=0,IF(Z$11=$H28,"◆",""),IF(AND(Z$11&gt;=$H28,Z$11&lt;=$I28),1,""))</f>
        <v/>
      </c>
      <c r="AA28" s="448" t="str">
        <f aca="false">IF($G28=0,IF(AA$11=$H28,"◆",""),IF(AND(AA$11&gt;=$H28,AA$11&lt;=$I28),1,""))</f>
        <v/>
      </c>
      <c r="AB28" s="448" t="str">
        <f aca="false">IF($G28=0,IF(AB$11=$H28,"◆",""),IF(AND(AB$11&gt;=$H28,AB$11&lt;=$I28),1,""))</f>
        <v/>
      </c>
      <c r="AC28" s="448" t="str">
        <f aca="false">IF($G28=0,IF(AC$11=$H28,"◆",""),IF(AND(AC$11&gt;=$H28,AC$11&lt;=$I28),1,""))</f>
        <v/>
      </c>
      <c r="AD28" s="448" t="str">
        <f aca="false">IF($G28=0,IF(AD$11=$H28,"◆",""),IF(AND(AD$11&gt;=$H28,AD$11&lt;=$I28),1,""))</f>
        <v/>
      </c>
      <c r="AE28" s="448" t="str">
        <f aca="false">IF($G28=0,IF(AE$11=$H28,"◆",""),IF(AND(AE$11&gt;=$H28,AE$11&lt;=$I28),1,""))</f>
        <v/>
      </c>
      <c r="AF28" s="448" t="str">
        <f aca="false">IF($G28=0,IF(AF$11=$H28,"◆",""),IF(AND(AF$11&gt;=$H28,AF$11&lt;=$I28),1,""))</f>
        <v/>
      </c>
      <c r="AG28" s="448" t="str">
        <f aca="false">IF($G28=0,IF(AG$11=$H28,"◆",""),IF(AND(AG$11&gt;=$H28,AG$11&lt;=$I28),1,""))</f>
        <v/>
      </c>
      <c r="AH28" s="448" t="str">
        <f aca="false">IF($G28=0,IF(AH$11=$H28,"◆",""),IF(AND(AH$11&gt;=$H28,AH$11&lt;=$I28),1,""))</f>
        <v/>
      </c>
      <c r="AI28" s="448" t="str">
        <f aca="false">IF($G28=0,IF(AI$11=$H28,"◆",""),IF(AND(AI$11&gt;=$H28,AI$11&lt;=$I28),1,""))</f>
        <v/>
      </c>
      <c r="AJ28" s="448" t="str">
        <f aca="false">IF($G28=0,IF(AJ$11=$H28,"◆",""),IF(AND(AJ$11&gt;=$H28,AJ$11&lt;=$I28),1,""))</f>
        <v/>
      </c>
      <c r="AK28" s="448" t="str">
        <f aca="false">IF($G28=0,IF(AK$11=$H28,"◆",""),IF(AND(AK$11&gt;=$H28,AK$11&lt;=$I28),1,""))</f>
        <v/>
      </c>
      <c r="AL28" s="448" t="str">
        <f aca="false">IF($G28=0,IF(AL$11=$H28,"◆",""),IF(AND(AL$11&gt;=$H28,AL$11&lt;=$I28),1,""))</f>
        <v/>
      </c>
      <c r="AM28" s="448" t="str">
        <f aca="false">IF($G28=0,IF(AM$11=$H28,"◆",""),IF(AND(AM$11&gt;=$H28,AM$11&lt;=$I28),1,""))</f>
        <v/>
      </c>
      <c r="AN28" s="448" t="str">
        <f aca="false">IF($G28=0,IF(AN$11=$H28,"◆",""),IF(AND(AN$11&gt;=$H28,AN$11&lt;=$I28),1,""))</f>
        <v/>
      </c>
      <c r="AO28" s="448" t="str">
        <f aca="false">IF($G28=0,IF(AO$11=$H28,"◆",""),IF(AND(AO$11&gt;=$H28,AO$11&lt;=$I28),1,""))</f>
        <v/>
      </c>
      <c r="AP28" s="448" t="str">
        <f aca="false">IF($G28=0,IF(AP$11=$H28,"◆",""),IF(AND(AP$11&gt;=$H28,AP$11&lt;=$I28),1,""))</f>
        <v/>
      </c>
      <c r="AQ28" s="448" t="str">
        <f aca="false">IF($G28=0,IF(AQ$11=$H28,"◆",""),IF(AND(AQ$11&gt;=$H28,AQ$11&lt;=$I28),1,""))</f>
        <v/>
      </c>
      <c r="AR28" s="448" t="str">
        <f aca="false">IF($G28=0,IF(AR$11=$H28,"◆",""),IF(AND(AR$11&gt;=$H28,AR$11&lt;=$I28),1,""))</f>
        <v/>
      </c>
      <c r="AS28" s="448" t="str">
        <f aca="false">IF($G28=0,IF(AS$11=$H28,"◆",""),IF(AND(AS$11&gt;=$H28,AS$11&lt;=$I28),1,""))</f>
        <v/>
      </c>
      <c r="AT28" s="448" t="str">
        <f aca="false">IF($G28=0,IF(AT$11=$H28,"◆",""),IF(AND(AT$11&gt;=$H28,AT$11&lt;=$I28),1,""))</f>
        <v/>
      </c>
      <c r="AU28" s="448" t="str">
        <f aca="false">IF($G28=0,IF(AU$11=$H28,"◆",""),IF(AND(AU$11&gt;=$H28,AU$11&lt;=$I28),1,""))</f>
        <v/>
      </c>
      <c r="AV28" s="448" t="str">
        <f aca="false">IF($G28=0,IF(AV$11=$H28,"◆",""),IF(AND(AV$11&gt;=$H28,AV$11&lt;=$I28),1,""))</f>
        <v/>
      </c>
      <c r="AW28" s="448" t="str">
        <f aca="false">IF($G28=0,IF(AW$11=$H28,"◆",""),IF(AND(AW$11&gt;=$H28,AW$11&lt;=$I28),1,""))</f>
        <v/>
      </c>
      <c r="AX28" s="448" t="str">
        <f aca="false">IF($G28=0,IF(AX$11=$H28,"◆",""),IF(AND(AX$11&gt;=$H28,AX$11&lt;=$I28),1,""))</f>
        <v/>
      </c>
      <c r="AY28" s="448" t="str">
        <f aca="false">IF($G28=0,IF(AY$11=$H28,"◆",""),IF(AND(AY$11&gt;=$H28,AY$11&lt;=$I28),1,""))</f>
        <v/>
      </c>
      <c r="AZ28" s="448" t="str">
        <f aca="false">IF($G28=0,IF(AZ$11=$H28,"◆",""),IF(AND(AZ$11&gt;=$H28,AZ$11&lt;=$I28),1,""))</f>
        <v/>
      </c>
      <c r="BA28" s="448" t="str">
        <f aca="false">IF($G28=0,IF(BA$11=$H28,"◆",""),IF(AND(BA$11&gt;=$H28,BA$11&lt;=$I28),1,""))</f>
        <v/>
      </c>
      <c r="BB28" s="448" t="str">
        <f aca="false">IF($G28=0,IF(BB$11=$H28,"◆",""),IF(AND(BB$11&gt;=$H28,BB$11&lt;=$I28),1,""))</f>
        <v/>
      </c>
      <c r="BC28" s="448" t="str">
        <f aca="false">IF($G28=0,IF(BC$11=$H28,"◆",""),IF(AND(BC$11&gt;=$H28,BC$11&lt;=$I28),1,""))</f>
        <v/>
      </c>
      <c r="BD28" s="448" t="str">
        <f aca="false">IF($G28=0,IF(BD$11=$H28,"◆",""),IF(AND(BD$11&gt;=$H28,BD$11&lt;=$I28),1,""))</f>
        <v/>
      </c>
      <c r="BE28" s="448" t="str">
        <f aca="false">IF($G28=0,IF(BE$11=$H28,"◆",""),IF(AND(BE$11&gt;=$H28,BE$11&lt;=$I28),1,""))</f>
        <v/>
      </c>
      <c r="BF28" s="448" t="str">
        <f aca="false">IF($G28=0,IF(BF$11=$H28,"◆",""),IF(AND(BF$11&gt;=$H28,BF$11&lt;=$I28),1,""))</f>
        <v/>
      </c>
      <c r="BG28" s="448" t="str">
        <f aca="false">IF($G28=0,IF(BG$11=$H28,"◆",""),IF(AND(BG$11&gt;=$H28,BG$11&lt;=$I28),1,""))</f>
        <v/>
      </c>
      <c r="BH28" s="448" t="str">
        <f aca="false">IF($G28=0,IF(BH$11=$H28,"◆",""),IF(AND(BH$11&gt;=$H28,BH$11&lt;=$I28),1,""))</f>
        <v/>
      </c>
      <c r="BI28" s="448" t="str">
        <f aca="false">IF($G28=0,IF(BI$11=$H28,"◆",""),IF(AND(BI$11&gt;=$H28,BI$11&lt;=$I28),1,""))</f>
        <v/>
      </c>
      <c r="BJ28" s="448" t="str">
        <f aca="false">IF($G28=0,IF(BJ$11=$H28,"◆",""),IF(AND(BJ$11&gt;=$H28,BJ$11&lt;=$I28),1,""))</f>
        <v/>
      </c>
      <c r="BK28" s="448" t="str">
        <f aca="false">IF($G28=0,IF(BK$11=$H28,"◆",""),IF(AND(BK$11&gt;=$H28,BK$11&lt;=$I28),1,""))</f>
        <v/>
      </c>
      <c r="BL28" s="448" t="str">
        <f aca="false">IF($G28=0,IF(BL$11=$H28,"◆",""),IF(AND(BL$11&gt;=$H28,BL$11&lt;=$I28),1,""))</f>
        <v/>
      </c>
      <c r="BM28" s="448" t="str">
        <f aca="false">IF($G28=0,IF(BM$11=$H28,"◆",""),IF(AND(BM$11&gt;=$H28,BM$11&lt;=$I28),1,""))</f>
        <v/>
      </c>
      <c r="BN28" s="448" t="str">
        <f aca="false">IF($G28=0,IF(BN$11=$H28,"◆",""),IF(AND(BN$11&gt;=$H28,BN$11&lt;=$I28),1,""))</f>
        <v/>
      </c>
      <c r="BO28" s="448" t="str">
        <f aca="false">IF($G28=0,IF(BO$11=$H28,"◆",""),IF(AND(BO$11&gt;=$H28,BO$11&lt;=$I28),1,""))</f>
        <v/>
      </c>
      <c r="BP28" s="448" t="str">
        <f aca="false">IF($G28=0,IF(BP$11=$H28,"◆",""),IF(AND(BP$11&gt;=$H28,BP$11&lt;=$I28),1,""))</f>
        <v/>
      </c>
      <c r="BQ28" s="448" t="str">
        <f aca="false">IF($G28=0,IF(BQ$11=$H28,"◆",""),IF(AND(BQ$11&gt;=$H28,BQ$11&lt;=$I28),1,""))</f>
        <v/>
      </c>
      <c r="BR28" s="448" t="str">
        <f aca="false">IF($G28=0,IF(BR$11=$H28,"◆",""),IF(AND(BR$11&gt;=$H28,BR$11&lt;=$I28),1,""))</f>
        <v/>
      </c>
      <c r="BS28" s="448" t="str">
        <f aca="false">IF($G28=0,IF(BS$11=$H28,"◆",""),IF(AND(BS$11&gt;=$H28,BS$11&lt;=$I28),1,""))</f>
        <v/>
      </c>
      <c r="BT28" s="448" t="str">
        <f aca="false">IF($G28=0,IF(BT$11=$H28,"◆",""),IF(AND(BT$11&gt;=$H28,BT$11&lt;=$I28),1,""))</f>
        <v/>
      </c>
      <c r="BU28" s="448" t="str">
        <f aca="false">IF($G28=0,IF(BU$11=$H28,"◆",""),IF(AND(BU$11&gt;=$H28,BU$11&lt;=$I28),1,""))</f>
        <v/>
      </c>
      <c r="BV28" s="448" t="str">
        <f aca="false">IF($G28=0,IF(BV$11=$H28,"◆",""),IF(AND(BV$11&gt;=$H28,BV$11&lt;=$I28),1,""))</f>
        <v/>
      </c>
      <c r="BW28" s="448" t="str">
        <f aca="false">IF($G28=0,IF(BW$11=$H28,"◆",""),IF(AND(BW$11&gt;=$H28,BW$11&lt;=$I28),1,""))</f>
        <v/>
      </c>
      <c r="BX28" s="448" t="str">
        <f aca="false">IF($G28=0,IF(BX$11=$H28,"◆",""),IF(AND(BX$11&gt;=$H28,BX$11&lt;=$I28),1,""))</f>
        <v/>
      </c>
      <c r="BY28" s="448" t="str">
        <f aca="false">IF($G28=0,IF(BY$11=$H28,"◆",""),IF(AND(BY$11&gt;=$H28,BY$11&lt;=$I28),1,""))</f>
        <v/>
      </c>
      <c r="BZ28" s="448" t="str">
        <f aca="false">IF($G28=0,IF(BZ$11=$H28,"◆",""),IF(AND(BZ$11&gt;=$H28,BZ$11&lt;=$I28),1,""))</f>
        <v/>
      </c>
      <c r="CA28" s="448" t="str">
        <f aca="false">IF($G28=0,IF(CA$11=$H28,"◆",""),IF(AND(CA$11&gt;=$H28,CA$11&lt;=$I28),1,""))</f>
        <v/>
      </c>
      <c r="CB28" s="448" t="str">
        <f aca="false">IF($G28=0,IF(CB$11=$H28,"◆",""),IF(AND(CB$11&gt;=$H28,CB$11&lt;=$I28),1,""))</f>
        <v/>
      </c>
      <c r="CC28" s="448" t="str">
        <f aca="false">IF($G28=0,IF(CC$11=$H28,"◆",""),IF(AND(CC$11&gt;=$H28,CC$11&lt;=$I28),1,""))</f>
        <v/>
      </c>
      <c r="CD28" s="448" t="str">
        <f aca="false">IF($G28=0,IF(CD$11=$H28,"◆",""),IF(AND(CD$11&gt;=$H28,CD$11&lt;=$I28),1,""))</f>
        <v/>
      </c>
      <c r="CE28" s="448" t="str">
        <f aca="false">IF($G28=0,IF(CE$11=$H28,"◆",""),IF(AND(CE$11&gt;=$H28,CE$11&lt;=$I28),1,""))</f>
        <v/>
      </c>
      <c r="CF28" s="448" t="str">
        <f aca="false">IF($G28=0,IF(CF$11=$H28,"◆",""),IF(AND(CF$11&gt;=$H28,CF$11&lt;=$I28),1,""))</f>
        <v/>
      </c>
      <c r="CG28" s="448" t="str">
        <f aca="false">IF($G28=0,IF(CG$11=$H28,"◆",""),IF(AND(CG$11&gt;=$H28,CG$11&lt;=$I28),1,""))</f>
        <v/>
      </c>
      <c r="CH28" s="448" t="str">
        <f aca="false">IF($G28=0,IF(CH$11=$H28,"◆",""),IF(AND(CH$11&gt;=$H28,CH$11&lt;=$I28),1,""))</f>
        <v/>
      </c>
      <c r="CI28" s="448" t="str">
        <f aca="false">IF($G28=0,IF(CI$11=$H28,"◆",""),IF(AND(CI$11&gt;=$H28,CI$11&lt;=$I28),1,""))</f>
        <v/>
      </c>
      <c r="CJ28" s="448" t="str">
        <f aca="false">IF($G28=0,IF(CJ$11=$H28,"◆",""),IF(AND(CJ$11&gt;=$H28,CJ$11&lt;=$I28),1,""))</f>
        <v/>
      </c>
      <c r="CK28" s="448" t="str">
        <f aca="false">IF($G28=0,IF(CK$11=$H28,"◆",""),IF(AND(CK$11&gt;=$H28,CK$11&lt;=$I28),1,""))</f>
        <v/>
      </c>
      <c r="CL28" s="448" t="str">
        <f aca="false">IF($G28=0,IF(CL$11=$H28,"◆",""),IF(AND(CL$11&gt;=$H28,CL$11&lt;=$I28),1,""))</f>
        <v/>
      </c>
      <c r="CM28" s="448" t="str">
        <f aca="false">IF($G28=0,IF(CM$11=$H28,"◆",""),IF(AND(CM$11&gt;=$H28,CM$11&lt;=$I28),1,""))</f>
        <v/>
      </c>
      <c r="CN28" s="448" t="str">
        <f aca="false">IF($G28=0,IF(CN$11=$H28,"◆",""),IF(AND(CN$11&gt;=$H28,CN$11&lt;=$I28),1,""))</f>
        <v/>
      </c>
      <c r="CO28" s="448" t="str">
        <f aca="false">IF($G28=0,IF(CO$11=$H28,"◆",""),IF(AND(CO$11&gt;=$H28,CO$11&lt;=$I28),1,""))</f>
        <v/>
      </c>
      <c r="CP28" s="448" t="str">
        <f aca="false">IF($G28=0,IF(CP$11=$H28,"◆",""),IF(AND(CP$11&gt;=$H28,CP$11&lt;=$I28),1,""))</f>
        <v/>
      </c>
      <c r="CQ28" s="448" t="str">
        <f aca="false">IF($G28=0,IF(CQ$11=$H28,"◆",""),IF(AND(CQ$11&gt;=$H28,CQ$11&lt;=$I28),1,""))</f>
        <v/>
      </c>
      <c r="CR28" s="448" t="str">
        <f aca="false">IF($G28=0,IF(CR$11=$H28,"◆",""),IF(AND(CR$11&gt;=$H28,CR$11&lt;=$I28),1,""))</f>
        <v/>
      </c>
      <c r="CS28" s="448" t="str">
        <f aca="false">IF($G28=0,IF(CS$11=$H28,"◆",""),IF(AND(CS$11&gt;=$H28,CS$11&lt;=$I28),1,""))</f>
        <v/>
      </c>
      <c r="CT28" s="448" t="str">
        <f aca="false">IF($G28=0,IF(CT$11=$H28,"◆",""),IF(AND(CT$11&gt;=$H28,CT$11&lt;=$I28),1,""))</f>
        <v/>
      </c>
      <c r="CU28" s="448" t="str">
        <f aca="false">IF($G28=0,IF(CU$11=$H28,"◆",""),IF(AND(CU$11&gt;=$H28,CU$11&lt;=$I28),1,""))</f>
        <v/>
      </c>
      <c r="CV28" s="448" t="str">
        <f aca="false">IF($G28=0,IF(CV$11=$H28,"◆",""),IF(AND(CV$11&gt;=$H28,CV$11&lt;=$I28),1,""))</f>
        <v/>
      </c>
      <c r="CW28" s="448" t="str">
        <f aca="false">IF($G28=0,IF(CW$11=$H28,"◆",""),IF(AND(CW$11&gt;=$H28,CW$11&lt;=$I28),1,""))</f>
        <v/>
      </c>
      <c r="CX28" s="448" t="str">
        <f aca="false">IF($G28=0,IF(CX$11=$H28,"◆",""),IF(AND(CX$11&gt;=$H28,CX$11&lt;=$I28),1,""))</f>
        <v/>
      </c>
      <c r="CY28" s="448" t="str">
        <f aca="false">IF($G28=0,IF(CY$11=$H28,"◆",""),IF(AND(CY$11&gt;=$H28,CY$11&lt;=$I28),1,""))</f>
        <v/>
      </c>
      <c r="CZ28" s="448" t="str">
        <f aca="false">IF($G28=0,IF(CZ$11=$H28,"◆",""),IF(AND(CZ$11&gt;=$H28,CZ$11&lt;=$I28),1,""))</f>
        <v/>
      </c>
      <c r="DA28" s="448" t="str">
        <f aca="false">IF($G28=0,IF(DA$11=$H28,"◆",""),IF(AND(DA$11&gt;=$H28,DA$11&lt;=$I28),1,""))</f>
        <v/>
      </c>
      <c r="DB28" s="448" t="str">
        <f aca="false">IF($G28=0,IF(DB$11=$H28,"◆",""),IF(AND(DB$11&gt;=$H28,DB$11&lt;=$I28),1,""))</f>
        <v/>
      </c>
      <c r="DC28" s="448" t="str">
        <f aca="false">IF($G28=0,IF(DC$11=$H28,"◆",""),IF(AND(DC$11&gt;=$H28,DC$11&lt;=$I28),1,""))</f>
        <v/>
      </c>
      <c r="DD28" s="448" t="str">
        <f aca="false">IF($G28=0,IF(DD$11=$H28,"◆",""),IF(AND(DD$11&gt;=$H28,DD$11&lt;=$I28),1,""))</f>
        <v/>
      </c>
      <c r="DE28" s="448" t="str">
        <f aca="false">IF($G28=0,IF(DE$11=$H28,"◆",""),IF(AND(DE$11&gt;=$H28,DE$11&lt;=$I28),1,""))</f>
        <v/>
      </c>
      <c r="DF28" s="448" t="str">
        <f aca="false">IF($G28=0,IF(DF$11=$H28,"◆",""),IF(AND(DF$11&gt;=$H28,DF$11&lt;=$I28),1,""))</f>
        <v/>
      </c>
      <c r="DG28" s="448" t="str">
        <f aca="false">IF($G28=0,IF(DG$11=$H28,"◆",""),IF(AND(DG$11&gt;=$H28,DG$11&lt;=$I28),1,""))</f>
        <v/>
      </c>
      <c r="DH28" s="448" t="str">
        <f aca="false">IF($G28=0,IF(DH$11=$H28,"◆",""),IF(AND(DH$11&gt;=$H28,DH$11&lt;=$I28),1,""))</f>
        <v/>
      </c>
      <c r="DI28" s="448" t="str">
        <f aca="false">IF($G28=0,IF(DI$11=$H28,"◆",""),IF(AND(DI$11&gt;=$H28,DI$11&lt;=$I28),1,""))</f>
        <v/>
      </c>
      <c r="DJ28" s="448" t="str">
        <f aca="false">IF($G28=0,IF(DJ$11=$H28,"◆",""),IF(AND(DJ$11&gt;=$H28,DJ$11&lt;=$I28),1,""))</f>
        <v/>
      </c>
      <c r="DK28" s="448" t="str">
        <f aca="false">IF($G28=0,IF(DK$11=$H28,"◆",""),IF(AND(DK$11&gt;=$H28,DK$11&lt;=$I28),1,""))</f>
        <v/>
      </c>
      <c r="DL28" s="448" t="str">
        <f aca="false">IF($G28=0,IF(DL$11=$H28,"◆",""),IF(AND(DL$11&gt;=$H28,DL$11&lt;=$I28),1,""))</f>
        <v/>
      </c>
      <c r="DM28" s="448" t="str">
        <f aca="false">IF($G28=0,IF(DM$11=$H28,"◆",""),IF(AND(DM$11&gt;=$H28,DM$11&lt;=$I28),1,""))</f>
        <v/>
      </c>
      <c r="DN28" s="448" t="str">
        <f aca="false">IF($G28=0,IF(DN$11=$H28,"◆",""),IF(AND(DN$11&gt;=$H28,DN$11&lt;=$I28),1,""))</f>
        <v/>
      </c>
      <c r="DO28" s="448" t="str">
        <f aca="false">IF($G28=0,IF(DO$11=$H28,"◆",""),IF(AND(DO$11&gt;=$H28,DO$11&lt;=$I28),1,""))</f>
        <v/>
      </c>
      <c r="DP28" s="448" t="str">
        <f aca="false">IF($G28=0,IF(DP$11=$H28,"◆",""),IF(AND(DP$11&gt;=$H28,DP$11&lt;=$I28),1,""))</f>
        <v/>
      </c>
      <c r="DQ28" s="448" t="str">
        <f aca="false">IF($G28=0,IF(DQ$11=$H28,"◆",""),IF(AND(DQ$11&gt;=$H28,DQ$11&lt;=$I28),1,""))</f>
        <v/>
      </c>
      <c r="DR28" s="448" t="str">
        <f aca="false">IF($G28=0,IF(DR$11=$H28,"◆",""),IF(AND(DR$11&gt;=$H28,DR$11&lt;=$I28),1,""))</f>
        <v/>
      </c>
      <c r="DS28" s="448" t="str">
        <f aca="false">IF($G28=0,IF(DS$11=$H28,"◆",""),IF(AND(DS$11&gt;=$H28,DS$11&lt;=$I28),1,""))</f>
        <v/>
      </c>
      <c r="DT28" s="448" t="str">
        <f aca="false">IF($G28=0,IF(DT$11=$H28,"◆",""),IF(AND(DT$11&gt;=$H28,DT$11&lt;=$I28),1,""))</f>
        <v/>
      </c>
      <c r="DU28" s="448" t="str">
        <f aca="false">IF($G28=0,IF(DU$11=$H28,"◆",""),IF(AND(DU$11&gt;=$H28,DU$11&lt;=$I28),1,""))</f>
        <v/>
      </c>
      <c r="DV28" s="448" t="str">
        <f aca="false">IF($G28=0,IF(DV$11=$H28,"◆",""),IF(AND(DV$11&gt;=$H28,DV$11&lt;=$I28),1,""))</f>
        <v/>
      </c>
      <c r="DW28" s="448" t="str">
        <f aca="false">IF($G28=0,IF(DW$11=$H28,"◆",""),IF(AND(DW$11&gt;=$H28,DW$11&lt;=$I28),1,""))</f>
        <v/>
      </c>
      <c r="DX28" s="448" t="str">
        <f aca="false">IF($G28=0,IF(DX$11=$H28,"◆",""),IF(AND(DX$11&gt;=$H28,DX$11&lt;=$I28),1,""))</f>
        <v/>
      </c>
      <c r="DY28" s="448" t="str">
        <f aca="false">IF($G28=0,IF(DY$11=$H28,"◆",""),IF(AND(DY$11&gt;=$H28,DY$11&lt;=$I28),1,""))</f>
        <v/>
      </c>
      <c r="DZ28" s="448" t="str">
        <f aca="false">IF($G28=0,IF(DZ$11=$H28,"◆",""),IF(AND(DZ$11&gt;=$H28,DZ$11&lt;=$I28),1,""))</f>
        <v/>
      </c>
      <c r="EA28" s="448" t="str">
        <f aca="false">IF($G28=0,IF(EA$11=$H28,"◆",""),IF(AND(EA$11&gt;=$H28,EA$11&lt;=$I28),1,""))</f>
        <v/>
      </c>
      <c r="EB28" s="448" t="str">
        <f aca="false">IF($G28=0,IF(EB$11=$H28,"◆",""),IF(AND(EB$11&gt;=$H28,EB$11&lt;=$I28),1,""))</f>
        <v/>
      </c>
      <c r="EC28" s="448" t="str">
        <f aca="false">IF($G28=0,IF(EC$11=$H28,"◆",""),IF(AND(EC$11&gt;=$H28,EC$11&lt;=$I28),1,""))</f>
        <v/>
      </c>
      <c r="ED28" s="448" t="str">
        <f aca="false">IF($G28=0,IF(ED$11=$H28,"◆",""),IF(AND(ED$11&gt;=$H28,ED$11&lt;=$I28),1,""))</f>
        <v/>
      </c>
    </row>
    <row r="29" customFormat="false" ht="15" hidden="false" customHeight="true" outlineLevel="0" collapsed="false">
      <c r="A29" s="441" t="s">
        <v>2471</v>
      </c>
      <c r="B29" s="297" t="s">
        <v>2472</v>
      </c>
      <c r="C29" s="442" t="s">
        <v>2473</v>
      </c>
      <c r="D29" s="443" t="s">
        <v>2436</v>
      </c>
      <c r="E29" s="354" t="n">
        <f aca="false">1</f>
        <v>1</v>
      </c>
      <c r="F29" s="352" t="n">
        <v>1</v>
      </c>
      <c r="G29" s="352" t="n">
        <v>3</v>
      </c>
      <c r="H29" s="367" t="n">
        <f aca="false">MAX(1,ROUND(($E29-1)*$D$5,0)+1+$F29)</f>
        <v>2</v>
      </c>
      <c r="I29" s="367" t="n">
        <f aca="false">MAX($H29,$H29+$G29-1)</f>
        <v>4</v>
      </c>
      <c r="J29" s="444" t="n">
        <f aca="false">$D$4+($H29-1)*7</f>
        <v>46307</v>
      </c>
      <c r="K29" s="444" t="n">
        <f aca="false">$D$4+$I29*7-1</f>
        <v>46327</v>
      </c>
      <c r="L29" s="445" t="n">
        <f aca="false">ROUNDUP($H29/$D$5,0)</f>
        <v>1</v>
      </c>
      <c r="M29" s="446" t="s">
        <v>2453</v>
      </c>
      <c r="N29" s="447" t="n">
        <v>0</v>
      </c>
      <c r="O29" s="448" t="str">
        <f aca="false">IF($G29=0,IF(O$11=$H29,"◆",""),IF(AND(O$11&gt;=$H29,O$11&lt;=$I29),1,""))</f>
        <v/>
      </c>
      <c r="P29" s="448" t="n">
        <f aca="false">IF($G29=0,IF(P$11=$H29,"◆",""),IF(AND(P$11&gt;=$H29,P$11&lt;=$I29),1,""))</f>
        <v>1</v>
      </c>
      <c r="Q29" s="448" t="n">
        <f aca="false">IF($G29=0,IF(Q$11=$H29,"◆",""),IF(AND(Q$11&gt;=$H29,Q$11&lt;=$I29),1,""))</f>
        <v>1</v>
      </c>
      <c r="R29" s="448" t="n">
        <f aca="false">IF($G29=0,IF(R$11=$H29,"◆",""),IF(AND(R$11&gt;=$H29,R$11&lt;=$I29),1,""))</f>
        <v>1</v>
      </c>
      <c r="S29" s="448" t="str">
        <f aca="false">IF($G29=0,IF(S$11=$H29,"◆",""),IF(AND(S$11&gt;=$H29,S$11&lt;=$I29),1,""))</f>
        <v/>
      </c>
      <c r="T29" s="448" t="str">
        <f aca="false">IF($G29=0,IF(T$11=$H29,"◆",""),IF(AND(T$11&gt;=$H29,T$11&lt;=$I29),1,""))</f>
        <v/>
      </c>
      <c r="U29" s="448" t="str">
        <f aca="false">IF($G29=0,IF(U$11=$H29,"◆",""),IF(AND(U$11&gt;=$H29,U$11&lt;=$I29),1,""))</f>
        <v/>
      </c>
      <c r="V29" s="448" t="str">
        <f aca="false">IF($G29=0,IF(V$11=$H29,"◆",""),IF(AND(V$11&gt;=$H29,V$11&lt;=$I29),1,""))</f>
        <v/>
      </c>
      <c r="W29" s="448" t="str">
        <f aca="false">IF($G29=0,IF(W$11=$H29,"◆",""),IF(AND(W$11&gt;=$H29,W$11&lt;=$I29),1,""))</f>
        <v/>
      </c>
      <c r="X29" s="448" t="str">
        <f aca="false">IF($G29=0,IF(X$11=$H29,"◆",""),IF(AND(X$11&gt;=$H29,X$11&lt;=$I29),1,""))</f>
        <v/>
      </c>
      <c r="Y29" s="448" t="str">
        <f aca="false">IF($G29=0,IF(Y$11=$H29,"◆",""),IF(AND(Y$11&gt;=$H29,Y$11&lt;=$I29),1,""))</f>
        <v/>
      </c>
      <c r="Z29" s="448" t="str">
        <f aca="false">IF($G29=0,IF(Z$11=$H29,"◆",""),IF(AND(Z$11&gt;=$H29,Z$11&lt;=$I29),1,""))</f>
        <v/>
      </c>
      <c r="AA29" s="448" t="str">
        <f aca="false">IF($G29=0,IF(AA$11=$H29,"◆",""),IF(AND(AA$11&gt;=$H29,AA$11&lt;=$I29),1,""))</f>
        <v/>
      </c>
      <c r="AB29" s="448" t="str">
        <f aca="false">IF($G29=0,IF(AB$11=$H29,"◆",""),IF(AND(AB$11&gt;=$H29,AB$11&lt;=$I29),1,""))</f>
        <v/>
      </c>
      <c r="AC29" s="448" t="str">
        <f aca="false">IF($G29=0,IF(AC$11=$H29,"◆",""),IF(AND(AC$11&gt;=$H29,AC$11&lt;=$I29),1,""))</f>
        <v/>
      </c>
      <c r="AD29" s="448" t="str">
        <f aca="false">IF($G29=0,IF(AD$11=$H29,"◆",""),IF(AND(AD$11&gt;=$H29,AD$11&lt;=$I29),1,""))</f>
        <v/>
      </c>
      <c r="AE29" s="448" t="str">
        <f aca="false">IF($G29=0,IF(AE$11=$H29,"◆",""),IF(AND(AE$11&gt;=$H29,AE$11&lt;=$I29),1,""))</f>
        <v/>
      </c>
      <c r="AF29" s="448" t="str">
        <f aca="false">IF($G29=0,IF(AF$11=$H29,"◆",""),IF(AND(AF$11&gt;=$H29,AF$11&lt;=$I29),1,""))</f>
        <v/>
      </c>
      <c r="AG29" s="448" t="str">
        <f aca="false">IF($G29=0,IF(AG$11=$H29,"◆",""),IF(AND(AG$11&gt;=$H29,AG$11&lt;=$I29),1,""))</f>
        <v/>
      </c>
      <c r="AH29" s="448" t="str">
        <f aca="false">IF($G29=0,IF(AH$11=$H29,"◆",""),IF(AND(AH$11&gt;=$H29,AH$11&lt;=$I29),1,""))</f>
        <v/>
      </c>
      <c r="AI29" s="448" t="str">
        <f aca="false">IF($G29=0,IF(AI$11=$H29,"◆",""),IF(AND(AI$11&gt;=$H29,AI$11&lt;=$I29),1,""))</f>
        <v/>
      </c>
      <c r="AJ29" s="448" t="str">
        <f aca="false">IF($G29=0,IF(AJ$11=$H29,"◆",""),IF(AND(AJ$11&gt;=$H29,AJ$11&lt;=$I29),1,""))</f>
        <v/>
      </c>
      <c r="AK29" s="448" t="str">
        <f aca="false">IF($G29=0,IF(AK$11=$H29,"◆",""),IF(AND(AK$11&gt;=$H29,AK$11&lt;=$I29),1,""))</f>
        <v/>
      </c>
      <c r="AL29" s="448" t="str">
        <f aca="false">IF($G29=0,IF(AL$11=$H29,"◆",""),IF(AND(AL$11&gt;=$H29,AL$11&lt;=$I29),1,""))</f>
        <v/>
      </c>
      <c r="AM29" s="448" t="str">
        <f aca="false">IF($G29=0,IF(AM$11=$H29,"◆",""),IF(AND(AM$11&gt;=$H29,AM$11&lt;=$I29),1,""))</f>
        <v/>
      </c>
      <c r="AN29" s="448" t="str">
        <f aca="false">IF($G29=0,IF(AN$11=$H29,"◆",""),IF(AND(AN$11&gt;=$H29,AN$11&lt;=$I29),1,""))</f>
        <v/>
      </c>
      <c r="AO29" s="448" t="str">
        <f aca="false">IF($G29=0,IF(AO$11=$H29,"◆",""),IF(AND(AO$11&gt;=$H29,AO$11&lt;=$I29),1,""))</f>
        <v/>
      </c>
      <c r="AP29" s="448" t="str">
        <f aca="false">IF($G29=0,IF(AP$11=$H29,"◆",""),IF(AND(AP$11&gt;=$H29,AP$11&lt;=$I29),1,""))</f>
        <v/>
      </c>
      <c r="AQ29" s="448" t="str">
        <f aca="false">IF($G29=0,IF(AQ$11=$H29,"◆",""),IF(AND(AQ$11&gt;=$H29,AQ$11&lt;=$I29),1,""))</f>
        <v/>
      </c>
      <c r="AR29" s="448" t="str">
        <f aca="false">IF($G29=0,IF(AR$11=$H29,"◆",""),IF(AND(AR$11&gt;=$H29,AR$11&lt;=$I29),1,""))</f>
        <v/>
      </c>
      <c r="AS29" s="448" t="str">
        <f aca="false">IF($G29=0,IF(AS$11=$H29,"◆",""),IF(AND(AS$11&gt;=$H29,AS$11&lt;=$I29),1,""))</f>
        <v/>
      </c>
      <c r="AT29" s="448" t="str">
        <f aca="false">IF($G29=0,IF(AT$11=$H29,"◆",""),IF(AND(AT$11&gt;=$H29,AT$11&lt;=$I29),1,""))</f>
        <v/>
      </c>
      <c r="AU29" s="448" t="str">
        <f aca="false">IF($G29=0,IF(AU$11=$H29,"◆",""),IF(AND(AU$11&gt;=$H29,AU$11&lt;=$I29),1,""))</f>
        <v/>
      </c>
      <c r="AV29" s="448" t="str">
        <f aca="false">IF($G29=0,IF(AV$11=$H29,"◆",""),IF(AND(AV$11&gt;=$H29,AV$11&lt;=$I29),1,""))</f>
        <v/>
      </c>
      <c r="AW29" s="448" t="str">
        <f aca="false">IF($G29=0,IF(AW$11=$H29,"◆",""),IF(AND(AW$11&gt;=$H29,AW$11&lt;=$I29),1,""))</f>
        <v/>
      </c>
      <c r="AX29" s="448" t="str">
        <f aca="false">IF($G29=0,IF(AX$11=$H29,"◆",""),IF(AND(AX$11&gt;=$H29,AX$11&lt;=$I29),1,""))</f>
        <v/>
      </c>
      <c r="AY29" s="448" t="str">
        <f aca="false">IF($G29=0,IF(AY$11=$H29,"◆",""),IF(AND(AY$11&gt;=$H29,AY$11&lt;=$I29),1,""))</f>
        <v/>
      </c>
      <c r="AZ29" s="448" t="str">
        <f aca="false">IF($G29=0,IF(AZ$11=$H29,"◆",""),IF(AND(AZ$11&gt;=$H29,AZ$11&lt;=$I29),1,""))</f>
        <v/>
      </c>
      <c r="BA29" s="448" t="str">
        <f aca="false">IF($G29=0,IF(BA$11=$H29,"◆",""),IF(AND(BA$11&gt;=$H29,BA$11&lt;=$I29),1,""))</f>
        <v/>
      </c>
      <c r="BB29" s="448" t="str">
        <f aca="false">IF($G29=0,IF(BB$11=$H29,"◆",""),IF(AND(BB$11&gt;=$H29,BB$11&lt;=$I29),1,""))</f>
        <v/>
      </c>
      <c r="BC29" s="448" t="str">
        <f aca="false">IF($G29=0,IF(BC$11=$H29,"◆",""),IF(AND(BC$11&gt;=$H29,BC$11&lt;=$I29),1,""))</f>
        <v/>
      </c>
      <c r="BD29" s="448" t="str">
        <f aca="false">IF($G29=0,IF(BD$11=$H29,"◆",""),IF(AND(BD$11&gt;=$H29,BD$11&lt;=$I29),1,""))</f>
        <v/>
      </c>
      <c r="BE29" s="448" t="str">
        <f aca="false">IF($G29=0,IF(BE$11=$H29,"◆",""),IF(AND(BE$11&gt;=$H29,BE$11&lt;=$I29),1,""))</f>
        <v/>
      </c>
      <c r="BF29" s="448" t="str">
        <f aca="false">IF($G29=0,IF(BF$11=$H29,"◆",""),IF(AND(BF$11&gt;=$H29,BF$11&lt;=$I29),1,""))</f>
        <v/>
      </c>
      <c r="BG29" s="448" t="str">
        <f aca="false">IF($G29=0,IF(BG$11=$H29,"◆",""),IF(AND(BG$11&gt;=$H29,BG$11&lt;=$I29),1,""))</f>
        <v/>
      </c>
      <c r="BH29" s="448" t="str">
        <f aca="false">IF($G29=0,IF(BH$11=$H29,"◆",""),IF(AND(BH$11&gt;=$H29,BH$11&lt;=$I29),1,""))</f>
        <v/>
      </c>
      <c r="BI29" s="448" t="str">
        <f aca="false">IF($G29=0,IF(BI$11=$H29,"◆",""),IF(AND(BI$11&gt;=$H29,BI$11&lt;=$I29),1,""))</f>
        <v/>
      </c>
      <c r="BJ29" s="448" t="str">
        <f aca="false">IF($G29=0,IF(BJ$11=$H29,"◆",""),IF(AND(BJ$11&gt;=$H29,BJ$11&lt;=$I29),1,""))</f>
        <v/>
      </c>
      <c r="BK29" s="448" t="str">
        <f aca="false">IF($G29=0,IF(BK$11=$H29,"◆",""),IF(AND(BK$11&gt;=$H29,BK$11&lt;=$I29),1,""))</f>
        <v/>
      </c>
      <c r="BL29" s="448" t="str">
        <f aca="false">IF($G29=0,IF(BL$11=$H29,"◆",""),IF(AND(BL$11&gt;=$H29,BL$11&lt;=$I29),1,""))</f>
        <v/>
      </c>
      <c r="BM29" s="448" t="str">
        <f aca="false">IF($G29=0,IF(BM$11=$H29,"◆",""),IF(AND(BM$11&gt;=$H29,BM$11&lt;=$I29),1,""))</f>
        <v/>
      </c>
      <c r="BN29" s="448" t="str">
        <f aca="false">IF($G29=0,IF(BN$11=$H29,"◆",""),IF(AND(BN$11&gt;=$H29,BN$11&lt;=$I29),1,""))</f>
        <v/>
      </c>
      <c r="BO29" s="448" t="str">
        <f aca="false">IF($G29=0,IF(BO$11=$H29,"◆",""),IF(AND(BO$11&gt;=$H29,BO$11&lt;=$I29),1,""))</f>
        <v/>
      </c>
      <c r="BP29" s="448" t="str">
        <f aca="false">IF($G29=0,IF(BP$11=$H29,"◆",""),IF(AND(BP$11&gt;=$H29,BP$11&lt;=$I29),1,""))</f>
        <v/>
      </c>
      <c r="BQ29" s="448" t="str">
        <f aca="false">IF($G29=0,IF(BQ$11=$H29,"◆",""),IF(AND(BQ$11&gt;=$H29,BQ$11&lt;=$I29),1,""))</f>
        <v/>
      </c>
      <c r="BR29" s="448" t="str">
        <f aca="false">IF($G29=0,IF(BR$11=$H29,"◆",""),IF(AND(BR$11&gt;=$H29,BR$11&lt;=$I29),1,""))</f>
        <v/>
      </c>
      <c r="BS29" s="448" t="str">
        <f aca="false">IF($G29=0,IF(BS$11=$H29,"◆",""),IF(AND(BS$11&gt;=$H29,BS$11&lt;=$I29),1,""))</f>
        <v/>
      </c>
      <c r="BT29" s="448" t="str">
        <f aca="false">IF($G29=0,IF(BT$11=$H29,"◆",""),IF(AND(BT$11&gt;=$H29,BT$11&lt;=$I29),1,""))</f>
        <v/>
      </c>
      <c r="BU29" s="448" t="str">
        <f aca="false">IF($G29=0,IF(BU$11=$H29,"◆",""),IF(AND(BU$11&gt;=$H29,BU$11&lt;=$I29),1,""))</f>
        <v/>
      </c>
      <c r="BV29" s="448" t="str">
        <f aca="false">IF($G29=0,IF(BV$11=$H29,"◆",""),IF(AND(BV$11&gt;=$H29,BV$11&lt;=$I29),1,""))</f>
        <v/>
      </c>
      <c r="BW29" s="448" t="str">
        <f aca="false">IF($G29=0,IF(BW$11=$H29,"◆",""),IF(AND(BW$11&gt;=$H29,BW$11&lt;=$I29),1,""))</f>
        <v/>
      </c>
      <c r="BX29" s="448" t="str">
        <f aca="false">IF($G29=0,IF(BX$11=$H29,"◆",""),IF(AND(BX$11&gt;=$H29,BX$11&lt;=$I29),1,""))</f>
        <v/>
      </c>
      <c r="BY29" s="448" t="str">
        <f aca="false">IF($G29=0,IF(BY$11=$H29,"◆",""),IF(AND(BY$11&gt;=$H29,BY$11&lt;=$I29),1,""))</f>
        <v/>
      </c>
      <c r="BZ29" s="448" t="str">
        <f aca="false">IF($G29=0,IF(BZ$11=$H29,"◆",""),IF(AND(BZ$11&gt;=$H29,BZ$11&lt;=$I29),1,""))</f>
        <v/>
      </c>
      <c r="CA29" s="448" t="str">
        <f aca="false">IF($G29=0,IF(CA$11=$H29,"◆",""),IF(AND(CA$11&gt;=$H29,CA$11&lt;=$I29),1,""))</f>
        <v/>
      </c>
      <c r="CB29" s="448" t="str">
        <f aca="false">IF($G29=0,IF(CB$11=$H29,"◆",""),IF(AND(CB$11&gt;=$H29,CB$11&lt;=$I29),1,""))</f>
        <v/>
      </c>
      <c r="CC29" s="448" t="str">
        <f aca="false">IF($G29=0,IF(CC$11=$H29,"◆",""),IF(AND(CC$11&gt;=$H29,CC$11&lt;=$I29),1,""))</f>
        <v/>
      </c>
      <c r="CD29" s="448" t="str">
        <f aca="false">IF($G29=0,IF(CD$11=$H29,"◆",""),IF(AND(CD$11&gt;=$H29,CD$11&lt;=$I29),1,""))</f>
        <v/>
      </c>
      <c r="CE29" s="448" t="str">
        <f aca="false">IF($G29=0,IF(CE$11=$H29,"◆",""),IF(AND(CE$11&gt;=$H29,CE$11&lt;=$I29),1,""))</f>
        <v/>
      </c>
      <c r="CF29" s="448" t="str">
        <f aca="false">IF($G29=0,IF(CF$11=$H29,"◆",""),IF(AND(CF$11&gt;=$H29,CF$11&lt;=$I29),1,""))</f>
        <v/>
      </c>
      <c r="CG29" s="448" t="str">
        <f aca="false">IF($G29=0,IF(CG$11=$H29,"◆",""),IF(AND(CG$11&gt;=$H29,CG$11&lt;=$I29),1,""))</f>
        <v/>
      </c>
      <c r="CH29" s="448" t="str">
        <f aca="false">IF($G29=0,IF(CH$11=$H29,"◆",""),IF(AND(CH$11&gt;=$H29,CH$11&lt;=$I29),1,""))</f>
        <v/>
      </c>
      <c r="CI29" s="448" t="str">
        <f aca="false">IF($G29=0,IF(CI$11=$H29,"◆",""),IF(AND(CI$11&gt;=$H29,CI$11&lt;=$I29),1,""))</f>
        <v/>
      </c>
      <c r="CJ29" s="448" t="str">
        <f aca="false">IF($G29=0,IF(CJ$11=$H29,"◆",""),IF(AND(CJ$11&gt;=$H29,CJ$11&lt;=$I29),1,""))</f>
        <v/>
      </c>
      <c r="CK29" s="448" t="str">
        <f aca="false">IF($G29=0,IF(CK$11=$H29,"◆",""),IF(AND(CK$11&gt;=$H29,CK$11&lt;=$I29),1,""))</f>
        <v/>
      </c>
      <c r="CL29" s="448" t="str">
        <f aca="false">IF($G29=0,IF(CL$11=$H29,"◆",""),IF(AND(CL$11&gt;=$H29,CL$11&lt;=$I29),1,""))</f>
        <v/>
      </c>
      <c r="CM29" s="448" t="str">
        <f aca="false">IF($G29=0,IF(CM$11=$H29,"◆",""),IF(AND(CM$11&gt;=$H29,CM$11&lt;=$I29),1,""))</f>
        <v/>
      </c>
      <c r="CN29" s="448" t="str">
        <f aca="false">IF($G29=0,IF(CN$11=$H29,"◆",""),IF(AND(CN$11&gt;=$H29,CN$11&lt;=$I29),1,""))</f>
        <v/>
      </c>
      <c r="CO29" s="448" t="str">
        <f aca="false">IF($G29=0,IF(CO$11=$H29,"◆",""),IF(AND(CO$11&gt;=$H29,CO$11&lt;=$I29),1,""))</f>
        <v/>
      </c>
      <c r="CP29" s="448" t="str">
        <f aca="false">IF($G29=0,IF(CP$11=$H29,"◆",""),IF(AND(CP$11&gt;=$H29,CP$11&lt;=$I29),1,""))</f>
        <v/>
      </c>
      <c r="CQ29" s="448" t="str">
        <f aca="false">IF($G29=0,IF(CQ$11=$H29,"◆",""),IF(AND(CQ$11&gt;=$H29,CQ$11&lt;=$I29),1,""))</f>
        <v/>
      </c>
      <c r="CR29" s="448" t="str">
        <f aca="false">IF($G29=0,IF(CR$11=$H29,"◆",""),IF(AND(CR$11&gt;=$H29,CR$11&lt;=$I29),1,""))</f>
        <v/>
      </c>
      <c r="CS29" s="448" t="str">
        <f aca="false">IF($G29=0,IF(CS$11=$H29,"◆",""),IF(AND(CS$11&gt;=$H29,CS$11&lt;=$I29),1,""))</f>
        <v/>
      </c>
      <c r="CT29" s="448" t="str">
        <f aca="false">IF($G29=0,IF(CT$11=$H29,"◆",""),IF(AND(CT$11&gt;=$H29,CT$11&lt;=$I29),1,""))</f>
        <v/>
      </c>
      <c r="CU29" s="448" t="str">
        <f aca="false">IF($G29=0,IF(CU$11=$H29,"◆",""),IF(AND(CU$11&gt;=$H29,CU$11&lt;=$I29),1,""))</f>
        <v/>
      </c>
      <c r="CV29" s="448" t="str">
        <f aca="false">IF($G29=0,IF(CV$11=$H29,"◆",""),IF(AND(CV$11&gt;=$H29,CV$11&lt;=$I29),1,""))</f>
        <v/>
      </c>
      <c r="CW29" s="448" t="str">
        <f aca="false">IF($G29=0,IF(CW$11=$H29,"◆",""),IF(AND(CW$11&gt;=$H29,CW$11&lt;=$I29),1,""))</f>
        <v/>
      </c>
      <c r="CX29" s="448" t="str">
        <f aca="false">IF($G29=0,IF(CX$11=$H29,"◆",""),IF(AND(CX$11&gt;=$H29,CX$11&lt;=$I29),1,""))</f>
        <v/>
      </c>
      <c r="CY29" s="448" t="str">
        <f aca="false">IF($G29=0,IF(CY$11=$H29,"◆",""),IF(AND(CY$11&gt;=$H29,CY$11&lt;=$I29),1,""))</f>
        <v/>
      </c>
      <c r="CZ29" s="448" t="str">
        <f aca="false">IF($G29=0,IF(CZ$11=$H29,"◆",""),IF(AND(CZ$11&gt;=$H29,CZ$11&lt;=$I29),1,""))</f>
        <v/>
      </c>
      <c r="DA29" s="448" t="str">
        <f aca="false">IF($G29=0,IF(DA$11=$H29,"◆",""),IF(AND(DA$11&gt;=$H29,DA$11&lt;=$I29),1,""))</f>
        <v/>
      </c>
      <c r="DB29" s="448" t="str">
        <f aca="false">IF($G29=0,IF(DB$11=$H29,"◆",""),IF(AND(DB$11&gt;=$H29,DB$11&lt;=$I29),1,""))</f>
        <v/>
      </c>
      <c r="DC29" s="448" t="str">
        <f aca="false">IF($G29=0,IF(DC$11=$H29,"◆",""),IF(AND(DC$11&gt;=$H29,DC$11&lt;=$I29),1,""))</f>
        <v/>
      </c>
      <c r="DD29" s="448" t="str">
        <f aca="false">IF($G29=0,IF(DD$11=$H29,"◆",""),IF(AND(DD$11&gt;=$H29,DD$11&lt;=$I29),1,""))</f>
        <v/>
      </c>
      <c r="DE29" s="448" t="str">
        <f aca="false">IF($G29=0,IF(DE$11=$H29,"◆",""),IF(AND(DE$11&gt;=$H29,DE$11&lt;=$I29),1,""))</f>
        <v/>
      </c>
      <c r="DF29" s="448" t="str">
        <f aca="false">IF($G29=0,IF(DF$11=$H29,"◆",""),IF(AND(DF$11&gt;=$H29,DF$11&lt;=$I29),1,""))</f>
        <v/>
      </c>
      <c r="DG29" s="448" t="str">
        <f aca="false">IF($G29=0,IF(DG$11=$H29,"◆",""),IF(AND(DG$11&gt;=$H29,DG$11&lt;=$I29),1,""))</f>
        <v/>
      </c>
      <c r="DH29" s="448" t="str">
        <f aca="false">IF($G29=0,IF(DH$11=$H29,"◆",""),IF(AND(DH$11&gt;=$H29,DH$11&lt;=$I29),1,""))</f>
        <v/>
      </c>
      <c r="DI29" s="448" t="str">
        <f aca="false">IF($G29=0,IF(DI$11=$H29,"◆",""),IF(AND(DI$11&gt;=$H29,DI$11&lt;=$I29),1,""))</f>
        <v/>
      </c>
      <c r="DJ29" s="448" t="str">
        <f aca="false">IF($G29=0,IF(DJ$11=$H29,"◆",""),IF(AND(DJ$11&gt;=$H29,DJ$11&lt;=$I29),1,""))</f>
        <v/>
      </c>
      <c r="DK29" s="448" t="str">
        <f aca="false">IF($G29=0,IF(DK$11=$H29,"◆",""),IF(AND(DK$11&gt;=$H29,DK$11&lt;=$I29),1,""))</f>
        <v/>
      </c>
      <c r="DL29" s="448" t="str">
        <f aca="false">IF($G29=0,IF(DL$11=$H29,"◆",""),IF(AND(DL$11&gt;=$H29,DL$11&lt;=$I29),1,""))</f>
        <v/>
      </c>
      <c r="DM29" s="448" t="str">
        <f aca="false">IF($G29=0,IF(DM$11=$H29,"◆",""),IF(AND(DM$11&gt;=$H29,DM$11&lt;=$I29),1,""))</f>
        <v/>
      </c>
      <c r="DN29" s="448" t="str">
        <f aca="false">IF($G29=0,IF(DN$11=$H29,"◆",""),IF(AND(DN$11&gt;=$H29,DN$11&lt;=$I29),1,""))</f>
        <v/>
      </c>
      <c r="DO29" s="448" t="str">
        <f aca="false">IF($G29=0,IF(DO$11=$H29,"◆",""),IF(AND(DO$11&gt;=$H29,DO$11&lt;=$I29),1,""))</f>
        <v/>
      </c>
      <c r="DP29" s="448" t="str">
        <f aca="false">IF($G29=0,IF(DP$11=$H29,"◆",""),IF(AND(DP$11&gt;=$H29,DP$11&lt;=$I29),1,""))</f>
        <v/>
      </c>
      <c r="DQ29" s="448" t="str">
        <f aca="false">IF($G29=0,IF(DQ$11=$H29,"◆",""),IF(AND(DQ$11&gt;=$H29,DQ$11&lt;=$I29),1,""))</f>
        <v/>
      </c>
      <c r="DR29" s="448" t="str">
        <f aca="false">IF($G29=0,IF(DR$11=$H29,"◆",""),IF(AND(DR$11&gt;=$H29,DR$11&lt;=$I29),1,""))</f>
        <v/>
      </c>
      <c r="DS29" s="448" t="str">
        <f aca="false">IF($G29=0,IF(DS$11=$H29,"◆",""),IF(AND(DS$11&gt;=$H29,DS$11&lt;=$I29),1,""))</f>
        <v/>
      </c>
      <c r="DT29" s="448" t="str">
        <f aca="false">IF($G29=0,IF(DT$11=$H29,"◆",""),IF(AND(DT$11&gt;=$H29,DT$11&lt;=$I29),1,""))</f>
        <v/>
      </c>
      <c r="DU29" s="448" t="str">
        <f aca="false">IF($G29=0,IF(DU$11=$H29,"◆",""),IF(AND(DU$11&gt;=$H29,DU$11&lt;=$I29),1,""))</f>
        <v/>
      </c>
      <c r="DV29" s="448" t="str">
        <f aca="false">IF($G29=0,IF(DV$11=$H29,"◆",""),IF(AND(DV$11&gt;=$H29,DV$11&lt;=$I29),1,""))</f>
        <v/>
      </c>
      <c r="DW29" s="448" t="str">
        <f aca="false">IF($G29=0,IF(DW$11=$H29,"◆",""),IF(AND(DW$11&gt;=$H29,DW$11&lt;=$I29),1,""))</f>
        <v/>
      </c>
      <c r="DX29" s="448" t="str">
        <f aca="false">IF($G29=0,IF(DX$11=$H29,"◆",""),IF(AND(DX$11&gt;=$H29,DX$11&lt;=$I29),1,""))</f>
        <v/>
      </c>
      <c r="DY29" s="448" t="str">
        <f aca="false">IF($G29=0,IF(DY$11=$H29,"◆",""),IF(AND(DY$11&gt;=$H29,DY$11&lt;=$I29),1,""))</f>
        <v/>
      </c>
      <c r="DZ29" s="448" t="str">
        <f aca="false">IF($G29=0,IF(DZ$11=$H29,"◆",""),IF(AND(DZ$11&gt;=$H29,DZ$11&lt;=$I29),1,""))</f>
        <v/>
      </c>
      <c r="EA29" s="448" t="str">
        <f aca="false">IF($G29=0,IF(EA$11=$H29,"◆",""),IF(AND(EA$11&gt;=$H29,EA$11&lt;=$I29),1,""))</f>
        <v/>
      </c>
      <c r="EB29" s="448" t="str">
        <f aca="false">IF($G29=0,IF(EB$11=$H29,"◆",""),IF(AND(EB$11&gt;=$H29,EB$11&lt;=$I29),1,""))</f>
        <v/>
      </c>
      <c r="EC29" s="448" t="str">
        <f aca="false">IF($G29=0,IF(EC$11=$H29,"◆",""),IF(AND(EC$11&gt;=$H29,EC$11&lt;=$I29),1,""))</f>
        <v/>
      </c>
      <c r="ED29" s="448" t="str">
        <f aca="false">IF($G29=0,IF(ED$11=$H29,"◆",""),IF(AND(ED$11&gt;=$H29,ED$11&lt;=$I29),1,""))</f>
        <v/>
      </c>
    </row>
    <row r="30" customFormat="false" ht="15" hidden="false" customHeight="true" outlineLevel="0" collapsed="false">
      <c r="A30" s="450" t="s">
        <v>2474</v>
      </c>
      <c r="B30" s="421" t="s">
        <v>2475</v>
      </c>
      <c r="C30" s="442" t="s">
        <v>2476</v>
      </c>
      <c r="D30" s="443" t="s">
        <v>2436</v>
      </c>
      <c r="E30" s="354" t="n">
        <f aca="false">1</f>
        <v>1</v>
      </c>
      <c r="F30" s="352" t="n">
        <v>10</v>
      </c>
      <c r="G30" s="352" t="n">
        <v>0</v>
      </c>
      <c r="H30" s="358" t="n">
        <f aca="false">MAX(1,ROUND(($E30-1)*$D$5,0)+1+$F30)</f>
        <v>11</v>
      </c>
      <c r="I30" s="358" t="n">
        <f aca="false">MAX($H30,$H30+$G30-1)</f>
        <v>11</v>
      </c>
      <c r="J30" s="451" t="n">
        <f aca="false">$D$4+($H30-1)*7</f>
        <v>46370</v>
      </c>
      <c r="K30" s="451" t="n">
        <f aca="false">$D$4+$I30*7-1</f>
        <v>46376</v>
      </c>
      <c r="L30" s="445" t="n">
        <f aca="false">ROUNDUP($H30/$D$5,0)</f>
        <v>3</v>
      </c>
      <c r="M30" s="446" t="s">
        <v>2453</v>
      </c>
      <c r="N30" s="447" t="n">
        <v>0</v>
      </c>
      <c r="O30" s="448" t="str">
        <f aca="false">IF($G30=0,IF(O$11=$H30,"◆",""),IF(AND(O$11&gt;=$H30,O$11&lt;=$I30),1,""))</f>
        <v/>
      </c>
      <c r="P30" s="448" t="str">
        <f aca="false">IF($G30=0,IF(P$11=$H30,"◆",""),IF(AND(P$11&gt;=$H30,P$11&lt;=$I30),1,""))</f>
        <v/>
      </c>
      <c r="Q30" s="448" t="str">
        <f aca="false">IF($G30=0,IF(Q$11=$H30,"◆",""),IF(AND(Q$11&gt;=$H30,Q$11&lt;=$I30),1,""))</f>
        <v/>
      </c>
      <c r="R30" s="448" t="str">
        <f aca="false">IF($G30=0,IF(R$11=$H30,"◆",""),IF(AND(R$11&gt;=$H30,R$11&lt;=$I30),1,""))</f>
        <v/>
      </c>
      <c r="S30" s="448" t="str">
        <f aca="false">IF($G30=0,IF(S$11=$H30,"◆",""),IF(AND(S$11&gt;=$H30,S$11&lt;=$I30),1,""))</f>
        <v/>
      </c>
      <c r="T30" s="448" t="str">
        <f aca="false">IF($G30=0,IF(T$11=$H30,"◆",""),IF(AND(T$11&gt;=$H30,T$11&lt;=$I30),1,""))</f>
        <v/>
      </c>
      <c r="U30" s="448" t="str">
        <f aca="false">IF($G30=0,IF(U$11=$H30,"◆",""),IF(AND(U$11&gt;=$H30,U$11&lt;=$I30),1,""))</f>
        <v/>
      </c>
      <c r="V30" s="448" t="str">
        <f aca="false">IF($G30=0,IF(V$11=$H30,"◆",""),IF(AND(V$11&gt;=$H30,V$11&lt;=$I30),1,""))</f>
        <v/>
      </c>
      <c r="W30" s="448" t="str">
        <f aca="false">IF($G30=0,IF(W$11=$H30,"◆",""),IF(AND(W$11&gt;=$H30,W$11&lt;=$I30),1,""))</f>
        <v/>
      </c>
      <c r="X30" s="448" t="str">
        <f aca="false">IF($G30=0,IF(X$11=$H30,"◆",""),IF(AND(X$11&gt;=$H30,X$11&lt;=$I30),1,""))</f>
        <v/>
      </c>
      <c r="Y30" s="448" t="str">
        <f aca="false">IF($G30=0,IF(Y$11=$H30,"◆",""),IF(AND(Y$11&gt;=$H30,Y$11&lt;=$I30),1,""))</f>
        <v>◆</v>
      </c>
      <c r="Z30" s="448" t="str">
        <f aca="false">IF($G30=0,IF(Z$11=$H30,"◆",""),IF(AND(Z$11&gt;=$H30,Z$11&lt;=$I30),1,""))</f>
        <v/>
      </c>
      <c r="AA30" s="448" t="str">
        <f aca="false">IF($G30=0,IF(AA$11=$H30,"◆",""),IF(AND(AA$11&gt;=$H30,AA$11&lt;=$I30),1,""))</f>
        <v/>
      </c>
      <c r="AB30" s="448" t="str">
        <f aca="false">IF($G30=0,IF(AB$11=$H30,"◆",""),IF(AND(AB$11&gt;=$H30,AB$11&lt;=$I30),1,""))</f>
        <v/>
      </c>
      <c r="AC30" s="448" t="str">
        <f aca="false">IF($G30=0,IF(AC$11=$H30,"◆",""),IF(AND(AC$11&gt;=$H30,AC$11&lt;=$I30),1,""))</f>
        <v/>
      </c>
      <c r="AD30" s="448" t="str">
        <f aca="false">IF($G30=0,IF(AD$11=$H30,"◆",""),IF(AND(AD$11&gt;=$H30,AD$11&lt;=$I30),1,""))</f>
        <v/>
      </c>
      <c r="AE30" s="448" t="str">
        <f aca="false">IF($G30=0,IF(AE$11=$H30,"◆",""),IF(AND(AE$11&gt;=$H30,AE$11&lt;=$I30),1,""))</f>
        <v/>
      </c>
      <c r="AF30" s="448" t="str">
        <f aca="false">IF($G30=0,IF(AF$11=$H30,"◆",""),IF(AND(AF$11&gt;=$H30,AF$11&lt;=$I30),1,""))</f>
        <v/>
      </c>
      <c r="AG30" s="448" t="str">
        <f aca="false">IF($G30=0,IF(AG$11=$H30,"◆",""),IF(AND(AG$11&gt;=$H30,AG$11&lt;=$I30),1,""))</f>
        <v/>
      </c>
      <c r="AH30" s="448" t="str">
        <f aca="false">IF($G30=0,IF(AH$11=$H30,"◆",""),IF(AND(AH$11&gt;=$H30,AH$11&lt;=$I30),1,""))</f>
        <v/>
      </c>
      <c r="AI30" s="448" t="str">
        <f aca="false">IF($G30=0,IF(AI$11=$H30,"◆",""),IF(AND(AI$11&gt;=$H30,AI$11&lt;=$I30),1,""))</f>
        <v/>
      </c>
      <c r="AJ30" s="448" t="str">
        <f aca="false">IF($G30=0,IF(AJ$11=$H30,"◆",""),IF(AND(AJ$11&gt;=$H30,AJ$11&lt;=$I30),1,""))</f>
        <v/>
      </c>
      <c r="AK30" s="448" t="str">
        <f aca="false">IF($G30=0,IF(AK$11=$H30,"◆",""),IF(AND(AK$11&gt;=$H30,AK$11&lt;=$I30),1,""))</f>
        <v/>
      </c>
      <c r="AL30" s="448" t="str">
        <f aca="false">IF($G30=0,IF(AL$11=$H30,"◆",""),IF(AND(AL$11&gt;=$H30,AL$11&lt;=$I30),1,""))</f>
        <v/>
      </c>
      <c r="AM30" s="448" t="str">
        <f aca="false">IF($G30=0,IF(AM$11=$H30,"◆",""),IF(AND(AM$11&gt;=$H30,AM$11&lt;=$I30),1,""))</f>
        <v/>
      </c>
      <c r="AN30" s="448" t="str">
        <f aca="false">IF($G30=0,IF(AN$11=$H30,"◆",""),IF(AND(AN$11&gt;=$H30,AN$11&lt;=$I30),1,""))</f>
        <v/>
      </c>
      <c r="AO30" s="448" t="str">
        <f aca="false">IF($G30=0,IF(AO$11=$H30,"◆",""),IF(AND(AO$11&gt;=$H30,AO$11&lt;=$I30),1,""))</f>
        <v/>
      </c>
      <c r="AP30" s="448" t="str">
        <f aca="false">IF($G30=0,IF(AP$11=$H30,"◆",""),IF(AND(AP$11&gt;=$H30,AP$11&lt;=$I30),1,""))</f>
        <v/>
      </c>
      <c r="AQ30" s="448" t="str">
        <f aca="false">IF($G30=0,IF(AQ$11=$H30,"◆",""),IF(AND(AQ$11&gt;=$H30,AQ$11&lt;=$I30),1,""))</f>
        <v/>
      </c>
      <c r="AR30" s="448" t="str">
        <f aca="false">IF($G30=0,IF(AR$11=$H30,"◆",""),IF(AND(AR$11&gt;=$H30,AR$11&lt;=$I30),1,""))</f>
        <v/>
      </c>
      <c r="AS30" s="448" t="str">
        <f aca="false">IF($G30=0,IF(AS$11=$H30,"◆",""),IF(AND(AS$11&gt;=$H30,AS$11&lt;=$I30),1,""))</f>
        <v/>
      </c>
      <c r="AT30" s="448" t="str">
        <f aca="false">IF($G30=0,IF(AT$11=$H30,"◆",""),IF(AND(AT$11&gt;=$H30,AT$11&lt;=$I30),1,""))</f>
        <v/>
      </c>
      <c r="AU30" s="448" t="str">
        <f aca="false">IF($G30=0,IF(AU$11=$H30,"◆",""),IF(AND(AU$11&gt;=$H30,AU$11&lt;=$I30),1,""))</f>
        <v/>
      </c>
      <c r="AV30" s="448" t="str">
        <f aca="false">IF($G30=0,IF(AV$11=$H30,"◆",""),IF(AND(AV$11&gt;=$H30,AV$11&lt;=$I30),1,""))</f>
        <v/>
      </c>
      <c r="AW30" s="448" t="str">
        <f aca="false">IF($G30=0,IF(AW$11=$H30,"◆",""),IF(AND(AW$11&gt;=$H30,AW$11&lt;=$I30),1,""))</f>
        <v/>
      </c>
      <c r="AX30" s="448" t="str">
        <f aca="false">IF($G30=0,IF(AX$11=$H30,"◆",""),IF(AND(AX$11&gt;=$H30,AX$11&lt;=$I30),1,""))</f>
        <v/>
      </c>
      <c r="AY30" s="448" t="str">
        <f aca="false">IF($G30=0,IF(AY$11=$H30,"◆",""),IF(AND(AY$11&gt;=$H30,AY$11&lt;=$I30),1,""))</f>
        <v/>
      </c>
      <c r="AZ30" s="448" t="str">
        <f aca="false">IF($G30=0,IF(AZ$11=$H30,"◆",""),IF(AND(AZ$11&gt;=$H30,AZ$11&lt;=$I30),1,""))</f>
        <v/>
      </c>
      <c r="BA30" s="448" t="str">
        <f aca="false">IF($G30=0,IF(BA$11=$H30,"◆",""),IF(AND(BA$11&gt;=$H30,BA$11&lt;=$I30),1,""))</f>
        <v/>
      </c>
      <c r="BB30" s="448" t="str">
        <f aca="false">IF($G30=0,IF(BB$11=$H30,"◆",""),IF(AND(BB$11&gt;=$H30,BB$11&lt;=$I30),1,""))</f>
        <v/>
      </c>
      <c r="BC30" s="448" t="str">
        <f aca="false">IF($G30=0,IF(BC$11=$H30,"◆",""),IF(AND(BC$11&gt;=$H30,BC$11&lt;=$I30),1,""))</f>
        <v/>
      </c>
      <c r="BD30" s="448" t="str">
        <f aca="false">IF($G30=0,IF(BD$11=$H30,"◆",""),IF(AND(BD$11&gt;=$H30,BD$11&lt;=$I30),1,""))</f>
        <v/>
      </c>
      <c r="BE30" s="448" t="str">
        <f aca="false">IF($G30=0,IF(BE$11=$H30,"◆",""),IF(AND(BE$11&gt;=$H30,BE$11&lt;=$I30),1,""))</f>
        <v/>
      </c>
      <c r="BF30" s="448" t="str">
        <f aca="false">IF($G30=0,IF(BF$11=$H30,"◆",""),IF(AND(BF$11&gt;=$H30,BF$11&lt;=$I30),1,""))</f>
        <v/>
      </c>
      <c r="BG30" s="448" t="str">
        <f aca="false">IF($G30=0,IF(BG$11=$H30,"◆",""),IF(AND(BG$11&gt;=$H30,BG$11&lt;=$I30),1,""))</f>
        <v/>
      </c>
      <c r="BH30" s="448" t="str">
        <f aca="false">IF($G30=0,IF(BH$11=$H30,"◆",""),IF(AND(BH$11&gt;=$H30,BH$11&lt;=$I30),1,""))</f>
        <v/>
      </c>
      <c r="BI30" s="448" t="str">
        <f aca="false">IF($G30=0,IF(BI$11=$H30,"◆",""),IF(AND(BI$11&gt;=$H30,BI$11&lt;=$I30),1,""))</f>
        <v/>
      </c>
      <c r="BJ30" s="448" t="str">
        <f aca="false">IF($G30=0,IF(BJ$11=$H30,"◆",""),IF(AND(BJ$11&gt;=$H30,BJ$11&lt;=$I30),1,""))</f>
        <v/>
      </c>
      <c r="BK30" s="448" t="str">
        <f aca="false">IF($G30=0,IF(BK$11=$H30,"◆",""),IF(AND(BK$11&gt;=$H30,BK$11&lt;=$I30),1,""))</f>
        <v/>
      </c>
      <c r="BL30" s="448" t="str">
        <f aca="false">IF($G30=0,IF(BL$11=$H30,"◆",""),IF(AND(BL$11&gt;=$H30,BL$11&lt;=$I30),1,""))</f>
        <v/>
      </c>
      <c r="BM30" s="448" t="str">
        <f aca="false">IF($G30=0,IF(BM$11=$H30,"◆",""),IF(AND(BM$11&gt;=$H30,BM$11&lt;=$I30),1,""))</f>
        <v/>
      </c>
      <c r="BN30" s="448" t="str">
        <f aca="false">IF($G30=0,IF(BN$11=$H30,"◆",""),IF(AND(BN$11&gt;=$H30,BN$11&lt;=$I30),1,""))</f>
        <v/>
      </c>
      <c r="BO30" s="448" t="str">
        <f aca="false">IF($G30=0,IF(BO$11=$H30,"◆",""),IF(AND(BO$11&gt;=$H30,BO$11&lt;=$I30),1,""))</f>
        <v/>
      </c>
      <c r="BP30" s="448" t="str">
        <f aca="false">IF($G30=0,IF(BP$11=$H30,"◆",""),IF(AND(BP$11&gt;=$H30,BP$11&lt;=$I30),1,""))</f>
        <v/>
      </c>
      <c r="BQ30" s="448" t="str">
        <f aca="false">IF($G30=0,IF(BQ$11=$H30,"◆",""),IF(AND(BQ$11&gt;=$H30,BQ$11&lt;=$I30),1,""))</f>
        <v/>
      </c>
      <c r="BR30" s="448" t="str">
        <f aca="false">IF($G30=0,IF(BR$11=$H30,"◆",""),IF(AND(BR$11&gt;=$H30,BR$11&lt;=$I30),1,""))</f>
        <v/>
      </c>
      <c r="BS30" s="448" t="str">
        <f aca="false">IF($G30=0,IF(BS$11=$H30,"◆",""),IF(AND(BS$11&gt;=$H30,BS$11&lt;=$I30),1,""))</f>
        <v/>
      </c>
      <c r="BT30" s="448" t="str">
        <f aca="false">IF($G30=0,IF(BT$11=$H30,"◆",""),IF(AND(BT$11&gt;=$H30,BT$11&lt;=$I30),1,""))</f>
        <v/>
      </c>
      <c r="BU30" s="448" t="str">
        <f aca="false">IF($G30=0,IF(BU$11=$H30,"◆",""),IF(AND(BU$11&gt;=$H30,BU$11&lt;=$I30),1,""))</f>
        <v/>
      </c>
      <c r="BV30" s="448" t="str">
        <f aca="false">IF($G30=0,IF(BV$11=$H30,"◆",""),IF(AND(BV$11&gt;=$H30,BV$11&lt;=$I30),1,""))</f>
        <v/>
      </c>
      <c r="BW30" s="448" t="str">
        <f aca="false">IF($G30=0,IF(BW$11=$H30,"◆",""),IF(AND(BW$11&gt;=$H30,BW$11&lt;=$I30),1,""))</f>
        <v/>
      </c>
      <c r="BX30" s="448" t="str">
        <f aca="false">IF($G30=0,IF(BX$11=$H30,"◆",""),IF(AND(BX$11&gt;=$H30,BX$11&lt;=$I30),1,""))</f>
        <v/>
      </c>
      <c r="BY30" s="448" t="str">
        <f aca="false">IF($G30=0,IF(BY$11=$H30,"◆",""),IF(AND(BY$11&gt;=$H30,BY$11&lt;=$I30),1,""))</f>
        <v/>
      </c>
      <c r="BZ30" s="448" t="str">
        <f aca="false">IF($G30=0,IF(BZ$11=$H30,"◆",""),IF(AND(BZ$11&gt;=$H30,BZ$11&lt;=$I30),1,""))</f>
        <v/>
      </c>
      <c r="CA30" s="448" t="str">
        <f aca="false">IF($G30=0,IF(CA$11=$H30,"◆",""),IF(AND(CA$11&gt;=$H30,CA$11&lt;=$I30),1,""))</f>
        <v/>
      </c>
      <c r="CB30" s="448" t="str">
        <f aca="false">IF($G30=0,IF(CB$11=$H30,"◆",""),IF(AND(CB$11&gt;=$H30,CB$11&lt;=$I30),1,""))</f>
        <v/>
      </c>
      <c r="CC30" s="448" t="str">
        <f aca="false">IF($G30=0,IF(CC$11=$H30,"◆",""),IF(AND(CC$11&gt;=$H30,CC$11&lt;=$I30),1,""))</f>
        <v/>
      </c>
      <c r="CD30" s="448" t="str">
        <f aca="false">IF($G30=0,IF(CD$11=$H30,"◆",""),IF(AND(CD$11&gt;=$H30,CD$11&lt;=$I30),1,""))</f>
        <v/>
      </c>
      <c r="CE30" s="448" t="str">
        <f aca="false">IF($G30=0,IF(CE$11=$H30,"◆",""),IF(AND(CE$11&gt;=$H30,CE$11&lt;=$I30),1,""))</f>
        <v/>
      </c>
      <c r="CF30" s="448" t="str">
        <f aca="false">IF($G30=0,IF(CF$11=$H30,"◆",""),IF(AND(CF$11&gt;=$H30,CF$11&lt;=$I30),1,""))</f>
        <v/>
      </c>
      <c r="CG30" s="448" t="str">
        <f aca="false">IF($G30=0,IF(CG$11=$H30,"◆",""),IF(AND(CG$11&gt;=$H30,CG$11&lt;=$I30),1,""))</f>
        <v/>
      </c>
      <c r="CH30" s="448" t="str">
        <f aca="false">IF($G30=0,IF(CH$11=$H30,"◆",""),IF(AND(CH$11&gt;=$H30,CH$11&lt;=$I30),1,""))</f>
        <v/>
      </c>
      <c r="CI30" s="448" t="str">
        <f aca="false">IF($G30=0,IF(CI$11=$H30,"◆",""),IF(AND(CI$11&gt;=$H30,CI$11&lt;=$I30),1,""))</f>
        <v/>
      </c>
      <c r="CJ30" s="448" t="str">
        <f aca="false">IF($G30=0,IF(CJ$11=$H30,"◆",""),IF(AND(CJ$11&gt;=$H30,CJ$11&lt;=$I30),1,""))</f>
        <v/>
      </c>
      <c r="CK30" s="448" t="str">
        <f aca="false">IF($G30=0,IF(CK$11=$H30,"◆",""),IF(AND(CK$11&gt;=$H30,CK$11&lt;=$I30),1,""))</f>
        <v/>
      </c>
      <c r="CL30" s="448" t="str">
        <f aca="false">IF($G30=0,IF(CL$11=$H30,"◆",""),IF(AND(CL$11&gt;=$H30,CL$11&lt;=$I30),1,""))</f>
        <v/>
      </c>
      <c r="CM30" s="448" t="str">
        <f aca="false">IF($G30=0,IF(CM$11=$H30,"◆",""),IF(AND(CM$11&gt;=$H30,CM$11&lt;=$I30),1,""))</f>
        <v/>
      </c>
      <c r="CN30" s="448" t="str">
        <f aca="false">IF($G30=0,IF(CN$11=$H30,"◆",""),IF(AND(CN$11&gt;=$H30,CN$11&lt;=$I30),1,""))</f>
        <v/>
      </c>
      <c r="CO30" s="448" t="str">
        <f aca="false">IF($G30=0,IF(CO$11=$H30,"◆",""),IF(AND(CO$11&gt;=$H30,CO$11&lt;=$I30),1,""))</f>
        <v/>
      </c>
      <c r="CP30" s="448" t="str">
        <f aca="false">IF($G30=0,IF(CP$11=$H30,"◆",""),IF(AND(CP$11&gt;=$H30,CP$11&lt;=$I30),1,""))</f>
        <v/>
      </c>
      <c r="CQ30" s="448" t="str">
        <f aca="false">IF($G30=0,IF(CQ$11=$H30,"◆",""),IF(AND(CQ$11&gt;=$H30,CQ$11&lt;=$I30),1,""))</f>
        <v/>
      </c>
      <c r="CR30" s="448" t="str">
        <f aca="false">IF($G30=0,IF(CR$11=$H30,"◆",""),IF(AND(CR$11&gt;=$H30,CR$11&lt;=$I30),1,""))</f>
        <v/>
      </c>
      <c r="CS30" s="448" t="str">
        <f aca="false">IF($G30=0,IF(CS$11=$H30,"◆",""),IF(AND(CS$11&gt;=$H30,CS$11&lt;=$I30),1,""))</f>
        <v/>
      </c>
      <c r="CT30" s="448" t="str">
        <f aca="false">IF($G30=0,IF(CT$11=$H30,"◆",""),IF(AND(CT$11&gt;=$H30,CT$11&lt;=$I30),1,""))</f>
        <v/>
      </c>
      <c r="CU30" s="448" t="str">
        <f aca="false">IF($G30=0,IF(CU$11=$H30,"◆",""),IF(AND(CU$11&gt;=$H30,CU$11&lt;=$I30),1,""))</f>
        <v/>
      </c>
      <c r="CV30" s="448" t="str">
        <f aca="false">IF($G30=0,IF(CV$11=$H30,"◆",""),IF(AND(CV$11&gt;=$H30,CV$11&lt;=$I30),1,""))</f>
        <v/>
      </c>
      <c r="CW30" s="448" t="str">
        <f aca="false">IF($G30=0,IF(CW$11=$H30,"◆",""),IF(AND(CW$11&gt;=$H30,CW$11&lt;=$I30),1,""))</f>
        <v/>
      </c>
      <c r="CX30" s="448" t="str">
        <f aca="false">IF($G30=0,IF(CX$11=$H30,"◆",""),IF(AND(CX$11&gt;=$H30,CX$11&lt;=$I30),1,""))</f>
        <v/>
      </c>
      <c r="CY30" s="448" t="str">
        <f aca="false">IF($G30=0,IF(CY$11=$H30,"◆",""),IF(AND(CY$11&gt;=$H30,CY$11&lt;=$I30),1,""))</f>
        <v/>
      </c>
      <c r="CZ30" s="448" t="str">
        <f aca="false">IF($G30=0,IF(CZ$11=$H30,"◆",""),IF(AND(CZ$11&gt;=$H30,CZ$11&lt;=$I30),1,""))</f>
        <v/>
      </c>
      <c r="DA30" s="448" t="str">
        <f aca="false">IF($G30=0,IF(DA$11=$H30,"◆",""),IF(AND(DA$11&gt;=$H30,DA$11&lt;=$I30),1,""))</f>
        <v/>
      </c>
      <c r="DB30" s="448" t="str">
        <f aca="false">IF($G30=0,IF(DB$11=$H30,"◆",""),IF(AND(DB$11&gt;=$H30,DB$11&lt;=$I30),1,""))</f>
        <v/>
      </c>
      <c r="DC30" s="448" t="str">
        <f aca="false">IF($G30=0,IF(DC$11=$H30,"◆",""),IF(AND(DC$11&gt;=$H30,DC$11&lt;=$I30),1,""))</f>
        <v/>
      </c>
      <c r="DD30" s="448" t="str">
        <f aca="false">IF($G30=0,IF(DD$11=$H30,"◆",""),IF(AND(DD$11&gt;=$H30,DD$11&lt;=$I30),1,""))</f>
        <v/>
      </c>
      <c r="DE30" s="448" t="str">
        <f aca="false">IF($G30=0,IF(DE$11=$H30,"◆",""),IF(AND(DE$11&gt;=$H30,DE$11&lt;=$I30),1,""))</f>
        <v/>
      </c>
      <c r="DF30" s="448" t="str">
        <f aca="false">IF($G30=0,IF(DF$11=$H30,"◆",""),IF(AND(DF$11&gt;=$H30,DF$11&lt;=$I30),1,""))</f>
        <v/>
      </c>
      <c r="DG30" s="448" t="str">
        <f aca="false">IF($G30=0,IF(DG$11=$H30,"◆",""),IF(AND(DG$11&gt;=$H30,DG$11&lt;=$I30),1,""))</f>
        <v/>
      </c>
      <c r="DH30" s="448" t="str">
        <f aca="false">IF($G30=0,IF(DH$11=$H30,"◆",""),IF(AND(DH$11&gt;=$H30,DH$11&lt;=$I30),1,""))</f>
        <v/>
      </c>
      <c r="DI30" s="448" t="str">
        <f aca="false">IF($G30=0,IF(DI$11=$H30,"◆",""),IF(AND(DI$11&gt;=$H30,DI$11&lt;=$I30),1,""))</f>
        <v/>
      </c>
      <c r="DJ30" s="448" t="str">
        <f aca="false">IF($G30=0,IF(DJ$11=$H30,"◆",""),IF(AND(DJ$11&gt;=$H30,DJ$11&lt;=$I30),1,""))</f>
        <v/>
      </c>
      <c r="DK30" s="448" t="str">
        <f aca="false">IF($G30=0,IF(DK$11=$H30,"◆",""),IF(AND(DK$11&gt;=$H30,DK$11&lt;=$I30),1,""))</f>
        <v/>
      </c>
      <c r="DL30" s="448" t="str">
        <f aca="false">IF($G30=0,IF(DL$11=$H30,"◆",""),IF(AND(DL$11&gt;=$H30,DL$11&lt;=$I30),1,""))</f>
        <v/>
      </c>
      <c r="DM30" s="448" t="str">
        <f aca="false">IF($G30=0,IF(DM$11=$H30,"◆",""),IF(AND(DM$11&gt;=$H30,DM$11&lt;=$I30),1,""))</f>
        <v/>
      </c>
      <c r="DN30" s="448" t="str">
        <f aca="false">IF($G30=0,IF(DN$11=$H30,"◆",""),IF(AND(DN$11&gt;=$H30,DN$11&lt;=$I30),1,""))</f>
        <v/>
      </c>
      <c r="DO30" s="448" t="str">
        <f aca="false">IF($G30=0,IF(DO$11=$H30,"◆",""),IF(AND(DO$11&gt;=$H30,DO$11&lt;=$I30),1,""))</f>
        <v/>
      </c>
      <c r="DP30" s="448" t="str">
        <f aca="false">IF($G30=0,IF(DP$11=$H30,"◆",""),IF(AND(DP$11&gt;=$H30,DP$11&lt;=$I30),1,""))</f>
        <v/>
      </c>
      <c r="DQ30" s="448" t="str">
        <f aca="false">IF($G30=0,IF(DQ$11=$H30,"◆",""),IF(AND(DQ$11&gt;=$H30,DQ$11&lt;=$I30),1,""))</f>
        <v/>
      </c>
      <c r="DR30" s="448" t="str">
        <f aca="false">IF($G30=0,IF(DR$11=$H30,"◆",""),IF(AND(DR$11&gt;=$H30,DR$11&lt;=$I30),1,""))</f>
        <v/>
      </c>
      <c r="DS30" s="448" t="str">
        <f aca="false">IF($G30=0,IF(DS$11=$H30,"◆",""),IF(AND(DS$11&gt;=$H30,DS$11&lt;=$I30),1,""))</f>
        <v/>
      </c>
      <c r="DT30" s="448" t="str">
        <f aca="false">IF($G30=0,IF(DT$11=$H30,"◆",""),IF(AND(DT$11&gt;=$H30,DT$11&lt;=$I30),1,""))</f>
        <v/>
      </c>
      <c r="DU30" s="448" t="str">
        <f aca="false">IF($G30=0,IF(DU$11=$H30,"◆",""),IF(AND(DU$11&gt;=$H30,DU$11&lt;=$I30),1,""))</f>
        <v/>
      </c>
      <c r="DV30" s="448" t="str">
        <f aca="false">IF($G30=0,IF(DV$11=$H30,"◆",""),IF(AND(DV$11&gt;=$H30,DV$11&lt;=$I30),1,""))</f>
        <v/>
      </c>
      <c r="DW30" s="448" t="str">
        <f aca="false">IF($G30=0,IF(DW$11=$H30,"◆",""),IF(AND(DW$11&gt;=$H30,DW$11&lt;=$I30),1,""))</f>
        <v/>
      </c>
      <c r="DX30" s="448" t="str">
        <f aca="false">IF($G30=0,IF(DX$11=$H30,"◆",""),IF(AND(DX$11&gt;=$H30,DX$11&lt;=$I30),1,""))</f>
        <v/>
      </c>
      <c r="DY30" s="448" t="str">
        <f aca="false">IF($G30=0,IF(DY$11=$H30,"◆",""),IF(AND(DY$11&gt;=$H30,DY$11&lt;=$I30),1,""))</f>
        <v/>
      </c>
      <c r="DZ30" s="448" t="str">
        <f aca="false">IF($G30=0,IF(DZ$11=$H30,"◆",""),IF(AND(DZ$11&gt;=$H30,DZ$11&lt;=$I30),1,""))</f>
        <v/>
      </c>
      <c r="EA30" s="448" t="str">
        <f aca="false">IF($G30=0,IF(EA$11=$H30,"◆",""),IF(AND(EA$11&gt;=$H30,EA$11&lt;=$I30),1,""))</f>
        <v/>
      </c>
      <c r="EB30" s="448" t="str">
        <f aca="false">IF($G30=0,IF(EB$11=$H30,"◆",""),IF(AND(EB$11&gt;=$H30,EB$11&lt;=$I30),1,""))</f>
        <v/>
      </c>
      <c r="EC30" s="448" t="str">
        <f aca="false">IF($G30=0,IF(EC$11=$H30,"◆",""),IF(AND(EC$11&gt;=$H30,EC$11&lt;=$I30),1,""))</f>
        <v/>
      </c>
      <c r="ED30" s="448" t="str">
        <f aca="false">IF($G30=0,IF(ED$11=$H30,"◆",""),IF(AND(ED$11&gt;=$H30,ED$11&lt;=$I30),1,""))</f>
        <v/>
      </c>
    </row>
    <row r="31" customFormat="false" ht="15" hidden="false" customHeight="true" outlineLevel="0" collapsed="false">
      <c r="A31" s="452"/>
      <c r="B31" s="75" t="s">
        <v>2477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c r="AJ31" s="453"/>
      <c r="AK31" s="453"/>
      <c r="AL31" s="453"/>
      <c r="AM31" s="453"/>
      <c r="AN31" s="453"/>
      <c r="AO31" s="453"/>
      <c r="AP31" s="453"/>
      <c r="AQ31" s="453"/>
      <c r="AR31" s="453"/>
      <c r="AS31" s="453"/>
      <c r="AT31" s="453"/>
      <c r="AU31" s="453"/>
      <c r="AV31" s="453"/>
      <c r="AW31" s="453"/>
      <c r="AX31" s="453"/>
      <c r="AY31" s="453"/>
      <c r="AZ31" s="453"/>
      <c r="BA31" s="453"/>
      <c r="BB31" s="453"/>
      <c r="BC31" s="453"/>
      <c r="BD31" s="453"/>
      <c r="BE31" s="453"/>
      <c r="BF31" s="453"/>
      <c r="BG31" s="453"/>
      <c r="BH31" s="453"/>
      <c r="BI31" s="453"/>
      <c r="BJ31" s="453"/>
      <c r="BK31" s="453"/>
      <c r="BL31" s="453"/>
      <c r="BM31" s="453"/>
      <c r="BN31" s="453"/>
      <c r="BO31" s="453"/>
      <c r="BP31" s="453"/>
      <c r="BQ31" s="453"/>
      <c r="BR31" s="453"/>
      <c r="BS31" s="453"/>
      <c r="BT31" s="453"/>
      <c r="BU31" s="453"/>
      <c r="BV31" s="453"/>
      <c r="BW31" s="453"/>
      <c r="BX31" s="453"/>
      <c r="BY31" s="453"/>
      <c r="BZ31" s="453"/>
      <c r="CA31" s="453"/>
      <c r="CB31" s="453"/>
      <c r="CC31" s="453"/>
      <c r="CD31" s="453"/>
      <c r="CE31" s="453"/>
      <c r="CF31" s="453"/>
      <c r="CG31" s="453"/>
      <c r="CH31" s="453"/>
      <c r="CI31" s="453"/>
      <c r="CJ31" s="453"/>
      <c r="CK31" s="453"/>
      <c r="CL31" s="453"/>
      <c r="CM31" s="453"/>
      <c r="CN31" s="453"/>
      <c r="CO31" s="453"/>
      <c r="CP31" s="453"/>
      <c r="CQ31" s="453"/>
      <c r="CR31" s="453"/>
      <c r="CS31" s="453"/>
      <c r="CT31" s="453"/>
      <c r="CU31" s="453"/>
      <c r="CV31" s="453"/>
      <c r="CW31" s="453"/>
      <c r="CX31" s="453"/>
      <c r="CY31" s="453"/>
      <c r="CZ31" s="453"/>
      <c r="DA31" s="453"/>
      <c r="DB31" s="453"/>
      <c r="DC31" s="453"/>
      <c r="DD31" s="453"/>
      <c r="DE31" s="453"/>
      <c r="DF31" s="453"/>
      <c r="DG31" s="453"/>
      <c r="DH31" s="453"/>
      <c r="DI31" s="453"/>
      <c r="DJ31" s="453"/>
      <c r="DK31" s="453"/>
      <c r="DL31" s="453"/>
      <c r="DM31" s="453"/>
      <c r="DN31" s="453"/>
      <c r="DO31" s="453"/>
      <c r="DP31" s="453"/>
      <c r="DQ31" s="453"/>
      <c r="DR31" s="453"/>
      <c r="DS31" s="453"/>
      <c r="DT31" s="453"/>
      <c r="DU31" s="453"/>
      <c r="DV31" s="453"/>
      <c r="DW31" s="453"/>
      <c r="DX31" s="453"/>
      <c r="DY31" s="453"/>
      <c r="DZ31" s="453"/>
      <c r="EA31" s="453"/>
      <c r="EB31" s="453"/>
      <c r="EC31" s="453"/>
      <c r="ED31" s="453"/>
    </row>
    <row r="32" customFormat="false" ht="15" hidden="false" customHeight="true" outlineLevel="0" collapsed="false">
      <c r="A32" s="441" t="s">
        <v>2478</v>
      </c>
      <c r="B32" s="297" t="s">
        <v>2479</v>
      </c>
      <c r="C32" s="442" t="s">
        <v>2480</v>
      </c>
      <c r="D32" s="443" t="s">
        <v>2436</v>
      </c>
      <c r="E32" s="354" t="n">
        <f aca="false">1</f>
        <v>1</v>
      </c>
      <c r="F32" s="352" t="n">
        <v>0</v>
      </c>
      <c r="G32" s="352" t="n">
        <v>6</v>
      </c>
      <c r="H32" s="367" t="n">
        <f aca="false">MAX(1,ROUND(($E32-1)*$D$5,0)+1+$F32)</f>
        <v>1</v>
      </c>
      <c r="I32" s="367" t="n">
        <f aca="false">MAX($H32,$H32+$G32-1)</f>
        <v>6</v>
      </c>
      <c r="J32" s="444" t="n">
        <f aca="false">$D$4+($H32-1)*7</f>
        <v>46300</v>
      </c>
      <c r="K32" s="444" t="n">
        <f aca="false">$D$4+$I32*7-1</f>
        <v>46341</v>
      </c>
      <c r="L32" s="445" t="n">
        <f aca="false">ROUNDUP($H32/$D$5,0)</f>
        <v>1</v>
      </c>
      <c r="M32" s="446"/>
      <c r="N32" s="447" t="n">
        <v>0</v>
      </c>
      <c r="O32" s="448" t="n">
        <f aca="false">IF($G32=0,IF(O$11=$H32,"◆",""),IF(AND(O$11&gt;=$H32,O$11&lt;=$I32),1,""))</f>
        <v>1</v>
      </c>
      <c r="P32" s="448" t="n">
        <f aca="false">IF($G32=0,IF(P$11=$H32,"◆",""),IF(AND(P$11&gt;=$H32,P$11&lt;=$I32),1,""))</f>
        <v>1</v>
      </c>
      <c r="Q32" s="448" t="n">
        <f aca="false">IF($G32=0,IF(Q$11=$H32,"◆",""),IF(AND(Q$11&gt;=$H32,Q$11&lt;=$I32),1,""))</f>
        <v>1</v>
      </c>
      <c r="R32" s="448" t="n">
        <f aca="false">IF($G32=0,IF(R$11=$H32,"◆",""),IF(AND(R$11&gt;=$H32,R$11&lt;=$I32),1,""))</f>
        <v>1</v>
      </c>
      <c r="S32" s="448" t="n">
        <f aca="false">IF($G32=0,IF(S$11=$H32,"◆",""),IF(AND(S$11&gt;=$H32,S$11&lt;=$I32),1,""))</f>
        <v>1</v>
      </c>
      <c r="T32" s="448" t="n">
        <f aca="false">IF($G32=0,IF(T$11=$H32,"◆",""),IF(AND(T$11&gt;=$H32,T$11&lt;=$I32),1,""))</f>
        <v>1</v>
      </c>
      <c r="U32" s="448" t="str">
        <f aca="false">IF($G32=0,IF(U$11=$H32,"◆",""),IF(AND(U$11&gt;=$H32,U$11&lt;=$I32),1,""))</f>
        <v/>
      </c>
      <c r="V32" s="448" t="str">
        <f aca="false">IF($G32=0,IF(V$11=$H32,"◆",""),IF(AND(V$11&gt;=$H32,V$11&lt;=$I32),1,""))</f>
        <v/>
      </c>
      <c r="W32" s="448" t="str">
        <f aca="false">IF($G32=0,IF(W$11=$H32,"◆",""),IF(AND(W$11&gt;=$H32,W$11&lt;=$I32),1,""))</f>
        <v/>
      </c>
      <c r="X32" s="448" t="str">
        <f aca="false">IF($G32=0,IF(X$11=$H32,"◆",""),IF(AND(X$11&gt;=$H32,X$11&lt;=$I32),1,""))</f>
        <v/>
      </c>
      <c r="Y32" s="448" t="str">
        <f aca="false">IF($G32=0,IF(Y$11=$H32,"◆",""),IF(AND(Y$11&gt;=$H32,Y$11&lt;=$I32),1,""))</f>
        <v/>
      </c>
      <c r="Z32" s="448" t="str">
        <f aca="false">IF($G32=0,IF(Z$11=$H32,"◆",""),IF(AND(Z$11&gt;=$H32,Z$11&lt;=$I32),1,""))</f>
        <v/>
      </c>
      <c r="AA32" s="448" t="str">
        <f aca="false">IF($G32=0,IF(AA$11=$H32,"◆",""),IF(AND(AA$11&gt;=$H32,AA$11&lt;=$I32),1,""))</f>
        <v/>
      </c>
      <c r="AB32" s="448" t="str">
        <f aca="false">IF($G32=0,IF(AB$11=$H32,"◆",""),IF(AND(AB$11&gt;=$H32,AB$11&lt;=$I32),1,""))</f>
        <v/>
      </c>
      <c r="AC32" s="448" t="str">
        <f aca="false">IF($G32=0,IF(AC$11=$H32,"◆",""),IF(AND(AC$11&gt;=$H32,AC$11&lt;=$I32),1,""))</f>
        <v/>
      </c>
      <c r="AD32" s="448" t="str">
        <f aca="false">IF($G32=0,IF(AD$11=$H32,"◆",""),IF(AND(AD$11&gt;=$H32,AD$11&lt;=$I32),1,""))</f>
        <v/>
      </c>
      <c r="AE32" s="448" t="str">
        <f aca="false">IF($G32=0,IF(AE$11=$H32,"◆",""),IF(AND(AE$11&gt;=$H32,AE$11&lt;=$I32),1,""))</f>
        <v/>
      </c>
      <c r="AF32" s="448" t="str">
        <f aca="false">IF($G32=0,IF(AF$11=$H32,"◆",""),IF(AND(AF$11&gt;=$H32,AF$11&lt;=$I32),1,""))</f>
        <v/>
      </c>
      <c r="AG32" s="448" t="str">
        <f aca="false">IF($G32=0,IF(AG$11=$H32,"◆",""),IF(AND(AG$11&gt;=$H32,AG$11&lt;=$I32),1,""))</f>
        <v/>
      </c>
      <c r="AH32" s="448" t="str">
        <f aca="false">IF($G32=0,IF(AH$11=$H32,"◆",""),IF(AND(AH$11&gt;=$H32,AH$11&lt;=$I32),1,""))</f>
        <v/>
      </c>
      <c r="AI32" s="448" t="str">
        <f aca="false">IF($G32=0,IF(AI$11=$H32,"◆",""),IF(AND(AI$11&gt;=$H32,AI$11&lt;=$I32),1,""))</f>
        <v/>
      </c>
      <c r="AJ32" s="448" t="str">
        <f aca="false">IF($G32=0,IF(AJ$11=$H32,"◆",""),IF(AND(AJ$11&gt;=$H32,AJ$11&lt;=$I32),1,""))</f>
        <v/>
      </c>
      <c r="AK32" s="448" t="str">
        <f aca="false">IF($G32=0,IF(AK$11=$H32,"◆",""),IF(AND(AK$11&gt;=$H32,AK$11&lt;=$I32),1,""))</f>
        <v/>
      </c>
      <c r="AL32" s="448" t="str">
        <f aca="false">IF($G32=0,IF(AL$11=$H32,"◆",""),IF(AND(AL$11&gt;=$H32,AL$11&lt;=$I32),1,""))</f>
        <v/>
      </c>
      <c r="AM32" s="448" t="str">
        <f aca="false">IF($G32=0,IF(AM$11=$H32,"◆",""),IF(AND(AM$11&gt;=$H32,AM$11&lt;=$I32),1,""))</f>
        <v/>
      </c>
      <c r="AN32" s="448" t="str">
        <f aca="false">IF($G32=0,IF(AN$11=$H32,"◆",""),IF(AND(AN$11&gt;=$H32,AN$11&lt;=$I32),1,""))</f>
        <v/>
      </c>
      <c r="AO32" s="448" t="str">
        <f aca="false">IF($G32=0,IF(AO$11=$H32,"◆",""),IF(AND(AO$11&gt;=$H32,AO$11&lt;=$I32),1,""))</f>
        <v/>
      </c>
      <c r="AP32" s="448" t="str">
        <f aca="false">IF($G32=0,IF(AP$11=$H32,"◆",""),IF(AND(AP$11&gt;=$H32,AP$11&lt;=$I32),1,""))</f>
        <v/>
      </c>
      <c r="AQ32" s="448" t="str">
        <f aca="false">IF($G32=0,IF(AQ$11=$H32,"◆",""),IF(AND(AQ$11&gt;=$H32,AQ$11&lt;=$I32),1,""))</f>
        <v/>
      </c>
      <c r="AR32" s="448" t="str">
        <f aca="false">IF($G32=0,IF(AR$11=$H32,"◆",""),IF(AND(AR$11&gt;=$H32,AR$11&lt;=$I32),1,""))</f>
        <v/>
      </c>
      <c r="AS32" s="448" t="str">
        <f aca="false">IF($G32=0,IF(AS$11=$H32,"◆",""),IF(AND(AS$11&gt;=$H32,AS$11&lt;=$I32),1,""))</f>
        <v/>
      </c>
      <c r="AT32" s="448" t="str">
        <f aca="false">IF($G32=0,IF(AT$11=$H32,"◆",""),IF(AND(AT$11&gt;=$H32,AT$11&lt;=$I32),1,""))</f>
        <v/>
      </c>
      <c r="AU32" s="448" t="str">
        <f aca="false">IF($G32=0,IF(AU$11=$H32,"◆",""),IF(AND(AU$11&gt;=$H32,AU$11&lt;=$I32),1,""))</f>
        <v/>
      </c>
      <c r="AV32" s="448" t="str">
        <f aca="false">IF($G32=0,IF(AV$11=$H32,"◆",""),IF(AND(AV$11&gt;=$H32,AV$11&lt;=$I32),1,""))</f>
        <v/>
      </c>
      <c r="AW32" s="448" t="str">
        <f aca="false">IF($G32=0,IF(AW$11=$H32,"◆",""),IF(AND(AW$11&gt;=$H32,AW$11&lt;=$I32),1,""))</f>
        <v/>
      </c>
      <c r="AX32" s="448" t="str">
        <f aca="false">IF($G32=0,IF(AX$11=$H32,"◆",""),IF(AND(AX$11&gt;=$H32,AX$11&lt;=$I32),1,""))</f>
        <v/>
      </c>
      <c r="AY32" s="448" t="str">
        <f aca="false">IF($G32=0,IF(AY$11=$H32,"◆",""),IF(AND(AY$11&gt;=$H32,AY$11&lt;=$I32),1,""))</f>
        <v/>
      </c>
      <c r="AZ32" s="448" t="str">
        <f aca="false">IF($G32=0,IF(AZ$11=$H32,"◆",""),IF(AND(AZ$11&gt;=$H32,AZ$11&lt;=$I32),1,""))</f>
        <v/>
      </c>
      <c r="BA32" s="448" t="str">
        <f aca="false">IF($G32=0,IF(BA$11=$H32,"◆",""),IF(AND(BA$11&gt;=$H32,BA$11&lt;=$I32),1,""))</f>
        <v/>
      </c>
      <c r="BB32" s="448" t="str">
        <f aca="false">IF($G32=0,IF(BB$11=$H32,"◆",""),IF(AND(BB$11&gt;=$H32,BB$11&lt;=$I32),1,""))</f>
        <v/>
      </c>
      <c r="BC32" s="448" t="str">
        <f aca="false">IF($G32=0,IF(BC$11=$H32,"◆",""),IF(AND(BC$11&gt;=$H32,BC$11&lt;=$I32),1,""))</f>
        <v/>
      </c>
      <c r="BD32" s="448" t="str">
        <f aca="false">IF($G32=0,IF(BD$11=$H32,"◆",""),IF(AND(BD$11&gt;=$H32,BD$11&lt;=$I32),1,""))</f>
        <v/>
      </c>
      <c r="BE32" s="448" t="str">
        <f aca="false">IF($G32=0,IF(BE$11=$H32,"◆",""),IF(AND(BE$11&gt;=$H32,BE$11&lt;=$I32),1,""))</f>
        <v/>
      </c>
      <c r="BF32" s="448" t="str">
        <f aca="false">IF($G32=0,IF(BF$11=$H32,"◆",""),IF(AND(BF$11&gt;=$H32,BF$11&lt;=$I32),1,""))</f>
        <v/>
      </c>
      <c r="BG32" s="448" t="str">
        <f aca="false">IF($G32=0,IF(BG$11=$H32,"◆",""),IF(AND(BG$11&gt;=$H32,BG$11&lt;=$I32),1,""))</f>
        <v/>
      </c>
      <c r="BH32" s="448" t="str">
        <f aca="false">IF($G32=0,IF(BH$11=$H32,"◆",""),IF(AND(BH$11&gt;=$H32,BH$11&lt;=$I32),1,""))</f>
        <v/>
      </c>
      <c r="BI32" s="448" t="str">
        <f aca="false">IF($G32=0,IF(BI$11=$H32,"◆",""),IF(AND(BI$11&gt;=$H32,BI$11&lt;=$I32),1,""))</f>
        <v/>
      </c>
      <c r="BJ32" s="448" t="str">
        <f aca="false">IF($G32=0,IF(BJ$11=$H32,"◆",""),IF(AND(BJ$11&gt;=$H32,BJ$11&lt;=$I32),1,""))</f>
        <v/>
      </c>
      <c r="BK32" s="448" t="str">
        <f aca="false">IF($G32=0,IF(BK$11=$H32,"◆",""),IF(AND(BK$11&gt;=$H32,BK$11&lt;=$I32),1,""))</f>
        <v/>
      </c>
      <c r="BL32" s="448" t="str">
        <f aca="false">IF($G32=0,IF(BL$11=$H32,"◆",""),IF(AND(BL$11&gt;=$H32,BL$11&lt;=$I32),1,""))</f>
        <v/>
      </c>
      <c r="BM32" s="448" t="str">
        <f aca="false">IF($G32=0,IF(BM$11=$H32,"◆",""),IF(AND(BM$11&gt;=$H32,BM$11&lt;=$I32),1,""))</f>
        <v/>
      </c>
      <c r="BN32" s="448" t="str">
        <f aca="false">IF($G32=0,IF(BN$11=$H32,"◆",""),IF(AND(BN$11&gt;=$H32,BN$11&lt;=$I32),1,""))</f>
        <v/>
      </c>
      <c r="BO32" s="448" t="str">
        <f aca="false">IF($G32=0,IF(BO$11=$H32,"◆",""),IF(AND(BO$11&gt;=$H32,BO$11&lt;=$I32),1,""))</f>
        <v/>
      </c>
      <c r="BP32" s="448" t="str">
        <f aca="false">IF($G32=0,IF(BP$11=$H32,"◆",""),IF(AND(BP$11&gt;=$H32,BP$11&lt;=$I32),1,""))</f>
        <v/>
      </c>
      <c r="BQ32" s="448" t="str">
        <f aca="false">IF($G32=0,IF(BQ$11=$H32,"◆",""),IF(AND(BQ$11&gt;=$H32,BQ$11&lt;=$I32),1,""))</f>
        <v/>
      </c>
      <c r="BR32" s="448" t="str">
        <f aca="false">IF($G32=0,IF(BR$11=$H32,"◆",""),IF(AND(BR$11&gt;=$H32,BR$11&lt;=$I32),1,""))</f>
        <v/>
      </c>
      <c r="BS32" s="448" t="str">
        <f aca="false">IF($G32=0,IF(BS$11=$H32,"◆",""),IF(AND(BS$11&gt;=$H32,BS$11&lt;=$I32),1,""))</f>
        <v/>
      </c>
      <c r="BT32" s="448" t="str">
        <f aca="false">IF($G32=0,IF(BT$11=$H32,"◆",""),IF(AND(BT$11&gt;=$H32,BT$11&lt;=$I32),1,""))</f>
        <v/>
      </c>
      <c r="BU32" s="448" t="str">
        <f aca="false">IF($G32=0,IF(BU$11=$H32,"◆",""),IF(AND(BU$11&gt;=$H32,BU$11&lt;=$I32),1,""))</f>
        <v/>
      </c>
      <c r="BV32" s="448" t="str">
        <f aca="false">IF($G32=0,IF(BV$11=$H32,"◆",""),IF(AND(BV$11&gt;=$H32,BV$11&lt;=$I32),1,""))</f>
        <v/>
      </c>
      <c r="BW32" s="448" t="str">
        <f aca="false">IF($G32=0,IF(BW$11=$H32,"◆",""),IF(AND(BW$11&gt;=$H32,BW$11&lt;=$I32),1,""))</f>
        <v/>
      </c>
      <c r="BX32" s="448" t="str">
        <f aca="false">IF($G32=0,IF(BX$11=$H32,"◆",""),IF(AND(BX$11&gt;=$H32,BX$11&lt;=$I32),1,""))</f>
        <v/>
      </c>
      <c r="BY32" s="448" t="str">
        <f aca="false">IF($G32=0,IF(BY$11=$H32,"◆",""),IF(AND(BY$11&gt;=$H32,BY$11&lt;=$I32),1,""))</f>
        <v/>
      </c>
      <c r="BZ32" s="448" t="str">
        <f aca="false">IF($G32=0,IF(BZ$11=$H32,"◆",""),IF(AND(BZ$11&gt;=$H32,BZ$11&lt;=$I32),1,""))</f>
        <v/>
      </c>
      <c r="CA32" s="448" t="str">
        <f aca="false">IF($G32=0,IF(CA$11=$H32,"◆",""),IF(AND(CA$11&gt;=$H32,CA$11&lt;=$I32),1,""))</f>
        <v/>
      </c>
      <c r="CB32" s="448" t="str">
        <f aca="false">IF($G32=0,IF(CB$11=$H32,"◆",""),IF(AND(CB$11&gt;=$H32,CB$11&lt;=$I32),1,""))</f>
        <v/>
      </c>
      <c r="CC32" s="448" t="str">
        <f aca="false">IF($G32=0,IF(CC$11=$H32,"◆",""),IF(AND(CC$11&gt;=$H32,CC$11&lt;=$I32),1,""))</f>
        <v/>
      </c>
      <c r="CD32" s="448" t="str">
        <f aca="false">IF($G32=0,IF(CD$11=$H32,"◆",""),IF(AND(CD$11&gt;=$H32,CD$11&lt;=$I32),1,""))</f>
        <v/>
      </c>
      <c r="CE32" s="448" t="str">
        <f aca="false">IF($G32=0,IF(CE$11=$H32,"◆",""),IF(AND(CE$11&gt;=$H32,CE$11&lt;=$I32),1,""))</f>
        <v/>
      </c>
      <c r="CF32" s="448" t="str">
        <f aca="false">IF($G32=0,IF(CF$11=$H32,"◆",""),IF(AND(CF$11&gt;=$H32,CF$11&lt;=$I32),1,""))</f>
        <v/>
      </c>
      <c r="CG32" s="448" t="str">
        <f aca="false">IF($G32=0,IF(CG$11=$H32,"◆",""),IF(AND(CG$11&gt;=$H32,CG$11&lt;=$I32),1,""))</f>
        <v/>
      </c>
      <c r="CH32" s="448" t="str">
        <f aca="false">IF($G32=0,IF(CH$11=$H32,"◆",""),IF(AND(CH$11&gt;=$H32,CH$11&lt;=$I32),1,""))</f>
        <v/>
      </c>
      <c r="CI32" s="448" t="str">
        <f aca="false">IF($G32=0,IF(CI$11=$H32,"◆",""),IF(AND(CI$11&gt;=$H32,CI$11&lt;=$I32),1,""))</f>
        <v/>
      </c>
      <c r="CJ32" s="448" t="str">
        <f aca="false">IF($G32=0,IF(CJ$11=$H32,"◆",""),IF(AND(CJ$11&gt;=$H32,CJ$11&lt;=$I32),1,""))</f>
        <v/>
      </c>
      <c r="CK32" s="448" t="str">
        <f aca="false">IF($G32=0,IF(CK$11=$H32,"◆",""),IF(AND(CK$11&gt;=$H32,CK$11&lt;=$I32),1,""))</f>
        <v/>
      </c>
      <c r="CL32" s="448" t="str">
        <f aca="false">IF($G32=0,IF(CL$11=$H32,"◆",""),IF(AND(CL$11&gt;=$H32,CL$11&lt;=$I32),1,""))</f>
        <v/>
      </c>
      <c r="CM32" s="448" t="str">
        <f aca="false">IF($G32=0,IF(CM$11=$H32,"◆",""),IF(AND(CM$11&gt;=$H32,CM$11&lt;=$I32),1,""))</f>
        <v/>
      </c>
      <c r="CN32" s="448" t="str">
        <f aca="false">IF($G32=0,IF(CN$11=$H32,"◆",""),IF(AND(CN$11&gt;=$H32,CN$11&lt;=$I32),1,""))</f>
        <v/>
      </c>
      <c r="CO32" s="448" t="str">
        <f aca="false">IF($G32=0,IF(CO$11=$H32,"◆",""),IF(AND(CO$11&gt;=$H32,CO$11&lt;=$I32),1,""))</f>
        <v/>
      </c>
      <c r="CP32" s="448" t="str">
        <f aca="false">IF($G32=0,IF(CP$11=$H32,"◆",""),IF(AND(CP$11&gt;=$H32,CP$11&lt;=$I32),1,""))</f>
        <v/>
      </c>
      <c r="CQ32" s="448" t="str">
        <f aca="false">IF($G32=0,IF(CQ$11=$H32,"◆",""),IF(AND(CQ$11&gt;=$H32,CQ$11&lt;=$I32),1,""))</f>
        <v/>
      </c>
      <c r="CR32" s="448" t="str">
        <f aca="false">IF($G32=0,IF(CR$11=$H32,"◆",""),IF(AND(CR$11&gt;=$H32,CR$11&lt;=$I32),1,""))</f>
        <v/>
      </c>
      <c r="CS32" s="448" t="str">
        <f aca="false">IF($G32=0,IF(CS$11=$H32,"◆",""),IF(AND(CS$11&gt;=$H32,CS$11&lt;=$I32),1,""))</f>
        <v/>
      </c>
      <c r="CT32" s="448" t="str">
        <f aca="false">IF($G32=0,IF(CT$11=$H32,"◆",""),IF(AND(CT$11&gt;=$H32,CT$11&lt;=$I32),1,""))</f>
        <v/>
      </c>
      <c r="CU32" s="448" t="str">
        <f aca="false">IF($G32=0,IF(CU$11=$H32,"◆",""),IF(AND(CU$11&gt;=$H32,CU$11&lt;=$I32),1,""))</f>
        <v/>
      </c>
      <c r="CV32" s="448" t="str">
        <f aca="false">IF($G32=0,IF(CV$11=$H32,"◆",""),IF(AND(CV$11&gt;=$H32,CV$11&lt;=$I32),1,""))</f>
        <v/>
      </c>
      <c r="CW32" s="448" t="str">
        <f aca="false">IF($G32=0,IF(CW$11=$H32,"◆",""),IF(AND(CW$11&gt;=$H32,CW$11&lt;=$I32),1,""))</f>
        <v/>
      </c>
      <c r="CX32" s="448" t="str">
        <f aca="false">IF($G32=0,IF(CX$11=$H32,"◆",""),IF(AND(CX$11&gt;=$H32,CX$11&lt;=$I32),1,""))</f>
        <v/>
      </c>
      <c r="CY32" s="448" t="str">
        <f aca="false">IF($G32=0,IF(CY$11=$H32,"◆",""),IF(AND(CY$11&gt;=$H32,CY$11&lt;=$I32),1,""))</f>
        <v/>
      </c>
      <c r="CZ32" s="448" t="str">
        <f aca="false">IF($G32=0,IF(CZ$11=$H32,"◆",""),IF(AND(CZ$11&gt;=$H32,CZ$11&lt;=$I32),1,""))</f>
        <v/>
      </c>
      <c r="DA32" s="448" t="str">
        <f aca="false">IF($G32=0,IF(DA$11=$H32,"◆",""),IF(AND(DA$11&gt;=$H32,DA$11&lt;=$I32),1,""))</f>
        <v/>
      </c>
      <c r="DB32" s="448" t="str">
        <f aca="false">IF($G32=0,IF(DB$11=$H32,"◆",""),IF(AND(DB$11&gt;=$H32,DB$11&lt;=$I32),1,""))</f>
        <v/>
      </c>
      <c r="DC32" s="448" t="str">
        <f aca="false">IF($G32=0,IF(DC$11=$H32,"◆",""),IF(AND(DC$11&gt;=$H32,DC$11&lt;=$I32),1,""))</f>
        <v/>
      </c>
      <c r="DD32" s="448" t="str">
        <f aca="false">IF($G32=0,IF(DD$11=$H32,"◆",""),IF(AND(DD$11&gt;=$H32,DD$11&lt;=$I32),1,""))</f>
        <v/>
      </c>
      <c r="DE32" s="448" t="str">
        <f aca="false">IF($G32=0,IF(DE$11=$H32,"◆",""),IF(AND(DE$11&gt;=$H32,DE$11&lt;=$I32),1,""))</f>
        <v/>
      </c>
      <c r="DF32" s="448" t="str">
        <f aca="false">IF($G32=0,IF(DF$11=$H32,"◆",""),IF(AND(DF$11&gt;=$H32,DF$11&lt;=$I32),1,""))</f>
        <v/>
      </c>
      <c r="DG32" s="448" t="str">
        <f aca="false">IF($G32=0,IF(DG$11=$H32,"◆",""),IF(AND(DG$11&gt;=$H32,DG$11&lt;=$I32),1,""))</f>
        <v/>
      </c>
      <c r="DH32" s="448" t="str">
        <f aca="false">IF($G32=0,IF(DH$11=$H32,"◆",""),IF(AND(DH$11&gt;=$H32,DH$11&lt;=$I32),1,""))</f>
        <v/>
      </c>
      <c r="DI32" s="448" t="str">
        <f aca="false">IF($G32=0,IF(DI$11=$H32,"◆",""),IF(AND(DI$11&gt;=$H32,DI$11&lt;=$I32),1,""))</f>
        <v/>
      </c>
      <c r="DJ32" s="448" t="str">
        <f aca="false">IF($G32=0,IF(DJ$11=$H32,"◆",""),IF(AND(DJ$11&gt;=$H32,DJ$11&lt;=$I32),1,""))</f>
        <v/>
      </c>
      <c r="DK32" s="448" t="str">
        <f aca="false">IF($G32=0,IF(DK$11=$H32,"◆",""),IF(AND(DK$11&gt;=$H32,DK$11&lt;=$I32),1,""))</f>
        <v/>
      </c>
      <c r="DL32" s="448" t="str">
        <f aca="false">IF($G32=0,IF(DL$11=$H32,"◆",""),IF(AND(DL$11&gt;=$H32,DL$11&lt;=$I32),1,""))</f>
        <v/>
      </c>
      <c r="DM32" s="448" t="str">
        <f aca="false">IF($G32=0,IF(DM$11=$H32,"◆",""),IF(AND(DM$11&gt;=$H32,DM$11&lt;=$I32),1,""))</f>
        <v/>
      </c>
      <c r="DN32" s="448" t="str">
        <f aca="false">IF($G32=0,IF(DN$11=$H32,"◆",""),IF(AND(DN$11&gt;=$H32,DN$11&lt;=$I32),1,""))</f>
        <v/>
      </c>
      <c r="DO32" s="448" t="str">
        <f aca="false">IF($G32=0,IF(DO$11=$H32,"◆",""),IF(AND(DO$11&gt;=$H32,DO$11&lt;=$I32),1,""))</f>
        <v/>
      </c>
      <c r="DP32" s="448" t="str">
        <f aca="false">IF($G32=0,IF(DP$11=$H32,"◆",""),IF(AND(DP$11&gt;=$H32,DP$11&lt;=$I32),1,""))</f>
        <v/>
      </c>
      <c r="DQ32" s="448" t="str">
        <f aca="false">IF($G32=0,IF(DQ$11=$H32,"◆",""),IF(AND(DQ$11&gt;=$H32,DQ$11&lt;=$I32),1,""))</f>
        <v/>
      </c>
      <c r="DR32" s="448" t="str">
        <f aca="false">IF($G32=0,IF(DR$11=$H32,"◆",""),IF(AND(DR$11&gt;=$H32,DR$11&lt;=$I32),1,""))</f>
        <v/>
      </c>
      <c r="DS32" s="448" t="str">
        <f aca="false">IF($G32=0,IF(DS$11=$H32,"◆",""),IF(AND(DS$11&gt;=$H32,DS$11&lt;=$I32),1,""))</f>
        <v/>
      </c>
      <c r="DT32" s="448" t="str">
        <f aca="false">IF($G32=0,IF(DT$11=$H32,"◆",""),IF(AND(DT$11&gt;=$H32,DT$11&lt;=$I32),1,""))</f>
        <v/>
      </c>
      <c r="DU32" s="448" t="str">
        <f aca="false">IF($G32=0,IF(DU$11=$H32,"◆",""),IF(AND(DU$11&gt;=$H32,DU$11&lt;=$I32),1,""))</f>
        <v/>
      </c>
      <c r="DV32" s="448" t="str">
        <f aca="false">IF($G32=0,IF(DV$11=$H32,"◆",""),IF(AND(DV$11&gt;=$H32,DV$11&lt;=$I32),1,""))</f>
        <v/>
      </c>
      <c r="DW32" s="448" t="str">
        <f aca="false">IF($G32=0,IF(DW$11=$H32,"◆",""),IF(AND(DW$11&gt;=$H32,DW$11&lt;=$I32),1,""))</f>
        <v/>
      </c>
      <c r="DX32" s="448" t="str">
        <f aca="false">IF($G32=0,IF(DX$11=$H32,"◆",""),IF(AND(DX$11&gt;=$H32,DX$11&lt;=$I32),1,""))</f>
        <v/>
      </c>
      <c r="DY32" s="448" t="str">
        <f aca="false">IF($G32=0,IF(DY$11=$H32,"◆",""),IF(AND(DY$11&gt;=$H32,DY$11&lt;=$I32),1,""))</f>
        <v/>
      </c>
      <c r="DZ32" s="448" t="str">
        <f aca="false">IF($G32=0,IF(DZ$11=$H32,"◆",""),IF(AND(DZ$11&gt;=$H32,DZ$11&lt;=$I32),1,""))</f>
        <v/>
      </c>
      <c r="EA32" s="448" t="str">
        <f aca="false">IF($G32=0,IF(EA$11=$H32,"◆",""),IF(AND(EA$11&gt;=$H32,EA$11&lt;=$I32),1,""))</f>
        <v/>
      </c>
      <c r="EB32" s="448" t="str">
        <f aca="false">IF($G32=0,IF(EB$11=$H32,"◆",""),IF(AND(EB$11&gt;=$H32,EB$11&lt;=$I32),1,""))</f>
        <v/>
      </c>
      <c r="EC32" s="448" t="str">
        <f aca="false">IF($G32=0,IF(EC$11=$H32,"◆",""),IF(AND(EC$11&gt;=$H32,EC$11&lt;=$I32),1,""))</f>
        <v/>
      </c>
      <c r="ED32" s="448" t="str">
        <f aca="false">IF($G32=0,IF(ED$11=$H32,"◆",""),IF(AND(ED$11&gt;=$H32,ED$11&lt;=$I32),1,""))</f>
        <v/>
      </c>
    </row>
    <row r="33" customFormat="false" ht="15" hidden="false" customHeight="true" outlineLevel="0" collapsed="false">
      <c r="A33" s="441" t="s">
        <v>2481</v>
      </c>
      <c r="B33" s="297" t="s">
        <v>2482</v>
      </c>
      <c r="C33" s="442" t="s">
        <v>2480</v>
      </c>
      <c r="D33" s="443" t="s">
        <v>2436</v>
      </c>
      <c r="E33" s="354" t="n">
        <f aca="false">1</f>
        <v>1</v>
      </c>
      <c r="F33" s="352" t="n">
        <v>6</v>
      </c>
      <c r="G33" s="352" t="n">
        <v>8</v>
      </c>
      <c r="H33" s="367" t="n">
        <f aca="false">MAX(1,ROUND(($E33-1)*$D$5,0)+1+$F33)</f>
        <v>7</v>
      </c>
      <c r="I33" s="367" t="n">
        <f aca="false">MAX($H33,$H33+$G33-1)</f>
        <v>14</v>
      </c>
      <c r="J33" s="444" t="n">
        <f aca="false">$D$4+($H33-1)*7</f>
        <v>46342</v>
      </c>
      <c r="K33" s="444" t="n">
        <f aca="false">$D$4+$I33*7-1</f>
        <v>46397</v>
      </c>
      <c r="L33" s="445" t="n">
        <f aca="false">ROUNDUP($H33/$D$5,0)</f>
        <v>2</v>
      </c>
      <c r="M33" s="446" t="s">
        <v>2453</v>
      </c>
      <c r="N33" s="447" t="n">
        <v>0</v>
      </c>
      <c r="O33" s="448" t="str">
        <f aca="false">IF($G33=0,IF(O$11=$H33,"◆",""),IF(AND(O$11&gt;=$H33,O$11&lt;=$I33),1,""))</f>
        <v/>
      </c>
      <c r="P33" s="448" t="str">
        <f aca="false">IF($G33=0,IF(P$11=$H33,"◆",""),IF(AND(P$11&gt;=$H33,P$11&lt;=$I33),1,""))</f>
        <v/>
      </c>
      <c r="Q33" s="448" t="str">
        <f aca="false">IF($G33=0,IF(Q$11=$H33,"◆",""),IF(AND(Q$11&gt;=$H33,Q$11&lt;=$I33),1,""))</f>
        <v/>
      </c>
      <c r="R33" s="448" t="str">
        <f aca="false">IF($G33=0,IF(R$11=$H33,"◆",""),IF(AND(R$11&gt;=$H33,R$11&lt;=$I33),1,""))</f>
        <v/>
      </c>
      <c r="S33" s="448" t="str">
        <f aca="false">IF($G33=0,IF(S$11=$H33,"◆",""),IF(AND(S$11&gt;=$H33,S$11&lt;=$I33),1,""))</f>
        <v/>
      </c>
      <c r="T33" s="448" t="str">
        <f aca="false">IF($G33=0,IF(T$11=$H33,"◆",""),IF(AND(T$11&gt;=$H33,T$11&lt;=$I33),1,""))</f>
        <v/>
      </c>
      <c r="U33" s="448" t="n">
        <f aca="false">IF($G33=0,IF(U$11=$H33,"◆",""),IF(AND(U$11&gt;=$H33,U$11&lt;=$I33),1,""))</f>
        <v>1</v>
      </c>
      <c r="V33" s="448" t="n">
        <f aca="false">IF($G33=0,IF(V$11=$H33,"◆",""),IF(AND(V$11&gt;=$H33,V$11&lt;=$I33),1,""))</f>
        <v>1</v>
      </c>
      <c r="W33" s="448" t="n">
        <f aca="false">IF($G33=0,IF(W$11=$H33,"◆",""),IF(AND(W$11&gt;=$H33,W$11&lt;=$I33),1,""))</f>
        <v>1</v>
      </c>
      <c r="X33" s="448" t="n">
        <f aca="false">IF($G33=0,IF(X$11=$H33,"◆",""),IF(AND(X$11&gt;=$H33,X$11&lt;=$I33),1,""))</f>
        <v>1</v>
      </c>
      <c r="Y33" s="448" t="n">
        <f aca="false">IF($G33=0,IF(Y$11=$H33,"◆",""),IF(AND(Y$11&gt;=$H33,Y$11&lt;=$I33),1,""))</f>
        <v>1</v>
      </c>
      <c r="Z33" s="448" t="n">
        <f aca="false">IF($G33=0,IF(Z$11=$H33,"◆",""),IF(AND(Z$11&gt;=$H33,Z$11&lt;=$I33),1,""))</f>
        <v>1</v>
      </c>
      <c r="AA33" s="448" t="n">
        <f aca="false">IF($G33=0,IF(AA$11=$H33,"◆",""),IF(AND(AA$11&gt;=$H33,AA$11&lt;=$I33),1,""))</f>
        <v>1</v>
      </c>
      <c r="AB33" s="448" t="n">
        <f aca="false">IF($G33=0,IF(AB$11=$H33,"◆",""),IF(AND(AB$11&gt;=$H33,AB$11&lt;=$I33),1,""))</f>
        <v>1</v>
      </c>
      <c r="AC33" s="448" t="str">
        <f aca="false">IF($G33=0,IF(AC$11=$H33,"◆",""),IF(AND(AC$11&gt;=$H33,AC$11&lt;=$I33),1,""))</f>
        <v/>
      </c>
      <c r="AD33" s="448" t="str">
        <f aca="false">IF($G33=0,IF(AD$11=$H33,"◆",""),IF(AND(AD$11&gt;=$H33,AD$11&lt;=$I33),1,""))</f>
        <v/>
      </c>
      <c r="AE33" s="448" t="str">
        <f aca="false">IF($G33=0,IF(AE$11=$H33,"◆",""),IF(AND(AE$11&gt;=$H33,AE$11&lt;=$I33),1,""))</f>
        <v/>
      </c>
      <c r="AF33" s="448" t="str">
        <f aca="false">IF($G33=0,IF(AF$11=$H33,"◆",""),IF(AND(AF$11&gt;=$H33,AF$11&lt;=$I33),1,""))</f>
        <v/>
      </c>
      <c r="AG33" s="448" t="str">
        <f aca="false">IF($G33=0,IF(AG$11=$H33,"◆",""),IF(AND(AG$11&gt;=$H33,AG$11&lt;=$I33),1,""))</f>
        <v/>
      </c>
      <c r="AH33" s="448" t="str">
        <f aca="false">IF($G33=0,IF(AH$11=$H33,"◆",""),IF(AND(AH$11&gt;=$H33,AH$11&lt;=$I33),1,""))</f>
        <v/>
      </c>
      <c r="AI33" s="448" t="str">
        <f aca="false">IF($G33=0,IF(AI$11=$H33,"◆",""),IF(AND(AI$11&gt;=$H33,AI$11&lt;=$I33),1,""))</f>
        <v/>
      </c>
      <c r="AJ33" s="448" t="str">
        <f aca="false">IF($G33=0,IF(AJ$11=$H33,"◆",""),IF(AND(AJ$11&gt;=$H33,AJ$11&lt;=$I33),1,""))</f>
        <v/>
      </c>
      <c r="AK33" s="448" t="str">
        <f aca="false">IF($G33=0,IF(AK$11=$H33,"◆",""),IF(AND(AK$11&gt;=$H33,AK$11&lt;=$I33),1,""))</f>
        <v/>
      </c>
      <c r="AL33" s="448" t="str">
        <f aca="false">IF($G33=0,IF(AL$11=$H33,"◆",""),IF(AND(AL$11&gt;=$H33,AL$11&lt;=$I33),1,""))</f>
        <v/>
      </c>
      <c r="AM33" s="448" t="str">
        <f aca="false">IF($G33=0,IF(AM$11=$H33,"◆",""),IF(AND(AM$11&gt;=$H33,AM$11&lt;=$I33),1,""))</f>
        <v/>
      </c>
      <c r="AN33" s="448" t="str">
        <f aca="false">IF($G33=0,IF(AN$11=$H33,"◆",""),IF(AND(AN$11&gt;=$H33,AN$11&lt;=$I33),1,""))</f>
        <v/>
      </c>
      <c r="AO33" s="448" t="str">
        <f aca="false">IF($G33=0,IF(AO$11=$H33,"◆",""),IF(AND(AO$11&gt;=$H33,AO$11&lt;=$I33),1,""))</f>
        <v/>
      </c>
      <c r="AP33" s="448" t="str">
        <f aca="false">IF($G33=0,IF(AP$11=$H33,"◆",""),IF(AND(AP$11&gt;=$H33,AP$11&lt;=$I33),1,""))</f>
        <v/>
      </c>
      <c r="AQ33" s="448" t="str">
        <f aca="false">IF($G33=0,IF(AQ$11=$H33,"◆",""),IF(AND(AQ$11&gt;=$H33,AQ$11&lt;=$I33),1,""))</f>
        <v/>
      </c>
      <c r="AR33" s="448" t="str">
        <f aca="false">IF($G33=0,IF(AR$11=$H33,"◆",""),IF(AND(AR$11&gt;=$H33,AR$11&lt;=$I33),1,""))</f>
        <v/>
      </c>
      <c r="AS33" s="448" t="str">
        <f aca="false">IF($G33=0,IF(AS$11=$H33,"◆",""),IF(AND(AS$11&gt;=$H33,AS$11&lt;=$I33),1,""))</f>
        <v/>
      </c>
      <c r="AT33" s="448" t="str">
        <f aca="false">IF($G33=0,IF(AT$11=$H33,"◆",""),IF(AND(AT$11&gt;=$H33,AT$11&lt;=$I33),1,""))</f>
        <v/>
      </c>
      <c r="AU33" s="448" t="str">
        <f aca="false">IF($G33=0,IF(AU$11=$H33,"◆",""),IF(AND(AU$11&gt;=$H33,AU$11&lt;=$I33),1,""))</f>
        <v/>
      </c>
      <c r="AV33" s="448" t="str">
        <f aca="false">IF($G33=0,IF(AV$11=$H33,"◆",""),IF(AND(AV$11&gt;=$H33,AV$11&lt;=$I33),1,""))</f>
        <v/>
      </c>
      <c r="AW33" s="448" t="str">
        <f aca="false">IF($G33=0,IF(AW$11=$H33,"◆",""),IF(AND(AW$11&gt;=$H33,AW$11&lt;=$I33),1,""))</f>
        <v/>
      </c>
      <c r="AX33" s="448" t="str">
        <f aca="false">IF($G33=0,IF(AX$11=$H33,"◆",""),IF(AND(AX$11&gt;=$H33,AX$11&lt;=$I33),1,""))</f>
        <v/>
      </c>
      <c r="AY33" s="448" t="str">
        <f aca="false">IF($G33=0,IF(AY$11=$H33,"◆",""),IF(AND(AY$11&gt;=$H33,AY$11&lt;=$I33),1,""))</f>
        <v/>
      </c>
      <c r="AZ33" s="448" t="str">
        <f aca="false">IF($G33=0,IF(AZ$11=$H33,"◆",""),IF(AND(AZ$11&gt;=$H33,AZ$11&lt;=$I33),1,""))</f>
        <v/>
      </c>
      <c r="BA33" s="448" t="str">
        <f aca="false">IF($G33=0,IF(BA$11=$H33,"◆",""),IF(AND(BA$11&gt;=$H33,BA$11&lt;=$I33),1,""))</f>
        <v/>
      </c>
      <c r="BB33" s="448" t="str">
        <f aca="false">IF($G33=0,IF(BB$11=$H33,"◆",""),IF(AND(BB$11&gt;=$H33,BB$11&lt;=$I33),1,""))</f>
        <v/>
      </c>
      <c r="BC33" s="448" t="str">
        <f aca="false">IF($G33=0,IF(BC$11=$H33,"◆",""),IF(AND(BC$11&gt;=$H33,BC$11&lt;=$I33),1,""))</f>
        <v/>
      </c>
      <c r="BD33" s="448" t="str">
        <f aca="false">IF($G33=0,IF(BD$11=$H33,"◆",""),IF(AND(BD$11&gt;=$H33,BD$11&lt;=$I33),1,""))</f>
        <v/>
      </c>
      <c r="BE33" s="448" t="str">
        <f aca="false">IF($G33=0,IF(BE$11=$H33,"◆",""),IF(AND(BE$11&gt;=$H33,BE$11&lt;=$I33),1,""))</f>
        <v/>
      </c>
      <c r="BF33" s="448" t="str">
        <f aca="false">IF($G33=0,IF(BF$11=$H33,"◆",""),IF(AND(BF$11&gt;=$H33,BF$11&lt;=$I33),1,""))</f>
        <v/>
      </c>
      <c r="BG33" s="448" t="str">
        <f aca="false">IF($G33=0,IF(BG$11=$H33,"◆",""),IF(AND(BG$11&gt;=$H33,BG$11&lt;=$I33),1,""))</f>
        <v/>
      </c>
      <c r="BH33" s="448" t="str">
        <f aca="false">IF($G33=0,IF(BH$11=$H33,"◆",""),IF(AND(BH$11&gt;=$H33,BH$11&lt;=$I33),1,""))</f>
        <v/>
      </c>
      <c r="BI33" s="448" t="str">
        <f aca="false">IF($G33=0,IF(BI$11=$H33,"◆",""),IF(AND(BI$11&gt;=$H33,BI$11&lt;=$I33),1,""))</f>
        <v/>
      </c>
      <c r="BJ33" s="448" t="str">
        <f aca="false">IF($G33=0,IF(BJ$11=$H33,"◆",""),IF(AND(BJ$11&gt;=$H33,BJ$11&lt;=$I33),1,""))</f>
        <v/>
      </c>
      <c r="BK33" s="448" t="str">
        <f aca="false">IF($G33=0,IF(BK$11=$H33,"◆",""),IF(AND(BK$11&gt;=$H33,BK$11&lt;=$I33),1,""))</f>
        <v/>
      </c>
      <c r="BL33" s="448" t="str">
        <f aca="false">IF($G33=0,IF(BL$11=$H33,"◆",""),IF(AND(BL$11&gt;=$H33,BL$11&lt;=$I33),1,""))</f>
        <v/>
      </c>
      <c r="BM33" s="448" t="str">
        <f aca="false">IF($G33=0,IF(BM$11=$H33,"◆",""),IF(AND(BM$11&gt;=$H33,BM$11&lt;=$I33),1,""))</f>
        <v/>
      </c>
      <c r="BN33" s="448" t="str">
        <f aca="false">IF($G33=0,IF(BN$11=$H33,"◆",""),IF(AND(BN$11&gt;=$H33,BN$11&lt;=$I33),1,""))</f>
        <v/>
      </c>
      <c r="BO33" s="448" t="str">
        <f aca="false">IF($G33=0,IF(BO$11=$H33,"◆",""),IF(AND(BO$11&gt;=$H33,BO$11&lt;=$I33),1,""))</f>
        <v/>
      </c>
      <c r="BP33" s="448" t="str">
        <f aca="false">IF($G33=0,IF(BP$11=$H33,"◆",""),IF(AND(BP$11&gt;=$H33,BP$11&lt;=$I33),1,""))</f>
        <v/>
      </c>
      <c r="BQ33" s="448" t="str">
        <f aca="false">IF($G33=0,IF(BQ$11=$H33,"◆",""),IF(AND(BQ$11&gt;=$H33,BQ$11&lt;=$I33),1,""))</f>
        <v/>
      </c>
      <c r="BR33" s="448" t="str">
        <f aca="false">IF($G33=0,IF(BR$11=$H33,"◆",""),IF(AND(BR$11&gt;=$H33,BR$11&lt;=$I33),1,""))</f>
        <v/>
      </c>
      <c r="BS33" s="448" t="str">
        <f aca="false">IF($G33=0,IF(BS$11=$H33,"◆",""),IF(AND(BS$11&gt;=$H33,BS$11&lt;=$I33),1,""))</f>
        <v/>
      </c>
      <c r="BT33" s="448" t="str">
        <f aca="false">IF($G33=0,IF(BT$11=$H33,"◆",""),IF(AND(BT$11&gt;=$H33,BT$11&lt;=$I33),1,""))</f>
        <v/>
      </c>
      <c r="BU33" s="448" t="str">
        <f aca="false">IF($G33=0,IF(BU$11=$H33,"◆",""),IF(AND(BU$11&gt;=$H33,BU$11&lt;=$I33),1,""))</f>
        <v/>
      </c>
      <c r="BV33" s="448" t="str">
        <f aca="false">IF($G33=0,IF(BV$11=$H33,"◆",""),IF(AND(BV$11&gt;=$H33,BV$11&lt;=$I33),1,""))</f>
        <v/>
      </c>
      <c r="BW33" s="448" t="str">
        <f aca="false">IF($G33=0,IF(BW$11=$H33,"◆",""),IF(AND(BW$11&gt;=$H33,BW$11&lt;=$I33),1,""))</f>
        <v/>
      </c>
      <c r="BX33" s="448" t="str">
        <f aca="false">IF($G33=0,IF(BX$11=$H33,"◆",""),IF(AND(BX$11&gt;=$H33,BX$11&lt;=$I33),1,""))</f>
        <v/>
      </c>
      <c r="BY33" s="448" t="str">
        <f aca="false">IF($G33=0,IF(BY$11=$H33,"◆",""),IF(AND(BY$11&gt;=$H33,BY$11&lt;=$I33),1,""))</f>
        <v/>
      </c>
      <c r="BZ33" s="448" t="str">
        <f aca="false">IF($G33=0,IF(BZ$11=$H33,"◆",""),IF(AND(BZ$11&gt;=$H33,BZ$11&lt;=$I33),1,""))</f>
        <v/>
      </c>
      <c r="CA33" s="448" t="str">
        <f aca="false">IF($G33=0,IF(CA$11=$H33,"◆",""),IF(AND(CA$11&gt;=$H33,CA$11&lt;=$I33),1,""))</f>
        <v/>
      </c>
      <c r="CB33" s="448" t="str">
        <f aca="false">IF($G33=0,IF(CB$11=$H33,"◆",""),IF(AND(CB$11&gt;=$H33,CB$11&lt;=$I33),1,""))</f>
        <v/>
      </c>
      <c r="CC33" s="448" t="str">
        <f aca="false">IF($G33=0,IF(CC$11=$H33,"◆",""),IF(AND(CC$11&gt;=$H33,CC$11&lt;=$I33),1,""))</f>
        <v/>
      </c>
      <c r="CD33" s="448" t="str">
        <f aca="false">IF($G33=0,IF(CD$11=$H33,"◆",""),IF(AND(CD$11&gt;=$H33,CD$11&lt;=$I33),1,""))</f>
        <v/>
      </c>
      <c r="CE33" s="448" t="str">
        <f aca="false">IF($G33=0,IF(CE$11=$H33,"◆",""),IF(AND(CE$11&gt;=$H33,CE$11&lt;=$I33),1,""))</f>
        <v/>
      </c>
      <c r="CF33" s="448" t="str">
        <f aca="false">IF($G33=0,IF(CF$11=$H33,"◆",""),IF(AND(CF$11&gt;=$H33,CF$11&lt;=$I33),1,""))</f>
        <v/>
      </c>
      <c r="CG33" s="448" t="str">
        <f aca="false">IF($G33=0,IF(CG$11=$H33,"◆",""),IF(AND(CG$11&gt;=$H33,CG$11&lt;=$I33),1,""))</f>
        <v/>
      </c>
      <c r="CH33" s="448" t="str">
        <f aca="false">IF($G33=0,IF(CH$11=$H33,"◆",""),IF(AND(CH$11&gt;=$H33,CH$11&lt;=$I33),1,""))</f>
        <v/>
      </c>
      <c r="CI33" s="448" t="str">
        <f aca="false">IF($G33=0,IF(CI$11=$H33,"◆",""),IF(AND(CI$11&gt;=$H33,CI$11&lt;=$I33),1,""))</f>
        <v/>
      </c>
      <c r="CJ33" s="448" t="str">
        <f aca="false">IF($G33=0,IF(CJ$11=$H33,"◆",""),IF(AND(CJ$11&gt;=$H33,CJ$11&lt;=$I33),1,""))</f>
        <v/>
      </c>
      <c r="CK33" s="448" t="str">
        <f aca="false">IF($G33=0,IF(CK$11=$H33,"◆",""),IF(AND(CK$11&gt;=$H33,CK$11&lt;=$I33),1,""))</f>
        <v/>
      </c>
      <c r="CL33" s="448" t="str">
        <f aca="false">IF($G33=0,IF(CL$11=$H33,"◆",""),IF(AND(CL$11&gt;=$H33,CL$11&lt;=$I33),1,""))</f>
        <v/>
      </c>
      <c r="CM33" s="448" t="str">
        <f aca="false">IF($G33=0,IF(CM$11=$H33,"◆",""),IF(AND(CM$11&gt;=$H33,CM$11&lt;=$I33),1,""))</f>
        <v/>
      </c>
      <c r="CN33" s="448" t="str">
        <f aca="false">IF($G33=0,IF(CN$11=$H33,"◆",""),IF(AND(CN$11&gt;=$H33,CN$11&lt;=$I33),1,""))</f>
        <v/>
      </c>
      <c r="CO33" s="448" t="str">
        <f aca="false">IF($G33=0,IF(CO$11=$H33,"◆",""),IF(AND(CO$11&gt;=$H33,CO$11&lt;=$I33),1,""))</f>
        <v/>
      </c>
      <c r="CP33" s="448" t="str">
        <f aca="false">IF($G33=0,IF(CP$11=$H33,"◆",""),IF(AND(CP$11&gt;=$H33,CP$11&lt;=$I33),1,""))</f>
        <v/>
      </c>
      <c r="CQ33" s="448" t="str">
        <f aca="false">IF($G33=0,IF(CQ$11=$H33,"◆",""),IF(AND(CQ$11&gt;=$H33,CQ$11&lt;=$I33),1,""))</f>
        <v/>
      </c>
      <c r="CR33" s="448" t="str">
        <f aca="false">IF($G33=0,IF(CR$11=$H33,"◆",""),IF(AND(CR$11&gt;=$H33,CR$11&lt;=$I33),1,""))</f>
        <v/>
      </c>
      <c r="CS33" s="448" t="str">
        <f aca="false">IF($G33=0,IF(CS$11=$H33,"◆",""),IF(AND(CS$11&gt;=$H33,CS$11&lt;=$I33),1,""))</f>
        <v/>
      </c>
      <c r="CT33" s="448" t="str">
        <f aca="false">IF($G33=0,IF(CT$11=$H33,"◆",""),IF(AND(CT$11&gt;=$H33,CT$11&lt;=$I33),1,""))</f>
        <v/>
      </c>
      <c r="CU33" s="448" t="str">
        <f aca="false">IF($G33=0,IF(CU$11=$H33,"◆",""),IF(AND(CU$11&gt;=$H33,CU$11&lt;=$I33),1,""))</f>
        <v/>
      </c>
      <c r="CV33" s="448" t="str">
        <f aca="false">IF($G33=0,IF(CV$11=$H33,"◆",""),IF(AND(CV$11&gt;=$H33,CV$11&lt;=$I33),1,""))</f>
        <v/>
      </c>
      <c r="CW33" s="448" t="str">
        <f aca="false">IF($G33=0,IF(CW$11=$H33,"◆",""),IF(AND(CW$11&gt;=$H33,CW$11&lt;=$I33),1,""))</f>
        <v/>
      </c>
      <c r="CX33" s="448" t="str">
        <f aca="false">IF($G33=0,IF(CX$11=$H33,"◆",""),IF(AND(CX$11&gt;=$H33,CX$11&lt;=$I33),1,""))</f>
        <v/>
      </c>
      <c r="CY33" s="448" t="str">
        <f aca="false">IF($G33=0,IF(CY$11=$H33,"◆",""),IF(AND(CY$11&gt;=$H33,CY$11&lt;=$I33),1,""))</f>
        <v/>
      </c>
      <c r="CZ33" s="448" t="str">
        <f aca="false">IF($G33=0,IF(CZ$11=$H33,"◆",""),IF(AND(CZ$11&gt;=$H33,CZ$11&lt;=$I33),1,""))</f>
        <v/>
      </c>
      <c r="DA33" s="448" t="str">
        <f aca="false">IF($G33=0,IF(DA$11=$H33,"◆",""),IF(AND(DA$11&gt;=$H33,DA$11&lt;=$I33),1,""))</f>
        <v/>
      </c>
      <c r="DB33" s="448" t="str">
        <f aca="false">IF($G33=0,IF(DB$11=$H33,"◆",""),IF(AND(DB$11&gt;=$H33,DB$11&lt;=$I33),1,""))</f>
        <v/>
      </c>
      <c r="DC33" s="448" t="str">
        <f aca="false">IF($G33=0,IF(DC$11=$H33,"◆",""),IF(AND(DC$11&gt;=$H33,DC$11&lt;=$I33),1,""))</f>
        <v/>
      </c>
      <c r="DD33" s="448" t="str">
        <f aca="false">IF($G33=0,IF(DD$11=$H33,"◆",""),IF(AND(DD$11&gt;=$H33,DD$11&lt;=$I33),1,""))</f>
        <v/>
      </c>
      <c r="DE33" s="448" t="str">
        <f aca="false">IF($G33=0,IF(DE$11=$H33,"◆",""),IF(AND(DE$11&gt;=$H33,DE$11&lt;=$I33),1,""))</f>
        <v/>
      </c>
      <c r="DF33" s="448" t="str">
        <f aca="false">IF($G33=0,IF(DF$11=$H33,"◆",""),IF(AND(DF$11&gt;=$H33,DF$11&lt;=$I33),1,""))</f>
        <v/>
      </c>
      <c r="DG33" s="448" t="str">
        <f aca="false">IF($G33=0,IF(DG$11=$H33,"◆",""),IF(AND(DG$11&gt;=$H33,DG$11&lt;=$I33),1,""))</f>
        <v/>
      </c>
      <c r="DH33" s="448" t="str">
        <f aca="false">IF($G33=0,IF(DH$11=$H33,"◆",""),IF(AND(DH$11&gt;=$H33,DH$11&lt;=$I33),1,""))</f>
        <v/>
      </c>
      <c r="DI33" s="448" t="str">
        <f aca="false">IF($G33=0,IF(DI$11=$H33,"◆",""),IF(AND(DI$11&gt;=$H33,DI$11&lt;=$I33),1,""))</f>
        <v/>
      </c>
      <c r="DJ33" s="448" t="str">
        <f aca="false">IF($G33=0,IF(DJ$11=$H33,"◆",""),IF(AND(DJ$11&gt;=$H33,DJ$11&lt;=$I33),1,""))</f>
        <v/>
      </c>
      <c r="DK33" s="448" t="str">
        <f aca="false">IF($G33=0,IF(DK$11=$H33,"◆",""),IF(AND(DK$11&gt;=$H33,DK$11&lt;=$I33),1,""))</f>
        <v/>
      </c>
      <c r="DL33" s="448" t="str">
        <f aca="false">IF($G33=0,IF(DL$11=$H33,"◆",""),IF(AND(DL$11&gt;=$H33,DL$11&lt;=$I33),1,""))</f>
        <v/>
      </c>
      <c r="DM33" s="448" t="str">
        <f aca="false">IF($G33=0,IF(DM$11=$H33,"◆",""),IF(AND(DM$11&gt;=$H33,DM$11&lt;=$I33),1,""))</f>
        <v/>
      </c>
      <c r="DN33" s="448" t="str">
        <f aca="false">IF($G33=0,IF(DN$11=$H33,"◆",""),IF(AND(DN$11&gt;=$H33,DN$11&lt;=$I33),1,""))</f>
        <v/>
      </c>
      <c r="DO33" s="448" t="str">
        <f aca="false">IF($G33=0,IF(DO$11=$H33,"◆",""),IF(AND(DO$11&gt;=$H33,DO$11&lt;=$I33),1,""))</f>
        <v/>
      </c>
      <c r="DP33" s="448" t="str">
        <f aca="false">IF($G33=0,IF(DP$11=$H33,"◆",""),IF(AND(DP$11&gt;=$H33,DP$11&lt;=$I33),1,""))</f>
        <v/>
      </c>
      <c r="DQ33" s="448" t="str">
        <f aca="false">IF($G33=0,IF(DQ$11=$H33,"◆",""),IF(AND(DQ$11&gt;=$H33,DQ$11&lt;=$I33),1,""))</f>
        <v/>
      </c>
      <c r="DR33" s="448" t="str">
        <f aca="false">IF($G33=0,IF(DR$11=$H33,"◆",""),IF(AND(DR$11&gt;=$H33,DR$11&lt;=$I33),1,""))</f>
        <v/>
      </c>
      <c r="DS33" s="448" t="str">
        <f aca="false">IF($G33=0,IF(DS$11=$H33,"◆",""),IF(AND(DS$11&gt;=$H33,DS$11&lt;=$I33),1,""))</f>
        <v/>
      </c>
      <c r="DT33" s="448" t="str">
        <f aca="false">IF($G33=0,IF(DT$11=$H33,"◆",""),IF(AND(DT$11&gt;=$H33,DT$11&lt;=$I33),1,""))</f>
        <v/>
      </c>
      <c r="DU33" s="448" t="str">
        <f aca="false">IF($G33=0,IF(DU$11=$H33,"◆",""),IF(AND(DU$11&gt;=$H33,DU$11&lt;=$I33),1,""))</f>
        <v/>
      </c>
      <c r="DV33" s="448" t="str">
        <f aca="false">IF($G33=0,IF(DV$11=$H33,"◆",""),IF(AND(DV$11&gt;=$H33,DV$11&lt;=$I33),1,""))</f>
        <v/>
      </c>
      <c r="DW33" s="448" t="str">
        <f aca="false">IF($G33=0,IF(DW$11=$H33,"◆",""),IF(AND(DW$11&gt;=$H33,DW$11&lt;=$I33),1,""))</f>
        <v/>
      </c>
      <c r="DX33" s="448" t="str">
        <f aca="false">IF($G33=0,IF(DX$11=$H33,"◆",""),IF(AND(DX$11&gt;=$H33,DX$11&lt;=$I33),1,""))</f>
        <v/>
      </c>
      <c r="DY33" s="448" t="str">
        <f aca="false">IF($G33=0,IF(DY$11=$H33,"◆",""),IF(AND(DY$11&gt;=$H33,DY$11&lt;=$I33),1,""))</f>
        <v/>
      </c>
      <c r="DZ33" s="448" t="str">
        <f aca="false">IF($G33=0,IF(DZ$11=$H33,"◆",""),IF(AND(DZ$11&gt;=$H33,DZ$11&lt;=$I33),1,""))</f>
        <v/>
      </c>
      <c r="EA33" s="448" t="str">
        <f aca="false">IF($G33=0,IF(EA$11=$H33,"◆",""),IF(AND(EA$11&gt;=$H33,EA$11&lt;=$I33),1,""))</f>
        <v/>
      </c>
      <c r="EB33" s="448" t="str">
        <f aca="false">IF($G33=0,IF(EB$11=$H33,"◆",""),IF(AND(EB$11&gt;=$H33,EB$11&lt;=$I33),1,""))</f>
        <v/>
      </c>
      <c r="EC33" s="448" t="str">
        <f aca="false">IF($G33=0,IF(EC$11=$H33,"◆",""),IF(AND(EC$11&gt;=$H33,EC$11&lt;=$I33),1,""))</f>
        <v/>
      </c>
      <c r="ED33" s="448" t="str">
        <f aca="false">IF($G33=0,IF(ED$11=$H33,"◆",""),IF(AND(ED$11&gt;=$H33,ED$11&lt;=$I33),1,""))</f>
        <v/>
      </c>
    </row>
    <row r="34" customFormat="false" ht="15" hidden="false" customHeight="true" outlineLevel="0" collapsed="false">
      <c r="A34" s="441" t="s">
        <v>2483</v>
      </c>
      <c r="B34" s="297" t="s">
        <v>2484</v>
      </c>
      <c r="C34" s="442" t="s">
        <v>2480</v>
      </c>
      <c r="D34" s="443" t="s">
        <v>2436</v>
      </c>
      <c r="E34" s="354" t="n">
        <f aca="false">1</f>
        <v>1</v>
      </c>
      <c r="F34" s="352" t="n">
        <v>10</v>
      </c>
      <c r="G34" s="352" t="n">
        <v>6</v>
      </c>
      <c r="H34" s="367" t="n">
        <f aca="false">MAX(1,ROUND(($E34-1)*$D$5,0)+1+$F34)</f>
        <v>11</v>
      </c>
      <c r="I34" s="367" t="n">
        <f aca="false">MAX($H34,$H34+$G34-1)</f>
        <v>16</v>
      </c>
      <c r="J34" s="444" t="n">
        <f aca="false">$D$4+($H34-1)*7</f>
        <v>46370</v>
      </c>
      <c r="K34" s="444" t="n">
        <f aca="false">$D$4+$I34*7-1</f>
        <v>46411</v>
      </c>
      <c r="L34" s="445" t="n">
        <f aca="false">ROUNDUP($H34/$D$5,0)</f>
        <v>3</v>
      </c>
      <c r="M34" s="446"/>
      <c r="N34" s="447" t="n">
        <v>0</v>
      </c>
      <c r="O34" s="448" t="str">
        <f aca="false">IF($G34=0,IF(O$11=$H34,"◆",""),IF(AND(O$11&gt;=$H34,O$11&lt;=$I34),1,""))</f>
        <v/>
      </c>
      <c r="P34" s="448" t="str">
        <f aca="false">IF($G34=0,IF(P$11=$H34,"◆",""),IF(AND(P$11&gt;=$H34,P$11&lt;=$I34),1,""))</f>
        <v/>
      </c>
      <c r="Q34" s="448" t="str">
        <f aca="false">IF($G34=0,IF(Q$11=$H34,"◆",""),IF(AND(Q$11&gt;=$H34,Q$11&lt;=$I34),1,""))</f>
        <v/>
      </c>
      <c r="R34" s="448" t="str">
        <f aca="false">IF($G34=0,IF(R$11=$H34,"◆",""),IF(AND(R$11&gt;=$H34,R$11&lt;=$I34),1,""))</f>
        <v/>
      </c>
      <c r="S34" s="448" t="str">
        <f aca="false">IF($G34=0,IF(S$11=$H34,"◆",""),IF(AND(S$11&gt;=$H34,S$11&lt;=$I34),1,""))</f>
        <v/>
      </c>
      <c r="T34" s="448" t="str">
        <f aca="false">IF($G34=0,IF(T$11=$H34,"◆",""),IF(AND(T$11&gt;=$H34,T$11&lt;=$I34),1,""))</f>
        <v/>
      </c>
      <c r="U34" s="448" t="str">
        <f aca="false">IF($G34=0,IF(U$11=$H34,"◆",""),IF(AND(U$11&gt;=$H34,U$11&lt;=$I34),1,""))</f>
        <v/>
      </c>
      <c r="V34" s="448" t="str">
        <f aca="false">IF($G34=0,IF(V$11=$H34,"◆",""),IF(AND(V$11&gt;=$H34,V$11&lt;=$I34),1,""))</f>
        <v/>
      </c>
      <c r="W34" s="448" t="str">
        <f aca="false">IF($G34=0,IF(W$11=$H34,"◆",""),IF(AND(W$11&gt;=$H34,W$11&lt;=$I34),1,""))</f>
        <v/>
      </c>
      <c r="X34" s="448" t="str">
        <f aca="false">IF($G34=0,IF(X$11=$H34,"◆",""),IF(AND(X$11&gt;=$H34,X$11&lt;=$I34),1,""))</f>
        <v/>
      </c>
      <c r="Y34" s="448" t="n">
        <f aca="false">IF($G34=0,IF(Y$11=$H34,"◆",""),IF(AND(Y$11&gt;=$H34,Y$11&lt;=$I34),1,""))</f>
        <v>1</v>
      </c>
      <c r="Z34" s="448" t="n">
        <f aca="false">IF($G34=0,IF(Z$11=$H34,"◆",""),IF(AND(Z$11&gt;=$H34,Z$11&lt;=$I34),1,""))</f>
        <v>1</v>
      </c>
      <c r="AA34" s="448" t="n">
        <f aca="false">IF($G34=0,IF(AA$11=$H34,"◆",""),IF(AND(AA$11&gt;=$H34,AA$11&lt;=$I34),1,""))</f>
        <v>1</v>
      </c>
      <c r="AB34" s="448" t="n">
        <f aca="false">IF($G34=0,IF(AB$11=$H34,"◆",""),IF(AND(AB$11&gt;=$H34,AB$11&lt;=$I34),1,""))</f>
        <v>1</v>
      </c>
      <c r="AC34" s="448" t="n">
        <f aca="false">IF($G34=0,IF(AC$11=$H34,"◆",""),IF(AND(AC$11&gt;=$H34,AC$11&lt;=$I34),1,""))</f>
        <v>1</v>
      </c>
      <c r="AD34" s="448" t="n">
        <f aca="false">IF($G34=0,IF(AD$11=$H34,"◆",""),IF(AND(AD$11&gt;=$H34,AD$11&lt;=$I34),1,""))</f>
        <v>1</v>
      </c>
      <c r="AE34" s="448" t="str">
        <f aca="false">IF($G34=0,IF(AE$11=$H34,"◆",""),IF(AND(AE$11&gt;=$H34,AE$11&lt;=$I34),1,""))</f>
        <v/>
      </c>
      <c r="AF34" s="448" t="str">
        <f aca="false">IF($G34=0,IF(AF$11=$H34,"◆",""),IF(AND(AF$11&gt;=$H34,AF$11&lt;=$I34),1,""))</f>
        <v/>
      </c>
      <c r="AG34" s="448" t="str">
        <f aca="false">IF($G34=0,IF(AG$11=$H34,"◆",""),IF(AND(AG$11&gt;=$H34,AG$11&lt;=$I34),1,""))</f>
        <v/>
      </c>
      <c r="AH34" s="448" t="str">
        <f aca="false">IF($G34=0,IF(AH$11=$H34,"◆",""),IF(AND(AH$11&gt;=$H34,AH$11&lt;=$I34),1,""))</f>
        <v/>
      </c>
      <c r="AI34" s="448" t="str">
        <f aca="false">IF($G34=0,IF(AI$11=$H34,"◆",""),IF(AND(AI$11&gt;=$H34,AI$11&lt;=$I34),1,""))</f>
        <v/>
      </c>
      <c r="AJ34" s="448" t="str">
        <f aca="false">IF($G34=0,IF(AJ$11=$H34,"◆",""),IF(AND(AJ$11&gt;=$H34,AJ$11&lt;=$I34),1,""))</f>
        <v/>
      </c>
      <c r="AK34" s="448" t="str">
        <f aca="false">IF($G34=0,IF(AK$11=$H34,"◆",""),IF(AND(AK$11&gt;=$H34,AK$11&lt;=$I34),1,""))</f>
        <v/>
      </c>
      <c r="AL34" s="448" t="str">
        <f aca="false">IF($G34=0,IF(AL$11=$H34,"◆",""),IF(AND(AL$11&gt;=$H34,AL$11&lt;=$I34),1,""))</f>
        <v/>
      </c>
      <c r="AM34" s="448" t="str">
        <f aca="false">IF($G34=0,IF(AM$11=$H34,"◆",""),IF(AND(AM$11&gt;=$H34,AM$11&lt;=$I34),1,""))</f>
        <v/>
      </c>
      <c r="AN34" s="448" t="str">
        <f aca="false">IF($G34=0,IF(AN$11=$H34,"◆",""),IF(AND(AN$11&gt;=$H34,AN$11&lt;=$I34),1,""))</f>
        <v/>
      </c>
      <c r="AO34" s="448" t="str">
        <f aca="false">IF($G34=0,IF(AO$11=$H34,"◆",""),IF(AND(AO$11&gt;=$H34,AO$11&lt;=$I34),1,""))</f>
        <v/>
      </c>
      <c r="AP34" s="448" t="str">
        <f aca="false">IF($G34=0,IF(AP$11=$H34,"◆",""),IF(AND(AP$11&gt;=$H34,AP$11&lt;=$I34),1,""))</f>
        <v/>
      </c>
      <c r="AQ34" s="448" t="str">
        <f aca="false">IF($G34=0,IF(AQ$11=$H34,"◆",""),IF(AND(AQ$11&gt;=$H34,AQ$11&lt;=$I34),1,""))</f>
        <v/>
      </c>
      <c r="AR34" s="448" t="str">
        <f aca="false">IF($G34=0,IF(AR$11=$H34,"◆",""),IF(AND(AR$11&gt;=$H34,AR$11&lt;=$I34),1,""))</f>
        <v/>
      </c>
      <c r="AS34" s="448" t="str">
        <f aca="false">IF($G34=0,IF(AS$11=$H34,"◆",""),IF(AND(AS$11&gt;=$H34,AS$11&lt;=$I34),1,""))</f>
        <v/>
      </c>
      <c r="AT34" s="448" t="str">
        <f aca="false">IF($G34=0,IF(AT$11=$H34,"◆",""),IF(AND(AT$11&gt;=$H34,AT$11&lt;=$I34),1,""))</f>
        <v/>
      </c>
      <c r="AU34" s="448" t="str">
        <f aca="false">IF($G34=0,IF(AU$11=$H34,"◆",""),IF(AND(AU$11&gt;=$H34,AU$11&lt;=$I34),1,""))</f>
        <v/>
      </c>
      <c r="AV34" s="448" t="str">
        <f aca="false">IF($G34=0,IF(AV$11=$H34,"◆",""),IF(AND(AV$11&gt;=$H34,AV$11&lt;=$I34),1,""))</f>
        <v/>
      </c>
      <c r="AW34" s="448" t="str">
        <f aca="false">IF($G34=0,IF(AW$11=$H34,"◆",""),IF(AND(AW$11&gt;=$H34,AW$11&lt;=$I34),1,""))</f>
        <v/>
      </c>
      <c r="AX34" s="448" t="str">
        <f aca="false">IF($G34=0,IF(AX$11=$H34,"◆",""),IF(AND(AX$11&gt;=$H34,AX$11&lt;=$I34),1,""))</f>
        <v/>
      </c>
      <c r="AY34" s="448" t="str">
        <f aca="false">IF($G34=0,IF(AY$11=$H34,"◆",""),IF(AND(AY$11&gt;=$H34,AY$11&lt;=$I34),1,""))</f>
        <v/>
      </c>
      <c r="AZ34" s="448" t="str">
        <f aca="false">IF($G34=0,IF(AZ$11=$H34,"◆",""),IF(AND(AZ$11&gt;=$H34,AZ$11&lt;=$I34),1,""))</f>
        <v/>
      </c>
      <c r="BA34" s="448" t="str">
        <f aca="false">IF($G34=0,IF(BA$11=$H34,"◆",""),IF(AND(BA$11&gt;=$H34,BA$11&lt;=$I34),1,""))</f>
        <v/>
      </c>
      <c r="BB34" s="448" t="str">
        <f aca="false">IF($G34=0,IF(BB$11=$H34,"◆",""),IF(AND(BB$11&gt;=$H34,BB$11&lt;=$I34),1,""))</f>
        <v/>
      </c>
      <c r="BC34" s="448" t="str">
        <f aca="false">IF($G34=0,IF(BC$11=$H34,"◆",""),IF(AND(BC$11&gt;=$H34,BC$11&lt;=$I34),1,""))</f>
        <v/>
      </c>
      <c r="BD34" s="448" t="str">
        <f aca="false">IF($G34=0,IF(BD$11=$H34,"◆",""),IF(AND(BD$11&gt;=$H34,BD$11&lt;=$I34),1,""))</f>
        <v/>
      </c>
      <c r="BE34" s="448" t="str">
        <f aca="false">IF($G34=0,IF(BE$11=$H34,"◆",""),IF(AND(BE$11&gt;=$H34,BE$11&lt;=$I34),1,""))</f>
        <v/>
      </c>
      <c r="BF34" s="448" t="str">
        <f aca="false">IF($G34=0,IF(BF$11=$H34,"◆",""),IF(AND(BF$11&gt;=$H34,BF$11&lt;=$I34),1,""))</f>
        <v/>
      </c>
      <c r="BG34" s="448" t="str">
        <f aca="false">IF($G34=0,IF(BG$11=$H34,"◆",""),IF(AND(BG$11&gt;=$H34,BG$11&lt;=$I34),1,""))</f>
        <v/>
      </c>
      <c r="BH34" s="448" t="str">
        <f aca="false">IF($G34=0,IF(BH$11=$H34,"◆",""),IF(AND(BH$11&gt;=$H34,BH$11&lt;=$I34),1,""))</f>
        <v/>
      </c>
      <c r="BI34" s="448" t="str">
        <f aca="false">IF($G34=0,IF(BI$11=$H34,"◆",""),IF(AND(BI$11&gt;=$H34,BI$11&lt;=$I34),1,""))</f>
        <v/>
      </c>
      <c r="BJ34" s="448" t="str">
        <f aca="false">IF($G34=0,IF(BJ$11=$H34,"◆",""),IF(AND(BJ$11&gt;=$H34,BJ$11&lt;=$I34),1,""))</f>
        <v/>
      </c>
      <c r="BK34" s="448" t="str">
        <f aca="false">IF($G34=0,IF(BK$11=$H34,"◆",""),IF(AND(BK$11&gt;=$H34,BK$11&lt;=$I34),1,""))</f>
        <v/>
      </c>
      <c r="BL34" s="448" t="str">
        <f aca="false">IF($G34=0,IF(BL$11=$H34,"◆",""),IF(AND(BL$11&gt;=$H34,BL$11&lt;=$I34),1,""))</f>
        <v/>
      </c>
      <c r="BM34" s="448" t="str">
        <f aca="false">IF($G34=0,IF(BM$11=$H34,"◆",""),IF(AND(BM$11&gt;=$H34,BM$11&lt;=$I34),1,""))</f>
        <v/>
      </c>
      <c r="BN34" s="448" t="str">
        <f aca="false">IF($G34=0,IF(BN$11=$H34,"◆",""),IF(AND(BN$11&gt;=$H34,BN$11&lt;=$I34),1,""))</f>
        <v/>
      </c>
      <c r="BO34" s="448" t="str">
        <f aca="false">IF($G34=0,IF(BO$11=$H34,"◆",""),IF(AND(BO$11&gt;=$H34,BO$11&lt;=$I34),1,""))</f>
        <v/>
      </c>
      <c r="BP34" s="448" t="str">
        <f aca="false">IF($G34=0,IF(BP$11=$H34,"◆",""),IF(AND(BP$11&gt;=$H34,BP$11&lt;=$I34),1,""))</f>
        <v/>
      </c>
      <c r="BQ34" s="448" t="str">
        <f aca="false">IF($G34=0,IF(BQ$11=$H34,"◆",""),IF(AND(BQ$11&gt;=$H34,BQ$11&lt;=$I34),1,""))</f>
        <v/>
      </c>
      <c r="BR34" s="448" t="str">
        <f aca="false">IF($G34=0,IF(BR$11=$H34,"◆",""),IF(AND(BR$11&gt;=$H34,BR$11&lt;=$I34),1,""))</f>
        <v/>
      </c>
      <c r="BS34" s="448" t="str">
        <f aca="false">IF($G34=0,IF(BS$11=$H34,"◆",""),IF(AND(BS$11&gt;=$H34,BS$11&lt;=$I34),1,""))</f>
        <v/>
      </c>
      <c r="BT34" s="448" t="str">
        <f aca="false">IF($G34=0,IF(BT$11=$H34,"◆",""),IF(AND(BT$11&gt;=$H34,BT$11&lt;=$I34),1,""))</f>
        <v/>
      </c>
      <c r="BU34" s="448" t="str">
        <f aca="false">IF($G34=0,IF(BU$11=$H34,"◆",""),IF(AND(BU$11&gt;=$H34,BU$11&lt;=$I34),1,""))</f>
        <v/>
      </c>
      <c r="BV34" s="448" t="str">
        <f aca="false">IF($G34=0,IF(BV$11=$H34,"◆",""),IF(AND(BV$11&gt;=$H34,BV$11&lt;=$I34),1,""))</f>
        <v/>
      </c>
      <c r="BW34" s="448" t="str">
        <f aca="false">IF($G34=0,IF(BW$11=$H34,"◆",""),IF(AND(BW$11&gt;=$H34,BW$11&lt;=$I34),1,""))</f>
        <v/>
      </c>
      <c r="BX34" s="448" t="str">
        <f aca="false">IF($G34=0,IF(BX$11=$H34,"◆",""),IF(AND(BX$11&gt;=$H34,BX$11&lt;=$I34),1,""))</f>
        <v/>
      </c>
      <c r="BY34" s="448" t="str">
        <f aca="false">IF($G34=0,IF(BY$11=$H34,"◆",""),IF(AND(BY$11&gt;=$H34,BY$11&lt;=$I34),1,""))</f>
        <v/>
      </c>
      <c r="BZ34" s="448" t="str">
        <f aca="false">IF($G34=0,IF(BZ$11=$H34,"◆",""),IF(AND(BZ$11&gt;=$H34,BZ$11&lt;=$I34),1,""))</f>
        <v/>
      </c>
      <c r="CA34" s="448" t="str">
        <f aca="false">IF($G34=0,IF(CA$11=$H34,"◆",""),IF(AND(CA$11&gt;=$H34,CA$11&lt;=$I34),1,""))</f>
        <v/>
      </c>
      <c r="CB34" s="448" t="str">
        <f aca="false">IF($G34=0,IF(CB$11=$H34,"◆",""),IF(AND(CB$11&gt;=$H34,CB$11&lt;=$I34),1,""))</f>
        <v/>
      </c>
      <c r="CC34" s="448" t="str">
        <f aca="false">IF($G34=0,IF(CC$11=$H34,"◆",""),IF(AND(CC$11&gt;=$H34,CC$11&lt;=$I34),1,""))</f>
        <v/>
      </c>
      <c r="CD34" s="448" t="str">
        <f aca="false">IF($G34=0,IF(CD$11=$H34,"◆",""),IF(AND(CD$11&gt;=$H34,CD$11&lt;=$I34),1,""))</f>
        <v/>
      </c>
      <c r="CE34" s="448" t="str">
        <f aca="false">IF($G34=0,IF(CE$11=$H34,"◆",""),IF(AND(CE$11&gt;=$H34,CE$11&lt;=$I34),1,""))</f>
        <v/>
      </c>
      <c r="CF34" s="448" t="str">
        <f aca="false">IF($G34=0,IF(CF$11=$H34,"◆",""),IF(AND(CF$11&gt;=$H34,CF$11&lt;=$I34),1,""))</f>
        <v/>
      </c>
      <c r="CG34" s="448" t="str">
        <f aca="false">IF($G34=0,IF(CG$11=$H34,"◆",""),IF(AND(CG$11&gt;=$H34,CG$11&lt;=$I34),1,""))</f>
        <v/>
      </c>
      <c r="CH34" s="448" t="str">
        <f aca="false">IF($G34=0,IF(CH$11=$H34,"◆",""),IF(AND(CH$11&gt;=$H34,CH$11&lt;=$I34),1,""))</f>
        <v/>
      </c>
      <c r="CI34" s="448" t="str">
        <f aca="false">IF($G34=0,IF(CI$11=$H34,"◆",""),IF(AND(CI$11&gt;=$H34,CI$11&lt;=$I34),1,""))</f>
        <v/>
      </c>
      <c r="CJ34" s="448" t="str">
        <f aca="false">IF($G34=0,IF(CJ$11=$H34,"◆",""),IF(AND(CJ$11&gt;=$H34,CJ$11&lt;=$I34),1,""))</f>
        <v/>
      </c>
      <c r="CK34" s="448" t="str">
        <f aca="false">IF($G34=0,IF(CK$11=$H34,"◆",""),IF(AND(CK$11&gt;=$H34,CK$11&lt;=$I34),1,""))</f>
        <v/>
      </c>
      <c r="CL34" s="448" t="str">
        <f aca="false">IF($G34=0,IF(CL$11=$H34,"◆",""),IF(AND(CL$11&gt;=$H34,CL$11&lt;=$I34),1,""))</f>
        <v/>
      </c>
      <c r="CM34" s="448" t="str">
        <f aca="false">IF($G34=0,IF(CM$11=$H34,"◆",""),IF(AND(CM$11&gt;=$H34,CM$11&lt;=$I34),1,""))</f>
        <v/>
      </c>
      <c r="CN34" s="448" t="str">
        <f aca="false">IF($G34=0,IF(CN$11=$H34,"◆",""),IF(AND(CN$11&gt;=$H34,CN$11&lt;=$I34),1,""))</f>
        <v/>
      </c>
      <c r="CO34" s="448" t="str">
        <f aca="false">IF($G34=0,IF(CO$11=$H34,"◆",""),IF(AND(CO$11&gt;=$H34,CO$11&lt;=$I34),1,""))</f>
        <v/>
      </c>
      <c r="CP34" s="448" t="str">
        <f aca="false">IF($G34=0,IF(CP$11=$H34,"◆",""),IF(AND(CP$11&gt;=$H34,CP$11&lt;=$I34),1,""))</f>
        <v/>
      </c>
      <c r="CQ34" s="448" t="str">
        <f aca="false">IF($G34=0,IF(CQ$11=$H34,"◆",""),IF(AND(CQ$11&gt;=$H34,CQ$11&lt;=$I34),1,""))</f>
        <v/>
      </c>
      <c r="CR34" s="448" t="str">
        <f aca="false">IF($G34=0,IF(CR$11=$H34,"◆",""),IF(AND(CR$11&gt;=$H34,CR$11&lt;=$I34),1,""))</f>
        <v/>
      </c>
      <c r="CS34" s="448" t="str">
        <f aca="false">IF($G34=0,IF(CS$11=$H34,"◆",""),IF(AND(CS$11&gt;=$H34,CS$11&lt;=$I34),1,""))</f>
        <v/>
      </c>
      <c r="CT34" s="448" t="str">
        <f aca="false">IF($G34=0,IF(CT$11=$H34,"◆",""),IF(AND(CT$11&gt;=$H34,CT$11&lt;=$I34),1,""))</f>
        <v/>
      </c>
      <c r="CU34" s="448" t="str">
        <f aca="false">IF($G34=0,IF(CU$11=$H34,"◆",""),IF(AND(CU$11&gt;=$H34,CU$11&lt;=$I34),1,""))</f>
        <v/>
      </c>
      <c r="CV34" s="448" t="str">
        <f aca="false">IF($G34=0,IF(CV$11=$H34,"◆",""),IF(AND(CV$11&gt;=$H34,CV$11&lt;=$I34),1,""))</f>
        <v/>
      </c>
      <c r="CW34" s="448" t="str">
        <f aca="false">IF($G34=0,IF(CW$11=$H34,"◆",""),IF(AND(CW$11&gt;=$H34,CW$11&lt;=$I34),1,""))</f>
        <v/>
      </c>
      <c r="CX34" s="448" t="str">
        <f aca="false">IF($G34=0,IF(CX$11=$H34,"◆",""),IF(AND(CX$11&gt;=$H34,CX$11&lt;=$I34),1,""))</f>
        <v/>
      </c>
      <c r="CY34" s="448" t="str">
        <f aca="false">IF($G34=0,IF(CY$11=$H34,"◆",""),IF(AND(CY$11&gt;=$H34,CY$11&lt;=$I34),1,""))</f>
        <v/>
      </c>
      <c r="CZ34" s="448" t="str">
        <f aca="false">IF($G34=0,IF(CZ$11=$H34,"◆",""),IF(AND(CZ$11&gt;=$H34,CZ$11&lt;=$I34),1,""))</f>
        <v/>
      </c>
      <c r="DA34" s="448" t="str">
        <f aca="false">IF($G34=0,IF(DA$11=$H34,"◆",""),IF(AND(DA$11&gt;=$H34,DA$11&lt;=$I34),1,""))</f>
        <v/>
      </c>
      <c r="DB34" s="448" t="str">
        <f aca="false">IF($G34=0,IF(DB$11=$H34,"◆",""),IF(AND(DB$11&gt;=$H34,DB$11&lt;=$I34),1,""))</f>
        <v/>
      </c>
      <c r="DC34" s="448" t="str">
        <f aca="false">IF($G34=0,IF(DC$11=$H34,"◆",""),IF(AND(DC$11&gt;=$H34,DC$11&lt;=$I34),1,""))</f>
        <v/>
      </c>
      <c r="DD34" s="448" t="str">
        <f aca="false">IF($G34=0,IF(DD$11=$H34,"◆",""),IF(AND(DD$11&gt;=$H34,DD$11&lt;=$I34),1,""))</f>
        <v/>
      </c>
      <c r="DE34" s="448" t="str">
        <f aca="false">IF($G34=0,IF(DE$11=$H34,"◆",""),IF(AND(DE$11&gt;=$H34,DE$11&lt;=$I34),1,""))</f>
        <v/>
      </c>
      <c r="DF34" s="448" t="str">
        <f aca="false">IF($G34=0,IF(DF$11=$H34,"◆",""),IF(AND(DF$11&gt;=$H34,DF$11&lt;=$I34),1,""))</f>
        <v/>
      </c>
      <c r="DG34" s="448" t="str">
        <f aca="false">IF($G34=0,IF(DG$11=$H34,"◆",""),IF(AND(DG$11&gt;=$H34,DG$11&lt;=$I34),1,""))</f>
        <v/>
      </c>
      <c r="DH34" s="448" t="str">
        <f aca="false">IF($G34=0,IF(DH$11=$H34,"◆",""),IF(AND(DH$11&gt;=$H34,DH$11&lt;=$I34),1,""))</f>
        <v/>
      </c>
      <c r="DI34" s="448" t="str">
        <f aca="false">IF($G34=0,IF(DI$11=$H34,"◆",""),IF(AND(DI$11&gt;=$H34,DI$11&lt;=$I34),1,""))</f>
        <v/>
      </c>
      <c r="DJ34" s="448" t="str">
        <f aca="false">IF($G34=0,IF(DJ$11=$H34,"◆",""),IF(AND(DJ$11&gt;=$H34,DJ$11&lt;=$I34),1,""))</f>
        <v/>
      </c>
      <c r="DK34" s="448" t="str">
        <f aca="false">IF($G34=0,IF(DK$11=$H34,"◆",""),IF(AND(DK$11&gt;=$H34,DK$11&lt;=$I34),1,""))</f>
        <v/>
      </c>
      <c r="DL34" s="448" t="str">
        <f aca="false">IF($G34=0,IF(DL$11=$H34,"◆",""),IF(AND(DL$11&gt;=$H34,DL$11&lt;=$I34),1,""))</f>
        <v/>
      </c>
      <c r="DM34" s="448" t="str">
        <f aca="false">IF($G34=0,IF(DM$11=$H34,"◆",""),IF(AND(DM$11&gt;=$H34,DM$11&lt;=$I34),1,""))</f>
        <v/>
      </c>
      <c r="DN34" s="448" t="str">
        <f aca="false">IF($G34=0,IF(DN$11=$H34,"◆",""),IF(AND(DN$11&gt;=$H34,DN$11&lt;=$I34),1,""))</f>
        <v/>
      </c>
      <c r="DO34" s="448" t="str">
        <f aca="false">IF($G34=0,IF(DO$11=$H34,"◆",""),IF(AND(DO$11&gt;=$H34,DO$11&lt;=$I34),1,""))</f>
        <v/>
      </c>
      <c r="DP34" s="448" t="str">
        <f aca="false">IF($G34=0,IF(DP$11=$H34,"◆",""),IF(AND(DP$11&gt;=$H34,DP$11&lt;=$I34),1,""))</f>
        <v/>
      </c>
      <c r="DQ34" s="448" t="str">
        <f aca="false">IF($G34=0,IF(DQ$11=$H34,"◆",""),IF(AND(DQ$11&gt;=$H34,DQ$11&lt;=$I34),1,""))</f>
        <v/>
      </c>
      <c r="DR34" s="448" t="str">
        <f aca="false">IF($G34=0,IF(DR$11=$H34,"◆",""),IF(AND(DR$11&gt;=$H34,DR$11&lt;=$I34),1,""))</f>
        <v/>
      </c>
      <c r="DS34" s="448" t="str">
        <f aca="false">IF($G34=0,IF(DS$11=$H34,"◆",""),IF(AND(DS$11&gt;=$H34,DS$11&lt;=$I34),1,""))</f>
        <v/>
      </c>
      <c r="DT34" s="448" t="str">
        <f aca="false">IF($G34=0,IF(DT$11=$H34,"◆",""),IF(AND(DT$11&gt;=$H34,DT$11&lt;=$I34),1,""))</f>
        <v/>
      </c>
      <c r="DU34" s="448" t="str">
        <f aca="false">IF($G34=0,IF(DU$11=$H34,"◆",""),IF(AND(DU$11&gt;=$H34,DU$11&lt;=$I34),1,""))</f>
        <v/>
      </c>
      <c r="DV34" s="448" t="str">
        <f aca="false">IF($G34=0,IF(DV$11=$H34,"◆",""),IF(AND(DV$11&gt;=$H34,DV$11&lt;=$I34),1,""))</f>
        <v/>
      </c>
      <c r="DW34" s="448" t="str">
        <f aca="false">IF($G34=0,IF(DW$11=$H34,"◆",""),IF(AND(DW$11&gt;=$H34,DW$11&lt;=$I34),1,""))</f>
        <v/>
      </c>
      <c r="DX34" s="448" t="str">
        <f aca="false">IF($G34=0,IF(DX$11=$H34,"◆",""),IF(AND(DX$11&gt;=$H34,DX$11&lt;=$I34),1,""))</f>
        <v/>
      </c>
      <c r="DY34" s="448" t="str">
        <f aca="false">IF($G34=0,IF(DY$11=$H34,"◆",""),IF(AND(DY$11&gt;=$H34,DY$11&lt;=$I34),1,""))</f>
        <v/>
      </c>
      <c r="DZ34" s="448" t="str">
        <f aca="false">IF($G34=0,IF(DZ$11=$H34,"◆",""),IF(AND(DZ$11&gt;=$H34,DZ$11&lt;=$I34),1,""))</f>
        <v/>
      </c>
      <c r="EA34" s="448" t="str">
        <f aca="false">IF($G34=0,IF(EA$11=$H34,"◆",""),IF(AND(EA$11&gt;=$H34,EA$11&lt;=$I34),1,""))</f>
        <v/>
      </c>
      <c r="EB34" s="448" t="str">
        <f aca="false">IF($G34=0,IF(EB$11=$H34,"◆",""),IF(AND(EB$11&gt;=$H34,EB$11&lt;=$I34),1,""))</f>
        <v/>
      </c>
      <c r="EC34" s="448" t="str">
        <f aca="false">IF($G34=0,IF(EC$11=$H34,"◆",""),IF(AND(EC$11&gt;=$H34,EC$11&lt;=$I34),1,""))</f>
        <v/>
      </c>
      <c r="ED34" s="448" t="str">
        <f aca="false">IF($G34=0,IF(ED$11=$H34,"◆",""),IF(AND(ED$11&gt;=$H34,ED$11&lt;=$I34),1,""))</f>
        <v/>
      </c>
    </row>
    <row r="35" customFormat="false" ht="15" hidden="false" customHeight="true" outlineLevel="0" collapsed="false">
      <c r="A35" s="441" t="s">
        <v>2485</v>
      </c>
      <c r="B35" s="297" t="s">
        <v>2486</v>
      </c>
      <c r="C35" s="442" t="s">
        <v>2487</v>
      </c>
      <c r="D35" s="443" t="s">
        <v>2436</v>
      </c>
      <c r="E35" s="354" t="n">
        <f aca="false">1</f>
        <v>1</v>
      </c>
      <c r="F35" s="352" t="n">
        <v>12</v>
      </c>
      <c r="G35" s="352" t="n">
        <v>8</v>
      </c>
      <c r="H35" s="367" t="n">
        <f aca="false">MAX(1,ROUND(($E35-1)*$D$5,0)+1+$F35)</f>
        <v>13</v>
      </c>
      <c r="I35" s="367" t="n">
        <f aca="false">MAX($H35,$H35+$G35-1)</f>
        <v>20</v>
      </c>
      <c r="J35" s="444" t="n">
        <f aca="false">$D$4+($H35-1)*7</f>
        <v>46384</v>
      </c>
      <c r="K35" s="444" t="n">
        <f aca="false">$D$4+$I35*7-1</f>
        <v>46439</v>
      </c>
      <c r="L35" s="445" t="n">
        <f aca="false">ROUNDUP($H35/$D$5,0)</f>
        <v>3</v>
      </c>
      <c r="M35" s="446"/>
      <c r="N35" s="447" t="n">
        <v>0</v>
      </c>
      <c r="O35" s="448" t="str">
        <f aca="false">IF($G35=0,IF(O$11=$H35,"◆",""),IF(AND(O$11&gt;=$H35,O$11&lt;=$I35),1,""))</f>
        <v/>
      </c>
      <c r="P35" s="448" t="str">
        <f aca="false">IF($G35=0,IF(P$11=$H35,"◆",""),IF(AND(P$11&gt;=$H35,P$11&lt;=$I35),1,""))</f>
        <v/>
      </c>
      <c r="Q35" s="448" t="str">
        <f aca="false">IF($G35=0,IF(Q$11=$H35,"◆",""),IF(AND(Q$11&gt;=$H35,Q$11&lt;=$I35),1,""))</f>
        <v/>
      </c>
      <c r="R35" s="448" t="str">
        <f aca="false">IF($G35=0,IF(R$11=$H35,"◆",""),IF(AND(R$11&gt;=$H35,R$11&lt;=$I35),1,""))</f>
        <v/>
      </c>
      <c r="S35" s="448" t="str">
        <f aca="false">IF($G35=0,IF(S$11=$H35,"◆",""),IF(AND(S$11&gt;=$H35,S$11&lt;=$I35),1,""))</f>
        <v/>
      </c>
      <c r="T35" s="448" t="str">
        <f aca="false">IF($G35=0,IF(T$11=$H35,"◆",""),IF(AND(T$11&gt;=$H35,T$11&lt;=$I35),1,""))</f>
        <v/>
      </c>
      <c r="U35" s="448" t="str">
        <f aca="false">IF($G35=0,IF(U$11=$H35,"◆",""),IF(AND(U$11&gt;=$H35,U$11&lt;=$I35),1,""))</f>
        <v/>
      </c>
      <c r="V35" s="448" t="str">
        <f aca="false">IF($G35=0,IF(V$11=$H35,"◆",""),IF(AND(V$11&gt;=$H35,V$11&lt;=$I35),1,""))</f>
        <v/>
      </c>
      <c r="W35" s="448" t="str">
        <f aca="false">IF($G35=0,IF(W$11=$H35,"◆",""),IF(AND(W$11&gt;=$H35,W$11&lt;=$I35),1,""))</f>
        <v/>
      </c>
      <c r="X35" s="448" t="str">
        <f aca="false">IF($G35=0,IF(X$11=$H35,"◆",""),IF(AND(X$11&gt;=$H35,X$11&lt;=$I35),1,""))</f>
        <v/>
      </c>
      <c r="Y35" s="448" t="str">
        <f aca="false">IF($G35=0,IF(Y$11=$H35,"◆",""),IF(AND(Y$11&gt;=$H35,Y$11&lt;=$I35),1,""))</f>
        <v/>
      </c>
      <c r="Z35" s="448" t="str">
        <f aca="false">IF($G35=0,IF(Z$11=$H35,"◆",""),IF(AND(Z$11&gt;=$H35,Z$11&lt;=$I35),1,""))</f>
        <v/>
      </c>
      <c r="AA35" s="448" t="n">
        <f aca="false">IF($G35=0,IF(AA$11=$H35,"◆",""),IF(AND(AA$11&gt;=$H35,AA$11&lt;=$I35),1,""))</f>
        <v>1</v>
      </c>
      <c r="AB35" s="448" t="n">
        <f aca="false">IF($G35=0,IF(AB$11=$H35,"◆",""),IF(AND(AB$11&gt;=$H35,AB$11&lt;=$I35),1,""))</f>
        <v>1</v>
      </c>
      <c r="AC35" s="448" t="n">
        <f aca="false">IF($G35=0,IF(AC$11=$H35,"◆",""),IF(AND(AC$11&gt;=$H35,AC$11&lt;=$I35),1,""))</f>
        <v>1</v>
      </c>
      <c r="AD35" s="448" t="n">
        <f aca="false">IF($G35=0,IF(AD$11=$H35,"◆",""),IF(AND(AD$11&gt;=$H35,AD$11&lt;=$I35),1,""))</f>
        <v>1</v>
      </c>
      <c r="AE35" s="448" t="n">
        <f aca="false">IF($G35=0,IF(AE$11=$H35,"◆",""),IF(AND(AE$11&gt;=$H35,AE$11&lt;=$I35),1,""))</f>
        <v>1</v>
      </c>
      <c r="AF35" s="448" t="n">
        <f aca="false">IF($G35=0,IF(AF$11=$H35,"◆",""),IF(AND(AF$11&gt;=$H35,AF$11&lt;=$I35),1,""))</f>
        <v>1</v>
      </c>
      <c r="AG35" s="448" t="n">
        <f aca="false">IF($G35=0,IF(AG$11=$H35,"◆",""),IF(AND(AG$11&gt;=$H35,AG$11&lt;=$I35),1,""))</f>
        <v>1</v>
      </c>
      <c r="AH35" s="448" t="n">
        <f aca="false">IF($G35=0,IF(AH$11=$H35,"◆",""),IF(AND(AH$11&gt;=$H35,AH$11&lt;=$I35),1,""))</f>
        <v>1</v>
      </c>
      <c r="AI35" s="448" t="str">
        <f aca="false">IF($G35=0,IF(AI$11=$H35,"◆",""),IF(AND(AI$11&gt;=$H35,AI$11&lt;=$I35),1,""))</f>
        <v/>
      </c>
      <c r="AJ35" s="448" t="str">
        <f aca="false">IF($G35=0,IF(AJ$11=$H35,"◆",""),IF(AND(AJ$11&gt;=$H35,AJ$11&lt;=$I35),1,""))</f>
        <v/>
      </c>
      <c r="AK35" s="448" t="str">
        <f aca="false">IF($G35=0,IF(AK$11=$H35,"◆",""),IF(AND(AK$11&gt;=$H35,AK$11&lt;=$I35),1,""))</f>
        <v/>
      </c>
      <c r="AL35" s="448" t="str">
        <f aca="false">IF($G35=0,IF(AL$11=$H35,"◆",""),IF(AND(AL$11&gt;=$H35,AL$11&lt;=$I35),1,""))</f>
        <v/>
      </c>
      <c r="AM35" s="448" t="str">
        <f aca="false">IF($G35=0,IF(AM$11=$H35,"◆",""),IF(AND(AM$11&gt;=$H35,AM$11&lt;=$I35),1,""))</f>
        <v/>
      </c>
      <c r="AN35" s="448" t="str">
        <f aca="false">IF($G35=0,IF(AN$11=$H35,"◆",""),IF(AND(AN$11&gt;=$H35,AN$11&lt;=$I35),1,""))</f>
        <v/>
      </c>
      <c r="AO35" s="448" t="str">
        <f aca="false">IF($G35=0,IF(AO$11=$H35,"◆",""),IF(AND(AO$11&gt;=$H35,AO$11&lt;=$I35),1,""))</f>
        <v/>
      </c>
      <c r="AP35" s="448" t="str">
        <f aca="false">IF($G35=0,IF(AP$11=$H35,"◆",""),IF(AND(AP$11&gt;=$H35,AP$11&lt;=$I35),1,""))</f>
        <v/>
      </c>
      <c r="AQ35" s="448" t="str">
        <f aca="false">IF($G35=0,IF(AQ$11=$H35,"◆",""),IF(AND(AQ$11&gt;=$H35,AQ$11&lt;=$I35),1,""))</f>
        <v/>
      </c>
      <c r="AR35" s="448" t="str">
        <f aca="false">IF($G35=0,IF(AR$11=$H35,"◆",""),IF(AND(AR$11&gt;=$H35,AR$11&lt;=$I35),1,""))</f>
        <v/>
      </c>
      <c r="AS35" s="448" t="str">
        <f aca="false">IF($G35=0,IF(AS$11=$H35,"◆",""),IF(AND(AS$11&gt;=$H35,AS$11&lt;=$I35),1,""))</f>
        <v/>
      </c>
      <c r="AT35" s="448" t="str">
        <f aca="false">IF($G35=0,IF(AT$11=$H35,"◆",""),IF(AND(AT$11&gt;=$H35,AT$11&lt;=$I35),1,""))</f>
        <v/>
      </c>
      <c r="AU35" s="448" t="str">
        <f aca="false">IF($G35=0,IF(AU$11=$H35,"◆",""),IF(AND(AU$11&gt;=$H35,AU$11&lt;=$I35),1,""))</f>
        <v/>
      </c>
      <c r="AV35" s="448" t="str">
        <f aca="false">IF($G35=0,IF(AV$11=$H35,"◆",""),IF(AND(AV$11&gt;=$H35,AV$11&lt;=$I35),1,""))</f>
        <v/>
      </c>
      <c r="AW35" s="448" t="str">
        <f aca="false">IF($G35=0,IF(AW$11=$H35,"◆",""),IF(AND(AW$11&gt;=$H35,AW$11&lt;=$I35),1,""))</f>
        <v/>
      </c>
      <c r="AX35" s="448" t="str">
        <f aca="false">IF($G35=0,IF(AX$11=$H35,"◆",""),IF(AND(AX$11&gt;=$H35,AX$11&lt;=$I35),1,""))</f>
        <v/>
      </c>
      <c r="AY35" s="448" t="str">
        <f aca="false">IF($G35=0,IF(AY$11=$H35,"◆",""),IF(AND(AY$11&gt;=$H35,AY$11&lt;=$I35),1,""))</f>
        <v/>
      </c>
      <c r="AZ35" s="448" t="str">
        <f aca="false">IF($G35=0,IF(AZ$11=$H35,"◆",""),IF(AND(AZ$11&gt;=$H35,AZ$11&lt;=$I35),1,""))</f>
        <v/>
      </c>
      <c r="BA35" s="448" t="str">
        <f aca="false">IF($G35=0,IF(BA$11=$H35,"◆",""),IF(AND(BA$11&gt;=$H35,BA$11&lt;=$I35),1,""))</f>
        <v/>
      </c>
      <c r="BB35" s="448" t="str">
        <f aca="false">IF($G35=0,IF(BB$11=$H35,"◆",""),IF(AND(BB$11&gt;=$H35,BB$11&lt;=$I35),1,""))</f>
        <v/>
      </c>
      <c r="BC35" s="448" t="str">
        <f aca="false">IF($G35=0,IF(BC$11=$H35,"◆",""),IF(AND(BC$11&gt;=$H35,BC$11&lt;=$I35),1,""))</f>
        <v/>
      </c>
      <c r="BD35" s="448" t="str">
        <f aca="false">IF($G35=0,IF(BD$11=$H35,"◆",""),IF(AND(BD$11&gt;=$H35,BD$11&lt;=$I35),1,""))</f>
        <v/>
      </c>
      <c r="BE35" s="448" t="str">
        <f aca="false">IF($G35=0,IF(BE$11=$H35,"◆",""),IF(AND(BE$11&gt;=$H35,BE$11&lt;=$I35),1,""))</f>
        <v/>
      </c>
      <c r="BF35" s="448" t="str">
        <f aca="false">IF($G35=0,IF(BF$11=$H35,"◆",""),IF(AND(BF$11&gt;=$H35,BF$11&lt;=$I35),1,""))</f>
        <v/>
      </c>
      <c r="BG35" s="448" t="str">
        <f aca="false">IF($G35=0,IF(BG$11=$H35,"◆",""),IF(AND(BG$11&gt;=$H35,BG$11&lt;=$I35),1,""))</f>
        <v/>
      </c>
      <c r="BH35" s="448" t="str">
        <f aca="false">IF($G35=0,IF(BH$11=$H35,"◆",""),IF(AND(BH$11&gt;=$H35,BH$11&lt;=$I35),1,""))</f>
        <v/>
      </c>
      <c r="BI35" s="448" t="str">
        <f aca="false">IF($G35=0,IF(BI$11=$H35,"◆",""),IF(AND(BI$11&gt;=$H35,BI$11&lt;=$I35),1,""))</f>
        <v/>
      </c>
      <c r="BJ35" s="448" t="str">
        <f aca="false">IF($G35=0,IF(BJ$11=$H35,"◆",""),IF(AND(BJ$11&gt;=$H35,BJ$11&lt;=$I35),1,""))</f>
        <v/>
      </c>
      <c r="BK35" s="448" t="str">
        <f aca="false">IF($G35=0,IF(BK$11=$H35,"◆",""),IF(AND(BK$11&gt;=$H35,BK$11&lt;=$I35),1,""))</f>
        <v/>
      </c>
      <c r="BL35" s="448" t="str">
        <f aca="false">IF($G35=0,IF(BL$11=$H35,"◆",""),IF(AND(BL$11&gt;=$H35,BL$11&lt;=$I35),1,""))</f>
        <v/>
      </c>
      <c r="BM35" s="448" t="str">
        <f aca="false">IF($G35=0,IF(BM$11=$H35,"◆",""),IF(AND(BM$11&gt;=$H35,BM$11&lt;=$I35),1,""))</f>
        <v/>
      </c>
      <c r="BN35" s="448" t="str">
        <f aca="false">IF($G35=0,IF(BN$11=$H35,"◆",""),IF(AND(BN$11&gt;=$H35,BN$11&lt;=$I35),1,""))</f>
        <v/>
      </c>
      <c r="BO35" s="448" t="str">
        <f aca="false">IF($G35=0,IF(BO$11=$H35,"◆",""),IF(AND(BO$11&gt;=$H35,BO$11&lt;=$I35),1,""))</f>
        <v/>
      </c>
      <c r="BP35" s="448" t="str">
        <f aca="false">IF($G35=0,IF(BP$11=$H35,"◆",""),IF(AND(BP$11&gt;=$H35,BP$11&lt;=$I35),1,""))</f>
        <v/>
      </c>
      <c r="BQ35" s="448" t="str">
        <f aca="false">IF($G35=0,IF(BQ$11=$H35,"◆",""),IF(AND(BQ$11&gt;=$H35,BQ$11&lt;=$I35),1,""))</f>
        <v/>
      </c>
      <c r="BR35" s="448" t="str">
        <f aca="false">IF($G35=0,IF(BR$11=$H35,"◆",""),IF(AND(BR$11&gt;=$H35,BR$11&lt;=$I35),1,""))</f>
        <v/>
      </c>
      <c r="BS35" s="448" t="str">
        <f aca="false">IF($G35=0,IF(BS$11=$H35,"◆",""),IF(AND(BS$11&gt;=$H35,BS$11&lt;=$I35),1,""))</f>
        <v/>
      </c>
      <c r="BT35" s="448" t="str">
        <f aca="false">IF($G35=0,IF(BT$11=$H35,"◆",""),IF(AND(BT$11&gt;=$H35,BT$11&lt;=$I35),1,""))</f>
        <v/>
      </c>
      <c r="BU35" s="448" t="str">
        <f aca="false">IF($G35=0,IF(BU$11=$H35,"◆",""),IF(AND(BU$11&gt;=$H35,BU$11&lt;=$I35),1,""))</f>
        <v/>
      </c>
      <c r="BV35" s="448" t="str">
        <f aca="false">IF($G35=0,IF(BV$11=$H35,"◆",""),IF(AND(BV$11&gt;=$H35,BV$11&lt;=$I35),1,""))</f>
        <v/>
      </c>
      <c r="BW35" s="448" t="str">
        <f aca="false">IF($G35=0,IF(BW$11=$H35,"◆",""),IF(AND(BW$11&gt;=$H35,BW$11&lt;=$I35),1,""))</f>
        <v/>
      </c>
      <c r="BX35" s="448" t="str">
        <f aca="false">IF($G35=0,IF(BX$11=$H35,"◆",""),IF(AND(BX$11&gt;=$H35,BX$11&lt;=$I35),1,""))</f>
        <v/>
      </c>
      <c r="BY35" s="448" t="str">
        <f aca="false">IF($G35=0,IF(BY$11=$H35,"◆",""),IF(AND(BY$11&gt;=$H35,BY$11&lt;=$I35),1,""))</f>
        <v/>
      </c>
      <c r="BZ35" s="448" t="str">
        <f aca="false">IF($G35=0,IF(BZ$11=$H35,"◆",""),IF(AND(BZ$11&gt;=$H35,BZ$11&lt;=$I35),1,""))</f>
        <v/>
      </c>
      <c r="CA35" s="448" t="str">
        <f aca="false">IF($G35=0,IF(CA$11=$H35,"◆",""),IF(AND(CA$11&gt;=$H35,CA$11&lt;=$I35),1,""))</f>
        <v/>
      </c>
      <c r="CB35" s="448" t="str">
        <f aca="false">IF($G35=0,IF(CB$11=$H35,"◆",""),IF(AND(CB$11&gt;=$H35,CB$11&lt;=$I35),1,""))</f>
        <v/>
      </c>
      <c r="CC35" s="448" t="str">
        <f aca="false">IF($G35=0,IF(CC$11=$H35,"◆",""),IF(AND(CC$11&gt;=$H35,CC$11&lt;=$I35),1,""))</f>
        <v/>
      </c>
      <c r="CD35" s="448" t="str">
        <f aca="false">IF($G35=0,IF(CD$11=$H35,"◆",""),IF(AND(CD$11&gt;=$H35,CD$11&lt;=$I35),1,""))</f>
        <v/>
      </c>
      <c r="CE35" s="448" t="str">
        <f aca="false">IF($G35=0,IF(CE$11=$H35,"◆",""),IF(AND(CE$11&gt;=$H35,CE$11&lt;=$I35),1,""))</f>
        <v/>
      </c>
      <c r="CF35" s="448" t="str">
        <f aca="false">IF($G35=0,IF(CF$11=$H35,"◆",""),IF(AND(CF$11&gt;=$H35,CF$11&lt;=$I35),1,""))</f>
        <v/>
      </c>
      <c r="CG35" s="448" t="str">
        <f aca="false">IF($G35=0,IF(CG$11=$H35,"◆",""),IF(AND(CG$11&gt;=$H35,CG$11&lt;=$I35),1,""))</f>
        <v/>
      </c>
      <c r="CH35" s="448" t="str">
        <f aca="false">IF($G35=0,IF(CH$11=$H35,"◆",""),IF(AND(CH$11&gt;=$H35,CH$11&lt;=$I35),1,""))</f>
        <v/>
      </c>
      <c r="CI35" s="448" t="str">
        <f aca="false">IF($G35=0,IF(CI$11=$H35,"◆",""),IF(AND(CI$11&gt;=$H35,CI$11&lt;=$I35),1,""))</f>
        <v/>
      </c>
      <c r="CJ35" s="448" t="str">
        <f aca="false">IF($G35=0,IF(CJ$11=$H35,"◆",""),IF(AND(CJ$11&gt;=$H35,CJ$11&lt;=$I35),1,""))</f>
        <v/>
      </c>
      <c r="CK35" s="448" t="str">
        <f aca="false">IF($G35=0,IF(CK$11=$H35,"◆",""),IF(AND(CK$11&gt;=$H35,CK$11&lt;=$I35),1,""))</f>
        <v/>
      </c>
      <c r="CL35" s="448" t="str">
        <f aca="false">IF($G35=0,IF(CL$11=$H35,"◆",""),IF(AND(CL$11&gt;=$H35,CL$11&lt;=$I35),1,""))</f>
        <v/>
      </c>
      <c r="CM35" s="448" t="str">
        <f aca="false">IF($G35=0,IF(CM$11=$H35,"◆",""),IF(AND(CM$11&gt;=$H35,CM$11&lt;=$I35),1,""))</f>
        <v/>
      </c>
      <c r="CN35" s="448" t="str">
        <f aca="false">IF($G35=0,IF(CN$11=$H35,"◆",""),IF(AND(CN$11&gt;=$H35,CN$11&lt;=$I35),1,""))</f>
        <v/>
      </c>
      <c r="CO35" s="448" t="str">
        <f aca="false">IF($G35=0,IF(CO$11=$H35,"◆",""),IF(AND(CO$11&gt;=$H35,CO$11&lt;=$I35),1,""))</f>
        <v/>
      </c>
      <c r="CP35" s="448" t="str">
        <f aca="false">IF($G35=0,IF(CP$11=$H35,"◆",""),IF(AND(CP$11&gt;=$H35,CP$11&lt;=$I35),1,""))</f>
        <v/>
      </c>
      <c r="CQ35" s="448" t="str">
        <f aca="false">IF($G35=0,IF(CQ$11=$H35,"◆",""),IF(AND(CQ$11&gt;=$H35,CQ$11&lt;=$I35),1,""))</f>
        <v/>
      </c>
      <c r="CR35" s="448" t="str">
        <f aca="false">IF($G35=0,IF(CR$11=$H35,"◆",""),IF(AND(CR$11&gt;=$H35,CR$11&lt;=$I35),1,""))</f>
        <v/>
      </c>
      <c r="CS35" s="448" t="str">
        <f aca="false">IF($G35=0,IF(CS$11=$H35,"◆",""),IF(AND(CS$11&gt;=$H35,CS$11&lt;=$I35),1,""))</f>
        <v/>
      </c>
      <c r="CT35" s="448" t="str">
        <f aca="false">IF($G35=0,IF(CT$11=$H35,"◆",""),IF(AND(CT$11&gt;=$H35,CT$11&lt;=$I35),1,""))</f>
        <v/>
      </c>
      <c r="CU35" s="448" t="str">
        <f aca="false">IF($G35=0,IF(CU$11=$H35,"◆",""),IF(AND(CU$11&gt;=$H35,CU$11&lt;=$I35),1,""))</f>
        <v/>
      </c>
      <c r="CV35" s="448" t="str">
        <f aca="false">IF($G35=0,IF(CV$11=$H35,"◆",""),IF(AND(CV$11&gt;=$H35,CV$11&lt;=$I35),1,""))</f>
        <v/>
      </c>
      <c r="CW35" s="448" t="str">
        <f aca="false">IF($G35=0,IF(CW$11=$H35,"◆",""),IF(AND(CW$11&gt;=$H35,CW$11&lt;=$I35),1,""))</f>
        <v/>
      </c>
      <c r="CX35" s="448" t="str">
        <f aca="false">IF($G35=0,IF(CX$11=$H35,"◆",""),IF(AND(CX$11&gt;=$H35,CX$11&lt;=$I35),1,""))</f>
        <v/>
      </c>
      <c r="CY35" s="448" t="str">
        <f aca="false">IF($G35=0,IF(CY$11=$H35,"◆",""),IF(AND(CY$11&gt;=$H35,CY$11&lt;=$I35),1,""))</f>
        <v/>
      </c>
      <c r="CZ35" s="448" t="str">
        <f aca="false">IF($G35=0,IF(CZ$11=$H35,"◆",""),IF(AND(CZ$11&gt;=$H35,CZ$11&lt;=$I35),1,""))</f>
        <v/>
      </c>
      <c r="DA35" s="448" t="str">
        <f aca="false">IF($G35=0,IF(DA$11=$H35,"◆",""),IF(AND(DA$11&gt;=$H35,DA$11&lt;=$I35),1,""))</f>
        <v/>
      </c>
      <c r="DB35" s="448" t="str">
        <f aca="false">IF($G35=0,IF(DB$11=$H35,"◆",""),IF(AND(DB$11&gt;=$H35,DB$11&lt;=$I35),1,""))</f>
        <v/>
      </c>
      <c r="DC35" s="448" t="str">
        <f aca="false">IF($G35=0,IF(DC$11=$H35,"◆",""),IF(AND(DC$11&gt;=$H35,DC$11&lt;=$I35),1,""))</f>
        <v/>
      </c>
      <c r="DD35" s="448" t="str">
        <f aca="false">IF($G35=0,IF(DD$11=$H35,"◆",""),IF(AND(DD$11&gt;=$H35,DD$11&lt;=$I35),1,""))</f>
        <v/>
      </c>
      <c r="DE35" s="448" t="str">
        <f aca="false">IF($G35=0,IF(DE$11=$H35,"◆",""),IF(AND(DE$11&gt;=$H35,DE$11&lt;=$I35),1,""))</f>
        <v/>
      </c>
      <c r="DF35" s="448" t="str">
        <f aca="false">IF($G35=0,IF(DF$11=$H35,"◆",""),IF(AND(DF$11&gt;=$H35,DF$11&lt;=$I35),1,""))</f>
        <v/>
      </c>
      <c r="DG35" s="448" t="str">
        <f aca="false">IF($G35=0,IF(DG$11=$H35,"◆",""),IF(AND(DG$11&gt;=$H35,DG$11&lt;=$I35),1,""))</f>
        <v/>
      </c>
      <c r="DH35" s="448" t="str">
        <f aca="false">IF($G35=0,IF(DH$11=$H35,"◆",""),IF(AND(DH$11&gt;=$H35,DH$11&lt;=$I35),1,""))</f>
        <v/>
      </c>
      <c r="DI35" s="448" t="str">
        <f aca="false">IF($G35=0,IF(DI$11=$H35,"◆",""),IF(AND(DI$11&gt;=$H35,DI$11&lt;=$I35),1,""))</f>
        <v/>
      </c>
      <c r="DJ35" s="448" t="str">
        <f aca="false">IF($G35=0,IF(DJ$11=$H35,"◆",""),IF(AND(DJ$11&gt;=$H35,DJ$11&lt;=$I35),1,""))</f>
        <v/>
      </c>
      <c r="DK35" s="448" t="str">
        <f aca="false">IF($G35=0,IF(DK$11=$H35,"◆",""),IF(AND(DK$11&gt;=$H35,DK$11&lt;=$I35),1,""))</f>
        <v/>
      </c>
      <c r="DL35" s="448" t="str">
        <f aca="false">IF($G35=0,IF(DL$11=$H35,"◆",""),IF(AND(DL$11&gt;=$H35,DL$11&lt;=$I35),1,""))</f>
        <v/>
      </c>
      <c r="DM35" s="448" t="str">
        <f aca="false">IF($G35=0,IF(DM$11=$H35,"◆",""),IF(AND(DM$11&gt;=$H35,DM$11&lt;=$I35),1,""))</f>
        <v/>
      </c>
      <c r="DN35" s="448" t="str">
        <f aca="false">IF($G35=0,IF(DN$11=$H35,"◆",""),IF(AND(DN$11&gt;=$H35,DN$11&lt;=$I35),1,""))</f>
        <v/>
      </c>
      <c r="DO35" s="448" t="str">
        <f aca="false">IF($G35=0,IF(DO$11=$H35,"◆",""),IF(AND(DO$11&gt;=$H35,DO$11&lt;=$I35),1,""))</f>
        <v/>
      </c>
      <c r="DP35" s="448" t="str">
        <f aca="false">IF($G35=0,IF(DP$11=$H35,"◆",""),IF(AND(DP$11&gt;=$H35,DP$11&lt;=$I35),1,""))</f>
        <v/>
      </c>
      <c r="DQ35" s="448" t="str">
        <f aca="false">IF($G35=0,IF(DQ$11=$H35,"◆",""),IF(AND(DQ$11&gt;=$H35,DQ$11&lt;=$I35),1,""))</f>
        <v/>
      </c>
      <c r="DR35" s="448" t="str">
        <f aca="false">IF($G35=0,IF(DR$11=$H35,"◆",""),IF(AND(DR$11&gt;=$H35,DR$11&lt;=$I35),1,""))</f>
        <v/>
      </c>
      <c r="DS35" s="448" t="str">
        <f aca="false">IF($G35=0,IF(DS$11=$H35,"◆",""),IF(AND(DS$11&gt;=$H35,DS$11&lt;=$I35),1,""))</f>
        <v/>
      </c>
      <c r="DT35" s="448" t="str">
        <f aca="false">IF($G35=0,IF(DT$11=$H35,"◆",""),IF(AND(DT$11&gt;=$H35,DT$11&lt;=$I35),1,""))</f>
        <v/>
      </c>
      <c r="DU35" s="448" t="str">
        <f aca="false">IF($G35=0,IF(DU$11=$H35,"◆",""),IF(AND(DU$11&gt;=$H35,DU$11&lt;=$I35),1,""))</f>
        <v/>
      </c>
      <c r="DV35" s="448" t="str">
        <f aca="false">IF($G35=0,IF(DV$11=$H35,"◆",""),IF(AND(DV$11&gt;=$H35,DV$11&lt;=$I35),1,""))</f>
        <v/>
      </c>
      <c r="DW35" s="448" t="str">
        <f aca="false">IF($G35=0,IF(DW$11=$H35,"◆",""),IF(AND(DW$11&gt;=$H35,DW$11&lt;=$I35),1,""))</f>
        <v/>
      </c>
      <c r="DX35" s="448" t="str">
        <f aca="false">IF($G35=0,IF(DX$11=$H35,"◆",""),IF(AND(DX$11&gt;=$H35,DX$11&lt;=$I35),1,""))</f>
        <v/>
      </c>
      <c r="DY35" s="448" t="str">
        <f aca="false">IF($G35=0,IF(DY$11=$H35,"◆",""),IF(AND(DY$11&gt;=$H35,DY$11&lt;=$I35),1,""))</f>
        <v/>
      </c>
      <c r="DZ35" s="448" t="str">
        <f aca="false">IF($G35=0,IF(DZ$11=$H35,"◆",""),IF(AND(DZ$11&gt;=$H35,DZ$11&lt;=$I35),1,""))</f>
        <v/>
      </c>
      <c r="EA35" s="448" t="str">
        <f aca="false">IF($G35=0,IF(EA$11=$H35,"◆",""),IF(AND(EA$11&gt;=$H35,EA$11&lt;=$I35),1,""))</f>
        <v/>
      </c>
      <c r="EB35" s="448" t="str">
        <f aca="false">IF($G35=0,IF(EB$11=$H35,"◆",""),IF(AND(EB$11&gt;=$H35,EB$11&lt;=$I35),1,""))</f>
        <v/>
      </c>
      <c r="EC35" s="448" t="str">
        <f aca="false">IF($G35=0,IF(EC$11=$H35,"◆",""),IF(AND(EC$11&gt;=$H35,EC$11&lt;=$I35),1,""))</f>
        <v/>
      </c>
      <c r="ED35" s="448" t="str">
        <f aca="false">IF($G35=0,IF(ED$11=$H35,"◆",""),IF(AND(ED$11&gt;=$H35,ED$11&lt;=$I35),1,""))</f>
        <v/>
      </c>
    </row>
    <row r="36" customFormat="false" ht="15" hidden="false" customHeight="true" outlineLevel="0" collapsed="false">
      <c r="A36" s="441" t="s">
        <v>2488</v>
      </c>
      <c r="B36" s="297" t="s">
        <v>2489</v>
      </c>
      <c r="C36" s="442" t="s">
        <v>2480</v>
      </c>
      <c r="D36" s="443" t="s">
        <v>2436</v>
      </c>
      <c r="E36" s="354" t="n">
        <f aca="false">1</f>
        <v>1</v>
      </c>
      <c r="F36" s="352" t="n">
        <v>11</v>
      </c>
      <c r="G36" s="352" t="n">
        <v>10</v>
      </c>
      <c r="H36" s="367" t="n">
        <f aca="false">MAX(1,ROUND(($E36-1)*$D$5,0)+1+$F36)</f>
        <v>12</v>
      </c>
      <c r="I36" s="367" t="n">
        <f aca="false">MAX($H36,$H36+$G36-1)</f>
        <v>21</v>
      </c>
      <c r="J36" s="444" t="n">
        <f aca="false">$D$4+($H36-1)*7</f>
        <v>46377</v>
      </c>
      <c r="K36" s="444" t="n">
        <f aca="false">$D$4+$I36*7-1</f>
        <v>46446</v>
      </c>
      <c r="L36" s="445" t="n">
        <f aca="false">ROUNDUP($H36/$D$5,0)</f>
        <v>3</v>
      </c>
      <c r="M36" s="446" t="s">
        <v>2453</v>
      </c>
      <c r="N36" s="447" t="n">
        <v>0</v>
      </c>
      <c r="O36" s="448" t="str">
        <f aca="false">IF($G36=0,IF(O$11=$H36,"◆",""),IF(AND(O$11&gt;=$H36,O$11&lt;=$I36),1,""))</f>
        <v/>
      </c>
      <c r="P36" s="448" t="str">
        <f aca="false">IF($G36=0,IF(P$11=$H36,"◆",""),IF(AND(P$11&gt;=$H36,P$11&lt;=$I36),1,""))</f>
        <v/>
      </c>
      <c r="Q36" s="448" t="str">
        <f aca="false">IF($G36=0,IF(Q$11=$H36,"◆",""),IF(AND(Q$11&gt;=$H36,Q$11&lt;=$I36),1,""))</f>
        <v/>
      </c>
      <c r="R36" s="448" t="str">
        <f aca="false">IF($G36=0,IF(R$11=$H36,"◆",""),IF(AND(R$11&gt;=$H36,R$11&lt;=$I36),1,""))</f>
        <v/>
      </c>
      <c r="S36" s="448" t="str">
        <f aca="false">IF($G36=0,IF(S$11=$H36,"◆",""),IF(AND(S$11&gt;=$H36,S$11&lt;=$I36),1,""))</f>
        <v/>
      </c>
      <c r="T36" s="448" t="str">
        <f aca="false">IF($G36=0,IF(T$11=$H36,"◆",""),IF(AND(T$11&gt;=$H36,T$11&lt;=$I36),1,""))</f>
        <v/>
      </c>
      <c r="U36" s="448" t="str">
        <f aca="false">IF($G36=0,IF(U$11=$H36,"◆",""),IF(AND(U$11&gt;=$H36,U$11&lt;=$I36),1,""))</f>
        <v/>
      </c>
      <c r="V36" s="448" t="str">
        <f aca="false">IF($G36=0,IF(V$11=$H36,"◆",""),IF(AND(V$11&gt;=$H36,V$11&lt;=$I36),1,""))</f>
        <v/>
      </c>
      <c r="W36" s="448" t="str">
        <f aca="false">IF($G36=0,IF(W$11=$H36,"◆",""),IF(AND(W$11&gt;=$H36,W$11&lt;=$I36),1,""))</f>
        <v/>
      </c>
      <c r="X36" s="448" t="str">
        <f aca="false">IF($G36=0,IF(X$11=$H36,"◆",""),IF(AND(X$11&gt;=$H36,X$11&lt;=$I36),1,""))</f>
        <v/>
      </c>
      <c r="Y36" s="448" t="str">
        <f aca="false">IF($G36=0,IF(Y$11=$H36,"◆",""),IF(AND(Y$11&gt;=$H36,Y$11&lt;=$I36),1,""))</f>
        <v/>
      </c>
      <c r="Z36" s="448" t="n">
        <f aca="false">IF($G36=0,IF(Z$11=$H36,"◆",""),IF(AND(Z$11&gt;=$H36,Z$11&lt;=$I36),1,""))</f>
        <v>1</v>
      </c>
      <c r="AA36" s="448" t="n">
        <f aca="false">IF($G36=0,IF(AA$11=$H36,"◆",""),IF(AND(AA$11&gt;=$H36,AA$11&lt;=$I36),1,""))</f>
        <v>1</v>
      </c>
      <c r="AB36" s="448" t="n">
        <f aca="false">IF($G36=0,IF(AB$11=$H36,"◆",""),IF(AND(AB$11&gt;=$H36,AB$11&lt;=$I36),1,""))</f>
        <v>1</v>
      </c>
      <c r="AC36" s="448" t="n">
        <f aca="false">IF($G36=0,IF(AC$11=$H36,"◆",""),IF(AND(AC$11&gt;=$H36,AC$11&lt;=$I36),1,""))</f>
        <v>1</v>
      </c>
      <c r="AD36" s="448" t="n">
        <f aca="false">IF($G36=0,IF(AD$11=$H36,"◆",""),IF(AND(AD$11&gt;=$H36,AD$11&lt;=$I36),1,""))</f>
        <v>1</v>
      </c>
      <c r="AE36" s="448" t="n">
        <f aca="false">IF($G36=0,IF(AE$11=$H36,"◆",""),IF(AND(AE$11&gt;=$H36,AE$11&lt;=$I36),1,""))</f>
        <v>1</v>
      </c>
      <c r="AF36" s="448" t="n">
        <f aca="false">IF($G36=0,IF(AF$11=$H36,"◆",""),IF(AND(AF$11&gt;=$H36,AF$11&lt;=$I36),1,""))</f>
        <v>1</v>
      </c>
      <c r="AG36" s="448" t="n">
        <f aca="false">IF($G36=0,IF(AG$11=$H36,"◆",""),IF(AND(AG$11&gt;=$H36,AG$11&lt;=$I36),1,""))</f>
        <v>1</v>
      </c>
      <c r="AH36" s="448" t="n">
        <f aca="false">IF($G36=0,IF(AH$11=$H36,"◆",""),IF(AND(AH$11&gt;=$H36,AH$11&lt;=$I36),1,""))</f>
        <v>1</v>
      </c>
      <c r="AI36" s="448" t="n">
        <f aca="false">IF($G36=0,IF(AI$11=$H36,"◆",""),IF(AND(AI$11&gt;=$H36,AI$11&lt;=$I36),1,""))</f>
        <v>1</v>
      </c>
      <c r="AJ36" s="448" t="str">
        <f aca="false">IF($G36=0,IF(AJ$11=$H36,"◆",""),IF(AND(AJ$11&gt;=$H36,AJ$11&lt;=$I36),1,""))</f>
        <v/>
      </c>
      <c r="AK36" s="448" t="str">
        <f aca="false">IF($G36=0,IF(AK$11=$H36,"◆",""),IF(AND(AK$11&gt;=$H36,AK$11&lt;=$I36),1,""))</f>
        <v/>
      </c>
      <c r="AL36" s="448" t="str">
        <f aca="false">IF($G36=0,IF(AL$11=$H36,"◆",""),IF(AND(AL$11&gt;=$H36,AL$11&lt;=$I36),1,""))</f>
        <v/>
      </c>
      <c r="AM36" s="448" t="str">
        <f aca="false">IF($G36=0,IF(AM$11=$H36,"◆",""),IF(AND(AM$11&gt;=$H36,AM$11&lt;=$I36),1,""))</f>
        <v/>
      </c>
      <c r="AN36" s="448" t="str">
        <f aca="false">IF($G36=0,IF(AN$11=$H36,"◆",""),IF(AND(AN$11&gt;=$H36,AN$11&lt;=$I36),1,""))</f>
        <v/>
      </c>
      <c r="AO36" s="448" t="str">
        <f aca="false">IF($G36=0,IF(AO$11=$H36,"◆",""),IF(AND(AO$11&gt;=$H36,AO$11&lt;=$I36),1,""))</f>
        <v/>
      </c>
      <c r="AP36" s="448" t="str">
        <f aca="false">IF($G36=0,IF(AP$11=$H36,"◆",""),IF(AND(AP$11&gt;=$H36,AP$11&lt;=$I36),1,""))</f>
        <v/>
      </c>
      <c r="AQ36" s="448" t="str">
        <f aca="false">IF($G36=0,IF(AQ$11=$H36,"◆",""),IF(AND(AQ$11&gt;=$H36,AQ$11&lt;=$I36),1,""))</f>
        <v/>
      </c>
      <c r="AR36" s="448" t="str">
        <f aca="false">IF($G36=0,IF(AR$11=$H36,"◆",""),IF(AND(AR$11&gt;=$H36,AR$11&lt;=$I36),1,""))</f>
        <v/>
      </c>
      <c r="AS36" s="448" t="str">
        <f aca="false">IF($G36=0,IF(AS$11=$H36,"◆",""),IF(AND(AS$11&gt;=$H36,AS$11&lt;=$I36),1,""))</f>
        <v/>
      </c>
      <c r="AT36" s="448" t="str">
        <f aca="false">IF($G36=0,IF(AT$11=$H36,"◆",""),IF(AND(AT$11&gt;=$H36,AT$11&lt;=$I36),1,""))</f>
        <v/>
      </c>
      <c r="AU36" s="448" t="str">
        <f aca="false">IF($G36=0,IF(AU$11=$H36,"◆",""),IF(AND(AU$11&gt;=$H36,AU$11&lt;=$I36),1,""))</f>
        <v/>
      </c>
      <c r="AV36" s="448" t="str">
        <f aca="false">IF($G36=0,IF(AV$11=$H36,"◆",""),IF(AND(AV$11&gt;=$H36,AV$11&lt;=$I36),1,""))</f>
        <v/>
      </c>
      <c r="AW36" s="448" t="str">
        <f aca="false">IF($G36=0,IF(AW$11=$H36,"◆",""),IF(AND(AW$11&gt;=$H36,AW$11&lt;=$I36),1,""))</f>
        <v/>
      </c>
      <c r="AX36" s="448" t="str">
        <f aca="false">IF($G36=0,IF(AX$11=$H36,"◆",""),IF(AND(AX$11&gt;=$H36,AX$11&lt;=$I36),1,""))</f>
        <v/>
      </c>
      <c r="AY36" s="448" t="str">
        <f aca="false">IF($G36=0,IF(AY$11=$H36,"◆",""),IF(AND(AY$11&gt;=$H36,AY$11&lt;=$I36),1,""))</f>
        <v/>
      </c>
      <c r="AZ36" s="448" t="str">
        <f aca="false">IF($G36=0,IF(AZ$11=$H36,"◆",""),IF(AND(AZ$11&gt;=$H36,AZ$11&lt;=$I36),1,""))</f>
        <v/>
      </c>
      <c r="BA36" s="448" t="str">
        <f aca="false">IF($G36=0,IF(BA$11=$H36,"◆",""),IF(AND(BA$11&gt;=$H36,BA$11&lt;=$I36),1,""))</f>
        <v/>
      </c>
      <c r="BB36" s="448" t="str">
        <f aca="false">IF($G36=0,IF(BB$11=$H36,"◆",""),IF(AND(BB$11&gt;=$H36,BB$11&lt;=$I36),1,""))</f>
        <v/>
      </c>
      <c r="BC36" s="448" t="str">
        <f aca="false">IF($G36=0,IF(BC$11=$H36,"◆",""),IF(AND(BC$11&gt;=$H36,BC$11&lt;=$I36),1,""))</f>
        <v/>
      </c>
      <c r="BD36" s="448" t="str">
        <f aca="false">IF($G36=0,IF(BD$11=$H36,"◆",""),IF(AND(BD$11&gt;=$H36,BD$11&lt;=$I36),1,""))</f>
        <v/>
      </c>
      <c r="BE36" s="448" t="str">
        <f aca="false">IF($G36=0,IF(BE$11=$H36,"◆",""),IF(AND(BE$11&gt;=$H36,BE$11&lt;=$I36),1,""))</f>
        <v/>
      </c>
      <c r="BF36" s="448" t="str">
        <f aca="false">IF($G36=0,IF(BF$11=$H36,"◆",""),IF(AND(BF$11&gt;=$H36,BF$11&lt;=$I36),1,""))</f>
        <v/>
      </c>
      <c r="BG36" s="448" t="str">
        <f aca="false">IF($G36=0,IF(BG$11=$H36,"◆",""),IF(AND(BG$11&gt;=$H36,BG$11&lt;=$I36),1,""))</f>
        <v/>
      </c>
      <c r="BH36" s="448" t="str">
        <f aca="false">IF($G36=0,IF(BH$11=$H36,"◆",""),IF(AND(BH$11&gt;=$H36,BH$11&lt;=$I36),1,""))</f>
        <v/>
      </c>
      <c r="BI36" s="448" t="str">
        <f aca="false">IF($G36=0,IF(BI$11=$H36,"◆",""),IF(AND(BI$11&gt;=$H36,BI$11&lt;=$I36),1,""))</f>
        <v/>
      </c>
      <c r="BJ36" s="448" t="str">
        <f aca="false">IF($G36=0,IF(BJ$11=$H36,"◆",""),IF(AND(BJ$11&gt;=$H36,BJ$11&lt;=$I36),1,""))</f>
        <v/>
      </c>
      <c r="BK36" s="448" t="str">
        <f aca="false">IF($G36=0,IF(BK$11=$H36,"◆",""),IF(AND(BK$11&gt;=$H36,BK$11&lt;=$I36),1,""))</f>
        <v/>
      </c>
      <c r="BL36" s="448" t="str">
        <f aca="false">IF($G36=0,IF(BL$11=$H36,"◆",""),IF(AND(BL$11&gt;=$H36,BL$11&lt;=$I36),1,""))</f>
        <v/>
      </c>
      <c r="BM36" s="448" t="str">
        <f aca="false">IF($G36=0,IF(BM$11=$H36,"◆",""),IF(AND(BM$11&gt;=$H36,BM$11&lt;=$I36),1,""))</f>
        <v/>
      </c>
      <c r="BN36" s="448" t="str">
        <f aca="false">IF($G36=0,IF(BN$11=$H36,"◆",""),IF(AND(BN$11&gt;=$H36,BN$11&lt;=$I36),1,""))</f>
        <v/>
      </c>
      <c r="BO36" s="448" t="str">
        <f aca="false">IF($G36=0,IF(BO$11=$H36,"◆",""),IF(AND(BO$11&gt;=$H36,BO$11&lt;=$I36),1,""))</f>
        <v/>
      </c>
      <c r="BP36" s="448" t="str">
        <f aca="false">IF($G36=0,IF(BP$11=$H36,"◆",""),IF(AND(BP$11&gt;=$H36,BP$11&lt;=$I36),1,""))</f>
        <v/>
      </c>
      <c r="BQ36" s="448" t="str">
        <f aca="false">IF($G36=0,IF(BQ$11=$H36,"◆",""),IF(AND(BQ$11&gt;=$H36,BQ$11&lt;=$I36),1,""))</f>
        <v/>
      </c>
      <c r="BR36" s="448" t="str">
        <f aca="false">IF($G36=0,IF(BR$11=$H36,"◆",""),IF(AND(BR$11&gt;=$H36,BR$11&lt;=$I36),1,""))</f>
        <v/>
      </c>
      <c r="BS36" s="448" t="str">
        <f aca="false">IF($G36=0,IF(BS$11=$H36,"◆",""),IF(AND(BS$11&gt;=$H36,BS$11&lt;=$I36),1,""))</f>
        <v/>
      </c>
      <c r="BT36" s="448" t="str">
        <f aca="false">IF($G36=0,IF(BT$11=$H36,"◆",""),IF(AND(BT$11&gt;=$H36,BT$11&lt;=$I36),1,""))</f>
        <v/>
      </c>
      <c r="BU36" s="448" t="str">
        <f aca="false">IF($G36=0,IF(BU$11=$H36,"◆",""),IF(AND(BU$11&gt;=$H36,BU$11&lt;=$I36),1,""))</f>
        <v/>
      </c>
      <c r="BV36" s="448" t="str">
        <f aca="false">IF($G36=0,IF(BV$11=$H36,"◆",""),IF(AND(BV$11&gt;=$H36,BV$11&lt;=$I36),1,""))</f>
        <v/>
      </c>
      <c r="BW36" s="448" t="str">
        <f aca="false">IF($G36=0,IF(BW$11=$H36,"◆",""),IF(AND(BW$11&gt;=$H36,BW$11&lt;=$I36),1,""))</f>
        <v/>
      </c>
      <c r="BX36" s="448" t="str">
        <f aca="false">IF($G36=0,IF(BX$11=$H36,"◆",""),IF(AND(BX$11&gt;=$H36,BX$11&lt;=$I36),1,""))</f>
        <v/>
      </c>
      <c r="BY36" s="448" t="str">
        <f aca="false">IF($G36=0,IF(BY$11=$H36,"◆",""),IF(AND(BY$11&gt;=$H36,BY$11&lt;=$I36),1,""))</f>
        <v/>
      </c>
      <c r="BZ36" s="448" t="str">
        <f aca="false">IF($G36=0,IF(BZ$11=$H36,"◆",""),IF(AND(BZ$11&gt;=$H36,BZ$11&lt;=$I36),1,""))</f>
        <v/>
      </c>
      <c r="CA36" s="448" t="str">
        <f aca="false">IF($G36=0,IF(CA$11=$H36,"◆",""),IF(AND(CA$11&gt;=$H36,CA$11&lt;=$I36),1,""))</f>
        <v/>
      </c>
      <c r="CB36" s="448" t="str">
        <f aca="false">IF($G36=0,IF(CB$11=$H36,"◆",""),IF(AND(CB$11&gt;=$H36,CB$11&lt;=$I36),1,""))</f>
        <v/>
      </c>
      <c r="CC36" s="448" t="str">
        <f aca="false">IF($G36=0,IF(CC$11=$H36,"◆",""),IF(AND(CC$11&gt;=$H36,CC$11&lt;=$I36),1,""))</f>
        <v/>
      </c>
      <c r="CD36" s="448" t="str">
        <f aca="false">IF($G36=0,IF(CD$11=$H36,"◆",""),IF(AND(CD$11&gt;=$H36,CD$11&lt;=$I36),1,""))</f>
        <v/>
      </c>
      <c r="CE36" s="448" t="str">
        <f aca="false">IF($G36=0,IF(CE$11=$H36,"◆",""),IF(AND(CE$11&gt;=$H36,CE$11&lt;=$I36),1,""))</f>
        <v/>
      </c>
      <c r="CF36" s="448" t="str">
        <f aca="false">IF($G36=0,IF(CF$11=$H36,"◆",""),IF(AND(CF$11&gt;=$H36,CF$11&lt;=$I36),1,""))</f>
        <v/>
      </c>
      <c r="CG36" s="448" t="str">
        <f aca="false">IF($G36=0,IF(CG$11=$H36,"◆",""),IF(AND(CG$11&gt;=$H36,CG$11&lt;=$I36),1,""))</f>
        <v/>
      </c>
      <c r="CH36" s="448" t="str">
        <f aca="false">IF($G36=0,IF(CH$11=$H36,"◆",""),IF(AND(CH$11&gt;=$H36,CH$11&lt;=$I36),1,""))</f>
        <v/>
      </c>
      <c r="CI36" s="448" t="str">
        <f aca="false">IF($G36=0,IF(CI$11=$H36,"◆",""),IF(AND(CI$11&gt;=$H36,CI$11&lt;=$I36),1,""))</f>
        <v/>
      </c>
      <c r="CJ36" s="448" t="str">
        <f aca="false">IF($G36=0,IF(CJ$11=$H36,"◆",""),IF(AND(CJ$11&gt;=$H36,CJ$11&lt;=$I36),1,""))</f>
        <v/>
      </c>
      <c r="CK36" s="448" t="str">
        <f aca="false">IF($G36=0,IF(CK$11=$H36,"◆",""),IF(AND(CK$11&gt;=$H36,CK$11&lt;=$I36),1,""))</f>
        <v/>
      </c>
      <c r="CL36" s="448" t="str">
        <f aca="false">IF($G36=0,IF(CL$11=$H36,"◆",""),IF(AND(CL$11&gt;=$H36,CL$11&lt;=$I36),1,""))</f>
        <v/>
      </c>
      <c r="CM36" s="448" t="str">
        <f aca="false">IF($G36=0,IF(CM$11=$H36,"◆",""),IF(AND(CM$11&gt;=$H36,CM$11&lt;=$I36),1,""))</f>
        <v/>
      </c>
      <c r="CN36" s="448" t="str">
        <f aca="false">IF($G36=0,IF(CN$11=$H36,"◆",""),IF(AND(CN$11&gt;=$H36,CN$11&lt;=$I36),1,""))</f>
        <v/>
      </c>
      <c r="CO36" s="448" t="str">
        <f aca="false">IF($G36=0,IF(CO$11=$H36,"◆",""),IF(AND(CO$11&gt;=$H36,CO$11&lt;=$I36),1,""))</f>
        <v/>
      </c>
      <c r="CP36" s="448" t="str">
        <f aca="false">IF($G36=0,IF(CP$11=$H36,"◆",""),IF(AND(CP$11&gt;=$H36,CP$11&lt;=$I36),1,""))</f>
        <v/>
      </c>
      <c r="CQ36" s="448" t="str">
        <f aca="false">IF($G36=0,IF(CQ$11=$H36,"◆",""),IF(AND(CQ$11&gt;=$H36,CQ$11&lt;=$I36),1,""))</f>
        <v/>
      </c>
      <c r="CR36" s="448" t="str">
        <f aca="false">IF($G36=0,IF(CR$11=$H36,"◆",""),IF(AND(CR$11&gt;=$H36,CR$11&lt;=$I36),1,""))</f>
        <v/>
      </c>
      <c r="CS36" s="448" t="str">
        <f aca="false">IF($G36=0,IF(CS$11=$H36,"◆",""),IF(AND(CS$11&gt;=$H36,CS$11&lt;=$I36),1,""))</f>
        <v/>
      </c>
      <c r="CT36" s="448" t="str">
        <f aca="false">IF($G36=0,IF(CT$11=$H36,"◆",""),IF(AND(CT$11&gt;=$H36,CT$11&lt;=$I36),1,""))</f>
        <v/>
      </c>
      <c r="CU36" s="448" t="str">
        <f aca="false">IF($G36=0,IF(CU$11=$H36,"◆",""),IF(AND(CU$11&gt;=$H36,CU$11&lt;=$I36),1,""))</f>
        <v/>
      </c>
      <c r="CV36" s="448" t="str">
        <f aca="false">IF($G36=0,IF(CV$11=$H36,"◆",""),IF(AND(CV$11&gt;=$H36,CV$11&lt;=$I36),1,""))</f>
        <v/>
      </c>
      <c r="CW36" s="448" t="str">
        <f aca="false">IF($G36=0,IF(CW$11=$H36,"◆",""),IF(AND(CW$11&gt;=$H36,CW$11&lt;=$I36),1,""))</f>
        <v/>
      </c>
      <c r="CX36" s="448" t="str">
        <f aca="false">IF($G36=0,IF(CX$11=$H36,"◆",""),IF(AND(CX$11&gt;=$H36,CX$11&lt;=$I36),1,""))</f>
        <v/>
      </c>
      <c r="CY36" s="448" t="str">
        <f aca="false">IF($G36=0,IF(CY$11=$H36,"◆",""),IF(AND(CY$11&gt;=$H36,CY$11&lt;=$I36),1,""))</f>
        <v/>
      </c>
      <c r="CZ36" s="448" t="str">
        <f aca="false">IF($G36=0,IF(CZ$11=$H36,"◆",""),IF(AND(CZ$11&gt;=$H36,CZ$11&lt;=$I36),1,""))</f>
        <v/>
      </c>
      <c r="DA36" s="448" t="str">
        <f aca="false">IF($G36=0,IF(DA$11=$H36,"◆",""),IF(AND(DA$11&gt;=$H36,DA$11&lt;=$I36),1,""))</f>
        <v/>
      </c>
      <c r="DB36" s="448" t="str">
        <f aca="false">IF($G36=0,IF(DB$11=$H36,"◆",""),IF(AND(DB$11&gt;=$H36,DB$11&lt;=$I36),1,""))</f>
        <v/>
      </c>
      <c r="DC36" s="448" t="str">
        <f aca="false">IF($G36=0,IF(DC$11=$H36,"◆",""),IF(AND(DC$11&gt;=$H36,DC$11&lt;=$I36),1,""))</f>
        <v/>
      </c>
      <c r="DD36" s="448" t="str">
        <f aca="false">IF($G36=0,IF(DD$11=$H36,"◆",""),IF(AND(DD$11&gt;=$H36,DD$11&lt;=$I36),1,""))</f>
        <v/>
      </c>
      <c r="DE36" s="448" t="str">
        <f aca="false">IF($G36=0,IF(DE$11=$H36,"◆",""),IF(AND(DE$11&gt;=$H36,DE$11&lt;=$I36),1,""))</f>
        <v/>
      </c>
      <c r="DF36" s="448" t="str">
        <f aca="false">IF($G36=0,IF(DF$11=$H36,"◆",""),IF(AND(DF$11&gt;=$H36,DF$11&lt;=$I36),1,""))</f>
        <v/>
      </c>
      <c r="DG36" s="448" t="str">
        <f aca="false">IF($G36=0,IF(DG$11=$H36,"◆",""),IF(AND(DG$11&gt;=$H36,DG$11&lt;=$I36),1,""))</f>
        <v/>
      </c>
      <c r="DH36" s="448" t="str">
        <f aca="false">IF($G36=0,IF(DH$11=$H36,"◆",""),IF(AND(DH$11&gt;=$H36,DH$11&lt;=$I36),1,""))</f>
        <v/>
      </c>
      <c r="DI36" s="448" t="str">
        <f aca="false">IF($G36=0,IF(DI$11=$H36,"◆",""),IF(AND(DI$11&gt;=$H36,DI$11&lt;=$I36),1,""))</f>
        <v/>
      </c>
      <c r="DJ36" s="448" t="str">
        <f aca="false">IF($G36=0,IF(DJ$11=$H36,"◆",""),IF(AND(DJ$11&gt;=$H36,DJ$11&lt;=$I36),1,""))</f>
        <v/>
      </c>
      <c r="DK36" s="448" t="str">
        <f aca="false">IF($G36=0,IF(DK$11=$H36,"◆",""),IF(AND(DK$11&gt;=$H36,DK$11&lt;=$I36),1,""))</f>
        <v/>
      </c>
      <c r="DL36" s="448" t="str">
        <f aca="false">IF($G36=0,IF(DL$11=$H36,"◆",""),IF(AND(DL$11&gt;=$H36,DL$11&lt;=$I36),1,""))</f>
        <v/>
      </c>
      <c r="DM36" s="448" t="str">
        <f aca="false">IF($G36=0,IF(DM$11=$H36,"◆",""),IF(AND(DM$11&gt;=$H36,DM$11&lt;=$I36),1,""))</f>
        <v/>
      </c>
      <c r="DN36" s="448" t="str">
        <f aca="false">IF($G36=0,IF(DN$11=$H36,"◆",""),IF(AND(DN$11&gt;=$H36,DN$11&lt;=$I36),1,""))</f>
        <v/>
      </c>
      <c r="DO36" s="448" t="str">
        <f aca="false">IF($G36=0,IF(DO$11=$H36,"◆",""),IF(AND(DO$11&gt;=$H36,DO$11&lt;=$I36),1,""))</f>
        <v/>
      </c>
      <c r="DP36" s="448" t="str">
        <f aca="false">IF($G36=0,IF(DP$11=$H36,"◆",""),IF(AND(DP$11&gt;=$H36,DP$11&lt;=$I36),1,""))</f>
        <v/>
      </c>
      <c r="DQ36" s="448" t="str">
        <f aca="false">IF($G36=0,IF(DQ$11=$H36,"◆",""),IF(AND(DQ$11&gt;=$H36,DQ$11&lt;=$I36),1,""))</f>
        <v/>
      </c>
      <c r="DR36" s="448" t="str">
        <f aca="false">IF($G36=0,IF(DR$11=$H36,"◆",""),IF(AND(DR$11&gt;=$H36,DR$11&lt;=$I36),1,""))</f>
        <v/>
      </c>
      <c r="DS36" s="448" t="str">
        <f aca="false">IF($G36=0,IF(DS$11=$H36,"◆",""),IF(AND(DS$11&gt;=$H36,DS$11&lt;=$I36),1,""))</f>
        <v/>
      </c>
      <c r="DT36" s="448" t="str">
        <f aca="false">IF($G36=0,IF(DT$11=$H36,"◆",""),IF(AND(DT$11&gt;=$H36,DT$11&lt;=$I36),1,""))</f>
        <v/>
      </c>
      <c r="DU36" s="448" t="str">
        <f aca="false">IF($G36=0,IF(DU$11=$H36,"◆",""),IF(AND(DU$11&gt;=$H36,DU$11&lt;=$I36),1,""))</f>
        <v/>
      </c>
      <c r="DV36" s="448" t="str">
        <f aca="false">IF($G36=0,IF(DV$11=$H36,"◆",""),IF(AND(DV$11&gt;=$H36,DV$11&lt;=$I36),1,""))</f>
        <v/>
      </c>
      <c r="DW36" s="448" t="str">
        <f aca="false">IF($G36=0,IF(DW$11=$H36,"◆",""),IF(AND(DW$11&gt;=$H36,DW$11&lt;=$I36),1,""))</f>
        <v/>
      </c>
      <c r="DX36" s="448" t="str">
        <f aca="false">IF($G36=0,IF(DX$11=$H36,"◆",""),IF(AND(DX$11&gt;=$H36,DX$11&lt;=$I36),1,""))</f>
        <v/>
      </c>
      <c r="DY36" s="448" t="str">
        <f aca="false">IF($G36=0,IF(DY$11=$H36,"◆",""),IF(AND(DY$11&gt;=$H36,DY$11&lt;=$I36),1,""))</f>
        <v/>
      </c>
      <c r="DZ36" s="448" t="str">
        <f aca="false">IF($G36=0,IF(DZ$11=$H36,"◆",""),IF(AND(DZ$11&gt;=$H36,DZ$11&lt;=$I36),1,""))</f>
        <v/>
      </c>
      <c r="EA36" s="448" t="str">
        <f aca="false">IF($G36=0,IF(EA$11=$H36,"◆",""),IF(AND(EA$11&gt;=$H36,EA$11&lt;=$I36),1,""))</f>
        <v/>
      </c>
      <c r="EB36" s="448" t="str">
        <f aca="false">IF($G36=0,IF(EB$11=$H36,"◆",""),IF(AND(EB$11&gt;=$H36,EB$11&lt;=$I36),1,""))</f>
        <v/>
      </c>
      <c r="EC36" s="448" t="str">
        <f aca="false">IF($G36=0,IF(EC$11=$H36,"◆",""),IF(AND(EC$11&gt;=$H36,EC$11&lt;=$I36),1,""))</f>
        <v/>
      </c>
      <c r="ED36" s="448" t="str">
        <f aca="false">IF($G36=0,IF(ED$11=$H36,"◆",""),IF(AND(ED$11&gt;=$H36,ED$11&lt;=$I36),1,""))</f>
        <v/>
      </c>
    </row>
    <row r="37" customFormat="false" ht="15" hidden="false" customHeight="true" outlineLevel="0" collapsed="false">
      <c r="A37" s="441" t="s">
        <v>2490</v>
      </c>
      <c r="B37" s="297" t="s">
        <v>2491</v>
      </c>
      <c r="C37" s="442" t="s">
        <v>2480</v>
      </c>
      <c r="D37" s="443" t="s">
        <v>2492</v>
      </c>
      <c r="E37" s="354" t="n">
        <f aca="false">FC_SUPUESTOS!$C$17+FC_SUPUESTOS!$C$18+FC_SUPUESTOS!$C$19</f>
        <v>7</v>
      </c>
      <c r="F37" s="352" t="n">
        <v>0</v>
      </c>
      <c r="G37" s="352" t="n">
        <v>10</v>
      </c>
      <c r="H37" s="367" t="n">
        <f aca="false">MAX(1,ROUND(($E37-1)*$D$5,0)+1+$F37)</f>
        <v>27</v>
      </c>
      <c r="I37" s="367" t="n">
        <f aca="false">MAX($H37,$H37+$G37-1)</f>
        <v>36</v>
      </c>
      <c r="J37" s="444" t="n">
        <f aca="false">$D$4+($H37-1)*7</f>
        <v>46482</v>
      </c>
      <c r="K37" s="444" t="n">
        <f aca="false">$D$4+$I37*7-1</f>
        <v>46551</v>
      </c>
      <c r="L37" s="445" t="n">
        <f aca="false">ROUNDUP($H37/$D$5,0)</f>
        <v>7</v>
      </c>
      <c r="M37" s="446" t="s">
        <v>2453</v>
      </c>
      <c r="N37" s="447" t="n">
        <v>0</v>
      </c>
      <c r="O37" s="448" t="str">
        <f aca="false">IF($G37=0,IF(O$11=$H37,"◆",""),IF(AND(O$11&gt;=$H37,O$11&lt;=$I37),1,""))</f>
        <v/>
      </c>
      <c r="P37" s="448" t="str">
        <f aca="false">IF($G37=0,IF(P$11=$H37,"◆",""),IF(AND(P$11&gt;=$H37,P$11&lt;=$I37),1,""))</f>
        <v/>
      </c>
      <c r="Q37" s="448" t="str">
        <f aca="false">IF($G37=0,IF(Q$11=$H37,"◆",""),IF(AND(Q$11&gt;=$H37,Q$11&lt;=$I37),1,""))</f>
        <v/>
      </c>
      <c r="R37" s="448" t="str">
        <f aca="false">IF($G37=0,IF(R$11=$H37,"◆",""),IF(AND(R$11&gt;=$H37,R$11&lt;=$I37),1,""))</f>
        <v/>
      </c>
      <c r="S37" s="448" t="str">
        <f aca="false">IF($G37=0,IF(S$11=$H37,"◆",""),IF(AND(S$11&gt;=$H37,S$11&lt;=$I37),1,""))</f>
        <v/>
      </c>
      <c r="T37" s="448" t="str">
        <f aca="false">IF($G37=0,IF(T$11=$H37,"◆",""),IF(AND(T$11&gt;=$H37,T$11&lt;=$I37),1,""))</f>
        <v/>
      </c>
      <c r="U37" s="448" t="str">
        <f aca="false">IF($G37=0,IF(U$11=$H37,"◆",""),IF(AND(U$11&gt;=$H37,U$11&lt;=$I37),1,""))</f>
        <v/>
      </c>
      <c r="V37" s="448" t="str">
        <f aca="false">IF($G37=0,IF(V$11=$H37,"◆",""),IF(AND(V$11&gt;=$H37,V$11&lt;=$I37),1,""))</f>
        <v/>
      </c>
      <c r="W37" s="448" t="str">
        <f aca="false">IF($G37=0,IF(W$11=$H37,"◆",""),IF(AND(W$11&gt;=$H37,W$11&lt;=$I37),1,""))</f>
        <v/>
      </c>
      <c r="X37" s="448" t="str">
        <f aca="false">IF($G37=0,IF(X$11=$H37,"◆",""),IF(AND(X$11&gt;=$H37,X$11&lt;=$I37),1,""))</f>
        <v/>
      </c>
      <c r="Y37" s="448" t="str">
        <f aca="false">IF($G37=0,IF(Y$11=$H37,"◆",""),IF(AND(Y$11&gt;=$H37,Y$11&lt;=$I37),1,""))</f>
        <v/>
      </c>
      <c r="Z37" s="448" t="str">
        <f aca="false">IF($G37=0,IF(Z$11=$H37,"◆",""),IF(AND(Z$11&gt;=$H37,Z$11&lt;=$I37),1,""))</f>
        <v/>
      </c>
      <c r="AA37" s="448" t="str">
        <f aca="false">IF($G37=0,IF(AA$11=$H37,"◆",""),IF(AND(AA$11&gt;=$H37,AA$11&lt;=$I37),1,""))</f>
        <v/>
      </c>
      <c r="AB37" s="448" t="str">
        <f aca="false">IF($G37=0,IF(AB$11=$H37,"◆",""),IF(AND(AB$11&gt;=$H37,AB$11&lt;=$I37),1,""))</f>
        <v/>
      </c>
      <c r="AC37" s="448" t="str">
        <f aca="false">IF($G37=0,IF(AC$11=$H37,"◆",""),IF(AND(AC$11&gt;=$H37,AC$11&lt;=$I37),1,""))</f>
        <v/>
      </c>
      <c r="AD37" s="448" t="str">
        <f aca="false">IF($G37=0,IF(AD$11=$H37,"◆",""),IF(AND(AD$11&gt;=$H37,AD$11&lt;=$I37),1,""))</f>
        <v/>
      </c>
      <c r="AE37" s="448" t="str">
        <f aca="false">IF($G37=0,IF(AE$11=$H37,"◆",""),IF(AND(AE$11&gt;=$H37,AE$11&lt;=$I37),1,""))</f>
        <v/>
      </c>
      <c r="AF37" s="448" t="str">
        <f aca="false">IF($G37=0,IF(AF$11=$H37,"◆",""),IF(AND(AF$11&gt;=$H37,AF$11&lt;=$I37),1,""))</f>
        <v/>
      </c>
      <c r="AG37" s="448" t="str">
        <f aca="false">IF($G37=0,IF(AG$11=$H37,"◆",""),IF(AND(AG$11&gt;=$H37,AG$11&lt;=$I37),1,""))</f>
        <v/>
      </c>
      <c r="AH37" s="448" t="str">
        <f aca="false">IF($G37=0,IF(AH$11=$H37,"◆",""),IF(AND(AH$11&gt;=$H37,AH$11&lt;=$I37),1,""))</f>
        <v/>
      </c>
      <c r="AI37" s="448" t="str">
        <f aca="false">IF($G37=0,IF(AI$11=$H37,"◆",""),IF(AND(AI$11&gt;=$H37,AI$11&lt;=$I37),1,""))</f>
        <v/>
      </c>
      <c r="AJ37" s="448" t="str">
        <f aca="false">IF($G37=0,IF(AJ$11=$H37,"◆",""),IF(AND(AJ$11&gt;=$H37,AJ$11&lt;=$I37),1,""))</f>
        <v/>
      </c>
      <c r="AK37" s="448" t="str">
        <f aca="false">IF($G37=0,IF(AK$11=$H37,"◆",""),IF(AND(AK$11&gt;=$H37,AK$11&lt;=$I37),1,""))</f>
        <v/>
      </c>
      <c r="AL37" s="448" t="str">
        <f aca="false">IF($G37=0,IF(AL$11=$H37,"◆",""),IF(AND(AL$11&gt;=$H37,AL$11&lt;=$I37),1,""))</f>
        <v/>
      </c>
      <c r="AM37" s="448" t="str">
        <f aca="false">IF($G37=0,IF(AM$11=$H37,"◆",""),IF(AND(AM$11&gt;=$H37,AM$11&lt;=$I37),1,""))</f>
        <v/>
      </c>
      <c r="AN37" s="448" t="str">
        <f aca="false">IF($G37=0,IF(AN$11=$H37,"◆",""),IF(AND(AN$11&gt;=$H37,AN$11&lt;=$I37),1,""))</f>
        <v/>
      </c>
      <c r="AO37" s="448" t="n">
        <f aca="false">IF($G37=0,IF(AO$11=$H37,"◆",""),IF(AND(AO$11&gt;=$H37,AO$11&lt;=$I37),1,""))</f>
        <v>1</v>
      </c>
      <c r="AP37" s="448" t="n">
        <f aca="false">IF($G37=0,IF(AP$11=$H37,"◆",""),IF(AND(AP$11&gt;=$H37,AP$11&lt;=$I37),1,""))</f>
        <v>1</v>
      </c>
      <c r="AQ37" s="448" t="n">
        <f aca="false">IF($G37=0,IF(AQ$11=$H37,"◆",""),IF(AND(AQ$11&gt;=$H37,AQ$11&lt;=$I37),1,""))</f>
        <v>1</v>
      </c>
      <c r="AR37" s="448" t="n">
        <f aca="false">IF($G37=0,IF(AR$11=$H37,"◆",""),IF(AND(AR$11&gt;=$H37,AR$11&lt;=$I37),1,""))</f>
        <v>1</v>
      </c>
      <c r="AS37" s="448" t="n">
        <f aca="false">IF($G37=0,IF(AS$11=$H37,"◆",""),IF(AND(AS$11&gt;=$H37,AS$11&lt;=$I37),1,""))</f>
        <v>1</v>
      </c>
      <c r="AT37" s="448" t="n">
        <f aca="false">IF($G37=0,IF(AT$11=$H37,"◆",""),IF(AND(AT$11&gt;=$H37,AT$11&lt;=$I37),1,""))</f>
        <v>1</v>
      </c>
      <c r="AU37" s="448" t="n">
        <f aca="false">IF($G37=0,IF(AU$11=$H37,"◆",""),IF(AND(AU$11&gt;=$H37,AU$11&lt;=$I37),1,""))</f>
        <v>1</v>
      </c>
      <c r="AV37" s="448" t="n">
        <f aca="false">IF($G37=0,IF(AV$11=$H37,"◆",""),IF(AND(AV$11&gt;=$H37,AV$11&lt;=$I37),1,""))</f>
        <v>1</v>
      </c>
      <c r="AW37" s="448" t="n">
        <f aca="false">IF($G37=0,IF(AW$11=$H37,"◆",""),IF(AND(AW$11&gt;=$H37,AW$11&lt;=$I37),1,""))</f>
        <v>1</v>
      </c>
      <c r="AX37" s="448" t="n">
        <f aca="false">IF($G37=0,IF(AX$11=$H37,"◆",""),IF(AND(AX$11&gt;=$H37,AX$11&lt;=$I37),1,""))</f>
        <v>1</v>
      </c>
      <c r="AY37" s="448" t="str">
        <f aca="false">IF($G37=0,IF(AY$11=$H37,"◆",""),IF(AND(AY$11&gt;=$H37,AY$11&lt;=$I37),1,""))</f>
        <v/>
      </c>
      <c r="AZ37" s="448" t="str">
        <f aca="false">IF($G37=0,IF(AZ$11=$H37,"◆",""),IF(AND(AZ$11&gt;=$H37,AZ$11&lt;=$I37),1,""))</f>
        <v/>
      </c>
      <c r="BA37" s="448" t="str">
        <f aca="false">IF($G37=0,IF(BA$11=$H37,"◆",""),IF(AND(BA$11&gt;=$H37,BA$11&lt;=$I37),1,""))</f>
        <v/>
      </c>
      <c r="BB37" s="448" t="str">
        <f aca="false">IF($G37=0,IF(BB$11=$H37,"◆",""),IF(AND(BB$11&gt;=$H37,BB$11&lt;=$I37),1,""))</f>
        <v/>
      </c>
      <c r="BC37" s="448" t="str">
        <f aca="false">IF($G37=0,IF(BC$11=$H37,"◆",""),IF(AND(BC$11&gt;=$H37,BC$11&lt;=$I37),1,""))</f>
        <v/>
      </c>
      <c r="BD37" s="448" t="str">
        <f aca="false">IF($G37=0,IF(BD$11=$H37,"◆",""),IF(AND(BD$11&gt;=$H37,BD$11&lt;=$I37),1,""))</f>
        <v/>
      </c>
      <c r="BE37" s="448" t="str">
        <f aca="false">IF($G37=0,IF(BE$11=$H37,"◆",""),IF(AND(BE$11&gt;=$H37,BE$11&lt;=$I37),1,""))</f>
        <v/>
      </c>
      <c r="BF37" s="448" t="str">
        <f aca="false">IF($G37=0,IF(BF$11=$H37,"◆",""),IF(AND(BF$11&gt;=$H37,BF$11&lt;=$I37),1,""))</f>
        <v/>
      </c>
      <c r="BG37" s="448" t="str">
        <f aca="false">IF($G37=0,IF(BG$11=$H37,"◆",""),IF(AND(BG$11&gt;=$H37,BG$11&lt;=$I37),1,""))</f>
        <v/>
      </c>
      <c r="BH37" s="448" t="str">
        <f aca="false">IF($G37=0,IF(BH$11=$H37,"◆",""),IF(AND(BH$11&gt;=$H37,BH$11&lt;=$I37),1,""))</f>
        <v/>
      </c>
      <c r="BI37" s="448" t="str">
        <f aca="false">IF($G37=0,IF(BI$11=$H37,"◆",""),IF(AND(BI$11&gt;=$H37,BI$11&lt;=$I37),1,""))</f>
        <v/>
      </c>
      <c r="BJ37" s="448" t="str">
        <f aca="false">IF($G37=0,IF(BJ$11=$H37,"◆",""),IF(AND(BJ$11&gt;=$H37,BJ$11&lt;=$I37),1,""))</f>
        <v/>
      </c>
      <c r="BK37" s="448" t="str">
        <f aca="false">IF($G37=0,IF(BK$11=$H37,"◆",""),IF(AND(BK$11&gt;=$H37,BK$11&lt;=$I37),1,""))</f>
        <v/>
      </c>
      <c r="BL37" s="448" t="str">
        <f aca="false">IF($G37=0,IF(BL$11=$H37,"◆",""),IF(AND(BL$11&gt;=$H37,BL$11&lt;=$I37),1,""))</f>
        <v/>
      </c>
      <c r="BM37" s="448" t="str">
        <f aca="false">IF($G37=0,IF(BM$11=$H37,"◆",""),IF(AND(BM$11&gt;=$H37,BM$11&lt;=$I37),1,""))</f>
        <v/>
      </c>
      <c r="BN37" s="448" t="str">
        <f aca="false">IF($G37=0,IF(BN$11=$H37,"◆",""),IF(AND(BN$11&gt;=$H37,BN$11&lt;=$I37),1,""))</f>
        <v/>
      </c>
      <c r="BO37" s="448" t="str">
        <f aca="false">IF($G37=0,IF(BO$11=$H37,"◆",""),IF(AND(BO$11&gt;=$H37,BO$11&lt;=$I37),1,""))</f>
        <v/>
      </c>
      <c r="BP37" s="448" t="str">
        <f aca="false">IF($G37=0,IF(BP$11=$H37,"◆",""),IF(AND(BP$11&gt;=$H37,BP$11&lt;=$I37),1,""))</f>
        <v/>
      </c>
      <c r="BQ37" s="448" t="str">
        <f aca="false">IF($G37=0,IF(BQ$11=$H37,"◆",""),IF(AND(BQ$11&gt;=$H37,BQ$11&lt;=$I37),1,""))</f>
        <v/>
      </c>
      <c r="BR37" s="448" t="str">
        <f aca="false">IF($G37=0,IF(BR$11=$H37,"◆",""),IF(AND(BR$11&gt;=$H37,BR$11&lt;=$I37),1,""))</f>
        <v/>
      </c>
      <c r="BS37" s="448" t="str">
        <f aca="false">IF($G37=0,IF(BS$11=$H37,"◆",""),IF(AND(BS$11&gt;=$H37,BS$11&lt;=$I37),1,""))</f>
        <v/>
      </c>
      <c r="BT37" s="448" t="str">
        <f aca="false">IF($G37=0,IF(BT$11=$H37,"◆",""),IF(AND(BT$11&gt;=$H37,BT$11&lt;=$I37),1,""))</f>
        <v/>
      </c>
      <c r="BU37" s="448" t="str">
        <f aca="false">IF($G37=0,IF(BU$11=$H37,"◆",""),IF(AND(BU$11&gt;=$H37,BU$11&lt;=$I37),1,""))</f>
        <v/>
      </c>
      <c r="BV37" s="448" t="str">
        <f aca="false">IF($G37=0,IF(BV$11=$H37,"◆",""),IF(AND(BV$11&gt;=$H37,BV$11&lt;=$I37),1,""))</f>
        <v/>
      </c>
      <c r="BW37" s="448" t="str">
        <f aca="false">IF($G37=0,IF(BW$11=$H37,"◆",""),IF(AND(BW$11&gt;=$H37,BW$11&lt;=$I37),1,""))</f>
        <v/>
      </c>
      <c r="BX37" s="448" t="str">
        <f aca="false">IF($G37=0,IF(BX$11=$H37,"◆",""),IF(AND(BX$11&gt;=$H37,BX$11&lt;=$I37),1,""))</f>
        <v/>
      </c>
      <c r="BY37" s="448" t="str">
        <f aca="false">IF($G37=0,IF(BY$11=$H37,"◆",""),IF(AND(BY$11&gt;=$H37,BY$11&lt;=$I37),1,""))</f>
        <v/>
      </c>
      <c r="BZ37" s="448" t="str">
        <f aca="false">IF($G37=0,IF(BZ$11=$H37,"◆",""),IF(AND(BZ$11&gt;=$H37,BZ$11&lt;=$I37),1,""))</f>
        <v/>
      </c>
      <c r="CA37" s="448" t="str">
        <f aca="false">IF($G37=0,IF(CA$11=$H37,"◆",""),IF(AND(CA$11&gt;=$H37,CA$11&lt;=$I37),1,""))</f>
        <v/>
      </c>
      <c r="CB37" s="448" t="str">
        <f aca="false">IF($G37=0,IF(CB$11=$H37,"◆",""),IF(AND(CB$11&gt;=$H37,CB$11&lt;=$I37),1,""))</f>
        <v/>
      </c>
      <c r="CC37" s="448" t="str">
        <f aca="false">IF($G37=0,IF(CC$11=$H37,"◆",""),IF(AND(CC$11&gt;=$H37,CC$11&lt;=$I37),1,""))</f>
        <v/>
      </c>
      <c r="CD37" s="448" t="str">
        <f aca="false">IF($G37=0,IF(CD$11=$H37,"◆",""),IF(AND(CD$11&gt;=$H37,CD$11&lt;=$I37),1,""))</f>
        <v/>
      </c>
      <c r="CE37" s="448" t="str">
        <f aca="false">IF($G37=0,IF(CE$11=$H37,"◆",""),IF(AND(CE$11&gt;=$H37,CE$11&lt;=$I37),1,""))</f>
        <v/>
      </c>
      <c r="CF37" s="448" t="str">
        <f aca="false">IF($G37=0,IF(CF$11=$H37,"◆",""),IF(AND(CF$11&gt;=$H37,CF$11&lt;=$I37),1,""))</f>
        <v/>
      </c>
      <c r="CG37" s="448" t="str">
        <f aca="false">IF($G37=0,IF(CG$11=$H37,"◆",""),IF(AND(CG$11&gt;=$H37,CG$11&lt;=$I37),1,""))</f>
        <v/>
      </c>
      <c r="CH37" s="448" t="str">
        <f aca="false">IF($G37=0,IF(CH$11=$H37,"◆",""),IF(AND(CH$11&gt;=$H37,CH$11&lt;=$I37),1,""))</f>
        <v/>
      </c>
      <c r="CI37" s="448" t="str">
        <f aca="false">IF($G37=0,IF(CI$11=$H37,"◆",""),IF(AND(CI$11&gt;=$H37,CI$11&lt;=$I37),1,""))</f>
        <v/>
      </c>
      <c r="CJ37" s="448" t="str">
        <f aca="false">IF($G37=0,IF(CJ$11=$H37,"◆",""),IF(AND(CJ$11&gt;=$H37,CJ$11&lt;=$I37),1,""))</f>
        <v/>
      </c>
      <c r="CK37" s="448" t="str">
        <f aca="false">IF($G37=0,IF(CK$11=$H37,"◆",""),IF(AND(CK$11&gt;=$H37,CK$11&lt;=$I37),1,""))</f>
        <v/>
      </c>
      <c r="CL37" s="448" t="str">
        <f aca="false">IF($G37=0,IF(CL$11=$H37,"◆",""),IF(AND(CL$11&gt;=$H37,CL$11&lt;=$I37),1,""))</f>
        <v/>
      </c>
      <c r="CM37" s="448" t="str">
        <f aca="false">IF($G37=0,IF(CM$11=$H37,"◆",""),IF(AND(CM$11&gt;=$H37,CM$11&lt;=$I37),1,""))</f>
        <v/>
      </c>
      <c r="CN37" s="448" t="str">
        <f aca="false">IF($G37=0,IF(CN$11=$H37,"◆",""),IF(AND(CN$11&gt;=$H37,CN$11&lt;=$I37),1,""))</f>
        <v/>
      </c>
      <c r="CO37" s="448" t="str">
        <f aca="false">IF($G37=0,IF(CO$11=$H37,"◆",""),IF(AND(CO$11&gt;=$H37,CO$11&lt;=$I37),1,""))</f>
        <v/>
      </c>
      <c r="CP37" s="448" t="str">
        <f aca="false">IF($G37=0,IF(CP$11=$H37,"◆",""),IF(AND(CP$11&gt;=$H37,CP$11&lt;=$I37),1,""))</f>
        <v/>
      </c>
      <c r="CQ37" s="448" t="str">
        <f aca="false">IF($G37=0,IF(CQ$11=$H37,"◆",""),IF(AND(CQ$11&gt;=$H37,CQ$11&lt;=$I37),1,""))</f>
        <v/>
      </c>
      <c r="CR37" s="448" t="str">
        <f aca="false">IF($G37=0,IF(CR$11=$H37,"◆",""),IF(AND(CR$11&gt;=$H37,CR$11&lt;=$I37),1,""))</f>
        <v/>
      </c>
      <c r="CS37" s="448" t="str">
        <f aca="false">IF($G37=0,IF(CS$11=$H37,"◆",""),IF(AND(CS$11&gt;=$H37,CS$11&lt;=$I37),1,""))</f>
        <v/>
      </c>
      <c r="CT37" s="448" t="str">
        <f aca="false">IF($G37=0,IF(CT$11=$H37,"◆",""),IF(AND(CT$11&gt;=$H37,CT$11&lt;=$I37),1,""))</f>
        <v/>
      </c>
      <c r="CU37" s="448" t="str">
        <f aca="false">IF($G37=0,IF(CU$11=$H37,"◆",""),IF(AND(CU$11&gt;=$H37,CU$11&lt;=$I37),1,""))</f>
        <v/>
      </c>
      <c r="CV37" s="448" t="str">
        <f aca="false">IF($G37=0,IF(CV$11=$H37,"◆",""),IF(AND(CV$11&gt;=$H37,CV$11&lt;=$I37),1,""))</f>
        <v/>
      </c>
      <c r="CW37" s="448" t="str">
        <f aca="false">IF($G37=0,IF(CW$11=$H37,"◆",""),IF(AND(CW$11&gt;=$H37,CW$11&lt;=$I37),1,""))</f>
        <v/>
      </c>
      <c r="CX37" s="448" t="str">
        <f aca="false">IF($G37=0,IF(CX$11=$H37,"◆",""),IF(AND(CX$11&gt;=$H37,CX$11&lt;=$I37),1,""))</f>
        <v/>
      </c>
      <c r="CY37" s="448" t="str">
        <f aca="false">IF($G37=0,IF(CY$11=$H37,"◆",""),IF(AND(CY$11&gt;=$H37,CY$11&lt;=$I37),1,""))</f>
        <v/>
      </c>
      <c r="CZ37" s="448" t="str">
        <f aca="false">IF($G37=0,IF(CZ$11=$H37,"◆",""),IF(AND(CZ$11&gt;=$H37,CZ$11&lt;=$I37),1,""))</f>
        <v/>
      </c>
      <c r="DA37" s="448" t="str">
        <f aca="false">IF($G37=0,IF(DA$11=$H37,"◆",""),IF(AND(DA$11&gt;=$H37,DA$11&lt;=$I37),1,""))</f>
        <v/>
      </c>
      <c r="DB37" s="448" t="str">
        <f aca="false">IF($G37=0,IF(DB$11=$H37,"◆",""),IF(AND(DB$11&gt;=$H37,DB$11&lt;=$I37),1,""))</f>
        <v/>
      </c>
      <c r="DC37" s="448" t="str">
        <f aca="false">IF($G37=0,IF(DC$11=$H37,"◆",""),IF(AND(DC$11&gt;=$H37,DC$11&lt;=$I37),1,""))</f>
        <v/>
      </c>
      <c r="DD37" s="448" t="str">
        <f aca="false">IF($G37=0,IF(DD$11=$H37,"◆",""),IF(AND(DD$11&gt;=$H37,DD$11&lt;=$I37),1,""))</f>
        <v/>
      </c>
      <c r="DE37" s="448" t="str">
        <f aca="false">IF($G37=0,IF(DE$11=$H37,"◆",""),IF(AND(DE$11&gt;=$H37,DE$11&lt;=$I37),1,""))</f>
        <v/>
      </c>
      <c r="DF37" s="448" t="str">
        <f aca="false">IF($G37=0,IF(DF$11=$H37,"◆",""),IF(AND(DF$11&gt;=$H37,DF$11&lt;=$I37),1,""))</f>
        <v/>
      </c>
      <c r="DG37" s="448" t="str">
        <f aca="false">IF($G37=0,IF(DG$11=$H37,"◆",""),IF(AND(DG$11&gt;=$H37,DG$11&lt;=$I37),1,""))</f>
        <v/>
      </c>
      <c r="DH37" s="448" t="str">
        <f aca="false">IF($G37=0,IF(DH$11=$H37,"◆",""),IF(AND(DH$11&gt;=$H37,DH$11&lt;=$I37),1,""))</f>
        <v/>
      </c>
      <c r="DI37" s="448" t="str">
        <f aca="false">IF($G37=0,IF(DI$11=$H37,"◆",""),IF(AND(DI$11&gt;=$H37,DI$11&lt;=$I37),1,""))</f>
        <v/>
      </c>
      <c r="DJ37" s="448" t="str">
        <f aca="false">IF($G37=0,IF(DJ$11=$H37,"◆",""),IF(AND(DJ$11&gt;=$H37,DJ$11&lt;=$I37),1,""))</f>
        <v/>
      </c>
      <c r="DK37" s="448" t="str">
        <f aca="false">IF($G37=0,IF(DK$11=$H37,"◆",""),IF(AND(DK$11&gt;=$H37,DK$11&lt;=$I37),1,""))</f>
        <v/>
      </c>
      <c r="DL37" s="448" t="str">
        <f aca="false">IF($G37=0,IF(DL$11=$H37,"◆",""),IF(AND(DL$11&gt;=$H37,DL$11&lt;=$I37),1,""))</f>
        <v/>
      </c>
      <c r="DM37" s="448" t="str">
        <f aca="false">IF($G37=0,IF(DM$11=$H37,"◆",""),IF(AND(DM$11&gt;=$H37,DM$11&lt;=$I37),1,""))</f>
        <v/>
      </c>
      <c r="DN37" s="448" t="str">
        <f aca="false">IF($G37=0,IF(DN$11=$H37,"◆",""),IF(AND(DN$11&gt;=$H37,DN$11&lt;=$I37),1,""))</f>
        <v/>
      </c>
      <c r="DO37" s="448" t="str">
        <f aca="false">IF($G37=0,IF(DO$11=$H37,"◆",""),IF(AND(DO$11&gt;=$H37,DO$11&lt;=$I37),1,""))</f>
        <v/>
      </c>
      <c r="DP37" s="448" t="str">
        <f aca="false">IF($G37=0,IF(DP$11=$H37,"◆",""),IF(AND(DP$11&gt;=$H37,DP$11&lt;=$I37),1,""))</f>
        <v/>
      </c>
      <c r="DQ37" s="448" t="str">
        <f aca="false">IF($G37=0,IF(DQ$11=$H37,"◆",""),IF(AND(DQ$11&gt;=$H37,DQ$11&lt;=$I37),1,""))</f>
        <v/>
      </c>
      <c r="DR37" s="448" t="str">
        <f aca="false">IF($G37=0,IF(DR$11=$H37,"◆",""),IF(AND(DR$11&gt;=$H37,DR$11&lt;=$I37),1,""))</f>
        <v/>
      </c>
      <c r="DS37" s="448" t="str">
        <f aca="false">IF($G37=0,IF(DS$11=$H37,"◆",""),IF(AND(DS$11&gt;=$H37,DS$11&lt;=$I37),1,""))</f>
        <v/>
      </c>
      <c r="DT37" s="448" t="str">
        <f aca="false">IF($G37=0,IF(DT$11=$H37,"◆",""),IF(AND(DT$11&gt;=$H37,DT$11&lt;=$I37),1,""))</f>
        <v/>
      </c>
      <c r="DU37" s="448" t="str">
        <f aca="false">IF($G37=0,IF(DU$11=$H37,"◆",""),IF(AND(DU$11&gt;=$H37,DU$11&lt;=$I37),1,""))</f>
        <v/>
      </c>
      <c r="DV37" s="448" t="str">
        <f aca="false">IF($G37=0,IF(DV$11=$H37,"◆",""),IF(AND(DV$11&gt;=$H37,DV$11&lt;=$I37),1,""))</f>
        <v/>
      </c>
      <c r="DW37" s="448" t="str">
        <f aca="false">IF($G37=0,IF(DW$11=$H37,"◆",""),IF(AND(DW$11&gt;=$H37,DW$11&lt;=$I37),1,""))</f>
        <v/>
      </c>
      <c r="DX37" s="448" t="str">
        <f aca="false">IF($G37=0,IF(DX$11=$H37,"◆",""),IF(AND(DX$11&gt;=$H37,DX$11&lt;=$I37),1,""))</f>
        <v/>
      </c>
      <c r="DY37" s="448" t="str">
        <f aca="false">IF($G37=0,IF(DY$11=$H37,"◆",""),IF(AND(DY$11&gt;=$H37,DY$11&lt;=$I37),1,""))</f>
        <v/>
      </c>
      <c r="DZ37" s="448" t="str">
        <f aca="false">IF($G37=0,IF(DZ$11=$H37,"◆",""),IF(AND(DZ$11&gt;=$H37,DZ$11&lt;=$I37),1,""))</f>
        <v/>
      </c>
      <c r="EA37" s="448" t="str">
        <f aca="false">IF($G37=0,IF(EA$11=$H37,"◆",""),IF(AND(EA$11&gt;=$H37,EA$11&lt;=$I37),1,""))</f>
        <v/>
      </c>
      <c r="EB37" s="448" t="str">
        <f aca="false">IF($G37=0,IF(EB$11=$H37,"◆",""),IF(AND(EB$11&gt;=$H37,EB$11&lt;=$I37),1,""))</f>
        <v/>
      </c>
      <c r="EC37" s="448" t="str">
        <f aca="false">IF($G37=0,IF(EC$11=$H37,"◆",""),IF(AND(EC$11&gt;=$H37,EC$11&lt;=$I37),1,""))</f>
        <v/>
      </c>
      <c r="ED37" s="448" t="str">
        <f aca="false">IF($G37=0,IF(ED$11=$H37,"◆",""),IF(AND(ED$11&gt;=$H37,ED$11&lt;=$I37),1,""))</f>
        <v/>
      </c>
    </row>
    <row r="38" customFormat="false" ht="15" hidden="false" customHeight="true" outlineLevel="0" collapsed="false">
      <c r="A38" s="441" t="s">
        <v>2493</v>
      </c>
      <c r="B38" s="297" t="s">
        <v>2494</v>
      </c>
      <c r="C38" s="442" t="s">
        <v>2495</v>
      </c>
      <c r="D38" s="443" t="s">
        <v>2496</v>
      </c>
      <c r="E38" s="354" t="n">
        <f aca="false">FC_SUPUESTOS!$C$23-FC_SUPUESTOS!$C$21</f>
        <v>8</v>
      </c>
      <c r="F38" s="352" t="n">
        <v>-8</v>
      </c>
      <c r="G38" s="352" t="n">
        <v>12</v>
      </c>
      <c r="H38" s="367" t="n">
        <f aca="false">MAX(1,ROUND(($E38-1)*$D$5,0)+1+$F38)</f>
        <v>23</v>
      </c>
      <c r="I38" s="367" t="n">
        <f aca="false">MAX($H38,$H38+$G38-1)</f>
        <v>34</v>
      </c>
      <c r="J38" s="444" t="n">
        <f aca="false">$D$4+($H38-1)*7</f>
        <v>46454</v>
      </c>
      <c r="K38" s="444" t="n">
        <f aca="false">$D$4+$I38*7-1</f>
        <v>46537</v>
      </c>
      <c r="L38" s="445" t="n">
        <f aca="false">ROUNDUP($H38/$D$5,0)</f>
        <v>6</v>
      </c>
      <c r="M38" s="446"/>
      <c r="N38" s="447" t="n">
        <v>0</v>
      </c>
      <c r="O38" s="448" t="str">
        <f aca="false">IF($G38=0,IF(O$11=$H38,"◆",""),IF(AND(O$11&gt;=$H38,O$11&lt;=$I38),1,""))</f>
        <v/>
      </c>
      <c r="P38" s="448" t="str">
        <f aca="false">IF($G38=0,IF(P$11=$H38,"◆",""),IF(AND(P$11&gt;=$H38,P$11&lt;=$I38),1,""))</f>
        <v/>
      </c>
      <c r="Q38" s="448" t="str">
        <f aca="false">IF($G38=0,IF(Q$11=$H38,"◆",""),IF(AND(Q$11&gt;=$H38,Q$11&lt;=$I38),1,""))</f>
        <v/>
      </c>
      <c r="R38" s="448" t="str">
        <f aca="false">IF($G38=0,IF(R$11=$H38,"◆",""),IF(AND(R$11&gt;=$H38,R$11&lt;=$I38),1,""))</f>
        <v/>
      </c>
      <c r="S38" s="448" t="str">
        <f aca="false">IF($G38=0,IF(S$11=$H38,"◆",""),IF(AND(S$11&gt;=$H38,S$11&lt;=$I38),1,""))</f>
        <v/>
      </c>
      <c r="T38" s="448" t="str">
        <f aca="false">IF($G38=0,IF(T$11=$H38,"◆",""),IF(AND(T$11&gt;=$H38,T$11&lt;=$I38),1,""))</f>
        <v/>
      </c>
      <c r="U38" s="448" t="str">
        <f aca="false">IF($G38=0,IF(U$11=$H38,"◆",""),IF(AND(U$11&gt;=$H38,U$11&lt;=$I38),1,""))</f>
        <v/>
      </c>
      <c r="V38" s="448" t="str">
        <f aca="false">IF($G38=0,IF(V$11=$H38,"◆",""),IF(AND(V$11&gt;=$H38,V$11&lt;=$I38),1,""))</f>
        <v/>
      </c>
      <c r="W38" s="448" t="str">
        <f aca="false">IF($G38=0,IF(W$11=$H38,"◆",""),IF(AND(W$11&gt;=$H38,W$11&lt;=$I38),1,""))</f>
        <v/>
      </c>
      <c r="X38" s="448" t="str">
        <f aca="false">IF($G38=0,IF(X$11=$H38,"◆",""),IF(AND(X$11&gt;=$H38,X$11&lt;=$I38),1,""))</f>
        <v/>
      </c>
      <c r="Y38" s="448" t="str">
        <f aca="false">IF($G38=0,IF(Y$11=$H38,"◆",""),IF(AND(Y$11&gt;=$H38,Y$11&lt;=$I38),1,""))</f>
        <v/>
      </c>
      <c r="Z38" s="448" t="str">
        <f aca="false">IF($G38=0,IF(Z$11=$H38,"◆",""),IF(AND(Z$11&gt;=$H38,Z$11&lt;=$I38),1,""))</f>
        <v/>
      </c>
      <c r="AA38" s="448" t="str">
        <f aca="false">IF($G38=0,IF(AA$11=$H38,"◆",""),IF(AND(AA$11&gt;=$H38,AA$11&lt;=$I38),1,""))</f>
        <v/>
      </c>
      <c r="AB38" s="448" t="str">
        <f aca="false">IF($G38=0,IF(AB$11=$H38,"◆",""),IF(AND(AB$11&gt;=$H38,AB$11&lt;=$I38),1,""))</f>
        <v/>
      </c>
      <c r="AC38" s="448" t="str">
        <f aca="false">IF($G38=0,IF(AC$11=$H38,"◆",""),IF(AND(AC$11&gt;=$H38,AC$11&lt;=$I38),1,""))</f>
        <v/>
      </c>
      <c r="AD38" s="448" t="str">
        <f aca="false">IF($G38=0,IF(AD$11=$H38,"◆",""),IF(AND(AD$11&gt;=$H38,AD$11&lt;=$I38),1,""))</f>
        <v/>
      </c>
      <c r="AE38" s="448" t="str">
        <f aca="false">IF($G38=0,IF(AE$11=$H38,"◆",""),IF(AND(AE$11&gt;=$H38,AE$11&lt;=$I38),1,""))</f>
        <v/>
      </c>
      <c r="AF38" s="448" t="str">
        <f aca="false">IF($G38=0,IF(AF$11=$H38,"◆",""),IF(AND(AF$11&gt;=$H38,AF$11&lt;=$I38),1,""))</f>
        <v/>
      </c>
      <c r="AG38" s="448" t="str">
        <f aca="false">IF($G38=0,IF(AG$11=$H38,"◆",""),IF(AND(AG$11&gt;=$H38,AG$11&lt;=$I38),1,""))</f>
        <v/>
      </c>
      <c r="AH38" s="448" t="str">
        <f aca="false">IF($G38=0,IF(AH$11=$H38,"◆",""),IF(AND(AH$11&gt;=$H38,AH$11&lt;=$I38),1,""))</f>
        <v/>
      </c>
      <c r="AI38" s="448" t="str">
        <f aca="false">IF($G38=0,IF(AI$11=$H38,"◆",""),IF(AND(AI$11&gt;=$H38,AI$11&lt;=$I38),1,""))</f>
        <v/>
      </c>
      <c r="AJ38" s="448" t="str">
        <f aca="false">IF($G38=0,IF(AJ$11=$H38,"◆",""),IF(AND(AJ$11&gt;=$H38,AJ$11&lt;=$I38),1,""))</f>
        <v/>
      </c>
      <c r="AK38" s="448" t="n">
        <f aca="false">IF($G38=0,IF(AK$11=$H38,"◆",""),IF(AND(AK$11&gt;=$H38,AK$11&lt;=$I38),1,""))</f>
        <v>1</v>
      </c>
      <c r="AL38" s="448" t="n">
        <f aca="false">IF($G38=0,IF(AL$11=$H38,"◆",""),IF(AND(AL$11&gt;=$H38,AL$11&lt;=$I38),1,""))</f>
        <v>1</v>
      </c>
      <c r="AM38" s="448" t="n">
        <f aca="false">IF($G38=0,IF(AM$11=$H38,"◆",""),IF(AND(AM$11&gt;=$H38,AM$11&lt;=$I38),1,""))</f>
        <v>1</v>
      </c>
      <c r="AN38" s="448" t="n">
        <f aca="false">IF($G38=0,IF(AN$11=$H38,"◆",""),IF(AND(AN$11&gt;=$H38,AN$11&lt;=$I38),1,""))</f>
        <v>1</v>
      </c>
      <c r="AO38" s="448" t="n">
        <f aca="false">IF($G38=0,IF(AO$11=$H38,"◆",""),IF(AND(AO$11&gt;=$H38,AO$11&lt;=$I38),1,""))</f>
        <v>1</v>
      </c>
      <c r="AP38" s="448" t="n">
        <f aca="false">IF($G38=0,IF(AP$11=$H38,"◆",""),IF(AND(AP$11&gt;=$H38,AP$11&lt;=$I38),1,""))</f>
        <v>1</v>
      </c>
      <c r="AQ38" s="448" t="n">
        <f aca="false">IF($G38=0,IF(AQ$11=$H38,"◆",""),IF(AND(AQ$11&gt;=$H38,AQ$11&lt;=$I38),1,""))</f>
        <v>1</v>
      </c>
      <c r="AR38" s="448" t="n">
        <f aca="false">IF($G38=0,IF(AR$11=$H38,"◆",""),IF(AND(AR$11&gt;=$H38,AR$11&lt;=$I38),1,""))</f>
        <v>1</v>
      </c>
      <c r="AS38" s="448" t="n">
        <f aca="false">IF($G38=0,IF(AS$11=$H38,"◆",""),IF(AND(AS$11&gt;=$H38,AS$11&lt;=$I38),1,""))</f>
        <v>1</v>
      </c>
      <c r="AT38" s="448" t="n">
        <f aca="false">IF($G38=0,IF(AT$11=$H38,"◆",""),IF(AND(AT$11&gt;=$H38,AT$11&lt;=$I38),1,""))</f>
        <v>1</v>
      </c>
      <c r="AU38" s="448" t="n">
        <f aca="false">IF($G38=0,IF(AU$11=$H38,"◆",""),IF(AND(AU$11&gt;=$H38,AU$11&lt;=$I38),1,""))</f>
        <v>1</v>
      </c>
      <c r="AV38" s="448" t="n">
        <f aca="false">IF($G38=0,IF(AV$11=$H38,"◆",""),IF(AND(AV$11&gt;=$H38,AV$11&lt;=$I38),1,""))</f>
        <v>1</v>
      </c>
      <c r="AW38" s="448" t="str">
        <f aca="false">IF($G38=0,IF(AW$11=$H38,"◆",""),IF(AND(AW$11&gt;=$H38,AW$11&lt;=$I38),1,""))</f>
        <v/>
      </c>
      <c r="AX38" s="448" t="str">
        <f aca="false">IF($G38=0,IF(AX$11=$H38,"◆",""),IF(AND(AX$11&gt;=$H38,AX$11&lt;=$I38),1,""))</f>
        <v/>
      </c>
      <c r="AY38" s="448" t="str">
        <f aca="false">IF($G38=0,IF(AY$11=$H38,"◆",""),IF(AND(AY$11&gt;=$H38,AY$11&lt;=$I38),1,""))</f>
        <v/>
      </c>
      <c r="AZ38" s="448" t="str">
        <f aca="false">IF($G38=0,IF(AZ$11=$H38,"◆",""),IF(AND(AZ$11&gt;=$H38,AZ$11&lt;=$I38),1,""))</f>
        <v/>
      </c>
      <c r="BA38" s="448" t="str">
        <f aca="false">IF($G38=0,IF(BA$11=$H38,"◆",""),IF(AND(BA$11&gt;=$H38,BA$11&lt;=$I38),1,""))</f>
        <v/>
      </c>
      <c r="BB38" s="448" t="str">
        <f aca="false">IF($G38=0,IF(BB$11=$H38,"◆",""),IF(AND(BB$11&gt;=$H38,BB$11&lt;=$I38),1,""))</f>
        <v/>
      </c>
      <c r="BC38" s="448" t="str">
        <f aca="false">IF($G38=0,IF(BC$11=$H38,"◆",""),IF(AND(BC$11&gt;=$H38,BC$11&lt;=$I38),1,""))</f>
        <v/>
      </c>
      <c r="BD38" s="448" t="str">
        <f aca="false">IF($G38=0,IF(BD$11=$H38,"◆",""),IF(AND(BD$11&gt;=$H38,BD$11&lt;=$I38),1,""))</f>
        <v/>
      </c>
      <c r="BE38" s="448" t="str">
        <f aca="false">IF($G38=0,IF(BE$11=$H38,"◆",""),IF(AND(BE$11&gt;=$H38,BE$11&lt;=$I38),1,""))</f>
        <v/>
      </c>
      <c r="BF38" s="448" t="str">
        <f aca="false">IF($G38=0,IF(BF$11=$H38,"◆",""),IF(AND(BF$11&gt;=$H38,BF$11&lt;=$I38),1,""))</f>
        <v/>
      </c>
      <c r="BG38" s="448" t="str">
        <f aca="false">IF($G38=0,IF(BG$11=$H38,"◆",""),IF(AND(BG$11&gt;=$H38,BG$11&lt;=$I38),1,""))</f>
        <v/>
      </c>
      <c r="BH38" s="448" t="str">
        <f aca="false">IF($G38=0,IF(BH$11=$H38,"◆",""),IF(AND(BH$11&gt;=$H38,BH$11&lt;=$I38),1,""))</f>
        <v/>
      </c>
      <c r="BI38" s="448" t="str">
        <f aca="false">IF($G38=0,IF(BI$11=$H38,"◆",""),IF(AND(BI$11&gt;=$H38,BI$11&lt;=$I38),1,""))</f>
        <v/>
      </c>
      <c r="BJ38" s="448" t="str">
        <f aca="false">IF($G38=0,IF(BJ$11=$H38,"◆",""),IF(AND(BJ$11&gt;=$H38,BJ$11&lt;=$I38),1,""))</f>
        <v/>
      </c>
      <c r="BK38" s="448" t="str">
        <f aca="false">IF($G38=0,IF(BK$11=$H38,"◆",""),IF(AND(BK$11&gt;=$H38,BK$11&lt;=$I38),1,""))</f>
        <v/>
      </c>
      <c r="BL38" s="448" t="str">
        <f aca="false">IF($G38=0,IF(BL$11=$H38,"◆",""),IF(AND(BL$11&gt;=$H38,BL$11&lt;=$I38),1,""))</f>
        <v/>
      </c>
      <c r="BM38" s="448" t="str">
        <f aca="false">IF($G38=0,IF(BM$11=$H38,"◆",""),IF(AND(BM$11&gt;=$H38,BM$11&lt;=$I38),1,""))</f>
        <v/>
      </c>
      <c r="BN38" s="448" t="str">
        <f aca="false">IF($G38=0,IF(BN$11=$H38,"◆",""),IF(AND(BN$11&gt;=$H38,BN$11&lt;=$I38),1,""))</f>
        <v/>
      </c>
      <c r="BO38" s="448" t="str">
        <f aca="false">IF($G38=0,IF(BO$11=$H38,"◆",""),IF(AND(BO$11&gt;=$H38,BO$11&lt;=$I38),1,""))</f>
        <v/>
      </c>
      <c r="BP38" s="448" t="str">
        <f aca="false">IF($G38=0,IF(BP$11=$H38,"◆",""),IF(AND(BP$11&gt;=$H38,BP$11&lt;=$I38),1,""))</f>
        <v/>
      </c>
      <c r="BQ38" s="448" t="str">
        <f aca="false">IF($G38=0,IF(BQ$11=$H38,"◆",""),IF(AND(BQ$11&gt;=$H38,BQ$11&lt;=$I38),1,""))</f>
        <v/>
      </c>
      <c r="BR38" s="448" t="str">
        <f aca="false">IF($G38=0,IF(BR$11=$H38,"◆",""),IF(AND(BR$11&gt;=$H38,BR$11&lt;=$I38),1,""))</f>
        <v/>
      </c>
      <c r="BS38" s="448" t="str">
        <f aca="false">IF($G38=0,IF(BS$11=$H38,"◆",""),IF(AND(BS$11&gt;=$H38,BS$11&lt;=$I38),1,""))</f>
        <v/>
      </c>
      <c r="BT38" s="448" t="str">
        <f aca="false">IF($G38=0,IF(BT$11=$H38,"◆",""),IF(AND(BT$11&gt;=$H38,BT$11&lt;=$I38),1,""))</f>
        <v/>
      </c>
      <c r="BU38" s="448" t="str">
        <f aca="false">IF($G38=0,IF(BU$11=$H38,"◆",""),IF(AND(BU$11&gt;=$H38,BU$11&lt;=$I38),1,""))</f>
        <v/>
      </c>
      <c r="BV38" s="448" t="str">
        <f aca="false">IF($G38=0,IF(BV$11=$H38,"◆",""),IF(AND(BV$11&gt;=$H38,BV$11&lt;=$I38),1,""))</f>
        <v/>
      </c>
      <c r="BW38" s="448" t="str">
        <f aca="false">IF($G38=0,IF(BW$11=$H38,"◆",""),IF(AND(BW$11&gt;=$H38,BW$11&lt;=$I38),1,""))</f>
        <v/>
      </c>
      <c r="BX38" s="448" t="str">
        <f aca="false">IF($G38=0,IF(BX$11=$H38,"◆",""),IF(AND(BX$11&gt;=$H38,BX$11&lt;=$I38),1,""))</f>
        <v/>
      </c>
      <c r="BY38" s="448" t="str">
        <f aca="false">IF($G38=0,IF(BY$11=$H38,"◆",""),IF(AND(BY$11&gt;=$H38,BY$11&lt;=$I38),1,""))</f>
        <v/>
      </c>
      <c r="BZ38" s="448" t="str">
        <f aca="false">IF($G38=0,IF(BZ$11=$H38,"◆",""),IF(AND(BZ$11&gt;=$H38,BZ$11&lt;=$I38),1,""))</f>
        <v/>
      </c>
      <c r="CA38" s="448" t="str">
        <f aca="false">IF($G38=0,IF(CA$11=$H38,"◆",""),IF(AND(CA$11&gt;=$H38,CA$11&lt;=$I38),1,""))</f>
        <v/>
      </c>
      <c r="CB38" s="448" t="str">
        <f aca="false">IF($G38=0,IF(CB$11=$H38,"◆",""),IF(AND(CB$11&gt;=$H38,CB$11&lt;=$I38),1,""))</f>
        <v/>
      </c>
      <c r="CC38" s="448" t="str">
        <f aca="false">IF($G38=0,IF(CC$11=$H38,"◆",""),IF(AND(CC$11&gt;=$H38,CC$11&lt;=$I38),1,""))</f>
        <v/>
      </c>
      <c r="CD38" s="448" t="str">
        <f aca="false">IF($G38=0,IF(CD$11=$H38,"◆",""),IF(AND(CD$11&gt;=$H38,CD$11&lt;=$I38),1,""))</f>
        <v/>
      </c>
      <c r="CE38" s="448" t="str">
        <f aca="false">IF($G38=0,IF(CE$11=$H38,"◆",""),IF(AND(CE$11&gt;=$H38,CE$11&lt;=$I38),1,""))</f>
        <v/>
      </c>
      <c r="CF38" s="448" t="str">
        <f aca="false">IF($G38=0,IF(CF$11=$H38,"◆",""),IF(AND(CF$11&gt;=$H38,CF$11&lt;=$I38),1,""))</f>
        <v/>
      </c>
      <c r="CG38" s="448" t="str">
        <f aca="false">IF($G38=0,IF(CG$11=$H38,"◆",""),IF(AND(CG$11&gt;=$H38,CG$11&lt;=$I38),1,""))</f>
        <v/>
      </c>
      <c r="CH38" s="448" t="str">
        <f aca="false">IF($G38=0,IF(CH$11=$H38,"◆",""),IF(AND(CH$11&gt;=$H38,CH$11&lt;=$I38),1,""))</f>
        <v/>
      </c>
      <c r="CI38" s="448" t="str">
        <f aca="false">IF($G38=0,IF(CI$11=$H38,"◆",""),IF(AND(CI$11&gt;=$H38,CI$11&lt;=$I38),1,""))</f>
        <v/>
      </c>
      <c r="CJ38" s="448" t="str">
        <f aca="false">IF($G38=0,IF(CJ$11=$H38,"◆",""),IF(AND(CJ$11&gt;=$H38,CJ$11&lt;=$I38),1,""))</f>
        <v/>
      </c>
      <c r="CK38" s="448" t="str">
        <f aca="false">IF($G38=0,IF(CK$11=$H38,"◆",""),IF(AND(CK$11&gt;=$H38,CK$11&lt;=$I38),1,""))</f>
        <v/>
      </c>
      <c r="CL38" s="448" t="str">
        <f aca="false">IF($G38=0,IF(CL$11=$H38,"◆",""),IF(AND(CL$11&gt;=$H38,CL$11&lt;=$I38),1,""))</f>
        <v/>
      </c>
      <c r="CM38" s="448" t="str">
        <f aca="false">IF($G38=0,IF(CM$11=$H38,"◆",""),IF(AND(CM$11&gt;=$H38,CM$11&lt;=$I38),1,""))</f>
        <v/>
      </c>
      <c r="CN38" s="448" t="str">
        <f aca="false">IF($G38=0,IF(CN$11=$H38,"◆",""),IF(AND(CN$11&gt;=$H38,CN$11&lt;=$I38),1,""))</f>
        <v/>
      </c>
      <c r="CO38" s="448" t="str">
        <f aca="false">IF($G38=0,IF(CO$11=$H38,"◆",""),IF(AND(CO$11&gt;=$H38,CO$11&lt;=$I38),1,""))</f>
        <v/>
      </c>
      <c r="CP38" s="448" t="str">
        <f aca="false">IF($G38=0,IF(CP$11=$H38,"◆",""),IF(AND(CP$11&gt;=$H38,CP$11&lt;=$I38),1,""))</f>
        <v/>
      </c>
      <c r="CQ38" s="448" t="str">
        <f aca="false">IF($G38=0,IF(CQ$11=$H38,"◆",""),IF(AND(CQ$11&gt;=$H38,CQ$11&lt;=$I38),1,""))</f>
        <v/>
      </c>
      <c r="CR38" s="448" t="str">
        <f aca="false">IF($G38=0,IF(CR$11=$H38,"◆",""),IF(AND(CR$11&gt;=$H38,CR$11&lt;=$I38),1,""))</f>
        <v/>
      </c>
      <c r="CS38" s="448" t="str">
        <f aca="false">IF($G38=0,IF(CS$11=$H38,"◆",""),IF(AND(CS$11&gt;=$H38,CS$11&lt;=$I38),1,""))</f>
        <v/>
      </c>
      <c r="CT38" s="448" t="str">
        <f aca="false">IF($G38=0,IF(CT$11=$H38,"◆",""),IF(AND(CT$11&gt;=$H38,CT$11&lt;=$I38),1,""))</f>
        <v/>
      </c>
      <c r="CU38" s="448" t="str">
        <f aca="false">IF($G38=0,IF(CU$11=$H38,"◆",""),IF(AND(CU$11&gt;=$H38,CU$11&lt;=$I38),1,""))</f>
        <v/>
      </c>
      <c r="CV38" s="448" t="str">
        <f aca="false">IF($G38=0,IF(CV$11=$H38,"◆",""),IF(AND(CV$11&gt;=$H38,CV$11&lt;=$I38),1,""))</f>
        <v/>
      </c>
      <c r="CW38" s="448" t="str">
        <f aca="false">IF($G38=0,IF(CW$11=$H38,"◆",""),IF(AND(CW$11&gt;=$H38,CW$11&lt;=$I38),1,""))</f>
        <v/>
      </c>
      <c r="CX38" s="448" t="str">
        <f aca="false">IF($G38=0,IF(CX$11=$H38,"◆",""),IF(AND(CX$11&gt;=$H38,CX$11&lt;=$I38),1,""))</f>
        <v/>
      </c>
      <c r="CY38" s="448" t="str">
        <f aca="false">IF($G38=0,IF(CY$11=$H38,"◆",""),IF(AND(CY$11&gt;=$H38,CY$11&lt;=$I38),1,""))</f>
        <v/>
      </c>
      <c r="CZ38" s="448" t="str">
        <f aca="false">IF($G38=0,IF(CZ$11=$H38,"◆",""),IF(AND(CZ$11&gt;=$H38,CZ$11&lt;=$I38),1,""))</f>
        <v/>
      </c>
      <c r="DA38" s="448" t="str">
        <f aca="false">IF($G38=0,IF(DA$11=$H38,"◆",""),IF(AND(DA$11&gt;=$H38,DA$11&lt;=$I38),1,""))</f>
        <v/>
      </c>
      <c r="DB38" s="448" t="str">
        <f aca="false">IF($G38=0,IF(DB$11=$H38,"◆",""),IF(AND(DB$11&gt;=$H38,DB$11&lt;=$I38),1,""))</f>
        <v/>
      </c>
      <c r="DC38" s="448" t="str">
        <f aca="false">IF($G38=0,IF(DC$11=$H38,"◆",""),IF(AND(DC$11&gt;=$H38,DC$11&lt;=$I38),1,""))</f>
        <v/>
      </c>
      <c r="DD38" s="448" t="str">
        <f aca="false">IF($G38=0,IF(DD$11=$H38,"◆",""),IF(AND(DD$11&gt;=$H38,DD$11&lt;=$I38),1,""))</f>
        <v/>
      </c>
      <c r="DE38" s="448" t="str">
        <f aca="false">IF($G38=0,IF(DE$11=$H38,"◆",""),IF(AND(DE$11&gt;=$H38,DE$11&lt;=$I38),1,""))</f>
        <v/>
      </c>
      <c r="DF38" s="448" t="str">
        <f aca="false">IF($G38=0,IF(DF$11=$H38,"◆",""),IF(AND(DF$11&gt;=$H38,DF$11&lt;=$I38),1,""))</f>
        <v/>
      </c>
      <c r="DG38" s="448" t="str">
        <f aca="false">IF($G38=0,IF(DG$11=$H38,"◆",""),IF(AND(DG$11&gt;=$H38,DG$11&lt;=$I38),1,""))</f>
        <v/>
      </c>
      <c r="DH38" s="448" t="str">
        <f aca="false">IF($G38=0,IF(DH$11=$H38,"◆",""),IF(AND(DH$11&gt;=$H38,DH$11&lt;=$I38),1,""))</f>
        <v/>
      </c>
      <c r="DI38" s="448" t="str">
        <f aca="false">IF($G38=0,IF(DI$11=$H38,"◆",""),IF(AND(DI$11&gt;=$H38,DI$11&lt;=$I38),1,""))</f>
        <v/>
      </c>
      <c r="DJ38" s="448" t="str">
        <f aca="false">IF($G38=0,IF(DJ$11=$H38,"◆",""),IF(AND(DJ$11&gt;=$H38,DJ$11&lt;=$I38),1,""))</f>
        <v/>
      </c>
      <c r="DK38" s="448" t="str">
        <f aca="false">IF($G38=0,IF(DK$11=$H38,"◆",""),IF(AND(DK$11&gt;=$H38,DK$11&lt;=$I38),1,""))</f>
        <v/>
      </c>
      <c r="DL38" s="448" t="str">
        <f aca="false">IF($G38=0,IF(DL$11=$H38,"◆",""),IF(AND(DL$11&gt;=$H38,DL$11&lt;=$I38),1,""))</f>
        <v/>
      </c>
      <c r="DM38" s="448" t="str">
        <f aca="false">IF($G38=0,IF(DM$11=$H38,"◆",""),IF(AND(DM$11&gt;=$H38,DM$11&lt;=$I38),1,""))</f>
        <v/>
      </c>
      <c r="DN38" s="448" t="str">
        <f aca="false">IF($G38=0,IF(DN$11=$H38,"◆",""),IF(AND(DN$11&gt;=$H38,DN$11&lt;=$I38),1,""))</f>
        <v/>
      </c>
      <c r="DO38" s="448" t="str">
        <f aca="false">IF($G38=0,IF(DO$11=$H38,"◆",""),IF(AND(DO$11&gt;=$H38,DO$11&lt;=$I38),1,""))</f>
        <v/>
      </c>
      <c r="DP38" s="448" t="str">
        <f aca="false">IF($G38=0,IF(DP$11=$H38,"◆",""),IF(AND(DP$11&gt;=$H38,DP$11&lt;=$I38),1,""))</f>
        <v/>
      </c>
      <c r="DQ38" s="448" t="str">
        <f aca="false">IF($G38=0,IF(DQ$11=$H38,"◆",""),IF(AND(DQ$11&gt;=$H38,DQ$11&lt;=$I38),1,""))</f>
        <v/>
      </c>
      <c r="DR38" s="448" t="str">
        <f aca="false">IF($G38=0,IF(DR$11=$H38,"◆",""),IF(AND(DR$11&gt;=$H38,DR$11&lt;=$I38),1,""))</f>
        <v/>
      </c>
      <c r="DS38" s="448" t="str">
        <f aca="false">IF($G38=0,IF(DS$11=$H38,"◆",""),IF(AND(DS$11&gt;=$H38,DS$11&lt;=$I38),1,""))</f>
        <v/>
      </c>
      <c r="DT38" s="448" t="str">
        <f aca="false">IF($G38=0,IF(DT$11=$H38,"◆",""),IF(AND(DT$11&gt;=$H38,DT$11&lt;=$I38),1,""))</f>
        <v/>
      </c>
      <c r="DU38" s="448" t="str">
        <f aca="false">IF($G38=0,IF(DU$11=$H38,"◆",""),IF(AND(DU$11&gt;=$H38,DU$11&lt;=$I38),1,""))</f>
        <v/>
      </c>
      <c r="DV38" s="448" t="str">
        <f aca="false">IF($G38=0,IF(DV$11=$H38,"◆",""),IF(AND(DV$11&gt;=$H38,DV$11&lt;=$I38),1,""))</f>
        <v/>
      </c>
      <c r="DW38" s="448" t="str">
        <f aca="false">IF($G38=0,IF(DW$11=$H38,"◆",""),IF(AND(DW$11&gt;=$H38,DW$11&lt;=$I38),1,""))</f>
        <v/>
      </c>
      <c r="DX38" s="448" t="str">
        <f aca="false">IF($G38=0,IF(DX$11=$H38,"◆",""),IF(AND(DX$11&gt;=$H38,DX$11&lt;=$I38),1,""))</f>
        <v/>
      </c>
      <c r="DY38" s="448" t="str">
        <f aca="false">IF($G38=0,IF(DY$11=$H38,"◆",""),IF(AND(DY$11&gt;=$H38,DY$11&lt;=$I38),1,""))</f>
        <v/>
      </c>
      <c r="DZ38" s="448" t="str">
        <f aca="false">IF($G38=0,IF(DZ$11=$H38,"◆",""),IF(AND(DZ$11&gt;=$H38,DZ$11&lt;=$I38),1,""))</f>
        <v/>
      </c>
      <c r="EA38" s="448" t="str">
        <f aca="false">IF($G38=0,IF(EA$11=$H38,"◆",""),IF(AND(EA$11&gt;=$H38,EA$11&lt;=$I38),1,""))</f>
        <v/>
      </c>
      <c r="EB38" s="448" t="str">
        <f aca="false">IF($G38=0,IF(EB$11=$H38,"◆",""),IF(AND(EB$11&gt;=$H38,EB$11&lt;=$I38),1,""))</f>
        <v/>
      </c>
      <c r="EC38" s="448" t="str">
        <f aca="false">IF($G38=0,IF(EC$11=$H38,"◆",""),IF(AND(EC$11&gt;=$H38,EC$11&lt;=$I38),1,""))</f>
        <v/>
      </c>
      <c r="ED38" s="448" t="str">
        <f aca="false">IF($G38=0,IF(ED$11=$H38,"◆",""),IF(AND(ED$11&gt;=$H38,ED$11&lt;=$I38),1,""))</f>
        <v/>
      </c>
    </row>
    <row r="39" customFormat="false" ht="15" hidden="false" customHeight="true" outlineLevel="0" collapsed="false">
      <c r="A39" s="441" t="s">
        <v>2497</v>
      </c>
      <c r="B39" s="297" t="s">
        <v>2498</v>
      </c>
      <c r="C39" s="442" t="s">
        <v>2499</v>
      </c>
      <c r="D39" s="443" t="s">
        <v>2500</v>
      </c>
      <c r="E39" s="354" t="n">
        <f aca="false">FC_SUPUESTOS!$C$23</f>
        <v>10</v>
      </c>
      <c r="F39" s="352" t="n">
        <v>-8</v>
      </c>
      <c r="G39" s="352" t="n">
        <v>10</v>
      </c>
      <c r="H39" s="367" t="n">
        <f aca="false">MAX(1,ROUND(($E39-1)*$D$5,0)+1+$F39)</f>
        <v>32</v>
      </c>
      <c r="I39" s="367" t="n">
        <f aca="false">MAX($H39,$H39+$G39-1)</f>
        <v>41</v>
      </c>
      <c r="J39" s="444" t="n">
        <f aca="false">$D$4+($H39-1)*7</f>
        <v>46517</v>
      </c>
      <c r="K39" s="444" t="n">
        <f aca="false">$D$4+$I39*7-1</f>
        <v>46586</v>
      </c>
      <c r="L39" s="445" t="n">
        <f aca="false">ROUNDUP($H39/$D$5,0)</f>
        <v>8</v>
      </c>
      <c r="M39" s="446" t="s">
        <v>2453</v>
      </c>
      <c r="N39" s="447" t="n">
        <v>0</v>
      </c>
      <c r="O39" s="448" t="str">
        <f aca="false">IF($G39=0,IF(O$11=$H39,"◆",""),IF(AND(O$11&gt;=$H39,O$11&lt;=$I39),1,""))</f>
        <v/>
      </c>
      <c r="P39" s="448" t="str">
        <f aca="false">IF($G39=0,IF(P$11=$H39,"◆",""),IF(AND(P$11&gt;=$H39,P$11&lt;=$I39),1,""))</f>
        <v/>
      </c>
      <c r="Q39" s="448" t="str">
        <f aca="false">IF($G39=0,IF(Q$11=$H39,"◆",""),IF(AND(Q$11&gt;=$H39,Q$11&lt;=$I39),1,""))</f>
        <v/>
      </c>
      <c r="R39" s="448" t="str">
        <f aca="false">IF($G39=0,IF(R$11=$H39,"◆",""),IF(AND(R$11&gt;=$H39,R$11&lt;=$I39),1,""))</f>
        <v/>
      </c>
      <c r="S39" s="448" t="str">
        <f aca="false">IF($G39=0,IF(S$11=$H39,"◆",""),IF(AND(S$11&gt;=$H39,S$11&lt;=$I39),1,""))</f>
        <v/>
      </c>
      <c r="T39" s="448" t="str">
        <f aca="false">IF($G39=0,IF(T$11=$H39,"◆",""),IF(AND(T$11&gt;=$H39,T$11&lt;=$I39),1,""))</f>
        <v/>
      </c>
      <c r="U39" s="448" t="str">
        <f aca="false">IF($G39=0,IF(U$11=$H39,"◆",""),IF(AND(U$11&gt;=$H39,U$11&lt;=$I39),1,""))</f>
        <v/>
      </c>
      <c r="V39" s="448" t="str">
        <f aca="false">IF($G39=0,IF(V$11=$H39,"◆",""),IF(AND(V$11&gt;=$H39,V$11&lt;=$I39),1,""))</f>
        <v/>
      </c>
      <c r="W39" s="448" t="str">
        <f aca="false">IF($G39=0,IF(W$11=$H39,"◆",""),IF(AND(W$11&gt;=$H39,W$11&lt;=$I39),1,""))</f>
        <v/>
      </c>
      <c r="X39" s="448" t="str">
        <f aca="false">IF($G39=0,IF(X$11=$H39,"◆",""),IF(AND(X$11&gt;=$H39,X$11&lt;=$I39),1,""))</f>
        <v/>
      </c>
      <c r="Y39" s="448" t="str">
        <f aca="false">IF($G39=0,IF(Y$11=$H39,"◆",""),IF(AND(Y$11&gt;=$H39,Y$11&lt;=$I39),1,""))</f>
        <v/>
      </c>
      <c r="Z39" s="448" t="str">
        <f aca="false">IF($G39=0,IF(Z$11=$H39,"◆",""),IF(AND(Z$11&gt;=$H39,Z$11&lt;=$I39),1,""))</f>
        <v/>
      </c>
      <c r="AA39" s="448" t="str">
        <f aca="false">IF($G39=0,IF(AA$11=$H39,"◆",""),IF(AND(AA$11&gt;=$H39,AA$11&lt;=$I39),1,""))</f>
        <v/>
      </c>
      <c r="AB39" s="448" t="str">
        <f aca="false">IF($G39=0,IF(AB$11=$H39,"◆",""),IF(AND(AB$11&gt;=$H39,AB$11&lt;=$I39),1,""))</f>
        <v/>
      </c>
      <c r="AC39" s="448" t="str">
        <f aca="false">IF($G39=0,IF(AC$11=$H39,"◆",""),IF(AND(AC$11&gt;=$H39,AC$11&lt;=$I39),1,""))</f>
        <v/>
      </c>
      <c r="AD39" s="448" t="str">
        <f aca="false">IF($G39=0,IF(AD$11=$H39,"◆",""),IF(AND(AD$11&gt;=$H39,AD$11&lt;=$I39),1,""))</f>
        <v/>
      </c>
      <c r="AE39" s="448" t="str">
        <f aca="false">IF($G39=0,IF(AE$11=$H39,"◆",""),IF(AND(AE$11&gt;=$H39,AE$11&lt;=$I39),1,""))</f>
        <v/>
      </c>
      <c r="AF39" s="448" t="str">
        <f aca="false">IF($G39=0,IF(AF$11=$H39,"◆",""),IF(AND(AF$11&gt;=$H39,AF$11&lt;=$I39),1,""))</f>
        <v/>
      </c>
      <c r="AG39" s="448" t="str">
        <f aca="false">IF($G39=0,IF(AG$11=$H39,"◆",""),IF(AND(AG$11&gt;=$H39,AG$11&lt;=$I39),1,""))</f>
        <v/>
      </c>
      <c r="AH39" s="448" t="str">
        <f aca="false">IF($G39=0,IF(AH$11=$H39,"◆",""),IF(AND(AH$11&gt;=$H39,AH$11&lt;=$I39),1,""))</f>
        <v/>
      </c>
      <c r="AI39" s="448" t="str">
        <f aca="false">IF($G39=0,IF(AI$11=$H39,"◆",""),IF(AND(AI$11&gt;=$H39,AI$11&lt;=$I39),1,""))</f>
        <v/>
      </c>
      <c r="AJ39" s="448" t="str">
        <f aca="false">IF($G39=0,IF(AJ$11=$H39,"◆",""),IF(AND(AJ$11&gt;=$H39,AJ$11&lt;=$I39),1,""))</f>
        <v/>
      </c>
      <c r="AK39" s="448" t="str">
        <f aca="false">IF($G39=0,IF(AK$11=$H39,"◆",""),IF(AND(AK$11&gt;=$H39,AK$11&lt;=$I39),1,""))</f>
        <v/>
      </c>
      <c r="AL39" s="448" t="str">
        <f aca="false">IF($G39=0,IF(AL$11=$H39,"◆",""),IF(AND(AL$11&gt;=$H39,AL$11&lt;=$I39),1,""))</f>
        <v/>
      </c>
      <c r="AM39" s="448" t="str">
        <f aca="false">IF($G39=0,IF(AM$11=$H39,"◆",""),IF(AND(AM$11&gt;=$H39,AM$11&lt;=$I39),1,""))</f>
        <v/>
      </c>
      <c r="AN39" s="448" t="str">
        <f aca="false">IF($G39=0,IF(AN$11=$H39,"◆",""),IF(AND(AN$11&gt;=$H39,AN$11&lt;=$I39),1,""))</f>
        <v/>
      </c>
      <c r="AO39" s="448" t="str">
        <f aca="false">IF($G39=0,IF(AO$11=$H39,"◆",""),IF(AND(AO$11&gt;=$H39,AO$11&lt;=$I39),1,""))</f>
        <v/>
      </c>
      <c r="AP39" s="448" t="str">
        <f aca="false">IF($G39=0,IF(AP$11=$H39,"◆",""),IF(AND(AP$11&gt;=$H39,AP$11&lt;=$I39),1,""))</f>
        <v/>
      </c>
      <c r="AQ39" s="448" t="str">
        <f aca="false">IF($G39=0,IF(AQ$11=$H39,"◆",""),IF(AND(AQ$11&gt;=$H39,AQ$11&lt;=$I39),1,""))</f>
        <v/>
      </c>
      <c r="AR39" s="448" t="str">
        <f aca="false">IF($G39=0,IF(AR$11=$H39,"◆",""),IF(AND(AR$11&gt;=$H39,AR$11&lt;=$I39),1,""))</f>
        <v/>
      </c>
      <c r="AS39" s="448" t="str">
        <f aca="false">IF($G39=0,IF(AS$11=$H39,"◆",""),IF(AND(AS$11&gt;=$H39,AS$11&lt;=$I39),1,""))</f>
        <v/>
      </c>
      <c r="AT39" s="448" t="n">
        <f aca="false">IF($G39=0,IF(AT$11=$H39,"◆",""),IF(AND(AT$11&gt;=$H39,AT$11&lt;=$I39),1,""))</f>
        <v>1</v>
      </c>
      <c r="AU39" s="448" t="n">
        <f aca="false">IF($G39=0,IF(AU$11=$H39,"◆",""),IF(AND(AU$11&gt;=$H39,AU$11&lt;=$I39),1,""))</f>
        <v>1</v>
      </c>
      <c r="AV39" s="448" t="n">
        <f aca="false">IF($G39=0,IF(AV$11=$H39,"◆",""),IF(AND(AV$11&gt;=$H39,AV$11&lt;=$I39),1,""))</f>
        <v>1</v>
      </c>
      <c r="AW39" s="448" t="n">
        <f aca="false">IF($G39=0,IF(AW$11=$H39,"◆",""),IF(AND(AW$11&gt;=$H39,AW$11&lt;=$I39),1,""))</f>
        <v>1</v>
      </c>
      <c r="AX39" s="448" t="n">
        <f aca="false">IF($G39=0,IF(AX$11=$H39,"◆",""),IF(AND(AX$11&gt;=$H39,AX$11&lt;=$I39),1,""))</f>
        <v>1</v>
      </c>
      <c r="AY39" s="448" t="n">
        <f aca="false">IF($G39=0,IF(AY$11=$H39,"◆",""),IF(AND(AY$11&gt;=$H39,AY$11&lt;=$I39),1,""))</f>
        <v>1</v>
      </c>
      <c r="AZ39" s="448" t="n">
        <f aca="false">IF($G39=0,IF(AZ$11=$H39,"◆",""),IF(AND(AZ$11&gt;=$H39,AZ$11&lt;=$I39),1,""))</f>
        <v>1</v>
      </c>
      <c r="BA39" s="448" t="n">
        <f aca="false">IF($G39=0,IF(BA$11=$H39,"◆",""),IF(AND(BA$11&gt;=$H39,BA$11&lt;=$I39),1,""))</f>
        <v>1</v>
      </c>
      <c r="BB39" s="448" t="n">
        <f aca="false">IF($G39=0,IF(BB$11=$H39,"◆",""),IF(AND(BB$11&gt;=$H39,BB$11&lt;=$I39),1,""))</f>
        <v>1</v>
      </c>
      <c r="BC39" s="448" t="n">
        <f aca="false">IF($G39=0,IF(BC$11=$H39,"◆",""),IF(AND(BC$11&gt;=$H39,BC$11&lt;=$I39),1,""))</f>
        <v>1</v>
      </c>
      <c r="BD39" s="448" t="str">
        <f aca="false">IF($G39=0,IF(BD$11=$H39,"◆",""),IF(AND(BD$11&gt;=$H39,BD$11&lt;=$I39),1,""))</f>
        <v/>
      </c>
      <c r="BE39" s="448" t="str">
        <f aca="false">IF($G39=0,IF(BE$11=$H39,"◆",""),IF(AND(BE$11&gt;=$H39,BE$11&lt;=$I39),1,""))</f>
        <v/>
      </c>
      <c r="BF39" s="448" t="str">
        <f aca="false">IF($G39=0,IF(BF$11=$H39,"◆",""),IF(AND(BF$11&gt;=$H39,BF$11&lt;=$I39),1,""))</f>
        <v/>
      </c>
      <c r="BG39" s="448" t="str">
        <f aca="false">IF($G39=0,IF(BG$11=$H39,"◆",""),IF(AND(BG$11&gt;=$H39,BG$11&lt;=$I39),1,""))</f>
        <v/>
      </c>
      <c r="BH39" s="448" t="str">
        <f aca="false">IF($G39=0,IF(BH$11=$H39,"◆",""),IF(AND(BH$11&gt;=$H39,BH$11&lt;=$I39),1,""))</f>
        <v/>
      </c>
      <c r="BI39" s="448" t="str">
        <f aca="false">IF($G39=0,IF(BI$11=$H39,"◆",""),IF(AND(BI$11&gt;=$H39,BI$11&lt;=$I39),1,""))</f>
        <v/>
      </c>
      <c r="BJ39" s="448" t="str">
        <f aca="false">IF($G39=0,IF(BJ$11=$H39,"◆",""),IF(AND(BJ$11&gt;=$H39,BJ$11&lt;=$I39),1,""))</f>
        <v/>
      </c>
      <c r="BK39" s="448" t="str">
        <f aca="false">IF($G39=0,IF(BK$11=$H39,"◆",""),IF(AND(BK$11&gt;=$H39,BK$11&lt;=$I39),1,""))</f>
        <v/>
      </c>
      <c r="BL39" s="448" t="str">
        <f aca="false">IF($G39=0,IF(BL$11=$H39,"◆",""),IF(AND(BL$11&gt;=$H39,BL$11&lt;=$I39),1,""))</f>
        <v/>
      </c>
      <c r="BM39" s="448" t="str">
        <f aca="false">IF($G39=0,IF(BM$11=$H39,"◆",""),IF(AND(BM$11&gt;=$H39,BM$11&lt;=$I39),1,""))</f>
        <v/>
      </c>
      <c r="BN39" s="448" t="str">
        <f aca="false">IF($G39=0,IF(BN$11=$H39,"◆",""),IF(AND(BN$11&gt;=$H39,BN$11&lt;=$I39),1,""))</f>
        <v/>
      </c>
      <c r="BO39" s="448" t="str">
        <f aca="false">IF($G39=0,IF(BO$11=$H39,"◆",""),IF(AND(BO$11&gt;=$H39,BO$11&lt;=$I39),1,""))</f>
        <v/>
      </c>
      <c r="BP39" s="448" t="str">
        <f aca="false">IF($G39=0,IF(BP$11=$H39,"◆",""),IF(AND(BP$11&gt;=$H39,BP$11&lt;=$I39),1,""))</f>
        <v/>
      </c>
      <c r="BQ39" s="448" t="str">
        <f aca="false">IF($G39=0,IF(BQ$11=$H39,"◆",""),IF(AND(BQ$11&gt;=$H39,BQ$11&lt;=$I39),1,""))</f>
        <v/>
      </c>
      <c r="BR39" s="448" t="str">
        <f aca="false">IF($G39=0,IF(BR$11=$H39,"◆",""),IF(AND(BR$11&gt;=$H39,BR$11&lt;=$I39),1,""))</f>
        <v/>
      </c>
      <c r="BS39" s="448" t="str">
        <f aca="false">IF($G39=0,IF(BS$11=$H39,"◆",""),IF(AND(BS$11&gt;=$H39,BS$11&lt;=$I39),1,""))</f>
        <v/>
      </c>
      <c r="BT39" s="448" t="str">
        <f aca="false">IF($G39=0,IF(BT$11=$H39,"◆",""),IF(AND(BT$11&gt;=$H39,BT$11&lt;=$I39),1,""))</f>
        <v/>
      </c>
      <c r="BU39" s="448" t="str">
        <f aca="false">IF($G39=0,IF(BU$11=$H39,"◆",""),IF(AND(BU$11&gt;=$H39,BU$11&lt;=$I39),1,""))</f>
        <v/>
      </c>
      <c r="BV39" s="448" t="str">
        <f aca="false">IF($G39=0,IF(BV$11=$H39,"◆",""),IF(AND(BV$11&gt;=$H39,BV$11&lt;=$I39),1,""))</f>
        <v/>
      </c>
      <c r="BW39" s="448" t="str">
        <f aca="false">IF($G39=0,IF(BW$11=$H39,"◆",""),IF(AND(BW$11&gt;=$H39,BW$11&lt;=$I39),1,""))</f>
        <v/>
      </c>
      <c r="BX39" s="448" t="str">
        <f aca="false">IF($G39=0,IF(BX$11=$H39,"◆",""),IF(AND(BX$11&gt;=$H39,BX$11&lt;=$I39),1,""))</f>
        <v/>
      </c>
      <c r="BY39" s="448" t="str">
        <f aca="false">IF($G39=0,IF(BY$11=$H39,"◆",""),IF(AND(BY$11&gt;=$H39,BY$11&lt;=$I39),1,""))</f>
        <v/>
      </c>
      <c r="BZ39" s="448" t="str">
        <f aca="false">IF($G39=0,IF(BZ$11=$H39,"◆",""),IF(AND(BZ$11&gt;=$H39,BZ$11&lt;=$I39),1,""))</f>
        <v/>
      </c>
      <c r="CA39" s="448" t="str">
        <f aca="false">IF($G39=0,IF(CA$11=$H39,"◆",""),IF(AND(CA$11&gt;=$H39,CA$11&lt;=$I39),1,""))</f>
        <v/>
      </c>
      <c r="CB39" s="448" t="str">
        <f aca="false">IF($G39=0,IF(CB$11=$H39,"◆",""),IF(AND(CB$11&gt;=$H39,CB$11&lt;=$I39),1,""))</f>
        <v/>
      </c>
      <c r="CC39" s="448" t="str">
        <f aca="false">IF($G39=0,IF(CC$11=$H39,"◆",""),IF(AND(CC$11&gt;=$H39,CC$11&lt;=$I39),1,""))</f>
        <v/>
      </c>
      <c r="CD39" s="448" t="str">
        <f aca="false">IF($G39=0,IF(CD$11=$H39,"◆",""),IF(AND(CD$11&gt;=$H39,CD$11&lt;=$I39),1,""))</f>
        <v/>
      </c>
      <c r="CE39" s="448" t="str">
        <f aca="false">IF($G39=0,IF(CE$11=$H39,"◆",""),IF(AND(CE$11&gt;=$H39,CE$11&lt;=$I39),1,""))</f>
        <v/>
      </c>
      <c r="CF39" s="448" t="str">
        <f aca="false">IF($G39=0,IF(CF$11=$H39,"◆",""),IF(AND(CF$11&gt;=$H39,CF$11&lt;=$I39),1,""))</f>
        <v/>
      </c>
      <c r="CG39" s="448" t="str">
        <f aca="false">IF($G39=0,IF(CG$11=$H39,"◆",""),IF(AND(CG$11&gt;=$H39,CG$11&lt;=$I39),1,""))</f>
        <v/>
      </c>
      <c r="CH39" s="448" t="str">
        <f aca="false">IF($G39=0,IF(CH$11=$H39,"◆",""),IF(AND(CH$11&gt;=$H39,CH$11&lt;=$I39),1,""))</f>
        <v/>
      </c>
      <c r="CI39" s="448" t="str">
        <f aca="false">IF($G39=0,IF(CI$11=$H39,"◆",""),IF(AND(CI$11&gt;=$H39,CI$11&lt;=$I39),1,""))</f>
        <v/>
      </c>
      <c r="CJ39" s="448" t="str">
        <f aca="false">IF($G39=0,IF(CJ$11=$H39,"◆",""),IF(AND(CJ$11&gt;=$H39,CJ$11&lt;=$I39),1,""))</f>
        <v/>
      </c>
      <c r="CK39" s="448" t="str">
        <f aca="false">IF($G39=0,IF(CK$11=$H39,"◆",""),IF(AND(CK$11&gt;=$H39,CK$11&lt;=$I39),1,""))</f>
        <v/>
      </c>
      <c r="CL39" s="448" t="str">
        <f aca="false">IF($G39=0,IF(CL$11=$H39,"◆",""),IF(AND(CL$11&gt;=$H39,CL$11&lt;=$I39),1,""))</f>
        <v/>
      </c>
      <c r="CM39" s="448" t="str">
        <f aca="false">IF($G39=0,IF(CM$11=$H39,"◆",""),IF(AND(CM$11&gt;=$H39,CM$11&lt;=$I39),1,""))</f>
        <v/>
      </c>
      <c r="CN39" s="448" t="str">
        <f aca="false">IF($G39=0,IF(CN$11=$H39,"◆",""),IF(AND(CN$11&gt;=$H39,CN$11&lt;=$I39),1,""))</f>
        <v/>
      </c>
      <c r="CO39" s="448" t="str">
        <f aca="false">IF($G39=0,IF(CO$11=$H39,"◆",""),IF(AND(CO$11&gt;=$H39,CO$11&lt;=$I39),1,""))</f>
        <v/>
      </c>
      <c r="CP39" s="448" t="str">
        <f aca="false">IF($G39=0,IF(CP$11=$H39,"◆",""),IF(AND(CP$11&gt;=$H39,CP$11&lt;=$I39),1,""))</f>
        <v/>
      </c>
      <c r="CQ39" s="448" t="str">
        <f aca="false">IF($G39=0,IF(CQ$11=$H39,"◆",""),IF(AND(CQ$11&gt;=$H39,CQ$11&lt;=$I39),1,""))</f>
        <v/>
      </c>
      <c r="CR39" s="448" t="str">
        <f aca="false">IF($G39=0,IF(CR$11=$H39,"◆",""),IF(AND(CR$11&gt;=$H39,CR$11&lt;=$I39),1,""))</f>
        <v/>
      </c>
      <c r="CS39" s="448" t="str">
        <f aca="false">IF($G39=0,IF(CS$11=$H39,"◆",""),IF(AND(CS$11&gt;=$H39,CS$11&lt;=$I39),1,""))</f>
        <v/>
      </c>
      <c r="CT39" s="448" t="str">
        <f aca="false">IF($G39=0,IF(CT$11=$H39,"◆",""),IF(AND(CT$11&gt;=$H39,CT$11&lt;=$I39),1,""))</f>
        <v/>
      </c>
      <c r="CU39" s="448" t="str">
        <f aca="false">IF($G39=0,IF(CU$11=$H39,"◆",""),IF(AND(CU$11&gt;=$H39,CU$11&lt;=$I39),1,""))</f>
        <v/>
      </c>
      <c r="CV39" s="448" t="str">
        <f aca="false">IF($G39=0,IF(CV$11=$H39,"◆",""),IF(AND(CV$11&gt;=$H39,CV$11&lt;=$I39),1,""))</f>
        <v/>
      </c>
      <c r="CW39" s="448" t="str">
        <f aca="false">IF($G39=0,IF(CW$11=$H39,"◆",""),IF(AND(CW$11&gt;=$H39,CW$11&lt;=$I39),1,""))</f>
        <v/>
      </c>
      <c r="CX39" s="448" t="str">
        <f aca="false">IF($G39=0,IF(CX$11=$H39,"◆",""),IF(AND(CX$11&gt;=$H39,CX$11&lt;=$I39),1,""))</f>
        <v/>
      </c>
      <c r="CY39" s="448" t="str">
        <f aca="false">IF($G39=0,IF(CY$11=$H39,"◆",""),IF(AND(CY$11&gt;=$H39,CY$11&lt;=$I39),1,""))</f>
        <v/>
      </c>
      <c r="CZ39" s="448" t="str">
        <f aca="false">IF($G39=0,IF(CZ$11=$H39,"◆",""),IF(AND(CZ$11&gt;=$H39,CZ$11&lt;=$I39),1,""))</f>
        <v/>
      </c>
      <c r="DA39" s="448" t="str">
        <f aca="false">IF($G39=0,IF(DA$11=$H39,"◆",""),IF(AND(DA$11&gt;=$H39,DA$11&lt;=$I39),1,""))</f>
        <v/>
      </c>
      <c r="DB39" s="448" t="str">
        <f aca="false">IF($G39=0,IF(DB$11=$H39,"◆",""),IF(AND(DB$11&gt;=$H39,DB$11&lt;=$I39),1,""))</f>
        <v/>
      </c>
      <c r="DC39" s="448" t="str">
        <f aca="false">IF($G39=0,IF(DC$11=$H39,"◆",""),IF(AND(DC$11&gt;=$H39,DC$11&lt;=$I39),1,""))</f>
        <v/>
      </c>
      <c r="DD39" s="448" t="str">
        <f aca="false">IF($G39=0,IF(DD$11=$H39,"◆",""),IF(AND(DD$11&gt;=$H39,DD$11&lt;=$I39),1,""))</f>
        <v/>
      </c>
      <c r="DE39" s="448" t="str">
        <f aca="false">IF($G39=0,IF(DE$11=$H39,"◆",""),IF(AND(DE$11&gt;=$H39,DE$11&lt;=$I39),1,""))</f>
        <v/>
      </c>
      <c r="DF39" s="448" t="str">
        <f aca="false">IF($G39=0,IF(DF$11=$H39,"◆",""),IF(AND(DF$11&gt;=$H39,DF$11&lt;=$I39),1,""))</f>
        <v/>
      </c>
      <c r="DG39" s="448" t="str">
        <f aca="false">IF($G39=0,IF(DG$11=$H39,"◆",""),IF(AND(DG$11&gt;=$H39,DG$11&lt;=$I39),1,""))</f>
        <v/>
      </c>
      <c r="DH39" s="448" t="str">
        <f aca="false">IF($G39=0,IF(DH$11=$H39,"◆",""),IF(AND(DH$11&gt;=$H39,DH$11&lt;=$I39),1,""))</f>
        <v/>
      </c>
      <c r="DI39" s="448" t="str">
        <f aca="false">IF($G39=0,IF(DI$11=$H39,"◆",""),IF(AND(DI$11&gt;=$H39,DI$11&lt;=$I39),1,""))</f>
        <v/>
      </c>
      <c r="DJ39" s="448" t="str">
        <f aca="false">IF($G39=0,IF(DJ$11=$H39,"◆",""),IF(AND(DJ$11&gt;=$H39,DJ$11&lt;=$I39),1,""))</f>
        <v/>
      </c>
      <c r="DK39" s="448" t="str">
        <f aca="false">IF($G39=0,IF(DK$11=$H39,"◆",""),IF(AND(DK$11&gt;=$H39,DK$11&lt;=$I39),1,""))</f>
        <v/>
      </c>
      <c r="DL39" s="448" t="str">
        <f aca="false">IF($G39=0,IF(DL$11=$H39,"◆",""),IF(AND(DL$11&gt;=$H39,DL$11&lt;=$I39),1,""))</f>
        <v/>
      </c>
      <c r="DM39" s="448" t="str">
        <f aca="false">IF($G39=0,IF(DM$11=$H39,"◆",""),IF(AND(DM$11&gt;=$H39,DM$11&lt;=$I39),1,""))</f>
        <v/>
      </c>
      <c r="DN39" s="448" t="str">
        <f aca="false">IF($G39=0,IF(DN$11=$H39,"◆",""),IF(AND(DN$11&gt;=$H39,DN$11&lt;=$I39),1,""))</f>
        <v/>
      </c>
      <c r="DO39" s="448" t="str">
        <f aca="false">IF($G39=0,IF(DO$11=$H39,"◆",""),IF(AND(DO$11&gt;=$H39,DO$11&lt;=$I39),1,""))</f>
        <v/>
      </c>
      <c r="DP39" s="448" t="str">
        <f aca="false">IF($G39=0,IF(DP$11=$H39,"◆",""),IF(AND(DP$11&gt;=$H39,DP$11&lt;=$I39),1,""))</f>
        <v/>
      </c>
      <c r="DQ39" s="448" t="str">
        <f aca="false">IF($G39=0,IF(DQ$11=$H39,"◆",""),IF(AND(DQ$11&gt;=$H39,DQ$11&lt;=$I39),1,""))</f>
        <v/>
      </c>
      <c r="DR39" s="448" t="str">
        <f aca="false">IF($G39=0,IF(DR$11=$H39,"◆",""),IF(AND(DR$11&gt;=$H39,DR$11&lt;=$I39),1,""))</f>
        <v/>
      </c>
      <c r="DS39" s="448" t="str">
        <f aca="false">IF($G39=0,IF(DS$11=$H39,"◆",""),IF(AND(DS$11&gt;=$H39,DS$11&lt;=$I39),1,""))</f>
        <v/>
      </c>
      <c r="DT39" s="448" t="str">
        <f aca="false">IF($G39=0,IF(DT$11=$H39,"◆",""),IF(AND(DT$11&gt;=$H39,DT$11&lt;=$I39),1,""))</f>
        <v/>
      </c>
      <c r="DU39" s="448" t="str">
        <f aca="false">IF($G39=0,IF(DU$11=$H39,"◆",""),IF(AND(DU$11&gt;=$H39,DU$11&lt;=$I39),1,""))</f>
        <v/>
      </c>
      <c r="DV39" s="448" t="str">
        <f aca="false">IF($G39=0,IF(DV$11=$H39,"◆",""),IF(AND(DV$11&gt;=$H39,DV$11&lt;=$I39),1,""))</f>
        <v/>
      </c>
      <c r="DW39" s="448" t="str">
        <f aca="false">IF($G39=0,IF(DW$11=$H39,"◆",""),IF(AND(DW$11&gt;=$H39,DW$11&lt;=$I39),1,""))</f>
        <v/>
      </c>
      <c r="DX39" s="448" t="str">
        <f aca="false">IF($G39=0,IF(DX$11=$H39,"◆",""),IF(AND(DX$11&gt;=$H39,DX$11&lt;=$I39),1,""))</f>
        <v/>
      </c>
      <c r="DY39" s="448" t="str">
        <f aca="false">IF($G39=0,IF(DY$11=$H39,"◆",""),IF(AND(DY$11&gt;=$H39,DY$11&lt;=$I39),1,""))</f>
        <v/>
      </c>
      <c r="DZ39" s="448" t="str">
        <f aca="false">IF($G39=0,IF(DZ$11=$H39,"◆",""),IF(AND(DZ$11&gt;=$H39,DZ$11&lt;=$I39),1,""))</f>
        <v/>
      </c>
      <c r="EA39" s="448" t="str">
        <f aca="false">IF($G39=0,IF(EA$11=$H39,"◆",""),IF(AND(EA$11&gt;=$H39,EA$11&lt;=$I39),1,""))</f>
        <v/>
      </c>
      <c r="EB39" s="448" t="str">
        <f aca="false">IF($G39=0,IF(EB$11=$H39,"◆",""),IF(AND(EB$11&gt;=$H39,EB$11&lt;=$I39),1,""))</f>
        <v/>
      </c>
      <c r="EC39" s="448" t="str">
        <f aca="false">IF($G39=0,IF(EC$11=$H39,"◆",""),IF(AND(EC$11&gt;=$H39,EC$11&lt;=$I39),1,""))</f>
        <v/>
      </c>
      <c r="ED39" s="448" t="str">
        <f aca="false">IF($G39=0,IF(ED$11=$H39,"◆",""),IF(AND(ED$11&gt;=$H39,ED$11&lt;=$I39),1,""))</f>
        <v/>
      </c>
    </row>
    <row r="40" customFormat="false" ht="15" hidden="false" customHeight="true" outlineLevel="0" collapsed="false">
      <c r="A40" s="441" t="s">
        <v>2501</v>
      </c>
      <c r="B40" s="297" t="s">
        <v>2502</v>
      </c>
      <c r="C40" s="442" t="s">
        <v>2480</v>
      </c>
      <c r="D40" s="443" t="s">
        <v>2500</v>
      </c>
      <c r="E40" s="354" t="n">
        <f aca="false">FC_SUPUESTOS!$C$23</f>
        <v>10</v>
      </c>
      <c r="F40" s="352" t="n">
        <v>2</v>
      </c>
      <c r="G40" s="352" t="n">
        <v>16</v>
      </c>
      <c r="H40" s="367" t="n">
        <f aca="false">MAX(1,ROUND(($E40-1)*$D$5,0)+1+$F40)</f>
        <v>42</v>
      </c>
      <c r="I40" s="367" t="n">
        <f aca="false">MAX($H40,$H40+$G40-1)</f>
        <v>57</v>
      </c>
      <c r="J40" s="444" t="n">
        <f aca="false">$D$4+($H40-1)*7</f>
        <v>46587</v>
      </c>
      <c r="K40" s="444" t="n">
        <f aca="false">$D$4+$I40*7-1</f>
        <v>46698</v>
      </c>
      <c r="L40" s="445" t="n">
        <f aca="false">ROUNDUP($H40/$D$5,0)</f>
        <v>10</v>
      </c>
      <c r="M40" s="446"/>
      <c r="N40" s="447" t="n">
        <v>0</v>
      </c>
      <c r="O40" s="448" t="str">
        <f aca="false">IF($G40=0,IF(O$11=$H40,"◆",""),IF(AND(O$11&gt;=$H40,O$11&lt;=$I40),1,""))</f>
        <v/>
      </c>
      <c r="P40" s="448" t="str">
        <f aca="false">IF($G40=0,IF(P$11=$H40,"◆",""),IF(AND(P$11&gt;=$H40,P$11&lt;=$I40),1,""))</f>
        <v/>
      </c>
      <c r="Q40" s="448" t="str">
        <f aca="false">IF($G40=0,IF(Q$11=$H40,"◆",""),IF(AND(Q$11&gt;=$H40,Q$11&lt;=$I40),1,""))</f>
        <v/>
      </c>
      <c r="R40" s="448" t="str">
        <f aca="false">IF($G40=0,IF(R$11=$H40,"◆",""),IF(AND(R$11&gt;=$H40,R$11&lt;=$I40),1,""))</f>
        <v/>
      </c>
      <c r="S40" s="448" t="str">
        <f aca="false">IF($G40=0,IF(S$11=$H40,"◆",""),IF(AND(S$11&gt;=$H40,S$11&lt;=$I40),1,""))</f>
        <v/>
      </c>
      <c r="T40" s="448" t="str">
        <f aca="false">IF($G40=0,IF(T$11=$H40,"◆",""),IF(AND(T$11&gt;=$H40,T$11&lt;=$I40),1,""))</f>
        <v/>
      </c>
      <c r="U40" s="448" t="str">
        <f aca="false">IF($G40=0,IF(U$11=$H40,"◆",""),IF(AND(U$11&gt;=$H40,U$11&lt;=$I40),1,""))</f>
        <v/>
      </c>
      <c r="V40" s="448" t="str">
        <f aca="false">IF($G40=0,IF(V$11=$H40,"◆",""),IF(AND(V$11&gt;=$H40,V$11&lt;=$I40),1,""))</f>
        <v/>
      </c>
      <c r="W40" s="448" t="str">
        <f aca="false">IF($G40=0,IF(W$11=$H40,"◆",""),IF(AND(W$11&gt;=$H40,W$11&lt;=$I40),1,""))</f>
        <v/>
      </c>
      <c r="X40" s="448" t="str">
        <f aca="false">IF($G40=0,IF(X$11=$H40,"◆",""),IF(AND(X$11&gt;=$H40,X$11&lt;=$I40),1,""))</f>
        <v/>
      </c>
      <c r="Y40" s="448" t="str">
        <f aca="false">IF($G40=0,IF(Y$11=$H40,"◆",""),IF(AND(Y$11&gt;=$H40,Y$11&lt;=$I40),1,""))</f>
        <v/>
      </c>
      <c r="Z40" s="448" t="str">
        <f aca="false">IF($G40=0,IF(Z$11=$H40,"◆",""),IF(AND(Z$11&gt;=$H40,Z$11&lt;=$I40),1,""))</f>
        <v/>
      </c>
      <c r="AA40" s="448" t="str">
        <f aca="false">IF($G40=0,IF(AA$11=$H40,"◆",""),IF(AND(AA$11&gt;=$H40,AA$11&lt;=$I40),1,""))</f>
        <v/>
      </c>
      <c r="AB40" s="448" t="str">
        <f aca="false">IF($G40=0,IF(AB$11=$H40,"◆",""),IF(AND(AB$11&gt;=$H40,AB$11&lt;=$I40),1,""))</f>
        <v/>
      </c>
      <c r="AC40" s="448" t="str">
        <f aca="false">IF($G40=0,IF(AC$11=$H40,"◆",""),IF(AND(AC$11&gt;=$H40,AC$11&lt;=$I40),1,""))</f>
        <v/>
      </c>
      <c r="AD40" s="448" t="str">
        <f aca="false">IF($G40=0,IF(AD$11=$H40,"◆",""),IF(AND(AD$11&gt;=$H40,AD$11&lt;=$I40),1,""))</f>
        <v/>
      </c>
      <c r="AE40" s="448" t="str">
        <f aca="false">IF($G40=0,IF(AE$11=$H40,"◆",""),IF(AND(AE$11&gt;=$H40,AE$11&lt;=$I40),1,""))</f>
        <v/>
      </c>
      <c r="AF40" s="448" t="str">
        <f aca="false">IF($G40=0,IF(AF$11=$H40,"◆",""),IF(AND(AF$11&gt;=$H40,AF$11&lt;=$I40),1,""))</f>
        <v/>
      </c>
      <c r="AG40" s="448" t="str">
        <f aca="false">IF($G40=0,IF(AG$11=$H40,"◆",""),IF(AND(AG$11&gt;=$H40,AG$11&lt;=$I40),1,""))</f>
        <v/>
      </c>
      <c r="AH40" s="448" t="str">
        <f aca="false">IF($G40=0,IF(AH$11=$H40,"◆",""),IF(AND(AH$11&gt;=$H40,AH$11&lt;=$I40),1,""))</f>
        <v/>
      </c>
      <c r="AI40" s="448" t="str">
        <f aca="false">IF($G40=0,IF(AI$11=$H40,"◆",""),IF(AND(AI$11&gt;=$H40,AI$11&lt;=$I40),1,""))</f>
        <v/>
      </c>
      <c r="AJ40" s="448" t="str">
        <f aca="false">IF($G40=0,IF(AJ$11=$H40,"◆",""),IF(AND(AJ$11&gt;=$H40,AJ$11&lt;=$I40),1,""))</f>
        <v/>
      </c>
      <c r="AK40" s="448" t="str">
        <f aca="false">IF($G40=0,IF(AK$11=$H40,"◆",""),IF(AND(AK$11&gt;=$H40,AK$11&lt;=$I40),1,""))</f>
        <v/>
      </c>
      <c r="AL40" s="448" t="str">
        <f aca="false">IF($G40=0,IF(AL$11=$H40,"◆",""),IF(AND(AL$11&gt;=$H40,AL$11&lt;=$I40),1,""))</f>
        <v/>
      </c>
      <c r="AM40" s="448" t="str">
        <f aca="false">IF($G40=0,IF(AM$11=$H40,"◆",""),IF(AND(AM$11&gt;=$H40,AM$11&lt;=$I40),1,""))</f>
        <v/>
      </c>
      <c r="AN40" s="448" t="str">
        <f aca="false">IF($G40=0,IF(AN$11=$H40,"◆",""),IF(AND(AN$11&gt;=$H40,AN$11&lt;=$I40),1,""))</f>
        <v/>
      </c>
      <c r="AO40" s="448" t="str">
        <f aca="false">IF($G40=0,IF(AO$11=$H40,"◆",""),IF(AND(AO$11&gt;=$H40,AO$11&lt;=$I40),1,""))</f>
        <v/>
      </c>
      <c r="AP40" s="448" t="str">
        <f aca="false">IF($G40=0,IF(AP$11=$H40,"◆",""),IF(AND(AP$11&gt;=$H40,AP$11&lt;=$I40),1,""))</f>
        <v/>
      </c>
      <c r="AQ40" s="448" t="str">
        <f aca="false">IF($G40=0,IF(AQ$11=$H40,"◆",""),IF(AND(AQ$11&gt;=$H40,AQ$11&lt;=$I40),1,""))</f>
        <v/>
      </c>
      <c r="AR40" s="448" t="str">
        <f aca="false">IF($G40=0,IF(AR$11=$H40,"◆",""),IF(AND(AR$11&gt;=$H40,AR$11&lt;=$I40),1,""))</f>
        <v/>
      </c>
      <c r="AS40" s="448" t="str">
        <f aca="false">IF($G40=0,IF(AS$11=$H40,"◆",""),IF(AND(AS$11&gt;=$H40,AS$11&lt;=$I40),1,""))</f>
        <v/>
      </c>
      <c r="AT40" s="448" t="str">
        <f aca="false">IF($G40=0,IF(AT$11=$H40,"◆",""),IF(AND(AT$11&gt;=$H40,AT$11&lt;=$I40),1,""))</f>
        <v/>
      </c>
      <c r="AU40" s="448" t="str">
        <f aca="false">IF($G40=0,IF(AU$11=$H40,"◆",""),IF(AND(AU$11&gt;=$H40,AU$11&lt;=$I40),1,""))</f>
        <v/>
      </c>
      <c r="AV40" s="448" t="str">
        <f aca="false">IF($G40=0,IF(AV$11=$H40,"◆",""),IF(AND(AV$11&gt;=$H40,AV$11&lt;=$I40),1,""))</f>
        <v/>
      </c>
      <c r="AW40" s="448" t="str">
        <f aca="false">IF($G40=0,IF(AW$11=$H40,"◆",""),IF(AND(AW$11&gt;=$H40,AW$11&lt;=$I40),1,""))</f>
        <v/>
      </c>
      <c r="AX40" s="448" t="str">
        <f aca="false">IF($G40=0,IF(AX$11=$H40,"◆",""),IF(AND(AX$11&gt;=$H40,AX$11&lt;=$I40),1,""))</f>
        <v/>
      </c>
      <c r="AY40" s="448" t="str">
        <f aca="false">IF($G40=0,IF(AY$11=$H40,"◆",""),IF(AND(AY$11&gt;=$H40,AY$11&lt;=$I40),1,""))</f>
        <v/>
      </c>
      <c r="AZ40" s="448" t="str">
        <f aca="false">IF($G40=0,IF(AZ$11=$H40,"◆",""),IF(AND(AZ$11&gt;=$H40,AZ$11&lt;=$I40),1,""))</f>
        <v/>
      </c>
      <c r="BA40" s="448" t="str">
        <f aca="false">IF($G40=0,IF(BA$11=$H40,"◆",""),IF(AND(BA$11&gt;=$H40,BA$11&lt;=$I40),1,""))</f>
        <v/>
      </c>
      <c r="BB40" s="448" t="str">
        <f aca="false">IF($G40=0,IF(BB$11=$H40,"◆",""),IF(AND(BB$11&gt;=$H40,BB$11&lt;=$I40),1,""))</f>
        <v/>
      </c>
      <c r="BC40" s="448" t="str">
        <f aca="false">IF($G40=0,IF(BC$11=$H40,"◆",""),IF(AND(BC$11&gt;=$H40,BC$11&lt;=$I40),1,""))</f>
        <v/>
      </c>
      <c r="BD40" s="448" t="n">
        <f aca="false">IF($G40=0,IF(BD$11=$H40,"◆",""),IF(AND(BD$11&gt;=$H40,BD$11&lt;=$I40),1,""))</f>
        <v>1</v>
      </c>
      <c r="BE40" s="448" t="n">
        <f aca="false">IF($G40=0,IF(BE$11=$H40,"◆",""),IF(AND(BE$11&gt;=$H40,BE$11&lt;=$I40),1,""))</f>
        <v>1</v>
      </c>
      <c r="BF40" s="448" t="n">
        <f aca="false">IF($G40=0,IF(BF$11=$H40,"◆",""),IF(AND(BF$11&gt;=$H40,BF$11&lt;=$I40),1,""))</f>
        <v>1</v>
      </c>
      <c r="BG40" s="448" t="n">
        <f aca="false">IF($G40=0,IF(BG$11=$H40,"◆",""),IF(AND(BG$11&gt;=$H40,BG$11&lt;=$I40),1,""))</f>
        <v>1</v>
      </c>
      <c r="BH40" s="448" t="n">
        <f aca="false">IF($G40=0,IF(BH$11=$H40,"◆",""),IF(AND(BH$11&gt;=$H40,BH$11&lt;=$I40),1,""))</f>
        <v>1</v>
      </c>
      <c r="BI40" s="448" t="n">
        <f aca="false">IF($G40=0,IF(BI$11=$H40,"◆",""),IF(AND(BI$11&gt;=$H40,BI$11&lt;=$I40),1,""))</f>
        <v>1</v>
      </c>
      <c r="BJ40" s="448" t="n">
        <f aca="false">IF($G40=0,IF(BJ$11=$H40,"◆",""),IF(AND(BJ$11&gt;=$H40,BJ$11&lt;=$I40),1,""))</f>
        <v>1</v>
      </c>
      <c r="BK40" s="448" t="n">
        <f aca="false">IF($G40=0,IF(BK$11=$H40,"◆",""),IF(AND(BK$11&gt;=$H40,BK$11&lt;=$I40),1,""))</f>
        <v>1</v>
      </c>
      <c r="BL40" s="448" t="n">
        <f aca="false">IF($G40=0,IF(BL$11=$H40,"◆",""),IF(AND(BL$11&gt;=$H40,BL$11&lt;=$I40),1,""))</f>
        <v>1</v>
      </c>
      <c r="BM40" s="448" t="n">
        <f aca="false">IF($G40=0,IF(BM$11=$H40,"◆",""),IF(AND(BM$11&gt;=$H40,BM$11&lt;=$I40),1,""))</f>
        <v>1</v>
      </c>
      <c r="BN40" s="448" t="n">
        <f aca="false">IF($G40=0,IF(BN$11=$H40,"◆",""),IF(AND(BN$11&gt;=$H40,BN$11&lt;=$I40),1,""))</f>
        <v>1</v>
      </c>
      <c r="BO40" s="448" t="n">
        <f aca="false">IF($G40=0,IF(BO$11=$H40,"◆",""),IF(AND(BO$11&gt;=$H40,BO$11&lt;=$I40),1,""))</f>
        <v>1</v>
      </c>
      <c r="BP40" s="448" t="n">
        <f aca="false">IF($G40=0,IF(BP$11=$H40,"◆",""),IF(AND(BP$11&gt;=$H40,BP$11&lt;=$I40),1,""))</f>
        <v>1</v>
      </c>
      <c r="BQ40" s="448" t="n">
        <f aca="false">IF($G40=0,IF(BQ$11=$H40,"◆",""),IF(AND(BQ$11&gt;=$H40,BQ$11&lt;=$I40),1,""))</f>
        <v>1</v>
      </c>
      <c r="BR40" s="448" t="n">
        <f aca="false">IF($G40=0,IF(BR$11=$H40,"◆",""),IF(AND(BR$11&gt;=$H40,BR$11&lt;=$I40),1,""))</f>
        <v>1</v>
      </c>
      <c r="BS40" s="448" t="n">
        <f aca="false">IF($G40=0,IF(BS$11=$H40,"◆",""),IF(AND(BS$11&gt;=$H40,BS$11&lt;=$I40),1,""))</f>
        <v>1</v>
      </c>
      <c r="BT40" s="448" t="str">
        <f aca="false">IF($G40=0,IF(BT$11=$H40,"◆",""),IF(AND(BT$11&gt;=$H40,BT$11&lt;=$I40),1,""))</f>
        <v/>
      </c>
      <c r="BU40" s="448" t="str">
        <f aca="false">IF($G40=0,IF(BU$11=$H40,"◆",""),IF(AND(BU$11&gt;=$H40,BU$11&lt;=$I40),1,""))</f>
        <v/>
      </c>
      <c r="BV40" s="448" t="str">
        <f aca="false">IF($G40=0,IF(BV$11=$H40,"◆",""),IF(AND(BV$11&gt;=$H40,BV$11&lt;=$I40),1,""))</f>
        <v/>
      </c>
      <c r="BW40" s="448" t="str">
        <f aca="false">IF($G40=0,IF(BW$11=$H40,"◆",""),IF(AND(BW$11&gt;=$H40,BW$11&lt;=$I40),1,""))</f>
        <v/>
      </c>
      <c r="BX40" s="448" t="str">
        <f aca="false">IF($G40=0,IF(BX$11=$H40,"◆",""),IF(AND(BX$11&gt;=$H40,BX$11&lt;=$I40),1,""))</f>
        <v/>
      </c>
      <c r="BY40" s="448" t="str">
        <f aca="false">IF($G40=0,IF(BY$11=$H40,"◆",""),IF(AND(BY$11&gt;=$H40,BY$11&lt;=$I40),1,""))</f>
        <v/>
      </c>
      <c r="BZ40" s="448" t="str">
        <f aca="false">IF($G40=0,IF(BZ$11=$H40,"◆",""),IF(AND(BZ$11&gt;=$H40,BZ$11&lt;=$I40),1,""))</f>
        <v/>
      </c>
      <c r="CA40" s="448" t="str">
        <f aca="false">IF($G40=0,IF(CA$11=$H40,"◆",""),IF(AND(CA$11&gt;=$H40,CA$11&lt;=$I40),1,""))</f>
        <v/>
      </c>
      <c r="CB40" s="448" t="str">
        <f aca="false">IF($G40=0,IF(CB$11=$H40,"◆",""),IF(AND(CB$11&gt;=$H40,CB$11&lt;=$I40),1,""))</f>
        <v/>
      </c>
      <c r="CC40" s="448" t="str">
        <f aca="false">IF($G40=0,IF(CC$11=$H40,"◆",""),IF(AND(CC$11&gt;=$H40,CC$11&lt;=$I40),1,""))</f>
        <v/>
      </c>
      <c r="CD40" s="448" t="str">
        <f aca="false">IF($G40=0,IF(CD$11=$H40,"◆",""),IF(AND(CD$11&gt;=$H40,CD$11&lt;=$I40),1,""))</f>
        <v/>
      </c>
      <c r="CE40" s="448" t="str">
        <f aca="false">IF($G40=0,IF(CE$11=$H40,"◆",""),IF(AND(CE$11&gt;=$H40,CE$11&lt;=$I40),1,""))</f>
        <v/>
      </c>
      <c r="CF40" s="448" t="str">
        <f aca="false">IF($G40=0,IF(CF$11=$H40,"◆",""),IF(AND(CF$11&gt;=$H40,CF$11&lt;=$I40),1,""))</f>
        <v/>
      </c>
      <c r="CG40" s="448" t="str">
        <f aca="false">IF($G40=0,IF(CG$11=$H40,"◆",""),IF(AND(CG$11&gt;=$H40,CG$11&lt;=$I40),1,""))</f>
        <v/>
      </c>
      <c r="CH40" s="448" t="str">
        <f aca="false">IF($G40=0,IF(CH$11=$H40,"◆",""),IF(AND(CH$11&gt;=$H40,CH$11&lt;=$I40),1,""))</f>
        <v/>
      </c>
      <c r="CI40" s="448" t="str">
        <f aca="false">IF($G40=0,IF(CI$11=$H40,"◆",""),IF(AND(CI$11&gt;=$H40,CI$11&lt;=$I40),1,""))</f>
        <v/>
      </c>
      <c r="CJ40" s="448" t="str">
        <f aca="false">IF($G40=0,IF(CJ$11=$H40,"◆",""),IF(AND(CJ$11&gt;=$H40,CJ$11&lt;=$I40),1,""))</f>
        <v/>
      </c>
      <c r="CK40" s="448" t="str">
        <f aca="false">IF($G40=0,IF(CK$11=$H40,"◆",""),IF(AND(CK$11&gt;=$H40,CK$11&lt;=$I40),1,""))</f>
        <v/>
      </c>
      <c r="CL40" s="448" t="str">
        <f aca="false">IF($G40=0,IF(CL$11=$H40,"◆",""),IF(AND(CL$11&gt;=$H40,CL$11&lt;=$I40),1,""))</f>
        <v/>
      </c>
      <c r="CM40" s="448" t="str">
        <f aca="false">IF($G40=0,IF(CM$11=$H40,"◆",""),IF(AND(CM$11&gt;=$H40,CM$11&lt;=$I40),1,""))</f>
        <v/>
      </c>
      <c r="CN40" s="448" t="str">
        <f aca="false">IF($G40=0,IF(CN$11=$H40,"◆",""),IF(AND(CN$11&gt;=$H40,CN$11&lt;=$I40),1,""))</f>
        <v/>
      </c>
      <c r="CO40" s="448" t="str">
        <f aca="false">IF($G40=0,IF(CO$11=$H40,"◆",""),IF(AND(CO$11&gt;=$H40,CO$11&lt;=$I40),1,""))</f>
        <v/>
      </c>
      <c r="CP40" s="448" t="str">
        <f aca="false">IF($G40=0,IF(CP$11=$H40,"◆",""),IF(AND(CP$11&gt;=$H40,CP$11&lt;=$I40),1,""))</f>
        <v/>
      </c>
      <c r="CQ40" s="448" t="str">
        <f aca="false">IF($G40=0,IF(CQ$11=$H40,"◆",""),IF(AND(CQ$11&gt;=$H40,CQ$11&lt;=$I40),1,""))</f>
        <v/>
      </c>
      <c r="CR40" s="448" t="str">
        <f aca="false">IF($G40=0,IF(CR$11=$H40,"◆",""),IF(AND(CR$11&gt;=$H40,CR$11&lt;=$I40),1,""))</f>
        <v/>
      </c>
      <c r="CS40" s="448" t="str">
        <f aca="false">IF($G40=0,IF(CS$11=$H40,"◆",""),IF(AND(CS$11&gt;=$H40,CS$11&lt;=$I40),1,""))</f>
        <v/>
      </c>
      <c r="CT40" s="448" t="str">
        <f aca="false">IF($G40=0,IF(CT$11=$H40,"◆",""),IF(AND(CT$11&gt;=$H40,CT$11&lt;=$I40),1,""))</f>
        <v/>
      </c>
      <c r="CU40" s="448" t="str">
        <f aca="false">IF($G40=0,IF(CU$11=$H40,"◆",""),IF(AND(CU$11&gt;=$H40,CU$11&lt;=$I40),1,""))</f>
        <v/>
      </c>
      <c r="CV40" s="448" t="str">
        <f aca="false">IF($G40=0,IF(CV$11=$H40,"◆",""),IF(AND(CV$11&gt;=$H40,CV$11&lt;=$I40),1,""))</f>
        <v/>
      </c>
      <c r="CW40" s="448" t="str">
        <f aca="false">IF($G40=0,IF(CW$11=$H40,"◆",""),IF(AND(CW$11&gt;=$H40,CW$11&lt;=$I40),1,""))</f>
        <v/>
      </c>
      <c r="CX40" s="448" t="str">
        <f aca="false">IF($G40=0,IF(CX$11=$H40,"◆",""),IF(AND(CX$11&gt;=$H40,CX$11&lt;=$I40),1,""))</f>
        <v/>
      </c>
      <c r="CY40" s="448" t="str">
        <f aca="false">IF($G40=0,IF(CY$11=$H40,"◆",""),IF(AND(CY$11&gt;=$H40,CY$11&lt;=$I40),1,""))</f>
        <v/>
      </c>
      <c r="CZ40" s="448" t="str">
        <f aca="false">IF($G40=0,IF(CZ$11=$H40,"◆",""),IF(AND(CZ$11&gt;=$H40,CZ$11&lt;=$I40),1,""))</f>
        <v/>
      </c>
      <c r="DA40" s="448" t="str">
        <f aca="false">IF($G40=0,IF(DA$11=$H40,"◆",""),IF(AND(DA$11&gt;=$H40,DA$11&lt;=$I40),1,""))</f>
        <v/>
      </c>
      <c r="DB40" s="448" t="str">
        <f aca="false">IF($G40=0,IF(DB$11=$H40,"◆",""),IF(AND(DB$11&gt;=$H40,DB$11&lt;=$I40),1,""))</f>
        <v/>
      </c>
      <c r="DC40" s="448" t="str">
        <f aca="false">IF($G40=0,IF(DC$11=$H40,"◆",""),IF(AND(DC$11&gt;=$H40,DC$11&lt;=$I40),1,""))</f>
        <v/>
      </c>
      <c r="DD40" s="448" t="str">
        <f aca="false">IF($G40=0,IF(DD$11=$H40,"◆",""),IF(AND(DD$11&gt;=$H40,DD$11&lt;=$I40),1,""))</f>
        <v/>
      </c>
      <c r="DE40" s="448" t="str">
        <f aca="false">IF($G40=0,IF(DE$11=$H40,"◆",""),IF(AND(DE$11&gt;=$H40,DE$11&lt;=$I40),1,""))</f>
        <v/>
      </c>
      <c r="DF40" s="448" t="str">
        <f aca="false">IF($G40=0,IF(DF$11=$H40,"◆",""),IF(AND(DF$11&gt;=$H40,DF$11&lt;=$I40),1,""))</f>
        <v/>
      </c>
      <c r="DG40" s="448" t="str">
        <f aca="false">IF($G40=0,IF(DG$11=$H40,"◆",""),IF(AND(DG$11&gt;=$H40,DG$11&lt;=$I40),1,""))</f>
        <v/>
      </c>
      <c r="DH40" s="448" t="str">
        <f aca="false">IF($G40=0,IF(DH$11=$H40,"◆",""),IF(AND(DH$11&gt;=$H40,DH$11&lt;=$I40),1,""))</f>
        <v/>
      </c>
      <c r="DI40" s="448" t="str">
        <f aca="false">IF($G40=0,IF(DI$11=$H40,"◆",""),IF(AND(DI$11&gt;=$H40,DI$11&lt;=$I40),1,""))</f>
        <v/>
      </c>
      <c r="DJ40" s="448" t="str">
        <f aca="false">IF($G40=0,IF(DJ$11=$H40,"◆",""),IF(AND(DJ$11&gt;=$H40,DJ$11&lt;=$I40),1,""))</f>
        <v/>
      </c>
      <c r="DK40" s="448" t="str">
        <f aca="false">IF($G40=0,IF(DK$11=$H40,"◆",""),IF(AND(DK$11&gt;=$H40,DK$11&lt;=$I40),1,""))</f>
        <v/>
      </c>
      <c r="DL40" s="448" t="str">
        <f aca="false">IF($G40=0,IF(DL$11=$H40,"◆",""),IF(AND(DL$11&gt;=$H40,DL$11&lt;=$I40),1,""))</f>
        <v/>
      </c>
      <c r="DM40" s="448" t="str">
        <f aca="false">IF($G40=0,IF(DM$11=$H40,"◆",""),IF(AND(DM$11&gt;=$H40,DM$11&lt;=$I40),1,""))</f>
        <v/>
      </c>
      <c r="DN40" s="448" t="str">
        <f aca="false">IF($G40=0,IF(DN$11=$H40,"◆",""),IF(AND(DN$11&gt;=$H40,DN$11&lt;=$I40),1,""))</f>
        <v/>
      </c>
      <c r="DO40" s="448" t="str">
        <f aca="false">IF($G40=0,IF(DO$11=$H40,"◆",""),IF(AND(DO$11&gt;=$H40,DO$11&lt;=$I40),1,""))</f>
        <v/>
      </c>
      <c r="DP40" s="448" t="str">
        <f aca="false">IF($G40=0,IF(DP$11=$H40,"◆",""),IF(AND(DP$11&gt;=$H40,DP$11&lt;=$I40),1,""))</f>
        <v/>
      </c>
      <c r="DQ40" s="448" t="str">
        <f aca="false">IF($G40=0,IF(DQ$11=$H40,"◆",""),IF(AND(DQ$11&gt;=$H40,DQ$11&lt;=$I40),1,""))</f>
        <v/>
      </c>
      <c r="DR40" s="448" t="str">
        <f aca="false">IF($G40=0,IF(DR$11=$H40,"◆",""),IF(AND(DR$11&gt;=$H40,DR$11&lt;=$I40),1,""))</f>
        <v/>
      </c>
      <c r="DS40" s="448" t="str">
        <f aca="false">IF($G40=0,IF(DS$11=$H40,"◆",""),IF(AND(DS$11&gt;=$H40,DS$11&lt;=$I40),1,""))</f>
        <v/>
      </c>
      <c r="DT40" s="448" t="str">
        <f aca="false">IF($G40=0,IF(DT$11=$H40,"◆",""),IF(AND(DT$11&gt;=$H40,DT$11&lt;=$I40),1,""))</f>
        <v/>
      </c>
      <c r="DU40" s="448" t="str">
        <f aca="false">IF($G40=0,IF(DU$11=$H40,"◆",""),IF(AND(DU$11&gt;=$H40,DU$11&lt;=$I40),1,""))</f>
        <v/>
      </c>
      <c r="DV40" s="448" t="str">
        <f aca="false">IF($G40=0,IF(DV$11=$H40,"◆",""),IF(AND(DV$11&gt;=$H40,DV$11&lt;=$I40),1,""))</f>
        <v/>
      </c>
      <c r="DW40" s="448" t="str">
        <f aca="false">IF($G40=0,IF(DW$11=$H40,"◆",""),IF(AND(DW$11&gt;=$H40,DW$11&lt;=$I40),1,""))</f>
        <v/>
      </c>
      <c r="DX40" s="448" t="str">
        <f aca="false">IF($G40=0,IF(DX$11=$H40,"◆",""),IF(AND(DX$11&gt;=$H40,DX$11&lt;=$I40),1,""))</f>
        <v/>
      </c>
      <c r="DY40" s="448" t="str">
        <f aca="false">IF($G40=0,IF(DY$11=$H40,"◆",""),IF(AND(DY$11&gt;=$H40,DY$11&lt;=$I40),1,""))</f>
        <v/>
      </c>
      <c r="DZ40" s="448" t="str">
        <f aca="false">IF($G40=0,IF(DZ$11=$H40,"◆",""),IF(AND(DZ$11&gt;=$H40,DZ$11&lt;=$I40),1,""))</f>
        <v/>
      </c>
      <c r="EA40" s="448" t="str">
        <f aca="false">IF($G40=0,IF(EA$11=$H40,"◆",""),IF(AND(EA$11&gt;=$H40,EA$11&lt;=$I40),1,""))</f>
        <v/>
      </c>
      <c r="EB40" s="448" t="str">
        <f aca="false">IF($G40=0,IF(EB$11=$H40,"◆",""),IF(AND(EB$11&gt;=$H40,EB$11&lt;=$I40),1,""))</f>
        <v/>
      </c>
      <c r="EC40" s="448" t="str">
        <f aca="false">IF($G40=0,IF(EC$11=$H40,"◆",""),IF(AND(EC$11&gt;=$H40,EC$11&lt;=$I40),1,""))</f>
        <v/>
      </c>
      <c r="ED40" s="448" t="str">
        <f aca="false">IF($G40=0,IF(ED$11=$H40,"◆",""),IF(AND(ED$11&gt;=$H40,ED$11&lt;=$I40),1,""))</f>
        <v/>
      </c>
    </row>
    <row r="41" customFormat="false" ht="15" hidden="false" customHeight="true" outlineLevel="0" collapsed="false">
      <c r="A41" s="441" t="s">
        <v>2503</v>
      </c>
      <c r="B41" s="297" t="s">
        <v>2504</v>
      </c>
      <c r="C41" s="442" t="s">
        <v>2480</v>
      </c>
      <c r="D41" s="443" t="s">
        <v>2492</v>
      </c>
      <c r="E41" s="354" t="n">
        <f aca="false">FC_SUPUESTOS!$C$17+FC_SUPUESTOS!$C$18+FC_SUPUESTOS!$C$19</f>
        <v>7</v>
      </c>
      <c r="F41" s="352" t="n">
        <v>0</v>
      </c>
      <c r="G41" s="352" t="n">
        <v>10</v>
      </c>
      <c r="H41" s="367" t="n">
        <f aca="false">MAX(1,ROUND(($E41-1)*$D$5,0)+1+$F41)</f>
        <v>27</v>
      </c>
      <c r="I41" s="367" t="n">
        <f aca="false">MAX($H41,$H41+$G41-1)</f>
        <v>36</v>
      </c>
      <c r="J41" s="444" t="n">
        <f aca="false">$D$4+($H41-1)*7</f>
        <v>46482</v>
      </c>
      <c r="K41" s="444" t="n">
        <f aca="false">$D$4+$I41*7-1</f>
        <v>46551</v>
      </c>
      <c r="L41" s="445" t="n">
        <f aca="false">ROUNDUP($H41/$D$5,0)</f>
        <v>7</v>
      </c>
      <c r="M41" s="446"/>
      <c r="N41" s="447" t="n">
        <v>0</v>
      </c>
      <c r="O41" s="448" t="str">
        <f aca="false">IF($G41=0,IF(O$11=$H41,"◆",""),IF(AND(O$11&gt;=$H41,O$11&lt;=$I41),1,""))</f>
        <v/>
      </c>
      <c r="P41" s="448" t="str">
        <f aca="false">IF($G41=0,IF(P$11=$H41,"◆",""),IF(AND(P$11&gt;=$H41,P$11&lt;=$I41),1,""))</f>
        <v/>
      </c>
      <c r="Q41" s="448" t="str">
        <f aca="false">IF($G41=0,IF(Q$11=$H41,"◆",""),IF(AND(Q$11&gt;=$H41,Q$11&lt;=$I41),1,""))</f>
        <v/>
      </c>
      <c r="R41" s="448" t="str">
        <f aca="false">IF($G41=0,IF(R$11=$H41,"◆",""),IF(AND(R$11&gt;=$H41,R$11&lt;=$I41),1,""))</f>
        <v/>
      </c>
      <c r="S41" s="448" t="str">
        <f aca="false">IF($G41=0,IF(S$11=$H41,"◆",""),IF(AND(S$11&gt;=$H41,S$11&lt;=$I41),1,""))</f>
        <v/>
      </c>
      <c r="T41" s="448" t="str">
        <f aca="false">IF($G41=0,IF(T$11=$H41,"◆",""),IF(AND(T$11&gt;=$H41,T$11&lt;=$I41),1,""))</f>
        <v/>
      </c>
      <c r="U41" s="448" t="str">
        <f aca="false">IF($G41=0,IF(U$11=$H41,"◆",""),IF(AND(U$11&gt;=$H41,U$11&lt;=$I41),1,""))</f>
        <v/>
      </c>
      <c r="V41" s="448" t="str">
        <f aca="false">IF($G41=0,IF(V$11=$H41,"◆",""),IF(AND(V$11&gt;=$H41,V$11&lt;=$I41),1,""))</f>
        <v/>
      </c>
      <c r="W41" s="448" t="str">
        <f aca="false">IF($G41=0,IF(W$11=$H41,"◆",""),IF(AND(W$11&gt;=$H41,W$11&lt;=$I41),1,""))</f>
        <v/>
      </c>
      <c r="X41" s="448" t="str">
        <f aca="false">IF($G41=0,IF(X$11=$H41,"◆",""),IF(AND(X$11&gt;=$H41,X$11&lt;=$I41),1,""))</f>
        <v/>
      </c>
      <c r="Y41" s="448" t="str">
        <f aca="false">IF($G41=0,IF(Y$11=$H41,"◆",""),IF(AND(Y$11&gt;=$H41,Y$11&lt;=$I41),1,""))</f>
        <v/>
      </c>
      <c r="Z41" s="448" t="str">
        <f aca="false">IF($G41=0,IF(Z$11=$H41,"◆",""),IF(AND(Z$11&gt;=$H41,Z$11&lt;=$I41),1,""))</f>
        <v/>
      </c>
      <c r="AA41" s="448" t="str">
        <f aca="false">IF($G41=0,IF(AA$11=$H41,"◆",""),IF(AND(AA$11&gt;=$H41,AA$11&lt;=$I41),1,""))</f>
        <v/>
      </c>
      <c r="AB41" s="448" t="str">
        <f aca="false">IF($G41=0,IF(AB$11=$H41,"◆",""),IF(AND(AB$11&gt;=$H41,AB$11&lt;=$I41),1,""))</f>
        <v/>
      </c>
      <c r="AC41" s="448" t="str">
        <f aca="false">IF($G41=0,IF(AC$11=$H41,"◆",""),IF(AND(AC$11&gt;=$H41,AC$11&lt;=$I41),1,""))</f>
        <v/>
      </c>
      <c r="AD41" s="448" t="str">
        <f aca="false">IF($G41=0,IF(AD$11=$H41,"◆",""),IF(AND(AD$11&gt;=$H41,AD$11&lt;=$I41),1,""))</f>
        <v/>
      </c>
      <c r="AE41" s="448" t="str">
        <f aca="false">IF($G41=0,IF(AE$11=$H41,"◆",""),IF(AND(AE$11&gt;=$H41,AE$11&lt;=$I41),1,""))</f>
        <v/>
      </c>
      <c r="AF41" s="448" t="str">
        <f aca="false">IF($G41=0,IF(AF$11=$H41,"◆",""),IF(AND(AF$11&gt;=$H41,AF$11&lt;=$I41),1,""))</f>
        <v/>
      </c>
      <c r="AG41" s="448" t="str">
        <f aca="false">IF($G41=0,IF(AG$11=$H41,"◆",""),IF(AND(AG$11&gt;=$H41,AG$11&lt;=$I41),1,""))</f>
        <v/>
      </c>
      <c r="AH41" s="448" t="str">
        <f aca="false">IF($G41=0,IF(AH$11=$H41,"◆",""),IF(AND(AH$11&gt;=$H41,AH$11&lt;=$I41),1,""))</f>
        <v/>
      </c>
      <c r="AI41" s="448" t="str">
        <f aca="false">IF($G41=0,IF(AI$11=$H41,"◆",""),IF(AND(AI$11&gt;=$H41,AI$11&lt;=$I41),1,""))</f>
        <v/>
      </c>
      <c r="AJ41" s="448" t="str">
        <f aca="false">IF($G41=0,IF(AJ$11=$H41,"◆",""),IF(AND(AJ$11&gt;=$H41,AJ$11&lt;=$I41),1,""))</f>
        <v/>
      </c>
      <c r="AK41" s="448" t="str">
        <f aca="false">IF($G41=0,IF(AK$11=$H41,"◆",""),IF(AND(AK$11&gt;=$H41,AK$11&lt;=$I41),1,""))</f>
        <v/>
      </c>
      <c r="AL41" s="448" t="str">
        <f aca="false">IF($G41=0,IF(AL$11=$H41,"◆",""),IF(AND(AL$11&gt;=$H41,AL$11&lt;=$I41),1,""))</f>
        <v/>
      </c>
      <c r="AM41" s="448" t="str">
        <f aca="false">IF($G41=0,IF(AM$11=$H41,"◆",""),IF(AND(AM$11&gt;=$H41,AM$11&lt;=$I41),1,""))</f>
        <v/>
      </c>
      <c r="AN41" s="448" t="str">
        <f aca="false">IF($G41=0,IF(AN$11=$H41,"◆",""),IF(AND(AN$11&gt;=$H41,AN$11&lt;=$I41),1,""))</f>
        <v/>
      </c>
      <c r="AO41" s="448" t="n">
        <f aca="false">IF($G41=0,IF(AO$11=$H41,"◆",""),IF(AND(AO$11&gt;=$H41,AO$11&lt;=$I41),1,""))</f>
        <v>1</v>
      </c>
      <c r="AP41" s="448" t="n">
        <f aca="false">IF($G41=0,IF(AP$11=$H41,"◆",""),IF(AND(AP$11&gt;=$H41,AP$11&lt;=$I41),1,""))</f>
        <v>1</v>
      </c>
      <c r="AQ41" s="448" t="n">
        <f aca="false">IF($G41=0,IF(AQ$11=$H41,"◆",""),IF(AND(AQ$11&gt;=$H41,AQ$11&lt;=$I41),1,""))</f>
        <v>1</v>
      </c>
      <c r="AR41" s="448" t="n">
        <f aca="false">IF($G41=0,IF(AR$11=$H41,"◆",""),IF(AND(AR$11&gt;=$H41,AR$11&lt;=$I41),1,""))</f>
        <v>1</v>
      </c>
      <c r="AS41" s="448" t="n">
        <f aca="false">IF($G41=0,IF(AS$11=$H41,"◆",""),IF(AND(AS$11&gt;=$H41,AS$11&lt;=$I41),1,""))</f>
        <v>1</v>
      </c>
      <c r="AT41" s="448" t="n">
        <f aca="false">IF($G41=0,IF(AT$11=$H41,"◆",""),IF(AND(AT$11&gt;=$H41,AT$11&lt;=$I41),1,""))</f>
        <v>1</v>
      </c>
      <c r="AU41" s="448" t="n">
        <f aca="false">IF($G41=0,IF(AU$11=$H41,"◆",""),IF(AND(AU$11&gt;=$H41,AU$11&lt;=$I41),1,""))</f>
        <v>1</v>
      </c>
      <c r="AV41" s="448" t="n">
        <f aca="false">IF($G41=0,IF(AV$11=$H41,"◆",""),IF(AND(AV$11&gt;=$H41,AV$11&lt;=$I41),1,""))</f>
        <v>1</v>
      </c>
      <c r="AW41" s="448" t="n">
        <f aca="false">IF($G41=0,IF(AW$11=$H41,"◆",""),IF(AND(AW$11&gt;=$H41,AW$11&lt;=$I41),1,""))</f>
        <v>1</v>
      </c>
      <c r="AX41" s="448" t="n">
        <f aca="false">IF($G41=0,IF(AX$11=$H41,"◆",""),IF(AND(AX$11&gt;=$H41,AX$11&lt;=$I41),1,""))</f>
        <v>1</v>
      </c>
      <c r="AY41" s="448" t="str">
        <f aca="false">IF($G41=0,IF(AY$11=$H41,"◆",""),IF(AND(AY$11&gt;=$H41,AY$11&lt;=$I41),1,""))</f>
        <v/>
      </c>
      <c r="AZ41" s="448" t="str">
        <f aca="false">IF($G41=0,IF(AZ$11=$H41,"◆",""),IF(AND(AZ$11&gt;=$H41,AZ$11&lt;=$I41),1,""))</f>
        <v/>
      </c>
      <c r="BA41" s="448" t="str">
        <f aca="false">IF($G41=0,IF(BA$11=$H41,"◆",""),IF(AND(BA$11&gt;=$H41,BA$11&lt;=$I41),1,""))</f>
        <v/>
      </c>
      <c r="BB41" s="448" t="str">
        <f aca="false">IF($G41=0,IF(BB$11=$H41,"◆",""),IF(AND(BB$11&gt;=$H41,BB$11&lt;=$I41),1,""))</f>
        <v/>
      </c>
      <c r="BC41" s="448" t="str">
        <f aca="false">IF($G41=0,IF(BC$11=$H41,"◆",""),IF(AND(BC$11&gt;=$H41,BC$11&lt;=$I41),1,""))</f>
        <v/>
      </c>
      <c r="BD41" s="448" t="str">
        <f aca="false">IF($G41=0,IF(BD$11=$H41,"◆",""),IF(AND(BD$11&gt;=$H41,BD$11&lt;=$I41),1,""))</f>
        <v/>
      </c>
      <c r="BE41" s="448" t="str">
        <f aca="false">IF($G41=0,IF(BE$11=$H41,"◆",""),IF(AND(BE$11&gt;=$H41,BE$11&lt;=$I41),1,""))</f>
        <v/>
      </c>
      <c r="BF41" s="448" t="str">
        <f aca="false">IF($G41=0,IF(BF$11=$H41,"◆",""),IF(AND(BF$11&gt;=$H41,BF$11&lt;=$I41),1,""))</f>
        <v/>
      </c>
      <c r="BG41" s="448" t="str">
        <f aca="false">IF($G41=0,IF(BG$11=$H41,"◆",""),IF(AND(BG$11&gt;=$H41,BG$11&lt;=$I41),1,""))</f>
        <v/>
      </c>
      <c r="BH41" s="448" t="str">
        <f aca="false">IF($G41=0,IF(BH$11=$H41,"◆",""),IF(AND(BH$11&gt;=$H41,BH$11&lt;=$I41),1,""))</f>
        <v/>
      </c>
      <c r="BI41" s="448" t="str">
        <f aca="false">IF($G41=0,IF(BI$11=$H41,"◆",""),IF(AND(BI$11&gt;=$H41,BI$11&lt;=$I41),1,""))</f>
        <v/>
      </c>
      <c r="BJ41" s="448" t="str">
        <f aca="false">IF($G41=0,IF(BJ$11=$H41,"◆",""),IF(AND(BJ$11&gt;=$H41,BJ$11&lt;=$I41),1,""))</f>
        <v/>
      </c>
      <c r="BK41" s="448" t="str">
        <f aca="false">IF($G41=0,IF(BK$11=$H41,"◆",""),IF(AND(BK$11&gt;=$H41,BK$11&lt;=$I41),1,""))</f>
        <v/>
      </c>
      <c r="BL41" s="448" t="str">
        <f aca="false">IF($G41=0,IF(BL$11=$H41,"◆",""),IF(AND(BL$11&gt;=$H41,BL$11&lt;=$I41),1,""))</f>
        <v/>
      </c>
      <c r="BM41" s="448" t="str">
        <f aca="false">IF($G41=0,IF(BM$11=$H41,"◆",""),IF(AND(BM$11&gt;=$H41,BM$11&lt;=$I41),1,""))</f>
        <v/>
      </c>
      <c r="BN41" s="448" t="str">
        <f aca="false">IF($G41=0,IF(BN$11=$H41,"◆",""),IF(AND(BN$11&gt;=$H41,BN$11&lt;=$I41),1,""))</f>
        <v/>
      </c>
      <c r="BO41" s="448" t="str">
        <f aca="false">IF($G41=0,IF(BO$11=$H41,"◆",""),IF(AND(BO$11&gt;=$H41,BO$11&lt;=$I41),1,""))</f>
        <v/>
      </c>
      <c r="BP41" s="448" t="str">
        <f aca="false">IF($G41=0,IF(BP$11=$H41,"◆",""),IF(AND(BP$11&gt;=$H41,BP$11&lt;=$I41),1,""))</f>
        <v/>
      </c>
      <c r="BQ41" s="448" t="str">
        <f aca="false">IF($G41=0,IF(BQ$11=$H41,"◆",""),IF(AND(BQ$11&gt;=$H41,BQ$11&lt;=$I41),1,""))</f>
        <v/>
      </c>
      <c r="BR41" s="448" t="str">
        <f aca="false">IF($G41=0,IF(BR$11=$H41,"◆",""),IF(AND(BR$11&gt;=$H41,BR$11&lt;=$I41),1,""))</f>
        <v/>
      </c>
      <c r="BS41" s="448" t="str">
        <f aca="false">IF($G41=0,IF(BS$11=$H41,"◆",""),IF(AND(BS$11&gt;=$H41,BS$11&lt;=$I41),1,""))</f>
        <v/>
      </c>
      <c r="BT41" s="448" t="str">
        <f aca="false">IF($G41=0,IF(BT$11=$H41,"◆",""),IF(AND(BT$11&gt;=$H41,BT$11&lt;=$I41),1,""))</f>
        <v/>
      </c>
      <c r="BU41" s="448" t="str">
        <f aca="false">IF($G41=0,IF(BU$11=$H41,"◆",""),IF(AND(BU$11&gt;=$H41,BU$11&lt;=$I41),1,""))</f>
        <v/>
      </c>
      <c r="BV41" s="448" t="str">
        <f aca="false">IF($G41=0,IF(BV$11=$H41,"◆",""),IF(AND(BV$11&gt;=$H41,BV$11&lt;=$I41),1,""))</f>
        <v/>
      </c>
      <c r="BW41" s="448" t="str">
        <f aca="false">IF($G41=0,IF(BW$11=$H41,"◆",""),IF(AND(BW$11&gt;=$H41,BW$11&lt;=$I41),1,""))</f>
        <v/>
      </c>
      <c r="BX41" s="448" t="str">
        <f aca="false">IF($G41=0,IF(BX$11=$H41,"◆",""),IF(AND(BX$11&gt;=$H41,BX$11&lt;=$I41),1,""))</f>
        <v/>
      </c>
      <c r="BY41" s="448" t="str">
        <f aca="false">IF($G41=0,IF(BY$11=$H41,"◆",""),IF(AND(BY$11&gt;=$H41,BY$11&lt;=$I41),1,""))</f>
        <v/>
      </c>
      <c r="BZ41" s="448" t="str">
        <f aca="false">IF($G41=0,IF(BZ$11=$H41,"◆",""),IF(AND(BZ$11&gt;=$H41,BZ$11&lt;=$I41),1,""))</f>
        <v/>
      </c>
      <c r="CA41" s="448" t="str">
        <f aca="false">IF($G41=0,IF(CA$11=$H41,"◆",""),IF(AND(CA$11&gt;=$H41,CA$11&lt;=$I41),1,""))</f>
        <v/>
      </c>
      <c r="CB41" s="448" t="str">
        <f aca="false">IF($G41=0,IF(CB$11=$H41,"◆",""),IF(AND(CB$11&gt;=$H41,CB$11&lt;=$I41),1,""))</f>
        <v/>
      </c>
      <c r="CC41" s="448" t="str">
        <f aca="false">IF($G41=0,IF(CC$11=$H41,"◆",""),IF(AND(CC$11&gt;=$H41,CC$11&lt;=$I41),1,""))</f>
        <v/>
      </c>
      <c r="CD41" s="448" t="str">
        <f aca="false">IF($G41=0,IF(CD$11=$H41,"◆",""),IF(AND(CD$11&gt;=$H41,CD$11&lt;=$I41),1,""))</f>
        <v/>
      </c>
      <c r="CE41" s="448" t="str">
        <f aca="false">IF($G41=0,IF(CE$11=$H41,"◆",""),IF(AND(CE$11&gt;=$H41,CE$11&lt;=$I41),1,""))</f>
        <v/>
      </c>
      <c r="CF41" s="448" t="str">
        <f aca="false">IF($G41=0,IF(CF$11=$H41,"◆",""),IF(AND(CF$11&gt;=$H41,CF$11&lt;=$I41),1,""))</f>
        <v/>
      </c>
      <c r="CG41" s="448" t="str">
        <f aca="false">IF($G41=0,IF(CG$11=$H41,"◆",""),IF(AND(CG$11&gt;=$H41,CG$11&lt;=$I41),1,""))</f>
        <v/>
      </c>
      <c r="CH41" s="448" t="str">
        <f aca="false">IF($G41=0,IF(CH$11=$H41,"◆",""),IF(AND(CH$11&gt;=$H41,CH$11&lt;=$I41),1,""))</f>
        <v/>
      </c>
      <c r="CI41" s="448" t="str">
        <f aca="false">IF($G41=0,IF(CI$11=$H41,"◆",""),IF(AND(CI$11&gt;=$H41,CI$11&lt;=$I41),1,""))</f>
        <v/>
      </c>
      <c r="CJ41" s="448" t="str">
        <f aca="false">IF($G41=0,IF(CJ$11=$H41,"◆",""),IF(AND(CJ$11&gt;=$H41,CJ$11&lt;=$I41),1,""))</f>
        <v/>
      </c>
      <c r="CK41" s="448" t="str">
        <f aca="false">IF($G41=0,IF(CK$11=$H41,"◆",""),IF(AND(CK$11&gt;=$H41,CK$11&lt;=$I41),1,""))</f>
        <v/>
      </c>
      <c r="CL41" s="448" t="str">
        <f aca="false">IF($G41=0,IF(CL$11=$H41,"◆",""),IF(AND(CL$11&gt;=$H41,CL$11&lt;=$I41),1,""))</f>
        <v/>
      </c>
      <c r="CM41" s="448" t="str">
        <f aca="false">IF($G41=0,IF(CM$11=$H41,"◆",""),IF(AND(CM$11&gt;=$H41,CM$11&lt;=$I41),1,""))</f>
        <v/>
      </c>
      <c r="CN41" s="448" t="str">
        <f aca="false">IF($G41=0,IF(CN$11=$H41,"◆",""),IF(AND(CN$11&gt;=$H41,CN$11&lt;=$I41),1,""))</f>
        <v/>
      </c>
      <c r="CO41" s="448" t="str">
        <f aca="false">IF($G41=0,IF(CO$11=$H41,"◆",""),IF(AND(CO$11&gt;=$H41,CO$11&lt;=$I41),1,""))</f>
        <v/>
      </c>
      <c r="CP41" s="448" t="str">
        <f aca="false">IF($G41=0,IF(CP$11=$H41,"◆",""),IF(AND(CP$11&gt;=$H41,CP$11&lt;=$I41),1,""))</f>
        <v/>
      </c>
      <c r="CQ41" s="448" t="str">
        <f aca="false">IF($G41=0,IF(CQ$11=$H41,"◆",""),IF(AND(CQ$11&gt;=$H41,CQ$11&lt;=$I41),1,""))</f>
        <v/>
      </c>
      <c r="CR41" s="448" t="str">
        <f aca="false">IF($G41=0,IF(CR$11=$H41,"◆",""),IF(AND(CR$11&gt;=$H41,CR$11&lt;=$I41),1,""))</f>
        <v/>
      </c>
      <c r="CS41" s="448" t="str">
        <f aca="false">IF($G41=0,IF(CS$11=$H41,"◆",""),IF(AND(CS$11&gt;=$H41,CS$11&lt;=$I41),1,""))</f>
        <v/>
      </c>
      <c r="CT41" s="448" t="str">
        <f aca="false">IF($G41=0,IF(CT$11=$H41,"◆",""),IF(AND(CT$11&gt;=$H41,CT$11&lt;=$I41),1,""))</f>
        <v/>
      </c>
      <c r="CU41" s="448" t="str">
        <f aca="false">IF($G41=0,IF(CU$11=$H41,"◆",""),IF(AND(CU$11&gt;=$H41,CU$11&lt;=$I41),1,""))</f>
        <v/>
      </c>
      <c r="CV41" s="448" t="str">
        <f aca="false">IF($G41=0,IF(CV$11=$H41,"◆",""),IF(AND(CV$11&gt;=$H41,CV$11&lt;=$I41),1,""))</f>
        <v/>
      </c>
      <c r="CW41" s="448" t="str">
        <f aca="false">IF($G41=0,IF(CW$11=$H41,"◆",""),IF(AND(CW$11&gt;=$H41,CW$11&lt;=$I41),1,""))</f>
        <v/>
      </c>
      <c r="CX41" s="448" t="str">
        <f aca="false">IF($G41=0,IF(CX$11=$H41,"◆",""),IF(AND(CX$11&gt;=$H41,CX$11&lt;=$I41),1,""))</f>
        <v/>
      </c>
      <c r="CY41" s="448" t="str">
        <f aca="false">IF($G41=0,IF(CY$11=$H41,"◆",""),IF(AND(CY$11&gt;=$H41,CY$11&lt;=$I41),1,""))</f>
        <v/>
      </c>
      <c r="CZ41" s="448" t="str">
        <f aca="false">IF($G41=0,IF(CZ$11=$H41,"◆",""),IF(AND(CZ$11&gt;=$H41,CZ$11&lt;=$I41),1,""))</f>
        <v/>
      </c>
      <c r="DA41" s="448" t="str">
        <f aca="false">IF($G41=0,IF(DA$11=$H41,"◆",""),IF(AND(DA$11&gt;=$H41,DA$11&lt;=$I41),1,""))</f>
        <v/>
      </c>
      <c r="DB41" s="448" t="str">
        <f aca="false">IF($G41=0,IF(DB$11=$H41,"◆",""),IF(AND(DB$11&gt;=$H41,DB$11&lt;=$I41),1,""))</f>
        <v/>
      </c>
      <c r="DC41" s="448" t="str">
        <f aca="false">IF($G41=0,IF(DC$11=$H41,"◆",""),IF(AND(DC$11&gt;=$H41,DC$11&lt;=$I41),1,""))</f>
        <v/>
      </c>
      <c r="DD41" s="448" t="str">
        <f aca="false">IF($G41=0,IF(DD$11=$H41,"◆",""),IF(AND(DD$11&gt;=$H41,DD$11&lt;=$I41),1,""))</f>
        <v/>
      </c>
      <c r="DE41" s="448" t="str">
        <f aca="false">IF($G41=0,IF(DE$11=$H41,"◆",""),IF(AND(DE$11&gt;=$H41,DE$11&lt;=$I41),1,""))</f>
        <v/>
      </c>
      <c r="DF41" s="448" t="str">
        <f aca="false">IF($G41=0,IF(DF$11=$H41,"◆",""),IF(AND(DF$11&gt;=$H41,DF$11&lt;=$I41),1,""))</f>
        <v/>
      </c>
      <c r="DG41" s="448" t="str">
        <f aca="false">IF($G41=0,IF(DG$11=$H41,"◆",""),IF(AND(DG$11&gt;=$H41,DG$11&lt;=$I41),1,""))</f>
        <v/>
      </c>
      <c r="DH41" s="448" t="str">
        <f aca="false">IF($G41=0,IF(DH$11=$H41,"◆",""),IF(AND(DH$11&gt;=$H41,DH$11&lt;=$I41),1,""))</f>
        <v/>
      </c>
      <c r="DI41" s="448" t="str">
        <f aca="false">IF($G41=0,IF(DI$11=$H41,"◆",""),IF(AND(DI$11&gt;=$H41,DI$11&lt;=$I41),1,""))</f>
        <v/>
      </c>
      <c r="DJ41" s="448" t="str">
        <f aca="false">IF($G41=0,IF(DJ$11=$H41,"◆",""),IF(AND(DJ$11&gt;=$H41,DJ$11&lt;=$I41),1,""))</f>
        <v/>
      </c>
      <c r="DK41" s="448" t="str">
        <f aca="false">IF($G41=0,IF(DK$11=$H41,"◆",""),IF(AND(DK$11&gt;=$H41,DK$11&lt;=$I41),1,""))</f>
        <v/>
      </c>
      <c r="DL41" s="448" t="str">
        <f aca="false">IF($G41=0,IF(DL$11=$H41,"◆",""),IF(AND(DL$11&gt;=$H41,DL$11&lt;=$I41),1,""))</f>
        <v/>
      </c>
      <c r="DM41" s="448" t="str">
        <f aca="false">IF($G41=0,IF(DM$11=$H41,"◆",""),IF(AND(DM$11&gt;=$H41,DM$11&lt;=$I41),1,""))</f>
        <v/>
      </c>
      <c r="DN41" s="448" t="str">
        <f aca="false">IF($G41=0,IF(DN$11=$H41,"◆",""),IF(AND(DN$11&gt;=$H41,DN$11&lt;=$I41),1,""))</f>
        <v/>
      </c>
      <c r="DO41" s="448" t="str">
        <f aca="false">IF($G41=0,IF(DO$11=$H41,"◆",""),IF(AND(DO$11&gt;=$H41,DO$11&lt;=$I41),1,""))</f>
        <v/>
      </c>
      <c r="DP41" s="448" t="str">
        <f aca="false">IF($G41=0,IF(DP$11=$H41,"◆",""),IF(AND(DP$11&gt;=$H41,DP$11&lt;=$I41),1,""))</f>
        <v/>
      </c>
      <c r="DQ41" s="448" t="str">
        <f aca="false">IF($G41=0,IF(DQ$11=$H41,"◆",""),IF(AND(DQ$11&gt;=$H41,DQ$11&lt;=$I41),1,""))</f>
        <v/>
      </c>
      <c r="DR41" s="448" t="str">
        <f aca="false">IF($G41=0,IF(DR$11=$H41,"◆",""),IF(AND(DR$11&gt;=$H41,DR$11&lt;=$I41),1,""))</f>
        <v/>
      </c>
      <c r="DS41" s="448" t="str">
        <f aca="false">IF($G41=0,IF(DS$11=$H41,"◆",""),IF(AND(DS$11&gt;=$H41,DS$11&lt;=$I41),1,""))</f>
        <v/>
      </c>
      <c r="DT41" s="448" t="str">
        <f aca="false">IF($G41=0,IF(DT$11=$H41,"◆",""),IF(AND(DT$11&gt;=$H41,DT$11&lt;=$I41),1,""))</f>
        <v/>
      </c>
      <c r="DU41" s="448" t="str">
        <f aca="false">IF($G41=0,IF(DU$11=$H41,"◆",""),IF(AND(DU$11&gt;=$H41,DU$11&lt;=$I41),1,""))</f>
        <v/>
      </c>
      <c r="DV41" s="448" t="str">
        <f aca="false">IF($G41=0,IF(DV$11=$H41,"◆",""),IF(AND(DV$11&gt;=$H41,DV$11&lt;=$I41),1,""))</f>
        <v/>
      </c>
      <c r="DW41" s="448" t="str">
        <f aca="false">IF($G41=0,IF(DW$11=$H41,"◆",""),IF(AND(DW$11&gt;=$H41,DW$11&lt;=$I41),1,""))</f>
        <v/>
      </c>
      <c r="DX41" s="448" t="str">
        <f aca="false">IF($G41=0,IF(DX$11=$H41,"◆",""),IF(AND(DX$11&gt;=$H41,DX$11&lt;=$I41),1,""))</f>
        <v/>
      </c>
      <c r="DY41" s="448" t="str">
        <f aca="false">IF($G41=0,IF(DY$11=$H41,"◆",""),IF(AND(DY$11&gt;=$H41,DY$11&lt;=$I41),1,""))</f>
        <v/>
      </c>
      <c r="DZ41" s="448" t="str">
        <f aca="false">IF($G41=0,IF(DZ$11=$H41,"◆",""),IF(AND(DZ$11&gt;=$H41,DZ$11&lt;=$I41),1,""))</f>
        <v/>
      </c>
      <c r="EA41" s="448" t="str">
        <f aca="false">IF($G41=0,IF(EA$11=$H41,"◆",""),IF(AND(EA$11&gt;=$H41,EA$11&lt;=$I41),1,""))</f>
        <v/>
      </c>
      <c r="EB41" s="448" t="str">
        <f aca="false">IF($G41=0,IF(EB$11=$H41,"◆",""),IF(AND(EB$11&gt;=$H41,EB$11&lt;=$I41),1,""))</f>
        <v/>
      </c>
      <c r="EC41" s="448" t="str">
        <f aca="false">IF($G41=0,IF(EC$11=$H41,"◆",""),IF(AND(EC$11&gt;=$H41,EC$11&lt;=$I41),1,""))</f>
        <v/>
      </c>
      <c r="ED41" s="448" t="str">
        <f aca="false">IF($G41=0,IF(ED$11=$H41,"◆",""),IF(AND(ED$11&gt;=$H41,ED$11&lt;=$I41),1,""))</f>
        <v/>
      </c>
    </row>
    <row r="42" customFormat="false" ht="15" hidden="false" customHeight="true" outlineLevel="0" collapsed="false">
      <c r="A42" s="441" t="s">
        <v>2505</v>
      </c>
      <c r="B42" s="297" t="s">
        <v>2506</v>
      </c>
      <c r="C42" s="442" t="s">
        <v>2480</v>
      </c>
      <c r="D42" s="443" t="s">
        <v>2496</v>
      </c>
      <c r="E42" s="354" t="n">
        <f aca="false">FC_SUPUESTOS!$C$23-FC_SUPUESTOS!$C$21</f>
        <v>8</v>
      </c>
      <c r="F42" s="352" t="n">
        <v>0</v>
      </c>
      <c r="G42" s="352" t="n">
        <v>8</v>
      </c>
      <c r="H42" s="367" t="n">
        <f aca="false">MAX(1,ROUND(($E42-1)*$D$5,0)+1+$F42)</f>
        <v>31</v>
      </c>
      <c r="I42" s="367" t="n">
        <f aca="false">MAX($H42,$H42+$G42-1)</f>
        <v>38</v>
      </c>
      <c r="J42" s="444" t="n">
        <f aca="false">$D$4+($H42-1)*7</f>
        <v>46510</v>
      </c>
      <c r="K42" s="444" t="n">
        <f aca="false">$D$4+$I42*7-1</f>
        <v>46565</v>
      </c>
      <c r="L42" s="445" t="n">
        <f aca="false">ROUNDUP($H42/$D$5,0)</f>
        <v>8</v>
      </c>
      <c r="M42" s="446" t="s">
        <v>2453</v>
      </c>
      <c r="N42" s="447" t="n">
        <v>0</v>
      </c>
      <c r="O42" s="448" t="str">
        <f aca="false">IF($G42=0,IF(O$11=$H42,"◆",""),IF(AND(O$11&gt;=$H42,O$11&lt;=$I42),1,""))</f>
        <v/>
      </c>
      <c r="P42" s="448" t="str">
        <f aca="false">IF($G42=0,IF(P$11=$H42,"◆",""),IF(AND(P$11&gt;=$H42,P$11&lt;=$I42),1,""))</f>
        <v/>
      </c>
      <c r="Q42" s="448" t="str">
        <f aca="false">IF($G42=0,IF(Q$11=$H42,"◆",""),IF(AND(Q$11&gt;=$H42,Q$11&lt;=$I42),1,""))</f>
        <v/>
      </c>
      <c r="R42" s="448" t="str">
        <f aca="false">IF($G42=0,IF(R$11=$H42,"◆",""),IF(AND(R$11&gt;=$H42,R$11&lt;=$I42),1,""))</f>
        <v/>
      </c>
      <c r="S42" s="448" t="str">
        <f aca="false">IF($G42=0,IF(S$11=$H42,"◆",""),IF(AND(S$11&gt;=$H42,S$11&lt;=$I42),1,""))</f>
        <v/>
      </c>
      <c r="T42" s="448" t="str">
        <f aca="false">IF($G42=0,IF(T$11=$H42,"◆",""),IF(AND(T$11&gt;=$H42,T$11&lt;=$I42),1,""))</f>
        <v/>
      </c>
      <c r="U42" s="448" t="str">
        <f aca="false">IF($G42=0,IF(U$11=$H42,"◆",""),IF(AND(U$11&gt;=$H42,U$11&lt;=$I42),1,""))</f>
        <v/>
      </c>
      <c r="V42" s="448" t="str">
        <f aca="false">IF($G42=0,IF(V$11=$H42,"◆",""),IF(AND(V$11&gt;=$H42,V$11&lt;=$I42),1,""))</f>
        <v/>
      </c>
      <c r="W42" s="448" t="str">
        <f aca="false">IF($G42=0,IF(W$11=$H42,"◆",""),IF(AND(W$11&gt;=$H42,W$11&lt;=$I42),1,""))</f>
        <v/>
      </c>
      <c r="X42" s="448" t="str">
        <f aca="false">IF($G42=0,IF(X$11=$H42,"◆",""),IF(AND(X$11&gt;=$H42,X$11&lt;=$I42),1,""))</f>
        <v/>
      </c>
      <c r="Y42" s="448" t="str">
        <f aca="false">IF($G42=0,IF(Y$11=$H42,"◆",""),IF(AND(Y$11&gt;=$H42,Y$11&lt;=$I42),1,""))</f>
        <v/>
      </c>
      <c r="Z42" s="448" t="str">
        <f aca="false">IF($G42=0,IF(Z$11=$H42,"◆",""),IF(AND(Z$11&gt;=$H42,Z$11&lt;=$I42),1,""))</f>
        <v/>
      </c>
      <c r="AA42" s="448" t="str">
        <f aca="false">IF($G42=0,IF(AA$11=$H42,"◆",""),IF(AND(AA$11&gt;=$H42,AA$11&lt;=$I42),1,""))</f>
        <v/>
      </c>
      <c r="AB42" s="448" t="str">
        <f aca="false">IF($G42=0,IF(AB$11=$H42,"◆",""),IF(AND(AB$11&gt;=$H42,AB$11&lt;=$I42),1,""))</f>
        <v/>
      </c>
      <c r="AC42" s="448" t="str">
        <f aca="false">IF($G42=0,IF(AC$11=$H42,"◆",""),IF(AND(AC$11&gt;=$H42,AC$11&lt;=$I42),1,""))</f>
        <v/>
      </c>
      <c r="AD42" s="448" t="str">
        <f aca="false">IF($G42=0,IF(AD$11=$H42,"◆",""),IF(AND(AD$11&gt;=$H42,AD$11&lt;=$I42),1,""))</f>
        <v/>
      </c>
      <c r="AE42" s="448" t="str">
        <f aca="false">IF($G42=0,IF(AE$11=$H42,"◆",""),IF(AND(AE$11&gt;=$H42,AE$11&lt;=$I42),1,""))</f>
        <v/>
      </c>
      <c r="AF42" s="448" t="str">
        <f aca="false">IF($G42=0,IF(AF$11=$H42,"◆",""),IF(AND(AF$11&gt;=$H42,AF$11&lt;=$I42),1,""))</f>
        <v/>
      </c>
      <c r="AG42" s="448" t="str">
        <f aca="false">IF($G42=0,IF(AG$11=$H42,"◆",""),IF(AND(AG$11&gt;=$H42,AG$11&lt;=$I42),1,""))</f>
        <v/>
      </c>
      <c r="AH42" s="448" t="str">
        <f aca="false">IF($G42=0,IF(AH$11=$H42,"◆",""),IF(AND(AH$11&gt;=$H42,AH$11&lt;=$I42),1,""))</f>
        <v/>
      </c>
      <c r="AI42" s="448" t="str">
        <f aca="false">IF($G42=0,IF(AI$11=$H42,"◆",""),IF(AND(AI$11&gt;=$H42,AI$11&lt;=$I42),1,""))</f>
        <v/>
      </c>
      <c r="AJ42" s="448" t="str">
        <f aca="false">IF($G42=0,IF(AJ$11=$H42,"◆",""),IF(AND(AJ$11&gt;=$H42,AJ$11&lt;=$I42),1,""))</f>
        <v/>
      </c>
      <c r="AK42" s="448" t="str">
        <f aca="false">IF($G42=0,IF(AK$11=$H42,"◆",""),IF(AND(AK$11&gt;=$H42,AK$11&lt;=$I42),1,""))</f>
        <v/>
      </c>
      <c r="AL42" s="448" t="str">
        <f aca="false">IF($G42=0,IF(AL$11=$H42,"◆",""),IF(AND(AL$11&gt;=$H42,AL$11&lt;=$I42),1,""))</f>
        <v/>
      </c>
      <c r="AM42" s="448" t="str">
        <f aca="false">IF($G42=0,IF(AM$11=$H42,"◆",""),IF(AND(AM$11&gt;=$H42,AM$11&lt;=$I42),1,""))</f>
        <v/>
      </c>
      <c r="AN42" s="448" t="str">
        <f aca="false">IF($G42=0,IF(AN$11=$H42,"◆",""),IF(AND(AN$11&gt;=$H42,AN$11&lt;=$I42),1,""))</f>
        <v/>
      </c>
      <c r="AO42" s="448" t="str">
        <f aca="false">IF($G42=0,IF(AO$11=$H42,"◆",""),IF(AND(AO$11&gt;=$H42,AO$11&lt;=$I42),1,""))</f>
        <v/>
      </c>
      <c r="AP42" s="448" t="str">
        <f aca="false">IF($G42=0,IF(AP$11=$H42,"◆",""),IF(AND(AP$11&gt;=$H42,AP$11&lt;=$I42),1,""))</f>
        <v/>
      </c>
      <c r="AQ42" s="448" t="str">
        <f aca="false">IF($G42=0,IF(AQ$11=$H42,"◆",""),IF(AND(AQ$11&gt;=$H42,AQ$11&lt;=$I42),1,""))</f>
        <v/>
      </c>
      <c r="AR42" s="448" t="str">
        <f aca="false">IF($G42=0,IF(AR$11=$H42,"◆",""),IF(AND(AR$11&gt;=$H42,AR$11&lt;=$I42),1,""))</f>
        <v/>
      </c>
      <c r="AS42" s="448" t="n">
        <f aca="false">IF($G42=0,IF(AS$11=$H42,"◆",""),IF(AND(AS$11&gt;=$H42,AS$11&lt;=$I42),1,""))</f>
        <v>1</v>
      </c>
      <c r="AT42" s="448" t="n">
        <f aca="false">IF($G42=0,IF(AT$11=$H42,"◆",""),IF(AND(AT$11&gt;=$H42,AT$11&lt;=$I42),1,""))</f>
        <v>1</v>
      </c>
      <c r="AU42" s="448" t="n">
        <f aca="false">IF($G42=0,IF(AU$11=$H42,"◆",""),IF(AND(AU$11&gt;=$H42,AU$11&lt;=$I42),1,""))</f>
        <v>1</v>
      </c>
      <c r="AV42" s="448" t="n">
        <f aca="false">IF($G42=0,IF(AV$11=$H42,"◆",""),IF(AND(AV$11&gt;=$H42,AV$11&lt;=$I42),1,""))</f>
        <v>1</v>
      </c>
      <c r="AW42" s="448" t="n">
        <f aca="false">IF($G42=0,IF(AW$11=$H42,"◆",""),IF(AND(AW$11&gt;=$H42,AW$11&lt;=$I42),1,""))</f>
        <v>1</v>
      </c>
      <c r="AX42" s="448" t="n">
        <f aca="false">IF($G42=0,IF(AX$11=$H42,"◆",""),IF(AND(AX$11&gt;=$H42,AX$11&lt;=$I42),1,""))</f>
        <v>1</v>
      </c>
      <c r="AY42" s="448" t="n">
        <f aca="false">IF($G42=0,IF(AY$11=$H42,"◆",""),IF(AND(AY$11&gt;=$H42,AY$11&lt;=$I42),1,""))</f>
        <v>1</v>
      </c>
      <c r="AZ42" s="448" t="n">
        <f aca="false">IF($G42=0,IF(AZ$11=$H42,"◆",""),IF(AND(AZ$11&gt;=$H42,AZ$11&lt;=$I42),1,""))</f>
        <v>1</v>
      </c>
      <c r="BA42" s="448" t="str">
        <f aca="false">IF($G42=0,IF(BA$11=$H42,"◆",""),IF(AND(BA$11&gt;=$H42,BA$11&lt;=$I42),1,""))</f>
        <v/>
      </c>
      <c r="BB42" s="448" t="str">
        <f aca="false">IF($G42=0,IF(BB$11=$H42,"◆",""),IF(AND(BB$11&gt;=$H42,BB$11&lt;=$I42),1,""))</f>
        <v/>
      </c>
      <c r="BC42" s="448" t="str">
        <f aca="false">IF($G42=0,IF(BC$11=$H42,"◆",""),IF(AND(BC$11&gt;=$H42,BC$11&lt;=$I42),1,""))</f>
        <v/>
      </c>
      <c r="BD42" s="448" t="str">
        <f aca="false">IF($G42=0,IF(BD$11=$H42,"◆",""),IF(AND(BD$11&gt;=$H42,BD$11&lt;=$I42),1,""))</f>
        <v/>
      </c>
      <c r="BE42" s="448" t="str">
        <f aca="false">IF($G42=0,IF(BE$11=$H42,"◆",""),IF(AND(BE$11&gt;=$H42,BE$11&lt;=$I42),1,""))</f>
        <v/>
      </c>
      <c r="BF42" s="448" t="str">
        <f aca="false">IF($G42=0,IF(BF$11=$H42,"◆",""),IF(AND(BF$11&gt;=$H42,BF$11&lt;=$I42),1,""))</f>
        <v/>
      </c>
      <c r="BG42" s="448" t="str">
        <f aca="false">IF($G42=0,IF(BG$11=$H42,"◆",""),IF(AND(BG$11&gt;=$H42,BG$11&lt;=$I42),1,""))</f>
        <v/>
      </c>
      <c r="BH42" s="448" t="str">
        <f aca="false">IF($G42=0,IF(BH$11=$H42,"◆",""),IF(AND(BH$11&gt;=$H42,BH$11&lt;=$I42),1,""))</f>
        <v/>
      </c>
      <c r="BI42" s="448" t="str">
        <f aca="false">IF($G42=0,IF(BI$11=$H42,"◆",""),IF(AND(BI$11&gt;=$H42,BI$11&lt;=$I42),1,""))</f>
        <v/>
      </c>
      <c r="BJ42" s="448" t="str">
        <f aca="false">IF($G42=0,IF(BJ$11=$H42,"◆",""),IF(AND(BJ$11&gt;=$H42,BJ$11&lt;=$I42),1,""))</f>
        <v/>
      </c>
      <c r="BK42" s="448" t="str">
        <f aca="false">IF($G42=0,IF(BK$11=$H42,"◆",""),IF(AND(BK$11&gt;=$H42,BK$11&lt;=$I42),1,""))</f>
        <v/>
      </c>
      <c r="BL42" s="448" t="str">
        <f aca="false">IF($G42=0,IF(BL$11=$H42,"◆",""),IF(AND(BL$11&gt;=$H42,BL$11&lt;=$I42),1,""))</f>
        <v/>
      </c>
      <c r="BM42" s="448" t="str">
        <f aca="false">IF($G42=0,IF(BM$11=$H42,"◆",""),IF(AND(BM$11&gt;=$H42,BM$11&lt;=$I42),1,""))</f>
        <v/>
      </c>
      <c r="BN42" s="448" t="str">
        <f aca="false">IF($G42=0,IF(BN$11=$H42,"◆",""),IF(AND(BN$11&gt;=$H42,BN$11&lt;=$I42),1,""))</f>
        <v/>
      </c>
      <c r="BO42" s="448" t="str">
        <f aca="false">IF($G42=0,IF(BO$11=$H42,"◆",""),IF(AND(BO$11&gt;=$H42,BO$11&lt;=$I42),1,""))</f>
        <v/>
      </c>
      <c r="BP42" s="448" t="str">
        <f aca="false">IF($G42=0,IF(BP$11=$H42,"◆",""),IF(AND(BP$11&gt;=$H42,BP$11&lt;=$I42),1,""))</f>
        <v/>
      </c>
      <c r="BQ42" s="448" t="str">
        <f aca="false">IF($G42=0,IF(BQ$11=$H42,"◆",""),IF(AND(BQ$11&gt;=$H42,BQ$11&lt;=$I42),1,""))</f>
        <v/>
      </c>
      <c r="BR42" s="448" t="str">
        <f aca="false">IF($G42=0,IF(BR$11=$H42,"◆",""),IF(AND(BR$11&gt;=$H42,BR$11&lt;=$I42),1,""))</f>
        <v/>
      </c>
      <c r="BS42" s="448" t="str">
        <f aca="false">IF($G42=0,IF(BS$11=$H42,"◆",""),IF(AND(BS$11&gt;=$H42,BS$11&lt;=$I42),1,""))</f>
        <v/>
      </c>
      <c r="BT42" s="448" t="str">
        <f aca="false">IF($G42=0,IF(BT$11=$H42,"◆",""),IF(AND(BT$11&gt;=$H42,BT$11&lt;=$I42),1,""))</f>
        <v/>
      </c>
      <c r="BU42" s="448" t="str">
        <f aca="false">IF($G42=0,IF(BU$11=$H42,"◆",""),IF(AND(BU$11&gt;=$H42,BU$11&lt;=$I42),1,""))</f>
        <v/>
      </c>
      <c r="BV42" s="448" t="str">
        <f aca="false">IF($G42=0,IF(BV$11=$H42,"◆",""),IF(AND(BV$11&gt;=$H42,BV$11&lt;=$I42),1,""))</f>
        <v/>
      </c>
      <c r="BW42" s="448" t="str">
        <f aca="false">IF($G42=0,IF(BW$11=$H42,"◆",""),IF(AND(BW$11&gt;=$H42,BW$11&lt;=$I42),1,""))</f>
        <v/>
      </c>
      <c r="BX42" s="448" t="str">
        <f aca="false">IF($G42=0,IF(BX$11=$H42,"◆",""),IF(AND(BX$11&gt;=$H42,BX$11&lt;=$I42),1,""))</f>
        <v/>
      </c>
      <c r="BY42" s="448" t="str">
        <f aca="false">IF($G42=0,IF(BY$11=$H42,"◆",""),IF(AND(BY$11&gt;=$H42,BY$11&lt;=$I42),1,""))</f>
        <v/>
      </c>
      <c r="BZ42" s="448" t="str">
        <f aca="false">IF($G42=0,IF(BZ$11=$H42,"◆",""),IF(AND(BZ$11&gt;=$H42,BZ$11&lt;=$I42),1,""))</f>
        <v/>
      </c>
      <c r="CA42" s="448" t="str">
        <f aca="false">IF($G42=0,IF(CA$11=$H42,"◆",""),IF(AND(CA$11&gt;=$H42,CA$11&lt;=$I42),1,""))</f>
        <v/>
      </c>
      <c r="CB42" s="448" t="str">
        <f aca="false">IF($G42=0,IF(CB$11=$H42,"◆",""),IF(AND(CB$11&gt;=$H42,CB$11&lt;=$I42),1,""))</f>
        <v/>
      </c>
      <c r="CC42" s="448" t="str">
        <f aca="false">IF($G42=0,IF(CC$11=$H42,"◆",""),IF(AND(CC$11&gt;=$H42,CC$11&lt;=$I42),1,""))</f>
        <v/>
      </c>
      <c r="CD42" s="448" t="str">
        <f aca="false">IF($G42=0,IF(CD$11=$H42,"◆",""),IF(AND(CD$11&gt;=$H42,CD$11&lt;=$I42),1,""))</f>
        <v/>
      </c>
      <c r="CE42" s="448" t="str">
        <f aca="false">IF($G42=0,IF(CE$11=$H42,"◆",""),IF(AND(CE$11&gt;=$H42,CE$11&lt;=$I42),1,""))</f>
        <v/>
      </c>
      <c r="CF42" s="448" t="str">
        <f aca="false">IF($G42=0,IF(CF$11=$H42,"◆",""),IF(AND(CF$11&gt;=$H42,CF$11&lt;=$I42),1,""))</f>
        <v/>
      </c>
      <c r="CG42" s="448" t="str">
        <f aca="false">IF($G42=0,IF(CG$11=$H42,"◆",""),IF(AND(CG$11&gt;=$H42,CG$11&lt;=$I42),1,""))</f>
        <v/>
      </c>
      <c r="CH42" s="448" t="str">
        <f aca="false">IF($G42=0,IF(CH$11=$H42,"◆",""),IF(AND(CH$11&gt;=$H42,CH$11&lt;=$I42),1,""))</f>
        <v/>
      </c>
      <c r="CI42" s="448" t="str">
        <f aca="false">IF($G42=0,IF(CI$11=$H42,"◆",""),IF(AND(CI$11&gt;=$H42,CI$11&lt;=$I42),1,""))</f>
        <v/>
      </c>
      <c r="CJ42" s="448" t="str">
        <f aca="false">IF($G42=0,IF(CJ$11=$H42,"◆",""),IF(AND(CJ$11&gt;=$H42,CJ$11&lt;=$I42),1,""))</f>
        <v/>
      </c>
      <c r="CK42" s="448" t="str">
        <f aca="false">IF($G42=0,IF(CK$11=$H42,"◆",""),IF(AND(CK$11&gt;=$H42,CK$11&lt;=$I42),1,""))</f>
        <v/>
      </c>
      <c r="CL42" s="448" t="str">
        <f aca="false">IF($G42=0,IF(CL$11=$H42,"◆",""),IF(AND(CL$11&gt;=$H42,CL$11&lt;=$I42),1,""))</f>
        <v/>
      </c>
      <c r="CM42" s="448" t="str">
        <f aca="false">IF($G42=0,IF(CM$11=$H42,"◆",""),IF(AND(CM$11&gt;=$H42,CM$11&lt;=$I42),1,""))</f>
        <v/>
      </c>
      <c r="CN42" s="448" t="str">
        <f aca="false">IF($G42=0,IF(CN$11=$H42,"◆",""),IF(AND(CN$11&gt;=$H42,CN$11&lt;=$I42),1,""))</f>
        <v/>
      </c>
      <c r="CO42" s="448" t="str">
        <f aca="false">IF($G42=0,IF(CO$11=$H42,"◆",""),IF(AND(CO$11&gt;=$H42,CO$11&lt;=$I42),1,""))</f>
        <v/>
      </c>
      <c r="CP42" s="448" t="str">
        <f aca="false">IF($G42=0,IF(CP$11=$H42,"◆",""),IF(AND(CP$11&gt;=$H42,CP$11&lt;=$I42),1,""))</f>
        <v/>
      </c>
      <c r="CQ42" s="448" t="str">
        <f aca="false">IF($G42=0,IF(CQ$11=$H42,"◆",""),IF(AND(CQ$11&gt;=$H42,CQ$11&lt;=$I42),1,""))</f>
        <v/>
      </c>
      <c r="CR42" s="448" t="str">
        <f aca="false">IF($G42=0,IF(CR$11=$H42,"◆",""),IF(AND(CR$11&gt;=$H42,CR$11&lt;=$I42),1,""))</f>
        <v/>
      </c>
      <c r="CS42" s="448" t="str">
        <f aca="false">IF($G42=0,IF(CS$11=$H42,"◆",""),IF(AND(CS$11&gt;=$H42,CS$11&lt;=$I42),1,""))</f>
        <v/>
      </c>
      <c r="CT42" s="448" t="str">
        <f aca="false">IF($G42=0,IF(CT$11=$H42,"◆",""),IF(AND(CT$11&gt;=$H42,CT$11&lt;=$I42),1,""))</f>
        <v/>
      </c>
      <c r="CU42" s="448" t="str">
        <f aca="false">IF($G42=0,IF(CU$11=$H42,"◆",""),IF(AND(CU$11&gt;=$H42,CU$11&lt;=$I42),1,""))</f>
        <v/>
      </c>
      <c r="CV42" s="448" t="str">
        <f aca="false">IF($G42=0,IF(CV$11=$H42,"◆",""),IF(AND(CV$11&gt;=$H42,CV$11&lt;=$I42),1,""))</f>
        <v/>
      </c>
      <c r="CW42" s="448" t="str">
        <f aca="false">IF($G42=0,IF(CW$11=$H42,"◆",""),IF(AND(CW$11&gt;=$H42,CW$11&lt;=$I42),1,""))</f>
        <v/>
      </c>
      <c r="CX42" s="448" t="str">
        <f aca="false">IF($G42=0,IF(CX$11=$H42,"◆",""),IF(AND(CX$11&gt;=$H42,CX$11&lt;=$I42),1,""))</f>
        <v/>
      </c>
      <c r="CY42" s="448" t="str">
        <f aca="false">IF($G42=0,IF(CY$11=$H42,"◆",""),IF(AND(CY$11&gt;=$H42,CY$11&lt;=$I42),1,""))</f>
        <v/>
      </c>
      <c r="CZ42" s="448" t="str">
        <f aca="false">IF($G42=0,IF(CZ$11=$H42,"◆",""),IF(AND(CZ$11&gt;=$H42,CZ$11&lt;=$I42),1,""))</f>
        <v/>
      </c>
      <c r="DA42" s="448" t="str">
        <f aca="false">IF($G42=0,IF(DA$11=$H42,"◆",""),IF(AND(DA$11&gt;=$H42,DA$11&lt;=$I42),1,""))</f>
        <v/>
      </c>
      <c r="DB42" s="448" t="str">
        <f aca="false">IF($G42=0,IF(DB$11=$H42,"◆",""),IF(AND(DB$11&gt;=$H42,DB$11&lt;=$I42),1,""))</f>
        <v/>
      </c>
      <c r="DC42" s="448" t="str">
        <f aca="false">IF($G42=0,IF(DC$11=$H42,"◆",""),IF(AND(DC$11&gt;=$H42,DC$11&lt;=$I42),1,""))</f>
        <v/>
      </c>
      <c r="DD42" s="448" t="str">
        <f aca="false">IF($G42=0,IF(DD$11=$H42,"◆",""),IF(AND(DD$11&gt;=$H42,DD$11&lt;=$I42),1,""))</f>
        <v/>
      </c>
      <c r="DE42" s="448" t="str">
        <f aca="false">IF($G42=0,IF(DE$11=$H42,"◆",""),IF(AND(DE$11&gt;=$H42,DE$11&lt;=$I42),1,""))</f>
        <v/>
      </c>
      <c r="DF42" s="448" t="str">
        <f aca="false">IF($G42=0,IF(DF$11=$H42,"◆",""),IF(AND(DF$11&gt;=$H42,DF$11&lt;=$I42),1,""))</f>
        <v/>
      </c>
      <c r="DG42" s="448" t="str">
        <f aca="false">IF($G42=0,IF(DG$11=$H42,"◆",""),IF(AND(DG$11&gt;=$H42,DG$11&lt;=$I42),1,""))</f>
        <v/>
      </c>
      <c r="DH42" s="448" t="str">
        <f aca="false">IF($G42=0,IF(DH$11=$H42,"◆",""),IF(AND(DH$11&gt;=$H42,DH$11&lt;=$I42),1,""))</f>
        <v/>
      </c>
      <c r="DI42" s="448" t="str">
        <f aca="false">IF($G42=0,IF(DI$11=$H42,"◆",""),IF(AND(DI$11&gt;=$H42,DI$11&lt;=$I42),1,""))</f>
        <v/>
      </c>
      <c r="DJ42" s="448" t="str">
        <f aca="false">IF($G42=0,IF(DJ$11=$H42,"◆",""),IF(AND(DJ$11&gt;=$H42,DJ$11&lt;=$I42),1,""))</f>
        <v/>
      </c>
      <c r="DK42" s="448" t="str">
        <f aca="false">IF($G42=0,IF(DK$11=$H42,"◆",""),IF(AND(DK$11&gt;=$H42,DK$11&lt;=$I42),1,""))</f>
        <v/>
      </c>
      <c r="DL42" s="448" t="str">
        <f aca="false">IF($G42=0,IF(DL$11=$H42,"◆",""),IF(AND(DL$11&gt;=$H42,DL$11&lt;=$I42),1,""))</f>
        <v/>
      </c>
      <c r="DM42" s="448" t="str">
        <f aca="false">IF($G42=0,IF(DM$11=$H42,"◆",""),IF(AND(DM$11&gt;=$H42,DM$11&lt;=$I42),1,""))</f>
        <v/>
      </c>
      <c r="DN42" s="448" t="str">
        <f aca="false">IF($G42=0,IF(DN$11=$H42,"◆",""),IF(AND(DN$11&gt;=$H42,DN$11&lt;=$I42),1,""))</f>
        <v/>
      </c>
      <c r="DO42" s="448" t="str">
        <f aca="false">IF($G42=0,IF(DO$11=$H42,"◆",""),IF(AND(DO$11&gt;=$H42,DO$11&lt;=$I42),1,""))</f>
        <v/>
      </c>
      <c r="DP42" s="448" t="str">
        <f aca="false">IF($G42=0,IF(DP$11=$H42,"◆",""),IF(AND(DP$11&gt;=$H42,DP$11&lt;=$I42),1,""))</f>
        <v/>
      </c>
      <c r="DQ42" s="448" t="str">
        <f aca="false">IF($G42=0,IF(DQ$11=$H42,"◆",""),IF(AND(DQ$11&gt;=$H42,DQ$11&lt;=$I42),1,""))</f>
        <v/>
      </c>
      <c r="DR42" s="448" t="str">
        <f aca="false">IF($G42=0,IF(DR$11=$H42,"◆",""),IF(AND(DR$11&gt;=$H42,DR$11&lt;=$I42),1,""))</f>
        <v/>
      </c>
      <c r="DS42" s="448" t="str">
        <f aca="false">IF($G42=0,IF(DS$11=$H42,"◆",""),IF(AND(DS$11&gt;=$H42,DS$11&lt;=$I42),1,""))</f>
        <v/>
      </c>
      <c r="DT42" s="448" t="str">
        <f aca="false">IF($G42=0,IF(DT$11=$H42,"◆",""),IF(AND(DT$11&gt;=$H42,DT$11&lt;=$I42),1,""))</f>
        <v/>
      </c>
      <c r="DU42" s="448" t="str">
        <f aca="false">IF($G42=0,IF(DU$11=$H42,"◆",""),IF(AND(DU$11&gt;=$H42,DU$11&lt;=$I42),1,""))</f>
        <v/>
      </c>
      <c r="DV42" s="448" t="str">
        <f aca="false">IF($G42=0,IF(DV$11=$H42,"◆",""),IF(AND(DV$11&gt;=$H42,DV$11&lt;=$I42),1,""))</f>
        <v/>
      </c>
      <c r="DW42" s="448" t="str">
        <f aca="false">IF($G42=0,IF(DW$11=$H42,"◆",""),IF(AND(DW$11&gt;=$H42,DW$11&lt;=$I42),1,""))</f>
        <v/>
      </c>
      <c r="DX42" s="448" t="str">
        <f aca="false">IF($G42=0,IF(DX$11=$H42,"◆",""),IF(AND(DX$11&gt;=$H42,DX$11&lt;=$I42),1,""))</f>
        <v/>
      </c>
      <c r="DY42" s="448" t="str">
        <f aca="false">IF($G42=0,IF(DY$11=$H42,"◆",""),IF(AND(DY$11&gt;=$H42,DY$11&lt;=$I42),1,""))</f>
        <v/>
      </c>
      <c r="DZ42" s="448" t="str">
        <f aca="false">IF($G42=0,IF(DZ$11=$H42,"◆",""),IF(AND(DZ$11&gt;=$H42,DZ$11&lt;=$I42),1,""))</f>
        <v/>
      </c>
      <c r="EA42" s="448" t="str">
        <f aca="false">IF($G42=0,IF(EA$11=$H42,"◆",""),IF(AND(EA$11&gt;=$H42,EA$11&lt;=$I42),1,""))</f>
        <v/>
      </c>
      <c r="EB42" s="448" t="str">
        <f aca="false">IF($G42=0,IF(EB$11=$H42,"◆",""),IF(AND(EB$11&gt;=$H42,EB$11&lt;=$I42),1,""))</f>
        <v/>
      </c>
      <c r="EC42" s="448" t="str">
        <f aca="false">IF($G42=0,IF(EC$11=$H42,"◆",""),IF(AND(EC$11&gt;=$H42,EC$11&lt;=$I42),1,""))</f>
        <v/>
      </c>
      <c r="ED42" s="448" t="str">
        <f aca="false">IF($G42=0,IF(ED$11=$H42,"◆",""),IF(AND(ED$11&gt;=$H42,ED$11&lt;=$I42),1,""))</f>
        <v/>
      </c>
    </row>
    <row r="43" customFormat="false" ht="15" hidden="false" customHeight="true" outlineLevel="0" collapsed="false">
      <c r="A43" s="441" t="s">
        <v>2507</v>
      </c>
      <c r="B43" s="297" t="s">
        <v>2508</v>
      </c>
      <c r="C43" s="442" t="s">
        <v>2509</v>
      </c>
      <c r="D43" s="443" t="s">
        <v>2500</v>
      </c>
      <c r="E43" s="354" t="n">
        <f aca="false">FC_SUPUESTOS!$C$23</f>
        <v>10</v>
      </c>
      <c r="F43" s="352" t="n">
        <v>-4</v>
      </c>
      <c r="G43" s="352" t="n">
        <v>6</v>
      </c>
      <c r="H43" s="367" t="n">
        <f aca="false">MAX(1,ROUND(($E43-1)*$D$5,0)+1+$F43)</f>
        <v>36</v>
      </c>
      <c r="I43" s="367" t="n">
        <f aca="false">MAX($H43,$H43+$G43-1)</f>
        <v>41</v>
      </c>
      <c r="J43" s="444" t="n">
        <f aca="false">$D$4+($H43-1)*7</f>
        <v>46545</v>
      </c>
      <c r="K43" s="444" t="n">
        <f aca="false">$D$4+$I43*7-1</f>
        <v>46586</v>
      </c>
      <c r="L43" s="445" t="n">
        <f aca="false">ROUNDUP($H43/$D$5,0)</f>
        <v>9</v>
      </c>
      <c r="M43" s="446"/>
      <c r="N43" s="447" t="n">
        <v>0</v>
      </c>
      <c r="O43" s="448" t="str">
        <f aca="false">IF($G43=0,IF(O$11=$H43,"◆",""),IF(AND(O$11&gt;=$H43,O$11&lt;=$I43),1,""))</f>
        <v/>
      </c>
      <c r="P43" s="448" t="str">
        <f aca="false">IF($G43=0,IF(P$11=$H43,"◆",""),IF(AND(P$11&gt;=$H43,P$11&lt;=$I43),1,""))</f>
        <v/>
      </c>
      <c r="Q43" s="448" t="str">
        <f aca="false">IF($G43=0,IF(Q$11=$H43,"◆",""),IF(AND(Q$11&gt;=$H43,Q$11&lt;=$I43),1,""))</f>
        <v/>
      </c>
      <c r="R43" s="448" t="str">
        <f aca="false">IF($G43=0,IF(R$11=$H43,"◆",""),IF(AND(R$11&gt;=$H43,R$11&lt;=$I43),1,""))</f>
        <v/>
      </c>
      <c r="S43" s="448" t="str">
        <f aca="false">IF($G43=0,IF(S$11=$H43,"◆",""),IF(AND(S$11&gt;=$H43,S$11&lt;=$I43),1,""))</f>
        <v/>
      </c>
      <c r="T43" s="448" t="str">
        <f aca="false">IF($G43=0,IF(T$11=$H43,"◆",""),IF(AND(T$11&gt;=$H43,T$11&lt;=$I43),1,""))</f>
        <v/>
      </c>
      <c r="U43" s="448" t="str">
        <f aca="false">IF($G43=0,IF(U$11=$H43,"◆",""),IF(AND(U$11&gt;=$H43,U$11&lt;=$I43),1,""))</f>
        <v/>
      </c>
      <c r="V43" s="448" t="str">
        <f aca="false">IF($G43=0,IF(V$11=$H43,"◆",""),IF(AND(V$11&gt;=$H43,V$11&lt;=$I43),1,""))</f>
        <v/>
      </c>
      <c r="W43" s="448" t="str">
        <f aca="false">IF($G43=0,IF(W$11=$H43,"◆",""),IF(AND(W$11&gt;=$H43,W$11&lt;=$I43),1,""))</f>
        <v/>
      </c>
      <c r="X43" s="448" t="str">
        <f aca="false">IF($G43=0,IF(X$11=$H43,"◆",""),IF(AND(X$11&gt;=$H43,X$11&lt;=$I43),1,""))</f>
        <v/>
      </c>
      <c r="Y43" s="448" t="str">
        <f aca="false">IF($G43=0,IF(Y$11=$H43,"◆",""),IF(AND(Y$11&gt;=$H43,Y$11&lt;=$I43),1,""))</f>
        <v/>
      </c>
      <c r="Z43" s="448" t="str">
        <f aca="false">IF($G43=0,IF(Z$11=$H43,"◆",""),IF(AND(Z$11&gt;=$H43,Z$11&lt;=$I43),1,""))</f>
        <v/>
      </c>
      <c r="AA43" s="448" t="str">
        <f aca="false">IF($G43=0,IF(AA$11=$H43,"◆",""),IF(AND(AA$11&gt;=$H43,AA$11&lt;=$I43),1,""))</f>
        <v/>
      </c>
      <c r="AB43" s="448" t="str">
        <f aca="false">IF($G43=0,IF(AB$11=$H43,"◆",""),IF(AND(AB$11&gt;=$H43,AB$11&lt;=$I43),1,""))</f>
        <v/>
      </c>
      <c r="AC43" s="448" t="str">
        <f aca="false">IF($G43=0,IF(AC$11=$H43,"◆",""),IF(AND(AC$11&gt;=$H43,AC$11&lt;=$I43),1,""))</f>
        <v/>
      </c>
      <c r="AD43" s="448" t="str">
        <f aca="false">IF($G43=0,IF(AD$11=$H43,"◆",""),IF(AND(AD$11&gt;=$H43,AD$11&lt;=$I43),1,""))</f>
        <v/>
      </c>
      <c r="AE43" s="448" t="str">
        <f aca="false">IF($G43=0,IF(AE$11=$H43,"◆",""),IF(AND(AE$11&gt;=$H43,AE$11&lt;=$I43),1,""))</f>
        <v/>
      </c>
      <c r="AF43" s="448" t="str">
        <f aca="false">IF($G43=0,IF(AF$11=$H43,"◆",""),IF(AND(AF$11&gt;=$H43,AF$11&lt;=$I43),1,""))</f>
        <v/>
      </c>
      <c r="AG43" s="448" t="str">
        <f aca="false">IF($G43=0,IF(AG$11=$H43,"◆",""),IF(AND(AG$11&gt;=$H43,AG$11&lt;=$I43),1,""))</f>
        <v/>
      </c>
      <c r="AH43" s="448" t="str">
        <f aca="false">IF($G43=0,IF(AH$11=$H43,"◆",""),IF(AND(AH$11&gt;=$H43,AH$11&lt;=$I43),1,""))</f>
        <v/>
      </c>
      <c r="AI43" s="448" t="str">
        <f aca="false">IF($G43=0,IF(AI$11=$H43,"◆",""),IF(AND(AI$11&gt;=$H43,AI$11&lt;=$I43),1,""))</f>
        <v/>
      </c>
      <c r="AJ43" s="448" t="str">
        <f aca="false">IF($G43=0,IF(AJ$11=$H43,"◆",""),IF(AND(AJ$11&gt;=$H43,AJ$11&lt;=$I43),1,""))</f>
        <v/>
      </c>
      <c r="AK43" s="448" t="str">
        <f aca="false">IF($G43=0,IF(AK$11=$H43,"◆",""),IF(AND(AK$11&gt;=$H43,AK$11&lt;=$I43),1,""))</f>
        <v/>
      </c>
      <c r="AL43" s="448" t="str">
        <f aca="false">IF($G43=0,IF(AL$11=$H43,"◆",""),IF(AND(AL$11&gt;=$H43,AL$11&lt;=$I43),1,""))</f>
        <v/>
      </c>
      <c r="AM43" s="448" t="str">
        <f aca="false">IF($G43=0,IF(AM$11=$H43,"◆",""),IF(AND(AM$11&gt;=$H43,AM$11&lt;=$I43),1,""))</f>
        <v/>
      </c>
      <c r="AN43" s="448" t="str">
        <f aca="false">IF($G43=0,IF(AN$11=$H43,"◆",""),IF(AND(AN$11&gt;=$H43,AN$11&lt;=$I43),1,""))</f>
        <v/>
      </c>
      <c r="AO43" s="448" t="str">
        <f aca="false">IF($G43=0,IF(AO$11=$H43,"◆",""),IF(AND(AO$11&gt;=$H43,AO$11&lt;=$I43),1,""))</f>
        <v/>
      </c>
      <c r="AP43" s="448" t="str">
        <f aca="false">IF($G43=0,IF(AP$11=$H43,"◆",""),IF(AND(AP$11&gt;=$H43,AP$11&lt;=$I43),1,""))</f>
        <v/>
      </c>
      <c r="AQ43" s="448" t="str">
        <f aca="false">IF($G43=0,IF(AQ$11=$H43,"◆",""),IF(AND(AQ$11&gt;=$H43,AQ$11&lt;=$I43),1,""))</f>
        <v/>
      </c>
      <c r="AR43" s="448" t="str">
        <f aca="false">IF($G43=0,IF(AR$11=$H43,"◆",""),IF(AND(AR$11&gt;=$H43,AR$11&lt;=$I43),1,""))</f>
        <v/>
      </c>
      <c r="AS43" s="448" t="str">
        <f aca="false">IF($G43=0,IF(AS$11=$H43,"◆",""),IF(AND(AS$11&gt;=$H43,AS$11&lt;=$I43),1,""))</f>
        <v/>
      </c>
      <c r="AT43" s="448" t="str">
        <f aca="false">IF($G43=0,IF(AT$11=$H43,"◆",""),IF(AND(AT$11&gt;=$H43,AT$11&lt;=$I43),1,""))</f>
        <v/>
      </c>
      <c r="AU43" s="448" t="str">
        <f aca="false">IF($G43=0,IF(AU$11=$H43,"◆",""),IF(AND(AU$11&gt;=$H43,AU$11&lt;=$I43),1,""))</f>
        <v/>
      </c>
      <c r="AV43" s="448" t="str">
        <f aca="false">IF($G43=0,IF(AV$11=$H43,"◆",""),IF(AND(AV$11&gt;=$H43,AV$11&lt;=$I43),1,""))</f>
        <v/>
      </c>
      <c r="AW43" s="448" t="str">
        <f aca="false">IF($G43=0,IF(AW$11=$H43,"◆",""),IF(AND(AW$11&gt;=$H43,AW$11&lt;=$I43),1,""))</f>
        <v/>
      </c>
      <c r="AX43" s="448" t="n">
        <f aca="false">IF($G43=0,IF(AX$11=$H43,"◆",""),IF(AND(AX$11&gt;=$H43,AX$11&lt;=$I43),1,""))</f>
        <v>1</v>
      </c>
      <c r="AY43" s="448" t="n">
        <f aca="false">IF($G43=0,IF(AY$11=$H43,"◆",""),IF(AND(AY$11&gt;=$H43,AY$11&lt;=$I43),1,""))</f>
        <v>1</v>
      </c>
      <c r="AZ43" s="448" t="n">
        <f aca="false">IF($G43=0,IF(AZ$11=$H43,"◆",""),IF(AND(AZ$11&gt;=$H43,AZ$11&lt;=$I43),1,""))</f>
        <v>1</v>
      </c>
      <c r="BA43" s="448" t="n">
        <f aca="false">IF($G43=0,IF(BA$11=$H43,"◆",""),IF(AND(BA$11&gt;=$H43,BA$11&lt;=$I43),1,""))</f>
        <v>1</v>
      </c>
      <c r="BB43" s="448" t="n">
        <f aca="false">IF($G43=0,IF(BB$11=$H43,"◆",""),IF(AND(BB$11&gt;=$H43,BB$11&lt;=$I43),1,""))</f>
        <v>1</v>
      </c>
      <c r="BC43" s="448" t="n">
        <f aca="false">IF($G43=0,IF(BC$11=$H43,"◆",""),IF(AND(BC$11&gt;=$H43,BC$11&lt;=$I43),1,""))</f>
        <v>1</v>
      </c>
      <c r="BD43" s="448" t="str">
        <f aca="false">IF($G43=0,IF(BD$11=$H43,"◆",""),IF(AND(BD$11&gt;=$H43,BD$11&lt;=$I43),1,""))</f>
        <v/>
      </c>
      <c r="BE43" s="448" t="str">
        <f aca="false">IF($G43=0,IF(BE$11=$H43,"◆",""),IF(AND(BE$11&gt;=$H43,BE$11&lt;=$I43),1,""))</f>
        <v/>
      </c>
      <c r="BF43" s="448" t="str">
        <f aca="false">IF($G43=0,IF(BF$11=$H43,"◆",""),IF(AND(BF$11&gt;=$H43,BF$11&lt;=$I43),1,""))</f>
        <v/>
      </c>
      <c r="BG43" s="448" t="str">
        <f aca="false">IF($G43=0,IF(BG$11=$H43,"◆",""),IF(AND(BG$11&gt;=$H43,BG$11&lt;=$I43),1,""))</f>
        <v/>
      </c>
      <c r="BH43" s="448" t="str">
        <f aca="false">IF($G43=0,IF(BH$11=$H43,"◆",""),IF(AND(BH$11&gt;=$H43,BH$11&lt;=$I43),1,""))</f>
        <v/>
      </c>
      <c r="BI43" s="448" t="str">
        <f aca="false">IF($G43=0,IF(BI$11=$H43,"◆",""),IF(AND(BI$11&gt;=$H43,BI$11&lt;=$I43),1,""))</f>
        <v/>
      </c>
      <c r="BJ43" s="448" t="str">
        <f aca="false">IF($G43=0,IF(BJ$11=$H43,"◆",""),IF(AND(BJ$11&gt;=$H43,BJ$11&lt;=$I43),1,""))</f>
        <v/>
      </c>
      <c r="BK43" s="448" t="str">
        <f aca="false">IF($G43=0,IF(BK$11=$H43,"◆",""),IF(AND(BK$11&gt;=$H43,BK$11&lt;=$I43),1,""))</f>
        <v/>
      </c>
      <c r="BL43" s="448" t="str">
        <f aca="false">IF($G43=0,IF(BL$11=$H43,"◆",""),IF(AND(BL$11&gt;=$H43,BL$11&lt;=$I43),1,""))</f>
        <v/>
      </c>
      <c r="BM43" s="448" t="str">
        <f aca="false">IF($G43=0,IF(BM$11=$H43,"◆",""),IF(AND(BM$11&gt;=$H43,BM$11&lt;=$I43),1,""))</f>
        <v/>
      </c>
      <c r="BN43" s="448" t="str">
        <f aca="false">IF($G43=0,IF(BN$11=$H43,"◆",""),IF(AND(BN$11&gt;=$H43,BN$11&lt;=$I43),1,""))</f>
        <v/>
      </c>
      <c r="BO43" s="448" t="str">
        <f aca="false">IF($G43=0,IF(BO$11=$H43,"◆",""),IF(AND(BO$11&gt;=$H43,BO$11&lt;=$I43),1,""))</f>
        <v/>
      </c>
      <c r="BP43" s="448" t="str">
        <f aca="false">IF($G43=0,IF(BP$11=$H43,"◆",""),IF(AND(BP$11&gt;=$H43,BP$11&lt;=$I43),1,""))</f>
        <v/>
      </c>
      <c r="BQ43" s="448" t="str">
        <f aca="false">IF($G43=0,IF(BQ$11=$H43,"◆",""),IF(AND(BQ$11&gt;=$H43,BQ$11&lt;=$I43),1,""))</f>
        <v/>
      </c>
      <c r="BR43" s="448" t="str">
        <f aca="false">IF($G43=0,IF(BR$11=$H43,"◆",""),IF(AND(BR$11&gt;=$H43,BR$11&lt;=$I43),1,""))</f>
        <v/>
      </c>
      <c r="BS43" s="448" t="str">
        <f aca="false">IF($G43=0,IF(BS$11=$H43,"◆",""),IF(AND(BS$11&gt;=$H43,BS$11&lt;=$I43),1,""))</f>
        <v/>
      </c>
      <c r="BT43" s="448" t="str">
        <f aca="false">IF($G43=0,IF(BT$11=$H43,"◆",""),IF(AND(BT$11&gt;=$H43,BT$11&lt;=$I43),1,""))</f>
        <v/>
      </c>
      <c r="BU43" s="448" t="str">
        <f aca="false">IF($G43=0,IF(BU$11=$H43,"◆",""),IF(AND(BU$11&gt;=$H43,BU$11&lt;=$I43),1,""))</f>
        <v/>
      </c>
      <c r="BV43" s="448" t="str">
        <f aca="false">IF($G43=0,IF(BV$11=$H43,"◆",""),IF(AND(BV$11&gt;=$H43,BV$11&lt;=$I43),1,""))</f>
        <v/>
      </c>
      <c r="BW43" s="448" t="str">
        <f aca="false">IF($G43=0,IF(BW$11=$H43,"◆",""),IF(AND(BW$11&gt;=$H43,BW$11&lt;=$I43),1,""))</f>
        <v/>
      </c>
      <c r="BX43" s="448" t="str">
        <f aca="false">IF($G43=0,IF(BX$11=$H43,"◆",""),IF(AND(BX$11&gt;=$H43,BX$11&lt;=$I43),1,""))</f>
        <v/>
      </c>
      <c r="BY43" s="448" t="str">
        <f aca="false">IF($G43=0,IF(BY$11=$H43,"◆",""),IF(AND(BY$11&gt;=$H43,BY$11&lt;=$I43),1,""))</f>
        <v/>
      </c>
      <c r="BZ43" s="448" t="str">
        <f aca="false">IF($G43=0,IF(BZ$11=$H43,"◆",""),IF(AND(BZ$11&gt;=$H43,BZ$11&lt;=$I43),1,""))</f>
        <v/>
      </c>
      <c r="CA43" s="448" t="str">
        <f aca="false">IF($G43=0,IF(CA$11=$H43,"◆",""),IF(AND(CA$11&gt;=$H43,CA$11&lt;=$I43),1,""))</f>
        <v/>
      </c>
      <c r="CB43" s="448" t="str">
        <f aca="false">IF($G43=0,IF(CB$11=$H43,"◆",""),IF(AND(CB$11&gt;=$H43,CB$11&lt;=$I43),1,""))</f>
        <v/>
      </c>
      <c r="CC43" s="448" t="str">
        <f aca="false">IF($G43=0,IF(CC$11=$H43,"◆",""),IF(AND(CC$11&gt;=$H43,CC$11&lt;=$I43),1,""))</f>
        <v/>
      </c>
      <c r="CD43" s="448" t="str">
        <f aca="false">IF($G43=0,IF(CD$11=$H43,"◆",""),IF(AND(CD$11&gt;=$H43,CD$11&lt;=$I43),1,""))</f>
        <v/>
      </c>
      <c r="CE43" s="448" t="str">
        <f aca="false">IF($G43=0,IF(CE$11=$H43,"◆",""),IF(AND(CE$11&gt;=$H43,CE$11&lt;=$I43),1,""))</f>
        <v/>
      </c>
      <c r="CF43" s="448" t="str">
        <f aca="false">IF($G43=0,IF(CF$11=$H43,"◆",""),IF(AND(CF$11&gt;=$H43,CF$11&lt;=$I43),1,""))</f>
        <v/>
      </c>
      <c r="CG43" s="448" t="str">
        <f aca="false">IF($G43=0,IF(CG$11=$H43,"◆",""),IF(AND(CG$11&gt;=$H43,CG$11&lt;=$I43),1,""))</f>
        <v/>
      </c>
      <c r="CH43" s="448" t="str">
        <f aca="false">IF($G43=0,IF(CH$11=$H43,"◆",""),IF(AND(CH$11&gt;=$H43,CH$11&lt;=$I43),1,""))</f>
        <v/>
      </c>
      <c r="CI43" s="448" t="str">
        <f aca="false">IF($G43=0,IF(CI$11=$H43,"◆",""),IF(AND(CI$11&gt;=$H43,CI$11&lt;=$I43),1,""))</f>
        <v/>
      </c>
      <c r="CJ43" s="448" t="str">
        <f aca="false">IF($G43=0,IF(CJ$11=$H43,"◆",""),IF(AND(CJ$11&gt;=$H43,CJ$11&lt;=$I43),1,""))</f>
        <v/>
      </c>
      <c r="CK43" s="448" t="str">
        <f aca="false">IF($G43=0,IF(CK$11=$H43,"◆",""),IF(AND(CK$11&gt;=$H43,CK$11&lt;=$I43),1,""))</f>
        <v/>
      </c>
      <c r="CL43" s="448" t="str">
        <f aca="false">IF($G43=0,IF(CL$11=$H43,"◆",""),IF(AND(CL$11&gt;=$H43,CL$11&lt;=$I43),1,""))</f>
        <v/>
      </c>
      <c r="CM43" s="448" t="str">
        <f aca="false">IF($G43=0,IF(CM$11=$H43,"◆",""),IF(AND(CM$11&gt;=$H43,CM$11&lt;=$I43),1,""))</f>
        <v/>
      </c>
      <c r="CN43" s="448" t="str">
        <f aca="false">IF($G43=0,IF(CN$11=$H43,"◆",""),IF(AND(CN$11&gt;=$H43,CN$11&lt;=$I43),1,""))</f>
        <v/>
      </c>
      <c r="CO43" s="448" t="str">
        <f aca="false">IF($G43=0,IF(CO$11=$H43,"◆",""),IF(AND(CO$11&gt;=$H43,CO$11&lt;=$I43),1,""))</f>
        <v/>
      </c>
      <c r="CP43" s="448" t="str">
        <f aca="false">IF($G43=0,IF(CP$11=$H43,"◆",""),IF(AND(CP$11&gt;=$H43,CP$11&lt;=$I43),1,""))</f>
        <v/>
      </c>
      <c r="CQ43" s="448" t="str">
        <f aca="false">IF($G43=0,IF(CQ$11=$H43,"◆",""),IF(AND(CQ$11&gt;=$H43,CQ$11&lt;=$I43),1,""))</f>
        <v/>
      </c>
      <c r="CR43" s="448" t="str">
        <f aca="false">IF($G43=0,IF(CR$11=$H43,"◆",""),IF(AND(CR$11&gt;=$H43,CR$11&lt;=$I43),1,""))</f>
        <v/>
      </c>
      <c r="CS43" s="448" t="str">
        <f aca="false">IF($G43=0,IF(CS$11=$H43,"◆",""),IF(AND(CS$11&gt;=$H43,CS$11&lt;=$I43),1,""))</f>
        <v/>
      </c>
      <c r="CT43" s="448" t="str">
        <f aca="false">IF($G43=0,IF(CT$11=$H43,"◆",""),IF(AND(CT$11&gt;=$H43,CT$11&lt;=$I43),1,""))</f>
        <v/>
      </c>
      <c r="CU43" s="448" t="str">
        <f aca="false">IF($G43=0,IF(CU$11=$H43,"◆",""),IF(AND(CU$11&gt;=$H43,CU$11&lt;=$I43),1,""))</f>
        <v/>
      </c>
      <c r="CV43" s="448" t="str">
        <f aca="false">IF($G43=0,IF(CV$11=$H43,"◆",""),IF(AND(CV$11&gt;=$H43,CV$11&lt;=$I43),1,""))</f>
        <v/>
      </c>
      <c r="CW43" s="448" t="str">
        <f aca="false">IF($G43=0,IF(CW$11=$H43,"◆",""),IF(AND(CW$11&gt;=$H43,CW$11&lt;=$I43),1,""))</f>
        <v/>
      </c>
      <c r="CX43" s="448" t="str">
        <f aca="false">IF($G43=0,IF(CX$11=$H43,"◆",""),IF(AND(CX$11&gt;=$H43,CX$11&lt;=$I43),1,""))</f>
        <v/>
      </c>
      <c r="CY43" s="448" t="str">
        <f aca="false">IF($G43=0,IF(CY$11=$H43,"◆",""),IF(AND(CY$11&gt;=$H43,CY$11&lt;=$I43),1,""))</f>
        <v/>
      </c>
      <c r="CZ43" s="448" t="str">
        <f aca="false">IF($G43=0,IF(CZ$11=$H43,"◆",""),IF(AND(CZ$11&gt;=$H43,CZ$11&lt;=$I43),1,""))</f>
        <v/>
      </c>
      <c r="DA43" s="448" t="str">
        <f aca="false">IF($G43=0,IF(DA$11=$H43,"◆",""),IF(AND(DA$11&gt;=$H43,DA$11&lt;=$I43),1,""))</f>
        <v/>
      </c>
      <c r="DB43" s="448" t="str">
        <f aca="false">IF($G43=0,IF(DB$11=$H43,"◆",""),IF(AND(DB$11&gt;=$H43,DB$11&lt;=$I43),1,""))</f>
        <v/>
      </c>
      <c r="DC43" s="448" t="str">
        <f aca="false">IF($G43=0,IF(DC$11=$H43,"◆",""),IF(AND(DC$11&gt;=$H43,DC$11&lt;=$I43),1,""))</f>
        <v/>
      </c>
      <c r="DD43" s="448" t="str">
        <f aca="false">IF($G43=0,IF(DD$11=$H43,"◆",""),IF(AND(DD$11&gt;=$H43,DD$11&lt;=$I43),1,""))</f>
        <v/>
      </c>
      <c r="DE43" s="448" t="str">
        <f aca="false">IF($G43=0,IF(DE$11=$H43,"◆",""),IF(AND(DE$11&gt;=$H43,DE$11&lt;=$I43),1,""))</f>
        <v/>
      </c>
      <c r="DF43" s="448" t="str">
        <f aca="false">IF($G43=0,IF(DF$11=$H43,"◆",""),IF(AND(DF$11&gt;=$H43,DF$11&lt;=$I43),1,""))</f>
        <v/>
      </c>
      <c r="DG43" s="448" t="str">
        <f aca="false">IF($G43=0,IF(DG$11=$H43,"◆",""),IF(AND(DG$11&gt;=$H43,DG$11&lt;=$I43),1,""))</f>
        <v/>
      </c>
      <c r="DH43" s="448" t="str">
        <f aca="false">IF($G43=0,IF(DH$11=$H43,"◆",""),IF(AND(DH$11&gt;=$H43,DH$11&lt;=$I43),1,""))</f>
        <v/>
      </c>
      <c r="DI43" s="448" t="str">
        <f aca="false">IF($G43=0,IF(DI$11=$H43,"◆",""),IF(AND(DI$11&gt;=$H43,DI$11&lt;=$I43),1,""))</f>
        <v/>
      </c>
      <c r="DJ43" s="448" t="str">
        <f aca="false">IF($G43=0,IF(DJ$11=$H43,"◆",""),IF(AND(DJ$11&gt;=$H43,DJ$11&lt;=$I43),1,""))</f>
        <v/>
      </c>
      <c r="DK43" s="448" t="str">
        <f aca="false">IF($G43=0,IF(DK$11=$H43,"◆",""),IF(AND(DK$11&gt;=$H43,DK$11&lt;=$I43),1,""))</f>
        <v/>
      </c>
      <c r="DL43" s="448" t="str">
        <f aca="false">IF($G43=0,IF(DL$11=$H43,"◆",""),IF(AND(DL$11&gt;=$H43,DL$11&lt;=$I43),1,""))</f>
        <v/>
      </c>
      <c r="DM43" s="448" t="str">
        <f aca="false">IF($G43=0,IF(DM$11=$H43,"◆",""),IF(AND(DM$11&gt;=$H43,DM$11&lt;=$I43),1,""))</f>
        <v/>
      </c>
      <c r="DN43" s="448" t="str">
        <f aca="false">IF($G43=0,IF(DN$11=$H43,"◆",""),IF(AND(DN$11&gt;=$H43,DN$11&lt;=$I43),1,""))</f>
        <v/>
      </c>
      <c r="DO43" s="448" t="str">
        <f aca="false">IF($G43=0,IF(DO$11=$H43,"◆",""),IF(AND(DO$11&gt;=$H43,DO$11&lt;=$I43),1,""))</f>
        <v/>
      </c>
      <c r="DP43" s="448" t="str">
        <f aca="false">IF($G43=0,IF(DP$11=$H43,"◆",""),IF(AND(DP$11&gt;=$H43,DP$11&lt;=$I43),1,""))</f>
        <v/>
      </c>
      <c r="DQ43" s="448" t="str">
        <f aca="false">IF($G43=0,IF(DQ$11=$H43,"◆",""),IF(AND(DQ$11&gt;=$H43,DQ$11&lt;=$I43),1,""))</f>
        <v/>
      </c>
      <c r="DR43" s="448" t="str">
        <f aca="false">IF($G43=0,IF(DR$11=$H43,"◆",""),IF(AND(DR$11&gt;=$H43,DR$11&lt;=$I43),1,""))</f>
        <v/>
      </c>
      <c r="DS43" s="448" t="str">
        <f aca="false">IF($G43=0,IF(DS$11=$H43,"◆",""),IF(AND(DS$11&gt;=$H43,DS$11&lt;=$I43),1,""))</f>
        <v/>
      </c>
      <c r="DT43" s="448" t="str">
        <f aca="false">IF($G43=0,IF(DT$11=$H43,"◆",""),IF(AND(DT$11&gt;=$H43,DT$11&lt;=$I43),1,""))</f>
        <v/>
      </c>
      <c r="DU43" s="448" t="str">
        <f aca="false">IF($G43=0,IF(DU$11=$H43,"◆",""),IF(AND(DU$11&gt;=$H43,DU$11&lt;=$I43),1,""))</f>
        <v/>
      </c>
      <c r="DV43" s="448" t="str">
        <f aca="false">IF($G43=0,IF(DV$11=$H43,"◆",""),IF(AND(DV$11&gt;=$H43,DV$11&lt;=$I43),1,""))</f>
        <v/>
      </c>
      <c r="DW43" s="448" t="str">
        <f aca="false">IF($G43=0,IF(DW$11=$H43,"◆",""),IF(AND(DW$11&gt;=$H43,DW$11&lt;=$I43),1,""))</f>
        <v/>
      </c>
      <c r="DX43" s="448" t="str">
        <f aca="false">IF($G43=0,IF(DX$11=$H43,"◆",""),IF(AND(DX$11&gt;=$H43,DX$11&lt;=$I43),1,""))</f>
        <v/>
      </c>
      <c r="DY43" s="448" t="str">
        <f aca="false">IF($G43=0,IF(DY$11=$H43,"◆",""),IF(AND(DY$11&gt;=$H43,DY$11&lt;=$I43),1,""))</f>
        <v/>
      </c>
      <c r="DZ43" s="448" t="str">
        <f aca="false">IF($G43=0,IF(DZ$11=$H43,"◆",""),IF(AND(DZ$11&gt;=$H43,DZ$11&lt;=$I43),1,""))</f>
        <v/>
      </c>
      <c r="EA43" s="448" t="str">
        <f aca="false">IF($G43=0,IF(EA$11=$H43,"◆",""),IF(AND(EA$11&gt;=$H43,EA$11&lt;=$I43),1,""))</f>
        <v/>
      </c>
      <c r="EB43" s="448" t="str">
        <f aca="false">IF($G43=0,IF(EB$11=$H43,"◆",""),IF(AND(EB$11&gt;=$H43,EB$11&lt;=$I43),1,""))</f>
        <v/>
      </c>
      <c r="EC43" s="448" t="str">
        <f aca="false">IF($G43=0,IF(EC$11=$H43,"◆",""),IF(AND(EC$11&gt;=$H43,EC$11&lt;=$I43),1,""))</f>
        <v/>
      </c>
      <c r="ED43" s="448" t="str">
        <f aca="false">IF($G43=0,IF(ED$11=$H43,"◆",""),IF(AND(ED$11&gt;=$H43,ED$11&lt;=$I43),1,""))</f>
        <v/>
      </c>
    </row>
    <row r="44" customFormat="false" ht="15" hidden="false" customHeight="true" outlineLevel="0" collapsed="false">
      <c r="A44" s="441" t="s">
        <v>2510</v>
      </c>
      <c r="B44" s="297" t="s">
        <v>2511</v>
      </c>
      <c r="C44" s="442" t="s">
        <v>2480</v>
      </c>
      <c r="D44" s="443" t="s">
        <v>2436</v>
      </c>
      <c r="E44" s="354" t="n">
        <f aca="false">1</f>
        <v>1</v>
      </c>
      <c r="F44" s="352" t="n">
        <v>12</v>
      </c>
      <c r="G44" s="352" t="n">
        <v>12</v>
      </c>
      <c r="H44" s="367" t="n">
        <f aca="false">MAX(1,ROUND(($E44-1)*$D$5,0)+1+$F44)</f>
        <v>13</v>
      </c>
      <c r="I44" s="367" t="n">
        <f aca="false">MAX($H44,$H44+$G44-1)</f>
        <v>24</v>
      </c>
      <c r="J44" s="444" t="n">
        <f aca="false">$D$4+($H44-1)*7</f>
        <v>46384</v>
      </c>
      <c r="K44" s="444" t="n">
        <f aca="false">$D$4+$I44*7-1</f>
        <v>46467</v>
      </c>
      <c r="L44" s="445" t="n">
        <f aca="false">ROUNDUP($H44/$D$5,0)</f>
        <v>3</v>
      </c>
      <c r="M44" s="446"/>
      <c r="N44" s="447" t="n">
        <v>0</v>
      </c>
      <c r="O44" s="448" t="str">
        <f aca="false">IF($G44=0,IF(O$11=$H44,"◆",""),IF(AND(O$11&gt;=$H44,O$11&lt;=$I44),1,""))</f>
        <v/>
      </c>
      <c r="P44" s="448" t="str">
        <f aca="false">IF($G44=0,IF(P$11=$H44,"◆",""),IF(AND(P$11&gt;=$H44,P$11&lt;=$I44),1,""))</f>
        <v/>
      </c>
      <c r="Q44" s="448" t="str">
        <f aca="false">IF($G44=0,IF(Q$11=$H44,"◆",""),IF(AND(Q$11&gt;=$H44,Q$11&lt;=$I44),1,""))</f>
        <v/>
      </c>
      <c r="R44" s="448" t="str">
        <f aca="false">IF($G44=0,IF(R$11=$H44,"◆",""),IF(AND(R$11&gt;=$H44,R$11&lt;=$I44),1,""))</f>
        <v/>
      </c>
      <c r="S44" s="448" t="str">
        <f aca="false">IF($G44=0,IF(S$11=$H44,"◆",""),IF(AND(S$11&gt;=$H44,S$11&lt;=$I44),1,""))</f>
        <v/>
      </c>
      <c r="T44" s="448" t="str">
        <f aca="false">IF($G44=0,IF(T$11=$H44,"◆",""),IF(AND(T$11&gt;=$H44,T$11&lt;=$I44),1,""))</f>
        <v/>
      </c>
      <c r="U44" s="448" t="str">
        <f aca="false">IF($G44=0,IF(U$11=$H44,"◆",""),IF(AND(U$11&gt;=$H44,U$11&lt;=$I44),1,""))</f>
        <v/>
      </c>
      <c r="V44" s="448" t="str">
        <f aca="false">IF($G44=0,IF(V$11=$H44,"◆",""),IF(AND(V$11&gt;=$H44,V$11&lt;=$I44),1,""))</f>
        <v/>
      </c>
      <c r="W44" s="448" t="str">
        <f aca="false">IF($G44=0,IF(W$11=$H44,"◆",""),IF(AND(W$11&gt;=$H44,W$11&lt;=$I44),1,""))</f>
        <v/>
      </c>
      <c r="X44" s="448" t="str">
        <f aca="false">IF($G44=0,IF(X$11=$H44,"◆",""),IF(AND(X$11&gt;=$H44,X$11&lt;=$I44),1,""))</f>
        <v/>
      </c>
      <c r="Y44" s="448" t="str">
        <f aca="false">IF($G44=0,IF(Y$11=$H44,"◆",""),IF(AND(Y$11&gt;=$H44,Y$11&lt;=$I44),1,""))</f>
        <v/>
      </c>
      <c r="Z44" s="448" t="str">
        <f aca="false">IF($G44=0,IF(Z$11=$H44,"◆",""),IF(AND(Z$11&gt;=$H44,Z$11&lt;=$I44),1,""))</f>
        <v/>
      </c>
      <c r="AA44" s="448" t="n">
        <f aca="false">IF($G44=0,IF(AA$11=$H44,"◆",""),IF(AND(AA$11&gt;=$H44,AA$11&lt;=$I44),1,""))</f>
        <v>1</v>
      </c>
      <c r="AB44" s="448" t="n">
        <f aca="false">IF($G44=0,IF(AB$11=$H44,"◆",""),IF(AND(AB$11&gt;=$H44,AB$11&lt;=$I44),1,""))</f>
        <v>1</v>
      </c>
      <c r="AC44" s="448" t="n">
        <f aca="false">IF($G44=0,IF(AC$11=$H44,"◆",""),IF(AND(AC$11&gt;=$H44,AC$11&lt;=$I44),1,""))</f>
        <v>1</v>
      </c>
      <c r="AD44" s="448" t="n">
        <f aca="false">IF($G44=0,IF(AD$11=$H44,"◆",""),IF(AND(AD$11&gt;=$H44,AD$11&lt;=$I44),1,""))</f>
        <v>1</v>
      </c>
      <c r="AE44" s="448" t="n">
        <f aca="false">IF($G44=0,IF(AE$11=$H44,"◆",""),IF(AND(AE$11&gt;=$H44,AE$11&lt;=$I44),1,""))</f>
        <v>1</v>
      </c>
      <c r="AF44" s="448" t="n">
        <f aca="false">IF($G44=0,IF(AF$11=$H44,"◆",""),IF(AND(AF$11&gt;=$H44,AF$11&lt;=$I44),1,""))</f>
        <v>1</v>
      </c>
      <c r="AG44" s="448" t="n">
        <f aca="false">IF($G44=0,IF(AG$11=$H44,"◆",""),IF(AND(AG$11&gt;=$H44,AG$11&lt;=$I44),1,""))</f>
        <v>1</v>
      </c>
      <c r="AH44" s="448" t="n">
        <f aca="false">IF($G44=0,IF(AH$11=$H44,"◆",""),IF(AND(AH$11&gt;=$H44,AH$11&lt;=$I44),1,""))</f>
        <v>1</v>
      </c>
      <c r="AI44" s="448" t="n">
        <f aca="false">IF($G44=0,IF(AI$11=$H44,"◆",""),IF(AND(AI$11&gt;=$H44,AI$11&lt;=$I44),1,""))</f>
        <v>1</v>
      </c>
      <c r="AJ44" s="448" t="n">
        <f aca="false">IF($G44=0,IF(AJ$11=$H44,"◆",""),IF(AND(AJ$11&gt;=$H44,AJ$11&lt;=$I44),1,""))</f>
        <v>1</v>
      </c>
      <c r="AK44" s="448" t="n">
        <f aca="false">IF($G44=0,IF(AK$11=$H44,"◆",""),IF(AND(AK$11&gt;=$H44,AK$11&lt;=$I44),1,""))</f>
        <v>1</v>
      </c>
      <c r="AL44" s="448" t="n">
        <f aca="false">IF($G44=0,IF(AL$11=$H44,"◆",""),IF(AND(AL$11&gt;=$H44,AL$11&lt;=$I44),1,""))</f>
        <v>1</v>
      </c>
      <c r="AM44" s="448" t="str">
        <f aca="false">IF($G44=0,IF(AM$11=$H44,"◆",""),IF(AND(AM$11&gt;=$H44,AM$11&lt;=$I44),1,""))</f>
        <v/>
      </c>
      <c r="AN44" s="448" t="str">
        <f aca="false">IF($G44=0,IF(AN$11=$H44,"◆",""),IF(AND(AN$11&gt;=$H44,AN$11&lt;=$I44),1,""))</f>
        <v/>
      </c>
      <c r="AO44" s="448" t="str">
        <f aca="false">IF($G44=0,IF(AO$11=$H44,"◆",""),IF(AND(AO$11&gt;=$H44,AO$11&lt;=$I44),1,""))</f>
        <v/>
      </c>
      <c r="AP44" s="448" t="str">
        <f aca="false">IF($G44=0,IF(AP$11=$H44,"◆",""),IF(AND(AP$11&gt;=$H44,AP$11&lt;=$I44),1,""))</f>
        <v/>
      </c>
      <c r="AQ44" s="448" t="str">
        <f aca="false">IF($G44=0,IF(AQ$11=$H44,"◆",""),IF(AND(AQ$11&gt;=$H44,AQ$11&lt;=$I44),1,""))</f>
        <v/>
      </c>
      <c r="AR44" s="448" t="str">
        <f aca="false">IF($G44=0,IF(AR$11=$H44,"◆",""),IF(AND(AR$11&gt;=$H44,AR$11&lt;=$I44),1,""))</f>
        <v/>
      </c>
      <c r="AS44" s="448" t="str">
        <f aca="false">IF($G44=0,IF(AS$11=$H44,"◆",""),IF(AND(AS$11&gt;=$H44,AS$11&lt;=$I44),1,""))</f>
        <v/>
      </c>
      <c r="AT44" s="448" t="str">
        <f aca="false">IF($G44=0,IF(AT$11=$H44,"◆",""),IF(AND(AT$11&gt;=$H44,AT$11&lt;=$I44),1,""))</f>
        <v/>
      </c>
      <c r="AU44" s="448" t="str">
        <f aca="false">IF($G44=0,IF(AU$11=$H44,"◆",""),IF(AND(AU$11&gt;=$H44,AU$11&lt;=$I44),1,""))</f>
        <v/>
      </c>
      <c r="AV44" s="448" t="str">
        <f aca="false">IF($G44=0,IF(AV$11=$H44,"◆",""),IF(AND(AV$11&gt;=$H44,AV$11&lt;=$I44),1,""))</f>
        <v/>
      </c>
      <c r="AW44" s="448" t="str">
        <f aca="false">IF($G44=0,IF(AW$11=$H44,"◆",""),IF(AND(AW$11&gt;=$H44,AW$11&lt;=$I44),1,""))</f>
        <v/>
      </c>
      <c r="AX44" s="448" t="str">
        <f aca="false">IF($G44=0,IF(AX$11=$H44,"◆",""),IF(AND(AX$11&gt;=$H44,AX$11&lt;=$I44),1,""))</f>
        <v/>
      </c>
      <c r="AY44" s="448" t="str">
        <f aca="false">IF($G44=0,IF(AY$11=$H44,"◆",""),IF(AND(AY$11&gt;=$H44,AY$11&lt;=$I44),1,""))</f>
        <v/>
      </c>
      <c r="AZ44" s="448" t="str">
        <f aca="false">IF($G44=0,IF(AZ$11=$H44,"◆",""),IF(AND(AZ$11&gt;=$H44,AZ$11&lt;=$I44),1,""))</f>
        <v/>
      </c>
      <c r="BA44" s="448" t="str">
        <f aca="false">IF($G44=0,IF(BA$11=$H44,"◆",""),IF(AND(BA$11&gt;=$H44,BA$11&lt;=$I44),1,""))</f>
        <v/>
      </c>
      <c r="BB44" s="448" t="str">
        <f aca="false">IF($G44=0,IF(BB$11=$H44,"◆",""),IF(AND(BB$11&gt;=$H44,BB$11&lt;=$I44),1,""))</f>
        <v/>
      </c>
      <c r="BC44" s="448" t="str">
        <f aca="false">IF($G44=0,IF(BC$11=$H44,"◆",""),IF(AND(BC$11&gt;=$H44,BC$11&lt;=$I44),1,""))</f>
        <v/>
      </c>
      <c r="BD44" s="448" t="str">
        <f aca="false">IF($G44=0,IF(BD$11=$H44,"◆",""),IF(AND(BD$11&gt;=$H44,BD$11&lt;=$I44),1,""))</f>
        <v/>
      </c>
      <c r="BE44" s="448" t="str">
        <f aca="false">IF($G44=0,IF(BE$11=$H44,"◆",""),IF(AND(BE$11&gt;=$H44,BE$11&lt;=$I44),1,""))</f>
        <v/>
      </c>
      <c r="BF44" s="448" t="str">
        <f aca="false">IF($G44=0,IF(BF$11=$H44,"◆",""),IF(AND(BF$11&gt;=$H44,BF$11&lt;=$I44),1,""))</f>
        <v/>
      </c>
      <c r="BG44" s="448" t="str">
        <f aca="false">IF($G44=0,IF(BG$11=$H44,"◆",""),IF(AND(BG$11&gt;=$H44,BG$11&lt;=$I44),1,""))</f>
        <v/>
      </c>
      <c r="BH44" s="448" t="str">
        <f aca="false">IF($G44=0,IF(BH$11=$H44,"◆",""),IF(AND(BH$11&gt;=$H44,BH$11&lt;=$I44),1,""))</f>
        <v/>
      </c>
      <c r="BI44" s="448" t="str">
        <f aca="false">IF($G44=0,IF(BI$11=$H44,"◆",""),IF(AND(BI$11&gt;=$H44,BI$11&lt;=$I44),1,""))</f>
        <v/>
      </c>
      <c r="BJ44" s="448" t="str">
        <f aca="false">IF($G44=0,IF(BJ$11=$H44,"◆",""),IF(AND(BJ$11&gt;=$H44,BJ$11&lt;=$I44),1,""))</f>
        <v/>
      </c>
      <c r="BK44" s="448" t="str">
        <f aca="false">IF($G44=0,IF(BK$11=$H44,"◆",""),IF(AND(BK$11&gt;=$H44,BK$11&lt;=$I44),1,""))</f>
        <v/>
      </c>
      <c r="BL44" s="448" t="str">
        <f aca="false">IF($G44=0,IF(BL$11=$H44,"◆",""),IF(AND(BL$11&gt;=$H44,BL$11&lt;=$I44),1,""))</f>
        <v/>
      </c>
      <c r="BM44" s="448" t="str">
        <f aca="false">IF($G44=0,IF(BM$11=$H44,"◆",""),IF(AND(BM$11&gt;=$H44,BM$11&lt;=$I44),1,""))</f>
        <v/>
      </c>
      <c r="BN44" s="448" t="str">
        <f aca="false">IF($G44=0,IF(BN$11=$H44,"◆",""),IF(AND(BN$11&gt;=$H44,BN$11&lt;=$I44),1,""))</f>
        <v/>
      </c>
      <c r="BO44" s="448" t="str">
        <f aca="false">IF($G44=0,IF(BO$11=$H44,"◆",""),IF(AND(BO$11&gt;=$H44,BO$11&lt;=$I44),1,""))</f>
        <v/>
      </c>
      <c r="BP44" s="448" t="str">
        <f aca="false">IF($G44=0,IF(BP$11=$H44,"◆",""),IF(AND(BP$11&gt;=$H44,BP$11&lt;=$I44),1,""))</f>
        <v/>
      </c>
      <c r="BQ44" s="448" t="str">
        <f aca="false">IF($G44=0,IF(BQ$11=$H44,"◆",""),IF(AND(BQ$11&gt;=$H44,BQ$11&lt;=$I44),1,""))</f>
        <v/>
      </c>
      <c r="BR44" s="448" t="str">
        <f aca="false">IF($G44=0,IF(BR$11=$H44,"◆",""),IF(AND(BR$11&gt;=$H44,BR$11&lt;=$I44),1,""))</f>
        <v/>
      </c>
      <c r="BS44" s="448" t="str">
        <f aca="false">IF($G44=0,IF(BS$11=$H44,"◆",""),IF(AND(BS$11&gt;=$H44,BS$11&lt;=$I44),1,""))</f>
        <v/>
      </c>
      <c r="BT44" s="448" t="str">
        <f aca="false">IF($G44=0,IF(BT$11=$H44,"◆",""),IF(AND(BT$11&gt;=$H44,BT$11&lt;=$I44),1,""))</f>
        <v/>
      </c>
      <c r="BU44" s="448" t="str">
        <f aca="false">IF($G44=0,IF(BU$11=$H44,"◆",""),IF(AND(BU$11&gt;=$H44,BU$11&lt;=$I44),1,""))</f>
        <v/>
      </c>
      <c r="BV44" s="448" t="str">
        <f aca="false">IF($G44=0,IF(BV$11=$H44,"◆",""),IF(AND(BV$11&gt;=$H44,BV$11&lt;=$I44),1,""))</f>
        <v/>
      </c>
      <c r="BW44" s="448" t="str">
        <f aca="false">IF($G44=0,IF(BW$11=$H44,"◆",""),IF(AND(BW$11&gt;=$H44,BW$11&lt;=$I44),1,""))</f>
        <v/>
      </c>
      <c r="BX44" s="448" t="str">
        <f aca="false">IF($G44=0,IF(BX$11=$H44,"◆",""),IF(AND(BX$11&gt;=$H44,BX$11&lt;=$I44),1,""))</f>
        <v/>
      </c>
      <c r="BY44" s="448" t="str">
        <f aca="false">IF($G44=0,IF(BY$11=$H44,"◆",""),IF(AND(BY$11&gt;=$H44,BY$11&lt;=$I44),1,""))</f>
        <v/>
      </c>
      <c r="BZ44" s="448" t="str">
        <f aca="false">IF($G44=0,IF(BZ$11=$H44,"◆",""),IF(AND(BZ$11&gt;=$H44,BZ$11&lt;=$I44),1,""))</f>
        <v/>
      </c>
      <c r="CA44" s="448" t="str">
        <f aca="false">IF($G44=0,IF(CA$11=$H44,"◆",""),IF(AND(CA$11&gt;=$H44,CA$11&lt;=$I44),1,""))</f>
        <v/>
      </c>
      <c r="CB44" s="448" t="str">
        <f aca="false">IF($G44=0,IF(CB$11=$H44,"◆",""),IF(AND(CB$11&gt;=$H44,CB$11&lt;=$I44),1,""))</f>
        <v/>
      </c>
      <c r="CC44" s="448" t="str">
        <f aca="false">IF($G44=0,IF(CC$11=$H44,"◆",""),IF(AND(CC$11&gt;=$H44,CC$11&lt;=$I44),1,""))</f>
        <v/>
      </c>
      <c r="CD44" s="448" t="str">
        <f aca="false">IF($G44=0,IF(CD$11=$H44,"◆",""),IF(AND(CD$11&gt;=$H44,CD$11&lt;=$I44),1,""))</f>
        <v/>
      </c>
      <c r="CE44" s="448" t="str">
        <f aca="false">IF($G44=0,IF(CE$11=$H44,"◆",""),IF(AND(CE$11&gt;=$H44,CE$11&lt;=$I44),1,""))</f>
        <v/>
      </c>
      <c r="CF44" s="448" t="str">
        <f aca="false">IF($G44=0,IF(CF$11=$H44,"◆",""),IF(AND(CF$11&gt;=$H44,CF$11&lt;=$I44),1,""))</f>
        <v/>
      </c>
      <c r="CG44" s="448" t="str">
        <f aca="false">IF($G44=0,IF(CG$11=$H44,"◆",""),IF(AND(CG$11&gt;=$H44,CG$11&lt;=$I44),1,""))</f>
        <v/>
      </c>
      <c r="CH44" s="448" t="str">
        <f aca="false">IF($G44=0,IF(CH$11=$H44,"◆",""),IF(AND(CH$11&gt;=$H44,CH$11&lt;=$I44),1,""))</f>
        <v/>
      </c>
      <c r="CI44" s="448" t="str">
        <f aca="false">IF($G44=0,IF(CI$11=$H44,"◆",""),IF(AND(CI$11&gt;=$H44,CI$11&lt;=$I44),1,""))</f>
        <v/>
      </c>
      <c r="CJ44" s="448" t="str">
        <f aca="false">IF($G44=0,IF(CJ$11=$H44,"◆",""),IF(AND(CJ$11&gt;=$H44,CJ$11&lt;=$I44),1,""))</f>
        <v/>
      </c>
      <c r="CK44" s="448" t="str">
        <f aca="false">IF($G44=0,IF(CK$11=$H44,"◆",""),IF(AND(CK$11&gt;=$H44,CK$11&lt;=$I44),1,""))</f>
        <v/>
      </c>
      <c r="CL44" s="448" t="str">
        <f aca="false">IF($G44=0,IF(CL$11=$H44,"◆",""),IF(AND(CL$11&gt;=$H44,CL$11&lt;=$I44),1,""))</f>
        <v/>
      </c>
      <c r="CM44" s="448" t="str">
        <f aca="false">IF($G44=0,IF(CM$11=$H44,"◆",""),IF(AND(CM$11&gt;=$H44,CM$11&lt;=$I44),1,""))</f>
        <v/>
      </c>
      <c r="CN44" s="448" t="str">
        <f aca="false">IF($G44=0,IF(CN$11=$H44,"◆",""),IF(AND(CN$11&gt;=$H44,CN$11&lt;=$I44),1,""))</f>
        <v/>
      </c>
      <c r="CO44" s="448" t="str">
        <f aca="false">IF($G44=0,IF(CO$11=$H44,"◆",""),IF(AND(CO$11&gt;=$H44,CO$11&lt;=$I44),1,""))</f>
        <v/>
      </c>
      <c r="CP44" s="448" t="str">
        <f aca="false">IF($G44=0,IF(CP$11=$H44,"◆",""),IF(AND(CP$11&gt;=$H44,CP$11&lt;=$I44),1,""))</f>
        <v/>
      </c>
      <c r="CQ44" s="448" t="str">
        <f aca="false">IF($G44=0,IF(CQ$11=$H44,"◆",""),IF(AND(CQ$11&gt;=$H44,CQ$11&lt;=$I44),1,""))</f>
        <v/>
      </c>
      <c r="CR44" s="448" t="str">
        <f aca="false">IF($G44=0,IF(CR$11=$H44,"◆",""),IF(AND(CR$11&gt;=$H44,CR$11&lt;=$I44),1,""))</f>
        <v/>
      </c>
      <c r="CS44" s="448" t="str">
        <f aca="false">IF($G44=0,IF(CS$11=$H44,"◆",""),IF(AND(CS$11&gt;=$H44,CS$11&lt;=$I44),1,""))</f>
        <v/>
      </c>
      <c r="CT44" s="448" t="str">
        <f aca="false">IF($G44=0,IF(CT$11=$H44,"◆",""),IF(AND(CT$11&gt;=$H44,CT$11&lt;=$I44),1,""))</f>
        <v/>
      </c>
      <c r="CU44" s="448" t="str">
        <f aca="false">IF($G44=0,IF(CU$11=$H44,"◆",""),IF(AND(CU$11&gt;=$H44,CU$11&lt;=$I44),1,""))</f>
        <v/>
      </c>
      <c r="CV44" s="448" t="str">
        <f aca="false">IF($G44=0,IF(CV$11=$H44,"◆",""),IF(AND(CV$11&gt;=$H44,CV$11&lt;=$I44),1,""))</f>
        <v/>
      </c>
      <c r="CW44" s="448" t="str">
        <f aca="false">IF($G44=0,IF(CW$11=$H44,"◆",""),IF(AND(CW$11&gt;=$H44,CW$11&lt;=$I44),1,""))</f>
        <v/>
      </c>
      <c r="CX44" s="448" t="str">
        <f aca="false">IF($G44=0,IF(CX$11=$H44,"◆",""),IF(AND(CX$11&gt;=$H44,CX$11&lt;=$I44),1,""))</f>
        <v/>
      </c>
      <c r="CY44" s="448" t="str">
        <f aca="false">IF($G44=0,IF(CY$11=$H44,"◆",""),IF(AND(CY$11&gt;=$H44,CY$11&lt;=$I44),1,""))</f>
        <v/>
      </c>
      <c r="CZ44" s="448" t="str">
        <f aca="false">IF($G44=0,IF(CZ$11=$H44,"◆",""),IF(AND(CZ$11&gt;=$H44,CZ$11&lt;=$I44),1,""))</f>
        <v/>
      </c>
      <c r="DA44" s="448" t="str">
        <f aca="false">IF($G44=0,IF(DA$11=$H44,"◆",""),IF(AND(DA$11&gt;=$H44,DA$11&lt;=$I44),1,""))</f>
        <v/>
      </c>
      <c r="DB44" s="448" t="str">
        <f aca="false">IF($G44=0,IF(DB$11=$H44,"◆",""),IF(AND(DB$11&gt;=$H44,DB$11&lt;=$I44),1,""))</f>
        <v/>
      </c>
      <c r="DC44" s="448" t="str">
        <f aca="false">IF($G44=0,IF(DC$11=$H44,"◆",""),IF(AND(DC$11&gt;=$H44,DC$11&lt;=$I44),1,""))</f>
        <v/>
      </c>
      <c r="DD44" s="448" t="str">
        <f aca="false">IF($G44=0,IF(DD$11=$H44,"◆",""),IF(AND(DD$11&gt;=$H44,DD$11&lt;=$I44),1,""))</f>
        <v/>
      </c>
      <c r="DE44" s="448" t="str">
        <f aca="false">IF($G44=0,IF(DE$11=$H44,"◆",""),IF(AND(DE$11&gt;=$H44,DE$11&lt;=$I44),1,""))</f>
        <v/>
      </c>
      <c r="DF44" s="448" t="str">
        <f aca="false">IF($G44=0,IF(DF$11=$H44,"◆",""),IF(AND(DF$11&gt;=$H44,DF$11&lt;=$I44),1,""))</f>
        <v/>
      </c>
      <c r="DG44" s="448" t="str">
        <f aca="false">IF($G44=0,IF(DG$11=$H44,"◆",""),IF(AND(DG$11&gt;=$H44,DG$11&lt;=$I44),1,""))</f>
        <v/>
      </c>
      <c r="DH44" s="448" t="str">
        <f aca="false">IF($G44=0,IF(DH$11=$H44,"◆",""),IF(AND(DH$11&gt;=$H44,DH$11&lt;=$I44),1,""))</f>
        <v/>
      </c>
      <c r="DI44" s="448" t="str">
        <f aca="false">IF($G44=0,IF(DI$11=$H44,"◆",""),IF(AND(DI$11&gt;=$H44,DI$11&lt;=$I44),1,""))</f>
        <v/>
      </c>
      <c r="DJ44" s="448" t="str">
        <f aca="false">IF($G44=0,IF(DJ$11=$H44,"◆",""),IF(AND(DJ$11&gt;=$H44,DJ$11&lt;=$I44),1,""))</f>
        <v/>
      </c>
      <c r="DK44" s="448" t="str">
        <f aca="false">IF($G44=0,IF(DK$11=$H44,"◆",""),IF(AND(DK$11&gt;=$H44,DK$11&lt;=$I44),1,""))</f>
        <v/>
      </c>
      <c r="DL44" s="448" t="str">
        <f aca="false">IF($G44=0,IF(DL$11=$H44,"◆",""),IF(AND(DL$11&gt;=$H44,DL$11&lt;=$I44),1,""))</f>
        <v/>
      </c>
      <c r="DM44" s="448" t="str">
        <f aca="false">IF($G44=0,IF(DM$11=$H44,"◆",""),IF(AND(DM$11&gt;=$H44,DM$11&lt;=$I44),1,""))</f>
        <v/>
      </c>
      <c r="DN44" s="448" t="str">
        <f aca="false">IF($G44=0,IF(DN$11=$H44,"◆",""),IF(AND(DN$11&gt;=$H44,DN$11&lt;=$I44),1,""))</f>
        <v/>
      </c>
      <c r="DO44" s="448" t="str">
        <f aca="false">IF($G44=0,IF(DO$11=$H44,"◆",""),IF(AND(DO$11&gt;=$H44,DO$11&lt;=$I44),1,""))</f>
        <v/>
      </c>
      <c r="DP44" s="448" t="str">
        <f aca="false">IF($G44=0,IF(DP$11=$H44,"◆",""),IF(AND(DP$11&gt;=$H44,DP$11&lt;=$I44),1,""))</f>
        <v/>
      </c>
      <c r="DQ44" s="448" t="str">
        <f aca="false">IF($G44=0,IF(DQ$11=$H44,"◆",""),IF(AND(DQ$11&gt;=$H44,DQ$11&lt;=$I44),1,""))</f>
        <v/>
      </c>
      <c r="DR44" s="448" t="str">
        <f aca="false">IF($G44=0,IF(DR$11=$H44,"◆",""),IF(AND(DR$11&gt;=$H44,DR$11&lt;=$I44),1,""))</f>
        <v/>
      </c>
      <c r="DS44" s="448" t="str">
        <f aca="false">IF($G44=0,IF(DS$11=$H44,"◆",""),IF(AND(DS$11&gt;=$H44,DS$11&lt;=$I44),1,""))</f>
        <v/>
      </c>
      <c r="DT44" s="448" t="str">
        <f aca="false">IF($G44=0,IF(DT$11=$H44,"◆",""),IF(AND(DT$11&gt;=$H44,DT$11&lt;=$I44),1,""))</f>
        <v/>
      </c>
      <c r="DU44" s="448" t="str">
        <f aca="false">IF($G44=0,IF(DU$11=$H44,"◆",""),IF(AND(DU$11&gt;=$H44,DU$11&lt;=$I44),1,""))</f>
        <v/>
      </c>
      <c r="DV44" s="448" t="str">
        <f aca="false">IF($G44=0,IF(DV$11=$H44,"◆",""),IF(AND(DV$11&gt;=$H44,DV$11&lt;=$I44),1,""))</f>
        <v/>
      </c>
      <c r="DW44" s="448" t="str">
        <f aca="false">IF($G44=0,IF(DW$11=$H44,"◆",""),IF(AND(DW$11&gt;=$H44,DW$11&lt;=$I44),1,""))</f>
        <v/>
      </c>
      <c r="DX44" s="448" t="str">
        <f aca="false">IF($G44=0,IF(DX$11=$H44,"◆",""),IF(AND(DX$11&gt;=$H44,DX$11&lt;=$I44),1,""))</f>
        <v/>
      </c>
      <c r="DY44" s="448" t="str">
        <f aca="false">IF($G44=0,IF(DY$11=$H44,"◆",""),IF(AND(DY$11&gt;=$H44,DY$11&lt;=$I44),1,""))</f>
        <v/>
      </c>
      <c r="DZ44" s="448" t="str">
        <f aca="false">IF($G44=0,IF(DZ$11=$H44,"◆",""),IF(AND(DZ$11&gt;=$H44,DZ$11&lt;=$I44),1,""))</f>
        <v/>
      </c>
      <c r="EA44" s="448" t="str">
        <f aca="false">IF($G44=0,IF(EA$11=$H44,"◆",""),IF(AND(EA$11&gt;=$H44,EA$11&lt;=$I44),1,""))</f>
        <v/>
      </c>
      <c r="EB44" s="448" t="str">
        <f aca="false">IF($G44=0,IF(EB$11=$H44,"◆",""),IF(AND(EB$11&gt;=$H44,EB$11&lt;=$I44),1,""))</f>
        <v/>
      </c>
      <c r="EC44" s="448" t="str">
        <f aca="false">IF($G44=0,IF(EC$11=$H44,"◆",""),IF(AND(EC$11&gt;=$H44,EC$11&lt;=$I44),1,""))</f>
        <v/>
      </c>
      <c r="ED44" s="448" t="str">
        <f aca="false">IF($G44=0,IF(ED$11=$H44,"◆",""),IF(AND(ED$11&gt;=$H44,ED$11&lt;=$I44),1,""))</f>
        <v/>
      </c>
    </row>
    <row r="45" customFormat="false" ht="15" hidden="false" customHeight="true" outlineLevel="0" collapsed="false">
      <c r="A45" s="441" t="s">
        <v>2512</v>
      </c>
      <c r="B45" s="297" t="s">
        <v>2513</v>
      </c>
      <c r="C45" s="442" t="s">
        <v>2499</v>
      </c>
      <c r="D45" s="443" t="s">
        <v>2500</v>
      </c>
      <c r="E45" s="354" t="n">
        <f aca="false">FC_SUPUESTOS!$C$23</f>
        <v>10</v>
      </c>
      <c r="F45" s="352" t="n">
        <v>-6</v>
      </c>
      <c r="G45" s="352" t="n">
        <v>8</v>
      </c>
      <c r="H45" s="367" t="n">
        <f aca="false">MAX(1,ROUND(($E45-1)*$D$5,0)+1+$F45)</f>
        <v>34</v>
      </c>
      <c r="I45" s="367" t="n">
        <f aca="false">MAX($H45,$H45+$G45-1)</f>
        <v>41</v>
      </c>
      <c r="J45" s="444" t="n">
        <f aca="false">$D$4+($H45-1)*7</f>
        <v>46531</v>
      </c>
      <c r="K45" s="444" t="n">
        <f aca="false">$D$4+$I45*7-1</f>
        <v>46586</v>
      </c>
      <c r="L45" s="445" t="n">
        <f aca="false">ROUNDUP($H45/$D$5,0)</f>
        <v>8</v>
      </c>
      <c r="M45" s="446"/>
      <c r="N45" s="447" t="n">
        <v>0</v>
      </c>
      <c r="O45" s="448" t="str">
        <f aca="false">IF($G45=0,IF(O$11=$H45,"◆",""),IF(AND(O$11&gt;=$H45,O$11&lt;=$I45),1,""))</f>
        <v/>
      </c>
      <c r="P45" s="448" t="str">
        <f aca="false">IF($G45=0,IF(P$11=$H45,"◆",""),IF(AND(P$11&gt;=$H45,P$11&lt;=$I45),1,""))</f>
        <v/>
      </c>
      <c r="Q45" s="448" t="str">
        <f aca="false">IF($G45=0,IF(Q$11=$H45,"◆",""),IF(AND(Q$11&gt;=$H45,Q$11&lt;=$I45),1,""))</f>
        <v/>
      </c>
      <c r="R45" s="448" t="str">
        <f aca="false">IF($G45=0,IF(R$11=$H45,"◆",""),IF(AND(R$11&gt;=$H45,R$11&lt;=$I45),1,""))</f>
        <v/>
      </c>
      <c r="S45" s="448" t="str">
        <f aca="false">IF($G45=0,IF(S$11=$H45,"◆",""),IF(AND(S$11&gt;=$H45,S$11&lt;=$I45),1,""))</f>
        <v/>
      </c>
      <c r="T45" s="448" t="str">
        <f aca="false">IF($G45=0,IF(T$11=$H45,"◆",""),IF(AND(T$11&gt;=$H45,T$11&lt;=$I45),1,""))</f>
        <v/>
      </c>
      <c r="U45" s="448" t="str">
        <f aca="false">IF($G45=0,IF(U$11=$H45,"◆",""),IF(AND(U$11&gt;=$H45,U$11&lt;=$I45),1,""))</f>
        <v/>
      </c>
      <c r="V45" s="448" t="str">
        <f aca="false">IF($G45=0,IF(V$11=$H45,"◆",""),IF(AND(V$11&gt;=$H45,V$11&lt;=$I45),1,""))</f>
        <v/>
      </c>
      <c r="W45" s="448" t="str">
        <f aca="false">IF($G45=0,IF(W$11=$H45,"◆",""),IF(AND(W$11&gt;=$H45,W$11&lt;=$I45),1,""))</f>
        <v/>
      </c>
      <c r="X45" s="448" t="str">
        <f aca="false">IF($G45=0,IF(X$11=$H45,"◆",""),IF(AND(X$11&gt;=$H45,X$11&lt;=$I45),1,""))</f>
        <v/>
      </c>
      <c r="Y45" s="448" t="str">
        <f aca="false">IF($G45=0,IF(Y$11=$H45,"◆",""),IF(AND(Y$11&gt;=$H45,Y$11&lt;=$I45),1,""))</f>
        <v/>
      </c>
      <c r="Z45" s="448" t="str">
        <f aca="false">IF($G45=0,IF(Z$11=$H45,"◆",""),IF(AND(Z$11&gt;=$H45,Z$11&lt;=$I45),1,""))</f>
        <v/>
      </c>
      <c r="AA45" s="448" t="str">
        <f aca="false">IF($G45=0,IF(AA$11=$H45,"◆",""),IF(AND(AA$11&gt;=$H45,AA$11&lt;=$I45),1,""))</f>
        <v/>
      </c>
      <c r="AB45" s="448" t="str">
        <f aca="false">IF($G45=0,IF(AB$11=$H45,"◆",""),IF(AND(AB$11&gt;=$H45,AB$11&lt;=$I45),1,""))</f>
        <v/>
      </c>
      <c r="AC45" s="448" t="str">
        <f aca="false">IF($G45=0,IF(AC$11=$H45,"◆",""),IF(AND(AC$11&gt;=$H45,AC$11&lt;=$I45),1,""))</f>
        <v/>
      </c>
      <c r="AD45" s="448" t="str">
        <f aca="false">IF($G45=0,IF(AD$11=$H45,"◆",""),IF(AND(AD$11&gt;=$H45,AD$11&lt;=$I45),1,""))</f>
        <v/>
      </c>
      <c r="AE45" s="448" t="str">
        <f aca="false">IF($G45=0,IF(AE$11=$H45,"◆",""),IF(AND(AE$11&gt;=$H45,AE$11&lt;=$I45),1,""))</f>
        <v/>
      </c>
      <c r="AF45" s="448" t="str">
        <f aca="false">IF($G45=0,IF(AF$11=$H45,"◆",""),IF(AND(AF$11&gt;=$H45,AF$11&lt;=$I45),1,""))</f>
        <v/>
      </c>
      <c r="AG45" s="448" t="str">
        <f aca="false">IF($G45=0,IF(AG$11=$H45,"◆",""),IF(AND(AG$11&gt;=$H45,AG$11&lt;=$I45),1,""))</f>
        <v/>
      </c>
      <c r="AH45" s="448" t="str">
        <f aca="false">IF($G45=0,IF(AH$11=$H45,"◆",""),IF(AND(AH$11&gt;=$H45,AH$11&lt;=$I45),1,""))</f>
        <v/>
      </c>
      <c r="AI45" s="448" t="str">
        <f aca="false">IF($G45=0,IF(AI$11=$H45,"◆",""),IF(AND(AI$11&gt;=$H45,AI$11&lt;=$I45),1,""))</f>
        <v/>
      </c>
      <c r="AJ45" s="448" t="str">
        <f aca="false">IF($G45=0,IF(AJ$11=$H45,"◆",""),IF(AND(AJ$11&gt;=$H45,AJ$11&lt;=$I45),1,""))</f>
        <v/>
      </c>
      <c r="AK45" s="448" t="str">
        <f aca="false">IF($G45=0,IF(AK$11=$H45,"◆",""),IF(AND(AK$11&gt;=$H45,AK$11&lt;=$I45),1,""))</f>
        <v/>
      </c>
      <c r="AL45" s="448" t="str">
        <f aca="false">IF($G45=0,IF(AL$11=$H45,"◆",""),IF(AND(AL$11&gt;=$H45,AL$11&lt;=$I45),1,""))</f>
        <v/>
      </c>
      <c r="AM45" s="448" t="str">
        <f aca="false">IF($G45=0,IF(AM$11=$H45,"◆",""),IF(AND(AM$11&gt;=$H45,AM$11&lt;=$I45),1,""))</f>
        <v/>
      </c>
      <c r="AN45" s="448" t="str">
        <f aca="false">IF($G45=0,IF(AN$11=$H45,"◆",""),IF(AND(AN$11&gt;=$H45,AN$11&lt;=$I45),1,""))</f>
        <v/>
      </c>
      <c r="AO45" s="448" t="str">
        <f aca="false">IF($G45=0,IF(AO$11=$H45,"◆",""),IF(AND(AO$11&gt;=$H45,AO$11&lt;=$I45),1,""))</f>
        <v/>
      </c>
      <c r="AP45" s="448" t="str">
        <f aca="false">IF($G45=0,IF(AP$11=$H45,"◆",""),IF(AND(AP$11&gt;=$H45,AP$11&lt;=$I45),1,""))</f>
        <v/>
      </c>
      <c r="AQ45" s="448" t="str">
        <f aca="false">IF($G45=0,IF(AQ$11=$H45,"◆",""),IF(AND(AQ$11&gt;=$H45,AQ$11&lt;=$I45),1,""))</f>
        <v/>
      </c>
      <c r="AR45" s="448" t="str">
        <f aca="false">IF($G45=0,IF(AR$11=$H45,"◆",""),IF(AND(AR$11&gt;=$H45,AR$11&lt;=$I45),1,""))</f>
        <v/>
      </c>
      <c r="AS45" s="448" t="str">
        <f aca="false">IF($G45=0,IF(AS$11=$H45,"◆",""),IF(AND(AS$11&gt;=$H45,AS$11&lt;=$I45),1,""))</f>
        <v/>
      </c>
      <c r="AT45" s="448" t="str">
        <f aca="false">IF($G45=0,IF(AT$11=$H45,"◆",""),IF(AND(AT$11&gt;=$H45,AT$11&lt;=$I45),1,""))</f>
        <v/>
      </c>
      <c r="AU45" s="448" t="str">
        <f aca="false">IF($G45=0,IF(AU$11=$H45,"◆",""),IF(AND(AU$11&gt;=$H45,AU$11&lt;=$I45),1,""))</f>
        <v/>
      </c>
      <c r="AV45" s="448" t="n">
        <f aca="false">IF($G45=0,IF(AV$11=$H45,"◆",""),IF(AND(AV$11&gt;=$H45,AV$11&lt;=$I45),1,""))</f>
        <v>1</v>
      </c>
      <c r="AW45" s="448" t="n">
        <f aca="false">IF($G45=0,IF(AW$11=$H45,"◆",""),IF(AND(AW$11&gt;=$H45,AW$11&lt;=$I45),1,""))</f>
        <v>1</v>
      </c>
      <c r="AX45" s="448" t="n">
        <f aca="false">IF($G45=0,IF(AX$11=$H45,"◆",""),IF(AND(AX$11&gt;=$H45,AX$11&lt;=$I45),1,""))</f>
        <v>1</v>
      </c>
      <c r="AY45" s="448" t="n">
        <f aca="false">IF($G45=0,IF(AY$11=$H45,"◆",""),IF(AND(AY$11&gt;=$H45,AY$11&lt;=$I45),1,""))</f>
        <v>1</v>
      </c>
      <c r="AZ45" s="448" t="n">
        <f aca="false">IF($G45=0,IF(AZ$11=$H45,"◆",""),IF(AND(AZ$11&gt;=$H45,AZ$11&lt;=$I45),1,""))</f>
        <v>1</v>
      </c>
      <c r="BA45" s="448" t="n">
        <f aca="false">IF($G45=0,IF(BA$11=$H45,"◆",""),IF(AND(BA$11&gt;=$H45,BA$11&lt;=$I45),1,""))</f>
        <v>1</v>
      </c>
      <c r="BB45" s="448" t="n">
        <f aca="false">IF($G45=0,IF(BB$11=$H45,"◆",""),IF(AND(BB$11&gt;=$H45,BB$11&lt;=$I45),1,""))</f>
        <v>1</v>
      </c>
      <c r="BC45" s="448" t="n">
        <f aca="false">IF($G45=0,IF(BC$11=$H45,"◆",""),IF(AND(BC$11&gt;=$H45,BC$11&lt;=$I45),1,""))</f>
        <v>1</v>
      </c>
      <c r="BD45" s="448" t="str">
        <f aca="false">IF($G45=0,IF(BD$11=$H45,"◆",""),IF(AND(BD$11&gt;=$H45,BD$11&lt;=$I45),1,""))</f>
        <v/>
      </c>
      <c r="BE45" s="448" t="str">
        <f aca="false">IF($G45=0,IF(BE$11=$H45,"◆",""),IF(AND(BE$11&gt;=$H45,BE$11&lt;=$I45),1,""))</f>
        <v/>
      </c>
      <c r="BF45" s="448" t="str">
        <f aca="false">IF($G45=0,IF(BF$11=$H45,"◆",""),IF(AND(BF$11&gt;=$H45,BF$11&lt;=$I45),1,""))</f>
        <v/>
      </c>
      <c r="BG45" s="448" t="str">
        <f aca="false">IF($G45=0,IF(BG$11=$H45,"◆",""),IF(AND(BG$11&gt;=$H45,BG$11&lt;=$I45),1,""))</f>
        <v/>
      </c>
      <c r="BH45" s="448" t="str">
        <f aca="false">IF($G45=0,IF(BH$11=$H45,"◆",""),IF(AND(BH$11&gt;=$H45,BH$11&lt;=$I45),1,""))</f>
        <v/>
      </c>
      <c r="BI45" s="448" t="str">
        <f aca="false">IF($G45=0,IF(BI$11=$H45,"◆",""),IF(AND(BI$11&gt;=$H45,BI$11&lt;=$I45),1,""))</f>
        <v/>
      </c>
      <c r="BJ45" s="448" t="str">
        <f aca="false">IF($G45=0,IF(BJ$11=$H45,"◆",""),IF(AND(BJ$11&gt;=$H45,BJ$11&lt;=$I45),1,""))</f>
        <v/>
      </c>
      <c r="BK45" s="448" t="str">
        <f aca="false">IF($G45=0,IF(BK$11=$H45,"◆",""),IF(AND(BK$11&gt;=$H45,BK$11&lt;=$I45),1,""))</f>
        <v/>
      </c>
      <c r="BL45" s="448" t="str">
        <f aca="false">IF($G45=0,IF(BL$11=$H45,"◆",""),IF(AND(BL$11&gt;=$H45,BL$11&lt;=$I45),1,""))</f>
        <v/>
      </c>
      <c r="BM45" s="448" t="str">
        <f aca="false">IF($G45=0,IF(BM$11=$H45,"◆",""),IF(AND(BM$11&gt;=$H45,BM$11&lt;=$I45),1,""))</f>
        <v/>
      </c>
      <c r="BN45" s="448" t="str">
        <f aca="false">IF($G45=0,IF(BN$11=$H45,"◆",""),IF(AND(BN$11&gt;=$H45,BN$11&lt;=$I45),1,""))</f>
        <v/>
      </c>
      <c r="BO45" s="448" t="str">
        <f aca="false">IF($G45=0,IF(BO$11=$H45,"◆",""),IF(AND(BO$11&gt;=$H45,BO$11&lt;=$I45),1,""))</f>
        <v/>
      </c>
      <c r="BP45" s="448" t="str">
        <f aca="false">IF($G45=0,IF(BP$11=$H45,"◆",""),IF(AND(BP$11&gt;=$H45,BP$11&lt;=$I45),1,""))</f>
        <v/>
      </c>
      <c r="BQ45" s="448" t="str">
        <f aca="false">IF($G45=0,IF(BQ$11=$H45,"◆",""),IF(AND(BQ$11&gt;=$H45,BQ$11&lt;=$I45),1,""))</f>
        <v/>
      </c>
      <c r="BR45" s="448" t="str">
        <f aca="false">IF($G45=0,IF(BR$11=$H45,"◆",""),IF(AND(BR$11&gt;=$H45,BR$11&lt;=$I45),1,""))</f>
        <v/>
      </c>
      <c r="BS45" s="448" t="str">
        <f aca="false">IF($G45=0,IF(BS$11=$H45,"◆",""),IF(AND(BS$11&gt;=$H45,BS$11&lt;=$I45),1,""))</f>
        <v/>
      </c>
      <c r="BT45" s="448" t="str">
        <f aca="false">IF($G45=0,IF(BT$11=$H45,"◆",""),IF(AND(BT$11&gt;=$H45,BT$11&lt;=$I45),1,""))</f>
        <v/>
      </c>
      <c r="BU45" s="448" t="str">
        <f aca="false">IF($G45=0,IF(BU$11=$H45,"◆",""),IF(AND(BU$11&gt;=$H45,BU$11&lt;=$I45),1,""))</f>
        <v/>
      </c>
      <c r="BV45" s="448" t="str">
        <f aca="false">IF($G45=0,IF(BV$11=$H45,"◆",""),IF(AND(BV$11&gt;=$H45,BV$11&lt;=$I45),1,""))</f>
        <v/>
      </c>
      <c r="BW45" s="448" t="str">
        <f aca="false">IF($G45=0,IF(BW$11=$H45,"◆",""),IF(AND(BW$11&gt;=$H45,BW$11&lt;=$I45),1,""))</f>
        <v/>
      </c>
      <c r="BX45" s="448" t="str">
        <f aca="false">IF($G45=0,IF(BX$11=$H45,"◆",""),IF(AND(BX$11&gt;=$H45,BX$11&lt;=$I45),1,""))</f>
        <v/>
      </c>
      <c r="BY45" s="448" t="str">
        <f aca="false">IF($G45=0,IF(BY$11=$H45,"◆",""),IF(AND(BY$11&gt;=$H45,BY$11&lt;=$I45),1,""))</f>
        <v/>
      </c>
      <c r="BZ45" s="448" t="str">
        <f aca="false">IF($G45=0,IF(BZ$11=$H45,"◆",""),IF(AND(BZ$11&gt;=$H45,BZ$11&lt;=$I45),1,""))</f>
        <v/>
      </c>
      <c r="CA45" s="448" t="str">
        <f aca="false">IF($G45=0,IF(CA$11=$H45,"◆",""),IF(AND(CA$11&gt;=$H45,CA$11&lt;=$I45),1,""))</f>
        <v/>
      </c>
      <c r="CB45" s="448" t="str">
        <f aca="false">IF($G45=0,IF(CB$11=$H45,"◆",""),IF(AND(CB$11&gt;=$H45,CB$11&lt;=$I45),1,""))</f>
        <v/>
      </c>
      <c r="CC45" s="448" t="str">
        <f aca="false">IF($G45=0,IF(CC$11=$H45,"◆",""),IF(AND(CC$11&gt;=$H45,CC$11&lt;=$I45),1,""))</f>
        <v/>
      </c>
      <c r="CD45" s="448" t="str">
        <f aca="false">IF($G45=0,IF(CD$11=$H45,"◆",""),IF(AND(CD$11&gt;=$H45,CD$11&lt;=$I45),1,""))</f>
        <v/>
      </c>
      <c r="CE45" s="448" t="str">
        <f aca="false">IF($G45=0,IF(CE$11=$H45,"◆",""),IF(AND(CE$11&gt;=$H45,CE$11&lt;=$I45),1,""))</f>
        <v/>
      </c>
      <c r="CF45" s="448" t="str">
        <f aca="false">IF($G45=0,IF(CF$11=$H45,"◆",""),IF(AND(CF$11&gt;=$H45,CF$11&lt;=$I45),1,""))</f>
        <v/>
      </c>
      <c r="CG45" s="448" t="str">
        <f aca="false">IF($G45=0,IF(CG$11=$H45,"◆",""),IF(AND(CG$11&gt;=$H45,CG$11&lt;=$I45),1,""))</f>
        <v/>
      </c>
      <c r="CH45" s="448" t="str">
        <f aca="false">IF($G45=0,IF(CH$11=$H45,"◆",""),IF(AND(CH$11&gt;=$H45,CH$11&lt;=$I45),1,""))</f>
        <v/>
      </c>
      <c r="CI45" s="448" t="str">
        <f aca="false">IF($G45=0,IF(CI$11=$H45,"◆",""),IF(AND(CI$11&gt;=$H45,CI$11&lt;=$I45),1,""))</f>
        <v/>
      </c>
      <c r="CJ45" s="448" t="str">
        <f aca="false">IF($G45=0,IF(CJ$11=$H45,"◆",""),IF(AND(CJ$11&gt;=$H45,CJ$11&lt;=$I45),1,""))</f>
        <v/>
      </c>
      <c r="CK45" s="448" t="str">
        <f aca="false">IF($G45=0,IF(CK$11=$H45,"◆",""),IF(AND(CK$11&gt;=$H45,CK$11&lt;=$I45),1,""))</f>
        <v/>
      </c>
      <c r="CL45" s="448" t="str">
        <f aca="false">IF($G45=0,IF(CL$11=$H45,"◆",""),IF(AND(CL$11&gt;=$H45,CL$11&lt;=$I45),1,""))</f>
        <v/>
      </c>
      <c r="CM45" s="448" t="str">
        <f aca="false">IF($G45=0,IF(CM$11=$H45,"◆",""),IF(AND(CM$11&gt;=$H45,CM$11&lt;=$I45),1,""))</f>
        <v/>
      </c>
      <c r="CN45" s="448" t="str">
        <f aca="false">IF($G45=0,IF(CN$11=$H45,"◆",""),IF(AND(CN$11&gt;=$H45,CN$11&lt;=$I45),1,""))</f>
        <v/>
      </c>
      <c r="CO45" s="448" t="str">
        <f aca="false">IF($G45=0,IF(CO$11=$H45,"◆",""),IF(AND(CO$11&gt;=$H45,CO$11&lt;=$I45),1,""))</f>
        <v/>
      </c>
      <c r="CP45" s="448" t="str">
        <f aca="false">IF($G45=0,IF(CP$11=$H45,"◆",""),IF(AND(CP$11&gt;=$H45,CP$11&lt;=$I45),1,""))</f>
        <v/>
      </c>
      <c r="CQ45" s="448" t="str">
        <f aca="false">IF($G45=0,IF(CQ$11=$H45,"◆",""),IF(AND(CQ$11&gt;=$H45,CQ$11&lt;=$I45),1,""))</f>
        <v/>
      </c>
      <c r="CR45" s="448" t="str">
        <f aca="false">IF($G45=0,IF(CR$11=$H45,"◆",""),IF(AND(CR$11&gt;=$H45,CR$11&lt;=$I45),1,""))</f>
        <v/>
      </c>
      <c r="CS45" s="448" t="str">
        <f aca="false">IF($G45=0,IF(CS$11=$H45,"◆",""),IF(AND(CS$11&gt;=$H45,CS$11&lt;=$I45),1,""))</f>
        <v/>
      </c>
      <c r="CT45" s="448" t="str">
        <f aca="false">IF($G45=0,IF(CT$11=$H45,"◆",""),IF(AND(CT$11&gt;=$H45,CT$11&lt;=$I45),1,""))</f>
        <v/>
      </c>
      <c r="CU45" s="448" t="str">
        <f aca="false">IF($G45=0,IF(CU$11=$H45,"◆",""),IF(AND(CU$11&gt;=$H45,CU$11&lt;=$I45),1,""))</f>
        <v/>
      </c>
      <c r="CV45" s="448" t="str">
        <f aca="false">IF($G45=0,IF(CV$11=$H45,"◆",""),IF(AND(CV$11&gt;=$H45,CV$11&lt;=$I45),1,""))</f>
        <v/>
      </c>
      <c r="CW45" s="448" t="str">
        <f aca="false">IF($G45=0,IF(CW$11=$H45,"◆",""),IF(AND(CW$11&gt;=$H45,CW$11&lt;=$I45),1,""))</f>
        <v/>
      </c>
      <c r="CX45" s="448" t="str">
        <f aca="false">IF($G45=0,IF(CX$11=$H45,"◆",""),IF(AND(CX$11&gt;=$H45,CX$11&lt;=$I45),1,""))</f>
        <v/>
      </c>
      <c r="CY45" s="448" t="str">
        <f aca="false">IF($G45=0,IF(CY$11=$H45,"◆",""),IF(AND(CY$11&gt;=$H45,CY$11&lt;=$I45),1,""))</f>
        <v/>
      </c>
      <c r="CZ45" s="448" t="str">
        <f aca="false">IF($G45=0,IF(CZ$11=$H45,"◆",""),IF(AND(CZ$11&gt;=$H45,CZ$11&lt;=$I45),1,""))</f>
        <v/>
      </c>
      <c r="DA45" s="448" t="str">
        <f aca="false">IF($G45=0,IF(DA$11=$H45,"◆",""),IF(AND(DA$11&gt;=$H45,DA$11&lt;=$I45),1,""))</f>
        <v/>
      </c>
      <c r="DB45" s="448" t="str">
        <f aca="false">IF($G45=0,IF(DB$11=$H45,"◆",""),IF(AND(DB$11&gt;=$H45,DB$11&lt;=$I45),1,""))</f>
        <v/>
      </c>
      <c r="DC45" s="448" t="str">
        <f aca="false">IF($G45=0,IF(DC$11=$H45,"◆",""),IF(AND(DC$11&gt;=$H45,DC$11&lt;=$I45),1,""))</f>
        <v/>
      </c>
      <c r="DD45" s="448" t="str">
        <f aca="false">IF($G45=0,IF(DD$11=$H45,"◆",""),IF(AND(DD$11&gt;=$H45,DD$11&lt;=$I45),1,""))</f>
        <v/>
      </c>
      <c r="DE45" s="448" t="str">
        <f aca="false">IF($G45=0,IF(DE$11=$H45,"◆",""),IF(AND(DE$11&gt;=$H45,DE$11&lt;=$I45),1,""))</f>
        <v/>
      </c>
      <c r="DF45" s="448" t="str">
        <f aca="false">IF($G45=0,IF(DF$11=$H45,"◆",""),IF(AND(DF$11&gt;=$H45,DF$11&lt;=$I45),1,""))</f>
        <v/>
      </c>
      <c r="DG45" s="448" t="str">
        <f aca="false">IF($G45=0,IF(DG$11=$H45,"◆",""),IF(AND(DG$11&gt;=$H45,DG$11&lt;=$I45),1,""))</f>
        <v/>
      </c>
      <c r="DH45" s="448" t="str">
        <f aca="false">IF($G45=0,IF(DH$11=$H45,"◆",""),IF(AND(DH$11&gt;=$H45,DH$11&lt;=$I45),1,""))</f>
        <v/>
      </c>
      <c r="DI45" s="448" t="str">
        <f aca="false">IF($G45=0,IF(DI$11=$H45,"◆",""),IF(AND(DI$11&gt;=$H45,DI$11&lt;=$I45),1,""))</f>
        <v/>
      </c>
      <c r="DJ45" s="448" t="str">
        <f aca="false">IF($G45=0,IF(DJ$11=$H45,"◆",""),IF(AND(DJ$11&gt;=$H45,DJ$11&lt;=$I45),1,""))</f>
        <v/>
      </c>
      <c r="DK45" s="448" t="str">
        <f aca="false">IF($G45=0,IF(DK$11=$H45,"◆",""),IF(AND(DK$11&gt;=$H45,DK$11&lt;=$I45),1,""))</f>
        <v/>
      </c>
      <c r="DL45" s="448" t="str">
        <f aca="false">IF($G45=0,IF(DL$11=$H45,"◆",""),IF(AND(DL$11&gt;=$H45,DL$11&lt;=$I45),1,""))</f>
        <v/>
      </c>
      <c r="DM45" s="448" t="str">
        <f aca="false">IF($G45=0,IF(DM$11=$H45,"◆",""),IF(AND(DM$11&gt;=$H45,DM$11&lt;=$I45),1,""))</f>
        <v/>
      </c>
      <c r="DN45" s="448" t="str">
        <f aca="false">IF($G45=0,IF(DN$11=$H45,"◆",""),IF(AND(DN$11&gt;=$H45,DN$11&lt;=$I45),1,""))</f>
        <v/>
      </c>
      <c r="DO45" s="448" t="str">
        <f aca="false">IF($G45=0,IF(DO$11=$H45,"◆",""),IF(AND(DO$11&gt;=$H45,DO$11&lt;=$I45),1,""))</f>
        <v/>
      </c>
      <c r="DP45" s="448" t="str">
        <f aca="false">IF($G45=0,IF(DP$11=$H45,"◆",""),IF(AND(DP$11&gt;=$H45,DP$11&lt;=$I45),1,""))</f>
        <v/>
      </c>
      <c r="DQ45" s="448" t="str">
        <f aca="false">IF($G45=0,IF(DQ$11=$H45,"◆",""),IF(AND(DQ$11&gt;=$H45,DQ$11&lt;=$I45),1,""))</f>
        <v/>
      </c>
      <c r="DR45" s="448" t="str">
        <f aca="false">IF($G45=0,IF(DR$11=$H45,"◆",""),IF(AND(DR$11&gt;=$H45,DR$11&lt;=$I45),1,""))</f>
        <v/>
      </c>
      <c r="DS45" s="448" t="str">
        <f aca="false">IF($G45=0,IF(DS$11=$H45,"◆",""),IF(AND(DS$11&gt;=$H45,DS$11&lt;=$I45),1,""))</f>
        <v/>
      </c>
      <c r="DT45" s="448" t="str">
        <f aca="false">IF($G45=0,IF(DT$11=$H45,"◆",""),IF(AND(DT$11&gt;=$H45,DT$11&lt;=$I45),1,""))</f>
        <v/>
      </c>
      <c r="DU45" s="448" t="str">
        <f aca="false">IF($G45=0,IF(DU$11=$H45,"◆",""),IF(AND(DU$11&gt;=$H45,DU$11&lt;=$I45),1,""))</f>
        <v/>
      </c>
      <c r="DV45" s="448" t="str">
        <f aca="false">IF($G45=0,IF(DV$11=$H45,"◆",""),IF(AND(DV$11&gt;=$H45,DV$11&lt;=$I45),1,""))</f>
        <v/>
      </c>
      <c r="DW45" s="448" t="str">
        <f aca="false">IF($G45=0,IF(DW$11=$H45,"◆",""),IF(AND(DW$11&gt;=$H45,DW$11&lt;=$I45),1,""))</f>
        <v/>
      </c>
      <c r="DX45" s="448" t="str">
        <f aca="false">IF($G45=0,IF(DX$11=$H45,"◆",""),IF(AND(DX$11&gt;=$H45,DX$11&lt;=$I45),1,""))</f>
        <v/>
      </c>
      <c r="DY45" s="448" t="str">
        <f aca="false">IF($G45=0,IF(DY$11=$H45,"◆",""),IF(AND(DY$11&gt;=$H45,DY$11&lt;=$I45),1,""))</f>
        <v/>
      </c>
      <c r="DZ45" s="448" t="str">
        <f aca="false">IF($G45=0,IF(DZ$11=$H45,"◆",""),IF(AND(DZ$11&gt;=$H45,DZ$11&lt;=$I45),1,""))</f>
        <v/>
      </c>
      <c r="EA45" s="448" t="str">
        <f aca="false">IF($G45=0,IF(EA$11=$H45,"◆",""),IF(AND(EA$11&gt;=$H45,EA$11&lt;=$I45),1,""))</f>
        <v/>
      </c>
      <c r="EB45" s="448" t="str">
        <f aca="false">IF($G45=0,IF(EB$11=$H45,"◆",""),IF(AND(EB$11&gt;=$H45,EB$11&lt;=$I45),1,""))</f>
        <v/>
      </c>
      <c r="EC45" s="448" t="str">
        <f aca="false">IF($G45=0,IF(EC$11=$H45,"◆",""),IF(AND(EC$11&gt;=$H45,EC$11&lt;=$I45),1,""))</f>
        <v/>
      </c>
      <c r="ED45" s="448" t="str">
        <f aca="false">IF($G45=0,IF(ED$11=$H45,"◆",""),IF(AND(ED$11&gt;=$H45,ED$11&lt;=$I45),1,""))</f>
        <v/>
      </c>
    </row>
    <row r="46" customFormat="false" ht="15" hidden="false" customHeight="true" outlineLevel="0" collapsed="false">
      <c r="A46" s="441" t="s">
        <v>2514</v>
      </c>
      <c r="B46" s="297" t="s">
        <v>2515</v>
      </c>
      <c r="C46" s="442" t="s">
        <v>2435</v>
      </c>
      <c r="D46" s="443" t="s">
        <v>2500</v>
      </c>
      <c r="E46" s="354" t="n">
        <f aca="false">FC_SUPUESTOS!$C$23</f>
        <v>10</v>
      </c>
      <c r="F46" s="352" t="n">
        <v>-10</v>
      </c>
      <c r="G46" s="352" t="n">
        <v>6</v>
      </c>
      <c r="H46" s="367" t="n">
        <f aca="false">MAX(1,ROUND(($E46-1)*$D$5,0)+1+$F46)</f>
        <v>30</v>
      </c>
      <c r="I46" s="367" t="n">
        <f aca="false">MAX($H46,$H46+$G46-1)</f>
        <v>35</v>
      </c>
      <c r="J46" s="444" t="n">
        <f aca="false">$D$4+($H46-1)*7</f>
        <v>46503</v>
      </c>
      <c r="K46" s="444" t="n">
        <f aca="false">$D$4+$I46*7-1</f>
        <v>46544</v>
      </c>
      <c r="L46" s="445" t="n">
        <f aca="false">ROUNDUP($H46/$D$5,0)</f>
        <v>7</v>
      </c>
      <c r="M46" s="446"/>
      <c r="N46" s="447" t="n">
        <v>0</v>
      </c>
      <c r="O46" s="448" t="str">
        <f aca="false">IF($G46=0,IF(O$11=$H46,"◆",""),IF(AND(O$11&gt;=$H46,O$11&lt;=$I46),1,""))</f>
        <v/>
      </c>
      <c r="P46" s="448" t="str">
        <f aca="false">IF($G46=0,IF(P$11=$H46,"◆",""),IF(AND(P$11&gt;=$H46,P$11&lt;=$I46),1,""))</f>
        <v/>
      </c>
      <c r="Q46" s="448" t="str">
        <f aca="false">IF($G46=0,IF(Q$11=$H46,"◆",""),IF(AND(Q$11&gt;=$H46,Q$11&lt;=$I46),1,""))</f>
        <v/>
      </c>
      <c r="R46" s="448" t="str">
        <f aca="false">IF($G46=0,IF(R$11=$H46,"◆",""),IF(AND(R$11&gt;=$H46,R$11&lt;=$I46),1,""))</f>
        <v/>
      </c>
      <c r="S46" s="448" t="str">
        <f aca="false">IF($G46=0,IF(S$11=$H46,"◆",""),IF(AND(S$11&gt;=$H46,S$11&lt;=$I46),1,""))</f>
        <v/>
      </c>
      <c r="T46" s="448" t="str">
        <f aca="false">IF($G46=0,IF(T$11=$H46,"◆",""),IF(AND(T$11&gt;=$H46,T$11&lt;=$I46),1,""))</f>
        <v/>
      </c>
      <c r="U46" s="448" t="str">
        <f aca="false">IF($G46=0,IF(U$11=$H46,"◆",""),IF(AND(U$11&gt;=$H46,U$11&lt;=$I46),1,""))</f>
        <v/>
      </c>
      <c r="V46" s="448" t="str">
        <f aca="false">IF($G46=0,IF(V$11=$H46,"◆",""),IF(AND(V$11&gt;=$H46,V$11&lt;=$I46),1,""))</f>
        <v/>
      </c>
      <c r="W46" s="448" t="str">
        <f aca="false">IF($G46=0,IF(W$11=$H46,"◆",""),IF(AND(W$11&gt;=$H46,W$11&lt;=$I46),1,""))</f>
        <v/>
      </c>
      <c r="X46" s="448" t="str">
        <f aca="false">IF($G46=0,IF(X$11=$H46,"◆",""),IF(AND(X$11&gt;=$H46,X$11&lt;=$I46),1,""))</f>
        <v/>
      </c>
      <c r="Y46" s="448" t="str">
        <f aca="false">IF($G46=0,IF(Y$11=$H46,"◆",""),IF(AND(Y$11&gt;=$H46,Y$11&lt;=$I46),1,""))</f>
        <v/>
      </c>
      <c r="Z46" s="448" t="str">
        <f aca="false">IF($G46=0,IF(Z$11=$H46,"◆",""),IF(AND(Z$11&gt;=$H46,Z$11&lt;=$I46),1,""))</f>
        <v/>
      </c>
      <c r="AA46" s="448" t="str">
        <f aca="false">IF($G46=0,IF(AA$11=$H46,"◆",""),IF(AND(AA$11&gt;=$H46,AA$11&lt;=$I46),1,""))</f>
        <v/>
      </c>
      <c r="AB46" s="448" t="str">
        <f aca="false">IF($G46=0,IF(AB$11=$H46,"◆",""),IF(AND(AB$11&gt;=$H46,AB$11&lt;=$I46),1,""))</f>
        <v/>
      </c>
      <c r="AC46" s="448" t="str">
        <f aca="false">IF($G46=0,IF(AC$11=$H46,"◆",""),IF(AND(AC$11&gt;=$H46,AC$11&lt;=$I46),1,""))</f>
        <v/>
      </c>
      <c r="AD46" s="448" t="str">
        <f aca="false">IF($G46=0,IF(AD$11=$H46,"◆",""),IF(AND(AD$11&gt;=$H46,AD$11&lt;=$I46),1,""))</f>
        <v/>
      </c>
      <c r="AE46" s="448" t="str">
        <f aca="false">IF($G46=0,IF(AE$11=$H46,"◆",""),IF(AND(AE$11&gt;=$H46,AE$11&lt;=$I46),1,""))</f>
        <v/>
      </c>
      <c r="AF46" s="448" t="str">
        <f aca="false">IF($G46=0,IF(AF$11=$H46,"◆",""),IF(AND(AF$11&gt;=$H46,AF$11&lt;=$I46),1,""))</f>
        <v/>
      </c>
      <c r="AG46" s="448" t="str">
        <f aca="false">IF($G46=0,IF(AG$11=$H46,"◆",""),IF(AND(AG$11&gt;=$H46,AG$11&lt;=$I46),1,""))</f>
        <v/>
      </c>
      <c r="AH46" s="448" t="str">
        <f aca="false">IF($G46=0,IF(AH$11=$H46,"◆",""),IF(AND(AH$11&gt;=$H46,AH$11&lt;=$I46),1,""))</f>
        <v/>
      </c>
      <c r="AI46" s="448" t="str">
        <f aca="false">IF($G46=0,IF(AI$11=$H46,"◆",""),IF(AND(AI$11&gt;=$H46,AI$11&lt;=$I46),1,""))</f>
        <v/>
      </c>
      <c r="AJ46" s="448" t="str">
        <f aca="false">IF($G46=0,IF(AJ$11=$H46,"◆",""),IF(AND(AJ$11&gt;=$H46,AJ$11&lt;=$I46),1,""))</f>
        <v/>
      </c>
      <c r="AK46" s="448" t="str">
        <f aca="false">IF($G46=0,IF(AK$11=$H46,"◆",""),IF(AND(AK$11&gt;=$H46,AK$11&lt;=$I46),1,""))</f>
        <v/>
      </c>
      <c r="AL46" s="448" t="str">
        <f aca="false">IF($G46=0,IF(AL$11=$H46,"◆",""),IF(AND(AL$11&gt;=$H46,AL$11&lt;=$I46),1,""))</f>
        <v/>
      </c>
      <c r="AM46" s="448" t="str">
        <f aca="false">IF($G46=0,IF(AM$11=$H46,"◆",""),IF(AND(AM$11&gt;=$H46,AM$11&lt;=$I46),1,""))</f>
        <v/>
      </c>
      <c r="AN46" s="448" t="str">
        <f aca="false">IF($G46=0,IF(AN$11=$H46,"◆",""),IF(AND(AN$11&gt;=$H46,AN$11&lt;=$I46),1,""))</f>
        <v/>
      </c>
      <c r="AO46" s="448" t="str">
        <f aca="false">IF($G46=0,IF(AO$11=$H46,"◆",""),IF(AND(AO$11&gt;=$H46,AO$11&lt;=$I46),1,""))</f>
        <v/>
      </c>
      <c r="AP46" s="448" t="str">
        <f aca="false">IF($G46=0,IF(AP$11=$H46,"◆",""),IF(AND(AP$11&gt;=$H46,AP$11&lt;=$I46),1,""))</f>
        <v/>
      </c>
      <c r="AQ46" s="448" t="str">
        <f aca="false">IF($G46=0,IF(AQ$11=$H46,"◆",""),IF(AND(AQ$11&gt;=$H46,AQ$11&lt;=$I46),1,""))</f>
        <v/>
      </c>
      <c r="AR46" s="448" t="n">
        <f aca="false">IF($G46=0,IF(AR$11=$H46,"◆",""),IF(AND(AR$11&gt;=$H46,AR$11&lt;=$I46),1,""))</f>
        <v>1</v>
      </c>
      <c r="AS46" s="448" t="n">
        <f aca="false">IF($G46=0,IF(AS$11=$H46,"◆",""),IF(AND(AS$11&gt;=$H46,AS$11&lt;=$I46),1,""))</f>
        <v>1</v>
      </c>
      <c r="AT46" s="448" t="n">
        <f aca="false">IF($G46=0,IF(AT$11=$H46,"◆",""),IF(AND(AT$11&gt;=$H46,AT$11&lt;=$I46),1,""))</f>
        <v>1</v>
      </c>
      <c r="AU46" s="448" t="n">
        <f aca="false">IF($G46=0,IF(AU$11=$H46,"◆",""),IF(AND(AU$11&gt;=$H46,AU$11&lt;=$I46),1,""))</f>
        <v>1</v>
      </c>
      <c r="AV46" s="448" t="n">
        <f aca="false">IF($G46=0,IF(AV$11=$H46,"◆",""),IF(AND(AV$11&gt;=$H46,AV$11&lt;=$I46),1,""))</f>
        <v>1</v>
      </c>
      <c r="AW46" s="448" t="n">
        <f aca="false">IF($G46=0,IF(AW$11=$H46,"◆",""),IF(AND(AW$11&gt;=$H46,AW$11&lt;=$I46),1,""))</f>
        <v>1</v>
      </c>
      <c r="AX46" s="448" t="str">
        <f aca="false">IF($G46=0,IF(AX$11=$H46,"◆",""),IF(AND(AX$11&gt;=$H46,AX$11&lt;=$I46),1,""))</f>
        <v/>
      </c>
      <c r="AY46" s="448" t="str">
        <f aca="false">IF($G46=0,IF(AY$11=$H46,"◆",""),IF(AND(AY$11&gt;=$H46,AY$11&lt;=$I46),1,""))</f>
        <v/>
      </c>
      <c r="AZ46" s="448" t="str">
        <f aca="false">IF($G46=0,IF(AZ$11=$H46,"◆",""),IF(AND(AZ$11&gt;=$H46,AZ$11&lt;=$I46),1,""))</f>
        <v/>
      </c>
      <c r="BA46" s="448" t="str">
        <f aca="false">IF($G46=0,IF(BA$11=$H46,"◆",""),IF(AND(BA$11&gt;=$H46,BA$11&lt;=$I46),1,""))</f>
        <v/>
      </c>
      <c r="BB46" s="448" t="str">
        <f aca="false">IF($G46=0,IF(BB$11=$H46,"◆",""),IF(AND(BB$11&gt;=$H46,BB$11&lt;=$I46),1,""))</f>
        <v/>
      </c>
      <c r="BC46" s="448" t="str">
        <f aca="false">IF($G46=0,IF(BC$11=$H46,"◆",""),IF(AND(BC$11&gt;=$H46,BC$11&lt;=$I46),1,""))</f>
        <v/>
      </c>
      <c r="BD46" s="448" t="str">
        <f aca="false">IF($G46=0,IF(BD$11=$H46,"◆",""),IF(AND(BD$11&gt;=$H46,BD$11&lt;=$I46),1,""))</f>
        <v/>
      </c>
      <c r="BE46" s="448" t="str">
        <f aca="false">IF($G46=0,IF(BE$11=$H46,"◆",""),IF(AND(BE$11&gt;=$H46,BE$11&lt;=$I46),1,""))</f>
        <v/>
      </c>
      <c r="BF46" s="448" t="str">
        <f aca="false">IF($G46=0,IF(BF$11=$H46,"◆",""),IF(AND(BF$11&gt;=$H46,BF$11&lt;=$I46),1,""))</f>
        <v/>
      </c>
      <c r="BG46" s="448" t="str">
        <f aca="false">IF($G46=0,IF(BG$11=$H46,"◆",""),IF(AND(BG$11&gt;=$H46,BG$11&lt;=$I46),1,""))</f>
        <v/>
      </c>
      <c r="BH46" s="448" t="str">
        <f aca="false">IF($G46=0,IF(BH$11=$H46,"◆",""),IF(AND(BH$11&gt;=$H46,BH$11&lt;=$I46),1,""))</f>
        <v/>
      </c>
      <c r="BI46" s="448" t="str">
        <f aca="false">IF($G46=0,IF(BI$11=$H46,"◆",""),IF(AND(BI$11&gt;=$H46,BI$11&lt;=$I46),1,""))</f>
        <v/>
      </c>
      <c r="BJ46" s="448" t="str">
        <f aca="false">IF($G46=0,IF(BJ$11=$H46,"◆",""),IF(AND(BJ$11&gt;=$H46,BJ$11&lt;=$I46),1,""))</f>
        <v/>
      </c>
      <c r="BK46" s="448" t="str">
        <f aca="false">IF($G46=0,IF(BK$11=$H46,"◆",""),IF(AND(BK$11&gt;=$H46,BK$11&lt;=$I46),1,""))</f>
        <v/>
      </c>
      <c r="BL46" s="448" t="str">
        <f aca="false">IF($G46=0,IF(BL$11=$H46,"◆",""),IF(AND(BL$11&gt;=$H46,BL$11&lt;=$I46),1,""))</f>
        <v/>
      </c>
      <c r="BM46" s="448" t="str">
        <f aca="false">IF($G46=0,IF(BM$11=$H46,"◆",""),IF(AND(BM$11&gt;=$H46,BM$11&lt;=$I46),1,""))</f>
        <v/>
      </c>
      <c r="BN46" s="448" t="str">
        <f aca="false">IF($G46=0,IF(BN$11=$H46,"◆",""),IF(AND(BN$11&gt;=$H46,BN$11&lt;=$I46),1,""))</f>
        <v/>
      </c>
      <c r="BO46" s="448" t="str">
        <f aca="false">IF($G46=0,IF(BO$11=$H46,"◆",""),IF(AND(BO$11&gt;=$H46,BO$11&lt;=$I46),1,""))</f>
        <v/>
      </c>
      <c r="BP46" s="448" t="str">
        <f aca="false">IF($G46=0,IF(BP$11=$H46,"◆",""),IF(AND(BP$11&gt;=$H46,BP$11&lt;=$I46),1,""))</f>
        <v/>
      </c>
      <c r="BQ46" s="448" t="str">
        <f aca="false">IF($G46=0,IF(BQ$11=$H46,"◆",""),IF(AND(BQ$11&gt;=$H46,BQ$11&lt;=$I46),1,""))</f>
        <v/>
      </c>
      <c r="BR46" s="448" t="str">
        <f aca="false">IF($G46=0,IF(BR$11=$H46,"◆",""),IF(AND(BR$11&gt;=$H46,BR$11&lt;=$I46),1,""))</f>
        <v/>
      </c>
      <c r="BS46" s="448" t="str">
        <f aca="false">IF($G46=0,IF(BS$11=$H46,"◆",""),IF(AND(BS$11&gt;=$H46,BS$11&lt;=$I46),1,""))</f>
        <v/>
      </c>
      <c r="BT46" s="448" t="str">
        <f aca="false">IF($G46=0,IF(BT$11=$H46,"◆",""),IF(AND(BT$11&gt;=$H46,BT$11&lt;=$I46),1,""))</f>
        <v/>
      </c>
      <c r="BU46" s="448" t="str">
        <f aca="false">IF($G46=0,IF(BU$11=$H46,"◆",""),IF(AND(BU$11&gt;=$H46,BU$11&lt;=$I46),1,""))</f>
        <v/>
      </c>
      <c r="BV46" s="448" t="str">
        <f aca="false">IF($G46=0,IF(BV$11=$H46,"◆",""),IF(AND(BV$11&gt;=$H46,BV$11&lt;=$I46),1,""))</f>
        <v/>
      </c>
      <c r="BW46" s="448" t="str">
        <f aca="false">IF($G46=0,IF(BW$11=$H46,"◆",""),IF(AND(BW$11&gt;=$H46,BW$11&lt;=$I46),1,""))</f>
        <v/>
      </c>
      <c r="BX46" s="448" t="str">
        <f aca="false">IF($G46=0,IF(BX$11=$H46,"◆",""),IF(AND(BX$11&gt;=$H46,BX$11&lt;=$I46),1,""))</f>
        <v/>
      </c>
      <c r="BY46" s="448" t="str">
        <f aca="false">IF($G46=0,IF(BY$11=$H46,"◆",""),IF(AND(BY$11&gt;=$H46,BY$11&lt;=$I46),1,""))</f>
        <v/>
      </c>
      <c r="BZ46" s="448" t="str">
        <f aca="false">IF($G46=0,IF(BZ$11=$H46,"◆",""),IF(AND(BZ$11&gt;=$H46,BZ$11&lt;=$I46),1,""))</f>
        <v/>
      </c>
      <c r="CA46" s="448" t="str">
        <f aca="false">IF($G46=0,IF(CA$11=$H46,"◆",""),IF(AND(CA$11&gt;=$H46,CA$11&lt;=$I46),1,""))</f>
        <v/>
      </c>
      <c r="CB46" s="448" t="str">
        <f aca="false">IF($G46=0,IF(CB$11=$H46,"◆",""),IF(AND(CB$11&gt;=$H46,CB$11&lt;=$I46),1,""))</f>
        <v/>
      </c>
      <c r="CC46" s="448" t="str">
        <f aca="false">IF($G46=0,IF(CC$11=$H46,"◆",""),IF(AND(CC$11&gt;=$H46,CC$11&lt;=$I46),1,""))</f>
        <v/>
      </c>
      <c r="CD46" s="448" t="str">
        <f aca="false">IF($G46=0,IF(CD$11=$H46,"◆",""),IF(AND(CD$11&gt;=$H46,CD$11&lt;=$I46),1,""))</f>
        <v/>
      </c>
      <c r="CE46" s="448" t="str">
        <f aca="false">IF($G46=0,IF(CE$11=$H46,"◆",""),IF(AND(CE$11&gt;=$H46,CE$11&lt;=$I46),1,""))</f>
        <v/>
      </c>
      <c r="CF46" s="448" t="str">
        <f aca="false">IF($G46=0,IF(CF$11=$H46,"◆",""),IF(AND(CF$11&gt;=$H46,CF$11&lt;=$I46),1,""))</f>
        <v/>
      </c>
      <c r="CG46" s="448" t="str">
        <f aca="false">IF($G46=0,IF(CG$11=$H46,"◆",""),IF(AND(CG$11&gt;=$H46,CG$11&lt;=$I46),1,""))</f>
        <v/>
      </c>
      <c r="CH46" s="448" t="str">
        <f aca="false">IF($G46=0,IF(CH$11=$H46,"◆",""),IF(AND(CH$11&gt;=$H46,CH$11&lt;=$I46),1,""))</f>
        <v/>
      </c>
      <c r="CI46" s="448" t="str">
        <f aca="false">IF($G46=0,IF(CI$11=$H46,"◆",""),IF(AND(CI$11&gt;=$H46,CI$11&lt;=$I46),1,""))</f>
        <v/>
      </c>
      <c r="CJ46" s="448" t="str">
        <f aca="false">IF($G46=0,IF(CJ$11=$H46,"◆",""),IF(AND(CJ$11&gt;=$H46,CJ$11&lt;=$I46),1,""))</f>
        <v/>
      </c>
      <c r="CK46" s="448" t="str">
        <f aca="false">IF($G46=0,IF(CK$11=$H46,"◆",""),IF(AND(CK$11&gt;=$H46,CK$11&lt;=$I46),1,""))</f>
        <v/>
      </c>
      <c r="CL46" s="448" t="str">
        <f aca="false">IF($G46=0,IF(CL$11=$H46,"◆",""),IF(AND(CL$11&gt;=$H46,CL$11&lt;=$I46),1,""))</f>
        <v/>
      </c>
      <c r="CM46" s="448" t="str">
        <f aca="false">IF($G46=0,IF(CM$11=$H46,"◆",""),IF(AND(CM$11&gt;=$H46,CM$11&lt;=$I46),1,""))</f>
        <v/>
      </c>
      <c r="CN46" s="448" t="str">
        <f aca="false">IF($G46=0,IF(CN$11=$H46,"◆",""),IF(AND(CN$11&gt;=$H46,CN$11&lt;=$I46),1,""))</f>
        <v/>
      </c>
      <c r="CO46" s="448" t="str">
        <f aca="false">IF($G46=0,IF(CO$11=$H46,"◆",""),IF(AND(CO$11&gt;=$H46,CO$11&lt;=$I46),1,""))</f>
        <v/>
      </c>
      <c r="CP46" s="448" t="str">
        <f aca="false">IF($G46=0,IF(CP$11=$H46,"◆",""),IF(AND(CP$11&gt;=$H46,CP$11&lt;=$I46),1,""))</f>
        <v/>
      </c>
      <c r="CQ46" s="448" t="str">
        <f aca="false">IF($G46=0,IF(CQ$11=$H46,"◆",""),IF(AND(CQ$11&gt;=$H46,CQ$11&lt;=$I46),1,""))</f>
        <v/>
      </c>
      <c r="CR46" s="448" t="str">
        <f aca="false">IF($G46=0,IF(CR$11=$H46,"◆",""),IF(AND(CR$11&gt;=$H46,CR$11&lt;=$I46),1,""))</f>
        <v/>
      </c>
      <c r="CS46" s="448" t="str">
        <f aca="false">IF($G46=0,IF(CS$11=$H46,"◆",""),IF(AND(CS$11&gt;=$H46,CS$11&lt;=$I46),1,""))</f>
        <v/>
      </c>
      <c r="CT46" s="448" t="str">
        <f aca="false">IF($G46=0,IF(CT$11=$H46,"◆",""),IF(AND(CT$11&gt;=$H46,CT$11&lt;=$I46),1,""))</f>
        <v/>
      </c>
      <c r="CU46" s="448" t="str">
        <f aca="false">IF($G46=0,IF(CU$11=$H46,"◆",""),IF(AND(CU$11&gt;=$H46,CU$11&lt;=$I46),1,""))</f>
        <v/>
      </c>
      <c r="CV46" s="448" t="str">
        <f aca="false">IF($G46=0,IF(CV$11=$H46,"◆",""),IF(AND(CV$11&gt;=$H46,CV$11&lt;=$I46),1,""))</f>
        <v/>
      </c>
      <c r="CW46" s="448" t="str">
        <f aca="false">IF($G46=0,IF(CW$11=$H46,"◆",""),IF(AND(CW$11&gt;=$H46,CW$11&lt;=$I46),1,""))</f>
        <v/>
      </c>
      <c r="CX46" s="448" t="str">
        <f aca="false">IF($G46=0,IF(CX$11=$H46,"◆",""),IF(AND(CX$11&gt;=$H46,CX$11&lt;=$I46),1,""))</f>
        <v/>
      </c>
      <c r="CY46" s="448" t="str">
        <f aca="false">IF($G46=0,IF(CY$11=$H46,"◆",""),IF(AND(CY$11&gt;=$H46,CY$11&lt;=$I46),1,""))</f>
        <v/>
      </c>
      <c r="CZ46" s="448" t="str">
        <f aca="false">IF($G46=0,IF(CZ$11=$H46,"◆",""),IF(AND(CZ$11&gt;=$H46,CZ$11&lt;=$I46),1,""))</f>
        <v/>
      </c>
      <c r="DA46" s="448" t="str">
        <f aca="false">IF($G46=0,IF(DA$11=$H46,"◆",""),IF(AND(DA$11&gt;=$H46,DA$11&lt;=$I46),1,""))</f>
        <v/>
      </c>
      <c r="DB46" s="448" t="str">
        <f aca="false">IF($G46=0,IF(DB$11=$H46,"◆",""),IF(AND(DB$11&gt;=$H46,DB$11&lt;=$I46),1,""))</f>
        <v/>
      </c>
      <c r="DC46" s="448" t="str">
        <f aca="false">IF($G46=0,IF(DC$11=$H46,"◆",""),IF(AND(DC$11&gt;=$H46,DC$11&lt;=$I46),1,""))</f>
        <v/>
      </c>
      <c r="DD46" s="448" t="str">
        <f aca="false">IF($G46=0,IF(DD$11=$H46,"◆",""),IF(AND(DD$11&gt;=$H46,DD$11&lt;=$I46),1,""))</f>
        <v/>
      </c>
      <c r="DE46" s="448" t="str">
        <f aca="false">IF($G46=0,IF(DE$11=$H46,"◆",""),IF(AND(DE$11&gt;=$H46,DE$11&lt;=$I46),1,""))</f>
        <v/>
      </c>
      <c r="DF46" s="448" t="str">
        <f aca="false">IF($G46=0,IF(DF$11=$H46,"◆",""),IF(AND(DF$11&gt;=$H46,DF$11&lt;=$I46),1,""))</f>
        <v/>
      </c>
      <c r="DG46" s="448" t="str">
        <f aca="false">IF($G46=0,IF(DG$11=$H46,"◆",""),IF(AND(DG$11&gt;=$H46,DG$11&lt;=$I46),1,""))</f>
        <v/>
      </c>
      <c r="DH46" s="448" t="str">
        <f aca="false">IF($G46=0,IF(DH$11=$H46,"◆",""),IF(AND(DH$11&gt;=$H46,DH$11&lt;=$I46),1,""))</f>
        <v/>
      </c>
      <c r="DI46" s="448" t="str">
        <f aca="false">IF($G46=0,IF(DI$11=$H46,"◆",""),IF(AND(DI$11&gt;=$H46,DI$11&lt;=$I46),1,""))</f>
        <v/>
      </c>
      <c r="DJ46" s="448" t="str">
        <f aca="false">IF($G46=0,IF(DJ$11=$H46,"◆",""),IF(AND(DJ$11&gt;=$H46,DJ$11&lt;=$I46),1,""))</f>
        <v/>
      </c>
      <c r="DK46" s="448" t="str">
        <f aca="false">IF($G46=0,IF(DK$11=$H46,"◆",""),IF(AND(DK$11&gt;=$H46,DK$11&lt;=$I46),1,""))</f>
        <v/>
      </c>
      <c r="DL46" s="448" t="str">
        <f aca="false">IF($G46=0,IF(DL$11=$H46,"◆",""),IF(AND(DL$11&gt;=$H46,DL$11&lt;=$I46),1,""))</f>
        <v/>
      </c>
      <c r="DM46" s="448" t="str">
        <f aca="false">IF($G46=0,IF(DM$11=$H46,"◆",""),IF(AND(DM$11&gt;=$H46,DM$11&lt;=$I46),1,""))</f>
        <v/>
      </c>
      <c r="DN46" s="448" t="str">
        <f aca="false">IF($G46=0,IF(DN$11=$H46,"◆",""),IF(AND(DN$11&gt;=$H46,DN$11&lt;=$I46),1,""))</f>
        <v/>
      </c>
      <c r="DO46" s="448" t="str">
        <f aca="false">IF($G46=0,IF(DO$11=$H46,"◆",""),IF(AND(DO$11&gt;=$H46,DO$11&lt;=$I46),1,""))</f>
        <v/>
      </c>
      <c r="DP46" s="448" t="str">
        <f aca="false">IF($G46=0,IF(DP$11=$H46,"◆",""),IF(AND(DP$11&gt;=$H46,DP$11&lt;=$I46),1,""))</f>
        <v/>
      </c>
      <c r="DQ46" s="448" t="str">
        <f aca="false">IF($G46=0,IF(DQ$11=$H46,"◆",""),IF(AND(DQ$11&gt;=$H46,DQ$11&lt;=$I46),1,""))</f>
        <v/>
      </c>
      <c r="DR46" s="448" t="str">
        <f aca="false">IF($G46=0,IF(DR$11=$H46,"◆",""),IF(AND(DR$11&gt;=$H46,DR$11&lt;=$I46),1,""))</f>
        <v/>
      </c>
      <c r="DS46" s="448" t="str">
        <f aca="false">IF($G46=0,IF(DS$11=$H46,"◆",""),IF(AND(DS$11&gt;=$H46,DS$11&lt;=$I46),1,""))</f>
        <v/>
      </c>
      <c r="DT46" s="448" t="str">
        <f aca="false">IF($G46=0,IF(DT$11=$H46,"◆",""),IF(AND(DT$11&gt;=$H46,DT$11&lt;=$I46),1,""))</f>
        <v/>
      </c>
      <c r="DU46" s="448" t="str">
        <f aca="false">IF($G46=0,IF(DU$11=$H46,"◆",""),IF(AND(DU$11&gt;=$H46,DU$11&lt;=$I46),1,""))</f>
        <v/>
      </c>
      <c r="DV46" s="448" t="str">
        <f aca="false">IF($G46=0,IF(DV$11=$H46,"◆",""),IF(AND(DV$11&gt;=$H46,DV$11&lt;=$I46),1,""))</f>
        <v/>
      </c>
      <c r="DW46" s="448" t="str">
        <f aca="false">IF($G46=0,IF(DW$11=$H46,"◆",""),IF(AND(DW$11&gt;=$H46,DW$11&lt;=$I46),1,""))</f>
        <v/>
      </c>
      <c r="DX46" s="448" t="str">
        <f aca="false">IF($G46=0,IF(DX$11=$H46,"◆",""),IF(AND(DX$11&gt;=$H46,DX$11&lt;=$I46),1,""))</f>
        <v/>
      </c>
      <c r="DY46" s="448" t="str">
        <f aca="false">IF($G46=0,IF(DY$11=$H46,"◆",""),IF(AND(DY$11&gt;=$H46,DY$11&lt;=$I46),1,""))</f>
        <v/>
      </c>
      <c r="DZ46" s="448" t="str">
        <f aca="false">IF($G46=0,IF(DZ$11=$H46,"◆",""),IF(AND(DZ$11&gt;=$H46,DZ$11&lt;=$I46),1,""))</f>
        <v/>
      </c>
      <c r="EA46" s="448" t="str">
        <f aca="false">IF($G46=0,IF(EA$11=$H46,"◆",""),IF(AND(EA$11&gt;=$H46,EA$11&lt;=$I46),1,""))</f>
        <v/>
      </c>
      <c r="EB46" s="448" t="str">
        <f aca="false">IF($G46=0,IF(EB$11=$H46,"◆",""),IF(AND(EB$11&gt;=$H46,EB$11&lt;=$I46),1,""))</f>
        <v/>
      </c>
      <c r="EC46" s="448" t="str">
        <f aca="false">IF($G46=0,IF(EC$11=$H46,"◆",""),IF(AND(EC$11&gt;=$H46,EC$11&lt;=$I46),1,""))</f>
        <v/>
      </c>
      <c r="ED46" s="448" t="str">
        <f aca="false">IF($G46=0,IF(ED$11=$H46,"◆",""),IF(AND(ED$11&gt;=$H46,ED$11&lt;=$I46),1,""))</f>
        <v/>
      </c>
    </row>
    <row r="47" customFormat="false" ht="15" hidden="false" customHeight="true" outlineLevel="0" collapsed="false">
      <c r="A47" s="441" t="s">
        <v>2516</v>
      </c>
      <c r="B47" s="297" t="s">
        <v>2517</v>
      </c>
      <c r="C47" s="442" t="s">
        <v>2518</v>
      </c>
      <c r="D47" s="443" t="s">
        <v>2436</v>
      </c>
      <c r="E47" s="354" t="n">
        <f aca="false">1</f>
        <v>1</v>
      </c>
      <c r="F47" s="352" t="n">
        <v>4</v>
      </c>
      <c r="G47" s="352" t="n">
        <v>8</v>
      </c>
      <c r="H47" s="367" t="n">
        <f aca="false">MAX(1,ROUND(($E47-1)*$D$5,0)+1+$F47)</f>
        <v>5</v>
      </c>
      <c r="I47" s="367" t="n">
        <f aca="false">MAX($H47,$H47+$G47-1)</f>
        <v>12</v>
      </c>
      <c r="J47" s="444" t="n">
        <f aca="false">$D$4+($H47-1)*7</f>
        <v>46328</v>
      </c>
      <c r="K47" s="444" t="n">
        <f aca="false">$D$4+$I47*7-1</f>
        <v>46383</v>
      </c>
      <c r="L47" s="445" t="n">
        <f aca="false">ROUNDUP($H47/$D$5,0)</f>
        <v>2</v>
      </c>
      <c r="M47" s="446"/>
      <c r="N47" s="447" t="n">
        <v>0</v>
      </c>
      <c r="O47" s="448" t="str">
        <f aca="false">IF($G47=0,IF(O$11=$H47,"◆",""),IF(AND(O$11&gt;=$H47,O$11&lt;=$I47),1,""))</f>
        <v/>
      </c>
      <c r="P47" s="448" t="str">
        <f aca="false">IF($G47=0,IF(P$11=$H47,"◆",""),IF(AND(P$11&gt;=$H47,P$11&lt;=$I47),1,""))</f>
        <v/>
      </c>
      <c r="Q47" s="448" t="str">
        <f aca="false">IF($G47=0,IF(Q$11=$H47,"◆",""),IF(AND(Q$11&gt;=$H47,Q$11&lt;=$I47),1,""))</f>
        <v/>
      </c>
      <c r="R47" s="448" t="str">
        <f aca="false">IF($G47=0,IF(R$11=$H47,"◆",""),IF(AND(R$11&gt;=$H47,R$11&lt;=$I47),1,""))</f>
        <v/>
      </c>
      <c r="S47" s="448" t="n">
        <f aca="false">IF($G47=0,IF(S$11=$H47,"◆",""),IF(AND(S$11&gt;=$H47,S$11&lt;=$I47),1,""))</f>
        <v>1</v>
      </c>
      <c r="T47" s="448" t="n">
        <f aca="false">IF($G47=0,IF(T$11=$H47,"◆",""),IF(AND(T$11&gt;=$H47,T$11&lt;=$I47),1,""))</f>
        <v>1</v>
      </c>
      <c r="U47" s="448" t="n">
        <f aca="false">IF($G47=0,IF(U$11=$H47,"◆",""),IF(AND(U$11&gt;=$H47,U$11&lt;=$I47),1,""))</f>
        <v>1</v>
      </c>
      <c r="V47" s="448" t="n">
        <f aca="false">IF($G47=0,IF(V$11=$H47,"◆",""),IF(AND(V$11&gt;=$H47,V$11&lt;=$I47),1,""))</f>
        <v>1</v>
      </c>
      <c r="W47" s="448" t="n">
        <f aca="false">IF($G47=0,IF(W$11=$H47,"◆",""),IF(AND(W$11&gt;=$H47,W$11&lt;=$I47),1,""))</f>
        <v>1</v>
      </c>
      <c r="X47" s="448" t="n">
        <f aca="false">IF($G47=0,IF(X$11=$H47,"◆",""),IF(AND(X$11&gt;=$H47,X$11&lt;=$I47),1,""))</f>
        <v>1</v>
      </c>
      <c r="Y47" s="448" t="n">
        <f aca="false">IF($G47=0,IF(Y$11=$H47,"◆",""),IF(AND(Y$11&gt;=$H47,Y$11&lt;=$I47),1,""))</f>
        <v>1</v>
      </c>
      <c r="Z47" s="448" t="n">
        <f aca="false">IF($G47=0,IF(Z$11=$H47,"◆",""),IF(AND(Z$11&gt;=$H47,Z$11&lt;=$I47),1,""))</f>
        <v>1</v>
      </c>
      <c r="AA47" s="448" t="str">
        <f aca="false">IF($G47=0,IF(AA$11=$H47,"◆",""),IF(AND(AA$11&gt;=$H47,AA$11&lt;=$I47),1,""))</f>
        <v/>
      </c>
      <c r="AB47" s="448" t="str">
        <f aca="false">IF($G47=0,IF(AB$11=$H47,"◆",""),IF(AND(AB$11&gt;=$H47,AB$11&lt;=$I47),1,""))</f>
        <v/>
      </c>
      <c r="AC47" s="448" t="str">
        <f aca="false">IF($G47=0,IF(AC$11=$H47,"◆",""),IF(AND(AC$11&gt;=$H47,AC$11&lt;=$I47),1,""))</f>
        <v/>
      </c>
      <c r="AD47" s="448" t="str">
        <f aca="false">IF($G47=0,IF(AD$11=$H47,"◆",""),IF(AND(AD$11&gt;=$H47,AD$11&lt;=$I47),1,""))</f>
        <v/>
      </c>
      <c r="AE47" s="448" t="str">
        <f aca="false">IF($G47=0,IF(AE$11=$H47,"◆",""),IF(AND(AE$11&gt;=$H47,AE$11&lt;=$I47),1,""))</f>
        <v/>
      </c>
      <c r="AF47" s="448" t="str">
        <f aca="false">IF($G47=0,IF(AF$11=$H47,"◆",""),IF(AND(AF$11&gt;=$H47,AF$11&lt;=$I47),1,""))</f>
        <v/>
      </c>
      <c r="AG47" s="448" t="str">
        <f aca="false">IF($G47=0,IF(AG$11=$H47,"◆",""),IF(AND(AG$11&gt;=$H47,AG$11&lt;=$I47),1,""))</f>
        <v/>
      </c>
      <c r="AH47" s="448" t="str">
        <f aca="false">IF($G47=0,IF(AH$11=$H47,"◆",""),IF(AND(AH$11&gt;=$H47,AH$11&lt;=$I47),1,""))</f>
        <v/>
      </c>
      <c r="AI47" s="448" t="str">
        <f aca="false">IF($G47=0,IF(AI$11=$H47,"◆",""),IF(AND(AI$11&gt;=$H47,AI$11&lt;=$I47),1,""))</f>
        <v/>
      </c>
      <c r="AJ47" s="448" t="str">
        <f aca="false">IF($G47=0,IF(AJ$11=$H47,"◆",""),IF(AND(AJ$11&gt;=$H47,AJ$11&lt;=$I47),1,""))</f>
        <v/>
      </c>
      <c r="AK47" s="448" t="str">
        <f aca="false">IF($G47=0,IF(AK$11=$H47,"◆",""),IF(AND(AK$11&gt;=$H47,AK$11&lt;=$I47),1,""))</f>
        <v/>
      </c>
      <c r="AL47" s="448" t="str">
        <f aca="false">IF($G47=0,IF(AL$11=$H47,"◆",""),IF(AND(AL$11&gt;=$H47,AL$11&lt;=$I47),1,""))</f>
        <v/>
      </c>
      <c r="AM47" s="448" t="str">
        <f aca="false">IF($G47=0,IF(AM$11=$H47,"◆",""),IF(AND(AM$11&gt;=$H47,AM$11&lt;=$I47),1,""))</f>
        <v/>
      </c>
      <c r="AN47" s="448" t="str">
        <f aca="false">IF($G47=0,IF(AN$11=$H47,"◆",""),IF(AND(AN$11&gt;=$H47,AN$11&lt;=$I47),1,""))</f>
        <v/>
      </c>
      <c r="AO47" s="448" t="str">
        <f aca="false">IF($G47=0,IF(AO$11=$H47,"◆",""),IF(AND(AO$11&gt;=$H47,AO$11&lt;=$I47),1,""))</f>
        <v/>
      </c>
      <c r="AP47" s="448" t="str">
        <f aca="false">IF($G47=0,IF(AP$11=$H47,"◆",""),IF(AND(AP$11&gt;=$H47,AP$11&lt;=$I47),1,""))</f>
        <v/>
      </c>
      <c r="AQ47" s="448" t="str">
        <f aca="false">IF($G47=0,IF(AQ$11=$H47,"◆",""),IF(AND(AQ$11&gt;=$H47,AQ$11&lt;=$I47),1,""))</f>
        <v/>
      </c>
      <c r="AR47" s="448" t="str">
        <f aca="false">IF($G47=0,IF(AR$11=$H47,"◆",""),IF(AND(AR$11&gt;=$H47,AR$11&lt;=$I47),1,""))</f>
        <v/>
      </c>
      <c r="AS47" s="448" t="str">
        <f aca="false">IF($G47=0,IF(AS$11=$H47,"◆",""),IF(AND(AS$11&gt;=$H47,AS$11&lt;=$I47),1,""))</f>
        <v/>
      </c>
      <c r="AT47" s="448" t="str">
        <f aca="false">IF($G47=0,IF(AT$11=$H47,"◆",""),IF(AND(AT$11&gt;=$H47,AT$11&lt;=$I47),1,""))</f>
        <v/>
      </c>
      <c r="AU47" s="448" t="str">
        <f aca="false">IF($G47=0,IF(AU$11=$H47,"◆",""),IF(AND(AU$11&gt;=$H47,AU$11&lt;=$I47),1,""))</f>
        <v/>
      </c>
      <c r="AV47" s="448" t="str">
        <f aca="false">IF($G47=0,IF(AV$11=$H47,"◆",""),IF(AND(AV$11&gt;=$H47,AV$11&lt;=$I47),1,""))</f>
        <v/>
      </c>
      <c r="AW47" s="448" t="str">
        <f aca="false">IF($G47=0,IF(AW$11=$H47,"◆",""),IF(AND(AW$11&gt;=$H47,AW$11&lt;=$I47),1,""))</f>
        <v/>
      </c>
      <c r="AX47" s="448" t="str">
        <f aca="false">IF($G47=0,IF(AX$11=$H47,"◆",""),IF(AND(AX$11&gt;=$H47,AX$11&lt;=$I47),1,""))</f>
        <v/>
      </c>
      <c r="AY47" s="448" t="str">
        <f aca="false">IF($G47=0,IF(AY$11=$H47,"◆",""),IF(AND(AY$11&gt;=$H47,AY$11&lt;=$I47),1,""))</f>
        <v/>
      </c>
      <c r="AZ47" s="448" t="str">
        <f aca="false">IF($G47=0,IF(AZ$11=$H47,"◆",""),IF(AND(AZ$11&gt;=$H47,AZ$11&lt;=$I47),1,""))</f>
        <v/>
      </c>
      <c r="BA47" s="448" t="str">
        <f aca="false">IF($G47=0,IF(BA$11=$H47,"◆",""),IF(AND(BA$11&gt;=$H47,BA$11&lt;=$I47),1,""))</f>
        <v/>
      </c>
      <c r="BB47" s="448" t="str">
        <f aca="false">IF($G47=0,IF(BB$11=$H47,"◆",""),IF(AND(BB$11&gt;=$H47,BB$11&lt;=$I47),1,""))</f>
        <v/>
      </c>
      <c r="BC47" s="448" t="str">
        <f aca="false">IF($G47=0,IF(BC$11=$H47,"◆",""),IF(AND(BC$11&gt;=$H47,BC$11&lt;=$I47),1,""))</f>
        <v/>
      </c>
      <c r="BD47" s="448" t="str">
        <f aca="false">IF($G47=0,IF(BD$11=$H47,"◆",""),IF(AND(BD$11&gt;=$H47,BD$11&lt;=$I47),1,""))</f>
        <v/>
      </c>
      <c r="BE47" s="448" t="str">
        <f aca="false">IF($G47=0,IF(BE$11=$H47,"◆",""),IF(AND(BE$11&gt;=$H47,BE$11&lt;=$I47),1,""))</f>
        <v/>
      </c>
      <c r="BF47" s="448" t="str">
        <f aca="false">IF($G47=0,IF(BF$11=$H47,"◆",""),IF(AND(BF$11&gt;=$H47,BF$11&lt;=$I47),1,""))</f>
        <v/>
      </c>
      <c r="BG47" s="448" t="str">
        <f aca="false">IF($G47=0,IF(BG$11=$H47,"◆",""),IF(AND(BG$11&gt;=$H47,BG$11&lt;=$I47),1,""))</f>
        <v/>
      </c>
      <c r="BH47" s="448" t="str">
        <f aca="false">IF($G47=0,IF(BH$11=$H47,"◆",""),IF(AND(BH$11&gt;=$H47,BH$11&lt;=$I47),1,""))</f>
        <v/>
      </c>
      <c r="BI47" s="448" t="str">
        <f aca="false">IF($G47=0,IF(BI$11=$H47,"◆",""),IF(AND(BI$11&gt;=$H47,BI$11&lt;=$I47),1,""))</f>
        <v/>
      </c>
      <c r="BJ47" s="448" t="str">
        <f aca="false">IF($G47=0,IF(BJ$11=$H47,"◆",""),IF(AND(BJ$11&gt;=$H47,BJ$11&lt;=$I47),1,""))</f>
        <v/>
      </c>
      <c r="BK47" s="448" t="str">
        <f aca="false">IF($G47=0,IF(BK$11=$H47,"◆",""),IF(AND(BK$11&gt;=$H47,BK$11&lt;=$I47),1,""))</f>
        <v/>
      </c>
      <c r="BL47" s="448" t="str">
        <f aca="false">IF($G47=0,IF(BL$11=$H47,"◆",""),IF(AND(BL$11&gt;=$H47,BL$11&lt;=$I47),1,""))</f>
        <v/>
      </c>
      <c r="BM47" s="448" t="str">
        <f aca="false">IF($G47=0,IF(BM$11=$H47,"◆",""),IF(AND(BM$11&gt;=$H47,BM$11&lt;=$I47),1,""))</f>
        <v/>
      </c>
      <c r="BN47" s="448" t="str">
        <f aca="false">IF($G47=0,IF(BN$11=$H47,"◆",""),IF(AND(BN$11&gt;=$H47,BN$11&lt;=$I47),1,""))</f>
        <v/>
      </c>
      <c r="BO47" s="448" t="str">
        <f aca="false">IF($G47=0,IF(BO$11=$H47,"◆",""),IF(AND(BO$11&gt;=$H47,BO$11&lt;=$I47),1,""))</f>
        <v/>
      </c>
      <c r="BP47" s="448" t="str">
        <f aca="false">IF($G47=0,IF(BP$11=$H47,"◆",""),IF(AND(BP$11&gt;=$H47,BP$11&lt;=$I47),1,""))</f>
        <v/>
      </c>
      <c r="BQ47" s="448" t="str">
        <f aca="false">IF($G47=0,IF(BQ$11=$H47,"◆",""),IF(AND(BQ$11&gt;=$H47,BQ$11&lt;=$I47),1,""))</f>
        <v/>
      </c>
      <c r="BR47" s="448" t="str">
        <f aca="false">IF($G47=0,IF(BR$11=$H47,"◆",""),IF(AND(BR$11&gt;=$H47,BR$11&lt;=$I47),1,""))</f>
        <v/>
      </c>
      <c r="BS47" s="448" t="str">
        <f aca="false">IF($G47=0,IF(BS$11=$H47,"◆",""),IF(AND(BS$11&gt;=$H47,BS$11&lt;=$I47),1,""))</f>
        <v/>
      </c>
      <c r="BT47" s="448" t="str">
        <f aca="false">IF($G47=0,IF(BT$11=$H47,"◆",""),IF(AND(BT$11&gt;=$H47,BT$11&lt;=$I47),1,""))</f>
        <v/>
      </c>
      <c r="BU47" s="448" t="str">
        <f aca="false">IF($G47=0,IF(BU$11=$H47,"◆",""),IF(AND(BU$11&gt;=$H47,BU$11&lt;=$I47),1,""))</f>
        <v/>
      </c>
      <c r="BV47" s="448" t="str">
        <f aca="false">IF($G47=0,IF(BV$11=$H47,"◆",""),IF(AND(BV$11&gt;=$H47,BV$11&lt;=$I47),1,""))</f>
        <v/>
      </c>
      <c r="BW47" s="448" t="str">
        <f aca="false">IF($G47=0,IF(BW$11=$H47,"◆",""),IF(AND(BW$11&gt;=$H47,BW$11&lt;=$I47),1,""))</f>
        <v/>
      </c>
      <c r="BX47" s="448" t="str">
        <f aca="false">IF($G47=0,IF(BX$11=$H47,"◆",""),IF(AND(BX$11&gt;=$H47,BX$11&lt;=$I47),1,""))</f>
        <v/>
      </c>
      <c r="BY47" s="448" t="str">
        <f aca="false">IF($G47=0,IF(BY$11=$H47,"◆",""),IF(AND(BY$11&gt;=$H47,BY$11&lt;=$I47),1,""))</f>
        <v/>
      </c>
      <c r="BZ47" s="448" t="str">
        <f aca="false">IF($G47=0,IF(BZ$11=$H47,"◆",""),IF(AND(BZ$11&gt;=$H47,BZ$11&lt;=$I47),1,""))</f>
        <v/>
      </c>
      <c r="CA47" s="448" t="str">
        <f aca="false">IF($G47=0,IF(CA$11=$H47,"◆",""),IF(AND(CA$11&gt;=$H47,CA$11&lt;=$I47),1,""))</f>
        <v/>
      </c>
      <c r="CB47" s="448" t="str">
        <f aca="false">IF($G47=0,IF(CB$11=$H47,"◆",""),IF(AND(CB$11&gt;=$H47,CB$11&lt;=$I47),1,""))</f>
        <v/>
      </c>
      <c r="CC47" s="448" t="str">
        <f aca="false">IF($G47=0,IF(CC$11=$H47,"◆",""),IF(AND(CC$11&gt;=$H47,CC$11&lt;=$I47),1,""))</f>
        <v/>
      </c>
      <c r="CD47" s="448" t="str">
        <f aca="false">IF($G47=0,IF(CD$11=$H47,"◆",""),IF(AND(CD$11&gt;=$H47,CD$11&lt;=$I47),1,""))</f>
        <v/>
      </c>
      <c r="CE47" s="448" t="str">
        <f aca="false">IF($G47=0,IF(CE$11=$H47,"◆",""),IF(AND(CE$11&gt;=$H47,CE$11&lt;=$I47),1,""))</f>
        <v/>
      </c>
      <c r="CF47" s="448" t="str">
        <f aca="false">IF($G47=0,IF(CF$11=$H47,"◆",""),IF(AND(CF$11&gt;=$H47,CF$11&lt;=$I47),1,""))</f>
        <v/>
      </c>
      <c r="CG47" s="448" t="str">
        <f aca="false">IF($G47=0,IF(CG$11=$H47,"◆",""),IF(AND(CG$11&gt;=$H47,CG$11&lt;=$I47),1,""))</f>
        <v/>
      </c>
      <c r="CH47" s="448" t="str">
        <f aca="false">IF($G47=0,IF(CH$11=$H47,"◆",""),IF(AND(CH$11&gt;=$H47,CH$11&lt;=$I47),1,""))</f>
        <v/>
      </c>
      <c r="CI47" s="448" t="str">
        <f aca="false">IF($G47=0,IF(CI$11=$H47,"◆",""),IF(AND(CI$11&gt;=$H47,CI$11&lt;=$I47),1,""))</f>
        <v/>
      </c>
      <c r="CJ47" s="448" t="str">
        <f aca="false">IF($G47=0,IF(CJ$11=$H47,"◆",""),IF(AND(CJ$11&gt;=$H47,CJ$11&lt;=$I47),1,""))</f>
        <v/>
      </c>
      <c r="CK47" s="448" t="str">
        <f aca="false">IF($G47=0,IF(CK$11=$H47,"◆",""),IF(AND(CK$11&gt;=$H47,CK$11&lt;=$I47),1,""))</f>
        <v/>
      </c>
      <c r="CL47" s="448" t="str">
        <f aca="false">IF($G47=0,IF(CL$11=$H47,"◆",""),IF(AND(CL$11&gt;=$H47,CL$11&lt;=$I47),1,""))</f>
        <v/>
      </c>
      <c r="CM47" s="448" t="str">
        <f aca="false">IF($G47=0,IF(CM$11=$H47,"◆",""),IF(AND(CM$11&gt;=$H47,CM$11&lt;=$I47),1,""))</f>
        <v/>
      </c>
      <c r="CN47" s="448" t="str">
        <f aca="false">IF($G47=0,IF(CN$11=$H47,"◆",""),IF(AND(CN$11&gt;=$H47,CN$11&lt;=$I47),1,""))</f>
        <v/>
      </c>
      <c r="CO47" s="448" t="str">
        <f aca="false">IF($G47=0,IF(CO$11=$H47,"◆",""),IF(AND(CO$11&gt;=$H47,CO$11&lt;=$I47),1,""))</f>
        <v/>
      </c>
      <c r="CP47" s="448" t="str">
        <f aca="false">IF($G47=0,IF(CP$11=$H47,"◆",""),IF(AND(CP$11&gt;=$H47,CP$11&lt;=$I47),1,""))</f>
        <v/>
      </c>
      <c r="CQ47" s="448" t="str">
        <f aca="false">IF($G47=0,IF(CQ$11=$H47,"◆",""),IF(AND(CQ$11&gt;=$H47,CQ$11&lt;=$I47),1,""))</f>
        <v/>
      </c>
      <c r="CR47" s="448" t="str">
        <f aca="false">IF($G47=0,IF(CR$11=$H47,"◆",""),IF(AND(CR$11&gt;=$H47,CR$11&lt;=$I47),1,""))</f>
        <v/>
      </c>
      <c r="CS47" s="448" t="str">
        <f aca="false">IF($G47=0,IF(CS$11=$H47,"◆",""),IF(AND(CS$11&gt;=$H47,CS$11&lt;=$I47),1,""))</f>
        <v/>
      </c>
      <c r="CT47" s="448" t="str">
        <f aca="false">IF($G47=0,IF(CT$11=$H47,"◆",""),IF(AND(CT$11&gt;=$H47,CT$11&lt;=$I47),1,""))</f>
        <v/>
      </c>
      <c r="CU47" s="448" t="str">
        <f aca="false">IF($G47=0,IF(CU$11=$H47,"◆",""),IF(AND(CU$11&gt;=$H47,CU$11&lt;=$I47),1,""))</f>
        <v/>
      </c>
      <c r="CV47" s="448" t="str">
        <f aca="false">IF($G47=0,IF(CV$11=$H47,"◆",""),IF(AND(CV$11&gt;=$H47,CV$11&lt;=$I47),1,""))</f>
        <v/>
      </c>
      <c r="CW47" s="448" t="str">
        <f aca="false">IF($G47=0,IF(CW$11=$H47,"◆",""),IF(AND(CW$11&gt;=$H47,CW$11&lt;=$I47),1,""))</f>
        <v/>
      </c>
      <c r="CX47" s="448" t="str">
        <f aca="false">IF($G47=0,IF(CX$11=$H47,"◆",""),IF(AND(CX$11&gt;=$H47,CX$11&lt;=$I47),1,""))</f>
        <v/>
      </c>
      <c r="CY47" s="448" t="str">
        <f aca="false">IF($G47=0,IF(CY$11=$H47,"◆",""),IF(AND(CY$11&gt;=$H47,CY$11&lt;=$I47),1,""))</f>
        <v/>
      </c>
      <c r="CZ47" s="448" t="str">
        <f aca="false">IF($G47=0,IF(CZ$11=$H47,"◆",""),IF(AND(CZ$11&gt;=$H47,CZ$11&lt;=$I47),1,""))</f>
        <v/>
      </c>
      <c r="DA47" s="448" t="str">
        <f aca="false">IF($G47=0,IF(DA$11=$H47,"◆",""),IF(AND(DA$11&gt;=$H47,DA$11&lt;=$I47),1,""))</f>
        <v/>
      </c>
      <c r="DB47" s="448" t="str">
        <f aca="false">IF($G47=0,IF(DB$11=$H47,"◆",""),IF(AND(DB$11&gt;=$H47,DB$11&lt;=$I47),1,""))</f>
        <v/>
      </c>
      <c r="DC47" s="448" t="str">
        <f aca="false">IF($G47=0,IF(DC$11=$H47,"◆",""),IF(AND(DC$11&gt;=$H47,DC$11&lt;=$I47),1,""))</f>
        <v/>
      </c>
      <c r="DD47" s="448" t="str">
        <f aca="false">IF($G47=0,IF(DD$11=$H47,"◆",""),IF(AND(DD$11&gt;=$H47,DD$11&lt;=$I47),1,""))</f>
        <v/>
      </c>
      <c r="DE47" s="448" t="str">
        <f aca="false">IF($G47=0,IF(DE$11=$H47,"◆",""),IF(AND(DE$11&gt;=$H47,DE$11&lt;=$I47),1,""))</f>
        <v/>
      </c>
      <c r="DF47" s="448" t="str">
        <f aca="false">IF($G47=0,IF(DF$11=$H47,"◆",""),IF(AND(DF$11&gt;=$H47,DF$11&lt;=$I47),1,""))</f>
        <v/>
      </c>
      <c r="DG47" s="448" t="str">
        <f aca="false">IF($G47=0,IF(DG$11=$H47,"◆",""),IF(AND(DG$11&gt;=$H47,DG$11&lt;=$I47),1,""))</f>
        <v/>
      </c>
      <c r="DH47" s="448" t="str">
        <f aca="false">IF($G47=0,IF(DH$11=$H47,"◆",""),IF(AND(DH$11&gt;=$H47,DH$11&lt;=$I47),1,""))</f>
        <v/>
      </c>
      <c r="DI47" s="448" t="str">
        <f aca="false">IF($G47=0,IF(DI$11=$H47,"◆",""),IF(AND(DI$11&gt;=$H47,DI$11&lt;=$I47),1,""))</f>
        <v/>
      </c>
      <c r="DJ47" s="448" t="str">
        <f aca="false">IF($G47=0,IF(DJ$11=$H47,"◆",""),IF(AND(DJ$11&gt;=$H47,DJ$11&lt;=$I47),1,""))</f>
        <v/>
      </c>
      <c r="DK47" s="448" t="str">
        <f aca="false">IF($G47=0,IF(DK$11=$H47,"◆",""),IF(AND(DK$11&gt;=$H47,DK$11&lt;=$I47),1,""))</f>
        <v/>
      </c>
      <c r="DL47" s="448" t="str">
        <f aca="false">IF($G47=0,IF(DL$11=$H47,"◆",""),IF(AND(DL$11&gt;=$H47,DL$11&lt;=$I47),1,""))</f>
        <v/>
      </c>
      <c r="DM47" s="448" t="str">
        <f aca="false">IF($G47=0,IF(DM$11=$H47,"◆",""),IF(AND(DM$11&gt;=$H47,DM$11&lt;=$I47),1,""))</f>
        <v/>
      </c>
      <c r="DN47" s="448" t="str">
        <f aca="false">IF($G47=0,IF(DN$11=$H47,"◆",""),IF(AND(DN$11&gt;=$H47,DN$11&lt;=$I47),1,""))</f>
        <v/>
      </c>
      <c r="DO47" s="448" t="str">
        <f aca="false">IF($G47=0,IF(DO$11=$H47,"◆",""),IF(AND(DO$11&gt;=$H47,DO$11&lt;=$I47),1,""))</f>
        <v/>
      </c>
      <c r="DP47" s="448" t="str">
        <f aca="false">IF($G47=0,IF(DP$11=$H47,"◆",""),IF(AND(DP$11&gt;=$H47,DP$11&lt;=$I47),1,""))</f>
        <v/>
      </c>
      <c r="DQ47" s="448" t="str">
        <f aca="false">IF($G47=0,IF(DQ$11=$H47,"◆",""),IF(AND(DQ$11&gt;=$H47,DQ$11&lt;=$I47),1,""))</f>
        <v/>
      </c>
      <c r="DR47" s="448" t="str">
        <f aca="false">IF($G47=0,IF(DR$11=$H47,"◆",""),IF(AND(DR$11&gt;=$H47,DR$11&lt;=$I47),1,""))</f>
        <v/>
      </c>
      <c r="DS47" s="448" t="str">
        <f aca="false">IF($G47=0,IF(DS$11=$H47,"◆",""),IF(AND(DS$11&gt;=$H47,DS$11&lt;=$I47),1,""))</f>
        <v/>
      </c>
      <c r="DT47" s="448" t="str">
        <f aca="false">IF($G47=0,IF(DT$11=$H47,"◆",""),IF(AND(DT$11&gt;=$H47,DT$11&lt;=$I47),1,""))</f>
        <v/>
      </c>
      <c r="DU47" s="448" t="str">
        <f aca="false">IF($G47=0,IF(DU$11=$H47,"◆",""),IF(AND(DU$11&gt;=$H47,DU$11&lt;=$I47),1,""))</f>
        <v/>
      </c>
      <c r="DV47" s="448" t="str">
        <f aca="false">IF($G47=0,IF(DV$11=$H47,"◆",""),IF(AND(DV$11&gt;=$H47,DV$11&lt;=$I47),1,""))</f>
        <v/>
      </c>
      <c r="DW47" s="448" t="str">
        <f aca="false">IF($G47=0,IF(DW$11=$H47,"◆",""),IF(AND(DW$11&gt;=$H47,DW$11&lt;=$I47),1,""))</f>
        <v/>
      </c>
      <c r="DX47" s="448" t="str">
        <f aca="false">IF($G47=0,IF(DX$11=$H47,"◆",""),IF(AND(DX$11&gt;=$H47,DX$11&lt;=$I47),1,""))</f>
        <v/>
      </c>
      <c r="DY47" s="448" t="str">
        <f aca="false">IF($G47=0,IF(DY$11=$H47,"◆",""),IF(AND(DY$11&gt;=$H47,DY$11&lt;=$I47),1,""))</f>
        <v/>
      </c>
      <c r="DZ47" s="448" t="str">
        <f aca="false">IF($G47=0,IF(DZ$11=$H47,"◆",""),IF(AND(DZ$11&gt;=$H47,DZ$11&lt;=$I47),1,""))</f>
        <v/>
      </c>
      <c r="EA47" s="448" t="str">
        <f aca="false">IF($G47=0,IF(EA$11=$H47,"◆",""),IF(AND(EA$11&gt;=$H47,EA$11&lt;=$I47),1,""))</f>
        <v/>
      </c>
      <c r="EB47" s="448" t="str">
        <f aca="false">IF($G47=0,IF(EB$11=$H47,"◆",""),IF(AND(EB$11&gt;=$H47,EB$11&lt;=$I47),1,""))</f>
        <v/>
      </c>
      <c r="EC47" s="448" t="str">
        <f aca="false">IF($G47=0,IF(EC$11=$H47,"◆",""),IF(AND(EC$11&gt;=$H47,EC$11&lt;=$I47),1,""))</f>
        <v/>
      </c>
      <c r="ED47" s="448" t="str">
        <f aca="false">IF($G47=0,IF(ED$11=$H47,"◆",""),IF(AND(ED$11&gt;=$H47,ED$11&lt;=$I47),1,""))</f>
        <v/>
      </c>
    </row>
    <row r="48" customFormat="false" ht="15" hidden="false" customHeight="true" outlineLevel="0" collapsed="false">
      <c r="A48" s="441" t="s">
        <v>2519</v>
      </c>
      <c r="B48" s="297" t="s">
        <v>2520</v>
      </c>
      <c r="C48" s="442" t="s">
        <v>2518</v>
      </c>
      <c r="D48" s="443" t="s">
        <v>2496</v>
      </c>
      <c r="E48" s="354" t="n">
        <f aca="false">FC_SUPUESTOS!$C$23-FC_SUPUESTOS!$C$21</f>
        <v>8</v>
      </c>
      <c r="F48" s="352" t="n">
        <v>-4</v>
      </c>
      <c r="G48" s="352" t="n">
        <v>8</v>
      </c>
      <c r="H48" s="367" t="n">
        <f aca="false">MAX(1,ROUND(($E48-1)*$D$5,0)+1+$F48)</f>
        <v>27</v>
      </c>
      <c r="I48" s="367" t="n">
        <f aca="false">MAX($H48,$H48+$G48-1)</f>
        <v>34</v>
      </c>
      <c r="J48" s="444" t="n">
        <f aca="false">$D$4+($H48-1)*7</f>
        <v>46482</v>
      </c>
      <c r="K48" s="444" t="n">
        <f aca="false">$D$4+$I48*7-1</f>
        <v>46537</v>
      </c>
      <c r="L48" s="445" t="n">
        <f aca="false">ROUNDUP($H48/$D$5,0)</f>
        <v>7</v>
      </c>
      <c r="M48" s="446"/>
      <c r="N48" s="447" t="n">
        <v>0</v>
      </c>
      <c r="O48" s="448" t="str">
        <f aca="false">IF($G48=0,IF(O$11=$H48,"◆",""),IF(AND(O$11&gt;=$H48,O$11&lt;=$I48),1,""))</f>
        <v/>
      </c>
      <c r="P48" s="448" t="str">
        <f aca="false">IF($G48=0,IF(P$11=$H48,"◆",""),IF(AND(P$11&gt;=$H48,P$11&lt;=$I48),1,""))</f>
        <v/>
      </c>
      <c r="Q48" s="448" t="str">
        <f aca="false">IF($G48=0,IF(Q$11=$H48,"◆",""),IF(AND(Q$11&gt;=$H48,Q$11&lt;=$I48),1,""))</f>
        <v/>
      </c>
      <c r="R48" s="448" t="str">
        <f aca="false">IF($G48=0,IF(R$11=$H48,"◆",""),IF(AND(R$11&gt;=$H48,R$11&lt;=$I48),1,""))</f>
        <v/>
      </c>
      <c r="S48" s="448" t="str">
        <f aca="false">IF($G48=0,IF(S$11=$H48,"◆",""),IF(AND(S$11&gt;=$H48,S$11&lt;=$I48),1,""))</f>
        <v/>
      </c>
      <c r="T48" s="448" t="str">
        <f aca="false">IF($G48=0,IF(T$11=$H48,"◆",""),IF(AND(T$11&gt;=$H48,T$11&lt;=$I48),1,""))</f>
        <v/>
      </c>
      <c r="U48" s="448" t="str">
        <f aca="false">IF($G48=0,IF(U$11=$H48,"◆",""),IF(AND(U$11&gt;=$H48,U$11&lt;=$I48),1,""))</f>
        <v/>
      </c>
      <c r="V48" s="448" t="str">
        <f aca="false">IF($G48=0,IF(V$11=$H48,"◆",""),IF(AND(V$11&gt;=$H48,V$11&lt;=$I48),1,""))</f>
        <v/>
      </c>
      <c r="W48" s="448" t="str">
        <f aca="false">IF($G48=0,IF(W$11=$H48,"◆",""),IF(AND(W$11&gt;=$H48,W$11&lt;=$I48),1,""))</f>
        <v/>
      </c>
      <c r="X48" s="448" t="str">
        <f aca="false">IF($G48=0,IF(X$11=$H48,"◆",""),IF(AND(X$11&gt;=$H48,X$11&lt;=$I48),1,""))</f>
        <v/>
      </c>
      <c r="Y48" s="448" t="str">
        <f aca="false">IF($G48=0,IF(Y$11=$H48,"◆",""),IF(AND(Y$11&gt;=$H48,Y$11&lt;=$I48),1,""))</f>
        <v/>
      </c>
      <c r="Z48" s="448" t="str">
        <f aca="false">IF($G48=0,IF(Z$11=$H48,"◆",""),IF(AND(Z$11&gt;=$H48,Z$11&lt;=$I48),1,""))</f>
        <v/>
      </c>
      <c r="AA48" s="448" t="str">
        <f aca="false">IF($G48=0,IF(AA$11=$H48,"◆",""),IF(AND(AA$11&gt;=$H48,AA$11&lt;=$I48),1,""))</f>
        <v/>
      </c>
      <c r="AB48" s="448" t="str">
        <f aca="false">IF($G48=0,IF(AB$11=$H48,"◆",""),IF(AND(AB$11&gt;=$H48,AB$11&lt;=$I48),1,""))</f>
        <v/>
      </c>
      <c r="AC48" s="448" t="str">
        <f aca="false">IF($G48=0,IF(AC$11=$H48,"◆",""),IF(AND(AC$11&gt;=$H48,AC$11&lt;=$I48),1,""))</f>
        <v/>
      </c>
      <c r="AD48" s="448" t="str">
        <f aca="false">IF($G48=0,IF(AD$11=$H48,"◆",""),IF(AND(AD$11&gt;=$H48,AD$11&lt;=$I48),1,""))</f>
        <v/>
      </c>
      <c r="AE48" s="448" t="str">
        <f aca="false">IF($G48=0,IF(AE$11=$H48,"◆",""),IF(AND(AE$11&gt;=$H48,AE$11&lt;=$I48),1,""))</f>
        <v/>
      </c>
      <c r="AF48" s="448" t="str">
        <f aca="false">IF($G48=0,IF(AF$11=$H48,"◆",""),IF(AND(AF$11&gt;=$H48,AF$11&lt;=$I48),1,""))</f>
        <v/>
      </c>
      <c r="AG48" s="448" t="str">
        <f aca="false">IF($G48=0,IF(AG$11=$H48,"◆",""),IF(AND(AG$11&gt;=$H48,AG$11&lt;=$I48),1,""))</f>
        <v/>
      </c>
      <c r="AH48" s="448" t="str">
        <f aca="false">IF($G48=0,IF(AH$11=$H48,"◆",""),IF(AND(AH$11&gt;=$H48,AH$11&lt;=$I48),1,""))</f>
        <v/>
      </c>
      <c r="AI48" s="448" t="str">
        <f aca="false">IF($G48=0,IF(AI$11=$H48,"◆",""),IF(AND(AI$11&gt;=$H48,AI$11&lt;=$I48),1,""))</f>
        <v/>
      </c>
      <c r="AJ48" s="448" t="str">
        <f aca="false">IF($G48=0,IF(AJ$11=$H48,"◆",""),IF(AND(AJ$11&gt;=$H48,AJ$11&lt;=$I48),1,""))</f>
        <v/>
      </c>
      <c r="AK48" s="448" t="str">
        <f aca="false">IF($G48=0,IF(AK$11=$H48,"◆",""),IF(AND(AK$11&gt;=$H48,AK$11&lt;=$I48),1,""))</f>
        <v/>
      </c>
      <c r="AL48" s="448" t="str">
        <f aca="false">IF($G48=0,IF(AL$11=$H48,"◆",""),IF(AND(AL$11&gt;=$H48,AL$11&lt;=$I48),1,""))</f>
        <v/>
      </c>
      <c r="AM48" s="448" t="str">
        <f aca="false">IF($G48=0,IF(AM$11=$H48,"◆",""),IF(AND(AM$11&gt;=$H48,AM$11&lt;=$I48),1,""))</f>
        <v/>
      </c>
      <c r="AN48" s="448" t="str">
        <f aca="false">IF($G48=0,IF(AN$11=$H48,"◆",""),IF(AND(AN$11&gt;=$H48,AN$11&lt;=$I48),1,""))</f>
        <v/>
      </c>
      <c r="AO48" s="448" t="n">
        <f aca="false">IF($G48=0,IF(AO$11=$H48,"◆",""),IF(AND(AO$11&gt;=$H48,AO$11&lt;=$I48),1,""))</f>
        <v>1</v>
      </c>
      <c r="AP48" s="448" t="n">
        <f aca="false">IF($G48=0,IF(AP$11=$H48,"◆",""),IF(AND(AP$11&gt;=$H48,AP$11&lt;=$I48),1,""))</f>
        <v>1</v>
      </c>
      <c r="AQ48" s="448" t="n">
        <f aca="false">IF($G48=0,IF(AQ$11=$H48,"◆",""),IF(AND(AQ$11&gt;=$H48,AQ$11&lt;=$I48),1,""))</f>
        <v>1</v>
      </c>
      <c r="AR48" s="448" t="n">
        <f aca="false">IF($G48=0,IF(AR$11=$H48,"◆",""),IF(AND(AR$11&gt;=$H48,AR$11&lt;=$I48),1,""))</f>
        <v>1</v>
      </c>
      <c r="AS48" s="448" t="n">
        <f aca="false">IF($G48=0,IF(AS$11=$H48,"◆",""),IF(AND(AS$11&gt;=$H48,AS$11&lt;=$I48),1,""))</f>
        <v>1</v>
      </c>
      <c r="AT48" s="448" t="n">
        <f aca="false">IF($G48=0,IF(AT$11=$H48,"◆",""),IF(AND(AT$11&gt;=$H48,AT$11&lt;=$I48),1,""))</f>
        <v>1</v>
      </c>
      <c r="AU48" s="448" t="n">
        <f aca="false">IF($G48=0,IF(AU$11=$H48,"◆",""),IF(AND(AU$11&gt;=$H48,AU$11&lt;=$I48),1,""))</f>
        <v>1</v>
      </c>
      <c r="AV48" s="448" t="n">
        <f aca="false">IF($G48=0,IF(AV$11=$H48,"◆",""),IF(AND(AV$11&gt;=$H48,AV$11&lt;=$I48),1,""))</f>
        <v>1</v>
      </c>
      <c r="AW48" s="448" t="str">
        <f aca="false">IF($G48=0,IF(AW$11=$H48,"◆",""),IF(AND(AW$11&gt;=$H48,AW$11&lt;=$I48),1,""))</f>
        <v/>
      </c>
      <c r="AX48" s="448" t="str">
        <f aca="false">IF($G48=0,IF(AX$11=$H48,"◆",""),IF(AND(AX$11&gt;=$H48,AX$11&lt;=$I48),1,""))</f>
        <v/>
      </c>
      <c r="AY48" s="448" t="str">
        <f aca="false">IF($G48=0,IF(AY$11=$H48,"◆",""),IF(AND(AY$11&gt;=$H48,AY$11&lt;=$I48),1,""))</f>
        <v/>
      </c>
      <c r="AZ48" s="448" t="str">
        <f aca="false">IF($G48=0,IF(AZ$11=$H48,"◆",""),IF(AND(AZ$11&gt;=$H48,AZ$11&lt;=$I48),1,""))</f>
        <v/>
      </c>
      <c r="BA48" s="448" t="str">
        <f aca="false">IF($G48=0,IF(BA$11=$H48,"◆",""),IF(AND(BA$11&gt;=$H48,BA$11&lt;=$I48),1,""))</f>
        <v/>
      </c>
      <c r="BB48" s="448" t="str">
        <f aca="false">IF($G48=0,IF(BB$11=$H48,"◆",""),IF(AND(BB$11&gt;=$H48,BB$11&lt;=$I48),1,""))</f>
        <v/>
      </c>
      <c r="BC48" s="448" t="str">
        <f aca="false">IF($G48=0,IF(BC$11=$H48,"◆",""),IF(AND(BC$11&gt;=$H48,BC$11&lt;=$I48),1,""))</f>
        <v/>
      </c>
      <c r="BD48" s="448" t="str">
        <f aca="false">IF($G48=0,IF(BD$11=$H48,"◆",""),IF(AND(BD$11&gt;=$H48,BD$11&lt;=$I48),1,""))</f>
        <v/>
      </c>
      <c r="BE48" s="448" t="str">
        <f aca="false">IF($G48=0,IF(BE$11=$H48,"◆",""),IF(AND(BE$11&gt;=$H48,BE$11&lt;=$I48),1,""))</f>
        <v/>
      </c>
      <c r="BF48" s="448" t="str">
        <f aca="false">IF($G48=0,IF(BF$11=$H48,"◆",""),IF(AND(BF$11&gt;=$H48,BF$11&lt;=$I48),1,""))</f>
        <v/>
      </c>
      <c r="BG48" s="448" t="str">
        <f aca="false">IF($G48=0,IF(BG$11=$H48,"◆",""),IF(AND(BG$11&gt;=$H48,BG$11&lt;=$I48),1,""))</f>
        <v/>
      </c>
      <c r="BH48" s="448" t="str">
        <f aca="false">IF($G48=0,IF(BH$11=$H48,"◆",""),IF(AND(BH$11&gt;=$H48,BH$11&lt;=$I48),1,""))</f>
        <v/>
      </c>
      <c r="BI48" s="448" t="str">
        <f aca="false">IF($G48=0,IF(BI$11=$H48,"◆",""),IF(AND(BI$11&gt;=$H48,BI$11&lt;=$I48),1,""))</f>
        <v/>
      </c>
      <c r="BJ48" s="448" t="str">
        <f aca="false">IF($G48=0,IF(BJ$11=$H48,"◆",""),IF(AND(BJ$11&gt;=$H48,BJ$11&lt;=$I48),1,""))</f>
        <v/>
      </c>
      <c r="BK48" s="448" t="str">
        <f aca="false">IF($G48=0,IF(BK$11=$H48,"◆",""),IF(AND(BK$11&gt;=$H48,BK$11&lt;=$I48),1,""))</f>
        <v/>
      </c>
      <c r="BL48" s="448" t="str">
        <f aca="false">IF($G48=0,IF(BL$11=$H48,"◆",""),IF(AND(BL$11&gt;=$H48,BL$11&lt;=$I48),1,""))</f>
        <v/>
      </c>
      <c r="BM48" s="448" t="str">
        <f aca="false">IF($G48=0,IF(BM$11=$H48,"◆",""),IF(AND(BM$11&gt;=$H48,BM$11&lt;=$I48),1,""))</f>
        <v/>
      </c>
      <c r="BN48" s="448" t="str">
        <f aca="false">IF($G48=0,IF(BN$11=$H48,"◆",""),IF(AND(BN$11&gt;=$H48,BN$11&lt;=$I48),1,""))</f>
        <v/>
      </c>
      <c r="BO48" s="448" t="str">
        <f aca="false">IF($G48=0,IF(BO$11=$H48,"◆",""),IF(AND(BO$11&gt;=$H48,BO$11&lt;=$I48),1,""))</f>
        <v/>
      </c>
      <c r="BP48" s="448" t="str">
        <f aca="false">IF($G48=0,IF(BP$11=$H48,"◆",""),IF(AND(BP$11&gt;=$H48,BP$11&lt;=$I48),1,""))</f>
        <v/>
      </c>
      <c r="BQ48" s="448" t="str">
        <f aca="false">IF($G48=0,IF(BQ$11=$H48,"◆",""),IF(AND(BQ$11&gt;=$H48,BQ$11&lt;=$I48),1,""))</f>
        <v/>
      </c>
      <c r="BR48" s="448" t="str">
        <f aca="false">IF($G48=0,IF(BR$11=$H48,"◆",""),IF(AND(BR$11&gt;=$H48,BR$11&lt;=$I48),1,""))</f>
        <v/>
      </c>
      <c r="BS48" s="448" t="str">
        <f aca="false">IF($G48=0,IF(BS$11=$H48,"◆",""),IF(AND(BS$11&gt;=$H48,BS$11&lt;=$I48),1,""))</f>
        <v/>
      </c>
      <c r="BT48" s="448" t="str">
        <f aca="false">IF($G48=0,IF(BT$11=$H48,"◆",""),IF(AND(BT$11&gt;=$H48,BT$11&lt;=$I48),1,""))</f>
        <v/>
      </c>
      <c r="BU48" s="448" t="str">
        <f aca="false">IF($G48=0,IF(BU$11=$H48,"◆",""),IF(AND(BU$11&gt;=$H48,BU$11&lt;=$I48),1,""))</f>
        <v/>
      </c>
      <c r="BV48" s="448" t="str">
        <f aca="false">IF($G48=0,IF(BV$11=$H48,"◆",""),IF(AND(BV$11&gt;=$H48,BV$11&lt;=$I48),1,""))</f>
        <v/>
      </c>
      <c r="BW48" s="448" t="str">
        <f aca="false">IF($G48=0,IF(BW$11=$H48,"◆",""),IF(AND(BW$11&gt;=$H48,BW$11&lt;=$I48),1,""))</f>
        <v/>
      </c>
      <c r="BX48" s="448" t="str">
        <f aca="false">IF($G48=0,IF(BX$11=$H48,"◆",""),IF(AND(BX$11&gt;=$H48,BX$11&lt;=$I48),1,""))</f>
        <v/>
      </c>
      <c r="BY48" s="448" t="str">
        <f aca="false">IF($G48=0,IF(BY$11=$H48,"◆",""),IF(AND(BY$11&gt;=$H48,BY$11&lt;=$I48),1,""))</f>
        <v/>
      </c>
      <c r="BZ48" s="448" t="str">
        <f aca="false">IF($G48=0,IF(BZ$11=$H48,"◆",""),IF(AND(BZ$11&gt;=$H48,BZ$11&lt;=$I48),1,""))</f>
        <v/>
      </c>
      <c r="CA48" s="448" t="str">
        <f aca="false">IF($G48=0,IF(CA$11=$H48,"◆",""),IF(AND(CA$11&gt;=$H48,CA$11&lt;=$I48),1,""))</f>
        <v/>
      </c>
      <c r="CB48" s="448" t="str">
        <f aca="false">IF($G48=0,IF(CB$11=$H48,"◆",""),IF(AND(CB$11&gt;=$H48,CB$11&lt;=$I48),1,""))</f>
        <v/>
      </c>
      <c r="CC48" s="448" t="str">
        <f aca="false">IF($G48=0,IF(CC$11=$H48,"◆",""),IF(AND(CC$11&gt;=$H48,CC$11&lt;=$I48),1,""))</f>
        <v/>
      </c>
      <c r="CD48" s="448" t="str">
        <f aca="false">IF($G48=0,IF(CD$11=$H48,"◆",""),IF(AND(CD$11&gt;=$H48,CD$11&lt;=$I48),1,""))</f>
        <v/>
      </c>
      <c r="CE48" s="448" t="str">
        <f aca="false">IF($G48=0,IF(CE$11=$H48,"◆",""),IF(AND(CE$11&gt;=$H48,CE$11&lt;=$I48),1,""))</f>
        <v/>
      </c>
      <c r="CF48" s="448" t="str">
        <f aca="false">IF($G48=0,IF(CF$11=$H48,"◆",""),IF(AND(CF$11&gt;=$H48,CF$11&lt;=$I48),1,""))</f>
        <v/>
      </c>
      <c r="CG48" s="448" t="str">
        <f aca="false">IF($G48=0,IF(CG$11=$H48,"◆",""),IF(AND(CG$11&gt;=$H48,CG$11&lt;=$I48),1,""))</f>
        <v/>
      </c>
      <c r="CH48" s="448" t="str">
        <f aca="false">IF($G48=0,IF(CH$11=$H48,"◆",""),IF(AND(CH$11&gt;=$H48,CH$11&lt;=$I48),1,""))</f>
        <v/>
      </c>
      <c r="CI48" s="448" t="str">
        <f aca="false">IF($G48=0,IF(CI$11=$H48,"◆",""),IF(AND(CI$11&gt;=$H48,CI$11&lt;=$I48),1,""))</f>
        <v/>
      </c>
      <c r="CJ48" s="448" t="str">
        <f aca="false">IF($G48=0,IF(CJ$11=$H48,"◆",""),IF(AND(CJ$11&gt;=$H48,CJ$11&lt;=$I48),1,""))</f>
        <v/>
      </c>
      <c r="CK48" s="448" t="str">
        <f aca="false">IF($G48=0,IF(CK$11=$H48,"◆",""),IF(AND(CK$11&gt;=$H48,CK$11&lt;=$I48),1,""))</f>
        <v/>
      </c>
      <c r="CL48" s="448" t="str">
        <f aca="false">IF($G48=0,IF(CL$11=$H48,"◆",""),IF(AND(CL$11&gt;=$H48,CL$11&lt;=$I48),1,""))</f>
        <v/>
      </c>
      <c r="CM48" s="448" t="str">
        <f aca="false">IF($G48=0,IF(CM$11=$H48,"◆",""),IF(AND(CM$11&gt;=$H48,CM$11&lt;=$I48),1,""))</f>
        <v/>
      </c>
      <c r="CN48" s="448" t="str">
        <f aca="false">IF($G48=0,IF(CN$11=$H48,"◆",""),IF(AND(CN$11&gt;=$H48,CN$11&lt;=$I48),1,""))</f>
        <v/>
      </c>
      <c r="CO48" s="448" t="str">
        <f aca="false">IF($G48=0,IF(CO$11=$H48,"◆",""),IF(AND(CO$11&gt;=$H48,CO$11&lt;=$I48),1,""))</f>
        <v/>
      </c>
      <c r="CP48" s="448" t="str">
        <f aca="false">IF($G48=0,IF(CP$11=$H48,"◆",""),IF(AND(CP$11&gt;=$H48,CP$11&lt;=$I48),1,""))</f>
        <v/>
      </c>
      <c r="CQ48" s="448" t="str">
        <f aca="false">IF($G48=0,IF(CQ$11=$H48,"◆",""),IF(AND(CQ$11&gt;=$H48,CQ$11&lt;=$I48),1,""))</f>
        <v/>
      </c>
      <c r="CR48" s="448" t="str">
        <f aca="false">IF($G48=0,IF(CR$11=$H48,"◆",""),IF(AND(CR$11&gt;=$H48,CR$11&lt;=$I48),1,""))</f>
        <v/>
      </c>
      <c r="CS48" s="448" t="str">
        <f aca="false">IF($G48=0,IF(CS$11=$H48,"◆",""),IF(AND(CS$11&gt;=$H48,CS$11&lt;=$I48),1,""))</f>
        <v/>
      </c>
      <c r="CT48" s="448" t="str">
        <f aca="false">IF($G48=0,IF(CT$11=$H48,"◆",""),IF(AND(CT$11&gt;=$H48,CT$11&lt;=$I48),1,""))</f>
        <v/>
      </c>
      <c r="CU48" s="448" t="str">
        <f aca="false">IF($G48=0,IF(CU$11=$H48,"◆",""),IF(AND(CU$11&gt;=$H48,CU$11&lt;=$I48),1,""))</f>
        <v/>
      </c>
      <c r="CV48" s="448" t="str">
        <f aca="false">IF($G48=0,IF(CV$11=$H48,"◆",""),IF(AND(CV$11&gt;=$H48,CV$11&lt;=$I48),1,""))</f>
        <v/>
      </c>
      <c r="CW48" s="448" t="str">
        <f aca="false">IF($G48=0,IF(CW$11=$H48,"◆",""),IF(AND(CW$11&gt;=$H48,CW$11&lt;=$I48),1,""))</f>
        <v/>
      </c>
      <c r="CX48" s="448" t="str">
        <f aca="false">IF($G48=0,IF(CX$11=$H48,"◆",""),IF(AND(CX$11&gt;=$H48,CX$11&lt;=$I48),1,""))</f>
        <v/>
      </c>
      <c r="CY48" s="448" t="str">
        <f aca="false">IF($G48=0,IF(CY$11=$H48,"◆",""),IF(AND(CY$11&gt;=$H48,CY$11&lt;=$I48),1,""))</f>
        <v/>
      </c>
      <c r="CZ48" s="448" t="str">
        <f aca="false">IF($G48=0,IF(CZ$11=$H48,"◆",""),IF(AND(CZ$11&gt;=$H48,CZ$11&lt;=$I48),1,""))</f>
        <v/>
      </c>
      <c r="DA48" s="448" t="str">
        <f aca="false">IF($G48=0,IF(DA$11=$H48,"◆",""),IF(AND(DA$11&gt;=$H48,DA$11&lt;=$I48),1,""))</f>
        <v/>
      </c>
      <c r="DB48" s="448" t="str">
        <f aca="false">IF($G48=0,IF(DB$11=$H48,"◆",""),IF(AND(DB$11&gt;=$H48,DB$11&lt;=$I48),1,""))</f>
        <v/>
      </c>
      <c r="DC48" s="448" t="str">
        <f aca="false">IF($G48=0,IF(DC$11=$H48,"◆",""),IF(AND(DC$11&gt;=$H48,DC$11&lt;=$I48),1,""))</f>
        <v/>
      </c>
      <c r="DD48" s="448" t="str">
        <f aca="false">IF($G48=0,IF(DD$11=$H48,"◆",""),IF(AND(DD$11&gt;=$H48,DD$11&lt;=$I48),1,""))</f>
        <v/>
      </c>
      <c r="DE48" s="448" t="str">
        <f aca="false">IF($G48=0,IF(DE$11=$H48,"◆",""),IF(AND(DE$11&gt;=$H48,DE$11&lt;=$I48),1,""))</f>
        <v/>
      </c>
      <c r="DF48" s="448" t="str">
        <f aca="false">IF($G48=0,IF(DF$11=$H48,"◆",""),IF(AND(DF$11&gt;=$H48,DF$11&lt;=$I48),1,""))</f>
        <v/>
      </c>
      <c r="DG48" s="448" t="str">
        <f aca="false">IF($G48=0,IF(DG$11=$H48,"◆",""),IF(AND(DG$11&gt;=$H48,DG$11&lt;=$I48),1,""))</f>
        <v/>
      </c>
      <c r="DH48" s="448" t="str">
        <f aca="false">IF($G48=0,IF(DH$11=$H48,"◆",""),IF(AND(DH$11&gt;=$H48,DH$11&lt;=$I48),1,""))</f>
        <v/>
      </c>
      <c r="DI48" s="448" t="str">
        <f aca="false">IF($G48=0,IF(DI$11=$H48,"◆",""),IF(AND(DI$11&gt;=$H48,DI$11&lt;=$I48),1,""))</f>
        <v/>
      </c>
      <c r="DJ48" s="448" t="str">
        <f aca="false">IF($G48=0,IF(DJ$11=$H48,"◆",""),IF(AND(DJ$11&gt;=$H48,DJ$11&lt;=$I48),1,""))</f>
        <v/>
      </c>
      <c r="DK48" s="448" t="str">
        <f aca="false">IF($G48=0,IF(DK$11=$H48,"◆",""),IF(AND(DK$11&gt;=$H48,DK$11&lt;=$I48),1,""))</f>
        <v/>
      </c>
      <c r="DL48" s="448" t="str">
        <f aca="false">IF($G48=0,IF(DL$11=$H48,"◆",""),IF(AND(DL$11&gt;=$H48,DL$11&lt;=$I48),1,""))</f>
        <v/>
      </c>
      <c r="DM48" s="448" t="str">
        <f aca="false">IF($G48=0,IF(DM$11=$H48,"◆",""),IF(AND(DM$11&gt;=$H48,DM$11&lt;=$I48),1,""))</f>
        <v/>
      </c>
      <c r="DN48" s="448" t="str">
        <f aca="false">IF($G48=0,IF(DN$11=$H48,"◆",""),IF(AND(DN$11&gt;=$H48,DN$11&lt;=$I48),1,""))</f>
        <v/>
      </c>
      <c r="DO48" s="448" t="str">
        <f aca="false">IF($G48=0,IF(DO$11=$H48,"◆",""),IF(AND(DO$11&gt;=$H48,DO$11&lt;=$I48),1,""))</f>
        <v/>
      </c>
      <c r="DP48" s="448" t="str">
        <f aca="false">IF($G48=0,IF(DP$11=$H48,"◆",""),IF(AND(DP$11&gt;=$H48,DP$11&lt;=$I48),1,""))</f>
        <v/>
      </c>
      <c r="DQ48" s="448" t="str">
        <f aca="false">IF($G48=0,IF(DQ$11=$H48,"◆",""),IF(AND(DQ$11&gt;=$H48,DQ$11&lt;=$I48),1,""))</f>
        <v/>
      </c>
      <c r="DR48" s="448" t="str">
        <f aca="false">IF($G48=0,IF(DR$11=$H48,"◆",""),IF(AND(DR$11&gt;=$H48,DR$11&lt;=$I48),1,""))</f>
        <v/>
      </c>
      <c r="DS48" s="448" t="str">
        <f aca="false">IF($G48=0,IF(DS$11=$H48,"◆",""),IF(AND(DS$11&gt;=$H48,DS$11&lt;=$I48),1,""))</f>
        <v/>
      </c>
      <c r="DT48" s="448" t="str">
        <f aca="false">IF($G48=0,IF(DT$11=$H48,"◆",""),IF(AND(DT$11&gt;=$H48,DT$11&lt;=$I48),1,""))</f>
        <v/>
      </c>
      <c r="DU48" s="448" t="str">
        <f aca="false">IF($G48=0,IF(DU$11=$H48,"◆",""),IF(AND(DU$11&gt;=$H48,DU$11&lt;=$I48),1,""))</f>
        <v/>
      </c>
      <c r="DV48" s="448" t="str">
        <f aca="false">IF($G48=0,IF(DV$11=$H48,"◆",""),IF(AND(DV$11&gt;=$H48,DV$11&lt;=$I48),1,""))</f>
        <v/>
      </c>
      <c r="DW48" s="448" t="str">
        <f aca="false">IF($G48=0,IF(DW$11=$H48,"◆",""),IF(AND(DW$11&gt;=$H48,DW$11&lt;=$I48),1,""))</f>
        <v/>
      </c>
      <c r="DX48" s="448" t="str">
        <f aca="false">IF($G48=0,IF(DX$11=$H48,"◆",""),IF(AND(DX$11&gt;=$H48,DX$11&lt;=$I48),1,""))</f>
        <v/>
      </c>
      <c r="DY48" s="448" t="str">
        <f aca="false">IF($G48=0,IF(DY$11=$H48,"◆",""),IF(AND(DY$11&gt;=$H48,DY$11&lt;=$I48),1,""))</f>
        <v/>
      </c>
      <c r="DZ48" s="448" t="str">
        <f aca="false">IF($G48=0,IF(DZ$11=$H48,"◆",""),IF(AND(DZ$11&gt;=$H48,DZ$11&lt;=$I48),1,""))</f>
        <v/>
      </c>
      <c r="EA48" s="448" t="str">
        <f aca="false">IF($G48=0,IF(EA$11=$H48,"◆",""),IF(AND(EA$11&gt;=$H48,EA$11&lt;=$I48),1,""))</f>
        <v/>
      </c>
      <c r="EB48" s="448" t="str">
        <f aca="false">IF($G48=0,IF(EB$11=$H48,"◆",""),IF(AND(EB$11&gt;=$H48,EB$11&lt;=$I48),1,""))</f>
        <v/>
      </c>
      <c r="EC48" s="448" t="str">
        <f aca="false">IF($G48=0,IF(EC$11=$H48,"◆",""),IF(AND(EC$11&gt;=$H48,EC$11&lt;=$I48),1,""))</f>
        <v/>
      </c>
      <c r="ED48" s="448" t="str">
        <f aca="false">IF($G48=0,IF(ED$11=$H48,"◆",""),IF(AND(ED$11&gt;=$H48,ED$11&lt;=$I48),1,""))</f>
        <v/>
      </c>
    </row>
    <row r="49" customFormat="false" ht="15" hidden="false" customHeight="true" outlineLevel="0" collapsed="false">
      <c r="A49" s="441" t="s">
        <v>2521</v>
      </c>
      <c r="B49" s="297" t="s">
        <v>2522</v>
      </c>
      <c r="C49" s="442" t="s">
        <v>2480</v>
      </c>
      <c r="D49" s="443" t="s">
        <v>2500</v>
      </c>
      <c r="E49" s="354" t="n">
        <f aca="false">FC_SUPUESTOS!$C$23</f>
        <v>10</v>
      </c>
      <c r="F49" s="352" t="n">
        <v>-4</v>
      </c>
      <c r="G49" s="352" t="n">
        <v>4</v>
      </c>
      <c r="H49" s="367" t="n">
        <f aca="false">MAX(1,ROUND(($E49-1)*$D$5,0)+1+$F49)</f>
        <v>36</v>
      </c>
      <c r="I49" s="367" t="n">
        <f aca="false">MAX($H49,$H49+$G49-1)</f>
        <v>39</v>
      </c>
      <c r="J49" s="444" t="n">
        <f aca="false">$D$4+($H49-1)*7</f>
        <v>46545</v>
      </c>
      <c r="K49" s="444" t="n">
        <f aca="false">$D$4+$I49*7-1</f>
        <v>46572</v>
      </c>
      <c r="L49" s="445" t="n">
        <f aca="false">ROUNDUP($H49/$D$5,0)</f>
        <v>9</v>
      </c>
      <c r="M49" s="446"/>
      <c r="N49" s="447" t="n">
        <v>0</v>
      </c>
      <c r="O49" s="448" t="str">
        <f aca="false">IF($G49=0,IF(O$11=$H49,"◆",""),IF(AND(O$11&gt;=$H49,O$11&lt;=$I49),1,""))</f>
        <v/>
      </c>
      <c r="P49" s="448" t="str">
        <f aca="false">IF($G49=0,IF(P$11=$H49,"◆",""),IF(AND(P$11&gt;=$H49,P$11&lt;=$I49),1,""))</f>
        <v/>
      </c>
      <c r="Q49" s="448" t="str">
        <f aca="false">IF($G49=0,IF(Q$11=$H49,"◆",""),IF(AND(Q$11&gt;=$H49,Q$11&lt;=$I49),1,""))</f>
        <v/>
      </c>
      <c r="R49" s="448" t="str">
        <f aca="false">IF($G49=0,IF(R$11=$H49,"◆",""),IF(AND(R$11&gt;=$H49,R$11&lt;=$I49),1,""))</f>
        <v/>
      </c>
      <c r="S49" s="448" t="str">
        <f aca="false">IF($G49=0,IF(S$11=$H49,"◆",""),IF(AND(S$11&gt;=$H49,S$11&lt;=$I49),1,""))</f>
        <v/>
      </c>
      <c r="T49" s="448" t="str">
        <f aca="false">IF($G49=0,IF(T$11=$H49,"◆",""),IF(AND(T$11&gt;=$H49,T$11&lt;=$I49),1,""))</f>
        <v/>
      </c>
      <c r="U49" s="448" t="str">
        <f aca="false">IF($G49=0,IF(U$11=$H49,"◆",""),IF(AND(U$11&gt;=$H49,U$11&lt;=$I49),1,""))</f>
        <v/>
      </c>
      <c r="V49" s="448" t="str">
        <f aca="false">IF($G49=0,IF(V$11=$H49,"◆",""),IF(AND(V$11&gt;=$H49,V$11&lt;=$I49),1,""))</f>
        <v/>
      </c>
      <c r="W49" s="448" t="str">
        <f aca="false">IF($G49=0,IF(W$11=$H49,"◆",""),IF(AND(W$11&gt;=$H49,W$11&lt;=$I49),1,""))</f>
        <v/>
      </c>
      <c r="X49" s="448" t="str">
        <f aca="false">IF($G49=0,IF(X$11=$H49,"◆",""),IF(AND(X$11&gt;=$H49,X$11&lt;=$I49),1,""))</f>
        <v/>
      </c>
      <c r="Y49" s="448" t="str">
        <f aca="false">IF($G49=0,IF(Y$11=$H49,"◆",""),IF(AND(Y$11&gt;=$H49,Y$11&lt;=$I49),1,""))</f>
        <v/>
      </c>
      <c r="Z49" s="448" t="str">
        <f aca="false">IF($G49=0,IF(Z$11=$H49,"◆",""),IF(AND(Z$11&gt;=$H49,Z$11&lt;=$I49),1,""))</f>
        <v/>
      </c>
      <c r="AA49" s="448" t="str">
        <f aca="false">IF($G49=0,IF(AA$11=$H49,"◆",""),IF(AND(AA$11&gt;=$H49,AA$11&lt;=$I49),1,""))</f>
        <v/>
      </c>
      <c r="AB49" s="448" t="str">
        <f aca="false">IF($G49=0,IF(AB$11=$H49,"◆",""),IF(AND(AB$11&gt;=$H49,AB$11&lt;=$I49),1,""))</f>
        <v/>
      </c>
      <c r="AC49" s="448" t="str">
        <f aca="false">IF($G49=0,IF(AC$11=$H49,"◆",""),IF(AND(AC$11&gt;=$H49,AC$11&lt;=$I49),1,""))</f>
        <v/>
      </c>
      <c r="AD49" s="448" t="str">
        <f aca="false">IF($G49=0,IF(AD$11=$H49,"◆",""),IF(AND(AD$11&gt;=$H49,AD$11&lt;=$I49),1,""))</f>
        <v/>
      </c>
      <c r="AE49" s="448" t="str">
        <f aca="false">IF($G49=0,IF(AE$11=$H49,"◆",""),IF(AND(AE$11&gt;=$H49,AE$11&lt;=$I49),1,""))</f>
        <v/>
      </c>
      <c r="AF49" s="448" t="str">
        <f aca="false">IF($G49=0,IF(AF$11=$H49,"◆",""),IF(AND(AF$11&gt;=$H49,AF$11&lt;=$I49),1,""))</f>
        <v/>
      </c>
      <c r="AG49" s="448" t="str">
        <f aca="false">IF($G49=0,IF(AG$11=$H49,"◆",""),IF(AND(AG$11&gt;=$H49,AG$11&lt;=$I49),1,""))</f>
        <v/>
      </c>
      <c r="AH49" s="448" t="str">
        <f aca="false">IF($G49=0,IF(AH$11=$H49,"◆",""),IF(AND(AH$11&gt;=$H49,AH$11&lt;=$I49),1,""))</f>
        <v/>
      </c>
      <c r="AI49" s="448" t="str">
        <f aca="false">IF($G49=0,IF(AI$11=$H49,"◆",""),IF(AND(AI$11&gt;=$H49,AI$11&lt;=$I49),1,""))</f>
        <v/>
      </c>
      <c r="AJ49" s="448" t="str">
        <f aca="false">IF($G49=0,IF(AJ$11=$H49,"◆",""),IF(AND(AJ$11&gt;=$H49,AJ$11&lt;=$I49),1,""))</f>
        <v/>
      </c>
      <c r="AK49" s="448" t="str">
        <f aca="false">IF($G49=0,IF(AK$11=$H49,"◆",""),IF(AND(AK$11&gt;=$H49,AK$11&lt;=$I49),1,""))</f>
        <v/>
      </c>
      <c r="AL49" s="448" t="str">
        <f aca="false">IF($G49=0,IF(AL$11=$H49,"◆",""),IF(AND(AL$11&gt;=$H49,AL$11&lt;=$I49),1,""))</f>
        <v/>
      </c>
      <c r="AM49" s="448" t="str">
        <f aca="false">IF($G49=0,IF(AM$11=$H49,"◆",""),IF(AND(AM$11&gt;=$H49,AM$11&lt;=$I49),1,""))</f>
        <v/>
      </c>
      <c r="AN49" s="448" t="str">
        <f aca="false">IF($G49=0,IF(AN$11=$H49,"◆",""),IF(AND(AN$11&gt;=$H49,AN$11&lt;=$I49),1,""))</f>
        <v/>
      </c>
      <c r="AO49" s="448" t="str">
        <f aca="false">IF($G49=0,IF(AO$11=$H49,"◆",""),IF(AND(AO$11&gt;=$H49,AO$11&lt;=$I49),1,""))</f>
        <v/>
      </c>
      <c r="AP49" s="448" t="str">
        <f aca="false">IF($G49=0,IF(AP$11=$H49,"◆",""),IF(AND(AP$11&gt;=$H49,AP$11&lt;=$I49),1,""))</f>
        <v/>
      </c>
      <c r="AQ49" s="448" t="str">
        <f aca="false">IF($G49=0,IF(AQ$11=$H49,"◆",""),IF(AND(AQ$11&gt;=$H49,AQ$11&lt;=$I49),1,""))</f>
        <v/>
      </c>
      <c r="AR49" s="448" t="str">
        <f aca="false">IF($G49=0,IF(AR$11=$H49,"◆",""),IF(AND(AR$11&gt;=$H49,AR$11&lt;=$I49),1,""))</f>
        <v/>
      </c>
      <c r="AS49" s="448" t="str">
        <f aca="false">IF($G49=0,IF(AS$11=$H49,"◆",""),IF(AND(AS$11&gt;=$H49,AS$11&lt;=$I49),1,""))</f>
        <v/>
      </c>
      <c r="AT49" s="448" t="str">
        <f aca="false">IF($G49=0,IF(AT$11=$H49,"◆",""),IF(AND(AT$11&gt;=$H49,AT$11&lt;=$I49),1,""))</f>
        <v/>
      </c>
      <c r="AU49" s="448" t="str">
        <f aca="false">IF($G49=0,IF(AU$11=$H49,"◆",""),IF(AND(AU$11&gt;=$H49,AU$11&lt;=$I49),1,""))</f>
        <v/>
      </c>
      <c r="AV49" s="448" t="str">
        <f aca="false">IF($G49=0,IF(AV$11=$H49,"◆",""),IF(AND(AV$11&gt;=$H49,AV$11&lt;=$I49),1,""))</f>
        <v/>
      </c>
      <c r="AW49" s="448" t="str">
        <f aca="false">IF($G49=0,IF(AW$11=$H49,"◆",""),IF(AND(AW$11&gt;=$H49,AW$11&lt;=$I49),1,""))</f>
        <v/>
      </c>
      <c r="AX49" s="448" t="n">
        <f aca="false">IF($G49=0,IF(AX$11=$H49,"◆",""),IF(AND(AX$11&gt;=$H49,AX$11&lt;=$I49),1,""))</f>
        <v>1</v>
      </c>
      <c r="AY49" s="448" t="n">
        <f aca="false">IF($G49=0,IF(AY$11=$H49,"◆",""),IF(AND(AY$11&gt;=$H49,AY$11&lt;=$I49),1,""))</f>
        <v>1</v>
      </c>
      <c r="AZ49" s="448" t="n">
        <f aca="false">IF($G49=0,IF(AZ$11=$H49,"◆",""),IF(AND(AZ$11&gt;=$H49,AZ$11&lt;=$I49),1,""))</f>
        <v>1</v>
      </c>
      <c r="BA49" s="448" t="n">
        <f aca="false">IF($G49=0,IF(BA$11=$H49,"◆",""),IF(AND(BA$11&gt;=$H49,BA$11&lt;=$I49),1,""))</f>
        <v>1</v>
      </c>
      <c r="BB49" s="448" t="str">
        <f aca="false">IF($G49=0,IF(BB$11=$H49,"◆",""),IF(AND(BB$11&gt;=$H49,BB$11&lt;=$I49),1,""))</f>
        <v/>
      </c>
      <c r="BC49" s="448" t="str">
        <f aca="false">IF($G49=0,IF(BC$11=$H49,"◆",""),IF(AND(BC$11&gt;=$H49,BC$11&lt;=$I49),1,""))</f>
        <v/>
      </c>
      <c r="BD49" s="448" t="str">
        <f aca="false">IF($G49=0,IF(BD$11=$H49,"◆",""),IF(AND(BD$11&gt;=$H49,BD$11&lt;=$I49),1,""))</f>
        <v/>
      </c>
      <c r="BE49" s="448" t="str">
        <f aca="false">IF($G49=0,IF(BE$11=$H49,"◆",""),IF(AND(BE$11&gt;=$H49,BE$11&lt;=$I49),1,""))</f>
        <v/>
      </c>
      <c r="BF49" s="448" t="str">
        <f aca="false">IF($G49=0,IF(BF$11=$H49,"◆",""),IF(AND(BF$11&gt;=$H49,BF$11&lt;=$I49),1,""))</f>
        <v/>
      </c>
      <c r="BG49" s="448" t="str">
        <f aca="false">IF($G49=0,IF(BG$11=$H49,"◆",""),IF(AND(BG$11&gt;=$H49,BG$11&lt;=$I49),1,""))</f>
        <v/>
      </c>
      <c r="BH49" s="448" t="str">
        <f aca="false">IF($G49=0,IF(BH$11=$H49,"◆",""),IF(AND(BH$11&gt;=$H49,BH$11&lt;=$I49),1,""))</f>
        <v/>
      </c>
      <c r="BI49" s="448" t="str">
        <f aca="false">IF($G49=0,IF(BI$11=$H49,"◆",""),IF(AND(BI$11&gt;=$H49,BI$11&lt;=$I49),1,""))</f>
        <v/>
      </c>
      <c r="BJ49" s="448" t="str">
        <f aca="false">IF($G49=0,IF(BJ$11=$H49,"◆",""),IF(AND(BJ$11&gt;=$H49,BJ$11&lt;=$I49),1,""))</f>
        <v/>
      </c>
      <c r="BK49" s="448" t="str">
        <f aca="false">IF($G49=0,IF(BK$11=$H49,"◆",""),IF(AND(BK$11&gt;=$H49,BK$11&lt;=$I49),1,""))</f>
        <v/>
      </c>
      <c r="BL49" s="448" t="str">
        <f aca="false">IF($G49=0,IF(BL$11=$H49,"◆",""),IF(AND(BL$11&gt;=$H49,BL$11&lt;=$I49),1,""))</f>
        <v/>
      </c>
      <c r="BM49" s="448" t="str">
        <f aca="false">IF($G49=0,IF(BM$11=$H49,"◆",""),IF(AND(BM$11&gt;=$H49,BM$11&lt;=$I49),1,""))</f>
        <v/>
      </c>
      <c r="BN49" s="448" t="str">
        <f aca="false">IF($G49=0,IF(BN$11=$H49,"◆",""),IF(AND(BN$11&gt;=$H49,BN$11&lt;=$I49),1,""))</f>
        <v/>
      </c>
      <c r="BO49" s="448" t="str">
        <f aca="false">IF($G49=0,IF(BO$11=$H49,"◆",""),IF(AND(BO$11&gt;=$H49,BO$11&lt;=$I49),1,""))</f>
        <v/>
      </c>
      <c r="BP49" s="448" t="str">
        <f aca="false">IF($G49=0,IF(BP$11=$H49,"◆",""),IF(AND(BP$11&gt;=$H49,BP$11&lt;=$I49),1,""))</f>
        <v/>
      </c>
      <c r="BQ49" s="448" t="str">
        <f aca="false">IF($G49=0,IF(BQ$11=$H49,"◆",""),IF(AND(BQ$11&gt;=$H49,BQ$11&lt;=$I49),1,""))</f>
        <v/>
      </c>
      <c r="BR49" s="448" t="str">
        <f aca="false">IF($G49=0,IF(BR$11=$H49,"◆",""),IF(AND(BR$11&gt;=$H49,BR$11&lt;=$I49),1,""))</f>
        <v/>
      </c>
      <c r="BS49" s="448" t="str">
        <f aca="false">IF($G49=0,IF(BS$11=$H49,"◆",""),IF(AND(BS$11&gt;=$H49,BS$11&lt;=$I49),1,""))</f>
        <v/>
      </c>
      <c r="BT49" s="448" t="str">
        <f aca="false">IF($G49=0,IF(BT$11=$H49,"◆",""),IF(AND(BT$11&gt;=$H49,BT$11&lt;=$I49),1,""))</f>
        <v/>
      </c>
      <c r="BU49" s="448" t="str">
        <f aca="false">IF($G49=0,IF(BU$11=$H49,"◆",""),IF(AND(BU$11&gt;=$H49,BU$11&lt;=$I49),1,""))</f>
        <v/>
      </c>
      <c r="BV49" s="448" t="str">
        <f aca="false">IF($G49=0,IF(BV$11=$H49,"◆",""),IF(AND(BV$11&gt;=$H49,BV$11&lt;=$I49),1,""))</f>
        <v/>
      </c>
      <c r="BW49" s="448" t="str">
        <f aca="false">IF($G49=0,IF(BW$11=$H49,"◆",""),IF(AND(BW$11&gt;=$H49,BW$11&lt;=$I49),1,""))</f>
        <v/>
      </c>
      <c r="BX49" s="448" t="str">
        <f aca="false">IF($G49=0,IF(BX$11=$H49,"◆",""),IF(AND(BX$11&gt;=$H49,BX$11&lt;=$I49),1,""))</f>
        <v/>
      </c>
      <c r="BY49" s="448" t="str">
        <f aca="false">IF($G49=0,IF(BY$11=$H49,"◆",""),IF(AND(BY$11&gt;=$H49,BY$11&lt;=$I49),1,""))</f>
        <v/>
      </c>
      <c r="BZ49" s="448" t="str">
        <f aca="false">IF($G49=0,IF(BZ$11=$H49,"◆",""),IF(AND(BZ$11&gt;=$H49,BZ$11&lt;=$I49),1,""))</f>
        <v/>
      </c>
      <c r="CA49" s="448" t="str">
        <f aca="false">IF($G49=0,IF(CA$11=$H49,"◆",""),IF(AND(CA$11&gt;=$H49,CA$11&lt;=$I49),1,""))</f>
        <v/>
      </c>
      <c r="CB49" s="448" t="str">
        <f aca="false">IF($G49=0,IF(CB$11=$H49,"◆",""),IF(AND(CB$11&gt;=$H49,CB$11&lt;=$I49),1,""))</f>
        <v/>
      </c>
      <c r="CC49" s="448" t="str">
        <f aca="false">IF($G49=0,IF(CC$11=$H49,"◆",""),IF(AND(CC$11&gt;=$H49,CC$11&lt;=$I49),1,""))</f>
        <v/>
      </c>
      <c r="CD49" s="448" t="str">
        <f aca="false">IF($G49=0,IF(CD$11=$H49,"◆",""),IF(AND(CD$11&gt;=$H49,CD$11&lt;=$I49),1,""))</f>
        <v/>
      </c>
      <c r="CE49" s="448" t="str">
        <f aca="false">IF($G49=0,IF(CE$11=$H49,"◆",""),IF(AND(CE$11&gt;=$H49,CE$11&lt;=$I49),1,""))</f>
        <v/>
      </c>
      <c r="CF49" s="448" t="str">
        <f aca="false">IF($G49=0,IF(CF$11=$H49,"◆",""),IF(AND(CF$11&gt;=$H49,CF$11&lt;=$I49),1,""))</f>
        <v/>
      </c>
      <c r="CG49" s="448" t="str">
        <f aca="false">IF($G49=0,IF(CG$11=$H49,"◆",""),IF(AND(CG$11&gt;=$H49,CG$11&lt;=$I49),1,""))</f>
        <v/>
      </c>
      <c r="CH49" s="448" t="str">
        <f aca="false">IF($G49=0,IF(CH$11=$H49,"◆",""),IF(AND(CH$11&gt;=$H49,CH$11&lt;=$I49),1,""))</f>
        <v/>
      </c>
      <c r="CI49" s="448" t="str">
        <f aca="false">IF($G49=0,IF(CI$11=$H49,"◆",""),IF(AND(CI$11&gt;=$H49,CI$11&lt;=$I49),1,""))</f>
        <v/>
      </c>
      <c r="CJ49" s="448" t="str">
        <f aca="false">IF($G49=0,IF(CJ$11=$H49,"◆",""),IF(AND(CJ$11&gt;=$H49,CJ$11&lt;=$I49),1,""))</f>
        <v/>
      </c>
      <c r="CK49" s="448" t="str">
        <f aca="false">IF($G49=0,IF(CK$11=$H49,"◆",""),IF(AND(CK$11&gt;=$H49,CK$11&lt;=$I49),1,""))</f>
        <v/>
      </c>
      <c r="CL49" s="448" t="str">
        <f aca="false">IF($G49=0,IF(CL$11=$H49,"◆",""),IF(AND(CL$11&gt;=$H49,CL$11&lt;=$I49),1,""))</f>
        <v/>
      </c>
      <c r="CM49" s="448" t="str">
        <f aca="false">IF($G49=0,IF(CM$11=$H49,"◆",""),IF(AND(CM$11&gt;=$H49,CM$11&lt;=$I49),1,""))</f>
        <v/>
      </c>
      <c r="CN49" s="448" t="str">
        <f aca="false">IF($G49=0,IF(CN$11=$H49,"◆",""),IF(AND(CN$11&gt;=$H49,CN$11&lt;=$I49),1,""))</f>
        <v/>
      </c>
      <c r="CO49" s="448" t="str">
        <f aca="false">IF($G49=0,IF(CO$11=$H49,"◆",""),IF(AND(CO$11&gt;=$H49,CO$11&lt;=$I49),1,""))</f>
        <v/>
      </c>
      <c r="CP49" s="448" t="str">
        <f aca="false">IF($G49=0,IF(CP$11=$H49,"◆",""),IF(AND(CP$11&gt;=$H49,CP$11&lt;=$I49),1,""))</f>
        <v/>
      </c>
      <c r="CQ49" s="448" t="str">
        <f aca="false">IF($G49=0,IF(CQ$11=$H49,"◆",""),IF(AND(CQ$11&gt;=$H49,CQ$11&lt;=$I49),1,""))</f>
        <v/>
      </c>
      <c r="CR49" s="448" t="str">
        <f aca="false">IF($G49=0,IF(CR$11=$H49,"◆",""),IF(AND(CR$11&gt;=$H49,CR$11&lt;=$I49),1,""))</f>
        <v/>
      </c>
      <c r="CS49" s="448" t="str">
        <f aca="false">IF($G49=0,IF(CS$11=$H49,"◆",""),IF(AND(CS$11&gt;=$H49,CS$11&lt;=$I49),1,""))</f>
        <v/>
      </c>
      <c r="CT49" s="448" t="str">
        <f aca="false">IF($G49=0,IF(CT$11=$H49,"◆",""),IF(AND(CT$11&gt;=$H49,CT$11&lt;=$I49),1,""))</f>
        <v/>
      </c>
      <c r="CU49" s="448" t="str">
        <f aca="false">IF($G49=0,IF(CU$11=$H49,"◆",""),IF(AND(CU$11&gt;=$H49,CU$11&lt;=$I49),1,""))</f>
        <v/>
      </c>
      <c r="CV49" s="448" t="str">
        <f aca="false">IF($G49=0,IF(CV$11=$H49,"◆",""),IF(AND(CV$11&gt;=$H49,CV$11&lt;=$I49),1,""))</f>
        <v/>
      </c>
      <c r="CW49" s="448" t="str">
        <f aca="false">IF($G49=0,IF(CW$11=$H49,"◆",""),IF(AND(CW$11&gt;=$H49,CW$11&lt;=$I49),1,""))</f>
        <v/>
      </c>
      <c r="CX49" s="448" t="str">
        <f aca="false">IF($G49=0,IF(CX$11=$H49,"◆",""),IF(AND(CX$11&gt;=$H49,CX$11&lt;=$I49),1,""))</f>
        <v/>
      </c>
      <c r="CY49" s="448" t="str">
        <f aca="false">IF($G49=0,IF(CY$11=$H49,"◆",""),IF(AND(CY$11&gt;=$H49,CY$11&lt;=$I49),1,""))</f>
        <v/>
      </c>
      <c r="CZ49" s="448" t="str">
        <f aca="false">IF($G49=0,IF(CZ$11=$H49,"◆",""),IF(AND(CZ$11&gt;=$H49,CZ$11&lt;=$I49),1,""))</f>
        <v/>
      </c>
      <c r="DA49" s="448" t="str">
        <f aca="false">IF($G49=0,IF(DA$11=$H49,"◆",""),IF(AND(DA$11&gt;=$H49,DA$11&lt;=$I49),1,""))</f>
        <v/>
      </c>
      <c r="DB49" s="448" t="str">
        <f aca="false">IF($G49=0,IF(DB$11=$H49,"◆",""),IF(AND(DB$11&gt;=$H49,DB$11&lt;=$I49),1,""))</f>
        <v/>
      </c>
      <c r="DC49" s="448" t="str">
        <f aca="false">IF($G49=0,IF(DC$11=$H49,"◆",""),IF(AND(DC$11&gt;=$H49,DC$11&lt;=$I49),1,""))</f>
        <v/>
      </c>
      <c r="DD49" s="448" t="str">
        <f aca="false">IF($G49=0,IF(DD$11=$H49,"◆",""),IF(AND(DD$11&gt;=$H49,DD$11&lt;=$I49),1,""))</f>
        <v/>
      </c>
      <c r="DE49" s="448" t="str">
        <f aca="false">IF($G49=0,IF(DE$11=$H49,"◆",""),IF(AND(DE$11&gt;=$H49,DE$11&lt;=$I49),1,""))</f>
        <v/>
      </c>
      <c r="DF49" s="448" t="str">
        <f aca="false">IF($G49=0,IF(DF$11=$H49,"◆",""),IF(AND(DF$11&gt;=$H49,DF$11&lt;=$I49),1,""))</f>
        <v/>
      </c>
      <c r="DG49" s="448" t="str">
        <f aca="false">IF($G49=0,IF(DG$11=$H49,"◆",""),IF(AND(DG$11&gt;=$H49,DG$11&lt;=$I49),1,""))</f>
        <v/>
      </c>
      <c r="DH49" s="448" t="str">
        <f aca="false">IF($G49=0,IF(DH$11=$H49,"◆",""),IF(AND(DH$11&gt;=$H49,DH$11&lt;=$I49),1,""))</f>
        <v/>
      </c>
      <c r="DI49" s="448" t="str">
        <f aca="false">IF($G49=0,IF(DI$11=$H49,"◆",""),IF(AND(DI$11&gt;=$H49,DI$11&lt;=$I49),1,""))</f>
        <v/>
      </c>
      <c r="DJ49" s="448" t="str">
        <f aca="false">IF($G49=0,IF(DJ$11=$H49,"◆",""),IF(AND(DJ$11&gt;=$H49,DJ$11&lt;=$I49),1,""))</f>
        <v/>
      </c>
      <c r="DK49" s="448" t="str">
        <f aca="false">IF($G49=0,IF(DK$11=$H49,"◆",""),IF(AND(DK$11&gt;=$H49,DK$11&lt;=$I49),1,""))</f>
        <v/>
      </c>
      <c r="DL49" s="448" t="str">
        <f aca="false">IF($G49=0,IF(DL$11=$H49,"◆",""),IF(AND(DL$11&gt;=$H49,DL$11&lt;=$I49),1,""))</f>
        <v/>
      </c>
      <c r="DM49" s="448" t="str">
        <f aca="false">IF($G49=0,IF(DM$11=$H49,"◆",""),IF(AND(DM$11&gt;=$H49,DM$11&lt;=$I49),1,""))</f>
        <v/>
      </c>
      <c r="DN49" s="448" t="str">
        <f aca="false">IF($G49=0,IF(DN$11=$H49,"◆",""),IF(AND(DN$11&gt;=$H49,DN$11&lt;=$I49),1,""))</f>
        <v/>
      </c>
      <c r="DO49" s="448" t="str">
        <f aca="false">IF($G49=0,IF(DO$11=$H49,"◆",""),IF(AND(DO$11&gt;=$H49,DO$11&lt;=$I49),1,""))</f>
        <v/>
      </c>
      <c r="DP49" s="448" t="str">
        <f aca="false">IF($G49=0,IF(DP$11=$H49,"◆",""),IF(AND(DP$11&gt;=$H49,DP$11&lt;=$I49),1,""))</f>
        <v/>
      </c>
      <c r="DQ49" s="448" t="str">
        <f aca="false">IF($G49=0,IF(DQ$11=$H49,"◆",""),IF(AND(DQ$11&gt;=$H49,DQ$11&lt;=$I49),1,""))</f>
        <v/>
      </c>
      <c r="DR49" s="448" t="str">
        <f aca="false">IF($G49=0,IF(DR$11=$H49,"◆",""),IF(AND(DR$11&gt;=$H49,DR$11&lt;=$I49),1,""))</f>
        <v/>
      </c>
      <c r="DS49" s="448" t="str">
        <f aca="false">IF($G49=0,IF(DS$11=$H49,"◆",""),IF(AND(DS$11&gt;=$H49,DS$11&lt;=$I49),1,""))</f>
        <v/>
      </c>
      <c r="DT49" s="448" t="str">
        <f aca="false">IF($G49=0,IF(DT$11=$H49,"◆",""),IF(AND(DT$11&gt;=$H49,DT$11&lt;=$I49),1,""))</f>
        <v/>
      </c>
      <c r="DU49" s="448" t="str">
        <f aca="false">IF($G49=0,IF(DU$11=$H49,"◆",""),IF(AND(DU$11&gt;=$H49,DU$11&lt;=$I49),1,""))</f>
        <v/>
      </c>
      <c r="DV49" s="448" t="str">
        <f aca="false">IF($G49=0,IF(DV$11=$H49,"◆",""),IF(AND(DV$11&gt;=$H49,DV$11&lt;=$I49),1,""))</f>
        <v/>
      </c>
      <c r="DW49" s="448" t="str">
        <f aca="false">IF($G49=0,IF(DW$11=$H49,"◆",""),IF(AND(DW$11&gt;=$H49,DW$11&lt;=$I49),1,""))</f>
        <v/>
      </c>
      <c r="DX49" s="448" t="str">
        <f aca="false">IF($G49=0,IF(DX$11=$H49,"◆",""),IF(AND(DX$11&gt;=$H49,DX$11&lt;=$I49),1,""))</f>
        <v/>
      </c>
      <c r="DY49" s="448" t="str">
        <f aca="false">IF($G49=0,IF(DY$11=$H49,"◆",""),IF(AND(DY$11&gt;=$H49,DY$11&lt;=$I49),1,""))</f>
        <v/>
      </c>
      <c r="DZ49" s="448" t="str">
        <f aca="false">IF($G49=0,IF(DZ$11=$H49,"◆",""),IF(AND(DZ$11&gt;=$H49,DZ$11&lt;=$I49),1,""))</f>
        <v/>
      </c>
      <c r="EA49" s="448" t="str">
        <f aca="false">IF($G49=0,IF(EA$11=$H49,"◆",""),IF(AND(EA$11&gt;=$H49,EA$11&lt;=$I49),1,""))</f>
        <v/>
      </c>
      <c r="EB49" s="448" t="str">
        <f aca="false">IF($G49=0,IF(EB$11=$H49,"◆",""),IF(AND(EB$11&gt;=$H49,EB$11&lt;=$I49),1,""))</f>
        <v/>
      </c>
      <c r="EC49" s="448" t="str">
        <f aca="false">IF($G49=0,IF(EC$11=$H49,"◆",""),IF(AND(EC$11&gt;=$H49,EC$11&lt;=$I49),1,""))</f>
        <v/>
      </c>
      <c r="ED49" s="448" t="str">
        <f aca="false">IF($G49=0,IF(ED$11=$H49,"◆",""),IF(AND(ED$11&gt;=$H49,ED$11&lt;=$I49),1,""))</f>
        <v/>
      </c>
    </row>
    <row r="50" customFormat="false" ht="15" hidden="false" customHeight="true" outlineLevel="0" collapsed="false">
      <c r="A50" s="450" t="s">
        <v>2523</v>
      </c>
      <c r="B50" s="421" t="s">
        <v>2524</v>
      </c>
      <c r="C50" s="442" t="s">
        <v>2480</v>
      </c>
      <c r="D50" s="443" t="s">
        <v>2500</v>
      </c>
      <c r="E50" s="354" t="n">
        <f aca="false">FC_SUPUESTOS!$C$23</f>
        <v>10</v>
      </c>
      <c r="F50" s="352" t="n">
        <v>0</v>
      </c>
      <c r="G50" s="352" t="n">
        <v>0</v>
      </c>
      <c r="H50" s="358" t="n">
        <f aca="false">MAX(1,ROUND(($E50-1)*$D$5,0)+1+$F50)</f>
        <v>40</v>
      </c>
      <c r="I50" s="358" t="n">
        <f aca="false">MAX($H50,$H50+$G50-1)</f>
        <v>40</v>
      </c>
      <c r="J50" s="451" t="n">
        <f aca="false">$D$4+($H50-1)*7</f>
        <v>46573</v>
      </c>
      <c r="K50" s="451" t="n">
        <f aca="false">$D$4+$I50*7-1</f>
        <v>46579</v>
      </c>
      <c r="L50" s="445" t="n">
        <f aca="false">ROUNDUP($H50/$D$5,0)</f>
        <v>10</v>
      </c>
      <c r="M50" s="446" t="s">
        <v>2453</v>
      </c>
      <c r="N50" s="447" t="n">
        <v>0</v>
      </c>
      <c r="O50" s="448" t="str">
        <f aca="false">IF($G50=0,IF(O$11=$H50,"◆",""),IF(AND(O$11&gt;=$H50,O$11&lt;=$I50),1,""))</f>
        <v/>
      </c>
      <c r="P50" s="448" t="str">
        <f aca="false">IF($G50=0,IF(P$11=$H50,"◆",""),IF(AND(P$11&gt;=$H50,P$11&lt;=$I50),1,""))</f>
        <v/>
      </c>
      <c r="Q50" s="448" t="str">
        <f aca="false">IF($G50=0,IF(Q$11=$H50,"◆",""),IF(AND(Q$11&gt;=$H50,Q$11&lt;=$I50),1,""))</f>
        <v/>
      </c>
      <c r="R50" s="448" t="str">
        <f aca="false">IF($G50=0,IF(R$11=$H50,"◆",""),IF(AND(R$11&gt;=$H50,R$11&lt;=$I50),1,""))</f>
        <v/>
      </c>
      <c r="S50" s="448" t="str">
        <f aca="false">IF($G50=0,IF(S$11=$H50,"◆",""),IF(AND(S$11&gt;=$H50,S$11&lt;=$I50),1,""))</f>
        <v/>
      </c>
      <c r="T50" s="448" t="str">
        <f aca="false">IF($G50=0,IF(T$11=$H50,"◆",""),IF(AND(T$11&gt;=$H50,T$11&lt;=$I50),1,""))</f>
        <v/>
      </c>
      <c r="U50" s="448" t="str">
        <f aca="false">IF($G50=0,IF(U$11=$H50,"◆",""),IF(AND(U$11&gt;=$H50,U$11&lt;=$I50),1,""))</f>
        <v/>
      </c>
      <c r="V50" s="448" t="str">
        <f aca="false">IF($G50=0,IF(V$11=$H50,"◆",""),IF(AND(V$11&gt;=$H50,V$11&lt;=$I50),1,""))</f>
        <v/>
      </c>
      <c r="W50" s="448" t="str">
        <f aca="false">IF($G50=0,IF(W$11=$H50,"◆",""),IF(AND(W$11&gt;=$H50,W$11&lt;=$I50),1,""))</f>
        <v/>
      </c>
      <c r="X50" s="448" t="str">
        <f aca="false">IF($G50=0,IF(X$11=$H50,"◆",""),IF(AND(X$11&gt;=$H50,X$11&lt;=$I50),1,""))</f>
        <v/>
      </c>
      <c r="Y50" s="448" t="str">
        <f aca="false">IF($G50=0,IF(Y$11=$H50,"◆",""),IF(AND(Y$11&gt;=$H50,Y$11&lt;=$I50),1,""))</f>
        <v/>
      </c>
      <c r="Z50" s="448" t="str">
        <f aca="false">IF($G50=0,IF(Z$11=$H50,"◆",""),IF(AND(Z$11&gt;=$H50,Z$11&lt;=$I50),1,""))</f>
        <v/>
      </c>
      <c r="AA50" s="448" t="str">
        <f aca="false">IF($G50=0,IF(AA$11=$H50,"◆",""),IF(AND(AA$11&gt;=$H50,AA$11&lt;=$I50),1,""))</f>
        <v/>
      </c>
      <c r="AB50" s="448" t="str">
        <f aca="false">IF($G50=0,IF(AB$11=$H50,"◆",""),IF(AND(AB$11&gt;=$H50,AB$11&lt;=$I50),1,""))</f>
        <v/>
      </c>
      <c r="AC50" s="448" t="str">
        <f aca="false">IF($G50=0,IF(AC$11=$H50,"◆",""),IF(AND(AC$11&gt;=$H50,AC$11&lt;=$I50),1,""))</f>
        <v/>
      </c>
      <c r="AD50" s="448" t="str">
        <f aca="false">IF($G50=0,IF(AD$11=$H50,"◆",""),IF(AND(AD$11&gt;=$H50,AD$11&lt;=$I50),1,""))</f>
        <v/>
      </c>
      <c r="AE50" s="448" t="str">
        <f aca="false">IF($G50=0,IF(AE$11=$H50,"◆",""),IF(AND(AE$11&gt;=$H50,AE$11&lt;=$I50),1,""))</f>
        <v/>
      </c>
      <c r="AF50" s="448" t="str">
        <f aca="false">IF($G50=0,IF(AF$11=$H50,"◆",""),IF(AND(AF$11&gt;=$H50,AF$11&lt;=$I50),1,""))</f>
        <v/>
      </c>
      <c r="AG50" s="448" t="str">
        <f aca="false">IF($G50=0,IF(AG$11=$H50,"◆",""),IF(AND(AG$11&gt;=$H50,AG$11&lt;=$I50),1,""))</f>
        <v/>
      </c>
      <c r="AH50" s="448" t="str">
        <f aca="false">IF($G50=0,IF(AH$11=$H50,"◆",""),IF(AND(AH$11&gt;=$H50,AH$11&lt;=$I50),1,""))</f>
        <v/>
      </c>
      <c r="AI50" s="448" t="str">
        <f aca="false">IF($G50=0,IF(AI$11=$H50,"◆",""),IF(AND(AI$11&gt;=$H50,AI$11&lt;=$I50),1,""))</f>
        <v/>
      </c>
      <c r="AJ50" s="448" t="str">
        <f aca="false">IF($G50=0,IF(AJ$11=$H50,"◆",""),IF(AND(AJ$11&gt;=$H50,AJ$11&lt;=$I50),1,""))</f>
        <v/>
      </c>
      <c r="AK50" s="448" t="str">
        <f aca="false">IF($G50=0,IF(AK$11=$H50,"◆",""),IF(AND(AK$11&gt;=$H50,AK$11&lt;=$I50),1,""))</f>
        <v/>
      </c>
      <c r="AL50" s="448" t="str">
        <f aca="false">IF($G50=0,IF(AL$11=$H50,"◆",""),IF(AND(AL$11&gt;=$H50,AL$11&lt;=$I50),1,""))</f>
        <v/>
      </c>
      <c r="AM50" s="448" t="str">
        <f aca="false">IF($G50=0,IF(AM$11=$H50,"◆",""),IF(AND(AM$11&gt;=$H50,AM$11&lt;=$I50),1,""))</f>
        <v/>
      </c>
      <c r="AN50" s="448" t="str">
        <f aca="false">IF($G50=0,IF(AN$11=$H50,"◆",""),IF(AND(AN$11&gt;=$H50,AN$11&lt;=$I50),1,""))</f>
        <v/>
      </c>
      <c r="AO50" s="448" t="str">
        <f aca="false">IF($G50=0,IF(AO$11=$H50,"◆",""),IF(AND(AO$11&gt;=$H50,AO$11&lt;=$I50),1,""))</f>
        <v/>
      </c>
      <c r="AP50" s="448" t="str">
        <f aca="false">IF($G50=0,IF(AP$11=$H50,"◆",""),IF(AND(AP$11&gt;=$H50,AP$11&lt;=$I50),1,""))</f>
        <v/>
      </c>
      <c r="AQ50" s="448" t="str">
        <f aca="false">IF($G50=0,IF(AQ$11=$H50,"◆",""),IF(AND(AQ$11&gt;=$H50,AQ$11&lt;=$I50),1,""))</f>
        <v/>
      </c>
      <c r="AR50" s="448" t="str">
        <f aca="false">IF($G50=0,IF(AR$11=$H50,"◆",""),IF(AND(AR$11&gt;=$H50,AR$11&lt;=$I50),1,""))</f>
        <v/>
      </c>
      <c r="AS50" s="448" t="str">
        <f aca="false">IF($G50=0,IF(AS$11=$H50,"◆",""),IF(AND(AS$11&gt;=$H50,AS$11&lt;=$I50),1,""))</f>
        <v/>
      </c>
      <c r="AT50" s="448" t="str">
        <f aca="false">IF($G50=0,IF(AT$11=$H50,"◆",""),IF(AND(AT$11&gt;=$H50,AT$11&lt;=$I50),1,""))</f>
        <v/>
      </c>
      <c r="AU50" s="448" t="str">
        <f aca="false">IF($G50=0,IF(AU$11=$H50,"◆",""),IF(AND(AU$11&gt;=$H50,AU$11&lt;=$I50),1,""))</f>
        <v/>
      </c>
      <c r="AV50" s="448" t="str">
        <f aca="false">IF($G50=0,IF(AV$11=$H50,"◆",""),IF(AND(AV$11&gt;=$H50,AV$11&lt;=$I50),1,""))</f>
        <v/>
      </c>
      <c r="AW50" s="448" t="str">
        <f aca="false">IF($G50=0,IF(AW$11=$H50,"◆",""),IF(AND(AW$11&gt;=$H50,AW$11&lt;=$I50),1,""))</f>
        <v/>
      </c>
      <c r="AX50" s="448" t="str">
        <f aca="false">IF($G50=0,IF(AX$11=$H50,"◆",""),IF(AND(AX$11&gt;=$H50,AX$11&lt;=$I50),1,""))</f>
        <v/>
      </c>
      <c r="AY50" s="448" t="str">
        <f aca="false">IF($G50=0,IF(AY$11=$H50,"◆",""),IF(AND(AY$11&gt;=$H50,AY$11&lt;=$I50),1,""))</f>
        <v/>
      </c>
      <c r="AZ50" s="448" t="str">
        <f aca="false">IF($G50=0,IF(AZ$11=$H50,"◆",""),IF(AND(AZ$11&gt;=$H50,AZ$11&lt;=$I50),1,""))</f>
        <v/>
      </c>
      <c r="BA50" s="448" t="str">
        <f aca="false">IF($G50=0,IF(BA$11=$H50,"◆",""),IF(AND(BA$11&gt;=$H50,BA$11&lt;=$I50),1,""))</f>
        <v/>
      </c>
      <c r="BB50" s="448" t="str">
        <f aca="false">IF($G50=0,IF(BB$11=$H50,"◆",""),IF(AND(BB$11&gt;=$H50,BB$11&lt;=$I50),1,""))</f>
        <v>◆</v>
      </c>
      <c r="BC50" s="448" t="str">
        <f aca="false">IF($G50=0,IF(BC$11=$H50,"◆",""),IF(AND(BC$11&gt;=$H50,BC$11&lt;=$I50),1,""))</f>
        <v/>
      </c>
      <c r="BD50" s="448" t="str">
        <f aca="false">IF($G50=0,IF(BD$11=$H50,"◆",""),IF(AND(BD$11&gt;=$H50,BD$11&lt;=$I50),1,""))</f>
        <v/>
      </c>
      <c r="BE50" s="448" t="str">
        <f aca="false">IF($G50=0,IF(BE$11=$H50,"◆",""),IF(AND(BE$11&gt;=$H50,BE$11&lt;=$I50),1,""))</f>
        <v/>
      </c>
      <c r="BF50" s="448" t="str">
        <f aca="false">IF($G50=0,IF(BF$11=$H50,"◆",""),IF(AND(BF$11&gt;=$H50,BF$11&lt;=$I50),1,""))</f>
        <v/>
      </c>
      <c r="BG50" s="448" t="str">
        <f aca="false">IF($G50=0,IF(BG$11=$H50,"◆",""),IF(AND(BG$11&gt;=$H50,BG$11&lt;=$I50),1,""))</f>
        <v/>
      </c>
      <c r="BH50" s="448" t="str">
        <f aca="false">IF($G50=0,IF(BH$11=$H50,"◆",""),IF(AND(BH$11&gt;=$H50,BH$11&lt;=$I50),1,""))</f>
        <v/>
      </c>
      <c r="BI50" s="448" t="str">
        <f aca="false">IF($G50=0,IF(BI$11=$H50,"◆",""),IF(AND(BI$11&gt;=$H50,BI$11&lt;=$I50),1,""))</f>
        <v/>
      </c>
      <c r="BJ50" s="448" t="str">
        <f aca="false">IF($G50=0,IF(BJ$11=$H50,"◆",""),IF(AND(BJ$11&gt;=$H50,BJ$11&lt;=$I50),1,""))</f>
        <v/>
      </c>
      <c r="BK50" s="448" t="str">
        <f aca="false">IF($G50=0,IF(BK$11=$H50,"◆",""),IF(AND(BK$11&gt;=$H50,BK$11&lt;=$I50),1,""))</f>
        <v/>
      </c>
      <c r="BL50" s="448" t="str">
        <f aca="false">IF($G50=0,IF(BL$11=$H50,"◆",""),IF(AND(BL$11&gt;=$H50,BL$11&lt;=$I50),1,""))</f>
        <v/>
      </c>
      <c r="BM50" s="448" t="str">
        <f aca="false">IF($G50=0,IF(BM$11=$H50,"◆",""),IF(AND(BM$11&gt;=$H50,BM$11&lt;=$I50),1,""))</f>
        <v/>
      </c>
      <c r="BN50" s="448" t="str">
        <f aca="false">IF($G50=0,IF(BN$11=$H50,"◆",""),IF(AND(BN$11&gt;=$H50,BN$11&lt;=$I50),1,""))</f>
        <v/>
      </c>
      <c r="BO50" s="448" t="str">
        <f aca="false">IF($G50=0,IF(BO$11=$H50,"◆",""),IF(AND(BO$11&gt;=$H50,BO$11&lt;=$I50),1,""))</f>
        <v/>
      </c>
      <c r="BP50" s="448" t="str">
        <f aca="false">IF($G50=0,IF(BP$11=$H50,"◆",""),IF(AND(BP$11&gt;=$H50,BP$11&lt;=$I50),1,""))</f>
        <v/>
      </c>
      <c r="BQ50" s="448" t="str">
        <f aca="false">IF($G50=0,IF(BQ$11=$H50,"◆",""),IF(AND(BQ$11&gt;=$H50,BQ$11&lt;=$I50),1,""))</f>
        <v/>
      </c>
      <c r="BR50" s="448" t="str">
        <f aca="false">IF($G50=0,IF(BR$11=$H50,"◆",""),IF(AND(BR$11&gt;=$H50,BR$11&lt;=$I50),1,""))</f>
        <v/>
      </c>
      <c r="BS50" s="448" t="str">
        <f aca="false">IF($G50=0,IF(BS$11=$H50,"◆",""),IF(AND(BS$11&gt;=$H50,BS$11&lt;=$I50),1,""))</f>
        <v/>
      </c>
      <c r="BT50" s="448" t="str">
        <f aca="false">IF($G50=0,IF(BT$11=$H50,"◆",""),IF(AND(BT$11&gt;=$H50,BT$11&lt;=$I50),1,""))</f>
        <v/>
      </c>
      <c r="BU50" s="448" t="str">
        <f aca="false">IF($G50=0,IF(BU$11=$H50,"◆",""),IF(AND(BU$11&gt;=$H50,BU$11&lt;=$I50),1,""))</f>
        <v/>
      </c>
      <c r="BV50" s="448" t="str">
        <f aca="false">IF($G50=0,IF(BV$11=$H50,"◆",""),IF(AND(BV$11&gt;=$H50,BV$11&lt;=$I50),1,""))</f>
        <v/>
      </c>
      <c r="BW50" s="448" t="str">
        <f aca="false">IF($G50=0,IF(BW$11=$H50,"◆",""),IF(AND(BW$11&gt;=$H50,BW$11&lt;=$I50),1,""))</f>
        <v/>
      </c>
      <c r="BX50" s="448" t="str">
        <f aca="false">IF($G50=0,IF(BX$11=$H50,"◆",""),IF(AND(BX$11&gt;=$H50,BX$11&lt;=$I50),1,""))</f>
        <v/>
      </c>
      <c r="BY50" s="448" t="str">
        <f aca="false">IF($G50=0,IF(BY$11=$H50,"◆",""),IF(AND(BY$11&gt;=$H50,BY$11&lt;=$I50),1,""))</f>
        <v/>
      </c>
      <c r="BZ50" s="448" t="str">
        <f aca="false">IF($G50=0,IF(BZ$11=$H50,"◆",""),IF(AND(BZ$11&gt;=$H50,BZ$11&lt;=$I50),1,""))</f>
        <v/>
      </c>
      <c r="CA50" s="448" t="str">
        <f aca="false">IF($G50=0,IF(CA$11=$H50,"◆",""),IF(AND(CA$11&gt;=$H50,CA$11&lt;=$I50),1,""))</f>
        <v/>
      </c>
      <c r="CB50" s="448" t="str">
        <f aca="false">IF($G50=0,IF(CB$11=$H50,"◆",""),IF(AND(CB$11&gt;=$H50,CB$11&lt;=$I50),1,""))</f>
        <v/>
      </c>
      <c r="CC50" s="448" t="str">
        <f aca="false">IF($G50=0,IF(CC$11=$H50,"◆",""),IF(AND(CC$11&gt;=$H50,CC$11&lt;=$I50),1,""))</f>
        <v/>
      </c>
      <c r="CD50" s="448" t="str">
        <f aca="false">IF($G50=0,IF(CD$11=$H50,"◆",""),IF(AND(CD$11&gt;=$H50,CD$11&lt;=$I50),1,""))</f>
        <v/>
      </c>
      <c r="CE50" s="448" t="str">
        <f aca="false">IF($G50=0,IF(CE$11=$H50,"◆",""),IF(AND(CE$11&gt;=$H50,CE$11&lt;=$I50),1,""))</f>
        <v/>
      </c>
      <c r="CF50" s="448" t="str">
        <f aca="false">IF($G50=0,IF(CF$11=$H50,"◆",""),IF(AND(CF$11&gt;=$H50,CF$11&lt;=$I50),1,""))</f>
        <v/>
      </c>
      <c r="CG50" s="448" t="str">
        <f aca="false">IF($G50=0,IF(CG$11=$H50,"◆",""),IF(AND(CG$11&gt;=$H50,CG$11&lt;=$I50),1,""))</f>
        <v/>
      </c>
      <c r="CH50" s="448" t="str">
        <f aca="false">IF($G50=0,IF(CH$11=$H50,"◆",""),IF(AND(CH$11&gt;=$H50,CH$11&lt;=$I50),1,""))</f>
        <v/>
      </c>
      <c r="CI50" s="448" t="str">
        <f aca="false">IF($G50=0,IF(CI$11=$H50,"◆",""),IF(AND(CI$11&gt;=$H50,CI$11&lt;=$I50),1,""))</f>
        <v/>
      </c>
      <c r="CJ50" s="448" t="str">
        <f aca="false">IF($G50=0,IF(CJ$11=$H50,"◆",""),IF(AND(CJ$11&gt;=$H50,CJ$11&lt;=$I50),1,""))</f>
        <v/>
      </c>
      <c r="CK50" s="448" t="str">
        <f aca="false">IF($G50=0,IF(CK$11=$H50,"◆",""),IF(AND(CK$11&gt;=$H50,CK$11&lt;=$I50),1,""))</f>
        <v/>
      </c>
      <c r="CL50" s="448" t="str">
        <f aca="false">IF($G50=0,IF(CL$11=$H50,"◆",""),IF(AND(CL$11&gt;=$H50,CL$11&lt;=$I50),1,""))</f>
        <v/>
      </c>
      <c r="CM50" s="448" t="str">
        <f aca="false">IF($G50=0,IF(CM$11=$H50,"◆",""),IF(AND(CM$11&gt;=$H50,CM$11&lt;=$I50),1,""))</f>
        <v/>
      </c>
      <c r="CN50" s="448" t="str">
        <f aca="false">IF($G50=0,IF(CN$11=$H50,"◆",""),IF(AND(CN$11&gt;=$H50,CN$11&lt;=$I50),1,""))</f>
        <v/>
      </c>
      <c r="CO50" s="448" t="str">
        <f aca="false">IF($G50=0,IF(CO$11=$H50,"◆",""),IF(AND(CO$11&gt;=$H50,CO$11&lt;=$I50),1,""))</f>
        <v/>
      </c>
      <c r="CP50" s="448" t="str">
        <f aca="false">IF($G50=0,IF(CP$11=$H50,"◆",""),IF(AND(CP$11&gt;=$H50,CP$11&lt;=$I50),1,""))</f>
        <v/>
      </c>
      <c r="CQ50" s="448" t="str">
        <f aca="false">IF($G50=0,IF(CQ$11=$H50,"◆",""),IF(AND(CQ$11&gt;=$H50,CQ$11&lt;=$I50),1,""))</f>
        <v/>
      </c>
      <c r="CR50" s="448" t="str">
        <f aca="false">IF($G50=0,IF(CR$11=$H50,"◆",""),IF(AND(CR$11&gt;=$H50,CR$11&lt;=$I50),1,""))</f>
        <v/>
      </c>
      <c r="CS50" s="448" t="str">
        <f aca="false">IF($G50=0,IF(CS$11=$H50,"◆",""),IF(AND(CS$11&gt;=$H50,CS$11&lt;=$I50),1,""))</f>
        <v/>
      </c>
      <c r="CT50" s="448" t="str">
        <f aca="false">IF($G50=0,IF(CT$11=$H50,"◆",""),IF(AND(CT$11&gt;=$H50,CT$11&lt;=$I50),1,""))</f>
        <v/>
      </c>
      <c r="CU50" s="448" t="str">
        <f aca="false">IF($G50=0,IF(CU$11=$H50,"◆",""),IF(AND(CU$11&gt;=$H50,CU$11&lt;=$I50),1,""))</f>
        <v/>
      </c>
      <c r="CV50" s="448" t="str">
        <f aca="false">IF($G50=0,IF(CV$11=$H50,"◆",""),IF(AND(CV$11&gt;=$H50,CV$11&lt;=$I50),1,""))</f>
        <v/>
      </c>
      <c r="CW50" s="448" t="str">
        <f aca="false">IF($G50=0,IF(CW$11=$H50,"◆",""),IF(AND(CW$11&gt;=$H50,CW$11&lt;=$I50),1,""))</f>
        <v/>
      </c>
      <c r="CX50" s="448" t="str">
        <f aca="false">IF($G50=0,IF(CX$11=$H50,"◆",""),IF(AND(CX$11&gt;=$H50,CX$11&lt;=$I50),1,""))</f>
        <v/>
      </c>
      <c r="CY50" s="448" t="str">
        <f aca="false">IF($G50=0,IF(CY$11=$H50,"◆",""),IF(AND(CY$11&gt;=$H50,CY$11&lt;=$I50),1,""))</f>
        <v/>
      </c>
      <c r="CZ50" s="448" t="str">
        <f aca="false">IF($G50=0,IF(CZ$11=$H50,"◆",""),IF(AND(CZ$11&gt;=$H50,CZ$11&lt;=$I50),1,""))</f>
        <v/>
      </c>
      <c r="DA50" s="448" t="str">
        <f aca="false">IF($G50=0,IF(DA$11=$H50,"◆",""),IF(AND(DA$11&gt;=$H50,DA$11&lt;=$I50),1,""))</f>
        <v/>
      </c>
      <c r="DB50" s="448" t="str">
        <f aca="false">IF($G50=0,IF(DB$11=$H50,"◆",""),IF(AND(DB$11&gt;=$H50,DB$11&lt;=$I50),1,""))</f>
        <v/>
      </c>
      <c r="DC50" s="448" t="str">
        <f aca="false">IF($G50=0,IF(DC$11=$H50,"◆",""),IF(AND(DC$11&gt;=$H50,DC$11&lt;=$I50),1,""))</f>
        <v/>
      </c>
      <c r="DD50" s="448" t="str">
        <f aca="false">IF($G50=0,IF(DD$11=$H50,"◆",""),IF(AND(DD$11&gt;=$H50,DD$11&lt;=$I50),1,""))</f>
        <v/>
      </c>
      <c r="DE50" s="448" t="str">
        <f aca="false">IF($G50=0,IF(DE$11=$H50,"◆",""),IF(AND(DE$11&gt;=$H50,DE$11&lt;=$I50),1,""))</f>
        <v/>
      </c>
      <c r="DF50" s="448" t="str">
        <f aca="false">IF($G50=0,IF(DF$11=$H50,"◆",""),IF(AND(DF$11&gt;=$H50,DF$11&lt;=$I50),1,""))</f>
        <v/>
      </c>
      <c r="DG50" s="448" t="str">
        <f aca="false">IF($G50=0,IF(DG$11=$H50,"◆",""),IF(AND(DG$11&gt;=$H50,DG$11&lt;=$I50),1,""))</f>
        <v/>
      </c>
      <c r="DH50" s="448" t="str">
        <f aca="false">IF($G50=0,IF(DH$11=$H50,"◆",""),IF(AND(DH$11&gt;=$H50,DH$11&lt;=$I50),1,""))</f>
        <v/>
      </c>
      <c r="DI50" s="448" t="str">
        <f aca="false">IF($G50=0,IF(DI$11=$H50,"◆",""),IF(AND(DI$11&gt;=$H50,DI$11&lt;=$I50),1,""))</f>
        <v/>
      </c>
      <c r="DJ50" s="448" t="str">
        <f aca="false">IF($G50=0,IF(DJ$11=$H50,"◆",""),IF(AND(DJ$11&gt;=$H50,DJ$11&lt;=$I50),1,""))</f>
        <v/>
      </c>
      <c r="DK50" s="448" t="str">
        <f aca="false">IF($G50=0,IF(DK$11=$H50,"◆",""),IF(AND(DK$11&gt;=$H50,DK$11&lt;=$I50),1,""))</f>
        <v/>
      </c>
      <c r="DL50" s="448" t="str">
        <f aca="false">IF($G50=0,IF(DL$11=$H50,"◆",""),IF(AND(DL$11&gt;=$H50,DL$11&lt;=$I50),1,""))</f>
        <v/>
      </c>
      <c r="DM50" s="448" t="str">
        <f aca="false">IF($G50=0,IF(DM$11=$H50,"◆",""),IF(AND(DM$11&gt;=$H50,DM$11&lt;=$I50),1,""))</f>
        <v/>
      </c>
      <c r="DN50" s="448" t="str">
        <f aca="false">IF($G50=0,IF(DN$11=$H50,"◆",""),IF(AND(DN$11&gt;=$H50,DN$11&lt;=$I50),1,""))</f>
        <v/>
      </c>
      <c r="DO50" s="448" t="str">
        <f aca="false">IF($G50=0,IF(DO$11=$H50,"◆",""),IF(AND(DO$11&gt;=$H50,DO$11&lt;=$I50),1,""))</f>
        <v/>
      </c>
      <c r="DP50" s="448" t="str">
        <f aca="false">IF($G50=0,IF(DP$11=$H50,"◆",""),IF(AND(DP$11&gt;=$H50,DP$11&lt;=$I50),1,""))</f>
        <v/>
      </c>
      <c r="DQ50" s="448" t="str">
        <f aca="false">IF($G50=0,IF(DQ$11=$H50,"◆",""),IF(AND(DQ$11&gt;=$H50,DQ$11&lt;=$I50),1,""))</f>
        <v/>
      </c>
      <c r="DR50" s="448" t="str">
        <f aca="false">IF($G50=0,IF(DR$11=$H50,"◆",""),IF(AND(DR$11&gt;=$H50,DR$11&lt;=$I50),1,""))</f>
        <v/>
      </c>
      <c r="DS50" s="448" t="str">
        <f aca="false">IF($G50=0,IF(DS$11=$H50,"◆",""),IF(AND(DS$11&gt;=$H50,DS$11&lt;=$I50),1,""))</f>
        <v/>
      </c>
      <c r="DT50" s="448" t="str">
        <f aca="false">IF($G50=0,IF(DT$11=$H50,"◆",""),IF(AND(DT$11&gt;=$H50,DT$11&lt;=$I50),1,""))</f>
        <v/>
      </c>
      <c r="DU50" s="448" t="str">
        <f aca="false">IF($G50=0,IF(DU$11=$H50,"◆",""),IF(AND(DU$11&gt;=$H50,DU$11&lt;=$I50),1,""))</f>
        <v/>
      </c>
      <c r="DV50" s="448" t="str">
        <f aca="false">IF($G50=0,IF(DV$11=$H50,"◆",""),IF(AND(DV$11&gt;=$H50,DV$11&lt;=$I50),1,""))</f>
        <v/>
      </c>
      <c r="DW50" s="448" t="str">
        <f aca="false">IF($G50=0,IF(DW$11=$H50,"◆",""),IF(AND(DW$11&gt;=$H50,DW$11&lt;=$I50),1,""))</f>
        <v/>
      </c>
      <c r="DX50" s="448" t="str">
        <f aca="false">IF($G50=0,IF(DX$11=$H50,"◆",""),IF(AND(DX$11&gt;=$H50,DX$11&lt;=$I50),1,""))</f>
        <v/>
      </c>
      <c r="DY50" s="448" t="str">
        <f aca="false">IF($G50=0,IF(DY$11=$H50,"◆",""),IF(AND(DY$11&gt;=$H50,DY$11&lt;=$I50),1,""))</f>
        <v/>
      </c>
      <c r="DZ50" s="448" t="str">
        <f aca="false">IF($G50=0,IF(DZ$11=$H50,"◆",""),IF(AND(DZ$11&gt;=$H50,DZ$11&lt;=$I50),1,""))</f>
        <v/>
      </c>
      <c r="EA50" s="448" t="str">
        <f aca="false">IF($G50=0,IF(EA$11=$H50,"◆",""),IF(AND(EA$11&gt;=$H50,EA$11&lt;=$I50),1,""))</f>
        <v/>
      </c>
      <c r="EB50" s="448" t="str">
        <f aca="false">IF($G50=0,IF(EB$11=$H50,"◆",""),IF(AND(EB$11&gt;=$H50,EB$11&lt;=$I50),1,""))</f>
        <v/>
      </c>
      <c r="EC50" s="448" t="str">
        <f aca="false">IF($G50=0,IF(EC$11=$H50,"◆",""),IF(AND(EC$11&gt;=$H50,EC$11&lt;=$I50),1,""))</f>
        <v/>
      </c>
      <c r="ED50" s="448" t="str">
        <f aca="false">IF($G50=0,IF(ED$11=$H50,"◆",""),IF(AND(ED$11&gt;=$H50,ED$11&lt;=$I50),1,""))</f>
        <v/>
      </c>
    </row>
    <row r="51" customFormat="false" ht="15" hidden="false" customHeight="true" outlineLevel="0" collapsed="false">
      <c r="A51" s="454"/>
      <c r="B51" s="455" t="s">
        <v>2525</v>
      </c>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c r="AP51" s="456"/>
      <c r="AQ51" s="456"/>
      <c r="AR51" s="456"/>
      <c r="AS51" s="456"/>
      <c r="AT51" s="456"/>
      <c r="AU51" s="456"/>
      <c r="AV51" s="456"/>
      <c r="AW51" s="456"/>
      <c r="AX51" s="456"/>
      <c r="AY51" s="456"/>
      <c r="AZ51" s="456"/>
      <c r="BA51" s="456"/>
      <c r="BB51" s="456"/>
      <c r="BC51" s="456"/>
      <c r="BD51" s="456"/>
      <c r="BE51" s="456"/>
      <c r="BF51" s="456"/>
      <c r="BG51" s="456"/>
      <c r="BH51" s="456"/>
      <c r="BI51" s="456"/>
      <c r="BJ51" s="456"/>
      <c r="BK51" s="456"/>
      <c r="BL51" s="456"/>
      <c r="BM51" s="456"/>
      <c r="BN51" s="456"/>
      <c r="BO51" s="456"/>
      <c r="BP51" s="456"/>
      <c r="BQ51" s="456"/>
      <c r="BR51" s="456"/>
      <c r="BS51" s="456"/>
      <c r="BT51" s="456"/>
      <c r="BU51" s="456"/>
      <c r="BV51" s="456"/>
      <c r="BW51" s="456"/>
      <c r="BX51" s="456"/>
      <c r="BY51" s="456"/>
      <c r="BZ51" s="456"/>
      <c r="CA51" s="456"/>
      <c r="CB51" s="456"/>
      <c r="CC51" s="456"/>
      <c r="CD51" s="456"/>
      <c r="CE51" s="456"/>
      <c r="CF51" s="456"/>
      <c r="CG51" s="456"/>
      <c r="CH51" s="456"/>
      <c r="CI51" s="456"/>
      <c r="CJ51" s="456"/>
      <c r="CK51" s="456"/>
      <c r="CL51" s="456"/>
      <c r="CM51" s="456"/>
      <c r="CN51" s="456"/>
      <c r="CO51" s="456"/>
      <c r="CP51" s="456"/>
      <c r="CQ51" s="456"/>
      <c r="CR51" s="456"/>
      <c r="CS51" s="456"/>
      <c r="CT51" s="456"/>
      <c r="CU51" s="456"/>
      <c r="CV51" s="456"/>
      <c r="CW51" s="456"/>
      <c r="CX51" s="456"/>
      <c r="CY51" s="456"/>
      <c r="CZ51" s="456"/>
      <c r="DA51" s="456"/>
      <c r="DB51" s="456"/>
      <c r="DC51" s="456"/>
      <c r="DD51" s="456"/>
      <c r="DE51" s="456"/>
      <c r="DF51" s="456"/>
      <c r="DG51" s="456"/>
      <c r="DH51" s="456"/>
      <c r="DI51" s="456"/>
      <c r="DJ51" s="456"/>
      <c r="DK51" s="456"/>
      <c r="DL51" s="456"/>
      <c r="DM51" s="456"/>
      <c r="DN51" s="456"/>
      <c r="DO51" s="456"/>
      <c r="DP51" s="456"/>
      <c r="DQ51" s="456"/>
      <c r="DR51" s="456"/>
      <c r="DS51" s="456"/>
      <c r="DT51" s="456"/>
      <c r="DU51" s="456"/>
      <c r="DV51" s="456"/>
      <c r="DW51" s="456"/>
      <c r="DX51" s="456"/>
      <c r="DY51" s="456"/>
      <c r="DZ51" s="456"/>
      <c r="EA51" s="456"/>
      <c r="EB51" s="456"/>
      <c r="EC51" s="456"/>
      <c r="ED51" s="456"/>
    </row>
    <row r="52" customFormat="false" ht="15" hidden="false" customHeight="true" outlineLevel="0" collapsed="false">
      <c r="A52" s="441" t="s">
        <v>2526</v>
      </c>
      <c r="B52" s="297" t="s">
        <v>2527</v>
      </c>
      <c r="C52" s="442" t="s">
        <v>2528</v>
      </c>
      <c r="D52" s="443" t="s">
        <v>2436</v>
      </c>
      <c r="E52" s="354" t="n">
        <f aca="false">1</f>
        <v>1</v>
      </c>
      <c r="F52" s="352" t="n">
        <v>8</v>
      </c>
      <c r="G52" s="352" t="n">
        <v>4</v>
      </c>
      <c r="H52" s="367" t="n">
        <f aca="false">MAX(1,ROUND(($E52-1)*$D$5,0)+1+$F52)</f>
        <v>9</v>
      </c>
      <c r="I52" s="367" t="n">
        <f aca="false">MAX($H52,$H52+$G52-1)</f>
        <v>12</v>
      </c>
      <c r="J52" s="444" t="n">
        <f aca="false">$D$4+($H52-1)*7</f>
        <v>46356</v>
      </c>
      <c r="K52" s="444" t="n">
        <f aca="false">$D$4+$I52*7-1</f>
        <v>46383</v>
      </c>
      <c r="L52" s="445" t="n">
        <f aca="false">ROUNDUP($H52/$D$5,0)</f>
        <v>3</v>
      </c>
      <c r="M52" s="446" t="s">
        <v>2453</v>
      </c>
      <c r="N52" s="447" t="n">
        <v>0</v>
      </c>
      <c r="O52" s="448" t="str">
        <f aca="false">IF($G52=0,IF(O$11=$H52,"◆",""),IF(AND(O$11&gt;=$H52,O$11&lt;=$I52),1,""))</f>
        <v/>
      </c>
      <c r="P52" s="448" t="str">
        <f aca="false">IF($G52=0,IF(P$11=$H52,"◆",""),IF(AND(P$11&gt;=$H52,P$11&lt;=$I52),1,""))</f>
        <v/>
      </c>
      <c r="Q52" s="448" t="str">
        <f aca="false">IF($G52=0,IF(Q$11=$H52,"◆",""),IF(AND(Q$11&gt;=$H52,Q$11&lt;=$I52),1,""))</f>
        <v/>
      </c>
      <c r="R52" s="448" t="str">
        <f aca="false">IF($G52=0,IF(R$11=$H52,"◆",""),IF(AND(R$11&gt;=$H52,R$11&lt;=$I52),1,""))</f>
        <v/>
      </c>
      <c r="S52" s="448" t="str">
        <f aca="false">IF($G52=0,IF(S$11=$H52,"◆",""),IF(AND(S$11&gt;=$H52,S$11&lt;=$I52),1,""))</f>
        <v/>
      </c>
      <c r="T52" s="448" t="str">
        <f aca="false">IF($G52=0,IF(T$11=$H52,"◆",""),IF(AND(T$11&gt;=$H52,T$11&lt;=$I52),1,""))</f>
        <v/>
      </c>
      <c r="U52" s="448" t="str">
        <f aca="false">IF($G52=0,IF(U$11=$H52,"◆",""),IF(AND(U$11&gt;=$H52,U$11&lt;=$I52),1,""))</f>
        <v/>
      </c>
      <c r="V52" s="448" t="str">
        <f aca="false">IF($G52=0,IF(V$11=$H52,"◆",""),IF(AND(V$11&gt;=$H52,V$11&lt;=$I52),1,""))</f>
        <v/>
      </c>
      <c r="W52" s="448" t="n">
        <f aca="false">IF($G52=0,IF(W$11=$H52,"◆",""),IF(AND(W$11&gt;=$H52,W$11&lt;=$I52),1,""))</f>
        <v>1</v>
      </c>
      <c r="X52" s="448" t="n">
        <f aca="false">IF($G52=0,IF(X$11=$H52,"◆",""),IF(AND(X$11&gt;=$H52,X$11&lt;=$I52),1,""))</f>
        <v>1</v>
      </c>
      <c r="Y52" s="448" t="n">
        <f aca="false">IF($G52=0,IF(Y$11=$H52,"◆",""),IF(AND(Y$11&gt;=$H52,Y$11&lt;=$I52),1,""))</f>
        <v>1</v>
      </c>
      <c r="Z52" s="448" t="n">
        <f aca="false">IF($G52=0,IF(Z$11=$H52,"◆",""),IF(AND(Z$11&gt;=$H52,Z$11&lt;=$I52),1,""))</f>
        <v>1</v>
      </c>
      <c r="AA52" s="448" t="str">
        <f aca="false">IF($G52=0,IF(AA$11=$H52,"◆",""),IF(AND(AA$11&gt;=$H52,AA$11&lt;=$I52),1,""))</f>
        <v/>
      </c>
      <c r="AB52" s="448" t="str">
        <f aca="false">IF($G52=0,IF(AB$11=$H52,"◆",""),IF(AND(AB$11&gt;=$H52,AB$11&lt;=$I52),1,""))</f>
        <v/>
      </c>
      <c r="AC52" s="448" t="str">
        <f aca="false">IF($G52=0,IF(AC$11=$H52,"◆",""),IF(AND(AC$11&gt;=$H52,AC$11&lt;=$I52),1,""))</f>
        <v/>
      </c>
      <c r="AD52" s="448" t="str">
        <f aca="false">IF($G52=0,IF(AD$11=$H52,"◆",""),IF(AND(AD$11&gt;=$H52,AD$11&lt;=$I52),1,""))</f>
        <v/>
      </c>
      <c r="AE52" s="448" t="str">
        <f aca="false">IF($G52=0,IF(AE$11=$H52,"◆",""),IF(AND(AE$11&gt;=$H52,AE$11&lt;=$I52),1,""))</f>
        <v/>
      </c>
      <c r="AF52" s="448" t="str">
        <f aca="false">IF($G52=0,IF(AF$11=$H52,"◆",""),IF(AND(AF$11&gt;=$H52,AF$11&lt;=$I52),1,""))</f>
        <v/>
      </c>
      <c r="AG52" s="448" t="str">
        <f aca="false">IF($G52=0,IF(AG$11=$H52,"◆",""),IF(AND(AG$11&gt;=$H52,AG$11&lt;=$I52),1,""))</f>
        <v/>
      </c>
      <c r="AH52" s="448" t="str">
        <f aca="false">IF($G52=0,IF(AH$11=$H52,"◆",""),IF(AND(AH$11&gt;=$H52,AH$11&lt;=$I52),1,""))</f>
        <v/>
      </c>
      <c r="AI52" s="448" t="str">
        <f aca="false">IF($G52=0,IF(AI$11=$H52,"◆",""),IF(AND(AI$11&gt;=$H52,AI$11&lt;=$I52),1,""))</f>
        <v/>
      </c>
      <c r="AJ52" s="448" t="str">
        <f aca="false">IF($G52=0,IF(AJ$11=$H52,"◆",""),IF(AND(AJ$11&gt;=$H52,AJ$11&lt;=$I52),1,""))</f>
        <v/>
      </c>
      <c r="AK52" s="448" t="str">
        <f aca="false">IF($G52=0,IF(AK$11=$H52,"◆",""),IF(AND(AK$11&gt;=$H52,AK$11&lt;=$I52),1,""))</f>
        <v/>
      </c>
      <c r="AL52" s="448" t="str">
        <f aca="false">IF($G52=0,IF(AL$11=$H52,"◆",""),IF(AND(AL$11&gt;=$H52,AL$11&lt;=$I52),1,""))</f>
        <v/>
      </c>
      <c r="AM52" s="448" t="str">
        <f aca="false">IF($G52=0,IF(AM$11=$H52,"◆",""),IF(AND(AM$11&gt;=$H52,AM$11&lt;=$I52),1,""))</f>
        <v/>
      </c>
      <c r="AN52" s="448" t="str">
        <f aca="false">IF($G52=0,IF(AN$11=$H52,"◆",""),IF(AND(AN$11&gt;=$H52,AN$11&lt;=$I52),1,""))</f>
        <v/>
      </c>
      <c r="AO52" s="448" t="str">
        <f aca="false">IF($G52=0,IF(AO$11=$H52,"◆",""),IF(AND(AO$11&gt;=$H52,AO$11&lt;=$I52),1,""))</f>
        <v/>
      </c>
      <c r="AP52" s="448" t="str">
        <f aca="false">IF($G52=0,IF(AP$11=$H52,"◆",""),IF(AND(AP$11&gt;=$H52,AP$11&lt;=$I52),1,""))</f>
        <v/>
      </c>
      <c r="AQ52" s="448" t="str">
        <f aca="false">IF($G52=0,IF(AQ$11=$H52,"◆",""),IF(AND(AQ$11&gt;=$H52,AQ$11&lt;=$I52),1,""))</f>
        <v/>
      </c>
      <c r="AR52" s="448" t="str">
        <f aca="false">IF($G52=0,IF(AR$11=$H52,"◆",""),IF(AND(AR$11&gt;=$H52,AR$11&lt;=$I52),1,""))</f>
        <v/>
      </c>
      <c r="AS52" s="448" t="str">
        <f aca="false">IF($G52=0,IF(AS$11=$H52,"◆",""),IF(AND(AS$11&gt;=$H52,AS$11&lt;=$I52),1,""))</f>
        <v/>
      </c>
      <c r="AT52" s="448" t="str">
        <f aca="false">IF($G52=0,IF(AT$11=$H52,"◆",""),IF(AND(AT$11&gt;=$H52,AT$11&lt;=$I52),1,""))</f>
        <v/>
      </c>
      <c r="AU52" s="448" t="str">
        <f aca="false">IF($G52=0,IF(AU$11=$H52,"◆",""),IF(AND(AU$11&gt;=$H52,AU$11&lt;=$I52),1,""))</f>
        <v/>
      </c>
      <c r="AV52" s="448" t="str">
        <f aca="false">IF($G52=0,IF(AV$11=$H52,"◆",""),IF(AND(AV$11&gt;=$H52,AV$11&lt;=$I52),1,""))</f>
        <v/>
      </c>
      <c r="AW52" s="448" t="str">
        <f aca="false">IF($G52=0,IF(AW$11=$H52,"◆",""),IF(AND(AW$11&gt;=$H52,AW$11&lt;=$I52),1,""))</f>
        <v/>
      </c>
      <c r="AX52" s="448" t="str">
        <f aca="false">IF($G52=0,IF(AX$11=$H52,"◆",""),IF(AND(AX$11&gt;=$H52,AX$11&lt;=$I52),1,""))</f>
        <v/>
      </c>
      <c r="AY52" s="448" t="str">
        <f aca="false">IF($G52=0,IF(AY$11=$H52,"◆",""),IF(AND(AY$11&gt;=$H52,AY$11&lt;=$I52),1,""))</f>
        <v/>
      </c>
      <c r="AZ52" s="448" t="str">
        <f aca="false">IF($G52=0,IF(AZ$11=$H52,"◆",""),IF(AND(AZ$11&gt;=$H52,AZ$11&lt;=$I52),1,""))</f>
        <v/>
      </c>
      <c r="BA52" s="448" t="str">
        <f aca="false">IF($G52=0,IF(BA$11=$H52,"◆",""),IF(AND(BA$11&gt;=$H52,BA$11&lt;=$I52),1,""))</f>
        <v/>
      </c>
      <c r="BB52" s="448" t="str">
        <f aca="false">IF($G52=0,IF(BB$11=$H52,"◆",""),IF(AND(BB$11&gt;=$H52,BB$11&lt;=$I52),1,""))</f>
        <v/>
      </c>
      <c r="BC52" s="448" t="str">
        <f aca="false">IF($G52=0,IF(BC$11=$H52,"◆",""),IF(AND(BC$11&gt;=$H52,BC$11&lt;=$I52),1,""))</f>
        <v/>
      </c>
      <c r="BD52" s="448" t="str">
        <f aca="false">IF($G52=0,IF(BD$11=$H52,"◆",""),IF(AND(BD$11&gt;=$H52,BD$11&lt;=$I52),1,""))</f>
        <v/>
      </c>
      <c r="BE52" s="448" t="str">
        <f aca="false">IF($G52=0,IF(BE$11=$H52,"◆",""),IF(AND(BE$11&gt;=$H52,BE$11&lt;=$I52),1,""))</f>
        <v/>
      </c>
      <c r="BF52" s="448" t="str">
        <f aca="false">IF($G52=0,IF(BF$11=$H52,"◆",""),IF(AND(BF$11&gt;=$H52,BF$11&lt;=$I52),1,""))</f>
        <v/>
      </c>
      <c r="BG52" s="448" t="str">
        <f aca="false">IF($G52=0,IF(BG$11=$H52,"◆",""),IF(AND(BG$11&gt;=$H52,BG$11&lt;=$I52),1,""))</f>
        <v/>
      </c>
      <c r="BH52" s="448" t="str">
        <f aca="false">IF($G52=0,IF(BH$11=$H52,"◆",""),IF(AND(BH$11&gt;=$H52,BH$11&lt;=$I52),1,""))</f>
        <v/>
      </c>
      <c r="BI52" s="448" t="str">
        <f aca="false">IF($G52=0,IF(BI$11=$H52,"◆",""),IF(AND(BI$11&gt;=$H52,BI$11&lt;=$I52),1,""))</f>
        <v/>
      </c>
      <c r="BJ52" s="448" t="str">
        <f aca="false">IF($G52=0,IF(BJ$11=$H52,"◆",""),IF(AND(BJ$11&gt;=$H52,BJ$11&lt;=$I52),1,""))</f>
        <v/>
      </c>
      <c r="BK52" s="448" t="str">
        <f aca="false">IF($G52=0,IF(BK$11=$H52,"◆",""),IF(AND(BK$11&gt;=$H52,BK$11&lt;=$I52),1,""))</f>
        <v/>
      </c>
      <c r="BL52" s="448" t="str">
        <f aca="false">IF($G52=0,IF(BL$11=$H52,"◆",""),IF(AND(BL$11&gt;=$H52,BL$11&lt;=$I52),1,""))</f>
        <v/>
      </c>
      <c r="BM52" s="448" t="str">
        <f aca="false">IF($G52=0,IF(BM$11=$H52,"◆",""),IF(AND(BM$11&gt;=$H52,BM$11&lt;=$I52),1,""))</f>
        <v/>
      </c>
      <c r="BN52" s="448" t="str">
        <f aca="false">IF($G52=0,IF(BN$11=$H52,"◆",""),IF(AND(BN$11&gt;=$H52,BN$11&lt;=$I52),1,""))</f>
        <v/>
      </c>
      <c r="BO52" s="448" t="str">
        <f aca="false">IF($G52=0,IF(BO$11=$H52,"◆",""),IF(AND(BO$11&gt;=$H52,BO$11&lt;=$I52),1,""))</f>
        <v/>
      </c>
      <c r="BP52" s="448" t="str">
        <f aca="false">IF($G52=0,IF(BP$11=$H52,"◆",""),IF(AND(BP$11&gt;=$H52,BP$11&lt;=$I52),1,""))</f>
        <v/>
      </c>
      <c r="BQ52" s="448" t="str">
        <f aca="false">IF($G52=0,IF(BQ$11=$H52,"◆",""),IF(AND(BQ$11&gt;=$H52,BQ$11&lt;=$I52),1,""))</f>
        <v/>
      </c>
      <c r="BR52" s="448" t="str">
        <f aca="false">IF($G52=0,IF(BR$11=$H52,"◆",""),IF(AND(BR$11&gt;=$H52,BR$11&lt;=$I52),1,""))</f>
        <v/>
      </c>
      <c r="BS52" s="448" t="str">
        <f aca="false">IF($G52=0,IF(BS$11=$H52,"◆",""),IF(AND(BS$11&gt;=$H52,BS$11&lt;=$I52),1,""))</f>
        <v/>
      </c>
      <c r="BT52" s="448" t="str">
        <f aca="false">IF($G52=0,IF(BT$11=$H52,"◆",""),IF(AND(BT$11&gt;=$H52,BT$11&lt;=$I52),1,""))</f>
        <v/>
      </c>
      <c r="BU52" s="448" t="str">
        <f aca="false">IF($G52=0,IF(BU$11=$H52,"◆",""),IF(AND(BU$11&gt;=$H52,BU$11&lt;=$I52),1,""))</f>
        <v/>
      </c>
      <c r="BV52" s="448" t="str">
        <f aca="false">IF($G52=0,IF(BV$11=$H52,"◆",""),IF(AND(BV$11&gt;=$H52,BV$11&lt;=$I52),1,""))</f>
        <v/>
      </c>
      <c r="BW52" s="448" t="str">
        <f aca="false">IF($G52=0,IF(BW$11=$H52,"◆",""),IF(AND(BW$11&gt;=$H52,BW$11&lt;=$I52),1,""))</f>
        <v/>
      </c>
      <c r="BX52" s="448" t="str">
        <f aca="false">IF($G52=0,IF(BX$11=$H52,"◆",""),IF(AND(BX$11&gt;=$H52,BX$11&lt;=$I52),1,""))</f>
        <v/>
      </c>
      <c r="BY52" s="448" t="str">
        <f aca="false">IF($G52=0,IF(BY$11=$H52,"◆",""),IF(AND(BY$11&gt;=$H52,BY$11&lt;=$I52),1,""))</f>
        <v/>
      </c>
      <c r="BZ52" s="448" t="str">
        <f aca="false">IF($G52=0,IF(BZ$11=$H52,"◆",""),IF(AND(BZ$11&gt;=$H52,BZ$11&lt;=$I52),1,""))</f>
        <v/>
      </c>
      <c r="CA52" s="448" t="str">
        <f aca="false">IF($G52=0,IF(CA$11=$H52,"◆",""),IF(AND(CA$11&gt;=$H52,CA$11&lt;=$I52),1,""))</f>
        <v/>
      </c>
      <c r="CB52" s="448" t="str">
        <f aca="false">IF($G52=0,IF(CB$11=$H52,"◆",""),IF(AND(CB$11&gt;=$H52,CB$11&lt;=$I52),1,""))</f>
        <v/>
      </c>
      <c r="CC52" s="448" t="str">
        <f aca="false">IF($G52=0,IF(CC$11=$H52,"◆",""),IF(AND(CC$11&gt;=$H52,CC$11&lt;=$I52),1,""))</f>
        <v/>
      </c>
      <c r="CD52" s="448" t="str">
        <f aca="false">IF($G52=0,IF(CD$11=$H52,"◆",""),IF(AND(CD$11&gt;=$H52,CD$11&lt;=$I52),1,""))</f>
        <v/>
      </c>
      <c r="CE52" s="448" t="str">
        <f aca="false">IF($G52=0,IF(CE$11=$H52,"◆",""),IF(AND(CE$11&gt;=$H52,CE$11&lt;=$I52),1,""))</f>
        <v/>
      </c>
      <c r="CF52" s="448" t="str">
        <f aca="false">IF($G52=0,IF(CF$11=$H52,"◆",""),IF(AND(CF$11&gt;=$H52,CF$11&lt;=$I52),1,""))</f>
        <v/>
      </c>
      <c r="CG52" s="448" t="str">
        <f aca="false">IF($G52=0,IF(CG$11=$H52,"◆",""),IF(AND(CG$11&gt;=$H52,CG$11&lt;=$I52),1,""))</f>
        <v/>
      </c>
      <c r="CH52" s="448" t="str">
        <f aca="false">IF($G52=0,IF(CH$11=$H52,"◆",""),IF(AND(CH$11&gt;=$H52,CH$11&lt;=$I52),1,""))</f>
        <v/>
      </c>
      <c r="CI52" s="448" t="str">
        <f aca="false">IF($G52=0,IF(CI$11=$H52,"◆",""),IF(AND(CI$11&gt;=$H52,CI$11&lt;=$I52),1,""))</f>
        <v/>
      </c>
      <c r="CJ52" s="448" t="str">
        <f aca="false">IF($G52=0,IF(CJ$11=$H52,"◆",""),IF(AND(CJ$11&gt;=$H52,CJ$11&lt;=$I52),1,""))</f>
        <v/>
      </c>
      <c r="CK52" s="448" t="str">
        <f aca="false">IF($G52=0,IF(CK$11=$H52,"◆",""),IF(AND(CK$11&gt;=$H52,CK$11&lt;=$I52),1,""))</f>
        <v/>
      </c>
      <c r="CL52" s="448" t="str">
        <f aca="false">IF($G52=0,IF(CL$11=$H52,"◆",""),IF(AND(CL$11&gt;=$H52,CL$11&lt;=$I52),1,""))</f>
        <v/>
      </c>
      <c r="CM52" s="448" t="str">
        <f aca="false">IF($G52=0,IF(CM$11=$H52,"◆",""),IF(AND(CM$11&gt;=$H52,CM$11&lt;=$I52),1,""))</f>
        <v/>
      </c>
      <c r="CN52" s="448" t="str">
        <f aca="false">IF($G52=0,IF(CN$11=$H52,"◆",""),IF(AND(CN$11&gt;=$H52,CN$11&lt;=$I52),1,""))</f>
        <v/>
      </c>
      <c r="CO52" s="448" t="str">
        <f aca="false">IF($G52=0,IF(CO$11=$H52,"◆",""),IF(AND(CO$11&gt;=$H52,CO$11&lt;=$I52),1,""))</f>
        <v/>
      </c>
      <c r="CP52" s="448" t="str">
        <f aca="false">IF($G52=0,IF(CP$11=$H52,"◆",""),IF(AND(CP$11&gt;=$H52,CP$11&lt;=$I52),1,""))</f>
        <v/>
      </c>
      <c r="CQ52" s="448" t="str">
        <f aca="false">IF($G52=0,IF(CQ$11=$H52,"◆",""),IF(AND(CQ$11&gt;=$H52,CQ$11&lt;=$I52),1,""))</f>
        <v/>
      </c>
      <c r="CR52" s="448" t="str">
        <f aca="false">IF($G52=0,IF(CR$11=$H52,"◆",""),IF(AND(CR$11&gt;=$H52,CR$11&lt;=$I52),1,""))</f>
        <v/>
      </c>
      <c r="CS52" s="448" t="str">
        <f aca="false">IF($G52=0,IF(CS$11=$H52,"◆",""),IF(AND(CS$11&gt;=$H52,CS$11&lt;=$I52),1,""))</f>
        <v/>
      </c>
      <c r="CT52" s="448" t="str">
        <f aca="false">IF($G52=0,IF(CT$11=$H52,"◆",""),IF(AND(CT$11&gt;=$H52,CT$11&lt;=$I52),1,""))</f>
        <v/>
      </c>
      <c r="CU52" s="448" t="str">
        <f aca="false">IF($G52=0,IF(CU$11=$H52,"◆",""),IF(AND(CU$11&gt;=$H52,CU$11&lt;=$I52),1,""))</f>
        <v/>
      </c>
      <c r="CV52" s="448" t="str">
        <f aca="false">IF($G52=0,IF(CV$11=$H52,"◆",""),IF(AND(CV$11&gt;=$H52,CV$11&lt;=$I52),1,""))</f>
        <v/>
      </c>
      <c r="CW52" s="448" t="str">
        <f aca="false">IF($G52=0,IF(CW$11=$H52,"◆",""),IF(AND(CW$11&gt;=$H52,CW$11&lt;=$I52),1,""))</f>
        <v/>
      </c>
      <c r="CX52" s="448" t="str">
        <f aca="false">IF($G52=0,IF(CX$11=$H52,"◆",""),IF(AND(CX$11&gt;=$H52,CX$11&lt;=$I52),1,""))</f>
        <v/>
      </c>
      <c r="CY52" s="448" t="str">
        <f aca="false">IF($G52=0,IF(CY$11=$H52,"◆",""),IF(AND(CY$11&gt;=$H52,CY$11&lt;=$I52),1,""))</f>
        <v/>
      </c>
      <c r="CZ52" s="448" t="str">
        <f aca="false">IF($G52=0,IF(CZ$11=$H52,"◆",""),IF(AND(CZ$11&gt;=$H52,CZ$11&lt;=$I52),1,""))</f>
        <v/>
      </c>
      <c r="DA52" s="448" t="str">
        <f aca="false">IF($G52=0,IF(DA$11=$H52,"◆",""),IF(AND(DA$11&gt;=$H52,DA$11&lt;=$I52),1,""))</f>
        <v/>
      </c>
      <c r="DB52" s="448" t="str">
        <f aca="false">IF($G52=0,IF(DB$11=$H52,"◆",""),IF(AND(DB$11&gt;=$H52,DB$11&lt;=$I52),1,""))</f>
        <v/>
      </c>
      <c r="DC52" s="448" t="str">
        <f aca="false">IF($G52=0,IF(DC$11=$H52,"◆",""),IF(AND(DC$11&gt;=$H52,DC$11&lt;=$I52),1,""))</f>
        <v/>
      </c>
      <c r="DD52" s="448" t="str">
        <f aca="false">IF($G52=0,IF(DD$11=$H52,"◆",""),IF(AND(DD$11&gt;=$H52,DD$11&lt;=$I52),1,""))</f>
        <v/>
      </c>
      <c r="DE52" s="448" t="str">
        <f aca="false">IF($G52=0,IF(DE$11=$H52,"◆",""),IF(AND(DE$11&gt;=$H52,DE$11&lt;=$I52),1,""))</f>
        <v/>
      </c>
      <c r="DF52" s="448" t="str">
        <f aca="false">IF($G52=0,IF(DF$11=$H52,"◆",""),IF(AND(DF$11&gt;=$H52,DF$11&lt;=$I52),1,""))</f>
        <v/>
      </c>
      <c r="DG52" s="448" t="str">
        <f aca="false">IF($G52=0,IF(DG$11=$H52,"◆",""),IF(AND(DG$11&gt;=$H52,DG$11&lt;=$I52),1,""))</f>
        <v/>
      </c>
      <c r="DH52" s="448" t="str">
        <f aca="false">IF($G52=0,IF(DH$11=$H52,"◆",""),IF(AND(DH$11&gt;=$H52,DH$11&lt;=$I52),1,""))</f>
        <v/>
      </c>
      <c r="DI52" s="448" t="str">
        <f aca="false">IF($G52=0,IF(DI$11=$H52,"◆",""),IF(AND(DI$11&gt;=$H52,DI$11&lt;=$I52),1,""))</f>
        <v/>
      </c>
      <c r="DJ52" s="448" t="str">
        <f aca="false">IF($G52=0,IF(DJ$11=$H52,"◆",""),IF(AND(DJ$11&gt;=$H52,DJ$11&lt;=$I52),1,""))</f>
        <v/>
      </c>
      <c r="DK52" s="448" t="str">
        <f aca="false">IF($G52=0,IF(DK$11=$H52,"◆",""),IF(AND(DK$11&gt;=$H52,DK$11&lt;=$I52),1,""))</f>
        <v/>
      </c>
      <c r="DL52" s="448" t="str">
        <f aca="false">IF($G52=0,IF(DL$11=$H52,"◆",""),IF(AND(DL$11&gt;=$H52,DL$11&lt;=$I52),1,""))</f>
        <v/>
      </c>
      <c r="DM52" s="448" t="str">
        <f aca="false">IF($G52=0,IF(DM$11=$H52,"◆",""),IF(AND(DM$11&gt;=$H52,DM$11&lt;=$I52),1,""))</f>
        <v/>
      </c>
      <c r="DN52" s="448" t="str">
        <f aca="false">IF($G52=0,IF(DN$11=$H52,"◆",""),IF(AND(DN$11&gt;=$H52,DN$11&lt;=$I52),1,""))</f>
        <v/>
      </c>
      <c r="DO52" s="448" t="str">
        <f aca="false">IF($G52=0,IF(DO$11=$H52,"◆",""),IF(AND(DO$11&gt;=$H52,DO$11&lt;=$I52),1,""))</f>
        <v/>
      </c>
      <c r="DP52" s="448" t="str">
        <f aca="false">IF($G52=0,IF(DP$11=$H52,"◆",""),IF(AND(DP$11&gt;=$H52,DP$11&lt;=$I52),1,""))</f>
        <v/>
      </c>
      <c r="DQ52" s="448" t="str">
        <f aca="false">IF($G52=0,IF(DQ$11=$H52,"◆",""),IF(AND(DQ$11&gt;=$H52,DQ$11&lt;=$I52),1,""))</f>
        <v/>
      </c>
      <c r="DR52" s="448" t="str">
        <f aca="false">IF($G52=0,IF(DR$11=$H52,"◆",""),IF(AND(DR$11&gt;=$H52,DR$11&lt;=$I52),1,""))</f>
        <v/>
      </c>
      <c r="DS52" s="448" t="str">
        <f aca="false">IF($G52=0,IF(DS$11=$H52,"◆",""),IF(AND(DS$11&gt;=$H52,DS$11&lt;=$I52),1,""))</f>
        <v/>
      </c>
      <c r="DT52" s="448" t="str">
        <f aca="false">IF($G52=0,IF(DT$11=$H52,"◆",""),IF(AND(DT$11&gt;=$H52,DT$11&lt;=$I52),1,""))</f>
        <v/>
      </c>
      <c r="DU52" s="448" t="str">
        <f aca="false">IF($G52=0,IF(DU$11=$H52,"◆",""),IF(AND(DU$11&gt;=$H52,DU$11&lt;=$I52),1,""))</f>
        <v/>
      </c>
      <c r="DV52" s="448" t="str">
        <f aca="false">IF($G52=0,IF(DV$11=$H52,"◆",""),IF(AND(DV$11&gt;=$H52,DV$11&lt;=$I52),1,""))</f>
        <v/>
      </c>
      <c r="DW52" s="448" t="str">
        <f aca="false">IF($G52=0,IF(DW$11=$H52,"◆",""),IF(AND(DW$11&gt;=$H52,DW$11&lt;=$I52),1,""))</f>
        <v/>
      </c>
      <c r="DX52" s="448" t="str">
        <f aca="false">IF($G52=0,IF(DX$11=$H52,"◆",""),IF(AND(DX$11&gt;=$H52,DX$11&lt;=$I52),1,""))</f>
        <v/>
      </c>
      <c r="DY52" s="448" t="str">
        <f aca="false">IF($G52=0,IF(DY$11=$H52,"◆",""),IF(AND(DY$11&gt;=$H52,DY$11&lt;=$I52),1,""))</f>
        <v/>
      </c>
      <c r="DZ52" s="448" t="str">
        <f aca="false">IF($G52=0,IF(DZ$11=$H52,"◆",""),IF(AND(DZ$11&gt;=$H52,DZ$11&lt;=$I52),1,""))</f>
        <v/>
      </c>
      <c r="EA52" s="448" t="str">
        <f aca="false">IF($G52=0,IF(EA$11=$H52,"◆",""),IF(AND(EA$11&gt;=$H52,EA$11&lt;=$I52),1,""))</f>
        <v/>
      </c>
      <c r="EB52" s="448" t="str">
        <f aca="false">IF($G52=0,IF(EB$11=$H52,"◆",""),IF(AND(EB$11&gt;=$H52,EB$11&lt;=$I52),1,""))</f>
        <v/>
      </c>
      <c r="EC52" s="448" t="str">
        <f aca="false">IF($G52=0,IF(EC$11=$H52,"◆",""),IF(AND(EC$11&gt;=$H52,EC$11&lt;=$I52),1,""))</f>
        <v/>
      </c>
      <c r="ED52" s="448" t="str">
        <f aca="false">IF($G52=0,IF(ED$11=$H52,"◆",""),IF(AND(ED$11&gt;=$H52,ED$11&lt;=$I52),1,""))</f>
        <v/>
      </c>
    </row>
    <row r="53" customFormat="false" ht="15" hidden="false" customHeight="true" outlineLevel="0" collapsed="false">
      <c r="A53" s="441" t="s">
        <v>2529</v>
      </c>
      <c r="B53" s="297" t="s">
        <v>2530</v>
      </c>
      <c r="C53" s="442" t="s">
        <v>2531</v>
      </c>
      <c r="D53" s="443" t="s">
        <v>2532</v>
      </c>
      <c r="E53" s="354" t="n">
        <f aca="false">FC_SUPUESTOS!$C$23-FC_SUPUESTOS!$C$21-1</f>
        <v>7</v>
      </c>
      <c r="F53" s="352" t="n">
        <v>-4</v>
      </c>
      <c r="G53" s="352" t="n">
        <v>10</v>
      </c>
      <c r="H53" s="367" t="n">
        <f aca="false">MAX(1,ROUND(($E53-1)*$D$5,0)+1+$F53)</f>
        <v>23</v>
      </c>
      <c r="I53" s="367" t="n">
        <f aca="false">MAX($H53,$H53+$G53-1)</f>
        <v>32</v>
      </c>
      <c r="J53" s="444" t="n">
        <f aca="false">$D$4+($H53-1)*7</f>
        <v>46454</v>
      </c>
      <c r="K53" s="444" t="n">
        <f aca="false">$D$4+$I53*7-1</f>
        <v>46523</v>
      </c>
      <c r="L53" s="445" t="n">
        <f aca="false">ROUNDUP($H53/$D$5,0)</f>
        <v>6</v>
      </c>
      <c r="M53" s="446" t="s">
        <v>2453</v>
      </c>
      <c r="N53" s="447" t="n">
        <v>0</v>
      </c>
      <c r="O53" s="448" t="str">
        <f aca="false">IF($G53=0,IF(O$11=$H53,"◆",""),IF(AND(O$11&gt;=$H53,O$11&lt;=$I53),1,""))</f>
        <v/>
      </c>
      <c r="P53" s="448" t="str">
        <f aca="false">IF($G53=0,IF(P$11=$H53,"◆",""),IF(AND(P$11&gt;=$H53,P$11&lt;=$I53),1,""))</f>
        <v/>
      </c>
      <c r="Q53" s="448" t="str">
        <f aca="false">IF($G53=0,IF(Q$11=$H53,"◆",""),IF(AND(Q$11&gt;=$H53,Q$11&lt;=$I53),1,""))</f>
        <v/>
      </c>
      <c r="R53" s="448" t="str">
        <f aca="false">IF($G53=0,IF(R$11=$H53,"◆",""),IF(AND(R$11&gt;=$H53,R$11&lt;=$I53),1,""))</f>
        <v/>
      </c>
      <c r="S53" s="448" t="str">
        <f aca="false">IF($G53=0,IF(S$11=$H53,"◆",""),IF(AND(S$11&gt;=$H53,S$11&lt;=$I53),1,""))</f>
        <v/>
      </c>
      <c r="T53" s="448" t="str">
        <f aca="false">IF($G53=0,IF(T$11=$H53,"◆",""),IF(AND(T$11&gt;=$H53,T$11&lt;=$I53),1,""))</f>
        <v/>
      </c>
      <c r="U53" s="448" t="str">
        <f aca="false">IF($G53=0,IF(U$11=$H53,"◆",""),IF(AND(U$11&gt;=$H53,U$11&lt;=$I53),1,""))</f>
        <v/>
      </c>
      <c r="V53" s="448" t="str">
        <f aca="false">IF($G53=0,IF(V$11=$H53,"◆",""),IF(AND(V$11&gt;=$H53,V$11&lt;=$I53),1,""))</f>
        <v/>
      </c>
      <c r="W53" s="448" t="str">
        <f aca="false">IF($G53=0,IF(W$11=$H53,"◆",""),IF(AND(W$11&gt;=$H53,W$11&lt;=$I53),1,""))</f>
        <v/>
      </c>
      <c r="X53" s="448" t="str">
        <f aca="false">IF($G53=0,IF(X$11=$H53,"◆",""),IF(AND(X$11&gt;=$H53,X$11&lt;=$I53),1,""))</f>
        <v/>
      </c>
      <c r="Y53" s="448" t="str">
        <f aca="false">IF($G53=0,IF(Y$11=$H53,"◆",""),IF(AND(Y$11&gt;=$H53,Y$11&lt;=$I53),1,""))</f>
        <v/>
      </c>
      <c r="Z53" s="448" t="str">
        <f aca="false">IF($G53=0,IF(Z$11=$H53,"◆",""),IF(AND(Z$11&gt;=$H53,Z$11&lt;=$I53),1,""))</f>
        <v/>
      </c>
      <c r="AA53" s="448" t="str">
        <f aca="false">IF($G53=0,IF(AA$11=$H53,"◆",""),IF(AND(AA$11&gt;=$H53,AA$11&lt;=$I53),1,""))</f>
        <v/>
      </c>
      <c r="AB53" s="448" t="str">
        <f aca="false">IF($G53=0,IF(AB$11=$H53,"◆",""),IF(AND(AB$11&gt;=$H53,AB$11&lt;=$I53),1,""))</f>
        <v/>
      </c>
      <c r="AC53" s="448" t="str">
        <f aca="false">IF($G53=0,IF(AC$11=$H53,"◆",""),IF(AND(AC$11&gt;=$H53,AC$11&lt;=$I53),1,""))</f>
        <v/>
      </c>
      <c r="AD53" s="448" t="str">
        <f aca="false">IF($G53=0,IF(AD$11=$H53,"◆",""),IF(AND(AD$11&gt;=$H53,AD$11&lt;=$I53),1,""))</f>
        <v/>
      </c>
      <c r="AE53" s="448" t="str">
        <f aca="false">IF($G53=0,IF(AE$11=$H53,"◆",""),IF(AND(AE$11&gt;=$H53,AE$11&lt;=$I53),1,""))</f>
        <v/>
      </c>
      <c r="AF53" s="448" t="str">
        <f aca="false">IF($G53=0,IF(AF$11=$H53,"◆",""),IF(AND(AF$11&gt;=$H53,AF$11&lt;=$I53),1,""))</f>
        <v/>
      </c>
      <c r="AG53" s="448" t="str">
        <f aca="false">IF($G53=0,IF(AG$11=$H53,"◆",""),IF(AND(AG$11&gt;=$H53,AG$11&lt;=$I53),1,""))</f>
        <v/>
      </c>
      <c r="AH53" s="448" t="str">
        <f aca="false">IF($G53=0,IF(AH$11=$H53,"◆",""),IF(AND(AH$11&gt;=$H53,AH$11&lt;=$I53),1,""))</f>
        <v/>
      </c>
      <c r="AI53" s="448" t="str">
        <f aca="false">IF($G53=0,IF(AI$11=$H53,"◆",""),IF(AND(AI$11&gt;=$H53,AI$11&lt;=$I53),1,""))</f>
        <v/>
      </c>
      <c r="AJ53" s="448" t="str">
        <f aca="false">IF($G53=0,IF(AJ$11=$H53,"◆",""),IF(AND(AJ$11&gt;=$H53,AJ$11&lt;=$I53),1,""))</f>
        <v/>
      </c>
      <c r="AK53" s="448" t="n">
        <f aca="false">IF($G53=0,IF(AK$11=$H53,"◆",""),IF(AND(AK$11&gt;=$H53,AK$11&lt;=$I53),1,""))</f>
        <v>1</v>
      </c>
      <c r="AL53" s="448" t="n">
        <f aca="false">IF($G53=0,IF(AL$11=$H53,"◆",""),IF(AND(AL$11&gt;=$H53,AL$11&lt;=$I53),1,""))</f>
        <v>1</v>
      </c>
      <c r="AM53" s="448" t="n">
        <f aca="false">IF($G53=0,IF(AM$11=$H53,"◆",""),IF(AND(AM$11&gt;=$H53,AM$11&lt;=$I53),1,""))</f>
        <v>1</v>
      </c>
      <c r="AN53" s="448" t="n">
        <f aca="false">IF($G53=0,IF(AN$11=$H53,"◆",""),IF(AND(AN$11&gt;=$H53,AN$11&lt;=$I53),1,""))</f>
        <v>1</v>
      </c>
      <c r="AO53" s="448" t="n">
        <f aca="false">IF($G53=0,IF(AO$11=$H53,"◆",""),IF(AND(AO$11&gt;=$H53,AO$11&lt;=$I53),1,""))</f>
        <v>1</v>
      </c>
      <c r="AP53" s="448" t="n">
        <f aca="false">IF($G53=0,IF(AP$11=$H53,"◆",""),IF(AND(AP$11&gt;=$H53,AP$11&lt;=$I53),1,""))</f>
        <v>1</v>
      </c>
      <c r="AQ53" s="448" t="n">
        <f aca="false">IF($G53=0,IF(AQ$11=$H53,"◆",""),IF(AND(AQ$11&gt;=$H53,AQ$11&lt;=$I53),1,""))</f>
        <v>1</v>
      </c>
      <c r="AR53" s="448" t="n">
        <f aca="false">IF($G53=0,IF(AR$11=$H53,"◆",""),IF(AND(AR$11&gt;=$H53,AR$11&lt;=$I53),1,""))</f>
        <v>1</v>
      </c>
      <c r="AS53" s="448" t="n">
        <f aca="false">IF($G53=0,IF(AS$11=$H53,"◆",""),IF(AND(AS$11&gt;=$H53,AS$11&lt;=$I53),1,""))</f>
        <v>1</v>
      </c>
      <c r="AT53" s="448" t="n">
        <f aca="false">IF($G53=0,IF(AT$11=$H53,"◆",""),IF(AND(AT$11&gt;=$H53,AT$11&lt;=$I53),1,""))</f>
        <v>1</v>
      </c>
      <c r="AU53" s="448" t="str">
        <f aca="false">IF($G53=0,IF(AU$11=$H53,"◆",""),IF(AND(AU$11&gt;=$H53,AU$11&lt;=$I53),1,""))</f>
        <v/>
      </c>
      <c r="AV53" s="448" t="str">
        <f aca="false">IF($G53=0,IF(AV$11=$H53,"◆",""),IF(AND(AV$11&gt;=$H53,AV$11&lt;=$I53),1,""))</f>
        <v/>
      </c>
      <c r="AW53" s="448" t="str">
        <f aca="false">IF($G53=0,IF(AW$11=$H53,"◆",""),IF(AND(AW$11&gt;=$H53,AW$11&lt;=$I53),1,""))</f>
        <v/>
      </c>
      <c r="AX53" s="448" t="str">
        <f aca="false">IF($G53=0,IF(AX$11=$H53,"◆",""),IF(AND(AX$11&gt;=$H53,AX$11&lt;=$I53),1,""))</f>
        <v/>
      </c>
      <c r="AY53" s="448" t="str">
        <f aca="false">IF($G53=0,IF(AY$11=$H53,"◆",""),IF(AND(AY$11&gt;=$H53,AY$11&lt;=$I53),1,""))</f>
        <v/>
      </c>
      <c r="AZ53" s="448" t="str">
        <f aca="false">IF($G53=0,IF(AZ$11=$H53,"◆",""),IF(AND(AZ$11&gt;=$H53,AZ$11&lt;=$I53),1,""))</f>
        <v/>
      </c>
      <c r="BA53" s="448" t="str">
        <f aca="false">IF($G53=0,IF(BA$11=$H53,"◆",""),IF(AND(BA$11&gt;=$H53,BA$11&lt;=$I53),1,""))</f>
        <v/>
      </c>
      <c r="BB53" s="448" t="str">
        <f aca="false">IF($G53=0,IF(BB$11=$H53,"◆",""),IF(AND(BB$11&gt;=$H53,BB$11&lt;=$I53),1,""))</f>
        <v/>
      </c>
      <c r="BC53" s="448" t="str">
        <f aca="false">IF($G53=0,IF(BC$11=$H53,"◆",""),IF(AND(BC$11&gt;=$H53,BC$11&lt;=$I53),1,""))</f>
        <v/>
      </c>
      <c r="BD53" s="448" t="str">
        <f aca="false">IF($G53=0,IF(BD$11=$H53,"◆",""),IF(AND(BD$11&gt;=$H53,BD$11&lt;=$I53),1,""))</f>
        <v/>
      </c>
      <c r="BE53" s="448" t="str">
        <f aca="false">IF($G53=0,IF(BE$11=$H53,"◆",""),IF(AND(BE$11&gt;=$H53,BE$11&lt;=$I53),1,""))</f>
        <v/>
      </c>
      <c r="BF53" s="448" t="str">
        <f aca="false">IF($G53=0,IF(BF$11=$H53,"◆",""),IF(AND(BF$11&gt;=$H53,BF$11&lt;=$I53),1,""))</f>
        <v/>
      </c>
      <c r="BG53" s="448" t="str">
        <f aca="false">IF($G53=0,IF(BG$11=$H53,"◆",""),IF(AND(BG$11&gt;=$H53,BG$11&lt;=$I53),1,""))</f>
        <v/>
      </c>
      <c r="BH53" s="448" t="str">
        <f aca="false">IF($G53=0,IF(BH$11=$H53,"◆",""),IF(AND(BH$11&gt;=$H53,BH$11&lt;=$I53),1,""))</f>
        <v/>
      </c>
      <c r="BI53" s="448" t="str">
        <f aca="false">IF($G53=0,IF(BI$11=$H53,"◆",""),IF(AND(BI$11&gt;=$H53,BI$11&lt;=$I53),1,""))</f>
        <v/>
      </c>
      <c r="BJ53" s="448" t="str">
        <f aca="false">IF($G53=0,IF(BJ$11=$H53,"◆",""),IF(AND(BJ$11&gt;=$H53,BJ$11&lt;=$I53),1,""))</f>
        <v/>
      </c>
      <c r="BK53" s="448" t="str">
        <f aca="false">IF($G53=0,IF(BK$11=$H53,"◆",""),IF(AND(BK$11&gt;=$H53,BK$11&lt;=$I53),1,""))</f>
        <v/>
      </c>
      <c r="BL53" s="448" t="str">
        <f aca="false">IF($G53=0,IF(BL$11=$H53,"◆",""),IF(AND(BL$11&gt;=$H53,BL$11&lt;=$I53),1,""))</f>
        <v/>
      </c>
      <c r="BM53" s="448" t="str">
        <f aca="false">IF($G53=0,IF(BM$11=$H53,"◆",""),IF(AND(BM$11&gt;=$H53,BM$11&lt;=$I53),1,""))</f>
        <v/>
      </c>
      <c r="BN53" s="448" t="str">
        <f aca="false">IF($G53=0,IF(BN$11=$H53,"◆",""),IF(AND(BN$11&gt;=$H53,BN$11&lt;=$I53),1,""))</f>
        <v/>
      </c>
      <c r="BO53" s="448" t="str">
        <f aca="false">IF($G53=0,IF(BO$11=$H53,"◆",""),IF(AND(BO$11&gt;=$H53,BO$11&lt;=$I53),1,""))</f>
        <v/>
      </c>
      <c r="BP53" s="448" t="str">
        <f aca="false">IF($G53=0,IF(BP$11=$H53,"◆",""),IF(AND(BP$11&gt;=$H53,BP$11&lt;=$I53),1,""))</f>
        <v/>
      </c>
      <c r="BQ53" s="448" t="str">
        <f aca="false">IF($G53=0,IF(BQ$11=$H53,"◆",""),IF(AND(BQ$11&gt;=$H53,BQ$11&lt;=$I53),1,""))</f>
        <v/>
      </c>
      <c r="BR53" s="448" t="str">
        <f aca="false">IF($G53=0,IF(BR$11=$H53,"◆",""),IF(AND(BR$11&gt;=$H53,BR$11&lt;=$I53),1,""))</f>
        <v/>
      </c>
      <c r="BS53" s="448" t="str">
        <f aca="false">IF($G53=0,IF(BS$11=$H53,"◆",""),IF(AND(BS$11&gt;=$H53,BS$11&lt;=$I53),1,""))</f>
        <v/>
      </c>
      <c r="BT53" s="448" t="str">
        <f aca="false">IF($G53=0,IF(BT$11=$H53,"◆",""),IF(AND(BT$11&gt;=$H53,BT$11&lt;=$I53),1,""))</f>
        <v/>
      </c>
      <c r="BU53" s="448" t="str">
        <f aca="false">IF($G53=0,IF(BU$11=$H53,"◆",""),IF(AND(BU$11&gt;=$H53,BU$11&lt;=$I53),1,""))</f>
        <v/>
      </c>
      <c r="BV53" s="448" t="str">
        <f aca="false">IF($G53=0,IF(BV$11=$H53,"◆",""),IF(AND(BV$11&gt;=$H53,BV$11&lt;=$I53),1,""))</f>
        <v/>
      </c>
      <c r="BW53" s="448" t="str">
        <f aca="false">IF($G53=0,IF(BW$11=$H53,"◆",""),IF(AND(BW$11&gt;=$H53,BW$11&lt;=$I53),1,""))</f>
        <v/>
      </c>
      <c r="BX53" s="448" t="str">
        <f aca="false">IF($G53=0,IF(BX$11=$H53,"◆",""),IF(AND(BX$11&gt;=$H53,BX$11&lt;=$I53),1,""))</f>
        <v/>
      </c>
      <c r="BY53" s="448" t="str">
        <f aca="false">IF($G53=0,IF(BY$11=$H53,"◆",""),IF(AND(BY$11&gt;=$H53,BY$11&lt;=$I53),1,""))</f>
        <v/>
      </c>
      <c r="BZ53" s="448" t="str">
        <f aca="false">IF($G53=0,IF(BZ$11=$H53,"◆",""),IF(AND(BZ$11&gt;=$H53,BZ$11&lt;=$I53),1,""))</f>
        <v/>
      </c>
      <c r="CA53" s="448" t="str">
        <f aca="false">IF($G53=0,IF(CA$11=$H53,"◆",""),IF(AND(CA$11&gt;=$H53,CA$11&lt;=$I53),1,""))</f>
        <v/>
      </c>
      <c r="CB53" s="448" t="str">
        <f aca="false">IF($G53=0,IF(CB$11=$H53,"◆",""),IF(AND(CB$11&gt;=$H53,CB$11&lt;=$I53),1,""))</f>
        <v/>
      </c>
      <c r="CC53" s="448" t="str">
        <f aca="false">IF($G53=0,IF(CC$11=$H53,"◆",""),IF(AND(CC$11&gt;=$H53,CC$11&lt;=$I53),1,""))</f>
        <v/>
      </c>
      <c r="CD53" s="448" t="str">
        <f aca="false">IF($G53=0,IF(CD$11=$H53,"◆",""),IF(AND(CD$11&gt;=$H53,CD$11&lt;=$I53),1,""))</f>
        <v/>
      </c>
      <c r="CE53" s="448" t="str">
        <f aca="false">IF($G53=0,IF(CE$11=$H53,"◆",""),IF(AND(CE$11&gt;=$H53,CE$11&lt;=$I53),1,""))</f>
        <v/>
      </c>
      <c r="CF53" s="448" t="str">
        <f aca="false">IF($G53=0,IF(CF$11=$H53,"◆",""),IF(AND(CF$11&gt;=$H53,CF$11&lt;=$I53),1,""))</f>
        <v/>
      </c>
      <c r="CG53" s="448" t="str">
        <f aca="false">IF($G53=0,IF(CG$11=$H53,"◆",""),IF(AND(CG$11&gt;=$H53,CG$11&lt;=$I53),1,""))</f>
        <v/>
      </c>
      <c r="CH53" s="448" t="str">
        <f aca="false">IF($G53=0,IF(CH$11=$H53,"◆",""),IF(AND(CH$11&gt;=$H53,CH$11&lt;=$I53),1,""))</f>
        <v/>
      </c>
      <c r="CI53" s="448" t="str">
        <f aca="false">IF($G53=0,IF(CI$11=$H53,"◆",""),IF(AND(CI$11&gt;=$H53,CI$11&lt;=$I53),1,""))</f>
        <v/>
      </c>
      <c r="CJ53" s="448" t="str">
        <f aca="false">IF($G53=0,IF(CJ$11=$H53,"◆",""),IF(AND(CJ$11&gt;=$H53,CJ$11&lt;=$I53),1,""))</f>
        <v/>
      </c>
      <c r="CK53" s="448" t="str">
        <f aca="false">IF($G53=0,IF(CK$11=$H53,"◆",""),IF(AND(CK$11&gt;=$H53,CK$11&lt;=$I53),1,""))</f>
        <v/>
      </c>
      <c r="CL53" s="448" t="str">
        <f aca="false">IF($G53=0,IF(CL$11=$H53,"◆",""),IF(AND(CL$11&gt;=$H53,CL$11&lt;=$I53),1,""))</f>
        <v/>
      </c>
      <c r="CM53" s="448" t="str">
        <f aca="false">IF($G53=0,IF(CM$11=$H53,"◆",""),IF(AND(CM$11&gt;=$H53,CM$11&lt;=$I53),1,""))</f>
        <v/>
      </c>
      <c r="CN53" s="448" t="str">
        <f aca="false">IF($G53=0,IF(CN$11=$H53,"◆",""),IF(AND(CN$11&gt;=$H53,CN$11&lt;=$I53),1,""))</f>
        <v/>
      </c>
      <c r="CO53" s="448" t="str">
        <f aca="false">IF($G53=0,IF(CO$11=$H53,"◆",""),IF(AND(CO$11&gt;=$H53,CO$11&lt;=$I53),1,""))</f>
        <v/>
      </c>
      <c r="CP53" s="448" t="str">
        <f aca="false">IF($G53=0,IF(CP$11=$H53,"◆",""),IF(AND(CP$11&gt;=$H53,CP$11&lt;=$I53),1,""))</f>
        <v/>
      </c>
      <c r="CQ53" s="448" t="str">
        <f aca="false">IF($G53=0,IF(CQ$11=$H53,"◆",""),IF(AND(CQ$11&gt;=$H53,CQ$11&lt;=$I53),1,""))</f>
        <v/>
      </c>
      <c r="CR53" s="448" t="str">
        <f aca="false">IF($G53=0,IF(CR$11=$H53,"◆",""),IF(AND(CR$11&gt;=$H53,CR$11&lt;=$I53),1,""))</f>
        <v/>
      </c>
      <c r="CS53" s="448" t="str">
        <f aca="false">IF($G53=0,IF(CS$11=$H53,"◆",""),IF(AND(CS$11&gt;=$H53,CS$11&lt;=$I53),1,""))</f>
        <v/>
      </c>
      <c r="CT53" s="448" t="str">
        <f aca="false">IF($G53=0,IF(CT$11=$H53,"◆",""),IF(AND(CT$11&gt;=$H53,CT$11&lt;=$I53),1,""))</f>
        <v/>
      </c>
      <c r="CU53" s="448" t="str">
        <f aca="false">IF($G53=0,IF(CU$11=$H53,"◆",""),IF(AND(CU$11&gt;=$H53,CU$11&lt;=$I53),1,""))</f>
        <v/>
      </c>
      <c r="CV53" s="448" t="str">
        <f aca="false">IF($G53=0,IF(CV$11=$H53,"◆",""),IF(AND(CV$11&gt;=$H53,CV$11&lt;=$I53),1,""))</f>
        <v/>
      </c>
      <c r="CW53" s="448" t="str">
        <f aca="false">IF($G53=0,IF(CW$11=$H53,"◆",""),IF(AND(CW$11&gt;=$H53,CW$11&lt;=$I53),1,""))</f>
        <v/>
      </c>
      <c r="CX53" s="448" t="str">
        <f aca="false">IF($G53=0,IF(CX$11=$H53,"◆",""),IF(AND(CX$11&gt;=$H53,CX$11&lt;=$I53),1,""))</f>
        <v/>
      </c>
      <c r="CY53" s="448" t="str">
        <f aca="false">IF($G53=0,IF(CY$11=$H53,"◆",""),IF(AND(CY$11&gt;=$H53,CY$11&lt;=$I53),1,""))</f>
        <v/>
      </c>
      <c r="CZ53" s="448" t="str">
        <f aca="false">IF($G53=0,IF(CZ$11=$H53,"◆",""),IF(AND(CZ$11&gt;=$H53,CZ$11&lt;=$I53),1,""))</f>
        <v/>
      </c>
      <c r="DA53" s="448" t="str">
        <f aca="false">IF($G53=0,IF(DA$11=$H53,"◆",""),IF(AND(DA$11&gt;=$H53,DA$11&lt;=$I53),1,""))</f>
        <v/>
      </c>
      <c r="DB53" s="448" t="str">
        <f aca="false">IF($G53=0,IF(DB$11=$H53,"◆",""),IF(AND(DB$11&gt;=$H53,DB$11&lt;=$I53),1,""))</f>
        <v/>
      </c>
      <c r="DC53" s="448" t="str">
        <f aca="false">IF($G53=0,IF(DC$11=$H53,"◆",""),IF(AND(DC$11&gt;=$H53,DC$11&lt;=$I53),1,""))</f>
        <v/>
      </c>
      <c r="DD53" s="448" t="str">
        <f aca="false">IF($G53=0,IF(DD$11=$H53,"◆",""),IF(AND(DD$11&gt;=$H53,DD$11&lt;=$I53),1,""))</f>
        <v/>
      </c>
      <c r="DE53" s="448" t="str">
        <f aca="false">IF($G53=0,IF(DE$11=$H53,"◆",""),IF(AND(DE$11&gt;=$H53,DE$11&lt;=$I53),1,""))</f>
        <v/>
      </c>
      <c r="DF53" s="448" t="str">
        <f aca="false">IF($G53=0,IF(DF$11=$H53,"◆",""),IF(AND(DF$11&gt;=$H53,DF$11&lt;=$I53),1,""))</f>
        <v/>
      </c>
      <c r="DG53" s="448" t="str">
        <f aca="false">IF($G53=0,IF(DG$11=$H53,"◆",""),IF(AND(DG$11&gt;=$H53,DG$11&lt;=$I53),1,""))</f>
        <v/>
      </c>
      <c r="DH53" s="448" t="str">
        <f aca="false">IF($G53=0,IF(DH$11=$H53,"◆",""),IF(AND(DH$11&gt;=$H53,DH$11&lt;=$I53),1,""))</f>
        <v/>
      </c>
      <c r="DI53" s="448" t="str">
        <f aca="false">IF($G53=0,IF(DI$11=$H53,"◆",""),IF(AND(DI$11&gt;=$H53,DI$11&lt;=$I53),1,""))</f>
        <v/>
      </c>
      <c r="DJ53" s="448" t="str">
        <f aca="false">IF($G53=0,IF(DJ$11=$H53,"◆",""),IF(AND(DJ$11&gt;=$H53,DJ$11&lt;=$I53),1,""))</f>
        <v/>
      </c>
      <c r="DK53" s="448" t="str">
        <f aca="false">IF($G53=0,IF(DK$11=$H53,"◆",""),IF(AND(DK$11&gt;=$H53,DK$11&lt;=$I53),1,""))</f>
        <v/>
      </c>
      <c r="DL53" s="448" t="str">
        <f aca="false">IF($G53=0,IF(DL$11=$H53,"◆",""),IF(AND(DL$11&gt;=$H53,DL$11&lt;=$I53),1,""))</f>
        <v/>
      </c>
      <c r="DM53" s="448" t="str">
        <f aca="false">IF($G53=0,IF(DM$11=$H53,"◆",""),IF(AND(DM$11&gt;=$H53,DM$11&lt;=$I53),1,""))</f>
        <v/>
      </c>
      <c r="DN53" s="448" t="str">
        <f aca="false">IF($G53=0,IF(DN$11=$H53,"◆",""),IF(AND(DN$11&gt;=$H53,DN$11&lt;=$I53),1,""))</f>
        <v/>
      </c>
      <c r="DO53" s="448" t="str">
        <f aca="false">IF($G53=0,IF(DO$11=$H53,"◆",""),IF(AND(DO$11&gt;=$H53,DO$11&lt;=$I53),1,""))</f>
        <v/>
      </c>
      <c r="DP53" s="448" t="str">
        <f aca="false">IF($G53=0,IF(DP$11=$H53,"◆",""),IF(AND(DP$11&gt;=$H53,DP$11&lt;=$I53),1,""))</f>
        <v/>
      </c>
      <c r="DQ53" s="448" t="str">
        <f aca="false">IF($G53=0,IF(DQ$11=$H53,"◆",""),IF(AND(DQ$11&gt;=$H53,DQ$11&lt;=$I53),1,""))</f>
        <v/>
      </c>
      <c r="DR53" s="448" t="str">
        <f aca="false">IF($G53=0,IF(DR$11=$H53,"◆",""),IF(AND(DR$11&gt;=$H53,DR$11&lt;=$I53),1,""))</f>
        <v/>
      </c>
      <c r="DS53" s="448" t="str">
        <f aca="false">IF($G53=0,IF(DS$11=$H53,"◆",""),IF(AND(DS$11&gt;=$H53,DS$11&lt;=$I53),1,""))</f>
        <v/>
      </c>
      <c r="DT53" s="448" t="str">
        <f aca="false">IF($G53=0,IF(DT$11=$H53,"◆",""),IF(AND(DT$11&gt;=$H53,DT$11&lt;=$I53),1,""))</f>
        <v/>
      </c>
      <c r="DU53" s="448" t="str">
        <f aca="false">IF($G53=0,IF(DU$11=$H53,"◆",""),IF(AND(DU$11&gt;=$H53,DU$11&lt;=$I53),1,""))</f>
        <v/>
      </c>
      <c r="DV53" s="448" t="str">
        <f aca="false">IF($G53=0,IF(DV$11=$H53,"◆",""),IF(AND(DV$11&gt;=$H53,DV$11&lt;=$I53),1,""))</f>
        <v/>
      </c>
      <c r="DW53" s="448" t="str">
        <f aca="false">IF($G53=0,IF(DW$11=$H53,"◆",""),IF(AND(DW$11&gt;=$H53,DW$11&lt;=$I53),1,""))</f>
        <v/>
      </c>
      <c r="DX53" s="448" t="str">
        <f aca="false">IF($G53=0,IF(DX$11=$H53,"◆",""),IF(AND(DX$11&gt;=$H53,DX$11&lt;=$I53),1,""))</f>
        <v/>
      </c>
      <c r="DY53" s="448" t="str">
        <f aca="false">IF($G53=0,IF(DY$11=$H53,"◆",""),IF(AND(DY$11&gt;=$H53,DY$11&lt;=$I53),1,""))</f>
        <v/>
      </c>
      <c r="DZ53" s="448" t="str">
        <f aca="false">IF($G53=0,IF(DZ$11=$H53,"◆",""),IF(AND(DZ$11&gt;=$H53,DZ$11&lt;=$I53),1,""))</f>
        <v/>
      </c>
      <c r="EA53" s="448" t="str">
        <f aca="false">IF($G53=0,IF(EA$11=$H53,"◆",""),IF(AND(EA$11&gt;=$H53,EA$11&lt;=$I53),1,""))</f>
        <v/>
      </c>
      <c r="EB53" s="448" t="str">
        <f aca="false">IF($G53=0,IF(EB$11=$H53,"◆",""),IF(AND(EB$11&gt;=$H53,EB$11&lt;=$I53),1,""))</f>
        <v/>
      </c>
      <c r="EC53" s="448" t="str">
        <f aca="false">IF($G53=0,IF(EC$11=$H53,"◆",""),IF(AND(EC$11&gt;=$H53,EC$11&lt;=$I53),1,""))</f>
        <v/>
      </c>
      <c r="ED53" s="448" t="str">
        <f aca="false">IF($G53=0,IF(ED$11=$H53,"◆",""),IF(AND(ED$11&gt;=$H53,ED$11&lt;=$I53),1,""))</f>
        <v/>
      </c>
    </row>
    <row r="54" customFormat="false" ht="15" hidden="false" customHeight="true" outlineLevel="0" collapsed="false">
      <c r="A54" s="441" t="s">
        <v>2533</v>
      </c>
      <c r="B54" s="297" t="s">
        <v>2534</v>
      </c>
      <c r="C54" s="442" t="s">
        <v>2531</v>
      </c>
      <c r="D54" s="443" t="s">
        <v>2496</v>
      </c>
      <c r="E54" s="354" t="n">
        <f aca="false">FC_SUPUESTOS!$C$23-FC_SUPUESTOS!$C$21</f>
        <v>8</v>
      </c>
      <c r="F54" s="352" t="n">
        <v>-6</v>
      </c>
      <c r="G54" s="352" t="n">
        <v>8</v>
      </c>
      <c r="H54" s="367" t="n">
        <f aca="false">MAX(1,ROUND(($E54-1)*$D$5,0)+1+$F54)</f>
        <v>25</v>
      </c>
      <c r="I54" s="367" t="n">
        <f aca="false">MAX($H54,$H54+$G54-1)</f>
        <v>32</v>
      </c>
      <c r="J54" s="444" t="n">
        <f aca="false">$D$4+($H54-1)*7</f>
        <v>46468</v>
      </c>
      <c r="K54" s="444" t="n">
        <f aca="false">$D$4+$I54*7-1</f>
        <v>46523</v>
      </c>
      <c r="L54" s="445" t="n">
        <f aca="false">ROUNDUP($H54/$D$5,0)</f>
        <v>6</v>
      </c>
      <c r="M54" s="446" t="s">
        <v>2453</v>
      </c>
      <c r="N54" s="447" t="n">
        <v>0</v>
      </c>
      <c r="O54" s="448" t="str">
        <f aca="false">IF($G54=0,IF(O$11=$H54,"◆",""),IF(AND(O$11&gt;=$H54,O$11&lt;=$I54),1,""))</f>
        <v/>
      </c>
      <c r="P54" s="448" t="str">
        <f aca="false">IF($G54=0,IF(P$11=$H54,"◆",""),IF(AND(P$11&gt;=$H54,P$11&lt;=$I54),1,""))</f>
        <v/>
      </c>
      <c r="Q54" s="448" t="str">
        <f aca="false">IF($G54=0,IF(Q$11=$H54,"◆",""),IF(AND(Q$11&gt;=$H54,Q$11&lt;=$I54),1,""))</f>
        <v/>
      </c>
      <c r="R54" s="448" t="str">
        <f aca="false">IF($G54=0,IF(R$11=$H54,"◆",""),IF(AND(R$11&gt;=$H54,R$11&lt;=$I54),1,""))</f>
        <v/>
      </c>
      <c r="S54" s="448" t="str">
        <f aca="false">IF($G54=0,IF(S$11=$H54,"◆",""),IF(AND(S$11&gt;=$H54,S$11&lt;=$I54),1,""))</f>
        <v/>
      </c>
      <c r="T54" s="448" t="str">
        <f aca="false">IF($G54=0,IF(T$11=$H54,"◆",""),IF(AND(T$11&gt;=$H54,T$11&lt;=$I54),1,""))</f>
        <v/>
      </c>
      <c r="U54" s="448" t="str">
        <f aca="false">IF($G54=0,IF(U$11=$H54,"◆",""),IF(AND(U$11&gt;=$H54,U$11&lt;=$I54),1,""))</f>
        <v/>
      </c>
      <c r="V54" s="448" t="str">
        <f aca="false">IF($G54=0,IF(V$11=$H54,"◆",""),IF(AND(V$11&gt;=$H54,V$11&lt;=$I54),1,""))</f>
        <v/>
      </c>
      <c r="W54" s="448" t="str">
        <f aca="false">IF($G54=0,IF(W$11=$H54,"◆",""),IF(AND(W$11&gt;=$H54,W$11&lt;=$I54),1,""))</f>
        <v/>
      </c>
      <c r="X54" s="448" t="str">
        <f aca="false">IF($G54=0,IF(X$11=$H54,"◆",""),IF(AND(X$11&gt;=$H54,X$11&lt;=$I54),1,""))</f>
        <v/>
      </c>
      <c r="Y54" s="448" t="str">
        <f aca="false">IF($G54=0,IF(Y$11=$H54,"◆",""),IF(AND(Y$11&gt;=$H54,Y$11&lt;=$I54),1,""))</f>
        <v/>
      </c>
      <c r="Z54" s="448" t="str">
        <f aca="false">IF($G54=0,IF(Z$11=$H54,"◆",""),IF(AND(Z$11&gt;=$H54,Z$11&lt;=$I54),1,""))</f>
        <v/>
      </c>
      <c r="AA54" s="448" t="str">
        <f aca="false">IF($G54=0,IF(AA$11=$H54,"◆",""),IF(AND(AA$11&gt;=$H54,AA$11&lt;=$I54),1,""))</f>
        <v/>
      </c>
      <c r="AB54" s="448" t="str">
        <f aca="false">IF($G54=0,IF(AB$11=$H54,"◆",""),IF(AND(AB$11&gt;=$H54,AB$11&lt;=$I54),1,""))</f>
        <v/>
      </c>
      <c r="AC54" s="448" t="str">
        <f aca="false">IF($G54=0,IF(AC$11=$H54,"◆",""),IF(AND(AC$11&gt;=$H54,AC$11&lt;=$I54),1,""))</f>
        <v/>
      </c>
      <c r="AD54" s="448" t="str">
        <f aca="false">IF($G54=0,IF(AD$11=$H54,"◆",""),IF(AND(AD$11&gt;=$H54,AD$11&lt;=$I54),1,""))</f>
        <v/>
      </c>
      <c r="AE54" s="448" t="str">
        <f aca="false">IF($G54=0,IF(AE$11=$H54,"◆",""),IF(AND(AE$11&gt;=$H54,AE$11&lt;=$I54),1,""))</f>
        <v/>
      </c>
      <c r="AF54" s="448" t="str">
        <f aca="false">IF($G54=0,IF(AF$11=$H54,"◆",""),IF(AND(AF$11&gt;=$H54,AF$11&lt;=$I54),1,""))</f>
        <v/>
      </c>
      <c r="AG54" s="448" t="str">
        <f aca="false">IF($G54=0,IF(AG$11=$H54,"◆",""),IF(AND(AG$11&gt;=$H54,AG$11&lt;=$I54),1,""))</f>
        <v/>
      </c>
      <c r="AH54" s="448" t="str">
        <f aca="false">IF($G54=0,IF(AH$11=$H54,"◆",""),IF(AND(AH$11&gt;=$H54,AH$11&lt;=$I54),1,""))</f>
        <v/>
      </c>
      <c r="AI54" s="448" t="str">
        <f aca="false">IF($G54=0,IF(AI$11=$H54,"◆",""),IF(AND(AI$11&gt;=$H54,AI$11&lt;=$I54),1,""))</f>
        <v/>
      </c>
      <c r="AJ54" s="448" t="str">
        <f aca="false">IF($G54=0,IF(AJ$11=$H54,"◆",""),IF(AND(AJ$11&gt;=$H54,AJ$11&lt;=$I54),1,""))</f>
        <v/>
      </c>
      <c r="AK54" s="448" t="str">
        <f aca="false">IF($G54=0,IF(AK$11=$H54,"◆",""),IF(AND(AK$11&gt;=$H54,AK$11&lt;=$I54),1,""))</f>
        <v/>
      </c>
      <c r="AL54" s="448" t="str">
        <f aca="false">IF($G54=0,IF(AL$11=$H54,"◆",""),IF(AND(AL$11&gt;=$H54,AL$11&lt;=$I54),1,""))</f>
        <v/>
      </c>
      <c r="AM54" s="448" t="n">
        <f aca="false">IF($G54=0,IF(AM$11=$H54,"◆",""),IF(AND(AM$11&gt;=$H54,AM$11&lt;=$I54),1,""))</f>
        <v>1</v>
      </c>
      <c r="AN54" s="448" t="n">
        <f aca="false">IF($G54=0,IF(AN$11=$H54,"◆",""),IF(AND(AN$11&gt;=$H54,AN$11&lt;=$I54),1,""))</f>
        <v>1</v>
      </c>
      <c r="AO54" s="448" t="n">
        <f aca="false">IF($G54=0,IF(AO$11=$H54,"◆",""),IF(AND(AO$11&gt;=$H54,AO$11&lt;=$I54),1,""))</f>
        <v>1</v>
      </c>
      <c r="AP54" s="448" t="n">
        <f aca="false">IF($G54=0,IF(AP$11=$H54,"◆",""),IF(AND(AP$11&gt;=$H54,AP$11&lt;=$I54),1,""))</f>
        <v>1</v>
      </c>
      <c r="AQ54" s="448" t="n">
        <f aca="false">IF($G54=0,IF(AQ$11=$H54,"◆",""),IF(AND(AQ$11&gt;=$H54,AQ$11&lt;=$I54),1,""))</f>
        <v>1</v>
      </c>
      <c r="AR54" s="448" t="n">
        <f aca="false">IF($G54=0,IF(AR$11=$H54,"◆",""),IF(AND(AR$11&gt;=$H54,AR$11&lt;=$I54),1,""))</f>
        <v>1</v>
      </c>
      <c r="AS54" s="448" t="n">
        <f aca="false">IF($G54=0,IF(AS$11=$H54,"◆",""),IF(AND(AS$11&gt;=$H54,AS$11&lt;=$I54),1,""))</f>
        <v>1</v>
      </c>
      <c r="AT54" s="448" t="n">
        <f aca="false">IF($G54=0,IF(AT$11=$H54,"◆",""),IF(AND(AT$11&gt;=$H54,AT$11&lt;=$I54),1,""))</f>
        <v>1</v>
      </c>
      <c r="AU54" s="448" t="str">
        <f aca="false">IF($G54=0,IF(AU$11=$H54,"◆",""),IF(AND(AU$11&gt;=$H54,AU$11&lt;=$I54),1,""))</f>
        <v/>
      </c>
      <c r="AV54" s="448" t="str">
        <f aca="false">IF($G54=0,IF(AV$11=$H54,"◆",""),IF(AND(AV$11&gt;=$H54,AV$11&lt;=$I54),1,""))</f>
        <v/>
      </c>
      <c r="AW54" s="448" t="str">
        <f aca="false">IF($G54=0,IF(AW$11=$H54,"◆",""),IF(AND(AW$11&gt;=$H54,AW$11&lt;=$I54),1,""))</f>
        <v/>
      </c>
      <c r="AX54" s="448" t="str">
        <f aca="false">IF($G54=0,IF(AX$11=$H54,"◆",""),IF(AND(AX$11&gt;=$H54,AX$11&lt;=$I54),1,""))</f>
        <v/>
      </c>
      <c r="AY54" s="448" t="str">
        <f aca="false">IF($G54=0,IF(AY$11=$H54,"◆",""),IF(AND(AY$11&gt;=$H54,AY$11&lt;=$I54),1,""))</f>
        <v/>
      </c>
      <c r="AZ54" s="448" t="str">
        <f aca="false">IF($G54=0,IF(AZ$11=$H54,"◆",""),IF(AND(AZ$11&gt;=$H54,AZ$11&lt;=$I54),1,""))</f>
        <v/>
      </c>
      <c r="BA54" s="448" t="str">
        <f aca="false">IF($G54=0,IF(BA$11=$H54,"◆",""),IF(AND(BA$11&gt;=$H54,BA$11&lt;=$I54),1,""))</f>
        <v/>
      </c>
      <c r="BB54" s="448" t="str">
        <f aca="false">IF($G54=0,IF(BB$11=$H54,"◆",""),IF(AND(BB$11&gt;=$H54,BB$11&lt;=$I54),1,""))</f>
        <v/>
      </c>
      <c r="BC54" s="448" t="str">
        <f aca="false">IF($G54=0,IF(BC$11=$H54,"◆",""),IF(AND(BC$11&gt;=$H54,BC$11&lt;=$I54),1,""))</f>
        <v/>
      </c>
      <c r="BD54" s="448" t="str">
        <f aca="false">IF($G54=0,IF(BD$11=$H54,"◆",""),IF(AND(BD$11&gt;=$H54,BD$11&lt;=$I54),1,""))</f>
        <v/>
      </c>
      <c r="BE54" s="448" t="str">
        <f aca="false">IF($G54=0,IF(BE$11=$H54,"◆",""),IF(AND(BE$11&gt;=$H54,BE$11&lt;=$I54),1,""))</f>
        <v/>
      </c>
      <c r="BF54" s="448" t="str">
        <f aca="false">IF($G54=0,IF(BF$11=$H54,"◆",""),IF(AND(BF$11&gt;=$H54,BF$11&lt;=$I54),1,""))</f>
        <v/>
      </c>
      <c r="BG54" s="448" t="str">
        <f aca="false">IF($G54=0,IF(BG$11=$H54,"◆",""),IF(AND(BG$11&gt;=$H54,BG$11&lt;=$I54),1,""))</f>
        <v/>
      </c>
      <c r="BH54" s="448" t="str">
        <f aca="false">IF($G54=0,IF(BH$11=$H54,"◆",""),IF(AND(BH$11&gt;=$H54,BH$11&lt;=$I54),1,""))</f>
        <v/>
      </c>
      <c r="BI54" s="448" t="str">
        <f aca="false">IF($G54=0,IF(BI$11=$H54,"◆",""),IF(AND(BI$11&gt;=$H54,BI$11&lt;=$I54),1,""))</f>
        <v/>
      </c>
      <c r="BJ54" s="448" t="str">
        <f aca="false">IF($G54=0,IF(BJ$11=$H54,"◆",""),IF(AND(BJ$11&gt;=$H54,BJ$11&lt;=$I54),1,""))</f>
        <v/>
      </c>
      <c r="BK54" s="448" t="str">
        <f aca="false">IF($G54=0,IF(BK$11=$H54,"◆",""),IF(AND(BK$11&gt;=$H54,BK$11&lt;=$I54),1,""))</f>
        <v/>
      </c>
      <c r="BL54" s="448" t="str">
        <f aca="false">IF($G54=0,IF(BL$11=$H54,"◆",""),IF(AND(BL$11&gt;=$H54,BL$11&lt;=$I54),1,""))</f>
        <v/>
      </c>
      <c r="BM54" s="448" t="str">
        <f aca="false">IF($G54=0,IF(BM$11=$H54,"◆",""),IF(AND(BM$11&gt;=$H54,BM$11&lt;=$I54),1,""))</f>
        <v/>
      </c>
      <c r="BN54" s="448" t="str">
        <f aca="false">IF($G54=0,IF(BN$11=$H54,"◆",""),IF(AND(BN$11&gt;=$H54,BN$11&lt;=$I54),1,""))</f>
        <v/>
      </c>
      <c r="BO54" s="448" t="str">
        <f aca="false">IF($G54=0,IF(BO$11=$H54,"◆",""),IF(AND(BO$11&gt;=$H54,BO$11&lt;=$I54),1,""))</f>
        <v/>
      </c>
      <c r="BP54" s="448" t="str">
        <f aca="false">IF($G54=0,IF(BP$11=$H54,"◆",""),IF(AND(BP$11&gt;=$H54,BP$11&lt;=$I54),1,""))</f>
        <v/>
      </c>
      <c r="BQ54" s="448" t="str">
        <f aca="false">IF($G54=0,IF(BQ$11=$H54,"◆",""),IF(AND(BQ$11&gt;=$H54,BQ$11&lt;=$I54),1,""))</f>
        <v/>
      </c>
      <c r="BR54" s="448" t="str">
        <f aca="false">IF($G54=0,IF(BR$11=$H54,"◆",""),IF(AND(BR$11&gt;=$H54,BR$11&lt;=$I54),1,""))</f>
        <v/>
      </c>
      <c r="BS54" s="448" t="str">
        <f aca="false">IF($G54=0,IF(BS$11=$H54,"◆",""),IF(AND(BS$11&gt;=$H54,BS$11&lt;=$I54),1,""))</f>
        <v/>
      </c>
      <c r="BT54" s="448" t="str">
        <f aca="false">IF($G54=0,IF(BT$11=$H54,"◆",""),IF(AND(BT$11&gt;=$H54,BT$11&lt;=$I54),1,""))</f>
        <v/>
      </c>
      <c r="BU54" s="448" t="str">
        <f aca="false">IF($G54=0,IF(BU$11=$H54,"◆",""),IF(AND(BU$11&gt;=$H54,BU$11&lt;=$I54),1,""))</f>
        <v/>
      </c>
      <c r="BV54" s="448" t="str">
        <f aca="false">IF($G54=0,IF(BV$11=$H54,"◆",""),IF(AND(BV$11&gt;=$H54,BV$11&lt;=$I54),1,""))</f>
        <v/>
      </c>
      <c r="BW54" s="448" t="str">
        <f aca="false">IF($G54=0,IF(BW$11=$H54,"◆",""),IF(AND(BW$11&gt;=$H54,BW$11&lt;=$I54),1,""))</f>
        <v/>
      </c>
      <c r="BX54" s="448" t="str">
        <f aca="false">IF($G54=0,IF(BX$11=$H54,"◆",""),IF(AND(BX$11&gt;=$H54,BX$11&lt;=$I54),1,""))</f>
        <v/>
      </c>
      <c r="BY54" s="448" t="str">
        <f aca="false">IF($G54=0,IF(BY$11=$H54,"◆",""),IF(AND(BY$11&gt;=$H54,BY$11&lt;=$I54),1,""))</f>
        <v/>
      </c>
      <c r="BZ54" s="448" t="str">
        <f aca="false">IF($G54=0,IF(BZ$11=$H54,"◆",""),IF(AND(BZ$11&gt;=$H54,BZ$11&lt;=$I54),1,""))</f>
        <v/>
      </c>
      <c r="CA54" s="448" t="str">
        <f aca="false">IF($G54=0,IF(CA$11=$H54,"◆",""),IF(AND(CA$11&gt;=$H54,CA$11&lt;=$I54),1,""))</f>
        <v/>
      </c>
      <c r="CB54" s="448" t="str">
        <f aca="false">IF($G54=0,IF(CB$11=$H54,"◆",""),IF(AND(CB$11&gt;=$H54,CB$11&lt;=$I54),1,""))</f>
        <v/>
      </c>
      <c r="CC54" s="448" t="str">
        <f aca="false">IF($G54=0,IF(CC$11=$H54,"◆",""),IF(AND(CC$11&gt;=$H54,CC$11&lt;=$I54),1,""))</f>
        <v/>
      </c>
      <c r="CD54" s="448" t="str">
        <f aca="false">IF($G54=0,IF(CD$11=$H54,"◆",""),IF(AND(CD$11&gt;=$H54,CD$11&lt;=$I54),1,""))</f>
        <v/>
      </c>
      <c r="CE54" s="448" t="str">
        <f aca="false">IF($G54=0,IF(CE$11=$H54,"◆",""),IF(AND(CE$11&gt;=$H54,CE$11&lt;=$I54),1,""))</f>
        <v/>
      </c>
      <c r="CF54" s="448" t="str">
        <f aca="false">IF($G54=0,IF(CF$11=$H54,"◆",""),IF(AND(CF$11&gt;=$H54,CF$11&lt;=$I54),1,""))</f>
        <v/>
      </c>
      <c r="CG54" s="448" t="str">
        <f aca="false">IF($G54=0,IF(CG$11=$H54,"◆",""),IF(AND(CG$11&gt;=$H54,CG$11&lt;=$I54),1,""))</f>
        <v/>
      </c>
      <c r="CH54" s="448" t="str">
        <f aca="false">IF($G54=0,IF(CH$11=$H54,"◆",""),IF(AND(CH$11&gt;=$H54,CH$11&lt;=$I54),1,""))</f>
        <v/>
      </c>
      <c r="CI54" s="448" t="str">
        <f aca="false">IF($G54=0,IF(CI$11=$H54,"◆",""),IF(AND(CI$11&gt;=$H54,CI$11&lt;=$I54),1,""))</f>
        <v/>
      </c>
      <c r="CJ54" s="448" t="str">
        <f aca="false">IF($G54=0,IF(CJ$11=$H54,"◆",""),IF(AND(CJ$11&gt;=$H54,CJ$11&lt;=$I54),1,""))</f>
        <v/>
      </c>
      <c r="CK54" s="448" t="str">
        <f aca="false">IF($G54=0,IF(CK$11=$H54,"◆",""),IF(AND(CK$11&gt;=$H54,CK$11&lt;=$I54),1,""))</f>
        <v/>
      </c>
      <c r="CL54" s="448" t="str">
        <f aca="false">IF($G54=0,IF(CL$11=$H54,"◆",""),IF(AND(CL$11&gt;=$H54,CL$11&lt;=$I54),1,""))</f>
        <v/>
      </c>
      <c r="CM54" s="448" t="str">
        <f aca="false">IF($G54=0,IF(CM$11=$H54,"◆",""),IF(AND(CM$11&gt;=$H54,CM$11&lt;=$I54),1,""))</f>
        <v/>
      </c>
      <c r="CN54" s="448" t="str">
        <f aca="false">IF($G54=0,IF(CN$11=$H54,"◆",""),IF(AND(CN$11&gt;=$H54,CN$11&lt;=$I54),1,""))</f>
        <v/>
      </c>
      <c r="CO54" s="448" t="str">
        <f aca="false">IF($G54=0,IF(CO$11=$H54,"◆",""),IF(AND(CO$11&gt;=$H54,CO$11&lt;=$I54),1,""))</f>
        <v/>
      </c>
      <c r="CP54" s="448" t="str">
        <f aca="false">IF($G54=0,IF(CP$11=$H54,"◆",""),IF(AND(CP$11&gt;=$H54,CP$11&lt;=$I54),1,""))</f>
        <v/>
      </c>
      <c r="CQ54" s="448" t="str">
        <f aca="false">IF($G54=0,IF(CQ$11=$H54,"◆",""),IF(AND(CQ$11&gt;=$H54,CQ$11&lt;=$I54),1,""))</f>
        <v/>
      </c>
      <c r="CR54" s="448" t="str">
        <f aca="false">IF($G54=0,IF(CR$11=$H54,"◆",""),IF(AND(CR$11&gt;=$H54,CR$11&lt;=$I54),1,""))</f>
        <v/>
      </c>
      <c r="CS54" s="448" t="str">
        <f aca="false">IF($G54=0,IF(CS$11=$H54,"◆",""),IF(AND(CS$11&gt;=$H54,CS$11&lt;=$I54),1,""))</f>
        <v/>
      </c>
      <c r="CT54" s="448" t="str">
        <f aca="false">IF($G54=0,IF(CT$11=$H54,"◆",""),IF(AND(CT$11&gt;=$H54,CT$11&lt;=$I54),1,""))</f>
        <v/>
      </c>
      <c r="CU54" s="448" t="str">
        <f aca="false">IF($G54=0,IF(CU$11=$H54,"◆",""),IF(AND(CU$11&gt;=$H54,CU$11&lt;=$I54),1,""))</f>
        <v/>
      </c>
      <c r="CV54" s="448" t="str">
        <f aca="false">IF($G54=0,IF(CV$11=$H54,"◆",""),IF(AND(CV$11&gt;=$H54,CV$11&lt;=$I54),1,""))</f>
        <v/>
      </c>
      <c r="CW54" s="448" t="str">
        <f aca="false">IF($G54=0,IF(CW$11=$H54,"◆",""),IF(AND(CW$11&gt;=$H54,CW$11&lt;=$I54),1,""))</f>
        <v/>
      </c>
      <c r="CX54" s="448" t="str">
        <f aca="false">IF($G54=0,IF(CX$11=$H54,"◆",""),IF(AND(CX$11&gt;=$H54,CX$11&lt;=$I54),1,""))</f>
        <v/>
      </c>
      <c r="CY54" s="448" t="str">
        <f aca="false">IF($G54=0,IF(CY$11=$H54,"◆",""),IF(AND(CY$11&gt;=$H54,CY$11&lt;=$I54),1,""))</f>
        <v/>
      </c>
      <c r="CZ54" s="448" t="str">
        <f aca="false">IF($G54=0,IF(CZ$11=$H54,"◆",""),IF(AND(CZ$11&gt;=$H54,CZ$11&lt;=$I54),1,""))</f>
        <v/>
      </c>
      <c r="DA54" s="448" t="str">
        <f aca="false">IF($G54=0,IF(DA$11=$H54,"◆",""),IF(AND(DA$11&gt;=$H54,DA$11&lt;=$I54),1,""))</f>
        <v/>
      </c>
      <c r="DB54" s="448" t="str">
        <f aca="false">IF($G54=0,IF(DB$11=$H54,"◆",""),IF(AND(DB$11&gt;=$H54,DB$11&lt;=$I54),1,""))</f>
        <v/>
      </c>
      <c r="DC54" s="448" t="str">
        <f aca="false">IF($G54=0,IF(DC$11=$H54,"◆",""),IF(AND(DC$11&gt;=$H54,DC$11&lt;=$I54),1,""))</f>
        <v/>
      </c>
      <c r="DD54" s="448" t="str">
        <f aca="false">IF($G54=0,IF(DD$11=$H54,"◆",""),IF(AND(DD$11&gt;=$H54,DD$11&lt;=$I54),1,""))</f>
        <v/>
      </c>
      <c r="DE54" s="448" t="str">
        <f aca="false">IF($G54=0,IF(DE$11=$H54,"◆",""),IF(AND(DE$11&gt;=$H54,DE$11&lt;=$I54),1,""))</f>
        <v/>
      </c>
      <c r="DF54" s="448" t="str">
        <f aca="false">IF($G54=0,IF(DF$11=$H54,"◆",""),IF(AND(DF$11&gt;=$H54,DF$11&lt;=$I54),1,""))</f>
        <v/>
      </c>
      <c r="DG54" s="448" t="str">
        <f aca="false">IF($G54=0,IF(DG$11=$H54,"◆",""),IF(AND(DG$11&gt;=$H54,DG$11&lt;=$I54),1,""))</f>
        <v/>
      </c>
      <c r="DH54" s="448" t="str">
        <f aca="false">IF($G54=0,IF(DH$11=$H54,"◆",""),IF(AND(DH$11&gt;=$H54,DH$11&lt;=$I54),1,""))</f>
        <v/>
      </c>
      <c r="DI54" s="448" t="str">
        <f aca="false">IF($G54=0,IF(DI$11=$H54,"◆",""),IF(AND(DI$11&gt;=$H54,DI$11&lt;=$I54),1,""))</f>
        <v/>
      </c>
      <c r="DJ54" s="448" t="str">
        <f aca="false">IF($G54=0,IF(DJ$11=$H54,"◆",""),IF(AND(DJ$11&gt;=$H54,DJ$11&lt;=$I54),1,""))</f>
        <v/>
      </c>
      <c r="DK54" s="448" t="str">
        <f aca="false">IF($G54=0,IF(DK$11=$H54,"◆",""),IF(AND(DK$11&gt;=$H54,DK$11&lt;=$I54),1,""))</f>
        <v/>
      </c>
      <c r="DL54" s="448" t="str">
        <f aca="false">IF($G54=0,IF(DL$11=$H54,"◆",""),IF(AND(DL$11&gt;=$H54,DL$11&lt;=$I54),1,""))</f>
        <v/>
      </c>
      <c r="DM54" s="448" t="str">
        <f aca="false">IF($G54=0,IF(DM$11=$H54,"◆",""),IF(AND(DM$11&gt;=$H54,DM$11&lt;=$I54),1,""))</f>
        <v/>
      </c>
      <c r="DN54" s="448" t="str">
        <f aca="false">IF($G54=0,IF(DN$11=$H54,"◆",""),IF(AND(DN$11&gt;=$H54,DN$11&lt;=$I54),1,""))</f>
        <v/>
      </c>
      <c r="DO54" s="448" t="str">
        <f aca="false">IF($G54=0,IF(DO$11=$H54,"◆",""),IF(AND(DO$11&gt;=$H54,DO$11&lt;=$I54),1,""))</f>
        <v/>
      </c>
      <c r="DP54" s="448" t="str">
        <f aca="false">IF($G54=0,IF(DP$11=$H54,"◆",""),IF(AND(DP$11&gt;=$H54,DP$11&lt;=$I54),1,""))</f>
        <v/>
      </c>
      <c r="DQ54" s="448" t="str">
        <f aca="false">IF($G54=0,IF(DQ$11=$H54,"◆",""),IF(AND(DQ$11&gt;=$H54,DQ$11&lt;=$I54),1,""))</f>
        <v/>
      </c>
      <c r="DR54" s="448" t="str">
        <f aca="false">IF($G54=0,IF(DR$11=$H54,"◆",""),IF(AND(DR$11&gt;=$H54,DR$11&lt;=$I54),1,""))</f>
        <v/>
      </c>
      <c r="DS54" s="448" t="str">
        <f aca="false">IF($G54=0,IF(DS$11=$H54,"◆",""),IF(AND(DS$11&gt;=$H54,DS$11&lt;=$I54),1,""))</f>
        <v/>
      </c>
      <c r="DT54" s="448" t="str">
        <f aca="false">IF($G54=0,IF(DT$11=$H54,"◆",""),IF(AND(DT$11&gt;=$H54,DT$11&lt;=$I54),1,""))</f>
        <v/>
      </c>
      <c r="DU54" s="448" t="str">
        <f aca="false">IF($G54=0,IF(DU$11=$H54,"◆",""),IF(AND(DU$11&gt;=$H54,DU$11&lt;=$I54),1,""))</f>
        <v/>
      </c>
      <c r="DV54" s="448" t="str">
        <f aca="false">IF($G54=0,IF(DV$11=$H54,"◆",""),IF(AND(DV$11&gt;=$H54,DV$11&lt;=$I54),1,""))</f>
        <v/>
      </c>
      <c r="DW54" s="448" t="str">
        <f aca="false">IF($G54=0,IF(DW$11=$H54,"◆",""),IF(AND(DW$11&gt;=$H54,DW$11&lt;=$I54),1,""))</f>
        <v/>
      </c>
      <c r="DX54" s="448" t="str">
        <f aca="false">IF($G54=0,IF(DX$11=$H54,"◆",""),IF(AND(DX$11&gt;=$H54,DX$11&lt;=$I54),1,""))</f>
        <v/>
      </c>
      <c r="DY54" s="448" t="str">
        <f aca="false">IF($G54=0,IF(DY$11=$H54,"◆",""),IF(AND(DY$11&gt;=$H54,DY$11&lt;=$I54),1,""))</f>
        <v/>
      </c>
      <c r="DZ54" s="448" t="str">
        <f aca="false">IF($G54=0,IF(DZ$11=$H54,"◆",""),IF(AND(DZ$11&gt;=$H54,DZ$11&lt;=$I54),1,""))</f>
        <v/>
      </c>
      <c r="EA54" s="448" t="str">
        <f aca="false">IF($G54=0,IF(EA$11=$H54,"◆",""),IF(AND(EA$11&gt;=$H54,EA$11&lt;=$I54),1,""))</f>
        <v/>
      </c>
      <c r="EB54" s="448" t="str">
        <f aca="false">IF($G54=0,IF(EB$11=$H54,"◆",""),IF(AND(EB$11&gt;=$H54,EB$11&lt;=$I54),1,""))</f>
        <v/>
      </c>
      <c r="EC54" s="448" t="str">
        <f aca="false">IF($G54=0,IF(EC$11=$H54,"◆",""),IF(AND(EC$11&gt;=$H54,EC$11&lt;=$I54),1,""))</f>
        <v/>
      </c>
      <c r="ED54" s="448" t="str">
        <f aca="false">IF($G54=0,IF(ED$11=$H54,"◆",""),IF(AND(ED$11&gt;=$H54,ED$11&lt;=$I54),1,""))</f>
        <v/>
      </c>
    </row>
    <row r="55" customFormat="false" ht="15" hidden="false" customHeight="true" outlineLevel="0" collapsed="false">
      <c r="A55" s="441" t="s">
        <v>2535</v>
      </c>
      <c r="B55" s="297" t="s">
        <v>2536</v>
      </c>
      <c r="C55" s="442" t="s">
        <v>2531</v>
      </c>
      <c r="D55" s="443" t="s">
        <v>2496</v>
      </c>
      <c r="E55" s="354" t="n">
        <f aca="false">FC_SUPUESTOS!$C$23-FC_SUPUESTOS!$C$21</f>
        <v>8</v>
      </c>
      <c r="F55" s="352" t="n">
        <v>-4</v>
      </c>
      <c r="G55" s="352" t="n">
        <v>8</v>
      </c>
      <c r="H55" s="367" t="n">
        <f aca="false">MAX(1,ROUND(($E55-1)*$D$5,0)+1+$F55)</f>
        <v>27</v>
      </c>
      <c r="I55" s="367" t="n">
        <f aca="false">MAX($H55,$H55+$G55-1)</f>
        <v>34</v>
      </c>
      <c r="J55" s="444" t="n">
        <f aca="false">$D$4+($H55-1)*7</f>
        <v>46482</v>
      </c>
      <c r="K55" s="444" t="n">
        <f aca="false">$D$4+$I55*7-1</f>
        <v>46537</v>
      </c>
      <c r="L55" s="445" t="n">
        <f aca="false">ROUNDUP($H55/$D$5,0)</f>
        <v>7</v>
      </c>
      <c r="M55" s="446" t="s">
        <v>2453</v>
      </c>
      <c r="N55" s="447" t="n">
        <v>0</v>
      </c>
      <c r="O55" s="448" t="str">
        <f aca="false">IF($G55=0,IF(O$11=$H55,"◆",""),IF(AND(O$11&gt;=$H55,O$11&lt;=$I55),1,""))</f>
        <v/>
      </c>
      <c r="P55" s="448" t="str">
        <f aca="false">IF($G55=0,IF(P$11=$H55,"◆",""),IF(AND(P$11&gt;=$H55,P$11&lt;=$I55),1,""))</f>
        <v/>
      </c>
      <c r="Q55" s="448" t="str">
        <f aca="false">IF($G55=0,IF(Q$11=$H55,"◆",""),IF(AND(Q$11&gt;=$H55,Q$11&lt;=$I55),1,""))</f>
        <v/>
      </c>
      <c r="R55" s="448" t="str">
        <f aca="false">IF($G55=0,IF(R$11=$H55,"◆",""),IF(AND(R$11&gt;=$H55,R$11&lt;=$I55),1,""))</f>
        <v/>
      </c>
      <c r="S55" s="448" t="str">
        <f aca="false">IF($G55=0,IF(S$11=$H55,"◆",""),IF(AND(S$11&gt;=$H55,S$11&lt;=$I55),1,""))</f>
        <v/>
      </c>
      <c r="T55" s="448" t="str">
        <f aca="false">IF($G55=0,IF(T$11=$H55,"◆",""),IF(AND(T$11&gt;=$H55,T$11&lt;=$I55),1,""))</f>
        <v/>
      </c>
      <c r="U55" s="448" t="str">
        <f aca="false">IF($G55=0,IF(U$11=$H55,"◆",""),IF(AND(U$11&gt;=$H55,U$11&lt;=$I55),1,""))</f>
        <v/>
      </c>
      <c r="V55" s="448" t="str">
        <f aca="false">IF($G55=0,IF(V$11=$H55,"◆",""),IF(AND(V$11&gt;=$H55,V$11&lt;=$I55),1,""))</f>
        <v/>
      </c>
      <c r="W55" s="448" t="str">
        <f aca="false">IF($G55=0,IF(W$11=$H55,"◆",""),IF(AND(W$11&gt;=$H55,W$11&lt;=$I55),1,""))</f>
        <v/>
      </c>
      <c r="X55" s="448" t="str">
        <f aca="false">IF($G55=0,IF(X$11=$H55,"◆",""),IF(AND(X$11&gt;=$H55,X$11&lt;=$I55),1,""))</f>
        <v/>
      </c>
      <c r="Y55" s="448" t="str">
        <f aca="false">IF($G55=0,IF(Y$11=$H55,"◆",""),IF(AND(Y$11&gt;=$H55,Y$11&lt;=$I55),1,""))</f>
        <v/>
      </c>
      <c r="Z55" s="448" t="str">
        <f aca="false">IF($G55=0,IF(Z$11=$H55,"◆",""),IF(AND(Z$11&gt;=$H55,Z$11&lt;=$I55),1,""))</f>
        <v/>
      </c>
      <c r="AA55" s="448" t="str">
        <f aca="false">IF($G55=0,IF(AA$11=$H55,"◆",""),IF(AND(AA$11&gt;=$H55,AA$11&lt;=$I55),1,""))</f>
        <v/>
      </c>
      <c r="AB55" s="448" t="str">
        <f aca="false">IF($G55=0,IF(AB$11=$H55,"◆",""),IF(AND(AB$11&gt;=$H55,AB$11&lt;=$I55),1,""))</f>
        <v/>
      </c>
      <c r="AC55" s="448" t="str">
        <f aca="false">IF($G55=0,IF(AC$11=$H55,"◆",""),IF(AND(AC$11&gt;=$H55,AC$11&lt;=$I55),1,""))</f>
        <v/>
      </c>
      <c r="AD55" s="448" t="str">
        <f aca="false">IF($G55=0,IF(AD$11=$H55,"◆",""),IF(AND(AD$11&gt;=$H55,AD$11&lt;=$I55),1,""))</f>
        <v/>
      </c>
      <c r="AE55" s="448" t="str">
        <f aca="false">IF($G55=0,IF(AE$11=$H55,"◆",""),IF(AND(AE$11&gt;=$H55,AE$11&lt;=$I55),1,""))</f>
        <v/>
      </c>
      <c r="AF55" s="448" t="str">
        <f aca="false">IF($G55=0,IF(AF$11=$H55,"◆",""),IF(AND(AF$11&gt;=$H55,AF$11&lt;=$I55),1,""))</f>
        <v/>
      </c>
      <c r="AG55" s="448" t="str">
        <f aca="false">IF($G55=0,IF(AG$11=$H55,"◆",""),IF(AND(AG$11&gt;=$H55,AG$11&lt;=$I55),1,""))</f>
        <v/>
      </c>
      <c r="AH55" s="448" t="str">
        <f aca="false">IF($G55=0,IF(AH$11=$H55,"◆",""),IF(AND(AH$11&gt;=$H55,AH$11&lt;=$I55),1,""))</f>
        <v/>
      </c>
      <c r="AI55" s="448" t="str">
        <f aca="false">IF($G55=0,IF(AI$11=$H55,"◆",""),IF(AND(AI$11&gt;=$H55,AI$11&lt;=$I55),1,""))</f>
        <v/>
      </c>
      <c r="AJ55" s="448" t="str">
        <f aca="false">IF($G55=0,IF(AJ$11=$H55,"◆",""),IF(AND(AJ$11&gt;=$H55,AJ$11&lt;=$I55),1,""))</f>
        <v/>
      </c>
      <c r="AK55" s="448" t="str">
        <f aca="false">IF($G55=0,IF(AK$11=$H55,"◆",""),IF(AND(AK$11&gt;=$H55,AK$11&lt;=$I55),1,""))</f>
        <v/>
      </c>
      <c r="AL55" s="448" t="str">
        <f aca="false">IF($G55=0,IF(AL$11=$H55,"◆",""),IF(AND(AL$11&gt;=$H55,AL$11&lt;=$I55),1,""))</f>
        <v/>
      </c>
      <c r="AM55" s="448" t="str">
        <f aca="false">IF($G55=0,IF(AM$11=$H55,"◆",""),IF(AND(AM$11&gt;=$H55,AM$11&lt;=$I55),1,""))</f>
        <v/>
      </c>
      <c r="AN55" s="448" t="str">
        <f aca="false">IF($G55=0,IF(AN$11=$H55,"◆",""),IF(AND(AN$11&gt;=$H55,AN$11&lt;=$I55),1,""))</f>
        <v/>
      </c>
      <c r="AO55" s="448" t="n">
        <f aca="false">IF($G55=0,IF(AO$11=$H55,"◆",""),IF(AND(AO$11&gt;=$H55,AO$11&lt;=$I55),1,""))</f>
        <v>1</v>
      </c>
      <c r="AP55" s="448" t="n">
        <f aca="false">IF($G55=0,IF(AP$11=$H55,"◆",""),IF(AND(AP$11&gt;=$H55,AP$11&lt;=$I55),1,""))</f>
        <v>1</v>
      </c>
      <c r="AQ55" s="448" t="n">
        <f aca="false">IF($G55=0,IF(AQ$11=$H55,"◆",""),IF(AND(AQ$11&gt;=$H55,AQ$11&lt;=$I55),1,""))</f>
        <v>1</v>
      </c>
      <c r="AR55" s="448" t="n">
        <f aca="false">IF($G55=0,IF(AR$11=$H55,"◆",""),IF(AND(AR$11&gt;=$H55,AR$11&lt;=$I55),1,""))</f>
        <v>1</v>
      </c>
      <c r="AS55" s="448" t="n">
        <f aca="false">IF($G55=0,IF(AS$11=$H55,"◆",""),IF(AND(AS$11&gt;=$H55,AS$11&lt;=$I55),1,""))</f>
        <v>1</v>
      </c>
      <c r="AT55" s="448" t="n">
        <f aca="false">IF($G55=0,IF(AT$11=$H55,"◆",""),IF(AND(AT$11&gt;=$H55,AT$11&lt;=$I55),1,""))</f>
        <v>1</v>
      </c>
      <c r="AU55" s="448" t="n">
        <f aca="false">IF($G55=0,IF(AU$11=$H55,"◆",""),IF(AND(AU$11&gt;=$H55,AU$11&lt;=$I55),1,""))</f>
        <v>1</v>
      </c>
      <c r="AV55" s="448" t="n">
        <f aca="false">IF($G55=0,IF(AV$11=$H55,"◆",""),IF(AND(AV$11&gt;=$H55,AV$11&lt;=$I55),1,""))</f>
        <v>1</v>
      </c>
      <c r="AW55" s="448" t="str">
        <f aca="false">IF($G55=0,IF(AW$11=$H55,"◆",""),IF(AND(AW$11&gt;=$H55,AW$11&lt;=$I55),1,""))</f>
        <v/>
      </c>
      <c r="AX55" s="448" t="str">
        <f aca="false">IF($G55=0,IF(AX$11=$H55,"◆",""),IF(AND(AX$11&gt;=$H55,AX$11&lt;=$I55),1,""))</f>
        <v/>
      </c>
      <c r="AY55" s="448" t="str">
        <f aca="false">IF($G55=0,IF(AY$11=$H55,"◆",""),IF(AND(AY$11&gt;=$H55,AY$11&lt;=$I55),1,""))</f>
        <v/>
      </c>
      <c r="AZ55" s="448" t="str">
        <f aca="false">IF($G55=0,IF(AZ$11=$H55,"◆",""),IF(AND(AZ$11&gt;=$H55,AZ$11&lt;=$I55),1,""))</f>
        <v/>
      </c>
      <c r="BA55" s="448" t="str">
        <f aca="false">IF($G55=0,IF(BA$11=$H55,"◆",""),IF(AND(BA$11&gt;=$H55,BA$11&lt;=$I55),1,""))</f>
        <v/>
      </c>
      <c r="BB55" s="448" t="str">
        <f aca="false">IF($G55=0,IF(BB$11=$H55,"◆",""),IF(AND(BB$11&gt;=$H55,BB$11&lt;=$I55),1,""))</f>
        <v/>
      </c>
      <c r="BC55" s="448" t="str">
        <f aca="false">IF($G55=0,IF(BC$11=$H55,"◆",""),IF(AND(BC$11&gt;=$H55,BC$11&lt;=$I55),1,""))</f>
        <v/>
      </c>
      <c r="BD55" s="448" t="str">
        <f aca="false">IF($G55=0,IF(BD$11=$H55,"◆",""),IF(AND(BD$11&gt;=$H55,BD$11&lt;=$I55),1,""))</f>
        <v/>
      </c>
      <c r="BE55" s="448" t="str">
        <f aca="false">IF($G55=0,IF(BE$11=$H55,"◆",""),IF(AND(BE$11&gt;=$H55,BE$11&lt;=$I55),1,""))</f>
        <v/>
      </c>
      <c r="BF55" s="448" t="str">
        <f aca="false">IF($G55=0,IF(BF$11=$H55,"◆",""),IF(AND(BF$11&gt;=$H55,BF$11&lt;=$I55),1,""))</f>
        <v/>
      </c>
      <c r="BG55" s="448" t="str">
        <f aca="false">IF($G55=0,IF(BG$11=$H55,"◆",""),IF(AND(BG$11&gt;=$H55,BG$11&lt;=$I55),1,""))</f>
        <v/>
      </c>
      <c r="BH55" s="448" t="str">
        <f aca="false">IF($G55=0,IF(BH$11=$H55,"◆",""),IF(AND(BH$11&gt;=$H55,BH$11&lt;=$I55),1,""))</f>
        <v/>
      </c>
      <c r="BI55" s="448" t="str">
        <f aca="false">IF($G55=0,IF(BI$11=$H55,"◆",""),IF(AND(BI$11&gt;=$H55,BI$11&lt;=$I55),1,""))</f>
        <v/>
      </c>
      <c r="BJ55" s="448" t="str">
        <f aca="false">IF($G55=0,IF(BJ$11=$H55,"◆",""),IF(AND(BJ$11&gt;=$H55,BJ$11&lt;=$I55),1,""))</f>
        <v/>
      </c>
      <c r="BK55" s="448" t="str">
        <f aca="false">IF($G55=0,IF(BK$11=$H55,"◆",""),IF(AND(BK$11&gt;=$H55,BK$11&lt;=$I55),1,""))</f>
        <v/>
      </c>
      <c r="BL55" s="448" t="str">
        <f aca="false">IF($G55=0,IF(BL$11=$H55,"◆",""),IF(AND(BL$11&gt;=$H55,BL$11&lt;=$I55),1,""))</f>
        <v/>
      </c>
      <c r="BM55" s="448" t="str">
        <f aca="false">IF($G55=0,IF(BM$11=$H55,"◆",""),IF(AND(BM$11&gt;=$H55,BM$11&lt;=$I55),1,""))</f>
        <v/>
      </c>
      <c r="BN55" s="448" t="str">
        <f aca="false">IF($G55=0,IF(BN$11=$H55,"◆",""),IF(AND(BN$11&gt;=$H55,BN$11&lt;=$I55),1,""))</f>
        <v/>
      </c>
      <c r="BO55" s="448" t="str">
        <f aca="false">IF($G55=0,IF(BO$11=$H55,"◆",""),IF(AND(BO$11&gt;=$H55,BO$11&lt;=$I55),1,""))</f>
        <v/>
      </c>
      <c r="BP55" s="448" t="str">
        <f aca="false">IF($G55=0,IF(BP$11=$H55,"◆",""),IF(AND(BP$11&gt;=$H55,BP$11&lt;=$I55),1,""))</f>
        <v/>
      </c>
      <c r="BQ55" s="448" t="str">
        <f aca="false">IF($G55=0,IF(BQ$11=$H55,"◆",""),IF(AND(BQ$11&gt;=$H55,BQ$11&lt;=$I55),1,""))</f>
        <v/>
      </c>
      <c r="BR55" s="448" t="str">
        <f aca="false">IF($G55=0,IF(BR$11=$H55,"◆",""),IF(AND(BR$11&gt;=$H55,BR$11&lt;=$I55),1,""))</f>
        <v/>
      </c>
      <c r="BS55" s="448" t="str">
        <f aca="false">IF($G55=0,IF(BS$11=$H55,"◆",""),IF(AND(BS$11&gt;=$H55,BS$11&lt;=$I55),1,""))</f>
        <v/>
      </c>
      <c r="BT55" s="448" t="str">
        <f aca="false">IF($G55=0,IF(BT$11=$H55,"◆",""),IF(AND(BT$11&gt;=$H55,BT$11&lt;=$I55),1,""))</f>
        <v/>
      </c>
      <c r="BU55" s="448" t="str">
        <f aca="false">IF($G55=0,IF(BU$11=$H55,"◆",""),IF(AND(BU$11&gt;=$H55,BU$11&lt;=$I55),1,""))</f>
        <v/>
      </c>
      <c r="BV55" s="448" t="str">
        <f aca="false">IF($G55=0,IF(BV$11=$H55,"◆",""),IF(AND(BV$11&gt;=$H55,BV$11&lt;=$I55),1,""))</f>
        <v/>
      </c>
      <c r="BW55" s="448" t="str">
        <f aca="false">IF($G55=0,IF(BW$11=$H55,"◆",""),IF(AND(BW$11&gt;=$H55,BW$11&lt;=$I55),1,""))</f>
        <v/>
      </c>
      <c r="BX55" s="448" t="str">
        <f aca="false">IF($G55=0,IF(BX$11=$H55,"◆",""),IF(AND(BX$11&gt;=$H55,BX$11&lt;=$I55),1,""))</f>
        <v/>
      </c>
      <c r="BY55" s="448" t="str">
        <f aca="false">IF($G55=0,IF(BY$11=$H55,"◆",""),IF(AND(BY$11&gt;=$H55,BY$11&lt;=$I55),1,""))</f>
        <v/>
      </c>
      <c r="BZ55" s="448" t="str">
        <f aca="false">IF($G55=0,IF(BZ$11=$H55,"◆",""),IF(AND(BZ$11&gt;=$H55,BZ$11&lt;=$I55),1,""))</f>
        <v/>
      </c>
      <c r="CA55" s="448" t="str">
        <f aca="false">IF($G55=0,IF(CA$11=$H55,"◆",""),IF(AND(CA$11&gt;=$H55,CA$11&lt;=$I55),1,""))</f>
        <v/>
      </c>
      <c r="CB55" s="448" t="str">
        <f aca="false">IF($G55=0,IF(CB$11=$H55,"◆",""),IF(AND(CB$11&gt;=$H55,CB$11&lt;=$I55),1,""))</f>
        <v/>
      </c>
      <c r="CC55" s="448" t="str">
        <f aca="false">IF($G55=0,IF(CC$11=$H55,"◆",""),IF(AND(CC$11&gt;=$H55,CC$11&lt;=$I55),1,""))</f>
        <v/>
      </c>
      <c r="CD55" s="448" t="str">
        <f aca="false">IF($G55=0,IF(CD$11=$H55,"◆",""),IF(AND(CD$11&gt;=$H55,CD$11&lt;=$I55),1,""))</f>
        <v/>
      </c>
      <c r="CE55" s="448" t="str">
        <f aca="false">IF($G55=0,IF(CE$11=$H55,"◆",""),IF(AND(CE$11&gt;=$H55,CE$11&lt;=$I55),1,""))</f>
        <v/>
      </c>
      <c r="CF55" s="448" t="str">
        <f aca="false">IF($G55=0,IF(CF$11=$H55,"◆",""),IF(AND(CF$11&gt;=$H55,CF$11&lt;=$I55),1,""))</f>
        <v/>
      </c>
      <c r="CG55" s="448" t="str">
        <f aca="false">IF($G55=0,IF(CG$11=$H55,"◆",""),IF(AND(CG$11&gt;=$H55,CG$11&lt;=$I55),1,""))</f>
        <v/>
      </c>
      <c r="CH55" s="448" t="str">
        <f aca="false">IF($G55=0,IF(CH$11=$H55,"◆",""),IF(AND(CH$11&gt;=$H55,CH$11&lt;=$I55),1,""))</f>
        <v/>
      </c>
      <c r="CI55" s="448" t="str">
        <f aca="false">IF($G55=0,IF(CI$11=$H55,"◆",""),IF(AND(CI$11&gt;=$H55,CI$11&lt;=$I55),1,""))</f>
        <v/>
      </c>
      <c r="CJ55" s="448" t="str">
        <f aca="false">IF($G55=0,IF(CJ$11=$H55,"◆",""),IF(AND(CJ$11&gt;=$H55,CJ$11&lt;=$I55),1,""))</f>
        <v/>
      </c>
      <c r="CK55" s="448" t="str">
        <f aca="false">IF($G55=0,IF(CK$11=$H55,"◆",""),IF(AND(CK$11&gt;=$H55,CK$11&lt;=$I55),1,""))</f>
        <v/>
      </c>
      <c r="CL55" s="448" t="str">
        <f aca="false">IF($G55=0,IF(CL$11=$H55,"◆",""),IF(AND(CL$11&gt;=$H55,CL$11&lt;=$I55),1,""))</f>
        <v/>
      </c>
      <c r="CM55" s="448" t="str">
        <f aca="false">IF($G55=0,IF(CM$11=$H55,"◆",""),IF(AND(CM$11&gt;=$H55,CM$11&lt;=$I55),1,""))</f>
        <v/>
      </c>
      <c r="CN55" s="448" t="str">
        <f aca="false">IF($G55=0,IF(CN$11=$H55,"◆",""),IF(AND(CN$11&gt;=$H55,CN$11&lt;=$I55),1,""))</f>
        <v/>
      </c>
      <c r="CO55" s="448" t="str">
        <f aca="false">IF($G55=0,IF(CO$11=$H55,"◆",""),IF(AND(CO$11&gt;=$H55,CO$11&lt;=$I55),1,""))</f>
        <v/>
      </c>
      <c r="CP55" s="448" t="str">
        <f aca="false">IF($G55=0,IF(CP$11=$H55,"◆",""),IF(AND(CP$11&gt;=$H55,CP$11&lt;=$I55),1,""))</f>
        <v/>
      </c>
      <c r="CQ55" s="448" t="str">
        <f aca="false">IF($G55=0,IF(CQ$11=$H55,"◆",""),IF(AND(CQ$11&gt;=$H55,CQ$11&lt;=$I55),1,""))</f>
        <v/>
      </c>
      <c r="CR55" s="448" t="str">
        <f aca="false">IF($G55=0,IF(CR$11=$H55,"◆",""),IF(AND(CR$11&gt;=$H55,CR$11&lt;=$I55),1,""))</f>
        <v/>
      </c>
      <c r="CS55" s="448" t="str">
        <f aca="false">IF($G55=0,IF(CS$11=$H55,"◆",""),IF(AND(CS$11&gt;=$H55,CS$11&lt;=$I55),1,""))</f>
        <v/>
      </c>
      <c r="CT55" s="448" t="str">
        <f aca="false">IF($G55=0,IF(CT$11=$H55,"◆",""),IF(AND(CT$11&gt;=$H55,CT$11&lt;=$I55),1,""))</f>
        <v/>
      </c>
      <c r="CU55" s="448" t="str">
        <f aca="false">IF($G55=0,IF(CU$11=$H55,"◆",""),IF(AND(CU$11&gt;=$H55,CU$11&lt;=$I55),1,""))</f>
        <v/>
      </c>
      <c r="CV55" s="448" t="str">
        <f aca="false">IF($G55=0,IF(CV$11=$H55,"◆",""),IF(AND(CV$11&gt;=$H55,CV$11&lt;=$I55),1,""))</f>
        <v/>
      </c>
      <c r="CW55" s="448" t="str">
        <f aca="false">IF($G55=0,IF(CW$11=$H55,"◆",""),IF(AND(CW$11&gt;=$H55,CW$11&lt;=$I55),1,""))</f>
        <v/>
      </c>
      <c r="CX55" s="448" t="str">
        <f aca="false">IF($G55=0,IF(CX$11=$H55,"◆",""),IF(AND(CX$11&gt;=$H55,CX$11&lt;=$I55),1,""))</f>
        <v/>
      </c>
      <c r="CY55" s="448" t="str">
        <f aca="false">IF($G55=0,IF(CY$11=$H55,"◆",""),IF(AND(CY$11&gt;=$H55,CY$11&lt;=$I55),1,""))</f>
        <v/>
      </c>
      <c r="CZ55" s="448" t="str">
        <f aca="false">IF($G55=0,IF(CZ$11=$H55,"◆",""),IF(AND(CZ$11&gt;=$H55,CZ$11&lt;=$I55),1,""))</f>
        <v/>
      </c>
      <c r="DA55" s="448" t="str">
        <f aca="false">IF($G55=0,IF(DA$11=$H55,"◆",""),IF(AND(DA$11&gt;=$H55,DA$11&lt;=$I55),1,""))</f>
        <v/>
      </c>
      <c r="DB55" s="448" t="str">
        <f aca="false">IF($G55=0,IF(DB$11=$H55,"◆",""),IF(AND(DB$11&gt;=$H55,DB$11&lt;=$I55),1,""))</f>
        <v/>
      </c>
      <c r="DC55" s="448" t="str">
        <f aca="false">IF($G55=0,IF(DC$11=$H55,"◆",""),IF(AND(DC$11&gt;=$H55,DC$11&lt;=$I55),1,""))</f>
        <v/>
      </c>
      <c r="DD55" s="448" t="str">
        <f aca="false">IF($G55=0,IF(DD$11=$H55,"◆",""),IF(AND(DD$11&gt;=$H55,DD$11&lt;=$I55),1,""))</f>
        <v/>
      </c>
      <c r="DE55" s="448" t="str">
        <f aca="false">IF($G55=0,IF(DE$11=$H55,"◆",""),IF(AND(DE$11&gt;=$H55,DE$11&lt;=$I55),1,""))</f>
        <v/>
      </c>
      <c r="DF55" s="448" t="str">
        <f aca="false">IF($G55=0,IF(DF$11=$H55,"◆",""),IF(AND(DF$11&gt;=$H55,DF$11&lt;=$I55),1,""))</f>
        <v/>
      </c>
      <c r="DG55" s="448" t="str">
        <f aca="false">IF($G55=0,IF(DG$11=$H55,"◆",""),IF(AND(DG$11&gt;=$H55,DG$11&lt;=$I55),1,""))</f>
        <v/>
      </c>
      <c r="DH55" s="448" t="str">
        <f aca="false">IF($G55=0,IF(DH$11=$H55,"◆",""),IF(AND(DH$11&gt;=$H55,DH$11&lt;=$I55),1,""))</f>
        <v/>
      </c>
      <c r="DI55" s="448" t="str">
        <f aca="false">IF($G55=0,IF(DI$11=$H55,"◆",""),IF(AND(DI$11&gt;=$H55,DI$11&lt;=$I55),1,""))</f>
        <v/>
      </c>
      <c r="DJ55" s="448" t="str">
        <f aca="false">IF($G55=0,IF(DJ$11=$H55,"◆",""),IF(AND(DJ$11&gt;=$H55,DJ$11&lt;=$I55),1,""))</f>
        <v/>
      </c>
      <c r="DK55" s="448" t="str">
        <f aca="false">IF($G55=0,IF(DK$11=$H55,"◆",""),IF(AND(DK$11&gt;=$H55,DK$11&lt;=$I55),1,""))</f>
        <v/>
      </c>
      <c r="DL55" s="448" t="str">
        <f aca="false">IF($G55=0,IF(DL$11=$H55,"◆",""),IF(AND(DL$11&gt;=$H55,DL$11&lt;=$I55),1,""))</f>
        <v/>
      </c>
      <c r="DM55" s="448" t="str">
        <f aca="false">IF($G55=0,IF(DM$11=$H55,"◆",""),IF(AND(DM$11&gt;=$H55,DM$11&lt;=$I55),1,""))</f>
        <v/>
      </c>
      <c r="DN55" s="448" t="str">
        <f aca="false">IF($G55=0,IF(DN$11=$H55,"◆",""),IF(AND(DN$11&gt;=$H55,DN$11&lt;=$I55),1,""))</f>
        <v/>
      </c>
      <c r="DO55" s="448" t="str">
        <f aca="false">IF($G55=0,IF(DO$11=$H55,"◆",""),IF(AND(DO$11&gt;=$H55,DO$11&lt;=$I55),1,""))</f>
        <v/>
      </c>
      <c r="DP55" s="448" t="str">
        <f aca="false">IF($G55=0,IF(DP$11=$H55,"◆",""),IF(AND(DP$11&gt;=$H55,DP$11&lt;=$I55),1,""))</f>
        <v/>
      </c>
      <c r="DQ55" s="448" t="str">
        <f aca="false">IF($G55=0,IF(DQ$11=$H55,"◆",""),IF(AND(DQ$11&gt;=$H55,DQ$11&lt;=$I55),1,""))</f>
        <v/>
      </c>
      <c r="DR55" s="448" t="str">
        <f aca="false">IF($G55=0,IF(DR$11=$H55,"◆",""),IF(AND(DR$11&gt;=$H55,DR$11&lt;=$I55),1,""))</f>
        <v/>
      </c>
      <c r="DS55" s="448" t="str">
        <f aca="false">IF($G55=0,IF(DS$11=$H55,"◆",""),IF(AND(DS$11&gt;=$H55,DS$11&lt;=$I55),1,""))</f>
        <v/>
      </c>
      <c r="DT55" s="448" t="str">
        <f aca="false">IF($G55=0,IF(DT$11=$H55,"◆",""),IF(AND(DT$11&gt;=$H55,DT$11&lt;=$I55),1,""))</f>
        <v/>
      </c>
      <c r="DU55" s="448" t="str">
        <f aca="false">IF($G55=0,IF(DU$11=$H55,"◆",""),IF(AND(DU$11&gt;=$H55,DU$11&lt;=$I55),1,""))</f>
        <v/>
      </c>
      <c r="DV55" s="448" t="str">
        <f aca="false">IF($G55=0,IF(DV$11=$H55,"◆",""),IF(AND(DV$11&gt;=$H55,DV$11&lt;=$I55),1,""))</f>
        <v/>
      </c>
      <c r="DW55" s="448" t="str">
        <f aca="false">IF($G55=0,IF(DW$11=$H55,"◆",""),IF(AND(DW$11&gt;=$H55,DW$11&lt;=$I55),1,""))</f>
        <v/>
      </c>
      <c r="DX55" s="448" t="str">
        <f aca="false">IF($G55=0,IF(DX$11=$H55,"◆",""),IF(AND(DX$11&gt;=$H55,DX$11&lt;=$I55),1,""))</f>
        <v/>
      </c>
      <c r="DY55" s="448" t="str">
        <f aca="false">IF($G55=0,IF(DY$11=$H55,"◆",""),IF(AND(DY$11&gt;=$H55,DY$11&lt;=$I55),1,""))</f>
        <v/>
      </c>
      <c r="DZ55" s="448" t="str">
        <f aca="false">IF($G55=0,IF(DZ$11=$H55,"◆",""),IF(AND(DZ$11&gt;=$H55,DZ$11&lt;=$I55),1,""))</f>
        <v/>
      </c>
      <c r="EA55" s="448" t="str">
        <f aca="false">IF($G55=0,IF(EA$11=$H55,"◆",""),IF(AND(EA$11&gt;=$H55,EA$11&lt;=$I55),1,""))</f>
        <v/>
      </c>
      <c r="EB55" s="448" t="str">
        <f aca="false">IF($G55=0,IF(EB$11=$H55,"◆",""),IF(AND(EB$11&gt;=$H55,EB$11&lt;=$I55),1,""))</f>
        <v/>
      </c>
      <c r="EC55" s="448" t="str">
        <f aca="false">IF($G55=0,IF(EC$11=$H55,"◆",""),IF(AND(EC$11&gt;=$H55,EC$11&lt;=$I55),1,""))</f>
        <v/>
      </c>
      <c r="ED55" s="448" t="str">
        <f aca="false">IF($G55=0,IF(ED$11=$H55,"◆",""),IF(AND(ED$11&gt;=$H55,ED$11&lt;=$I55),1,""))</f>
        <v/>
      </c>
    </row>
    <row r="56" customFormat="false" ht="15" hidden="false" customHeight="true" outlineLevel="0" collapsed="false">
      <c r="A56" s="441" t="s">
        <v>2537</v>
      </c>
      <c r="B56" s="297" t="s">
        <v>2538</v>
      </c>
      <c r="C56" s="442" t="s">
        <v>2452</v>
      </c>
      <c r="D56" s="443" t="s">
        <v>2496</v>
      </c>
      <c r="E56" s="354" t="n">
        <f aca="false">FC_SUPUESTOS!$C$23-FC_SUPUESTOS!$C$21</f>
        <v>8</v>
      </c>
      <c r="F56" s="352" t="n">
        <v>0</v>
      </c>
      <c r="G56" s="352" t="n">
        <v>2</v>
      </c>
      <c r="H56" s="367" t="n">
        <f aca="false">MAX(1,ROUND(($E56-1)*$D$5,0)+1+$F56)</f>
        <v>31</v>
      </c>
      <c r="I56" s="367" t="n">
        <f aca="false">MAX($H56,$H56+$G56-1)</f>
        <v>32</v>
      </c>
      <c r="J56" s="444" t="n">
        <f aca="false">$D$4+($H56-1)*7</f>
        <v>46510</v>
      </c>
      <c r="K56" s="444" t="n">
        <f aca="false">$D$4+$I56*7-1</f>
        <v>46523</v>
      </c>
      <c r="L56" s="445" t="n">
        <f aca="false">ROUNDUP($H56/$D$5,0)</f>
        <v>8</v>
      </c>
      <c r="M56" s="446" t="s">
        <v>2453</v>
      </c>
      <c r="N56" s="447" t="n">
        <v>0</v>
      </c>
      <c r="O56" s="448" t="str">
        <f aca="false">IF($G56=0,IF(O$11=$H56,"◆",""),IF(AND(O$11&gt;=$H56,O$11&lt;=$I56),1,""))</f>
        <v/>
      </c>
      <c r="P56" s="448" t="str">
        <f aca="false">IF($G56=0,IF(P$11=$H56,"◆",""),IF(AND(P$11&gt;=$H56,P$11&lt;=$I56),1,""))</f>
        <v/>
      </c>
      <c r="Q56" s="448" t="str">
        <f aca="false">IF($G56=0,IF(Q$11=$H56,"◆",""),IF(AND(Q$11&gt;=$H56,Q$11&lt;=$I56),1,""))</f>
        <v/>
      </c>
      <c r="R56" s="448" t="str">
        <f aca="false">IF($G56=0,IF(R$11=$H56,"◆",""),IF(AND(R$11&gt;=$H56,R$11&lt;=$I56),1,""))</f>
        <v/>
      </c>
      <c r="S56" s="448" t="str">
        <f aca="false">IF($G56=0,IF(S$11=$H56,"◆",""),IF(AND(S$11&gt;=$H56,S$11&lt;=$I56),1,""))</f>
        <v/>
      </c>
      <c r="T56" s="448" t="str">
        <f aca="false">IF($G56=0,IF(T$11=$H56,"◆",""),IF(AND(T$11&gt;=$H56,T$11&lt;=$I56),1,""))</f>
        <v/>
      </c>
      <c r="U56" s="448" t="str">
        <f aca="false">IF($G56=0,IF(U$11=$H56,"◆",""),IF(AND(U$11&gt;=$H56,U$11&lt;=$I56),1,""))</f>
        <v/>
      </c>
      <c r="V56" s="448" t="str">
        <f aca="false">IF($G56=0,IF(V$11=$H56,"◆",""),IF(AND(V$11&gt;=$H56,V$11&lt;=$I56),1,""))</f>
        <v/>
      </c>
      <c r="W56" s="448" t="str">
        <f aca="false">IF($G56=0,IF(W$11=$H56,"◆",""),IF(AND(W$11&gt;=$H56,W$11&lt;=$I56),1,""))</f>
        <v/>
      </c>
      <c r="X56" s="448" t="str">
        <f aca="false">IF($G56=0,IF(X$11=$H56,"◆",""),IF(AND(X$11&gt;=$H56,X$11&lt;=$I56),1,""))</f>
        <v/>
      </c>
      <c r="Y56" s="448" t="str">
        <f aca="false">IF($G56=0,IF(Y$11=$H56,"◆",""),IF(AND(Y$11&gt;=$H56,Y$11&lt;=$I56),1,""))</f>
        <v/>
      </c>
      <c r="Z56" s="448" t="str">
        <f aca="false">IF($G56=0,IF(Z$11=$H56,"◆",""),IF(AND(Z$11&gt;=$H56,Z$11&lt;=$I56),1,""))</f>
        <v/>
      </c>
      <c r="AA56" s="448" t="str">
        <f aca="false">IF($G56=0,IF(AA$11=$H56,"◆",""),IF(AND(AA$11&gt;=$H56,AA$11&lt;=$I56),1,""))</f>
        <v/>
      </c>
      <c r="AB56" s="448" t="str">
        <f aca="false">IF($G56=0,IF(AB$11=$H56,"◆",""),IF(AND(AB$11&gt;=$H56,AB$11&lt;=$I56),1,""))</f>
        <v/>
      </c>
      <c r="AC56" s="448" t="str">
        <f aca="false">IF($G56=0,IF(AC$11=$H56,"◆",""),IF(AND(AC$11&gt;=$H56,AC$11&lt;=$I56),1,""))</f>
        <v/>
      </c>
      <c r="AD56" s="448" t="str">
        <f aca="false">IF($G56=0,IF(AD$11=$H56,"◆",""),IF(AND(AD$11&gt;=$H56,AD$11&lt;=$I56),1,""))</f>
        <v/>
      </c>
      <c r="AE56" s="448" t="str">
        <f aca="false">IF($G56=0,IF(AE$11=$H56,"◆",""),IF(AND(AE$11&gt;=$H56,AE$11&lt;=$I56),1,""))</f>
        <v/>
      </c>
      <c r="AF56" s="448" t="str">
        <f aca="false">IF($G56=0,IF(AF$11=$H56,"◆",""),IF(AND(AF$11&gt;=$H56,AF$11&lt;=$I56),1,""))</f>
        <v/>
      </c>
      <c r="AG56" s="448" t="str">
        <f aca="false">IF($G56=0,IF(AG$11=$H56,"◆",""),IF(AND(AG$11&gt;=$H56,AG$11&lt;=$I56),1,""))</f>
        <v/>
      </c>
      <c r="AH56" s="448" t="str">
        <f aca="false">IF($G56=0,IF(AH$11=$H56,"◆",""),IF(AND(AH$11&gt;=$H56,AH$11&lt;=$I56),1,""))</f>
        <v/>
      </c>
      <c r="AI56" s="448" t="str">
        <f aca="false">IF($G56=0,IF(AI$11=$H56,"◆",""),IF(AND(AI$11&gt;=$H56,AI$11&lt;=$I56),1,""))</f>
        <v/>
      </c>
      <c r="AJ56" s="448" t="str">
        <f aca="false">IF($G56=0,IF(AJ$11=$H56,"◆",""),IF(AND(AJ$11&gt;=$H56,AJ$11&lt;=$I56),1,""))</f>
        <v/>
      </c>
      <c r="AK56" s="448" t="str">
        <f aca="false">IF($G56=0,IF(AK$11=$H56,"◆",""),IF(AND(AK$11&gt;=$H56,AK$11&lt;=$I56),1,""))</f>
        <v/>
      </c>
      <c r="AL56" s="448" t="str">
        <f aca="false">IF($G56=0,IF(AL$11=$H56,"◆",""),IF(AND(AL$11&gt;=$H56,AL$11&lt;=$I56),1,""))</f>
        <v/>
      </c>
      <c r="AM56" s="448" t="str">
        <f aca="false">IF($G56=0,IF(AM$11=$H56,"◆",""),IF(AND(AM$11&gt;=$H56,AM$11&lt;=$I56),1,""))</f>
        <v/>
      </c>
      <c r="AN56" s="448" t="str">
        <f aca="false">IF($G56=0,IF(AN$11=$H56,"◆",""),IF(AND(AN$11&gt;=$H56,AN$11&lt;=$I56),1,""))</f>
        <v/>
      </c>
      <c r="AO56" s="448" t="str">
        <f aca="false">IF($G56=0,IF(AO$11=$H56,"◆",""),IF(AND(AO$11&gt;=$H56,AO$11&lt;=$I56),1,""))</f>
        <v/>
      </c>
      <c r="AP56" s="448" t="str">
        <f aca="false">IF($G56=0,IF(AP$11=$H56,"◆",""),IF(AND(AP$11&gt;=$H56,AP$11&lt;=$I56),1,""))</f>
        <v/>
      </c>
      <c r="AQ56" s="448" t="str">
        <f aca="false">IF($G56=0,IF(AQ$11=$H56,"◆",""),IF(AND(AQ$11&gt;=$H56,AQ$11&lt;=$I56),1,""))</f>
        <v/>
      </c>
      <c r="AR56" s="448" t="str">
        <f aca="false">IF($G56=0,IF(AR$11=$H56,"◆",""),IF(AND(AR$11&gt;=$H56,AR$11&lt;=$I56),1,""))</f>
        <v/>
      </c>
      <c r="AS56" s="448" t="n">
        <f aca="false">IF($G56=0,IF(AS$11=$H56,"◆",""),IF(AND(AS$11&gt;=$H56,AS$11&lt;=$I56),1,""))</f>
        <v>1</v>
      </c>
      <c r="AT56" s="448" t="n">
        <f aca="false">IF($G56=0,IF(AT$11=$H56,"◆",""),IF(AND(AT$11&gt;=$H56,AT$11&lt;=$I56),1,""))</f>
        <v>1</v>
      </c>
      <c r="AU56" s="448" t="str">
        <f aca="false">IF($G56=0,IF(AU$11=$H56,"◆",""),IF(AND(AU$11&gt;=$H56,AU$11&lt;=$I56),1,""))</f>
        <v/>
      </c>
      <c r="AV56" s="448" t="str">
        <f aca="false">IF($G56=0,IF(AV$11=$H56,"◆",""),IF(AND(AV$11&gt;=$H56,AV$11&lt;=$I56),1,""))</f>
        <v/>
      </c>
      <c r="AW56" s="448" t="str">
        <f aca="false">IF($G56=0,IF(AW$11=$H56,"◆",""),IF(AND(AW$11&gt;=$H56,AW$11&lt;=$I56),1,""))</f>
        <v/>
      </c>
      <c r="AX56" s="448" t="str">
        <f aca="false">IF($G56=0,IF(AX$11=$H56,"◆",""),IF(AND(AX$11&gt;=$H56,AX$11&lt;=$I56),1,""))</f>
        <v/>
      </c>
      <c r="AY56" s="448" t="str">
        <f aca="false">IF($G56=0,IF(AY$11=$H56,"◆",""),IF(AND(AY$11&gt;=$H56,AY$11&lt;=$I56),1,""))</f>
        <v/>
      </c>
      <c r="AZ56" s="448" t="str">
        <f aca="false">IF($G56=0,IF(AZ$11=$H56,"◆",""),IF(AND(AZ$11&gt;=$H56,AZ$11&lt;=$I56),1,""))</f>
        <v/>
      </c>
      <c r="BA56" s="448" t="str">
        <f aca="false">IF($G56=0,IF(BA$11=$H56,"◆",""),IF(AND(BA$11&gt;=$H56,BA$11&lt;=$I56),1,""))</f>
        <v/>
      </c>
      <c r="BB56" s="448" t="str">
        <f aca="false">IF($G56=0,IF(BB$11=$H56,"◆",""),IF(AND(BB$11&gt;=$H56,BB$11&lt;=$I56),1,""))</f>
        <v/>
      </c>
      <c r="BC56" s="448" t="str">
        <f aca="false">IF($G56=0,IF(BC$11=$H56,"◆",""),IF(AND(BC$11&gt;=$H56,BC$11&lt;=$I56),1,""))</f>
        <v/>
      </c>
      <c r="BD56" s="448" t="str">
        <f aca="false">IF($G56=0,IF(BD$11=$H56,"◆",""),IF(AND(BD$11&gt;=$H56,BD$11&lt;=$I56),1,""))</f>
        <v/>
      </c>
      <c r="BE56" s="448" t="str">
        <f aca="false">IF($G56=0,IF(BE$11=$H56,"◆",""),IF(AND(BE$11&gt;=$H56,BE$11&lt;=$I56),1,""))</f>
        <v/>
      </c>
      <c r="BF56" s="448" t="str">
        <f aca="false">IF($G56=0,IF(BF$11=$H56,"◆",""),IF(AND(BF$11&gt;=$H56,BF$11&lt;=$I56),1,""))</f>
        <v/>
      </c>
      <c r="BG56" s="448" t="str">
        <f aca="false">IF($G56=0,IF(BG$11=$H56,"◆",""),IF(AND(BG$11&gt;=$H56,BG$11&lt;=$I56),1,""))</f>
        <v/>
      </c>
      <c r="BH56" s="448" t="str">
        <f aca="false">IF($G56=0,IF(BH$11=$H56,"◆",""),IF(AND(BH$11&gt;=$H56,BH$11&lt;=$I56),1,""))</f>
        <v/>
      </c>
      <c r="BI56" s="448" t="str">
        <f aca="false">IF($G56=0,IF(BI$11=$H56,"◆",""),IF(AND(BI$11&gt;=$H56,BI$11&lt;=$I56),1,""))</f>
        <v/>
      </c>
      <c r="BJ56" s="448" t="str">
        <f aca="false">IF($G56=0,IF(BJ$11=$H56,"◆",""),IF(AND(BJ$11&gt;=$H56,BJ$11&lt;=$I56),1,""))</f>
        <v/>
      </c>
      <c r="BK56" s="448" t="str">
        <f aca="false">IF($G56=0,IF(BK$11=$H56,"◆",""),IF(AND(BK$11&gt;=$H56,BK$11&lt;=$I56),1,""))</f>
        <v/>
      </c>
      <c r="BL56" s="448" t="str">
        <f aca="false">IF($G56=0,IF(BL$11=$H56,"◆",""),IF(AND(BL$11&gt;=$H56,BL$11&lt;=$I56),1,""))</f>
        <v/>
      </c>
      <c r="BM56" s="448" t="str">
        <f aca="false">IF($G56=0,IF(BM$11=$H56,"◆",""),IF(AND(BM$11&gt;=$H56,BM$11&lt;=$I56),1,""))</f>
        <v/>
      </c>
      <c r="BN56" s="448" t="str">
        <f aca="false">IF($G56=0,IF(BN$11=$H56,"◆",""),IF(AND(BN$11&gt;=$H56,BN$11&lt;=$I56),1,""))</f>
        <v/>
      </c>
      <c r="BO56" s="448" t="str">
        <f aca="false">IF($G56=0,IF(BO$11=$H56,"◆",""),IF(AND(BO$11&gt;=$H56,BO$11&lt;=$I56),1,""))</f>
        <v/>
      </c>
      <c r="BP56" s="448" t="str">
        <f aca="false">IF($G56=0,IF(BP$11=$H56,"◆",""),IF(AND(BP$11&gt;=$H56,BP$11&lt;=$I56),1,""))</f>
        <v/>
      </c>
      <c r="BQ56" s="448" t="str">
        <f aca="false">IF($G56=0,IF(BQ$11=$H56,"◆",""),IF(AND(BQ$11&gt;=$H56,BQ$11&lt;=$I56),1,""))</f>
        <v/>
      </c>
      <c r="BR56" s="448" t="str">
        <f aca="false">IF($G56=0,IF(BR$11=$H56,"◆",""),IF(AND(BR$11&gt;=$H56,BR$11&lt;=$I56),1,""))</f>
        <v/>
      </c>
      <c r="BS56" s="448" t="str">
        <f aca="false">IF($G56=0,IF(BS$11=$H56,"◆",""),IF(AND(BS$11&gt;=$H56,BS$11&lt;=$I56),1,""))</f>
        <v/>
      </c>
      <c r="BT56" s="448" t="str">
        <f aca="false">IF($G56=0,IF(BT$11=$H56,"◆",""),IF(AND(BT$11&gt;=$H56,BT$11&lt;=$I56),1,""))</f>
        <v/>
      </c>
      <c r="BU56" s="448" t="str">
        <f aca="false">IF($G56=0,IF(BU$11=$H56,"◆",""),IF(AND(BU$11&gt;=$H56,BU$11&lt;=$I56),1,""))</f>
        <v/>
      </c>
      <c r="BV56" s="448" t="str">
        <f aca="false">IF($G56=0,IF(BV$11=$H56,"◆",""),IF(AND(BV$11&gt;=$H56,BV$11&lt;=$I56),1,""))</f>
        <v/>
      </c>
      <c r="BW56" s="448" t="str">
        <f aca="false">IF($G56=0,IF(BW$11=$H56,"◆",""),IF(AND(BW$11&gt;=$H56,BW$11&lt;=$I56),1,""))</f>
        <v/>
      </c>
      <c r="BX56" s="448" t="str">
        <f aca="false">IF($G56=0,IF(BX$11=$H56,"◆",""),IF(AND(BX$11&gt;=$H56,BX$11&lt;=$I56),1,""))</f>
        <v/>
      </c>
      <c r="BY56" s="448" t="str">
        <f aca="false">IF($G56=0,IF(BY$11=$H56,"◆",""),IF(AND(BY$11&gt;=$H56,BY$11&lt;=$I56),1,""))</f>
        <v/>
      </c>
      <c r="BZ56" s="448" t="str">
        <f aca="false">IF($G56=0,IF(BZ$11=$H56,"◆",""),IF(AND(BZ$11&gt;=$H56,BZ$11&lt;=$I56),1,""))</f>
        <v/>
      </c>
      <c r="CA56" s="448" t="str">
        <f aca="false">IF($G56=0,IF(CA$11=$H56,"◆",""),IF(AND(CA$11&gt;=$H56,CA$11&lt;=$I56),1,""))</f>
        <v/>
      </c>
      <c r="CB56" s="448" t="str">
        <f aca="false">IF($G56=0,IF(CB$11=$H56,"◆",""),IF(AND(CB$11&gt;=$H56,CB$11&lt;=$I56),1,""))</f>
        <v/>
      </c>
      <c r="CC56" s="448" t="str">
        <f aca="false">IF($G56=0,IF(CC$11=$H56,"◆",""),IF(AND(CC$11&gt;=$H56,CC$11&lt;=$I56),1,""))</f>
        <v/>
      </c>
      <c r="CD56" s="448" t="str">
        <f aca="false">IF($G56=0,IF(CD$11=$H56,"◆",""),IF(AND(CD$11&gt;=$H56,CD$11&lt;=$I56),1,""))</f>
        <v/>
      </c>
      <c r="CE56" s="448" t="str">
        <f aca="false">IF($G56=0,IF(CE$11=$H56,"◆",""),IF(AND(CE$11&gt;=$H56,CE$11&lt;=$I56),1,""))</f>
        <v/>
      </c>
      <c r="CF56" s="448" t="str">
        <f aca="false">IF($G56=0,IF(CF$11=$H56,"◆",""),IF(AND(CF$11&gt;=$H56,CF$11&lt;=$I56),1,""))</f>
        <v/>
      </c>
      <c r="CG56" s="448" t="str">
        <f aca="false">IF($G56=0,IF(CG$11=$H56,"◆",""),IF(AND(CG$11&gt;=$H56,CG$11&lt;=$I56),1,""))</f>
        <v/>
      </c>
      <c r="CH56" s="448" t="str">
        <f aca="false">IF($G56=0,IF(CH$11=$H56,"◆",""),IF(AND(CH$11&gt;=$H56,CH$11&lt;=$I56),1,""))</f>
        <v/>
      </c>
      <c r="CI56" s="448" t="str">
        <f aca="false">IF($G56=0,IF(CI$11=$H56,"◆",""),IF(AND(CI$11&gt;=$H56,CI$11&lt;=$I56),1,""))</f>
        <v/>
      </c>
      <c r="CJ56" s="448" t="str">
        <f aca="false">IF($G56=0,IF(CJ$11=$H56,"◆",""),IF(AND(CJ$11&gt;=$H56,CJ$11&lt;=$I56),1,""))</f>
        <v/>
      </c>
      <c r="CK56" s="448" t="str">
        <f aca="false">IF($G56=0,IF(CK$11=$H56,"◆",""),IF(AND(CK$11&gt;=$H56,CK$11&lt;=$I56),1,""))</f>
        <v/>
      </c>
      <c r="CL56" s="448" t="str">
        <f aca="false">IF($G56=0,IF(CL$11=$H56,"◆",""),IF(AND(CL$11&gt;=$H56,CL$11&lt;=$I56),1,""))</f>
        <v/>
      </c>
      <c r="CM56" s="448" t="str">
        <f aca="false">IF($G56=0,IF(CM$11=$H56,"◆",""),IF(AND(CM$11&gt;=$H56,CM$11&lt;=$I56),1,""))</f>
        <v/>
      </c>
      <c r="CN56" s="448" t="str">
        <f aca="false">IF($G56=0,IF(CN$11=$H56,"◆",""),IF(AND(CN$11&gt;=$H56,CN$11&lt;=$I56),1,""))</f>
        <v/>
      </c>
      <c r="CO56" s="448" t="str">
        <f aca="false">IF($G56=0,IF(CO$11=$H56,"◆",""),IF(AND(CO$11&gt;=$H56,CO$11&lt;=$I56),1,""))</f>
        <v/>
      </c>
      <c r="CP56" s="448" t="str">
        <f aca="false">IF($G56=0,IF(CP$11=$H56,"◆",""),IF(AND(CP$11&gt;=$H56,CP$11&lt;=$I56),1,""))</f>
        <v/>
      </c>
      <c r="CQ56" s="448" t="str">
        <f aca="false">IF($G56=0,IF(CQ$11=$H56,"◆",""),IF(AND(CQ$11&gt;=$H56,CQ$11&lt;=$I56),1,""))</f>
        <v/>
      </c>
      <c r="CR56" s="448" t="str">
        <f aca="false">IF($G56=0,IF(CR$11=$H56,"◆",""),IF(AND(CR$11&gt;=$H56,CR$11&lt;=$I56),1,""))</f>
        <v/>
      </c>
      <c r="CS56" s="448" t="str">
        <f aca="false">IF($G56=0,IF(CS$11=$H56,"◆",""),IF(AND(CS$11&gt;=$H56,CS$11&lt;=$I56),1,""))</f>
        <v/>
      </c>
      <c r="CT56" s="448" t="str">
        <f aca="false">IF($G56=0,IF(CT$11=$H56,"◆",""),IF(AND(CT$11&gt;=$H56,CT$11&lt;=$I56),1,""))</f>
        <v/>
      </c>
      <c r="CU56" s="448" t="str">
        <f aca="false">IF($G56=0,IF(CU$11=$H56,"◆",""),IF(AND(CU$11&gt;=$H56,CU$11&lt;=$I56),1,""))</f>
        <v/>
      </c>
      <c r="CV56" s="448" t="str">
        <f aca="false">IF($G56=0,IF(CV$11=$H56,"◆",""),IF(AND(CV$11&gt;=$H56,CV$11&lt;=$I56),1,""))</f>
        <v/>
      </c>
      <c r="CW56" s="448" t="str">
        <f aca="false">IF($G56=0,IF(CW$11=$H56,"◆",""),IF(AND(CW$11&gt;=$H56,CW$11&lt;=$I56),1,""))</f>
        <v/>
      </c>
      <c r="CX56" s="448" t="str">
        <f aca="false">IF($G56=0,IF(CX$11=$H56,"◆",""),IF(AND(CX$11&gt;=$H56,CX$11&lt;=$I56),1,""))</f>
        <v/>
      </c>
      <c r="CY56" s="448" t="str">
        <f aca="false">IF($G56=0,IF(CY$11=$H56,"◆",""),IF(AND(CY$11&gt;=$H56,CY$11&lt;=$I56),1,""))</f>
        <v/>
      </c>
      <c r="CZ56" s="448" t="str">
        <f aca="false">IF($G56=0,IF(CZ$11=$H56,"◆",""),IF(AND(CZ$11&gt;=$H56,CZ$11&lt;=$I56),1,""))</f>
        <v/>
      </c>
      <c r="DA56" s="448" t="str">
        <f aca="false">IF($G56=0,IF(DA$11=$H56,"◆",""),IF(AND(DA$11&gt;=$H56,DA$11&lt;=$I56),1,""))</f>
        <v/>
      </c>
      <c r="DB56" s="448" t="str">
        <f aca="false">IF($G56=0,IF(DB$11=$H56,"◆",""),IF(AND(DB$11&gt;=$H56,DB$11&lt;=$I56),1,""))</f>
        <v/>
      </c>
      <c r="DC56" s="448" t="str">
        <f aca="false">IF($G56=0,IF(DC$11=$H56,"◆",""),IF(AND(DC$11&gt;=$H56,DC$11&lt;=$I56),1,""))</f>
        <v/>
      </c>
      <c r="DD56" s="448" t="str">
        <f aca="false">IF($G56=0,IF(DD$11=$H56,"◆",""),IF(AND(DD$11&gt;=$H56,DD$11&lt;=$I56),1,""))</f>
        <v/>
      </c>
      <c r="DE56" s="448" t="str">
        <f aca="false">IF($G56=0,IF(DE$11=$H56,"◆",""),IF(AND(DE$11&gt;=$H56,DE$11&lt;=$I56),1,""))</f>
        <v/>
      </c>
      <c r="DF56" s="448" t="str">
        <f aca="false">IF($G56=0,IF(DF$11=$H56,"◆",""),IF(AND(DF$11&gt;=$H56,DF$11&lt;=$I56),1,""))</f>
        <v/>
      </c>
      <c r="DG56" s="448" t="str">
        <f aca="false">IF($G56=0,IF(DG$11=$H56,"◆",""),IF(AND(DG$11&gt;=$H56,DG$11&lt;=$I56),1,""))</f>
        <v/>
      </c>
      <c r="DH56" s="448" t="str">
        <f aca="false">IF($G56=0,IF(DH$11=$H56,"◆",""),IF(AND(DH$11&gt;=$H56,DH$11&lt;=$I56),1,""))</f>
        <v/>
      </c>
      <c r="DI56" s="448" t="str">
        <f aca="false">IF($G56=0,IF(DI$11=$H56,"◆",""),IF(AND(DI$11&gt;=$H56,DI$11&lt;=$I56),1,""))</f>
        <v/>
      </c>
      <c r="DJ56" s="448" t="str">
        <f aca="false">IF($G56=0,IF(DJ$11=$H56,"◆",""),IF(AND(DJ$11&gt;=$H56,DJ$11&lt;=$I56),1,""))</f>
        <v/>
      </c>
      <c r="DK56" s="448" t="str">
        <f aca="false">IF($G56=0,IF(DK$11=$H56,"◆",""),IF(AND(DK$11&gt;=$H56,DK$11&lt;=$I56),1,""))</f>
        <v/>
      </c>
      <c r="DL56" s="448" t="str">
        <f aca="false">IF($G56=0,IF(DL$11=$H56,"◆",""),IF(AND(DL$11&gt;=$H56,DL$11&lt;=$I56),1,""))</f>
        <v/>
      </c>
      <c r="DM56" s="448" t="str">
        <f aca="false">IF($G56=0,IF(DM$11=$H56,"◆",""),IF(AND(DM$11&gt;=$H56,DM$11&lt;=$I56),1,""))</f>
        <v/>
      </c>
      <c r="DN56" s="448" t="str">
        <f aca="false">IF($G56=0,IF(DN$11=$H56,"◆",""),IF(AND(DN$11&gt;=$H56,DN$11&lt;=$I56),1,""))</f>
        <v/>
      </c>
      <c r="DO56" s="448" t="str">
        <f aca="false">IF($G56=0,IF(DO$11=$H56,"◆",""),IF(AND(DO$11&gt;=$H56,DO$11&lt;=$I56),1,""))</f>
        <v/>
      </c>
      <c r="DP56" s="448" t="str">
        <f aca="false">IF($G56=0,IF(DP$11=$H56,"◆",""),IF(AND(DP$11&gt;=$H56,DP$11&lt;=$I56),1,""))</f>
        <v/>
      </c>
      <c r="DQ56" s="448" t="str">
        <f aca="false">IF($G56=0,IF(DQ$11=$H56,"◆",""),IF(AND(DQ$11&gt;=$H56,DQ$11&lt;=$I56),1,""))</f>
        <v/>
      </c>
      <c r="DR56" s="448" t="str">
        <f aca="false">IF($G56=0,IF(DR$11=$H56,"◆",""),IF(AND(DR$11&gt;=$H56,DR$11&lt;=$I56),1,""))</f>
        <v/>
      </c>
      <c r="DS56" s="448" t="str">
        <f aca="false">IF($G56=0,IF(DS$11=$H56,"◆",""),IF(AND(DS$11&gt;=$H56,DS$11&lt;=$I56),1,""))</f>
        <v/>
      </c>
      <c r="DT56" s="448" t="str">
        <f aca="false">IF($G56=0,IF(DT$11=$H56,"◆",""),IF(AND(DT$11&gt;=$H56,DT$11&lt;=$I56),1,""))</f>
        <v/>
      </c>
      <c r="DU56" s="448" t="str">
        <f aca="false">IF($G56=0,IF(DU$11=$H56,"◆",""),IF(AND(DU$11&gt;=$H56,DU$11&lt;=$I56),1,""))</f>
        <v/>
      </c>
      <c r="DV56" s="448" t="str">
        <f aca="false">IF($G56=0,IF(DV$11=$H56,"◆",""),IF(AND(DV$11&gt;=$H56,DV$11&lt;=$I56),1,""))</f>
        <v/>
      </c>
      <c r="DW56" s="448" t="str">
        <f aca="false">IF($G56=0,IF(DW$11=$H56,"◆",""),IF(AND(DW$11&gt;=$H56,DW$11&lt;=$I56),1,""))</f>
        <v/>
      </c>
      <c r="DX56" s="448" t="str">
        <f aca="false">IF($G56=0,IF(DX$11=$H56,"◆",""),IF(AND(DX$11&gt;=$H56,DX$11&lt;=$I56),1,""))</f>
        <v/>
      </c>
      <c r="DY56" s="448" t="str">
        <f aca="false">IF($G56=0,IF(DY$11=$H56,"◆",""),IF(AND(DY$11&gt;=$H56,DY$11&lt;=$I56),1,""))</f>
        <v/>
      </c>
      <c r="DZ56" s="448" t="str">
        <f aca="false">IF($G56=0,IF(DZ$11=$H56,"◆",""),IF(AND(DZ$11&gt;=$H56,DZ$11&lt;=$I56),1,""))</f>
        <v/>
      </c>
      <c r="EA56" s="448" t="str">
        <f aca="false">IF($G56=0,IF(EA$11=$H56,"◆",""),IF(AND(EA$11&gt;=$H56,EA$11&lt;=$I56),1,""))</f>
        <v/>
      </c>
      <c r="EB56" s="448" t="str">
        <f aca="false">IF($G56=0,IF(EB$11=$H56,"◆",""),IF(AND(EB$11&gt;=$H56,EB$11&lt;=$I56),1,""))</f>
        <v/>
      </c>
      <c r="EC56" s="448" t="str">
        <f aca="false">IF($G56=0,IF(EC$11=$H56,"◆",""),IF(AND(EC$11&gt;=$H56,EC$11&lt;=$I56),1,""))</f>
        <v/>
      </c>
      <c r="ED56" s="448" t="str">
        <f aca="false">IF($G56=0,IF(ED$11=$H56,"◆",""),IF(AND(ED$11&gt;=$H56,ED$11&lt;=$I56),1,""))</f>
        <v/>
      </c>
    </row>
    <row r="57" customFormat="false" ht="15" hidden="false" customHeight="true" outlineLevel="0" collapsed="false">
      <c r="A57" s="441" t="s">
        <v>2539</v>
      </c>
      <c r="B57" s="297" t="s">
        <v>2540</v>
      </c>
      <c r="C57" s="442" t="s">
        <v>2541</v>
      </c>
      <c r="D57" s="443" t="s">
        <v>2496</v>
      </c>
      <c r="E57" s="354" t="n">
        <f aca="false">FC_SUPUESTOS!$C$23-FC_SUPUESTOS!$C$21</f>
        <v>8</v>
      </c>
      <c r="F57" s="352" t="n">
        <v>1</v>
      </c>
      <c r="G57" s="352" t="n">
        <v>5</v>
      </c>
      <c r="H57" s="367" t="n">
        <f aca="false">MAX(1,ROUND(($E57-1)*$D$5,0)+1+$F57)</f>
        <v>32</v>
      </c>
      <c r="I57" s="367" t="n">
        <f aca="false">MAX($H57,$H57+$G57-1)</f>
        <v>36</v>
      </c>
      <c r="J57" s="444" t="n">
        <f aca="false">$D$4+($H57-1)*7</f>
        <v>46517</v>
      </c>
      <c r="K57" s="444" t="n">
        <f aca="false">$D$4+$I57*7-1</f>
        <v>46551</v>
      </c>
      <c r="L57" s="445" t="n">
        <f aca="false">ROUNDUP($H57/$D$5,0)</f>
        <v>8</v>
      </c>
      <c r="M57" s="446" t="s">
        <v>2453</v>
      </c>
      <c r="N57" s="447" t="n">
        <v>0</v>
      </c>
      <c r="O57" s="448" t="str">
        <f aca="false">IF($G57=0,IF(O$11=$H57,"◆",""),IF(AND(O$11&gt;=$H57,O$11&lt;=$I57),1,""))</f>
        <v/>
      </c>
      <c r="P57" s="448" t="str">
        <f aca="false">IF($G57=0,IF(P$11=$H57,"◆",""),IF(AND(P$11&gt;=$H57,P$11&lt;=$I57),1,""))</f>
        <v/>
      </c>
      <c r="Q57" s="448" t="str">
        <f aca="false">IF($G57=0,IF(Q$11=$H57,"◆",""),IF(AND(Q$11&gt;=$H57,Q$11&lt;=$I57),1,""))</f>
        <v/>
      </c>
      <c r="R57" s="448" t="str">
        <f aca="false">IF($G57=0,IF(R$11=$H57,"◆",""),IF(AND(R$11&gt;=$H57,R$11&lt;=$I57),1,""))</f>
        <v/>
      </c>
      <c r="S57" s="448" t="str">
        <f aca="false">IF($G57=0,IF(S$11=$H57,"◆",""),IF(AND(S$11&gt;=$H57,S$11&lt;=$I57),1,""))</f>
        <v/>
      </c>
      <c r="T57" s="448" t="str">
        <f aca="false">IF($G57=0,IF(T$11=$H57,"◆",""),IF(AND(T$11&gt;=$H57,T$11&lt;=$I57),1,""))</f>
        <v/>
      </c>
      <c r="U57" s="448" t="str">
        <f aca="false">IF($G57=0,IF(U$11=$H57,"◆",""),IF(AND(U$11&gt;=$H57,U$11&lt;=$I57),1,""))</f>
        <v/>
      </c>
      <c r="V57" s="448" t="str">
        <f aca="false">IF($G57=0,IF(V$11=$H57,"◆",""),IF(AND(V$11&gt;=$H57,V$11&lt;=$I57),1,""))</f>
        <v/>
      </c>
      <c r="W57" s="448" t="str">
        <f aca="false">IF($G57=0,IF(W$11=$H57,"◆",""),IF(AND(W$11&gt;=$H57,W$11&lt;=$I57),1,""))</f>
        <v/>
      </c>
      <c r="X57" s="448" t="str">
        <f aca="false">IF($G57=0,IF(X$11=$H57,"◆",""),IF(AND(X$11&gt;=$H57,X$11&lt;=$I57),1,""))</f>
        <v/>
      </c>
      <c r="Y57" s="448" t="str">
        <f aca="false">IF($G57=0,IF(Y$11=$H57,"◆",""),IF(AND(Y$11&gt;=$H57,Y$11&lt;=$I57),1,""))</f>
        <v/>
      </c>
      <c r="Z57" s="448" t="str">
        <f aca="false">IF($G57=0,IF(Z$11=$H57,"◆",""),IF(AND(Z$11&gt;=$H57,Z$11&lt;=$I57),1,""))</f>
        <v/>
      </c>
      <c r="AA57" s="448" t="str">
        <f aca="false">IF($G57=0,IF(AA$11=$H57,"◆",""),IF(AND(AA$11&gt;=$H57,AA$11&lt;=$I57),1,""))</f>
        <v/>
      </c>
      <c r="AB57" s="448" t="str">
        <f aca="false">IF($G57=0,IF(AB$11=$H57,"◆",""),IF(AND(AB$11&gt;=$H57,AB$11&lt;=$I57),1,""))</f>
        <v/>
      </c>
      <c r="AC57" s="448" t="str">
        <f aca="false">IF($G57=0,IF(AC$11=$H57,"◆",""),IF(AND(AC$11&gt;=$H57,AC$11&lt;=$I57),1,""))</f>
        <v/>
      </c>
      <c r="AD57" s="448" t="str">
        <f aca="false">IF($G57=0,IF(AD$11=$H57,"◆",""),IF(AND(AD$11&gt;=$H57,AD$11&lt;=$I57),1,""))</f>
        <v/>
      </c>
      <c r="AE57" s="448" t="str">
        <f aca="false">IF($G57=0,IF(AE$11=$H57,"◆",""),IF(AND(AE$11&gt;=$H57,AE$11&lt;=$I57),1,""))</f>
        <v/>
      </c>
      <c r="AF57" s="448" t="str">
        <f aca="false">IF($G57=0,IF(AF$11=$H57,"◆",""),IF(AND(AF$11&gt;=$H57,AF$11&lt;=$I57),1,""))</f>
        <v/>
      </c>
      <c r="AG57" s="448" t="str">
        <f aca="false">IF($G57=0,IF(AG$11=$H57,"◆",""),IF(AND(AG$11&gt;=$H57,AG$11&lt;=$I57),1,""))</f>
        <v/>
      </c>
      <c r="AH57" s="448" t="str">
        <f aca="false">IF($G57=0,IF(AH$11=$H57,"◆",""),IF(AND(AH$11&gt;=$H57,AH$11&lt;=$I57),1,""))</f>
        <v/>
      </c>
      <c r="AI57" s="448" t="str">
        <f aca="false">IF($G57=0,IF(AI$11=$H57,"◆",""),IF(AND(AI$11&gt;=$H57,AI$11&lt;=$I57),1,""))</f>
        <v/>
      </c>
      <c r="AJ57" s="448" t="str">
        <f aca="false">IF($G57=0,IF(AJ$11=$H57,"◆",""),IF(AND(AJ$11&gt;=$H57,AJ$11&lt;=$I57),1,""))</f>
        <v/>
      </c>
      <c r="AK57" s="448" t="str">
        <f aca="false">IF($G57=0,IF(AK$11=$H57,"◆",""),IF(AND(AK$11&gt;=$H57,AK$11&lt;=$I57),1,""))</f>
        <v/>
      </c>
      <c r="AL57" s="448" t="str">
        <f aca="false">IF($G57=0,IF(AL$11=$H57,"◆",""),IF(AND(AL$11&gt;=$H57,AL$11&lt;=$I57),1,""))</f>
        <v/>
      </c>
      <c r="AM57" s="448" t="str">
        <f aca="false">IF($G57=0,IF(AM$11=$H57,"◆",""),IF(AND(AM$11&gt;=$H57,AM$11&lt;=$I57),1,""))</f>
        <v/>
      </c>
      <c r="AN57" s="448" t="str">
        <f aca="false">IF($G57=0,IF(AN$11=$H57,"◆",""),IF(AND(AN$11&gt;=$H57,AN$11&lt;=$I57),1,""))</f>
        <v/>
      </c>
      <c r="AO57" s="448" t="str">
        <f aca="false">IF($G57=0,IF(AO$11=$H57,"◆",""),IF(AND(AO$11&gt;=$H57,AO$11&lt;=$I57),1,""))</f>
        <v/>
      </c>
      <c r="AP57" s="448" t="str">
        <f aca="false">IF($G57=0,IF(AP$11=$H57,"◆",""),IF(AND(AP$11&gt;=$H57,AP$11&lt;=$I57),1,""))</f>
        <v/>
      </c>
      <c r="AQ57" s="448" t="str">
        <f aca="false">IF($G57=0,IF(AQ$11=$H57,"◆",""),IF(AND(AQ$11&gt;=$H57,AQ$11&lt;=$I57),1,""))</f>
        <v/>
      </c>
      <c r="AR57" s="448" t="str">
        <f aca="false">IF($G57=0,IF(AR$11=$H57,"◆",""),IF(AND(AR$11&gt;=$H57,AR$11&lt;=$I57),1,""))</f>
        <v/>
      </c>
      <c r="AS57" s="448" t="str">
        <f aca="false">IF($G57=0,IF(AS$11=$H57,"◆",""),IF(AND(AS$11&gt;=$H57,AS$11&lt;=$I57),1,""))</f>
        <v/>
      </c>
      <c r="AT57" s="448" t="n">
        <f aca="false">IF($G57=0,IF(AT$11=$H57,"◆",""),IF(AND(AT$11&gt;=$H57,AT$11&lt;=$I57),1,""))</f>
        <v>1</v>
      </c>
      <c r="AU57" s="448" t="n">
        <f aca="false">IF($G57=0,IF(AU$11=$H57,"◆",""),IF(AND(AU$11&gt;=$H57,AU$11&lt;=$I57),1,""))</f>
        <v>1</v>
      </c>
      <c r="AV57" s="448" t="n">
        <f aca="false">IF($G57=0,IF(AV$11=$H57,"◆",""),IF(AND(AV$11&gt;=$H57,AV$11&lt;=$I57),1,""))</f>
        <v>1</v>
      </c>
      <c r="AW57" s="448" t="n">
        <f aca="false">IF($G57=0,IF(AW$11=$H57,"◆",""),IF(AND(AW$11&gt;=$H57,AW$11&lt;=$I57),1,""))</f>
        <v>1</v>
      </c>
      <c r="AX57" s="448" t="n">
        <f aca="false">IF($G57=0,IF(AX$11=$H57,"◆",""),IF(AND(AX$11&gt;=$H57,AX$11&lt;=$I57),1,""))</f>
        <v>1</v>
      </c>
      <c r="AY57" s="448" t="str">
        <f aca="false">IF($G57=0,IF(AY$11=$H57,"◆",""),IF(AND(AY$11&gt;=$H57,AY$11&lt;=$I57),1,""))</f>
        <v/>
      </c>
      <c r="AZ57" s="448" t="str">
        <f aca="false">IF($G57=0,IF(AZ$11=$H57,"◆",""),IF(AND(AZ$11&gt;=$H57,AZ$11&lt;=$I57),1,""))</f>
        <v/>
      </c>
      <c r="BA57" s="448" t="str">
        <f aca="false">IF($G57=0,IF(BA$11=$H57,"◆",""),IF(AND(BA$11&gt;=$H57,BA$11&lt;=$I57),1,""))</f>
        <v/>
      </c>
      <c r="BB57" s="448" t="str">
        <f aca="false">IF($G57=0,IF(BB$11=$H57,"◆",""),IF(AND(BB$11&gt;=$H57,BB$11&lt;=$I57),1,""))</f>
        <v/>
      </c>
      <c r="BC57" s="448" t="str">
        <f aca="false">IF($G57=0,IF(BC$11=$H57,"◆",""),IF(AND(BC$11&gt;=$H57,BC$11&lt;=$I57),1,""))</f>
        <v/>
      </c>
      <c r="BD57" s="448" t="str">
        <f aca="false">IF($G57=0,IF(BD$11=$H57,"◆",""),IF(AND(BD$11&gt;=$H57,BD$11&lt;=$I57),1,""))</f>
        <v/>
      </c>
      <c r="BE57" s="448" t="str">
        <f aca="false">IF($G57=0,IF(BE$11=$H57,"◆",""),IF(AND(BE$11&gt;=$H57,BE$11&lt;=$I57),1,""))</f>
        <v/>
      </c>
      <c r="BF57" s="448" t="str">
        <f aca="false">IF($G57=0,IF(BF$11=$H57,"◆",""),IF(AND(BF$11&gt;=$H57,BF$11&lt;=$I57),1,""))</f>
        <v/>
      </c>
      <c r="BG57" s="448" t="str">
        <f aca="false">IF($G57=0,IF(BG$11=$H57,"◆",""),IF(AND(BG$11&gt;=$H57,BG$11&lt;=$I57),1,""))</f>
        <v/>
      </c>
      <c r="BH57" s="448" t="str">
        <f aca="false">IF($G57=0,IF(BH$11=$H57,"◆",""),IF(AND(BH$11&gt;=$H57,BH$11&lt;=$I57),1,""))</f>
        <v/>
      </c>
      <c r="BI57" s="448" t="str">
        <f aca="false">IF($G57=0,IF(BI$11=$H57,"◆",""),IF(AND(BI$11&gt;=$H57,BI$11&lt;=$I57),1,""))</f>
        <v/>
      </c>
      <c r="BJ57" s="448" t="str">
        <f aca="false">IF($G57=0,IF(BJ$11=$H57,"◆",""),IF(AND(BJ$11&gt;=$H57,BJ$11&lt;=$I57),1,""))</f>
        <v/>
      </c>
      <c r="BK57" s="448" t="str">
        <f aca="false">IF($G57=0,IF(BK$11=$H57,"◆",""),IF(AND(BK$11&gt;=$H57,BK$11&lt;=$I57),1,""))</f>
        <v/>
      </c>
      <c r="BL57" s="448" t="str">
        <f aca="false">IF($G57=0,IF(BL$11=$H57,"◆",""),IF(AND(BL$11&gt;=$H57,BL$11&lt;=$I57),1,""))</f>
        <v/>
      </c>
      <c r="BM57" s="448" t="str">
        <f aca="false">IF($G57=0,IF(BM$11=$H57,"◆",""),IF(AND(BM$11&gt;=$H57,BM$11&lt;=$I57),1,""))</f>
        <v/>
      </c>
      <c r="BN57" s="448" t="str">
        <f aca="false">IF($G57=0,IF(BN$11=$H57,"◆",""),IF(AND(BN$11&gt;=$H57,BN$11&lt;=$I57),1,""))</f>
        <v/>
      </c>
      <c r="BO57" s="448" t="str">
        <f aca="false">IF($G57=0,IF(BO$11=$H57,"◆",""),IF(AND(BO$11&gt;=$H57,BO$11&lt;=$I57),1,""))</f>
        <v/>
      </c>
      <c r="BP57" s="448" t="str">
        <f aca="false">IF($G57=0,IF(BP$11=$H57,"◆",""),IF(AND(BP$11&gt;=$H57,BP$11&lt;=$I57),1,""))</f>
        <v/>
      </c>
      <c r="BQ57" s="448" t="str">
        <f aca="false">IF($G57=0,IF(BQ$11=$H57,"◆",""),IF(AND(BQ$11&gt;=$H57,BQ$11&lt;=$I57),1,""))</f>
        <v/>
      </c>
      <c r="BR57" s="448" t="str">
        <f aca="false">IF($G57=0,IF(BR$11=$H57,"◆",""),IF(AND(BR$11&gt;=$H57,BR$11&lt;=$I57),1,""))</f>
        <v/>
      </c>
      <c r="BS57" s="448" t="str">
        <f aca="false">IF($G57=0,IF(BS$11=$H57,"◆",""),IF(AND(BS$11&gt;=$H57,BS$11&lt;=$I57),1,""))</f>
        <v/>
      </c>
      <c r="BT57" s="448" t="str">
        <f aca="false">IF($G57=0,IF(BT$11=$H57,"◆",""),IF(AND(BT$11&gt;=$H57,BT$11&lt;=$I57),1,""))</f>
        <v/>
      </c>
      <c r="BU57" s="448" t="str">
        <f aca="false">IF($G57=0,IF(BU$11=$H57,"◆",""),IF(AND(BU$11&gt;=$H57,BU$11&lt;=$I57),1,""))</f>
        <v/>
      </c>
      <c r="BV57" s="448" t="str">
        <f aca="false">IF($G57=0,IF(BV$11=$H57,"◆",""),IF(AND(BV$11&gt;=$H57,BV$11&lt;=$I57),1,""))</f>
        <v/>
      </c>
      <c r="BW57" s="448" t="str">
        <f aca="false">IF($G57=0,IF(BW$11=$H57,"◆",""),IF(AND(BW$11&gt;=$H57,BW$11&lt;=$I57),1,""))</f>
        <v/>
      </c>
      <c r="BX57" s="448" t="str">
        <f aca="false">IF($G57=0,IF(BX$11=$H57,"◆",""),IF(AND(BX$11&gt;=$H57,BX$11&lt;=$I57),1,""))</f>
        <v/>
      </c>
      <c r="BY57" s="448" t="str">
        <f aca="false">IF($G57=0,IF(BY$11=$H57,"◆",""),IF(AND(BY$11&gt;=$H57,BY$11&lt;=$I57),1,""))</f>
        <v/>
      </c>
      <c r="BZ57" s="448" t="str">
        <f aca="false">IF($G57=0,IF(BZ$11=$H57,"◆",""),IF(AND(BZ$11&gt;=$H57,BZ$11&lt;=$I57),1,""))</f>
        <v/>
      </c>
      <c r="CA57" s="448" t="str">
        <f aca="false">IF($G57=0,IF(CA$11=$H57,"◆",""),IF(AND(CA$11&gt;=$H57,CA$11&lt;=$I57),1,""))</f>
        <v/>
      </c>
      <c r="CB57" s="448" t="str">
        <f aca="false">IF($G57=0,IF(CB$11=$H57,"◆",""),IF(AND(CB$11&gt;=$H57,CB$11&lt;=$I57),1,""))</f>
        <v/>
      </c>
      <c r="CC57" s="448" t="str">
        <f aca="false">IF($G57=0,IF(CC$11=$H57,"◆",""),IF(AND(CC$11&gt;=$H57,CC$11&lt;=$I57),1,""))</f>
        <v/>
      </c>
      <c r="CD57" s="448" t="str">
        <f aca="false">IF($G57=0,IF(CD$11=$H57,"◆",""),IF(AND(CD$11&gt;=$H57,CD$11&lt;=$I57),1,""))</f>
        <v/>
      </c>
      <c r="CE57" s="448" t="str">
        <f aca="false">IF($G57=0,IF(CE$11=$H57,"◆",""),IF(AND(CE$11&gt;=$H57,CE$11&lt;=$I57),1,""))</f>
        <v/>
      </c>
      <c r="CF57" s="448" t="str">
        <f aca="false">IF($G57=0,IF(CF$11=$H57,"◆",""),IF(AND(CF$11&gt;=$H57,CF$11&lt;=$I57),1,""))</f>
        <v/>
      </c>
      <c r="CG57" s="448" t="str">
        <f aca="false">IF($G57=0,IF(CG$11=$H57,"◆",""),IF(AND(CG$11&gt;=$H57,CG$11&lt;=$I57),1,""))</f>
        <v/>
      </c>
      <c r="CH57" s="448" t="str">
        <f aca="false">IF($G57=0,IF(CH$11=$H57,"◆",""),IF(AND(CH$11&gt;=$H57,CH$11&lt;=$I57),1,""))</f>
        <v/>
      </c>
      <c r="CI57" s="448" t="str">
        <f aca="false">IF($G57=0,IF(CI$11=$H57,"◆",""),IF(AND(CI$11&gt;=$H57,CI$11&lt;=$I57),1,""))</f>
        <v/>
      </c>
      <c r="CJ57" s="448" t="str">
        <f aca="false">IF($G57=0,IF(CJ$11=$H57,"◆",""),IF(AND(CJ$11&gt;=$H57,CJ$11&lt;=$I57),1,""))</f>
        <v/>
      </c>
      <c r="CK57" s="448" t="str">
        <f aca="false">IF($G57=0,IF(CK$11=$H57,"◆",""),IF(AND(CK$11&gt;=$H57,CK$11&lt;=$I57),1,""))</f>
        <v/>
      </c>
      <c r="CL57" s="448" t="str">
        <f aca="false">IF($G57=0,IF(CL$11=$H57,"◆",""),IF(AND(CL$11&gt;=$H57,CL$11&lt;=$I57),1,""))</f>
        <v/>
      </c>
      <c r="CM57" s="448" t="str">
        <f aca="false">IF($G57=0,IF(CM$11=$H57,"◆",""),IF(AND(CM$11&gt;=$H57,CM$11&lt;=$I57),1,""))</f>
        <v/>
      </c>
      <c r="CN57" s="448" t="str">
        <f aca="false">IF($G57=0,IF(CN$11=$H57,"◆",""),IF(AND(CN$11&gt;=$H57,CN$11&lt;=$I57),1,""))</f>
        <v/>
      </c>
      <c r="CO57" s="448" t="str">
        <f aca="false">IF($G57=0,IF(CO$11=$H57,"◆",""),IF(AND(CO$11&gt;=$H57,CO$11&lt;=$I57),1,""))</f>
        <v/>
      </c>
      <c r="CP57" s="448" t="str">
        <f aca="false">IF($G57=0,IF(CP$11=$H57,"◆",""),IF(AND(CP$11&gt;=$H57,CP$11&lt;=$I57),1,""))</f>
        <v/>
      </c>
      <c r="CQ57" s="448" t="str">
        <f aca="false">IF($G57=0,IF(CQ$11=$H57,"◆",""),IF(AND(CQ$11&gt;=$H57,CQ$11&lt;=$I57),1,""))</f>
        <v/>
      </c>
      <c r="CR57" s="448" t="str">
        <f aca="false">IF($G57=0,IF(CR$11=$H57,"◆",""),IF(AND(CR$11&gt;=$H57,CR$11&lt;=$I57),1,""))</f>
        <v/>
      </c>
      <c r="CS57" s="448" t="str">
        <f aca="false">IF($G57=0,IF(CS$11=$H57,"◆",""),IF(AND(CS$11&gt;=$H57,CS$11&lt;=$I57),1,""))</f>
        <v/>
      </c>
      <c r="CT57" s="448" t="str">
        <f aca="false">IF($G57=0,IF(CT$11=$H57,"◆",""),IF(AND(CT$11&gt;=$H57,CT$11&lt;=$I57),1,""))</f>
        <v/>
      </c>
      <c r="CU57" s="448" t="str">
        <f aca="false">IF($G57=0,IF(CU$11=$H57,"◆",""),IF(AND(CU$11&gt;=$H57,CU$11&lt;=$I57),1,""))</f>
        <v/>
      </c>
      <c r="CV57" s="448" t="str">
        <f aca="false">IF($G57=0,IF(CV$11=$H57,"◆",""),IF(AND(CV$11&gt;=$H57,CV$11&lt;=$I57),1,""))</f>
        <v/>
      </c>
      <c r="CW57" s="448" t="str">
        <f aca="false">IF($G57=0,IF(CW$11=$H57,"◆",""),IF(AND(CW$11&gt;=$H57,CW$11&lt;=$I57),1,""))</f>
        <v/>
      </c>
      <c r="CX57" s="448" t="str">
        <f aca="false">IF($G57=0,IF(CX$11=$H57,"◆",""),IF(AND(CX$11&gt;=$H57,CX$11&lt;=$I57),1,""))</f>
        <v/>
      </c>
      <c r="CY57" s="448" t="str">
        <f aca="false">IF($G57=0,IF(CY$11=$H57,"◆",""),IF(AND(CY$11&gt;=$H57,CY$11&lt;=$I57),1,""))</f>
        <v/>
      </c>
      <c r="CZ57" s="448" t="str">
        <f aca="false">IF($G57=0,IF(CZ$11=$H57,"◆",""),IF(AND(CZ$11&gt;=$H57,CZ$11&lt;=$I57),1,""))</f>
        <v/>
      </c>
      <c r="DA57" s="448" t="str">
        <f aca="false">IF($G57=0,IF(DA$11=$H57,"◆",""),IF(AND(DA$11&gt;=$H57,DA$11&lt;=$I57),1,""))</f>
        <v/>
      </c>
      <c r="DB57" s="448" t="str">
        <f aca="false">IF($G57=0,IF(DB$11=$H57,"◆",""),IF(AND(DB$11&gt;=$H57,DB$11&lt;=$I57),1,""))</f>
        <v/>
      </c>
      <c r="DC57" s="448" t="str">
        <f aca="false">IF($G57=0,IF(DC$11=$H57,"◆",""),IF(AND(DC$11&gt;=$H57,DC$11&lt;=$I57),1,""))</f>
        <v/>
      </c>
      <c r="DD57" s="448" t="str">
        <f aca="false">IF($G57=0,IF(DD$11=$H57,"◆",""),IF(AND(DD$11&gt;=$H57,DD$11&lt;=$I57),1,""))</f>
        <v/>
      </c>
      <c r="DE57" s="448" t="str">
        <f aca="false">IF($G57=0,IF(DE$11=$H57,"◆",""),IF(AND(DE$11&gt;=$H57,DE$11&lt;=$I57),1,""))</f>
        <v/>
      </c>
      <c r="DF57" s="448" t="str">
        <f aca="false">IF($G57=0,IF(DF$11=$H57,"◆",""),IF(AND(DF$11&gt;=$H57,DF$11&lt;=$I57),1,""))</f>
        <v/>
      </c>
      <c r="DG57" s="448" t="str">
        <f aca="false">IF($G57=0,IF(DG$11=$H57,"◆",""),IF(AND(DG$11&gt;=$H57,DG$11&lt;=$I57),1,""))</f>
        <v/>
      </c>
      <c r="DH57" s="448" t="str">
        <f aca="false">IF($G57=0,IF(DH$11=$H57,"◆",""),IF(AND(DH$11&gt;=$H57,DH$11&lt;=$I57),1,""))</f>
        <v/>
      </c>
      <c r="DI57" s="448" t="str">
        <f aca="false">IF($G57=0,IF(DI$11=$H57,"◆",""),IF(AND(DI$11&gt;=$H57,DI$11&lt;=$I57),1,""))</f>
        <v/>
      </c>
      <c r="DJ57" s="448" t="str">
        <f aca="false">IF($G57=0,IF(DJ$11=$H57,"◆",""),IF(AND(DJ$11&gt;=$H57,DJ$11&lt;=$I57),1,""))</f>
        <v/>
      </c>
      <c r="DK57" s="448" t="str">
        <f aca="false">IF($G57=0,IF(DK$11=$H57,"◆",""),IF(AND(DK$11&gt;=$H57,DK$11&lt;=$I57),1,""))</f>
        <v/>
      </c>
      <c r="DL57" s="448" t="str">
        <f aca="false">IF($G57=0,IF(DL$11=$H57,"◆",""),IF(AND(DL$11&gt;=$H57,DL$11&lt;=$I57),1,""))</f>
        <v/>
      </c>
      <c r="DM57" s="448" t="str">
        <f aca="false">IF($G57=0,IF(DM$11=$H57,"◆",""),IF(AND(DM$11&gt;=$H57,DM$11&lt;=$I57),1,""))</f>
        <v/>
      </c>
      <c r="DN57" s="448" t="str">
        <f aca="false">IF($G57=0,IF(DN$11=$H57,"◆",""),IF(AND(DN$11&gt;=$H57,DN$11&lt;=$I57),1,""))</f>
        <v/>
      </c>
      <c r="DO57" s="448" t="str">
        <f aca="false">IF($G57=0,IF(DO$11=$H57,"◆",""),IF(AND(DO$11&gt;=$H57,DO$11&lt;=$I57),1,""))</f>
        <v/>
      </c>
      <c r="DP57" s="448" t="str">
        <f aca="false">IF($G57=0,IF(DP$11=$H57,"◆",""),IF(AND(DP$11&gt;=$H57,DP$11&lt;=$I57),1,""))</f>
        <v/>
      </c>
      <c r="DQ57" s="448" t="str">
        <f aca="false">IF($G57=0,IF(DQ$11=$H57,"◆",""),IF(AND(DQ$11&gt;=$H57,DQ$11&lt;=$I57),1,""))</f>
        <v/>
      </c>
      <c r="DR57" s="448" t="str">
        <f aca="false">IF($G57=0,IF(DR$11=$H57,"◆",""),IF(AND(DR$11&gt;=$H57,DR$11&lt;=$I57),1,""))</f>
        <v/>
      </c>
      <c r="DS57" s="448" t="str">
        <f aca="false">IF($G57=0,IF(DS$11=$H57,"◆",""),IF(AND(DS$11&gt;=$H57,DS$11&lt;=$I57),1,""))</f>
        <v/>
      </c>
      <c r="DT57" s="448" t="str">
        <f aca="false">IF($G57=0,IF(DT$11=$H57,"◆",""),IF(AND(DT$11&gt;=$H57,DT$11&lt;=$I57),1,""))</f>
        <v/>
      </c>
      <c r="DU57" s="448" t="str">
        <f aca="false">IF($G57=0,IF(DU$11=$H57,"◆",""),IF(AND(DU$11&gt;=$H57,DU$11&lt;=$I57),1,""))</f>
        <v/>
      </c>
      <c r="DV57" s="448" t="str">
        <f aca="false">IF($G57=0,IF(DV$11=$H57,"◆",""),IF(AND(DV$11&gt;=$H57,DV$11&lt;=$I57),1,""))</f>
        <v/>
      </c>
      <c r="DW57" s="448" t="str">
        <f aca="false">IF($G57=0,IF(DW$11=$H57,"◆",""),IF(AND(DW$11&gt;=$H57,DW$11&lt;=$I57),1,""))</f>
        <v/>
      </c>
      <c r="DX57" s="448" t="str">
        <f aca="false">IF($G57=0,IF(DX$11=$H57,"◆",""),IF(AND(DX$11&gt;=$H57,DX$11&lt;=$I57),1,""))</f>
        <v/>
      </c>
      <c r="DY57" s="448" t="str">
        <f aca="false">IF($G57=0,IF(DY$11=$H57,"◆",""),IF(AND(DY$11&gt;=$H57,DY$11&lt;=$I57),1,""))</f>
        <v/>
      </c>
      <c r="DZ57" s="448" t="str">
        <f aca="false">IF($G57=0,IF(DZ$11=$H57,"◆",""),IF(AND(DZ$11&gt;=$H57,DZ$11&lt;=$I57),1,""))</f>
        <v/>
      </c>
      <c r="EA57" s="448" t="str">
        <f aca="false">IF($G57=0,IF(EA$11=$H57,"◆",""),IF(AND(EA$11&gt;=$H57,EA$11&lt;=$I57),1,""))</f>
        <v/>
      </c>
      <c r="EB57" s="448" t="str">
        <f aca="false">IF($G57=0,IF(EB$11=$H57,"◆",""),IF(AND(EB$11&gt;=$H57,EB$11&lt;=$I57),1,""))</f>
        <v/>
      </c>
      <c r="EC57" s="448" t="str">
        <f aca="false">IF($G57=0,IF(EC$11=$H57,"◆",""),IF(AND(EC$11&gt;=$H57,EC$11&lt;=$I57),1,""))</f>
        <v/>
      </c>
      <c r="ED57" s="448" t="str">
        <f aca="false">IF($G57=0,IF(ED$11=$H57,"◆",""),IF(AND(ED$11&gt;=$H57,ED$11&lt;=$I57),1,""))</f>
        <v/>
      </c>
    </row>
    <row r="58" customFormat="false" ht="15" hidden="false" customHeight="true" outlineLevel="0" collapsed="false">
      <c r="A58" s="441" t="s">
        <v>2542</v>
      </c>
      <c r="B58" s="297" t="s">
        <v>2543</v>
      </c>
      <c r="C58" s="442" t="s">
        <v>2452</v>
      </c>
      <c r="D58" s="443" t="s">
        <v>2496</v>
      </c>
      <c r="E58" s="354" t="n">
        <f aca="false">FC_SUPUESTOS!$C$23-FC_SUPUESTOS!$C$21</f>
        <v>8</v>
      </c>
      <c r="F58" s="352" t="n">
        <v>5</v>
      </c>
      <c r="G58" s="352" t="n">
        <v>2</v>
      </c>
      <c r="H58" s="367" t="n">
        <f aca="false">MAX(1,ROUND(($E58-1)*$D$5,0)+1+$F58)</f>
        <v>36</v>
      </c>
      <c r="I58" s="367" t="n">
        <f aca="false">MAX($H58,$H58+$G58-1)</f>
        <v>37</v>
      </c>
      <c r="J58" s="444" t="n">
        <f aca="false">$D$4+($H58-1)*7</f>
        <v>46545</v>
      </c>
      <c r="K58" s="444" t="n">
        <f aca="false">$D$4+$I58*7-1</f>
        <v>46558</v>
      </c>
      <c r="L58" s="445" t="n">
        <f aca="false">ROUNDUP($H58/$D$5,0)</f>
        <v>9</v>
      </c>
      <c r="M58" s="446" t="s">
        <v>2453</v>
      </c>
      <c r="N58" s="447" t="n">
        <v>0</v>
      </c>
      <c r="O58" s="448" t="str">
        <f aca="false">IF($G58=0,IF(O$11=$H58,"◆",""),IF(AND(O$11&gt;=$H58,O$11&lt;=$I58),1,""))</f>
        <v/>
      </c>
      <c r="P58" s="448" t="str">
        <f aca="false">IF($G58=0,IF(P$11=$H58,"◆",""),IF(AND(P$11&gt;=$H58,P$11&lt;=$I58),1,""))</f>
        <v/>
      </c>
      <c r="Q58" s="448" t="str">
        <f aca="false">IF($G58=0,IF(Q$11=$H58,"◆",""),IF(AND(Q$11&gt;=$H58,Q$11&lt;=$I58),1,""))</f>
        <v/>
      </c>
      <c r="R58" s="448" t="str">
        <f aca="false">IF($G58=0,IF(R$11=$H58,"◆",""),IF(AND(R$11&gt;=$H58,R$11&lt;=$I58),1,""))</f>
        <v/>
      </c>
      <c r="S58" s="448" t="str">
        <f aca="false">IF($G58=0,IF(S$11=$H58,"◆",""),IF(AND(S$11&gt;=$H58,S$11&lt;=$I58),1,""))</f>
        <v/>
      </c>
      <c r="T58" s="448" t="str">
        <f aca="false">IF($G58=0,IF(T$11=$H58,"◆",""),IF(AND(T$11&gt;=$H58,T$11&lt;=$I58),1,""))</f>
        <v/>
      </c>
      <c r="U58" s="448" t="str">
        <f aca="false">IF($G58=0,IF(U$11=$H58,"◆",""),IF(AND(U$11&gt;=$H58,U$11&lt;=$I58),1,""))</f>
        <v/>
      </c>
      <c r="V58" s="448" t="str">
        <f aca="false">IF($G58=0,IF(V$11=$H58,"◆",""),IF(AND(V$11&gt;=$H58,V$11&lt;=$I58),1,""))</f>
        <v/>
      </c>
      <c r="W58" s="448" t="str">
        <f aca="false">IF($G58=0,IF(W$11=$H58,"◆",""),IF(AND(W$11&gt;=$H58,W$11&lt;=$I58),1,""))</f>
        <v/>
      </c>
      <c r="X58" s="448" t="str">
        <f aca="false">IF($G58=0,IF(X$11=$H58,"◆",""),IF(AND(X$11&gt;=$H58,X$11&lt;=$I58),1,""))</f>
        <v/>
      </c>
      <c r="Y58" s="448" t="str">
        <f aca="false">IF($G58=0,IF(Y$11=$H58,"◆",""),IF(AND(Y$11&gt;=$H58,Y$11&lt;=$I58),1,""))</f>
        <v/>
      </c>
      <c r="Z58" s="448" t="str">
        <f aca="false">IF($G58=0,IF(Z$11=$H58,"◆",""),IF(AND(Z$11&gt;=$H58,Z$11&lt;=$I58),1,""))</f>
        <v/>
      </c>
      <c r="AA58" s="448" t="str">
        <f aca="false">IF($G58=0,IF(AA$11=$H58,"◆",""),IF(AND(AA$11&gt;=$H58,AA$11&lt;=$I58),1,""))</f>
        <v/>
      </c>
      <c r="AB58" s="448" t="str">
        <f aca="false">IF($G58=0,IF(AB$11=$H58,"◆",""),IF(AND(AB$11&gt;=$H58,AB$11&lt;=$I58),1,""))</f>
        <v/>
      </c>
      <c r="AC58" s="448" t="str">
        <f aca="false">IF($G58=0,IF(AC$11=$H58,"◆",""),IF(AND(AC$11&gt;=$H58,AC$11&lt;=$I58),1,""))</f>
        <v/>
      </c>
      <c r="AD58" s="448" t="str">
        <f aca="false">IF($G58=0,IF(AD$11=$H58,"◆",""),IF(AND(AD$11&gt;=$H58,AD$11&lt;=$I58),1,""))</f>
        <v/>
      </c>
      <c r="AE58" s="448" t="str">
        <f aca="false">IF($G58=0,IF(AE$11=$H58,"◆",""),IF(AND(AE$11&gt;=$H58,AE$11&lt;=$I58),1,""))</f>
        <v/>
      </c>
      <c r="AF58" s="448" t="str">
        <f aca="false">IF($G58=0,IF(AF$11=$H58,"◆",""),IF(AND(AF$11&gt;=$H58,AF$11&lt;=$I58),1,""))</f>
        <v/>
      </c>
      <c r="AG58" s="448" t="str">
        <f aca="false">IF($G58=0,IF(AG$11=$H58,"◆",""),IF(AND(AG$11&gt;=$H58,AG$11&lt;=$I58),1,""))</f>
        <v/>
      </c>
      <c r="AH58" s="448" t="str">
        <f aca="false">IF($G58=0,IF(AH$11=$H58,"◆",""),IF(AND(AH$11&gt;=$H58,AH$11&lt;=$I58),1,""))</f>
        <v/>
      </c>
      <c r="AI58" s="448" t="str">
        <f aca="false">IF($G58=0,IF(AI$11=$H58,"◆",""),IF(AND(AI$11&gt;=$H58,AI$11&lt;=$I58),1,""))</f>
        <v/>
      </c>
      <c r="AJ58" s="448" t="str">
        <f aca="false">IF($G58=0,IF(AJ$11=$H58,"◆",""),IF(AND(AJ$11&gt;=$H58,AJ$11&lt;=$I58),1,""))</f>
        <v/>
      </c>
      <c r="AK58" s="448" t="str">
        <f aca="false">IF($G58=0,IF(AK$11=$H58,"◆",""),IF(AND(AK$11&gt;=$H58,AK$11&lt;=$I58),1,""))</f>
        <v/>
      </c>
      <c r="AL58" s="448" t="str">
        <f aca="false">IF($G58=0,IF(AL$11=$H58,"◆",""),IF(AND(AL$11&gt;=$H58,AL$11&lt;=$I58),1,""))</f>
        <v/>
      </c>
      <c r="AM58" s="448" t="str">
        <f aca="false">IF($G58=0,IF(AM$11=$H58,"◆",""),IF(AND(AM$11&gt;=$H58,AM$11&lt;=$I58),1,""))</f>
        <v/>
      </c>
      <c r="AN58" s="448" t="str">
        <f aca="false">IF($G58=0,IF(AN$11=$H58,"◆",""),IF(AND(AN$11&gt;=$H58,AN$11&lt;=$I58),1,""))</f>
        <v/>
      </c>
      <c r="AO58" s="448" t="str">
        <f aca="false">IF($G58=0,IF(AO$11=$H58,"◆",""),IF(AND(AO$11&gt;=$H58,AO$11&lt;=$I58),1,""))</f>
        <v/>
      </c>
      <c r="AP58" s="448" t="str">
        <f aca="false">IF($G58=0,IF(AP$11=$H58,"◆",""),IF(AND(AP$11&gt;=$H58,AP$11&lt;=$I58),1,""))</f>
        <v/>
      </c>
      <c r="AQ58" s="448" t="str">
        <f aca="false">IF($G58=0,IF(AQ$11=$H58,"◆",""),IF(AND(AQ$11&gt;=$H58,AQ$11&lt;=$I58),1,""))</f>
        <v/>
      </c>
      <c r="AR58" s="448" t="str">
        <f aca="false">IF($G58=0,IF(AR$11=$H58,"◆",""),IF(AND(AR$11&gt;=$H58,AR$11&lt;=$I58),1,""))</f>
        <v/>
      </c>
      <c r="AS58" s="448" t="str">
        <f aca="false">IF($G58=0,IF(AS$11=$H58,"◆",""),IF(AND(AS$11&gt;=$H58,AS$11&lt;=$I58),1,""))</f>
        <v/>
      </c>
      <c r="AT58" s="448" t="str">
        <f aca="false">IF($G58=0,IF(AT$11=$H58,"◆",""),IF(AND(AT$11&gt;=$H58,AT$11&lt;=$I58),1,""))</f>
        <v/>
      </c>
      <c r="AU58" s="448" t="str">
        <f aca="false">IF($G58=0,IF(AU$11=$H58,"◆",""),IF(AND(AU$11&gt;=$H58,AU$11&lt;=$I58),1,""))</f>
        <v/>
      </c>
      <c r="AV58" s="448" t="str">
        <f aca="false">IF($G58=0,IF(AV$11=$H58,"◆",""),IF(AND(AV$11&gt;=$H58,AV$11&lt;=$I58),1,""))</f>
        <v/>
      </c>
      <c r="AW58" s="448" t="str">
        <f aca="false">IF($G58=0,IF(AW$11=$H58,"◆",""),IF(AND(AW$11&gt;=$H58,AW$11&lt;=$I58),1,""))</f>
        <v/>
      </c>
      <c r="AX58" s="448" t="n">
        <f aca="false">IF($G58=0,IF(AX$11=$H58,"◆",""),IF(AND(AX$11&gt;=$H58,AX$11&lt;=$I58),1,""))</f>
        <v>1</v>
      </c>
      <c r="AY58" s="448" t="n">
        <f aca="false">IF($G58=0,IF(AY$11=$H58,"◆",""),IF(AND(AY$11&gt;=$H58,AY$11&lt;=$I58),1,""))</f>
        <v>1</v>
      </c>
      <c r="AZ58" s="448" t="str">
        <f aca="false">IF($G58=0,IF(AZ$11=$H58,"◆",""),IF(AND(AZ$11&gt;=$H58,AZ$11&lt;=$I58),1,""))</f>
        <v/>
      </c>
      <c r="BA58" s="448" t="str">
        <f aca="false">IF($G58=0,IF(BA$11=$H58,"◆",""),IF(AND(BA$11&gt;=$H58,BA$11&lt;=$I58),1,""))</f>
        <v/>
      </c>
      <c r="BB58" s="448" t="str">
        <f aca="false">IF($G58=0,IF(BB$11=$H58,"◆",""),IF(AND(BB$11&gt;=$H58,BB$11&lt;=$I58),1,""))</f>
        <v/>
      </c>
      <c r="BC58" s="448" t="str">
        <f aca="false">IF($G58=0,IF(BC$11=$H58,"◆",""),IF(AND(BC$11&gt;=$H58,BC$11&lt;=$I58),1,""))</f>
        <v/>
      </c>
      <c r="BD58" s="448" t="str">
        <f aca="false">IF($G58=0,IF(BD$11=$H58,"◆",""),IF(AND(BD$11&gt;=$H58,BD$11&lt;=$I58),1,""))</f>
        <v/>
      </c>
      <c r="BE58" s="448" t="str">
        <f aca="false">IF($G58=0,IF(BE$11=$H58,"◆",""),IF(AND(BE$11&gt;=$H58,BE$11&lt;=$I58),1,""))</f>
        <v/>
      </c>
      <c r="BF58" s="448" t="str">
        <f aca="false">IF($G58=0,IF(BF$11=$H58,"◆",""),IF(AND(BF$11&gt;=$H58,BF$11&lt;=$I58),1,""))</f>
        <v/>
      </c>
      <c r="BG58" s="448" t="str">
        <f aca="false">IF($G58=0,IF(BG$11=$H58,"◆",""),IF(AND(BG$11&gt;=$H58,BG$11&lt;=$I58),1,""))</f>
        <v/>
      </c>
      <c r="BH58" s="448" t="str">
        <f aca="false">IF($G58=0,IF(BH$11=$H58,"◆",""),IF(AND(BH$11&gt;=$H58,BH$11&lt;=$I58),1,""))</f>
        <v/>
      </c>
      <c r="BI58" s="448" t="str">
        <f aca="false">IF($G58=0,IF(BI$11=$H58,"◆",""),IF(AND(BI$11&gt;=$H58,BI$11&lt;=$I58),1,""))</f>
        <v/>
      </c>
      <c r="BJ58" s="448" t="str">
        <f aca="false">IF($G58=0,IF(BJ$11=$H58,"◆",""),IF(AND(BJ$11&gt;=$H58,BJ$11&lt;=$I58),1,""))</f>
        <v/>
      </c>
      <c r="BK58" s="448" t="str">
        <f aca="false">IF($G58=0,IF(BK$11=$H58,"◆",""),IF(AND(BK$11&gt;=$H58,BK$11&lt;=$I58),1,""))</f>
        <v/>
      </c>
      <c r="BL58" s="448" t="str">
        <f aca="false">IF($G58=0,IF(BL$11=$H58,"◆",""),IF(AND(BL$11&gt;=$H58,BL$11&lt;=$I58),1,""))</f>
        <v/>
      </c>
      <c r="BM58" s="448" t="str">
        <f aca="false">IF($G58=0,IF(BM$11=$H58,"◆",""),IF(AND(BM$11&gt;=$H58,BM$11&lt;=$I58),1,""))</f>
        <v/>
      </c>
      <c r="BN58" s="448" t="str">
        <f aca="false">IF($G58=0,IF(BN$11=$H58,"◆",""),IF(AND(BN$11&gt;=$H58,BN$11&lt;=$I58),1,""))</f>
        <v/>
      </c>
      <c r="BO58" s="448" t="str">
        <f aca="false">IF($G58=0,IF(BO$11=$H58,"◆",""),IF(AND(BO$11&gt;=$H58,BO$11&lt;=$I58),1,""))</f>
        <v/>
      </c>
      <c r="BP58" s="448" t="str">
        <f aca="false">IF($G58=0,IF(BP$11=$H58,"◆",""),IF(AND(BP$11&gt;=$H58,BP$11&lt;=$I58),1,""))</f>
        <v/>
      </c>
      <c r="BQ58" s="448" t="str">
        <f aca="false">IF($G58=0,IF(BQ$11=$H58,"◆",""),IF(AND(BQ$11&gt;=$H58,BQ$11&lt;=$I58),1,""))</f>
        <v/>
      </c>
      <c r="BR58" s="448" t="str">
        <f aca="false">IF($G58=0,IF(BR$11=$H58,"◆",""),IF(AND(BR$11&gt;=$H58,BR$11&lt;=$I58),1,""))</f>
        <v/>
      </c>
      <c r="BS58" s="448" t="str">
        <f aca="false">IF($G58=0,IF(BS$11=$H58,"◆",""),IF(AND(BS$11&gt;=$H58,BS$11&lt;=$I58),1,""))</f>
        <v/>
      </c>
      <c r="BT58" s="448" t="str">
        <f aca="false">IF($G58=0,IF(BT$11=$H58,"◆",""),IF(AND(BT$11&gt;=$H58,BT$11&lt;=$I58),1,""))</f>
        <v/>
      </c>
      <c r="BU58" s="448" t="str">
        <f aca="false">IF($G58=0,IF(BU$11=$H58,"◆",""),IF(AND(BU$11&gt;=$H58,BU$11&lt;=$I58),1,""))</f>
        <v/>
      </c>
      <c r="BV58" s="448" t="str">
        <f aca="false">IF($G58=0,IF(BV$11=$H58,"◆",""),IF(AND(BV$11&gt;=$H58,BV$11&lt;=$I58),1,""))</f>
        <v/>
      </c>
      <c r="BW58" s="448" t="str">
        <f aca="false">IF($G58=0,IF(BW$11=$H58,"◆",""),IF(AND(BW$11&gt;=$H58,BW$11&lt;=$I58),1,""))</f>
        <v/>
      </c>
      <c r="BX58" s="448" t="str">
        <f aca="false">IF($G58=0,IF(BX$11=$H58,"◆",""),IF(AND(BX$11&gt;=$H58,BX$11&lt;=$I58),1,""))</f>
        <v/>
      </c>
      <c r="BY58" s="448" t="str">
        <f aca="false">IF($G58=0,IF(BY$11=$H58,"◆",""),IF(AND(BY$11&gt;=$H58,BY$11&lt;=$I58),1,""))</f>
        <v/>
      </c>
      <c r="BZ58" s="448" t="str">
        <f aca="false">IF($G58=0,IF(BZ$11=$H58,"◆",""),IF(AND(BZ$11&gt;=$H58,BZ$11&lt;=$I58),1,""))</f>
        <v/>
      </c>
      <c r="CA58" s="448" t="str">
        <f aca="false">IF($G58=0,IF(CA$11=$H58,"◆",""),IF(AND(CA$11&gt;=$H58,CA$11&lt;=$I58),1,""))</f>
        <v/>
      </c>
      <c r="CB58" s="448" t="str">
        <f aca="false">IF($G58=0,IF(CB$11=$H58,"◆",""),IF(AND(CB$11&gt;=$H58,CB$11&lt;=$I58),1,""))</f>
        <v/>
      </c>
      <c r="CC58" s="448" t="str">
        <f aca="false">IF($G58=0,IF(CC$11=$H58,"◆",""),IF(AND(CC$11&gt;=$H58,CC$11&lt;=$I58),1,""))</f>
        <v/>
      </c>
      <c r="CD58" s="448" t="str">
        <f aca="false">IF($G58=0,IF(CD$11=$H58,"◆",""),IF(AND(CD$11&gt;=$H58,CD$11&lt;=$I58),1,""))</f>
        <v/>
      </c>
      <c r="CE58" s="448" t="str">
        <f aca="false">IF($G58=0,IF(CE$11=$H58,"◆",""),IF(AND(CE$11&gt;=$H58,CE$11&lt;=$I58),1,""))</f>
        <v/>
      </c>
      <c r="CF58" s="448" t="str">
        <f aca="false">IF($G58=0,IF(CF$11=$H58,"◆",""),IF(AND(CF$11&gt;=$H58,CF$11&lt;=$I58),1,""))</f>
        <v/>
      </c>
      <c r="CG58" s="448" t="str">
        <f aca="false">IF($G58=0,IF(CG$11=$H58,"◆",""),IF(AND(CG$11&gt;=$H58,CG$11&lt;=$I58),1,""))</f>
        <v/>
      </c>
      <c r="CH58" s="448" t="str">
        <f aca="false">IF($G58=0,IF(CH$11=$H58,"◆",""),IF(AND(CH$11&gt;=$H58,CH$11&lt;=$I58),1,""))</f>
        <v/>
      </c>
      <c r="CI58" s="448" t="str">
        <f aca="false">IF($G58=0,IF(CI$11=$H58,"◆",""),IF(AND(CI$11&gt;=$H58,CI$11&lt;=$I58),1,""))</f>
        <v/>
      </c>
      <c r="CJ58" s="448" t="str">
        <f aca="false">IF($G58=0,IF(CJ$11=$H58,"◆",""),IF(AND(CJ$11&gt;=$H58,CJ$11&lt;=$I58),1,""))</f>
        <v/>
      </c>
      <c r="CK58" s="448" t="str">
        <f aca="false">IF($G58=0,IF(CK$11=$H58,"◆",""),IF(AND(CK$11&gt;=$H58,CK$11&lt;=$I58),1,""))</f>
        <v/>
      </c>
      <c r="CL58" s="448" t="str">
        <f aca="false">IF($G58=0,IF(CL$11=$H58,"◆",""),IF(AND(CL$11&gt;=$H58,CL$11&lt;=$I58),1,""))</f>
        <v/>
      </c>
      <c r="CM58" s="448" t="str">
        <f aca="false">IF($G58=0,IF(CM$11=$H58,"◆",""),IF(AND(CM$11&gt;=$H58,CM$11&lt;=$I58),1,""))</f>
        <v/>
      </c>
      <c r="CN58" s="448" t="str">
        <f aca="false">IF($G58=0,IF(CN$11=$H58,"◆",""),IF(AND(CN$11&gt;=$H58,CN$11&lt;=$I58),1,""))</f>
        <v/>
      </c>
      <c r="CO58" s="448" t="str">
        <f aca="false">IF($G58=0,IF(CO$11=$H58,"◆",""),IF(AND(CO$11&gt;=$H58,CO$11&lt;=$I58),1,""))</f>
        <v/>
      </c>
      <c r="CP58" s="448" t="str">
        <f aca="false">IF($G58=0,IF(CP$11=$H58,"◆",""),IF(AND(CP$11&gt;=$H58,CP$11&lt;=$I58),1,""))</f>
        <v/>
      </c>
      <c r="CQ58" s="448" t="str">
        <f aca="false">IF($G58=0,IF(CQ$11=$H58,"◆",""),IF(AND(CQ$11&gt;=$H58,CQ$11&lt;=$I58),1,""))</f>
        <v/>
      </c>
      <c r="CR58" s="448" t="str">
        <f aca="false">IF($G58=0,IF(CR$11=$H58,"◆",""),IF(AND(CR$11&gt;=$H58,CR$11&lt;=$I58),1,""))</f>
        <v/>
      </c>
      <c r="CS58" s="448" t="str">
        <f aca="false">IF($G58=0,IF(CS$11=$H58,"◆",""),IF(AND(CS$11&gt;=$H58,CS$11&lt;=$I58),1,""))</f>
        <v/>
      </c>
      <c r="CT58" s="448" t="str">
        <f aca="false">IF($G58=0,IF(CT$11=$H58,"◆",""),IF(AND(CT$11&gt;=$H58,CT$11&lt;=$I58),1,""))</f>
        <v/>
      </c>
      <c r="CU58" s="448" t="str">
        <f aca="false">IF($G58=0,IF(CU$11=$H58,"◆",""),IF(AND(CU$11&gt;=$H58,CU$11&lt;=$I58),1,""))</f>
        <v/>
      </c>
      <c r="CV58" s="448" t="str">
        <f aca="false">IF($G58=0,IF(CV$11=$H58,"◆",""),IF(AND(CV$11&gt;=$H58,CV$11&lt;=$I58),1,""))</f>
        <v/>
      </c>
      <c r="CW58" s="448" t="str">
        <f aca="false">IF($G58=0,IF(CW$11=$H58,"◆",""),IF(AND(CW$11&gt;=$H58,CW$11&lt;=$I58),1,""))</f>
        <v/>
      </c>
      <c r="CX58" s="448" t="str">
        <f aca="false">IF($G58=0,IF(CX$11=$H58,"◆",""),IF(AND(CX$11&gt;=$H58,CX$11&lt;=$I58),1,""))</f>
        <v/>
      </c>
      <c r="CY58" s="448" t="str">
        <f aca="false">IF($G58=0,IF(CY$11=$H58,"◆",""),IF(AND(CY$11&gt;=$H58,CY$11&lt;=$I58),1,""))</f>
        <v/>
      </c>
      <c r="CZ58" s="448" t="str">
        <f aca="false">IF($G58=0,IF(CZ$11=$H58,"◆",""),IF(AND(CZ$11&gt;=$H58,CZ$11&lt;=$I58),1,""))</f>
        <v/>
      </c>
      <c r="DA58" s="448" t="str">
        <f aca="false">IF($G58=0,IF(DA$11=$H58,"◆",""),IF(AND(DA$11&gt;=$H58,DA$11&lt;=$I58),1,""))</f>
        <v/>
      </c>
      <c r="DB58" s="448" t="str">
        <f aca="false">IF($G58=0,IF(DB$11=$H58,"◆",""),IF(AND(DB$11&gt;=$H58,DB$11&lt;=$I58),1,""))</f>
        <v/>
      </c>
      <c r="DC58" s="448" t="str">
        <f aca="false">IF($G58=0,IF(DC$11=$H58,"◆",""),IF(AND(DC$11&gt;=$H58,DC$11&lt;=$I58),1,""))</f>
        <v/>
      </c>
      <c r="DD58" s="448" t="str">
        <f aca="false">IF($G58=0,IF(DD$11=$H58,"◆",""),IF(AND(DD$11&gt;=$H58,DD$11&lt;=$I58),1,""))</f>
        <v/>
      </c>
      <c r="DE58" s="448" t="str">
        <f aca="false">IF($G58=0,IF(DE$11=$H58,"◆",""),IF(AND(DE$11&gt;=$H58,DE$11&lt;=$I58),1,""))</f>
        <v/>
      </c>
      <c r="DF58" s="448" t="str">
        <f aca="false">IF($G58=0,IF(DF$11=$H58,"◆",""),IF(AND(DF$11&gt;=$H58,DF$11&lt;=$I58),1,""))</f>
        <v/>
      </c>
      <c r="DG58" s="448" t="str">
        <f aca="false">IF($G58=0,IF(DG$11=$H58,"◆",""),IF(AND(DG$11&gt;=$H58,DG$11&lt;=$I58),1,""))</f>
        <v/>
      </c>
      <c r="DH58" s="448" t="str">
        <f aca="false">IF($G58=0,IF(DH$11=$H58,"◆",""),IF(AND(DH$11&gt;=$H58,DH$11&lt;=$I58),1,""))</f>
        <v/>
      </c>
      <c r="DI58" s="448" t="str">
        <f aca="false">IF($G58=0,IF(DI$11=$H58,"◆",""),IF(AND(DI$11&gt;=$H58,DI$11&lt;=$I58),1,""))</f>
        <v/>
      </c>
      <c r="DJ58" s="448" t="str">
        <f aca="false">IF($G58=0,IF(DJ$11=$H58,"◆",""),IF(AND(DJ$11&gt;=$H58,DJ$11&lt;=$I58),1,""))</f>
        <v/>
      </c>
      <c r="DK58" s="448" t="str">
        <f aca="false">IF($G58=0,IF(DK$11=$H58,"◆",""),IF(AND(DK$11&gt;=$H58,DK$11&lt;=$I58),1,""))</f>
        <v/>
      </c>
      <c r="DL58" s="448" t="str">
        <f aca="false">IF($G58=0,IF(DL$11=$H58,"◆",""),IF(AND(DL$11&gt;=$H58,DL$11&lt;=$I58),1,""))</f>
        <v/>
      </c>
      <c r="DM58" s="448" t="str">
        <f aca="false">IF($G58=0,IF(DM$11=$H58,"◆",""),IF(AND(DM$11&gt;=$H58,DM$11&lt;=$I58),1,""))</f>
        <v/>
      </c>
      <c r="DN58" s="448" t="str">
        <f aca="false">IF($G58=0,IF(DN$11=$H58,"◆",""),IF(AND(DN$11&gt;=$H58,DN$11&lt;=$I58),1,""))</f>
        <v/>
      </c>
      <c r="DO58" s="448" t="str">
        <f aca="false">IF($G58=0,IF(DO$11=$H58,"◆",""),IF(AND(DO$11&gt;=$H58,DO$11&lt;=$I58),1,""))</f>
        <v/>
      </c>
      <c r="DP58" s="448" t="str">
        <f aca="false">IF($G58=0,IF(DP$11=$H58,"◆",""),IF(AND(DP$11&gt;=$H58,DP$11&lt;=$I58),1,""))</f>
        <v/>
      </c>
      <c r="DQ58" s="448" t="str">
        <f aca="false">IF($G58=0,IF(DQ$11=$H58,"◆",""),IF(AND(DQ$11&gt;=$H58,DQ$11&lt;=$I58),1,""))</f>
        <v/>
      </c>
      <c r="DR58" s="448" t="str">
        <f aca="false">IF($G58=0,IF(DR$11=$H58,"◆",""),IF(AND(DR$11&gt;=$H58,DR$11&lt;=$I58),1,""))</f>
        <v/>
      </c>
      <c r="DS58" s="448" t="str">
        <f aca="false">IF($G58=0,IF(DS$11=$H58,"◆",""),IF(AND(DS$11&gt;=$H58,DS$11&lt;=$I58),1,""))</f>
        <v/>
      </c>
      <c r="DT58" s="448" t="str">
        <f aca="false">IF($G58=0,IF(DT$11=$H58,"◆",""),IF(AND(DT$11&gt;=$H58,DT$11&lt;=$I58),1,""))</f>
        <v/>
      </c>
      <c r="DU58" s="448" t="str">
        <f aca="false">IF($G58=0,IF(DU$11=$H58,"◆",""),IF(AND(DU$11&gt;=$H58,DU$11&lt;=$I58),1,""))</f>
        <v/>
      </c>
      <c r="DV58" s="448" t="str">
        <f aca="false">IF($G58=0,IF(DV$11=$H58,"◆",""),IF(AND(DV$11&gt;=$H58,DV$11&lt;=$I58),1,""))</f>
        <v/>
      </c>
      <c r="DW58" s="448" t="str">
        <f aca="false">IF($G58=0,IF(DW$11=$H58,"◆",""),IF(AND(DW$11&gt;=$H58,DW$11&lt;=$I58),1,""))</f>
        <v/>
      </c>
      <c r="DX58" s="448" t="str">
        <f aca="false">IF($G58=0,IF(DX$11=$H58,"◆",""),IF(AND(DX$11&gt;=$H58,DX$11&lt;=$I58),1,""))</f>
        <v/>
      </c>
      <c r="DY58" s="448" t="str">
        <f aca="false">IF($G58=0,IF(DY$11=$H58,"◆",""),IF(AND(DY$11&gt;=$H58,DY$11&lt;=$I58),1,""))</f>
        <v/>
      </c>
      <c r="DZ58" s="448" t="str">
        <f aca="false">IF($G58=0,IF(DZ$11=$H58,"◆",""),IF(AND(DZ$11&gt;=$H58,DZ$11&lt;=$I58),1,""))</f>
        <v/>
      </c>
      <c r="EA58" s="448" t="str">
        <f aca="false">IF($G58=0,IF(EA$11=$H58,"◆",""),IF(AND(EA$11&gt;=$H58,EA$11&lt;=$I58),1,""))</f>
        <v/>
      </c>
      <c r="EB58" s="448" t="str">
        <f aca="false">IF($G58=0,IF(EB$11=$H58,"◆",""),IF(AND(EB$11&gt;=$H58,EB$11&lt;=$I58),1,""))</f>
        <v/>
      </c>
      <c r="EC58" s="448" t="str">
        <f aca="false">IF($G58=0,IF(EC$11=$H58,"◆",""),IF(AND(EC$11&gt;=$H58,EC$11&lt;=$I58),1,""))</f>
        <v/>
      </c>
      <c r="ED58" s="448" t="str">
        <f aca="false">IF($G58=0,IF(ED$11=$H58,"◆",""),IF(AND(ED$11&gt;=$H58,ED$11&lt;=$I58),1,""))</f>
        <v/>
      </c>
    </row>
    <row r="59" customFormat="false" ht="15" hidden="false" customHeight="true" outlineLevel="0" collapsed="false">
      <c r="A59" s="441" t="s">
        <v>2544</v>
      </c>
      <c r="B59" s="297" t="s">
        <v>2545</v>
      </c>
      <c r="C59" s="442" t="s">
        <v>2546</v>
      </c>
      <c r="D59" s="443" t="s">
        <v>2496</v>
      </c>
      <c r="E59" s="354" t="n">
        <f aca="false">FC_SUPUESTOS!$C$23-FC_SUPUESTOS!$C$21</f>
        <v>8</v>
      </c>
      <c r="F59" s="352" t="n">
        <v>6</v>
      </c>
      <c r="G59" s="352" t="n">
        <v>3</v>
      </c>
      <c r="H59" s="367" t="n">
        <f aca="false">MAX(1,ROUND(($E59-1)*$D$5,0)+1+$F59)</f>
        <v>37</v>
      </c>
      <c r="I59" s="367" t="n">
        <f aca="false">MAX($H59,$H59+$G59-1)</f>
        <v>39</v>
      </c>
      <c r="J59" s="444" t="n">
        <f aca="false">$D$4+($H59-1)*7</f>
        <v>46552</v>
      </c>
      <c r="K59" s="444" t="n">
        <f aca="false">$D$4+$I59*7-1</f>
        <v>46572</v>
      </c>
      <c r="L59" s="445" t="n">
        <f aca="false">ROUNDUP($H59/$D$5,0)</f>
        <v>9</v>
      </c>
      <c r="M59" s="446" t="s">
        <v>2453</v>
      </c>
      <c r="N59" s="447" t="n">
        <v>0</v>
      </c>
      <c r="O59" s="448" t="str">
        <f aca="false">IF($G59=0,IF(O$11=$H59,"◆",""),IF(AND(O$11&gt;=$H59,O$11&lt;=$I59),1,""))</f>
        <v/>
      </c>
      <c r="P59" s="448" t="str">
        <f aca="false">IF($G59=0,IF(P$11=$H59,"◆",""),IF(AND(P$11&gt;=$H59,P$11&lt;=$I59),1,""))</f>
        <v/>
      </c>
      <c r="Q59" s="448" t="str">
        <f aca="false">IF($G59=0,IF(Q$11=$H59,"◆",""),IF(AND(Q$11&gt;=$H59,Q$11&lt;=$I59),1,""))</f>
        <v/>
      </c>
      <c r="R59" s="448" t="str">
        <f aca="false">IF($G59=0,IF(R$11=$H59,"◆",""),IF(AND(R$11&gt;=$H59,R$11&lt;=$I59),1,""))</f>
        <v/>
      </c>
      <c r="S59" s="448" t="str">
        <f aca="false">IF($G59=0,IF(S$11=$H59,"◆",""),IF(AND(S$11&gt;=$H59,S$11&lt;=$I59),1,""))</f>
        <v/>
      </c>
      <c r="T59" s="448" t="str">
        <f aca="false">IF($G59=0,IF(T$11=$H59,"◆",""),IF(AND(T$11&gt;=$H59,T$11&lt;=$I59),1,""))</f>
        <v/>
      </c>
      <c r="U59" s="448" t="str">
        <f aca="false">IF($G59=0,IF(U$11=$H59,"◆",""),IF(AND(U$11&gt;=$H59,U$11&lt;=$I59),1,""))</f>
        <v/>
      </c>
      <c r="V59" s="448" t="str">
        <f aca="false">IF($G59=0,IF(V$11=$H59,"◆",""),IF(AND(V$11&gt;=$H59,V$11&lt;=$I59),1,""))</f>
        <v/>
      </c>
      <c r="W59" s="448" t="str">
        <f aca="false">IF($G59=0,IF(W$11=$H59,"◆",""),IF(AND(W$11&gt;=$H59,W$11&lt;=$I59),1,""))</f>
        <v/>
      </c>
      <c r="X59" s="448" t="str">
        <f aca="false">IF($G59=0,IF(X$11=$H59,"◆",""),IF(AND(X$11&gt;=$H59,X$11&lt;=$I59),1,""))</f>
        <v/>
      </c>
      <c r="Y59" s="448" t="str">
        <f aca="false">IF($G59=0,IF(Y$11=$H59,"◆",""),IF(AND(Y$11&gt;=$H59,Y$11&lt;=$I59),1,""))</f>
        <v/>
      </c>
      <c r="Z59" s="448" t="str">
        <f aca="false">IF($G59=0,IF(Z$11=$H59,"◆",""),IF(AND(Z$11&gt;=$H59,Z$11&lt;=$I59),1,""))</f>
        <v/>
      </c>
      <c r="AA59" s="448" t="str">
        <f aca="false">IF($G59=0,IF(AA$11=$H59,"◆",""),IF(AND(AA$11&gt;=$H59,AA$11&lt;=$I59),1,""))</f>
        <v/>
      </c>
      <c r="AB59" s="448" t="str">
        <f aca="false">IF($G59=0,IF(AB$11=$H59,"◆",""),IF(AND(AB$11&gt;=$H59,AB$11&lt;=$I59),1,""))</f>
        <v/>
      </c>
      <c r="AC59" s="448" t="str">
        <f aca="false">IF($G59=0,IF(AC$11=$H59,"◆",""),IF(AND(AC$11&gt;=$H59,AC$11&lt;=$I59),1,""))</f>
        <v/>
      </c>
      <c r="AD59" s="448" t="str">
        <f aca="false">IF($G59=0,IF(AD$11=$H59,"◆",""),IF(AND(AD$11&gt;=$H59,AD$11&lt;=$I59),1,""))</f>
        <v/>
      </c>
      <c r="AE59" s="448" t="str">
        <f aca="false">IF($G59=0,IF(AE$11=$H59,"◆",""),IF(AND(AE$11&gt;=$H59,AE$11&lt;=$I59),1,""))</f>
        <v/>
      </c>
      <c r="AF59" s="448" t="str">
        <f aca="false">IF($G59=0,IF(AF$11=$H59,"◆",""),IF(AND(AF$11&gt;=$H59,AF$11&lt;=$I59),1,""))</f>
        <v/>
      </c>
      <c r="AG59" s="448" t="str">
        <f aca="false">IF($G59=0,IF(AG$11=$H59,"◆",""),IF(AND(AG$11&gt;=$H59,AG$11&lt;=$I59),1,""))</f>
        <v/>
      </c>
      <c r="AH59" s="448" t="str">
        <f aca="false">IF($G59=0,IF(AH$11=$H59,"◆",""),IF(AND(AH$11&gt;=$H59,AH$11&lt;=$I59),1,""))</f>
        <v/>
      </c>
      <c r="AI59" s="448" t="str">
        <f aca="false">IF($G59=0,IF(AI$11=$H59,"◆",""),IF(AND(AI$11&gt;=$H59,AI$11&lt;=$I59),1,""))</f>
        <v/>
      </c>
      <c r="AJ59" s="448" t="str">
        <f aca="false">IF($G59=0,IF(AJ$11=$H59,"◆",""),IF(AND(AJ$11&gt;=$H59,AJ$11&lt;=$I59),1,""))</f>
        <v/>
      </c>
      <c r="AK59" s="448" t="str">
        <f aca="false">IF($G59=0,IF(AK$11=$H59,"◆",""),IF(AND(AK$11&gt;=$H59,AK$11&lt;=$I59),1,""))</f>
        <v/>
      </c>
      <c r="AL59" s="448" t="str">
        <f aca="false">IF($G59=0,IF(AL$11=$H59,"◆",""),IF(AND(AL$11&gt;=$H59,AL$11&lt;=$I59),1,""))</f>
        <v/>
      </c>
      <c r="AM59" s="448" t="str">
        <f aca="false">IF($G59=0,IF(AM$11=$H59,"◆",""),IF(AND(AM$11&gt;=$H59,AM$11&lt;=$I59),1,""))</f>
        <v/>
      </c>
      <c r="AN59" s="448" t="str">
        <f aca="false">IF($G59=0,IF(AN$11=$H59,"◆",""),IF(AND(AN$11&gt;=$H59,AN$11&lt;=$I59),1,""))</f>
        <v/>
      </c>
      <c r="AO59" s="448" t="str">
        <f aca="false">IF($G59=0,IF(AO$11=$H59,"◆",""),IF(AND(AO$11&gt;=$H59,AO$11&lt;=$I59),1,""))</f>
        <v/>
      </c>
      <c r="AP59" s="448" t="str">
        <f aca="false">IF($G59=0,IF(AP$11=$H59,"◆",""),IF(AND(AP$11&gt;=$H59,AP$11&lt;=$I59),1,""))</f>
        <v/>
      </c>
      <c r="AQ59" s="448" t="str">
        <f aca="false">IF($G59=0,IF(AQ$11=$H59,"◆",""),IF(AND(AQ$11&gt;=$H59,AQ$11&lt;=$I59),1,""))</f>
        <v/>
      </c>
      <c r="AR59" s="448" t="str">
        <f aca="false">IF($G59=0,IF(AR$11=$H59,"◆",""),IF(AND(AR$11&gt;=$H59,AR$11&lt;=$I59),1,""))</f>
        <v/>
      </c>
      <c r="AS59" s="448" t="str">
        <f aca="false">IF($G59=0,IF(AS$11=$H59,"◆",""),IF(AND(AS$11&gt;=$H59,AS$11&lt;=$I59),1,""))</f>
        <v/>
      </c>
      <c r="AT59" s="448" t="str">
        <f aca="false">IF($G59=0,IF(AT$11=$H59,"◆",""),IF(AND(AT$11&gt;=$H59,AT$11&lt;=$I59),1,""))</f>
        <v/>
      </c>
      <c r="AU59" s="448" t="str">
        <f aca="false">IF($G59=0,IF(AU$11=$H59,"◆",""),IF(AND(AU$11&gt;=$H59,AU$11&lt;=$I59),1,""))</f>
        <v/>
      </c>
      <c r="AV59" s="448" t="str">
        <f aca="false">IF($G59=0,IF(AV$11=$H59,"◆",""),IF(AND(AV$11&gt;=$H59,AV$11&lt;=$I59),1,""))</f>
        <v/>
      </c>
      <c r="AW59" s="448" t="str">
        <f aca="false">IF($G59=0,IF(AW$11=$H59,"◆",""),IF(AND(AW$11&gt;=$H59,AW$11&lt;=$I59),1,""))</f>
        <v/>
      </c>
      <c r="AX59" s="448" t="str">
        <f aca="false">IF($G59=0,IF(AX$11=$H59,"◆",""),IF(AND(AX$11&gt;=$H59,AX$11&lt;=$I59),1,""))</f>
        <v/>
      </c>
      <c r="AY59" s="448" t="n">
        <f aca="false">IF($G59=0,IF(AY$11=$H59,"◆",""),IF(AND(AY$11&gt;=$H59,AY$11&lt;=$I59),1,""))</f>
        <v>1</v>
      </c>
      <c r="AZ59" s="448" t="n">
        <f aca="false">IF($G59=0,IF(AZ$11=$H59,"◆",""),IF(AND(AZ$11&gt;=$H59,AZ$11&lt;=$I59),1,""))</f>
        <v>1</v>
      </c>
      <c r="BA59" s="448" t="n">
        <f aca="false">IF($G59=0,IF(BA$11=$H59,"◆",""),IF(AND(BA$11&gt;=$H59,BA$11&lt;=$I59),1,""))</f>
        <v>1</v>
      </c>
      <c r="BB59" s="448" t="str">
        <f aca="false">IF($G59=0,IF(BB$11=$H59,"◆",""),IF(AND(BB$11&gt;=$H59,BB$11&lt;=$I59),1,""))</f>
        <v/>
      </c>
      <c r="BC59" s="448" t="str">
        <f aca="false">IF($G59=0,IF(BC$11=$H59,"◆",""),IF(AND(BC$11&gt;=$H59,BC$11&lt;=$I59),1,""))</f>
        <v/>
      </c>
      <c r="BD59" s="448" t="str">
        <f aca="false">IF($G59=0,IF(BD$11=$H59,"◆",""),IF(AND(BD$11&gt;=$H59,BD$11&lt;=$I59),1,""))</f>
        <v/>
      </c>
      <c r="BE59" s="448" t="str">
        <f aca="false">IF($G59=0,IF(BE$11=$H59,"◆",""),IF(AND(BE$11&gt;=$H59,BE$11&lt;=$I59),1,""))</f>
        <v/>
      </c>
      <c r="BF59" s="448" t="str">
        <f aca="false">IF($G59=0,IF(BF$11=$H59,"◆",""),IF(AND(BF$11&gt;=$H59,BF$11&lt;=$I59),1,""))</f>
        <v/>
      </c>
      <c r="BG59" s="448" t="str">
        <f aca="false">IF($G59=0,IF(BG$11=$H59,"◆",""),IF(AND(BG$11&gt;=$H59,BG$11&lt;=$I59),1,""))</f>
        <v/>
      </c>
      <c r="BH59" s="448" t="str">
        <f aca="false">IF($G59=0,IF(BH$11=$H59,"◆",""),IF(AND(BH$11&gt;=$H59,BH$11&lt;=$I59),1,""))</f>
        <v/>
      </c>
      <c r="BI59" s="448" t="str">
        <f aca="false">IF($G59=0,IF(BI$11=$H59,"◆",""),IF(AND(BI$11&gt;=$H59,BI$11&lt;=$I59),1,""))</f>
        <v/>
      </c>
      <c r="BJ59" s="448" t="str">
        <f aca="false">IF($G59=0,IF(BJ$11=$H59,"◆",""),IF(AND(BJ$11&gt;=$H59,BJ$11&lt;=$I59),1,""))</f>
        <v/>
      </c>
      <c r="BK59" s="448" t="str">
        <f aca="false">IF($G59=0,IF(BK$11=$H59,"◆",""),IF(AND(BK$11&gt;=$H59,BK$11&lt;=$I59),1,""))</f>
        <v/>
      </c>
      <c r="BL59" s="448" t="str">
        <f aca="false">IF($G59=0,IF(BL$11=$H59,"◆",""),IF(AND(BL$11&gt;=$H59,BL$11&lt;=$I59),1,""))</f>
        <v/>
      </c>
      <c r="BM59" s="448" t="str">
        <f aca="false">IF($G59=0,IF(BM$11=$H59,"◆",""),IF(AND(BM$11&gt;=$H59,BM$11&lt;=$I59),1,""))</f>
        <v/>
      </c>
      <c r="BN59" s="448" t="str">
        <f aca="false">IF($G59=0,IF(BN$11=$H59,"◆",""),IF(AND(BN$11&gt;=$H59,BN$11&lt;=$I59),1,""))</f>
        <v/>
      </c>
      <c r="BO59" s="448" t="str">
        <f aca="false">IF($G59=0,IF(BO$11=$H59,"◆",""),IF(AND(BO$11&gt;=$H59,BO$11&lt;=$I59),1,""))</f>
        <v/>
      </c>
      <c r="BP59" s="448" t="str">
        <f aca="false">IF($G59=0,IF(BP$11=$H59,"◆",""),IF(AND(BP$11&gt;=$H59,BP$11&lt;=$I59),1,""))</f>
        <v/>
      </c>
      <c r="BQ59" s="448" t="str">
        <f aca="false">IF($G59=0,IF(BQ$11=$H59,"◆",""),IF(AND(BQ$11&gt;=$H59,BQ$11&lt;=$I59),1,""))</f>
        <v/>
      </c>
      <c r="BR59" s="448" t="str">
        <f aca="false">IF($G59=0,IF(BR$11=$H59,"◆",""),IF(AND(BR$11&gt;=$H59,BR$11&lt;=$I59),1,""))</f>
        <v/>
      </c>
      <c r="BS59" s="448" t="str">
        <f aca="false">IF($G59=0,IF(BS$11=$H59,"◆",""),IF(AND(BS$11&gt;=$H59,BS$11&lt;=$I59),1,""))</f>
        <v/>
      </c>
      <c r="BT59" s="448" t="str">
        <f aca="false">IF($G59=0,IF(BT$11=$H59,"◆",""),IF(AND(BT$11&gt;=$H59,BT$11&lt;=$I59),1,""))</f>
        <v/>
      </c>
      <c r="BU59" s="448" t="str">
        <f aca="false">IF($G59=0,IF(BU$11=$H59,"◆",""),IF(AND(BU$11&gt;=$H59,BU$11&lt;=$I59),1,""))</f>
        <v/>
      </c>
      <c r="BV59" s="448" t="str">
        <f aca="false">IF($G59=0,IF(BV$11=$H59,"◆",""),IF(AND(BV$11&gt;=$H59,BV$11&lt;=$I59),1,""))</f>
        <v/>
      </c>
      <c r="BW59" s="448" t="str">
        <f aca="false">IF($G59=0,IF(BW$11=$H59,"◆",""),IF(AND(BW$11&gt;=$H59,BW$11&lt;=$I59),1,""))</f>
        <v/>
      </c>
      <c r="BX59" s="448" t="str">
        <f aca="false">IF($G59=0,IF(BX$11=$H59,"◆",""),IF(AND(BX$11&gt;=$H59,BX$11&lt;=$I59),1,""))</f>
        <v/>
      </c>
      <c r="BY59" s="448" t="str">
        <f aca="false">IF($G59=0,IF(BY$11=$H59,"◆",""),IF(AND(BY$11&gt;=$H59,BY$11&lt;=$I59),1,""))</f>
        <v/>
      </c>
      <c r="BZ59" s="448" t="str">
        <f aca="false">IF($G59=0,IF(BZ$11=$H59,"◆",""),IF(AND(BZ$11&gt;=$H59,BZ$11&lt;=$I59),1,""))</f>
        <v/>
      </c>
      <c r="CA59" s="448" t="str">
        <f aca="false">IF($G59=0,IF(CA$11=$H59,"◆",""),IF(AND(CA$11&gt;=$H59,CA$11&lt;=$I59),1,""))</f>
        <v/>
      </c>
      <c r="CB59" s="448" t="str">
        <f aca="false">IF($G59=0,IF(CB$11=$H59,"◆",""),IF(AND(CB$11&gt;=$H59,CB$11&lt;=$I59),1,""))</f>
        <v/>
      </c>
      <c r="CC59" s="448" t="str">
        <f aca="false">IF($G59=0,IF(CC$11=$H59,"◆",""),IF(AND(CC$11&gt;=$H59,CC$11&lt;=$I59),1,""))</f>
        <v/>
      </c>
      <c r="CD59" s="448" t="str">
        <f aca="false">IF($G59=0,IF(CD$11=$H59,"◆",""),IF(AND(CD$11&gt;=$H59,CD$11&lt;=$I59),1,""))</f>
        <v/>
      </c>
      <c r="CE59" s="448" t="str">
        <f aca="false">IF($G59=0,IF(CE$11=$H59,"◆",""),IF(AND(CE$11&gt;=$H59,CE$11&lt;=$I59),1,""))</f>
        <v/>
      </c>
      <c r="CF59" s="448" t="str">
        <f aca="false">IF($G59=0,IF(CF$11=$H59,"◆",""),IF(AND(CF$11&gt;=$H59,CF$11&lt;=$I59),1,""))</f>
        <v/>
      </c>
      <c r="CG59" s="448" t="str">
        <f aca="false">IF($G59=0,IF(CG$11=$H59,"◆",""),IF(AND(CG$11&gt;=$H59,CG$11&lt;=$I59),1,""))</f>
        <v/>
      </c>
      <c r="CH59" s="448" t="str">
        <f aca="false">IF($G59=0,IF(CH$11=$H59,"◆",""),IF(AND(CH$11&gt;=$H59,CH$11&lt;=$I59),1,""))</f>
        <v/>
      </c>
      <c r="CI59" s="448" t="str">
        <f aca="false">IF($G59=0,IF(CI$11=$H59,"◆",""),IF(AND(CI$11&gt;=$H59,CI$11&lt;=$I59),1,""))</f>
        <v/>
      </c>
      <c r="CJ59" s="448" t="str">
        <f aca="false">IF($G59=0,IF(CJ$11=$H59,"◆",""),IF(AND(CJ$11&gt;=$H59,CJ$11&lt;=$I59),1,""))</f>
        <v/>
      </c>
      <c r="CK59" s="448" t="str">
        <f aca="false">IF($G59=0,IF(CK$11=$H59,"◆",""),IF(AND(CK$11&gt;=$H59,CK$11&lt;=$I59),1,""))</f>
        <v/>
      </c>
      <c r="CL59" s="448" t="str">
        <f aca="false">IF($G59=0,IF(CL$11=$H59,"◆",""),IF(AND(CL$11&gt;=$H59,CL$11&lt;=$I59),1,""))</f>
        <v/>
      </c>
      <c r="CM59" s="448" t="str">
        <f aca="false">IF($G59=0,IF(CM$11=$H59,"◆",""),IF(AND(CM$11&gt;=$H59,CM$11&lt;=$I59),1,""))</f>
        <v/>
      </c>
      <c r="CN59" s="448" t="str">
        <f aca="false">IF($G59=0,IF(CN$11=$H59,"◆",""),IF(AND(CN$11&gt;=$H59,CN$11&lt;=$I59),1,""))</f>
        <v/>
      </c>
      <c r="CO59" s="448" t="str">
        <f aca="false">IF($G59=0,IF(CO$11=$H59,"◆",""),IF(AND(CO$11&gt;=$H59,CO$11&lt;=$I59),1,""))</f>
        <v/>
      </c>
      <c r="CP59" s="448" t="str">
        <f aca="false">IF($G59=0,IF(CP$11=$H59,"◆",""),IF(AND(CP$11&gt;=$H59,CP$11&lt;=$I59),1,""))</f>
        <v/>
      </c>
      <c r="CQ59" s="448" t="str">
        <f aca="false">IF($G59=0,IF(CQ$11=$H59,"◆",""),IF(AND(CQ$11&gt;=$H59,CQ$11&lt;=$I59),1,""))</f>
        <v/>
      </c>
      <c r="CR59" s="448" t="str">
        <f aca="false">IF($G59=0,IF(CR$11=$H59,"◆",""),IF(AND(CR$11&gt;=$H59,CR$11&lt;=$I59),1,""))</f>
        <v/>
      </c>
      <c r="CS59" s="448" t="str">
        <f aca="false">IF($G59=0,IF(CS$11=$H59,"◆",""),IF(AND(CS$11&gt;=$H59,CS$11&lt;=$I59),1,""))</f>
        <v/>
      </c>
      <c r="CT59" s="448" t="str">
        <f aca="false">IF($G59=0,IF(CT$11=$H59,"◆",""),IF(AND(CT$11&gt;=$H59,CT$11&lt;=$I59),1,""))</f>
        <v/>
      </c>
      <c r="CU59" s="448" t="str">
        <f aca="false">IF($G59=0,IF(CU$11=$H59,"◆",""),IF(AND(CU$11&gt;=$H59,CU$11&lt;=$I59),1,""))</f>
        <v/>
      </c>
      <c r="CV59" s="448" t="str">
        <f aca="false">IF($G59=0,IF(CV$11=$H59,"◆",""),IF(AND(CV$11&gt;=$H59,CV$11&lt;=$I59),1,""))</f>
        <v/>
      </c>
      <c r="CW59" s="448" t="str">
        <f aca="false">IF($G59=0,IF(CW$11=$H59,"◆",""),IF(AND(CW$11&gt;=$H59,CW$11&lt;=$I59),1,""))</f>
        <v/>
      </c>
      <c r="CX59" s="448" t="str">
        <f aca="false">IF($G59=0,IF(CX$11=$H59,"◆",""),IF(AND(CX$11&gt;=$H59,CX$11&lt;=$I59),1,""))</f>
        <v/>
      </c>
      <c r="CY59" s="448" t="str">
        <f aca="false">IF($G59=0,IF(CY$11=$H59,"◆",""),IF(AND(CY$11&gt;=$H59,CY$11&lt;=$I59),1,""))</f>
        <v/>
      </c>
      <c r="CZ59" s="448" t="str">
        <f aca="false">IF($G59=0,IF(CZ$11=$H59,"◆",""),IF(AND(CZ$11&gt;=$H59,CZ$11&lt;=$I59),1,""))</f>
        <v/>
      </c>
      <c r="DA59" s="448" t="str">
        <f aca="false">IF($G59=0,IF(DA$11=$H59,"◆",""),IF(AND(DA$11&gt;=$H59,DA$11&lt;=$I59),1,""))</f>
        <v/>
      </c>
      <c r="DB59" s="448" t="str">
        <f aca="false">IF($G59=0,IF(DB$11=$H59,"◆",""),IF(AND(DB$11&gt;=$H59,DB$11&lt;=$I59),1,""))</f>
        <v/>
      </c>
      <c r="DC59" s="448" t="str">
        <f aca="false">IF($G59=0,IF(DC$11=$H59,"◆",""),IF(AND(DC$11&gt;=$H59,DC$11&lt;=$I59),1,""))</f>
        <v/>
      </c>
      <c r="DD59" s="448" t="str">
        <f aca="false">IF($G59=0,IF(DD$11=$H59,"◆",""),IF(AND(DD$11&gt;=$H59,DD$11&lt;=$I59),1,""))</f>
        <v/>
      </c>
      <c r="DE59" s="448" t="str">
        <f aca="false">IF($G59=0,IF(DE$11=$H59,"◆",""),IF(AND(DE$11&gt;=$H59,DE$11&lt;=$I59),1,""))</f>
        <v/>
      </c>
      <c r="DF59" s="448" t="str">
        <f aca="false">IF($G59=0,IF(DF$11=$H59,"◆",""),IF(AND(DF$11&gt;=$H59,DF$11&lt;=$I59),1,""))</f>
        <v/>
      </c>
      <c r="DG59" s="448" t="str">
        <f aca="false">IF($G59=0,IF(DG$11=$H59,"◆",""),IF(AND(DG$11&gt;=$H59,DG$11&lt;=$I59),1,""))</f>
        <v/>
      </c>
      <c r="DH59" s="448" t="str">
        <f aca="false">IF($G59=0,IF(DH$11=$H59,"◆",""),IF(AND(DH$11&gt;=$H59,DH$11&lt;=$I59),1,""))</f>
        <v/>
      </c>
      <c r="DI59" s="448" t="str">
        <f aca="false">IF($G59=0,IF(DI$11=$H59,"◆",""),IF(AND(DI$11&gt;=$H59,DI$11&lt;=$I59),1,""))</f>
        <v/>
      </c>
      <c r="DJ59" s="448" t="str">
        <f aca="false">IF($G59=0,IF(DJ$11=$H59,"◆",""),IF(AND(DJ$11&gt;=$H59,DJ$11&lt;=$I59),1,""))</f>
        <v/>
      </c>
      <c r="DK59" s="448" t="str">
        <f aca="false">IF($G59=0,IF(DK$11=$H59,"◆",""),IF(AND(DK$11&gt;=$H59,DK$11&lt;=$I59),1,""))</f>
        <v/>
      </c>
      <c r="DL59" s="448" t="str">
        <f aca="false">IF($G59=0,IF(DL$11=$H59,"◆",""),IF(AND(DL$11&gt;=$H59,DL$11&lt;=$I59),1,""))</f>
        <v/>
      </c>
      <c r="DM59" s="448" t="str">
        <f aca="false">IF($G59=0,IF(DM$11=$H59,"◆",""),IF(AND(DM$11&gt;=$H59,DM$11&lt;=$I59),1,""))</f>
        <v/>
      </c>
      <c r="DN59" s="448" t="str">
        <f aca="false">IF($G59=0,IF(DN$11=$H59,"◆",""),IF(AND(DN$11&gt;=$H59,DN$11&lt;=$I59),1,""))</f>
        <v/>
      </c>
      <c r="DO59" s="448" t="str">
        <f aca="false">IF($G59=0,IF(DO$11=$H59,"◆",""),IF(AND(DO$11&gt;=$H59,DO$11&lt;=$I59),1,""))</f>
        <v/>
      </c>
      <c r="DP59" s="448" t="str">
        <f aca="false">IF($G59=0,IF(DP$11=$H59,"◆",""),IF(AND(DP$11&gt;=$H59,DP$11&lt;=$I59),1,""))</f>
        <v/>
      </c>
      <c r="DQ59" s="448" t="str">
        <f aca="false">IF($G59=0,IF(DQ$11=$H59,"◆",""),IF(AND(DQ$11&gt;=$H59,DQ$11&lt;=$I59),1,""))</f>
        <v/>
      </c>
      <c r="DR59" s="448" t="str">
        <f aca="false">IF($G59=0,IF(DR$11=$H59,"◆",""),IF(AND(DR$11&gt;=$H59,DR$11&lt;=$I59),1,""))</f>
        <v/>
      </c>
      <c r="DS59" s="448" t="str">
        <f aca="false">IF($G59=0,IF(DS$11=$H59,"◆",""),IF(AND(DS$11&gt;=$H59,DS$11&lt;=$I59),1,""))</f>
        <v/>
      </c>
      <c r="DT59" s="448" t="str">
        <f aca="false">IF($G59=0,IF(DT$11=$H59,"◆",""),IF(AND(DT$11&gt;=$H59,DT$11&lt;=$I59),1,""))</f>
        <v/>
      </c>
      <c r="DU59" s="448" t="str">
        <f aca="false">IF($G59=0,IF(DU$11=$H59,"◆",""),IF(AND(DU$11&gt;=$H59,DU$11&lt;=$I59),1,""))</f>
        <v/>
      </c>
      <c r="DV59" s="448" t="str">
        <f aca="false">IF($G59=0,IF(DV$11=$H59,"◆",""),IF(AND(DV$11&gt;=$H59,DV$11&lt;=$I59),1,""))</f>
        <v/>
      </c>
      <c r="DW59" s="448" t="str">
        <f aca="false">IF($G59=0,IF(DW$11=$H59,"◆",""),IF(AND(DW$11&gt;=$H59,DW$11&lt;=$I59),1,""))</f>
        <v/>
      </c>
      <c r="DX59" s="448" t="str">
        <f aca="false">IF($G59=0,IF(DX$11=$H59,"◆",""),IF(AND(DX$11&gt;=$H59,DX$11&lt;=$I59),1,""))</f>
        <v/>
      </c>
      <c r="DY59" s="448" t="str">
        <f aca="false">IF($G59=0,IF(DY$11=$H59,"◆",""),IF(AND(DY$11&gt;=$H59,DY$11&lt;=$I59),1,""))</f>
        <v/>
      </c>
      <c r="DZ59" s="448" t="str">
        <f aca="false">IF($G59=0,IF(DZ$11=$H59,"◆",""),IF(AND(DZ$11&gt;=$H59,DZ$11&lt;=$I59),1,""))</f>
        <v/>
      </c>
      <c r="EA59" s="448" t="str">
        <f aca="false">IF($G59=0,IF(EA$11=$H59,"◆",""),IF(AND(EA$11&gt;=$H59,EA$11&lt;=$I59),1,""))</f>
        <v/>
      </c>
      <c r="EB59" s="448" t="str">
        <f aca="false">IF($G59=0,IF(EB$11=$H59,"◆",""),IF(AND(EB$11&gt;=$H59,EB$11&lt;=$I59),1,""))</f>
        <v/>
      </c>
      <c r="EC59" s="448" t="str">
        <f aca="false">IF($G59=0,IF(EC$11=$H59,"◆",""),IF(AND(EC$11&gt;=$H59,EC$11&lt;=$I59),1,""))</f>
        <v/>
      </c>
      <c r="ED59" s="448" t="str">
        <f aca="false">IF($G59=0,IF(ED$11=$H59,"◆",""),IF(AND(ED$11&gt;=$H59,ED$11&lt;=$I59),1,""))</f>
        <v/>
      </c>
    </row>
    <row r="60" customFormat="false" ht="15" hidden="false" customHeight="true" outlineLevel="0" collapsed="false">
      <c r="A60" s="450" t="s">
        <v>2547</v>
      </c>
      <c r="B60" s="421" t="s">
        <v>2548</v>
      </c>
      <c r="C60" s="442" t="s">
        <v>1200</v>
      </c>
      <c r="D60" s="443" t="s">
        <v>2500</v>
      </c>
      <c r="E60" s="354" t="n">
        <f aca="false">FC_SUPUESTOS!$C$23</f>
        <v>10</v>
      </c>
      <c r="F60" s="352" t="n">
        <v>0</v>
      </c>
      <c r="G60" s="352" t="n">
        <v>0</v>
      </c>
      <c r="H60" s="358" t="n">
        <f aca="false">MAX(1,ROUND(($E60-1)*$D$5,0)+1+$F60)</f>
        <v>40</v>
      </c>
      <c r="I60" s="358" t="n">
        <f aca="false">MAX($H60,$H60+$G60-1)</f>
        <v>40</v>
      </c>
      <c r="J60" s="451" t="n">
        <f aca="false">$D$4+($H60-1)*7</f>
        <v>46573</v>
      </c>
      <c r="K60" s="451" t="n">
        <f aca="false">$D$4+$I60*7-1</f>
        <v>46579</v>
      </c>
      <c r="L60" s="445" t="n">
        <f aca="false">ROUNDUP($H60/$D$5,0)</f>
        <v>10</v>
      </c>
      <c r="M60" s="446" t="s">
        <v>2453</v>
      </c>
      <c r="N60" s="447" t="n">
        <v>0</v>
      </c>
      <c r="O60" s="448" t="str">
        <f aca="false">IF($G60=0,IF(O$11=$H60,"◆",""),IF(AND(O$11&gt;=$H60,O$11&lt;=$I60),1,""))</f>
        <v/>
      </c>
      <c r="P60" s="448" t="str">
        <f aca="false">IF($G60=0,IF(P$11=$H60,"◆",""),IF(AND(P$11&gt;=$H60,P$11&lt;=$I60),1,""))</f>
        <v/>
      </c>
      <c r="Q60" s="448" t="str">
        <f aca="false">IF($G60=0,IF(Q$11=$H60,"◆",""),IF(AND(Q$11&gt;=$H60,Q$11&lt;=$I60),1,""))</f>
        <v/>
      </c>
      <c r="R60" s="448" t="str">
        <f aca="false">IF($G60=0,IF(R$11=$H60,"◆",""),IF(AND(R$11&gt;=$H60,R$11&lt;=$I60),1,""))</f>
        <v/>
      </c>
      <c r="S60" s="448" t="str">
        <f aca="false">IF($G60=0,IF(S$11=$H60,"◆",""),IF(AND(S$11&gt;=$H60,S$11&lt;=$I60),1,""))</f>
        <v/>
      </c>
      <c r="T60" s="448" t="str">
        <f aca="false">IF($G60=0,IF(T$11=$H60,"◆",""),IF(AND(T$11&gt;=$H60,T$11&lt;=$I60),1,""))</f>
        <v/>
      </c>
      <c r="U60" s="448" t="str">
        <f aca="false">IF($G60=0,IF(U$11=$H60,"◆",""),IF(AND(U$11&gt;=$H60,U$11&lt;=$I60),1,""))</f>
        <v/>
      </c>
      <c r="V60" s="448" t="str">
        <f aca="false">IF($G60=0,IF(V$11=$H60,"◆",""),IF(AND(V$11&gt;=$H60,V$11&lt;=$I60),1,""))</f>
        <v/>
      </c>
      <c r="W60" s="448" t="str">
        <f aca="false">IF($G60=0,IF(W$11=$H60,"◆",""),IF(AND(W$11&gt;=$H60,W$11&lt;=$I60),1,""))</f>
        <v/>
      </c>
      <c r="X60" s="448" t="str">
        <f aca="false">IF($G60=0,IF(X$11=$H60,"◆",""),IF(AND(X$11&gt;=$H60,X$11&lt;=$I60),1,""))</f>
        <v/>
      </c>
      <c r="Y60" s="448" t="str">
        <f aca="false">IF($G60=0,IF(Y$11=$H60,"◆",""),IF(AND(Y$11&gt;=$H60,Y$11&lt;=$I60),1,""))</f>
        <v/>
      </c>
      <c r="Z60" s="448" t="str">
        <f aca="false">IF($G60=0,IF(Z$11=$H60,"◆",""),IF(AND(Z$11&gt;=$H60,Z$11&lt;=$I60),1,""))</f>
        <v/>
      </c>
      <c r="AA60" s="448" t="str">
        <f aca="false">IF($G60=0,IF(AA$11=$H60,"◆",""),IF(AND(AA$11&gt;=$H60,AA$11&lt;=$I60),1,""))</f>
        <v/>
      </c>
      <c r="AB60" s="448" t="str">
        <f aca="false">IF($G60=0,IF(AB$11=$H60,"◆",""),IF(AND(AB$11&gt;=$H60,AB$11&lt;=$I60),1,""))</f>
        <v/>
      </c>
      <c r="AC60" s="448" t="str">
        <f aca="false">IF($G60=0,IF(AC$11=$H60,"◆",""),IF(AND(AC$11&gt;=$H60,AC$11&lt;=$I60),1,""))</f>
        <v/>
      </c>
      <c r="AD60" s="448" t="str">
        <f aca="false">IF($G60=0,IF(AD$11=$H60,"◆",""),IF(AND(AD$11&gt;=$H60,AD$11&lt;=$I60),1,""))</f>
        <v/>
      </c>
      <c r="AE60" s="448" t="str">
        <f aca="false">IF($G60=0,IF(AE$11=$H60,"◆",""),IF(AND(AE$11&gt;=$H60,AE$11&lt;=$I60),1,""))</f>
        <v/>
      </c>
      <c r="AF60" s="448" t="str">
        <f aca="false">IF($G60=0,IF(AF$11=$H60,"◆",""),IF(AND(AF$11&gt;=$H60,AF$11&lt;=$I60),1,""))</f>
        <v/>
      </c>
      <c r="AG60" s="448" t="str">
        <f aca="false">IF($G60=0,IF(AG$11=$H60,"◆",""),IF(AND(AG$11&gt;=$H60,AG$11&lt;=$I60),1,""))</f>
        <v/>
      </c>
      <c r="AH60" s="448" t="str">
        <f aca="false">IF($G60=0,IF(AH$11=$H60,"◆",""),IF(AND(AH$11&gt;=$H60,AH$11&lt;=$I60),1,""))</f>
        <v/>
      </c>
      <c r="AI60" s="448" t="str">
        <f aca="false">IF($G60=0,IF(AI$11=$H60,"◆",""),IF(AND(AI$11&gt;=$H60,AI$11&lt;=$I60),1,""))</f>
        <v/>
      </c>
      <c r="AJ60" s="448" t="str">
        <f aca="false">IF($G60=0,IF(AJ$11=$H60,"◆",""),IF(AND(AJ$11&gt;=$H60,AJ$11&lt;=$I60),1,""))</f>
        <v/>
      </c>
      <c r="AK60" s="448" t="str">
        <f aca="false">IF($G60=0,IF(AK$11=$H60,"◆",""),IF(AND(AK$11&gt;=$H60,AK$11&lt;=$I60),1,""))</f>
        <v/>
      </c>
      <c r="AL60" s="448" t="str">
        <f aca="false">IF($G60=0,IF(AL$11=$H60,"◆",""),IF(AND(AL$11&gt;=$H60,AL$11&lt;=$I60),1,""))</f>
        <v/>
      </c>
      <c r="AM60" s="448" t="str">
        <f aca="false">IF($G60=0,IF(AM$11=$H60,"◆",""),IF(AND(AM$11&gt;=$H60,AM$11&lt;=$I60),1,""))</f>
        <v/>
      </c>
      <c r="AN60" s="448" t="str">
        <f aca="false">IF($G60=0,IF(AN$11=$H60,"◆",""),IF(AND(AN$11&gt;=$H60,AN$11&lt;=$I60),1,""))</f>
        <v/>
      </c>
      <c r="AO60" s="448" t="str">
        <f aca="false">IF($G60=0,IF(AO$11=$H60,"◆",""),IF(AND(AO$11&gt;=$H60,AO$11&lt;=$I60),1,""))</f>
        <v/>
      </c>
      <c r="AP60" s="448" t="str">
        <f aca="false">IF($G60=0,IF(AP$11=$H60,"◆",""),IF(AND(AP$11&gt;=$H60,AP$11&lt;=$I60),1,""))</f>
        <v/>
      </c>
      <c r="AQ60" s="448" t="str">
        <f aca="false">IF($G60=0,IF(AQ$11=$H60,"◆",""),IF(AND(AQ$11&gt;=$H60,AQ$11&lt;=$I60),1,""))</f>
        <v/>
      </c>
      <c r="AR60" s="448" t="str">
        <f aca="false">IF($G60=0,IF(AR$11=$H60,"◆",""),IF(AND(AR$11&gt;=$H60,AR$11&lt;=$I60),1,""))</f>
        <v/>
      </c>
      <c r="AS60" s="448" t="str">
        <f aca="false">IF($G60=0,IF(AS$11=$H60,"◆",""),IF(AND(AS$11&gt;=$H60,AS$11&lt;=$I60),1,""))</f>
        <v/>
      </c>
      <c r="AT60" s="448" t="str">
        <f aca="false">IF($G60=0,IF(AT$11=$H60,"◆",""),IF(AND(AT$11&gt;=$H60,AT$11&lt;=$I60),1,""))</f>
        <v/>
      </c>
      <c r="AU60" s="448" t="str">
        <f aca="false">IF($G60=0,IF(AU$11=$H60,"◆",""),IF(AND(AU$11&gt;=$H60,AU$11&lt;=$I60),1,""))</f>
        <v/>
      </c>
      <c r="AV60" s="448" t="str">
        <f aca="false">IF($G60=0,IF(AV$11=$H60,"◆",""),IF(AND(AV$11&gt;=$H60,AV$11&lt;=$I60),1,""))</f>
        <v/>
      </c>
      <c r="AW60" s="448" t="str">
        <f aca="false">IF($G60=0,IF(AW$11=$H60,"◆",""),IF(AND(AW$11&gt;=$H60,AW$11&lt;=$I60),1,""))</f>
        <v/>
      </c>
      <c r="AX60" s="448" t="str">
        <f aca="false">IF($G60=0,IF(AX$11=$H60,"◆",""),IF(AND(AX$11&gt;=$H60,AX$11&lt;=$I60),1,""))</f>
        <v/>
      </c>
      <c r="AY60" s="448" t="str">
        <f aca="false">IF($G60=0,IF(AY$11=$H60,"◆",""),IF(AND(AY$11&gt;=$H60,AY$11&lt;=$I60),1,""))</f>
        <v/>
      </c>
      <c r="AZ60" s="448" t="str">
        <f aca="false">IF($G60=0,IF(AZ$11=$H60,"◆",""),IF(AND(AZ$11&gt;=$H60,AZ$11&lt;=$I60),1,""))</f>
        <v/>
      </c>
      <c r="BA60" s="448" t="str">
        <f aca="false">IF($G60=0,IF(BA$11=$H60,"◆",""),IF(AND(BA$11&gt;=$H60,BA$11&lt;=$I60),1,""))</f>
        <v/>
      </c>
      <c r="BB60" s="448" t="str">
        <f aca="false">IF($G60=0,IF(BB$11=$H60,"◆",""),IF(AND(BB$11&gt;=$H60,BB$11&lt;=$I60),1,""))</f>
        <v>◆</v>
      </c>
      <c r="BC60" s="448" t="str">
        <f aca="false">IF($G60=0,IF(BC$11=$H60,"◆",""),IF(AND(BC$11&gt;=$H60,BC$11&lt;=$I60),1,""))</f>
        <v/>
      </c>
      <c r="BD60" s="448" t="str">
        <f aca="false">IF($G60=0,IF(BD$11=$H60,"◆",""),IF(AND(BD$11&gt;=$H60,BD$11&lt;=$I60),1,""))</f>
        <v/>
      </c>
      <c r="BE60" s="448" t="str">
        <f aca="false">IF($G60=0,IF(BE$11=$H60,"◆",""),IF(AND(BE$11&gt;=$H60,BE$11&lt;=$I60),1,""))</f>
        <v/>
      </c>
      <c r="BF60" s="448" t="str">
        <f aca="false">IF($G60=0,IF(BF$11=$H60,"◆",""),IF(AND(BF$11&gt;=$H60,BF$11&lt;=$I60),1,""))</f>
        <v/>
      </c>
      <c r="BG60" s="448" t="str">
        <f aca="false">IF($G60=0,IF(BG$11=$H60,"◆",""),IF(AND(BG$11&gt;=$H60,BG$11&lt;=$I60),1,""))</f>
        <v/>
      </c>
      <c r="BH60" s="448" t="str">
        <f aca="false">IF($G60=0,IF(BH$11=$H60,"◆",""),IF(AND(BH$11&gt;=$H60,BH$11&lt;=$I60),1,""))</f>
        <v/>
      </c>
      <c r="BI60" s="448" t="str">
        <f aca="false">IF($G60=0,IF(BI$11=$H60,"◆",""),IF(AND(BI$11&gt;=$H60,BI$11&lt;=$I60),1,""))</f>
        <v/>
      </c>
      <c r="BJ60" s="448" t="str">
        <f aca="false">IF($G60=0,IF(BJ$11=$H60,"◆",""),IF(AND(BJ$11&gt;=$H60,BJ$11&lt;=$I60),1,""))</f>
        <v/>
      </c>
      <c r="BK60" s="448" t="str">
        <f aca="false">IF($G60=0,IF(BK$11=$H60,"◆",""),IF(AND(BK$11&gt;=$H60,BK$11&lt;=$I60),1,""))</f>
        <v/>
      </c>
      <c r="BL60" s="448" t="str">
        <f aca="false">IF($G60=0,IF(BL$11=$H60,"◆",""),IF(AND(BL$11&gt;=$H60,BL$11&lt;=$I60),1,""))</f>
        <v/>
      </c>
      <c r="BM60" s="448" t="str">
        <f aca="false">IF($G60=0,IF(BM$11=$H60,"◆",""),IF(AND(BM$11&gt;=$H60,BM$11&lt;=$I60),1,""))</f>
        <v/>
      </c>
      <c r="BN60" s="448" t="str">
        <f aca="false">IF($G60=0,IF(BN$11=$H60,"◆",""),IF(AND(BN$11&gt;=$H60,BN$11&lt;=$I60),1,""))</f>
        <v/>
      </c>
      <c r="BO60" s="448" t="str">
        <f aca="false">IF($G60=0,IF(BO$11=$H60,"◆",""),IF(AND(BO$11&gt;=$H60,BO$11&lt;=$I60),1,""))</f>
        <v/>
      </c>
      <c r="BP60" s="448" t="str">
        <f aca="false">IF($G60=0,IF(BP$11=$H60,"◆",""),IF(AND(BP$11&gt;=$H60,BP$11&lt;=$I60),1,""))</f>
        <v/>
      </c>
      <c r="BQ60" s="448" t="str">
        <f aca="false">IF($G60=0,IF(BQ$11=$H60,"◆",""),IF(AND(BQ$11&gt;=$H60,BQ$11&lt;=$I60),1,""))</f>
        <v/>
      </c>
      <c r="BR60" s="448" t="str">
        <f aca="false">IF($G60=0,IF(BR$11=$H60,"◆",""),IF(AND(BR$11&gt;=$H60,BR$11&lt;=$I60),1,""))</f>
        <v/>
      </c>
      <c r="BS60" s="448" t="str">
        <f aca="false">IF($G60=0,IF(BS$11=$H60,"◆",""),IF(AND(BS$11&gt;=$H60,BS$11&lt;=$I60),1,""))</f>
        <v/>
      </c>
      <c r="BT60" s="448" t="str">
        <f aca="false">IF($G60=0,IF(BT$11=$H60,"◆",""),IF(AND(BT$11&gt;=$H60,BT$11&lt;=$I60),1,""))</f>
        <v/>
      </c>
      <c r="BU60" s="448" t="str">
        <f aca="false">IF($G60=0,IF(BU$11=$H60,"◆",""),IF(AND(BU$11&gt;=$H60,BU$11&lt;=$I60),1,""))</f>
        <v/>
      </c>
      <c r="BV60" s="448" t="str">
        <f aca="false">IF($G60=0,IF(BV$11=$H60,"◆",""),IF(AND(BV$11&gt;=$H60,BV$11&lt;=$I60),1,""))</f>
        <v/>
      </c>
      <c r="BW60" s="448" t="str">
        <f aca="false">IF($G60=0,IF(BW$11=$H60,"◆",""),IF(AND(BW$11&gt;=$H60,BW$11&lt;=$I60),1,""))</f>
        <v/>
      </c>
      <c r="BX60" s="448" t="str">
        <f aca="false">IF($G60=0,IF(BX$11=$H60,"◆",""),IF(AND(BX$11&gt;=$H60,BX$11&lt;=$I60),1,""))</f>
        <v/>
      </c>
      <c r="BY60" s="448" t="str">
        <f aca="false">IF($G60=0,IF(BY$11=$H60,"◆",""),IF(AND(BY$11&gt;=$H60,BY$11&lt;=$I60),1,""))</f>
        <v/>
      </c>
      <c r="BZ60" s="448" t="str">
        <f aca="false">IF($G60=0,IF(BZ$11=$H60,"◆",""),IF(AND(BZ$11&gt;=$H60,BZ$11&lt;=$I60),1,""))</f>
        <v/>
      </c>
      <c r="CA60" s="448" t="str">
        <f aca="false">IF($G60=0,IF(CA$11=$H60,"◆",""),IF(AND(CA$11&gt;=$H60,CA$11&lt;=$I60),1,""))</f>
        <v/>
      </c>
      <c r="CB60" s="448" t="str">
        <f aca="false">IF($G60=0,IF(CB$11=$H60,"◆",""),IF(AND(CB$11&gt;=$H60,CB$11&lt;=$I60),1,""))</f>
        <v/>
      </c>
      <c r="CC60" s="448" t="str">
        <f aca="false">IF($G60=0,IF(CC$11=$H60,"◆",""),IF(AND(CC$11&gt;=$H60,CC$11&lt;=$I60),1,""))</f>
        <v/>
      </c>
      <c r="CD60" s="448" t="str">
        <f aca="false">IF($G60=0,IF(CD$11=$H60,"◆",""),IF(AND(CD$11&gt;=$H60,CD$11&lt;=$I60),1,""))</f>
        <v/>
      </c>
      <c r="CE60" s="448" t="str">
        <f aca="false">IF($G60=0,IF(CE$11=$H60,"◆",""),IF(AND(CE$11&gt;=$H60,CE$11&lt;=$I60),1,""))</f>
        <v/>
      </c>
      <c r="CF60" s="448" t="str">
        <f aca="false">IF($G60=0,IF(CF$11=$H60,"◆",""),IF(AND(CF$11&gt;=$H60,CF$11&lt;=$I60),1,""))</f>
        <v/>
      </c>
      <c r="CG60" s="448" t="str">
        <f aca="false">IF($G60=0,IF(CG$11=$H60,"◆",""),IF(AND(CG$11&gt;=$H60,CG$11&lt;=$I60),1,""))</f>
        <v/>
      </c>
      <c r="CH60" s="448" t="str">
        <f aca="false">IF($G60=0,IF(CH$11=$H60,"◆",""),IF(AND(CH$11&gt;=$H60,CH$11&lt;=$I60),1,""))</f>
        <v/>
      </c>
      <c r="CI60" s="448" t="str">
        <f aca="false">IF($G60=0,IF(CI$11=$H60,"◆",""),IF(AND(CI$11&gt;=$H60,CI$11&lt;=$I60),1,""))</f>
        <v/>
      </c>
      <c r="CJ60" s="448" t="str">
        <f aca="false">IF($G60=0,IF(CJ$11=$H60,"◆",""),IF(AND(CJ$11&gt;=$H60,CJ$11&lt;=$I60),1,""))</f>
        <v/>
      </c>
      <c r="CK60" s="448" t="str">
        <f aca="false">IF($G60=0,IF(CK$11=$H60,"◆",""),IF(AND(CK$11&gt;=$H60,CK$11&lt;=$I60),1,""))</f>
        <v/>
      </c>
      <c r="CL60" s="448" t="str">
        <f aca="false">IF($G60=0,IF(CL$11=$H60,"◆",""),IF(AND(CL$11&gt;=$H60,CL$11&lt;=$I60),1,""))</f>
        <v/>
      </c>
      <c r="CM60" s="448" t="str">
        <f aca="false">IF($G60=0,IF(CM$11=$H60,"◆",""),IF(AND(CM$11&gt;=$H60,CM$11&lt;=$I60),1,""))</f>
        <v/>
      </c>
      <c r="CN60" s="448" t="str">
        <f aca="false">IF($G60=0,IF(CN$11=$H60,"◆",""),IF(AND(CN$11&gt;=$H60,CN$11&lt;=$I60),1,""))</f>
        <v/>
      </c>
      <c r="CO60" s="448" t="str">
        <f aca="false">IF($G60=0,IF(CO$11=$H60,"◆",""),IF(AND(CO$11&gt;=$H60,CO$11&lt;=$I60),1,""))</f>
        <v/>
      </c>
      <c r="CP60" s="448" t="str">
        <f aca="false">IF($G60=0,IF(CP$11=$H60,"◆",""),IF(AND(CP$11&gt;=$H60,CP$11&lt;=$I60),1,""))</f>
        <v/>
      </c>
      <c r="CQ60" s="448" t="str">
        <f aca="false">IF($G60=0,IF(CQ$11=$H60,"◆",""),IF(AND(CQ$11&gt;=$H60,CQ$11&lt;=$I60),1,""))</f>
        <v/>
      </c>
      <c r="CR60" s="448" t="str">
        <f aca="false">IF($G60=0,IF(CR$11=$H60,"◆",""),IF(AND(CR$11&gt;=$H60,CR$11&lt;=$I60),1,""))</f>
        <v/>
      </c>
      <c r="CS60" s="448" t="str">
        <f aca="false">IF($G60=0,IF(CS$11=$H60,"◆",""),IF(AND(CS$11&gt;=$H60,CS$11&lt;=$I60),1,""))</f>
        <v/>
      </c>
      <c r="CT60" s="448" t="str">
        <f aca="false">IF($G60=0,IF(CT$11=$H60,"◆",""),IF(AND(CT$11&gt;=$H60,CT$11&lt;=$I60),1,""))</f>
        <v/>
      </c>
      <c r="CU60" s="448" t="str">
        <f aca="false">IF($G60=0,IF(CU$11=$H60,"◆",""),IF(AND(CU$11&gt;=$H60,CU$11&lt;=$I60),1,""))</f>
        <v/>
      </c>
      <c r="CV60" s="448" t="str">
        <f aca="false">IF($G60=0,IF(CV$11=$H60,"◆",""),IF(AND(CV$11&gt;=$H60,CV$11&lt;=$I60),1,""))</f>
        <v/>
      </c>
      <c r="CW60" s="448" t="str">
        <f aca="false">IF($G60=0,IF(CW$11=$H60,"◆",""),IF(AND(CW$11&gt;=$H60,CW$11&lt;=$I60),1,""))</f>
        <v/>
      </c>
      <c r="CX60" s="448" t="str">
        <f aca="false">IF($G60=0,IF(CX$11=$H60,"◆",""),IF(AND(CX$11&gt;=$H60,CX$11&lt;=$I60),1,""))</f>
        <v/>
      </c>
      <c r="CY60" s="448" t="str">
        <f aca="false">IF($G60=0,IF(CY$11=$H60,"◆",""),IF(AND(CY$11&gt;=$H60,CY$11&lt;=$I60),1,""))</f>
        <v/>
      </c>
      <c r="CZ60" s="448" t="str">
        <f aca="false">IF($G60=0,IF(CZ$11=$H60,"◆",""),IF(AND(CZ$11&gt;=$H60,CZ$11&lt;=$I60),1,""))</f>
        <v/>
      </c>
      <c r="DA60" s="448" t="str">
        <f aca="false">IF($G60=0,IF(DA$11=$H60,"◆",""),IF(AND(DA$11&gt;=$H60,DA$11&lt;=$I60),1,""))</f>
        <v/>
      </c>
      <c r="DB60" s="448" t="str">
        <f aca="false">IF($G60=0,IF(DB$11=$H60,"◆",""),IF(AND(DB$11&gt;=$H60,DB$11&lt;=$I60),1,""))</f>
        <v/>
      </c>
      <c r="DC60" s="448" t="str">
        <f aca="false">IF($G60=0,IF(DC$11=$H60,"◆",""),IF(AND(DC$11&gt;=$H60,DC$11&lt;=$I60),1,""))</f>
        <v/>
      </c>
      <c r="DD60" s="448" t="str">
        <f aca="false">IF($G60=0,IF(DD$11=$H60,"◆",""),IF(AND(DD$11&gt;=$H60,DD$11&lt;=$I60),1,""))</f>
        <v/>
      </c>
      <c r="DE60" s="448" t="str">
        <f aca="false">IF($G60=0,IF(DE$11=$H60,"◆",""),IF(AND(DE$11&gt;=$H60,DE$11&lt;=$I60),1,""))</f>
        <v/>
      </c>
      <c r="DF60" s="448" t="str">
        <f aca="false">IF($G60=0,IF(DF$11=$H60,"◆",""),IF(AND(DF$11&gt;=$H60,DF$11&lt;=$I60),1,""))</f>
        <v/>
      </c>
      <c r="DG60" s="448" t="str">
        <f aca="false">IF($G60=0,IF(DG$11=$H60,"◆",""),IF(AND(DG$11&gt;=$H60,DG$11&lt;=$I60),1,""))</f>
        <v/>
      </c>
      <c r="DH60" s="448" t="str">
        <f aca="false">IF($G60=0,IF(DH$11=$H60,"◆",""),IF(AND(DH$11&gt;=$H60,DH$11&lt;=$I60),1,""))</f>
        <v/>
      </c>
      <c r="DI60" s="448" t="str">
        <f aca="false">IF($G60=0,IF(DI$11=$H60,"◆",""),IF(AND(DI$11&gt;=$H60,DI$11&lt;=$I60),1,""))</f>
        <v/>
      </c>
      <c r="DJ60" s="448" t="str">
        <f aca="false">IF($G60=0,IF(DJ$11=$H60,"◆",""),IF(AND(DJ$11&gt;=$H60,DJ$11&lt;=$I60),1,""))</f>
        <v/>
      </c>
      <c r="DK60" s="448" t="str">
        <f aca="false">IF($G60=0,IF(DK$11=$H60,"◆",""),IF(AND(DK$11&gt;=$H60,DK$11&lt;=$I60),1,""))</f>
        <v/>
      </c>
      <c r="DL60" s="448" t="str">
        <f aca="false">IF($G60=0,IF(DL$11=$H60,"◆",""),IF(AND(DL$11&gt;=$H60,DL$11&lt;=$I60),1,""))</f>
        <v/>
      </c>
      <c r="DM60" s="448" t="str">
        <f aca="false">IF($G60=0,IF(DM$11=$H60,"◆",""),IF(AND(DM$11&gt;=$H60,DM$11&lt;=$I60),1,""))</f>
        <v/>
      </c>
      <c r="DN60" s="448" t="str">
        <f aca="false">IF($G60=0,IF(DN$11=$H60,"◆",""),IF(AND(DN$11&gt;=$H60,DN$11&lt;=$I60),1,""))</f>
        <v/>
      </c>
      <c r="DO60" s="448" t="str">
        <f aca="false">IF($G60=0,IF(DO$11=$H60,"◆",""),IF(AND(DO$11&gt;=$H60,DO$11&lt;=$I60),1,""))</f>
        <v/>
      </c>
      <c r="DP60" s="448" t="str">
        <f aca="false">IF($G60=0,IF(DP$11=$H60,"◆",""),IF(AND(DP$11&gt;=$H60,DP$11&lt;=$I60),1,""))</f>
        <v/>
      </c>
      <c r="DQ60" s="448" t="str">
        <f aca="false">IF($G60=0,IF(DQ$11=$H60,"◆",""),IF(AND(DQ$11&gt;=$H60,DQ$11&lt;=$I60),1,""))</f>
        <v/>
      </c>
      <c r="DR60" s="448" t="str">
        <f aca="false">IF($G60=0,IF(DR$11=$H60,"◆",""),IF(AND(DR$11&gt;=$H60,DR$11&lt;=$I60),1,""))</f>
        <v/>
      </c>
      <c r="DS60" s="448" t="str">
        <f aca="false">IF($G60=0,IF(DS$11=$H60,"◆",""),IF(AND(DS$11&gt;=$H60,DS$11&lt;=$I60),1,""))</f>
        <v/>
      </c>
      <c r="DT60" s="448" t="str">
        <f aca="false">IF($G60=0,IF(DT$11=$H60,"◆",""),IF(AND(DT$11&gt;=$H60,DT$11&lt;=$I60),1,""))</f>
        <v/>
      </c>
      <c r="DU60" s="448" t="str">
        <f aca="false">IF($G60=0,IF(DU$11=$H60,"◆",""),IF(AND(DU$11&gt;=$H60,DU$11&lt;=$I60),1,""))</f>
        <v/>
      </c>
      <c r="DV60" s="448" t="str">
        <f aca="false">IF($G60=0,IF(DV$11=$H60,"◆",""),IF(AND(DV$11&gt;=$H60,DV$11&lt;=$I60),1,""))</f>
        <v/>
      </c>
      <c r="DW60" s="448" t="str">
        <f aca="false">IF($G60=0,IF(DW$11=$H60,"◆",""),IF(AND(DW$11&gt;=$H60,DW$11&lt;=$I60),1,""))</f>
        <v/>
      </c>
      <c r="DX60" s="448" t="str">
        <f aca="false">IF($G60=0,IF(DX$11=$H60,"◆",""),IF(AND(DX$11&gt;=$H60,DX$11&lt;=$I60),1,""))</f>
        <v/>
      </c>
      <c r="DY60" s="448" t="str">
        <f aca="false">IF($G60=0,IF(DY$11=$H60,"◆",""),IF(AND(DY$11&gt;=$H60,DY$11&lt;=$I60),1,""))</f>
        <v/>
      </c>
      <c r="DZ60" s="448" t="str">
        <f aca="false">IF($G60=0,IF(DZ$11=$H60,"◆",""),IF(AND(DZ$11&gt;=$H60,DZ$11&lt;=$I60),1,""))</f>
        <v/>
      </c>
      <c r="EA60" s="448" t="str">
        <f aca="false">IF($G60=0,IF(EA$11=$H60,"◆",""),IF(AND(EA$11&gt;=$H60,EA$11&lt;=$I60),1,""))</f>
        <v/>
      </c>
      <c r="EB60" s="448" t="str">
        <f aca="false">IF($G60=0,IF(EB$11=$H60,"◆",""),IF(AND(EB$11&gt;=$H60,EB$11&lt;=$I60),1,""))</f>
        <v/>
      </c>
      <c r="EC60" s="448" t="str">
        <f aca="false">IF($G60=0,IF(EC$11=$H60,"◆",""),IF(AND(EC$11&gt;=$H60,EC$11&lt;=$I60),1,""))</f>
        <v/>
      </c>
      <c r="ED60" s="448" t="str">
        <f aca="false">IF($G60=0,IF(ED$11=$H60,"◆",""),IF(AND(ED$11&gt;=$H60,ED$11&lt;=$I60),1,""))</f>
        <v/>
      </c>
    </row>
    <row r="61" customFormat="false" ht="15" hidden="false" customHeight="true" outlineLevel="0" collapsed="false">
      <c r="A61" s="457"/>
      <c r="B61" s="458" t="s">
        <v>2549</v>
      </c>
      <c r="C61" s="459"/>
      <c r="D61" s="459"/>
      <c r="E61" s="459"/>
      <c r="F61" s="459"/>
      <c r="G61" s="459"/>
      <c r="H61" s="459"/>
      <c r="I61" s="459"/>
      <c r="J61" s="459"/>
      <c r="K61" s="459"/>
      <c r="L61" s="459"/>
      <c r="M61" s="459"/>
      <c r="N61" s="459"/>
      <c r="O61" s="459"/>
      <c r="P61" s="459"/>
      <c r="Q61" s="459"/>
      <c r="R61" s="459"/>
      <c r="S61" s="459"/>
      <c r="T61" s="459"/>
      <c r="U61" s="459"/>
      <c r="V61" s="459"/>
      <c r="W61" s="459"/>
      <c r="X61" s="459"/>
      <c r="Y61" s="459"/>
      <c r="Z61" s="459"/>
      <c r="AA61" s="459"/>
      <c r="AB61" s="459"/>
      <c r="AC61" s="459"/>
      <c r="AD61" s="459"/>
      <c r="AE61" s="459"/>
      <c r="AF61" s="459"/>
      <c r="AG61" s="459"/>
      <c r="AH61" s="459"/>
      <c r="AI61" s="459"/>
      <c r="AJ61" s="459"/>
      <c r="AK61" s="459"/>
      <c r="AL61" s="459"/>
      <c r="AM61" s="459"/>
      <c r="AN61" s="459"/>
      <c r="AO61" s="459"/>
      <c r="AP61" s="459"/>
      <c r="AQ61" s="459"/>
      <c r="AR61" s="459"/>
      <c r="AS61" s="459"/>
      <c r="AT61" s="459"/>
      <c r="AU61" s="459"/>
      <c r="AV61" s="459"/>
      <c r="AW61" s="459"/>
      <c r="AX61" s="459"/>
      <c r="AY61" s="459"/>
      <c r="AZ61" s="459"/>
      <c r="BA61" s="459"/>
      <c r="BB61" s="459"/>
      <c r="BC61" s="459"/>
      <c r="BD61" s="459"/>
      <c r="BE61" s="459"/>
      <c r="BF61" s="459"/>
      <c r="BG61" s="459"/>
      <c r="BH61" s="459"/>
      <c r="BI61" s="459"/>
      <c r="BJ61" s="459"/>
      <c r="BK61" s="459"/>
      <c r="BL61" s="459"/>
      <c r="BM61" s="459"/>
      <c r="BN61" s="459"/>
      <c r="BO61" s="459"/>
      <c r="BP61" s="459"/>
      <c r="BQ61" s="459"/>
      <c r="BR61" s="459"/>
      <c r="BS61" s="459"/>
      <c r="BT61" s="459"/>
      <c r="BU61" s="459"/>
      <c r="BV61" s="459"/>
      <c r="BW61" s="459"/>
      <c r="BX61" s="459"/>
      <c r="BY61" s="459"/>
      <c r="BZ61" s="459"/>
      <c r="CA61" s="459"/>
      <c r="CB61" s="459"/>
      <c r="CC61" s="459"/>
      <c r="CD61" s="459"/>
      <c r="CE61" s="459"/>
      <c r="CF61" s="459"/>
      <c r="CG61" s="459"/>
      <c r="CH61" s="459"/>
      <c r="CI61" s="459"/>
      <c r="CJ61" s="459"/>
      <c r="CK61" s="459"/>
      <c r="CL61" s="459"/>
      <c r="CM61" s="459"/>
      <c r="CN61" s="459"/>
      <c r="CO61" s="459"/>
      <c r="CP61" s="459"/>
      <c r="CQ61" s="459"/>
      <c r="CR61" s="459"/>
      <c r="CS61" s="459"/>
      <c r="CT61" s="459"/>
      <c r="CU61" s="459"/>
      <c r="CV61" s="459"/>
      <c r="CW61" s="459"/>
      <c r="CX61" s="459"/>
      <c r="CY61" s="459"/>
      <c r="CZ61" s="459"/>
      <c r="DA61" s="459"/>
      <c r="DB61" s="459"/>
      <c r="DC61" s="459"/>
      <c r="DD61" s="459"/>
      <c r="DE61" s="459"/>
      <c r="DF61" s="459"/>
      <c r="DG61" s="459"/>
      <c r="DH61" s="459"/>
      <c r="DI61" s="459"/>
      <c r="DJ61" s="459"/>
      <c r="DK61" s="459"/>
      <c r="DL61" s="459"/>
      <c r="DM61" s="459"/>
      <c r="DN61" s="459"/>
      <c r="DO61" s="459"/>
      <c r="DP61" s="459"/>
      <c r="DQ61" s="459"/>
      <c r="DR61" s="459"/>
      <c r="DS61" s="459"/>
      <c r="DT61" s="459"/>
      <c r="DU61" s="459"/>
      <c r="DV61" s="459"/>
      <c r="DW61" s="459"/>
      <c r="DX61" s="459"/>
      <c r="DY61" s="459"/>
      <c r="DZ61" s="459"/>
      <c r="EA61" s="459"/>
      <c r="EB61" s="459"/>
      <c r="EC61" s="459"/>
      <c r="ED61" s="459"/>
    </row>
    <row r="62" customFormat="false" ht="15" hidden="false" customHeight="true" outlineLevel="0" collapsed="false">
      <c r="A62" s="441" t="s">
        <v>2550</v>
      </c>
      <c r="B62" s="297" t="s">
        <v>2551</v>
      </c>
      <c r="C62" s="442" t="s">
        <v>2552</v>
      </c>
      <c r="D62" s="443" t="s">
        <v>2436</v>
      </c>
      <c r="E62" s="354" t="n">
        <f aca="false">1</f>
        <v>1</v>
      </c>
      <c r="F62" s="352" t="n">
        <v>0</v>
      </c>
      <c r="G62" s="352" t="n">
        <v>1</v>
      </c>
      <c r="H62" s="367" t="n">
        <f aca="false">MAX(1,ROUND(($E62-1)*$D$5,0)+1+$F62)</f>
        <v>1</v>
      </c>
      <c r="I62" s="367" t="n">
        <f aca="false">MAX($H62,$H62+$G62-1)</f>
        <v>1</v>
      </c>
      <c r="J62" s="444" t="n">
        <f aca="false">$D$4+($H62-1)*7</f>
        <v>46300</v>
      </c>
      <c r="K62" s="444" t="n">
        <f aca="false">$D$4+$I62*7-1</f>
        <v>46306</v>
      </c>
      <c r="L62" s="445" t="n">
        <f aca="false">ROUNDUP($H62/$D$5,0)</f>
        <v>1</v>
      </c>
      <c r="M62" s="446" t="s">
        <v>2453</v>
      </c>
      <c r="N62" s="447" t="n">
        <v>0</v>
      </c>
      <c r="O62" s="448" t="n">
        <f aca="false">IF($G62=0,IF(O$11=$H62,"◆",""),IF(AND(O$11&gt;=$H62,O$11&lt;=$I62),1,""))</f>
        <v>1</v>
      </c>
      <c r="P62" s="448" t="str">
        <f aca="false">IF($G62=0,IF(P$11=$H62,"◆",""),IF(AND(P$11&gt;=$H62,P$11&lt;=$I62),1,""))</f>
        <v/>
      </c>
      <c r="Q62" s="448" t="str">
        <f aca="false">IF($G62=0,IF(Q$11=$H62,"◆",""),IF(AND(Q$11&gt;=$H62,Q$11&lt;=$I62),1,""))</f>
        <v/>
      </c>
      <c r="R62" s="448" t="str">
        <f aca="false">IF($G62=0,IF(R$11=$H62,"◆",""),IF(AND(R$11&gt;=$H62,R$11&lt;=$I62),1,""))</f>
        <v/>
      </c>
      <c r="S62" s="448" t="str">
        <f aca="false">IF($G62=0,IF(S$11=$H62,"◆",""),IF(AND(S$11&gt;=$H62,S$11&lt;=$I62),1,""))</f>
        <v/>
      </c>
      <c r="T62" s="448" t="str">
        <f aca="false">IF($G62=0,IF(T$11=$H62,"◆",""),IF(AND(T$11&gt;=$H62,T$11&lt;=$I62),1,""))</f>
        <v/>
      </c>
      <c r="U62" s="448" t="str">
        <f aca="false">IF($G62=0,IF(U$11=$H62,"◆",""),IF(AND(U$11&gt;=$H62,U$11&lt;=$I62),1,""))</f>
        <v/>
      </c>
      <c r="V62" s="448" t="str">
        <f aca="false">IF($G62=0,IF(V$11=$H62,"◆",""),IF(AND(V$11&gt;=$H62,V$11&lt;=$I62),1,""))</f>
        <v/>
      </c>
      <c r="W62" s="448" t="str">
        <f aca="false">IF($G62=0,IF(W$11=$H62,"◆",""),IF(AND(W$11&gt;=$H62,W$11&lt;=$I62),1,""))</f>
        <v/>
      </c>
      <c r="X62" s="448" t="str">
        <f aca="false">IF($G62=0,IF(X$11=$H62,"◆",""),IF(AND(X$11&gt;=$H62,X$11&lt;=$I62),1,""))</f>
        <v/>
      </c>
      <c r="Y62" s="448" t="str">
        <f aca="false">IF($G62=0,IF(Y$11=$H62,"◆",""),IF(AND(Y$11&gt;=$H62,Y$11&lt;=$I62),1,""))</f>
        <v/>
      </c>
      <c r="Z62" s="448" t="str">
        <f aca="false">IF($G62=0,IF(Z$11=$H62,"◆",""),IF(AND(Z$11&gt;=$H62,Z$11&lt;=$I62),1,""))</f>
        <v/>
      </c>
      <c r="AA62" s="448" t="str">
        <f aca="false">IF($G62=0,IF(AA$11=$H62,"◆",""),IF(AND(AA$11&gt;=$H62,AA$11&lt;=$I62),1,""))</f>
        <v/>
      </c>
      <c r="AB62" s="448" t="str">
        <f aca="false">IF($G62=0,IF(AB$11=$H62,"◆",""),IF(AND(AB$11&gt;=$H62,AB$11&lt;=$I62),1,""))</f>
        <v/>
      </c>
      <c r="AC62" s="448" t="str">
        <f aca="false">IF($G62=0,IF(AC$11=$H62,"◆",""),IF(AND(AC$11&gt;=$H62,AC$11&lt;=$I62),1,""))</f>
        <v/>
      </c>
      <c r="AD62" s="448" t="str">
        <f aca="false">IF($G62=0,IF(AD$11=$H62,"◆",""),IF(AND(AD$11&gt;=$H62,AD$11&lt;=$I62),1,""))</f>
        <v/>
      </c>
      <c r="AE62" s="448" t="str">
        <f aca="false">IF($G62=0,IF(AE$11=$H62,"◆",""),IF(AND(AE$11&gt;=$H62,AE$11&lt;=$I62),1,""))</f>
        <v/>
      </c>
      <c r="AF62" s="448" t="str">
        <f aca="false">IF($G62=0,IF(AF$11=$H62,"◆",""),IF(AND(AF$11&gt;=$H62,AF$11&lt;=$I62),1,""))</f>
        <v/>
      </c>
      <c r="AG62" s="448" t="str">
        <f aca="false">IF($G62=0,IF(AG$11=$H62,"◆",""),IF(AND(AG$11&gt;=$H62,AG$11&lt;=$I62),1,""))</f>
        <v/>
      </c>
      <c r="AH62" s="448" t="str">
        <f aca="false">IF($G62=0,IF(AH$11=$H62,"◆",""),IF(AND(AH$11&gt;=$H62,AH$11&lt;=$I62),1,""))</f>
        <v/>
      </c>
      <c r="AI62" s="448" t="str">
        <f aca="false">IF($G62=0,IF(AI$11=$H62,"◆",""),IF(AND(AI$11&gt;=$H62,AI$11&lt;=$I62),1,""))</f>
        <v/>
      </c>
      <c r="AJ62" s="448" t="str">
        <f aca="false">IF($G62=0,IF(AJ$11=$H62,"◆",""),IF(AND(AJ$11&gt;=$H62,AJ$11&lt;=$I62),1,""))</f>
        <v/>
      </c>
      <c r="AK62" s="448" t="str">
        <f aca="false">IF($G62=0,IF(AK$11=$H62,"◆",""),IF(AND(AK$11&gt;=$H62,AK$11&lt;=$I62),1,""))</f>
        <v/>
      </c>
      <c r="AL62" s="448" t="str">
        <f aca="false">IF($G62=0,IF(AL$11=$H62,"◆",""),IF(AND(AL$11&gt;=$H62,AL$11&lt;=$I62),1,""))</f>
        <v/>
      </c>
      <c r="AM62" s="448" t="str">
        <f aca="false">IF($G62=0,IF(AM$11=$H62,"◆",""),IF(AND(AM$11&gt;=$H62,AM$11&lt;=$I62),1,""))</f>
        <v/>
      </c>
      <c r="AN62" s="448" t="str">
        <f aca="false">IF($G62=0,IF(AN$11=$H62,"◆",""),IF(AND(AN$11&gt;=$H62,AN$11&lt;=$I62),1,""))</f>
        <v/>
      </c>
      <c r="AO62" s="448" t="str">
        <f aca="false">IF($G62=0,IF(AO$11=$H62,"◆",""),IF(AND(AO$11&gt;=$H62,AO$11&lt;=$I62),1,""))</f>
        <v/>
      </c>
      <c r="AP62" s="448" t="str">
        <f aca="false">IF($G62=0,IF(AP$11=$H62,"◆",""),IF(AND(AP$11&gt;=$H62,AP$11&lt;=$I62),1,""))</f>
        <v/>
      </c>
      <c r="AQ62" s="448" t="str">
        <f aca="false">IF($G62=0,IF(AQ$11=$H62,"◆",""),IF(AND(AQ$11&gt;=$H62,AQ$11&lt;=$I62),1,""))</f>
        <v/>
      </c>
      <c r="AR62" s="448" t="str">
        <f aca="false">IF($G62=0,IF(AR$11=$H62,"◆",""),IF(AND(AR$11&gt;=$H62,AR$11&lt;=$I62),1,""))</f>
        <v/>
      </c>
      <c r="AS62" s="448" t="str">
        <f aca="false">IF($G62=0,IF(AS$11=$H62,"◆",""),IF(AND(AS$11&gt;=$H62,AS$11&lt;=$I62),1,""))</f>
        <v/>
      </c>
      <c r="AT62" s="448" t="str">
        <f aca="false">IF($G62=0,IF(AT$11=$H62,"◆",""),IF(AND(AT$11&gt;=$H62,AT$11&lt;=$I62),1,""))</f>
        <v/>
      </c>
      <c r="AU62" s="448" t="str">
        <f aca="false">IF($G62=0,IF(AU$11=$H62,"◆",""),IF(AND(AU$11&gt;=$H62,AU$11&lt;=$I62),1,""))</f>
        <v/>
      </c>
      <c r="AV62" s="448" t="str">
        <f aca="false">IF($G62=0,IF(AV$11=$H62,"◆",""),IF(AND(AV$11&gt;=$H62,AV$11&lt;=$I62),1,""))</f>
        <v/>
      </c>
      <c r="AW62" s="448" t="str">
        <f aca="false">IF($G62=0,IF(AW$11=$H62,"◆",""),IF(AND(AW$11&gt;=$H62,AW$11&lt;=$I62),1,""))</f>
        <v/>
      </c>
      <c r="AX62" s="448" t="str">
        <f aca="false">IF($G62=0,IF(AX$11=$H62,"◆",""),IF(AND(AX$11&gt;=$H62,AX$11&lt;=$I62),1,""))</f>
        <v/>
      </c>
      <c r="AY62" s="448" t="str">
        <f aca="false">IF($G62=0,IF(AY$11=$H62,"◆",""),IF(AND(AY$11&gt;=$H62,AY$11&lt;=$I62),1,""))</f>
        <v/>
      </c>
      <c r="AZ62" s="448" t="str">
        <f aca="false">IF($G62=0,IF(AZ$11=$H62,"◆",""),IF(AND(AZ$11&gt;=$H62,AZ$11&lt;=$I62),1,""))</f>
        <v/>
      </c>
      <c r="BA62" s="448" t="str">
        <f aca="false">IF($G62=0,IF(BA$11=$H62,"◆",""),IF(AND(BA$11&gt;=$H62,BA$11&lt;=$I62),1,""))</f>
        <v/>
      </c>
      <c r="BB62" s="448" t="str">
        <f aca="false">IF($G62=0,IF(BB$11=$H62,"◆",""),IF(AND(BB$11&gt;=$H62,BB$11&lt;=$I62),1,""))</f>
        <v/>
      </c>
      <c r="BC62" s="448" t="str">
        <f aca="false">IF($G62=0,IF(BC$11=$H62,"◆",""),IF(AND(BC$11&gt;=$H62,BC$11&lt;=$I62),1,""))</f>
        <v/>
      </c>
      <c r="BD62" s="448" t="str">
        <f aca="false">IF($G62=0,IF(BD$11=$H62,"◆",""),IF(AND(BD$11&gt;=$H62,BD$11&lt;=$I62),1,""))</f>
        <v/>
      </c>
      <c r="BE62" s="448" t="str">
        <f aca="false">IF($G62=0,IF(BE$11=$H62,"◆",""),IF(AND(BE$11&gt;=$H62,BE$11&lt;=$I62),1,""))</f>
        <v/>
      </c>
      <c r="BF62" s="448" t="str">
        <f aca="false">IF($G62=0,IF(BF$11=$H62,"◆",""),IF(AND(BF$11&gt;=$H62,BF$11&lt;=$I62),1,""))</f>
        <v/>
      </c>
      <c r="BG62" s="448" t="str">
        <f aca="false">IF($G62=0,IF(BG$11=$H62,"◆",""),IF(AND(BG$11&gt;=$H62,BG$11&lt;=$I62),1,""))</f>
        <v/>
      </c>
      <c r="BH62" s="448" t="str">
        <f aca="false">IF($G62=0,IF(BH$11=$H62,"◆",""),IF(AND(BH$11&gt;=$H62,BH$11&lt;=$I62),1,""))</f>
        <v/>
      </c>
      <c r="BI62" s="448" t="str">
        <f aca="false">IF($G62=0,IF(BI$11=$H62,"◆",""),IF(AND(BI$11&gt;=$H62,BI$11&lt;=$I62),1,""))</f>
        <v/>
      </c>
      <c r="BJ62" s="448" t="str">
        <f aca="false">IF($G62=0,IF(BJ$11=$H62,"◆",""),IF(AND(BJ$11&gt;=$H62,BJ$11&lt;=$I62),1,""))</f>
        <v/>
      </c>
      <c r="BK62" s="448" t="str">
        <f aca="false">IF($G62=0,IF(BK$11=$H62,"◆",""),IF(AND(BK$11&gt;=$H62,BK$11&lt;=$I62),1,""))</f>
        <v/>
      </c>
      <c r="BL62" s="448" t="str">
        <f aca="false">IF($G62=0,IF(BL$11=$H62,"◆",""),IF(AND(BL$11&gt;=$H62,BL$11&lt;=$I62),1,""))</f>
        <v/>
      </c>
      <c r="BM62" s="448" t="str">
        <f aca="false">IF($G62=0,IF(BM$11=$H62,"◆",""),IF(AND(BM$11&gt;=$H62,BM$11&lt;=$I62),1,""))</f>
        <v/>
      </c>
      <c r="BN62" s="448" t="str">
        <f aca="false">IF($G62=0,IF(BN$11=$H62,"◆",""),IF(AND(BN$11&gt;=$H62,BN$11&lt;=$I62),1,""))</f>
        <v/>
      </c>
      <c r="BO62" s="448" t="str">
        <f aca="false">IF($G62=0,IF(BO$11=$H62,"◆",""),IF(AND(BO$11&gt;=$H62,BO$11&lt;=$I62),1,""))</f>
        <v/>
      </c>
      <c r="BP62" s="448" t="str">
        <f aca="false">IF($G62=0,IF(BP$11=$H62,"◆",""),IF(AND(BP$11&gt;=$H62,BP$11&lt;=$I62),1,""))</f>
        <v/>
      </c>
      <c r="BQ62" s="448" t="str">
        <f aca="false">IF($G62=0,IF(BQ$11=$H62,"◆",""),IF(AND(BQ$11&gt;=$H62,BQ$11&lt;=$I62),1,""))</f>
        <v/>
      </c>
      <c r="BR62" s="448" t="str">
        <f aca="false">IF($G62=0,IF(BR$11=$H62,"◆",""),IF(AND(BR$11&gt;=$H62,BR$11&lt;=$I62),1,""))</f>
        <v/>
      </c>
      <c r="BS62" s="448" t="str">
        <f aca="false">IF($G62=0,IF(BS$11=$H62,"◆",""),IF(AND(BS$11&gt;=$H62,BS$11&lt;=$I62),1,""))</f>
        <v/>
      </c>
      <c r="BT62" s="448" t="str">
        <f aca="false">IF($G62=0,IF(BT$11=$H62,"◆",""),IF(AND(BT$11&gt;=$H62,BT$11&lt;=$I62),1,""))</f>
        <v/>
      </c>
      <c r="BU62" s="448" t="str">
        <f aca="false">IF($G62=0,IF(BU$11=$H62,"◆",""),IF(AND(BU$11&gt;=$H62,BU$11&lt;=$I62),1,""))</f>
        <v/>
      </c>
      <c r="BV62" s="448" t="str">
        <f aca="false">IF($G62=0,IF(BV$11=$H62,"◆",""),IF(AND(BV$11&gt;=$H62,BV$11&lt;=$I62),1,""))</f>
        <v/>
      </c>
      <c r="BW62" s="448" t="str">
        <f aca="false">IF($G62=0,IF(BW$11=$H62,"◆",""),IF(AND(BW$11&gt;=$H62,BW$11&lt;=$I62),1,""))</f>
        <v/>
      </c>
      <c r="BX62" s="448" t="str">
        <f aca="false">IF($G62=0,IF(BX$11=$H62,"◆",""),IF(AND(BX$11&gt;=$H62,BX$11&lt;=$I62),1,""))</f>
        <v/>
      </c>
      <c r="BY62" s="448" t="str">
        <f aca="false">IF($G62=0,IF(BY$11=$H62,"◆",""),IF(AND(BY$11&gt;=$H62,BY$11&lt;=$I62),1,""))</f>
        <v/>
      </c>
      <c r="BZ62" s="448" t="str">
        <f aca="false">IF($G62=0,IF(BZ$11=$H62,"◆",""),IF(AND(BZ$11&gt;=$H62,BZ$11&lt;=$I62),1,""))</f>
        <v/>
      </c>
      <c r="CA62" s="448" t="str">
        <f aca="false">IF($G62=0,IF(CA$11=$H62,"◆",""),IF(AND(CA$11&gt;=$H62,CA$11&lt;=$I62),1,""))</f>
        <v/>
      </c>
      <c r="CB62" s="448" t="str">
        <f aca="false">IF($G62=0,IF(CB$11=$H62,"◆",""),IF(AND(CB$11&gt;=$H62,CB$11&lt;=$I62),1,""))</f>
        <v/>
      </c>
      <c r="CC62" s="448" t="str">
        <f aca="false">IF($G62=0,IF(CC$11=$H62,"◆",""),IF(AND(CC$11&gt;=$H62,CC$11&lt;=$I62),1,""))</f>
        <v/>
      </c>
      <c r="CD62" s="448" t="str">
        <f aca="false">IF($G62=0,IF(CD$11=$H62,"◆",""),IF(AND(CD$11&gt;=$H62,CD$11&lt;=$I62),1,""))</f>
        <v/>
      </c>
      <c r="CE62" s="448" t="str">
        <f aca="false">IF($G62=0,IF(CE$11=$H62,"◆",""),IF(AND(CE$11&gt;=$H62,CE$11&lt;=$I62),1,""))</f>
        <v/>
      </c>
      <c r="CF62" s="448" t="str">
        <f aca="false">IF($G62=0,IF(CF$11=$H62,"◆",""),IF(AND(CF$11&gt;=$H62,CF$11&lt;=$I62),1,""))</f>
        <v/>
      </c>
      <c r="CG62" s="448" t="str">
        <f aca="false">IF($G62=0,IF(CG$11=$H62,"◆",""),IF(AND(CG$11&gt;=$H62,CG$11&lt;=$I62),1,""))</f>
        <v/>
      </c>
      <c r="CH62" s="448" t="str">
        <f aca="false">IF($G62=0,IF(CH$11=$H62,"◆",""),IF(AND(CH$11&gt;=$H62,CH$11&lt;=$I62),1,""))</f>
        <v/>
      </c>
      <c r="CI62" s="448" t="str">
        <f aca="false">IF($G62=0,IF(CI$11=$H62,"◆",""),IF(AND(CI$11&gt;=$H62,CI$11&lt;=$I62),1,""))</f>
        <v/>
      </c>
      <c r="CJ62" s="448" t="str">
        <f aca="false">IF($G62=0,IF(CJ$11=$H62,"◆",""),IF(AND(CJ$11&gt;=$H62,CJ$11&lt;=$I62),1,""))</f>
        <v/>
      </c>
      <c r="CK62" s="448" t="str">
        <f aca="false">IF($G62=0,IF(CK$11=$H62,"◆",""),IF(AND(CK$11&gt;=$H62,CK$11&lt;=$I62),1,""))</f>
        <v/>
      </c>
      <c r="CL62" s="448" t="str">
        <f aca="false">IF($G62=0,IF(CL$11=$H62,"◆",""),IF(AND(CL$11&gt;=$H62,CL$11&lt;=$I62),1,""))</f>
        <v/>
      </c>
      <c r="CM62" s="448" t="str">
        <f aca="false">IF($G62=0,IF(CM$11=$H62,"◆",""),IF(AND(CM$11&gt;=$H62,CM$11&lt;=$I62),1,""))</f>
        <v/>
      </c>
      <c r="CN62" s="448" t="str">
        <f aca="false">IF($G62=0,IF(CN$11=$H62,"◆",""),IF(AND(CN$11&gt;=$H62,CN$11&lt;=$I62),1,""))</f>
        <v/>
      </c>
      <c r="CO62" s="448" t="str">
        <f aca="false">IF($G62=0,IF(CO$11=$H62,"◆",""),IF(AND(CO$11&gt;=$H62,CO$11&lt;=$I62),1,""))</f>
        <v/>
      </c>
      <c r="CP62" s="448" t="str">
        <f aca="false">IF($G62=0,IF(CP$11=$H62,"◆",""),IF(AND(CP$11&gt;=$H62,CP$11&lt;=$I62),1,""))</f>
        <v/>
      </c>
      <c r="CQ62" s="448" t="str">
        <f aca="false">IF($G62=0,IF(CQ$11=$H62,"◆",""),IF(AND(CQ$11&gt;=$H62,CQ$11&lt;=$I62),1,""))</f>
        <v/>
      </c>
      <c r="CR62" s="448" t="str">
        <f aca="false">IF($G62=0,IF(CR$11=$H62,"◆",""),IF(AND(CR$11&gt;=$H62,CR$11&lt;=$I62),1,""))</f>
        <v/>
      </c>
      <c r="CS62" s="448" t="str">
        <f aca="false">IF($G62=0,IF(CS$11=$H62,"◆",""),IF(AND(CS$11&gt;=$H62,CS$11&lt;=$I62),1,""))</f>
        <v/>
      </c>
      <c r="CT62" s="448" t="str">
        <f aca="false">IF($G62=0,IF(CT$11=$H62,"◆",""),IF(AND(CT$11&gt;=$H62,CT$11&lt;=$I62),1,""))</f>
        <v/>
      </c>
      <c r="CU62" s="448" t="str">
        <f aca="false">IF($G62=0,IF(CU$11=$H62,"◆",""),IF(AND(CU$11&gt;=$H62,CU$11&lt;=$I62),1,""))</f>
        <v/>
      </c>
      <c r="CV62" s="448" t="str">
        <f aca="false">IF($G62=0,IF(CV$11=$H62,"◆",""),IF(AND(CV$11&gt;=$H62,CV$11&lt;=$I62),1,""))</f>
        <v/>
      </c>
      <c r="CW62" s="448" t="str">
        <f aca="false">IF($G62=0,IF(CW$11=$H62,"◆",""),IF(AND(CW$11&gt;=$H62,CW$11&lt;=$I62),1,""))</f>
        <v/>
      </c>
      <c r="CX62" s="448" t="str">
        <f aca="false">IF($G62=0,IF(CX$11=$H62,"◆",""),IF(AND(CX$11&gt;=$H62,CX$11&lt;=$I62),1,""))</f>
        <v/>
      </c>
      <c r="CY62" s="448" t="str">
        <f aca="false">IF($G62=0,IF(CY$11=$H62,"◆",""),IF(AND(CY$11&gt;=$H62,CY$11&lt;=$I62),1,""))</f>
        <v/>
      </c>
      <c r="CZ62" s="448" t="str">
        <f aca="false">IF($G62=0,IF(CZ$11=$H62,"◆",""),IF(AND(CZ$11&gt;=$H62,CZ$11&lt;=$I62),1,""))</f>
        <v/>
      </c>
      <c r="DA62" s="448" t="str">
        <f aca="false">IF($G62=0,IF(DA$11=$H62,"◆",""),IF(AND(DA$11&gt;=$H62,DA$11&lt;=$I62),1,""))</f>
        <v/>
      </c>
      <c r="DB62" s="448" t="str">
        <f aca="false">IF($G62=0,IF(DB$11=$H62,"◆",""),IF(AND(DB$11&gt;=$H62,DB$11&lt;=$I62),1,""))</f>
        <v/>
      </c>
      <c r="DC62" s="448" t="str">
        <f aca="false">IF($G62=0,IF(DC$11=$H62,"◆",""),IF(AND(DC$11&gt;=$H62,DC$11&lt;=$I62),1,""))</f>
        <v/>
      </c>
      <c r="DD62" s="448" t="str">
        <f aca="false">IF($G62=0,IF(DD$11=$H62,"◆",""),IF(AND(DD$11&gt;=$H62,DD$11&lt;=$I62),1,""))</f>
        <v/>
      </c>
      <c r="DE62" s="448" t="str">
        <f aca="false">IF($G62=0,IF(DE$11=$H62,"◆",""),IF(AND(DE$11&gt;=$H62,DE$11&lt;=$I62),1,""))</f>
        <v/>
      </c>
      <c r="DF62" s="448" t="str">
        <f aca="false">IF($G62=0,IF(DF$11=$H62,"◆",""),IF(AND(DF$11&gt;=$H62,DF$11&lt;=$I62),1,""))</f>
        <v/>
      </c>
      <c r="DG62" s="448" t="str">
        <f aca="false">IF($G62=0,IF(DG$11=$H62,"◆",""),IF(AND(DG$11&gt;=$H62,DG$11&lt;=$I62),1,""))</f>
        <v/>
      </c>
      <c r="DH62" s="448" t="str">
        <f aca="false">IF($G62=0,IF(DH$11=$H62,"◆",""),IF(AND(DH$11&gt;=$H62,DH$11&lt;=$I62),1,""))</f>
        <v/>
      </c>
      <c r="DI62" s="448" t="str">
        <f aca="false">IF($G62=0,IF(DI$11=$H62,"◆",""),IF(AND(DI$11&gt;=$H62,DI$11&lt;=$I62),1,""))</f>
        <v/>
      </c>
      <c r="DJ62" s="448" t="str">
        <f aca="false">IF($G62=0,IF(DJ$11=$H62,"◆",""),IF(AND(DJ$11&gt;=$H62,DJ$11&lt;=$I62),1,""))</f>
        <v/>
      </c>
      <c r="DK62" s="448" t="str">
        <f aca="false">IF($G62=0,IF(DK$11=$H62,"◆",""),IF(AND(DK$11&gt;=$H62,DK$11&lt;=$I62),1,""))</f>
        <v/>
      </c>
      <c r="DL62" s="448" t="str">
        <f aca="false">IF($G62=0,IF(DL$11=$H62,"◆",""),IF(AND(DL$11&gt;=$H62,DL$11&lt;=$I62),1,""))</f>
        <v/>
      </c>
      <c r="DM62" s="448" t="str">
        <f aca="false">IF($G62=0,IF(DM$11=$H62,"◆",""),IF(AND(DM$11&gt;=$H62,DM$11&lt;=$I62),1,""))</f>
        <v/>
      </c>
      <c r="DN62" s="448" t="str">
        <f aca="false">IF($G62=0,IF(DN$11=$H62,"◆",""),IF(AND(DN$11&gt;=$H62,DN$11&lt;=$I62),1,""))</f>
        <v/>
      </c>
      <c r="DO62" s="448" t="str">
        <f aca="false">IF($G62=0,IF(DO$11=$H62,"◆",""),IF(AND(DO$11&gt;=$H62,DO$11&lt;=$I62),1,""))</f>
        <v/>
      </c>
      <c r="DP62" s="448" t="str">
        <f aca="false">IF($G62=0,IF(DP$11=$H62,"◆",""),IF(AND(DP$11&gt;=$H62,DP$11&lt;=$I62),1,""))</f>
        <v/>
      </c>
      <c r="DQ62" s="448" t="str">
        <f aca="false">IF($G62=0,IF(DQ$11=$H62,"◆",""),IF(AND(DQ$11&gt;=$H62,DQ$11&lt;=$I62),1,""))</f>
        <v/>
      </c>
      <c r="DR62" s="448" t="str">
        <f aca="false">IF($G62=0,IF(DR$11=$H62,"◆",""),IF(AND(DR$11&gt;=$H62,DR$11&lt;=$I62),1,""))</f>
        <v/>
      </c>
      <c r="DS62" s="448" t="str">
        <f aca="false">IF($G62=0,IF(DS$11=$H62,"◆",""),IF(AND(DS$11&gt;=$H62,DS$11&lt;=$I62),1,""))</f>
        <v/>
      </c>
      <c r="DT62" s="448" t="str">
        <f aca="false">IF($G62=0,IF(DT$11=$H62,"◆",""),IF(AND(DT$11&gt;=$H62,DT$11&lt;=$I62),1,""))</f>
        <v/>
      </c>
      <c r="DU62" s="448" t="str">
        <f aca="false">IF($G62=0,IF(DU$11=$H62,"◆",""),IF(AND(DU$11&gt;=$H62,DU$11&lt;=$I62),1,""))</f>
        <v/>
      </c>
      <c r="DV62" s="448" t="str">
        <f aca="false">IF($G62=0,IF(DV$11=$H62,"◆",""),IF(AND(DV$11&gt;=$H62,DV$11&lt;=$I62),1,""))</f>
        <v/>
      </c>
      <c r="DW62" s="448" t="str">
        <f aca="false">IF($G62=0,IF(DW$11=$H62,"◆",""),IF(AND(DW$11&gt;=$H62,DW$11&lt;=$I62),1,""))</f>
        <v/>
      </c>
      <c r="DX62" s="448" t="str">
        <f aca="false">IF($G62=0,IF(DX$11=$H62,"◆",""),IF(AND(DX$11&gt;=$H62,DX$11&lt;=$I62),1,""))</f>
        <v/>
      </c>
      <c r="DY62" s="448" t="str">
        <f aca="false">IF($G62=0,IF(DY$11=$H62,"◆",""),IF(AND(DY$11&gt;=$H62,DY$11&lt;=$I62),1,""))</f>
        <v/>
      </c>
      <c r="DZ62" s="448" t="str">
        <f aca="false">IF($G62=0,IF(DZ$11=$H62,"◆",""),IF(AND(DZ$11&gt;=$H62,DZ$11&lt;=$I62),1,""))</f>
        <v/>
      </c>
      <c r="EA62" s="448" t="str">
        <f aca="false">IF($G62=0,IF(EA$11=$H62,"◆",""),IF(AND(EA$11&gt;=$H62,EA$11&lt;=$I62),1,""))</f>
        <v/>
      </c>
      <c r="EB62" s="448" t="str">
        <f aca="false">IF($G62=0,IF(EB$11=$H62,"◆",""),IF(AND(EB$11&gt;=$H62,EB$11&lt;=$I62),1,""))</f>
        <v/>
      </c>
      <c r="EC62" s="448" t="str">
        <f aca="false">IF($G62=0,IF(EC$11=$H62,"◆",""),IF(AND(EC$11&gt;=$H62,EC$11&lt;=$I62),1,""))</f>
        <v/>
      </c>
      <c r="ED62" s="448" t="str">
        <f aca="false">IF($G62=0,IF(ED$11=$H62,"◆",""),IF(AND(ED$11&gt;=$H62,ED$11&lt;=$I62),1,""))</f>
        <v/>
      </c>
    </row>
    <row r="63" customFormat="false" ht="15" hidden="false" customHeight="true" outlineLevel="0" collapsed="false">
      <c r="A63" s="441" t="s">
        <v>2553</v>
      </c>
      <c r="B63" s="297" t="s">
        <v>2554</v>
      </c>
      <c r="C63" s="442" t="s">
        <v>2528</v>
      </c>
      <c r="D63" s="443" t="s">
        <v>2555</v>
      </c>
      <c r="E63" s="354" t="n">
        <f aca="false">FC_SUPUESTOS!$C$17</f>
        <v>1</v>
      </c>
      <c r="F63" s="352" t="n">
        <v>0</v>
      </c>
      <c r="G63" s="352" t="n">
        <v>1</v>
      </c>
      <c r="H63" s="367" t="n">
        <f aca="false">MAX(1,ROUND(($E63-1)*$D$5,0)+1+$F63)</f>
        <v>1</v>
      </c>
      <c r="I63" s="367" t="n">
        <f aca="false">MAX($H63,$H63+$G63-1)</f>
        <v>1</v>
      </c>
      <c r="J63" s="444" t="n">
        <f aca="false">$D$4+($H63-1)*7</f>
        <v>46300</v>
      </c>
      <c r="K63" s="444" t="n">
        <f aca="false">$D$4+$I63*7-1</f>
        <v>46306</v>
      </c>
      <c r="L63" s="445" t="n">
        <f aca="false">ROUNDUP($H63/$D$5,0)</f>
        <v>1</v>
      </c>
      <c r="M63" s="446" t="s">
        <v>2453</v>
      </c>
      <c r="N63" s="447" t="n">
        <v>0</v>
      </c>
      <c r="O63" s="448" t="n">
        <f aca="false">IF($G63=0,IF(O$11=$H63,"◆",""),IF(AND(O$11&gt;=$H63,O$11&lt;=$I63),1,""))</f>
        <v>1</v>
      </c>
      <c r="P63" s="448" t="str">
        <f aca="false">IF($G63=0,IF(P$11=$H63,"◆",""),IF(AND(P$11&gt;=$H63,P$11&lt;=$I63),1,""))</f>
        <v/>
      </c>
      <c r="Q63" s="448" t="str">
        <f aca="false">IF($G63=0,IF(Q$11=$H63,"◆",""),IF(AND(Q$11&gt;=$H63,Q$11&lt;=$I63),1,""))</f>
        <v/>
      </c>
      <c r="R63" s="448" t="str">
        <f aca="false">IF($G63=0,IF(R$11=$H63,"◆",""),IF(AND(R$11&gt;=$H63,R$11&lt;=$I63),1,""))</f>
        <v/>
      </c>
      <c r="S63" s="448" t="str">
        <f aca="false">IF($G63=0,IF(S$11=$H63,"◆",""),IF(AND(S$11&gt;=$H63,S$11&lt;=$I63),1,""))</f>
        <v/>
      </c>
      <c r="T63" s="448" t="str">
        <f aca="false">IF($G63=0,IF(T$11=$H63,"◆",""),IF(AND(T$11&gt;=$H63,T$11&lt;=$I63),1,""))</f>
        <v/>
      </c>
      <c r="U63" s="448" t="str">
        <f aca="false">IF($G63=0,IF(U$11=$H63,"◆",""),IF(AND(U$11&gt;=$H63,U$11&lt;=$I63),1,""))</f>
        <v/>
      </c>
      <c r="V63" s="448" t="str">
        <f aca="false">IF($G63=0,IF(V$11=$H63,"◆",""),IF(AND(V$11&gt;=$H63,V$11&lt;=$I63),1,""))</f>
        <v/>
      </c>
      <c r="W63" s="448" t="str">
        <f aca="false">IF($G63=0,IF(W$11=$H63,"◆",""),IF(AND(W$11&gt;=$H63,W$11&lt;=$I63),1,""))</f>
        <v/>
      </c>
      <c r="X63" s="448" t="str">
        <f aca="false">IF($G63=0,IF(X$11=$H63,"◆",""),IF(AND(X$11&gt;=$H63,X$11&lt;=$I63),1,""))</f>
        <v/>
      </c>
      <c r="Y63" s="448" t="str">
        <f aca="false">IF($G63=0,IF(Y$11=$H63,"◆",""),IF(AND(Y$11&gt;=$H63,Y$11&lt;=$I63),1,""))</f>
        <v/>
      </c>
      <c r="Z63" s="448" t="str">
        <f aca="false">IF($G63=0,IF(Z$11=$H63,"◆",""),IF(AND(Z$11&gt;=$H63,Z$11&lt;=$I63),1,""))</f>
        <v/>
      </c>
      <c r="AA63" s="448" t="str">
        <f aca="false">IF($G63=0,IF(AA$11=$H63,"◆",""),IF(AND(AA$11&gt;=$H63,AA$11&lt;=$I63),1,""))</f>
        <v/>
      </c>
      <c r="AB63" s="448" t="str">
        <f aca="false">IF($G63=0,IF(AB$11=$H63,"◆",""),IF(AND(AB$11&gt;=$H63,AB$11&lt;=$I63),1,""))</f>
        <v/>
      </c>
      <c r="AC63" s="448" t="str">
        <f aca="false">IF($G63=0,IF(AC$11=$H63,"◆",""),IF(AND(AC$11&gt;=$H63,AC$11&lt;=$I63),1,""))</f>
        <v/>
      </c>
      <c r="AD63" s="448" t="str">
        <f aca="false">IF($G63=0,IF(AD$11=$H63,"◆",""),IF(AND(AD$11&gt;=$H63,AD$11&lt;=$I63),1,""))</f>
        <v/>
      </c>
      <c r="AE63" s="448" t="str">
        <f aca="false">IF($G63=0,IF(AE$11=$H63,"◆",""),IF(AND(AE$11&gt;=$H63,AE$11&lt;=$I63),1,""))</f>
        <v/>
      </c>
      <c r="AF63" s="448" t="str">
        <f aca="false">IF($G63=0,IF(AF$11=$H63,"◆",""),IF(AND(AF$11&gt;=$H63,AF$11&lt;=$I63),1,""))</f>
        <v/>
      </c>
      <c r="AG63" s="448" t="str">
        <f aca="false">IF($G63=0,IF(AG$11=$H63,"◆",""),IF(AND(AG$11&gt;=$H63,AG$11&lt;=$I63),1,""))</f>
        <v/>
      </c>
      <c r="AH63" s="448" t="str">
        <f aca="false">IF($G63=0,IF(AH$11=$H63,"◆",""),IF(AND(AH$11&gt;=$H63,AH$11&lt;=$I63),1,""))</f>
        <v/>
      </c>
      <c r="AI63" s="448" t="str">
        <f aca="false">IF($G63=0,IF(AI$11=$H63,"◆",""),IF(AND(AI$11&gt;=$H63,AI$11&lt;=$I63),1,""))</f>
        <v/>
      </c>
      <c r="AJ63" s="448" t="str">
        <f aca="false">IF($G63=0,IF(AJ$11=$H63,"◆",""),IF(AND(AJ$11&gt;=$H63,AJ$11&lt;=$I63),1,""))</f>
        <v/>
      </c>
      <c r="AK63" s="448" t="str">
        <f aca="false">IF($G63=0,IF(AK$11=$H63,"◆",""),IF(AND(AK$11&gt;=$H63,AK$11&lt;=$I63),1,""))</f>
        <v/>
      </c>
      <c r="AL63" s="448" t="str">
        <f aca="false">IF($G63=0,IF(AL$11=$H63,"◆",""),IF(AND(AL$11&gt;=$H63,AL$11&lt;=$I63),1,""))</f>
        <v/>
      </c>
      <c r="AM63" s="448" t="str">
        <f aca="false">IF($G63=0,IF(AM$11=$H63,"◆",""),IF(AND(AM$11&gt;=$H63,AM$11&lt;=$I63),1,""))</f>
        <v/>
      </c>
      <c r="AN63" s="448" t="str">
        <f aca="false">IF($G63=0,IF(AN$11=$H63,"◆",""),IF(AND(AN$11&gt;=$H63,AN$11&lt;=$I63),1,""))</f>
        <v/>
      </c>
      <c r="AO63" s="448" t="str">
        <f aca="false">IF($G63=0,IF(AO$11=$H63,"◆",""),IF(AND(AO$11&gt;=$H63,AO$11&lt;=$I63),1,""))</f>
        <v/>
      </c>
      <c r="AP63" s="448" t="str">
        <f aca="false">IF($G63=0,IF(AP$11=$H63,"◆",""),IF(AND(AP$11&gt;=$H63,AP$11&lt;=$I63),1,""))</f>
        <v/>
      </c>
      <c r="AQ63" s="448" t="str">
        <f aca="false">IF($G63=0,IF(AQ$11=$H63,"◆",""),IF(AND(AQ$11&gt;=$H63,AQ$11&lt;=$I63),1,""))</f>
        <v/>
      </c>
      <c r="AR63" s="448" t="str">
        <f aca="false">IF($G63=0,IF(AR$11=$H63,"◆",""),IF(AND(AR$11&gt;=$H63,AR$11&lt;=$I63),1,""))</f>
        <v/>
      </c>
      <c r="AS63" s="448" t="str">
        <f aca="false">IF($G63=0,IF(AS$11=$H63,"◆",""),IF(AND(AS$11&gt;=$H63,AS$11&lt;=$I63),1,""))</f>
        <v/>
      </c>
      <c r="AT63" s="448" t="str">
        <f aca="false">IF($G63=0,IF(AT$11=$H63,"◆",""),IF(AND(AT$11&gt;=$H63,AT$11&lt;=$I63),1,""))</f>
        <v/>
      </c>
      <c r="AU63" s="448" t="str">
        <f aca="false">IF($G63=0,IF(AU$11=$H63,"◆",""),IF(AND(AU$11&gt;=$H63,AU$11&lt;=$I63),1,""))</f>
        <v/>
      </c>
      <c r="AV63" s="448" t="str">
        <f aca="false">IF($G63=0,IF(AV$11=$H63,"◆",""),IF(AND(AV$11&gt;=$H63,AV$11&lt;=$I63),1,""))</f>
        <v/>
      </c>
      <c r="AW63" s="448" t="str">
        <f aca="false">IF($G63=0,IF(AW$11=$H63,"◆",""),IF(AND(AW$11&gt;=$H63,AW$11&lt;=$I63),1,""))</f>
        <v/>
      </c>
      <c r="AX63" s="448" t="str">
        <f aca="false">IF($G63=0,IF(AX$11=$H63,"◆",""),IF(AND(AX$11&gt;=$H63,AX$11&lt;=$I63),1,""))</f>
        <v/>
      </c>
      <c r="AY63" s="448" t="str">
        <f aca="false">IF($G63=0,IF(AY$11=$H63,"◆",""),IF(AND(AY$11&gt;=$H63,AY$11&lt;=$I63),1,""))</f>
        <v/>
      </c>
      <c r="AZ63" s="448" t="str">
        <f aca="false">IF($G63=0,IF(AZ$11=$H63,"◆",""),IF(AND(AZ$11&gt;=$H63,AZ$11&lt;=$I63),1,""))</f>
        <v/>
      </c>
      <c r="BA63" s="448" t="str">
        <f aca="false">IF($G63=0,IF(BA$11=$H63,"◆",""),IF(AND(BA$11&gt;=$H63,BA$11&lt;=$I63),1,""))</f>
        <v/>
      </c>
      <c r="BB63" s="448" t="str">
        <f aca="false">IF($G63=0,IF(BB$11=$H63,"◆",""),IF(AND(BB$11&gt;=$H63,BB$11&lt;=$I63),1,""))</f>
        <v/>
      </c>
      <c r="BC63" s="448" t="str">
        <f aca="false">IF($G63=0,IF(BC$11=$H63,"◆",""),IF(AND(BC$11&gt;=$H63,BC$11&lt;=$I63),1,""))</f>
        <v/>
      </c>
      <c r="BD63" s="448" t="str">
        <f aca="false">IF($G63=0,IF(BD$11=$H63,"◆",""),IF(AND(BD$11&gt;=$H63,BD$11&lt;=$I63),1,""))</f>
        <v/>
      </c>
      <c r="BE63" s="448" t="str">
        <f aca="false">IF($G63=0,IF(BE$11=$H63,"◆",""),IF(AND(BE$11&gt;=$H63,BE$11&lt;=$I63),1,""))</f>
        <v/>
      </c>
      <c r="BF63" s="448" t="str">
        <f aca="false">IF($G63=0,IF(BF$11=$H63,"◆",""),IF(AND(BF$11&gt;=$H63,BF$11&lt;=$I63),1,""))</f>
        <v/>
      </c>
      <c r="BG63" s="448" t="str">
        <f aca="false">IF($G63=0,IF(BG$11=$H63,"◆",""),IF(AND(BG$11&gt;=$H63,BG$11&lt;=$I63),1,""))</f>
        <v/>
      </c>
      <c r="BH63" s="448" t="str">
        <f aca="false">IF($G63=0,IF(BH$11=$H63,"◆",""),IF(AND(BH$11&gt;=$H63,BH$11&lt;=$I63),1,""))</f>
        <v/>
      </c>
      <c r="BI63" s="448" t="str">
        <f aca="false">IF($G63=0,IF(BI$11=$H63,"◆",""),IF(AND(BI$11&gt;=$H63,BI$11&lt;=$I63),1,""))</f>
        <v/>
      </c>
      <c r="BJ63" s="448" t="str">
        <f aca="false">IF($G63=0,IF(BJ$11=$H63,"◆",""),IF(AND(BJ$11&gt;=$H63,BJ$11&lt;=$I63),1,""))</f>
        <v/>
      </c>
      <c r="BK63" s="448" t="str">
        <f aca="false">IF($G63=0,IF(BK$11=$H63,"◆",""),IF(AND(BK$11&gt;=$H63,BK$11&lt;=$I63),1,""))</f>
        <v/>
      </c>
      <c r="BL63" s="448" t="str">
        <f aca="false">IF($G63=0,IF(BL$11=$H63,"◆",""),IF(AND(BL$11&gt;=$H63,BL$11&lt;=$I63),1,""))</f>
        <v/>
      </c>
      <c r="BM63" s="448" t="str">
        <f aca="false">IF($G63=0,IF(BM$11=$H63,"◆",""),IF(AND(BM$11&gt;=$H63,BM$11&lt;=$I63),1,""))</f>
        <v/>
      </c>
      <c r="BN63" s="448" t="str">
        <f aca="false">IF($G63=0,IF(BN$11=$H63,"◆",""),IF(AND(BN$11&gt;=$H63,BN$11&lt;=$I63),1,""))</f>
        <v/>
      </c>
      <c r="BO63" s="448" t="str">
        <f aca="false">IF($G63=0,IF(BO$11=$H63,"◆",""),IF(AND(BO$11&gt;=$H63,BO$11&lt;=$I63),1,""))</f>
        <v/>
      </c>
      <c r="BP63" s="448" t="str">
        <f aca="false">IF($G63=0,IF(BP$11=$H63,"◆",""),IF(AND(BP$11&gt;=$H63,BP$11&lt;=$I63),1,""))</f>
        <v/>
      </c>
      <c r="BQ63" s="448" t="str">
        <f aca="false">IF($G63=0,IF(BQ$11=$H63,"◆",""),IF(AND(BQ$11&gt;=$H63,BQ$11&lt;=$I63),1,""))</f>
        <v/>
      </c>
      <c r="BR63" s="448" t="str">
        <f aca="false">IF($G63=0,IF(BR$11=$H63,"◆",""),IF(AND(BR$11&gt;=$H63,BR$11&lt;=$I63),1,""))</f>
        <v/>
      </c>
      <c r="BS63" s="448" t="str">
        <f aca="false">IF($G63=0,IF(BS$11=$H63,"◆",""),IF(AND(BS$11&gt;=$H63,BS$11&lt;=$I63),1,""))</f>
        <v/>
      </c>
      <c r="BT63" s="448" t="str">
        <f aca="false">IF($G63=0,IF(BT$11=$H63,"◆",""),IF(AND(BT$11&gt;=$H63,BT$11&lt;=$I63),1,""))</f>
        <v/>
      </c>
      <c r="BU63" s="448" t="str">
        <f aca="false">IF($G63=0,IF(BU$11=$H63,"◆",""),IF(AND(BU$11&gt;=$H63,BU$11&lt;=$I63),1,""))</f>
        <v/>
      </c>
      <c r="BV63" s="448" t="str">
        <f aca="false">IF($G63=0,IF(BV$11=$H63,"◆",""),IF(AND(BV$11&gt;=$H63,BV$11&lt;=$I63),1,""))</f>
        <v/>
      </c>
      <c r="BW63" s="448" t="str">
        <f aca="false">IF($G63=0,IF(BW$11=$H63,"◆",""),IF(AND(BW$11&gt;=$H63,BW$11&lt;=$I63),1,""))</f>
        <v/>
      </c>
      <c r="BX63" s="448" t="str">
        <f aca="false">IF($G63=0,IF(BX$11=$H63,"◆",""),IF(AND(BX$11&gt;=$H63,BX$11&lt;=$I63),1,""))</f>
        <v/>
      </c>
      <c r="BY63" s="448" t="str">
        <f aca="false">IF($G63=0,IF(BY$11=$H63,"◆",""),IF(AND(BY$11&gt;=$H63,BY$11&lt;=$I63),1,""))</f>
        <v/>
      </c>
      <c r="BZ63" s="448" t="str">
        <f aca="false">IF($G63=0,IF(BZ$11=$H63,"◆",""),IF(AND(BZ$11&gt;=$H63,BZ$11&lt;=$I63),1,""))</f>
        <v/>
      </c>
      <c r="CA63" s="448" t="str">
        <f aca="false">IF($G63=0,IF(CA$11=$H63,"◆",""),IF(AND(CA$11&gt;=$H63,CA$11&lt;=$I63),1,""))</f>
        <v/>
      </c>
      <c r="CB63" s="448" t="str">
        <f aca="false">IF($G63=0,IF(CB$11=$H63,"◆",""),IF(AND(CB$11&gt;=$H63,CB$11&lt;=$I63),1,""))</f>
        <v/>
      </c>
      <c r="CC63" s="448" t="str">
        <f aca="false">IF($G63=0,IF(CC$11=$H63,"◆",""),IF(AND(CC$11&gt;=$H63,CC$11&lt;=$I63),1,""))</f>
        <v/>
      </c>
      <c r="CD63" s="448" t="str">
        <f aca="false">IF($G63=0,IF(CD$11=$H63,"◆",""),IF(AND(CD$11&gt;=$H63,CD$11&lt;=$I63),1,""))</f>
        <v/>
      </c>
      <c r="CE63" s="448" t="str">
        <f aca="false">IF($G63=0,IF(CE$11=$H63,"◆",""),IF(AND(CE$11&gt;=$H63,CE$11&lt;=$I63),1,""))</f>
        <v/>
      </c>
      <c r="CF63" s="448" t="str">
        <f aca="false">IF($G63=0,IF(CF$11=$H63,"◆",""),IF(AND(CF$11&gt;=$H63,CF$11&lt;=$I63),1,""))</f>
        <v/>
      </c>
      <c r="CG63" s="448" t="str">
        <f aca="false">IF($G63=0,IF(CG$11=$H63,"◆",""),IF(AND(CG$11&gt;=$H63,CG$11&lt;=$I63),1,""))</f>
        <v/>
      </c>
      <c r="CH63" s="448" t="str">
        <f aca="false">IF($G63=0,IF(CH$11=$H63,"◆",""),IF(AND(CH$11&gt;=$H63,CH$11&lt;=$I63),1,""))</f>
        <v/>
      </c>
      <c r="CI63" s="448" t="str">
        <f aca="false">IF($G63=0,IF(CI$11=$H63,"◆",""),IF(AND(CI$11&gt;=$H63,CI$11&lt;=$I63),1,""))</f>
        <v/>
      </c>
      <c r="CJ63" s="448" t="str">
        <f aca="false">IF($G63=0,IF(CJ$11=$H63,"◆",""),IF(AND(CJ$11&gt;=$H63,CJ$11&lt;=$I63),1,""))</f>
        <v/>
      </c>
      <c r="CK63" s="448" t="str">
        <f aca="false">IF($G63=0,IF(CK$11=$H63,"◆",""),IF(AND(CK$11&gt;=$H63,CK$11&lt;=$I63),1,""))</f>
        <v/>
      </c>
      <c r="CL63" s="448" t="str">
        <f aca="false">IF($G63=0,IF(CL$11=$H63,"◆",""),IF(AND(CL$11&gt;=$H63,CL$11&lt;=$I63),1,""))</f>
        <v/>
      </c>
      <c r="CM63" s="448" t="str">
        <f aca="false">IF($G63=0,IF(CM$11=$H63,"◆",""),IF(AND(CM$11&gt;=$H63,CM$11&lt;=$I63),1,""))</f>
        <v/>
      </c>
      <c r="CN63" s="448" t="str">
        <f aca="false">IF($G63=0,IF(CN$11=$H63,"◆",""),IF(AND(CN$11&gt;=$H63,CN$11&lt;=$I63),1,""))</f>
        <v/>
      </c>
      <c r="CO63" s="448" t="str">
        <f aca="false">IF($G63=0,IF(CO$11=$H63,"◆",""),IF(AND(CO$11&gt;=$H63,CO$11&lt;=$I63),1,""))</f>
        <v/>
      </c>
      <c r="CP63" s="448" t="str">
        <f aca="false">IF($G63=0,IF(CP$11=$H63,"◆",""),IF(AND(CP$11&gt;=$H63,CP$11&lt;=$I63),1,""))</f>
        <v/>
      </c>
      <c r="CQ63" s="448" t="str">
        <f aca="false">IF($G63=0,IF(CQ$11=$H63,"◆",""),IF(AND(CQ$11&gt;=$H63,CQ$11&lt;=$I63),1,""))</f>
        <v/>
      </c>
      <c r="CR63" s="448" t="str">
        <f aca="false">IF($G63=0,IF(CR$11=$H63,"◆",""),IF(AND(CR$11&gt;=$H63,CR$11&lt;=$I63),1,""))</f>
        <v/>
      </c>
      <c r="CS63" s="448" t="str">
        <f aca="false">IF($G63=0,IF(CS$11=$H63,"◆",""),IF(AND(CS$11&gt;=$H63,CS$11&lt;=$I63),1,""))</f>
        <v/>
      </c>
      <c r="CT63" s="448" t="str">
        <f aca="false">IF($G63=0,IF(CT$11=$H63,"◆",""),IF(AND(CT$11&gt;=$H63,CT$11&lt;=$I63),1,""))</f>
        <v/>
      </c>
      <c r="CU63" s="448" t="str">
        <f aca="false">IF($G63=0,IF(CU$11=$H63,"◆",""),IF(AND(CU$11&gt;=$H63,CU$11&lt;=$I63),1,""))</f>
        <v/>
      </c>
      <c r="CV63" s="448" t="str">
        <f aca="false">IF($G63=0,IF(CV$11=$H63,"◆",""),IF(AND(CV$11&gt;=$H63,CV$11&lt;=$I63),1,""))</f>
        <v/>
      </c>
      <c r="CW63" s="448" t="str">
        <f aca="false">IF($G63=0,IF(CW$11=$H63,"◆",""),IF(AND(CW$11&gt;=$H63,CW$11&lt;=$I63),1,""))</f>
        <v/>
      </c>
      <c r="CX63" s="448" t="str">
        <f aca="false">IF($G63=0,IF(CX$11=$H63,"◆",""),IF(AND(CX$11&gt;=$H63,CX$11&lt;=$I63),1,""))</f>
        <v/>
      </c>
      <c r="CY63" s="448" t="str">
        <f aca="false">IF($G63=0,IF(CY$11=$H63,"◆",""),IF(AND(CY$11&gt;=$H63,CY$11&lt;=$I63),1,""))</f>
        <v/>
      </c>
      <c r="CZ63" s="448" t="str">
        <f aca="false">IF($G63=0,IF(CZ$11=$H63,"◆",""),IF(AND(CZ$11&gt;=$H63,CZ$11&lt;=$I63),1,""))</f>
        <v/>
      </c>
      <c r="DA63" s="448" t="str">
        <f aca="false">IF($G63=0,IF(DA$11=$H63,"◆",""),IF(AND(DA$11&gt;=$H63,DA$11&lt;=$I63),1,""))</f>
        <v/>
      </c>
      <c r="DB63" s="448" t="str">
        <f aca="false">IF($G63=0,IF(DB$11=$H63,"◆",""),IF(AND(DB$11&gt;=$H63,DB$11&lt;=$I63),1,""))</f>
        <v/>
      </c>
      <c r="DC63" s="448" t="str">
        <f aca="false">IF($G63=0,IF(DC$11=$H63,"◆",""),IF(AND(DC$11&gt;=$H63,DC$11&lt;=$I63),1,""))</f>
        <v/>
      </c>
      <c r="DD63" s="448" t="str">
        <f aca="false">IF($G63=0,IF(DD$11=$H63,"◆",""),IF(AND(DD$11&gt;=$H63,DD$11&lt;=$I63),1,""))</f>
        <v/>
      </c>
      <c r="DE63" s="448" t="str">
        <f aca="false">IF($G63=0,IF(DE$11=$H63,"◆",""),IF(AND(DE$11&gt;=$H63,DE$11&lt;=$I63),1,""))</f>
        <v/>
      </c>
      <c r="DF63" s="448" t="str">
        <f aca="false">IF($G63=0,IF(DF$11=$H63,"◆",""),IF(AND(DF$11&gt;=$H63,DF$11&lt;=$I63),1,""))</f>
        <v/>
      </c>
      <c r="DG63" s="448" t="str">
        <f aca="false">IF($G63=0,IF(DG$11=$H63,"◆",""),IF(AND(DG$11&gt;=$H63,DG$11&lt;=$I63),1,""))</f>
        <v/>
      </c>
      <c r="DH63" s="448" t="str">
        <f aca="false">IF($G63=0,IF(DH$11=$H63,"◆",""),IF(AND(DH$11&gt;=$H63,DH$11&lt;=$I63),1,""))</f>
        <v/>
      </c>
      <c r="DI63" s="448" t="str">
        <f aca="false">IF($G63=0,IF(DI$11=$H63,"◆",""),IF(AND(DI$11&gt;=$H63,DI$11&lt;=$I63),1,""))</f>
        <v/>
      </c>
      <c r="DJ63" s="448" t="str">
        <f aca="false">IF($G63=0,IF(DJ$11=$H63,"◆",""),IF(AND(DJ$11&gt;=$H63,DJ$11&lt;=$I63),1,""))</f>
        <v/>
      </c>
      <c r="DK63" s="448" t="str">
        <f aca="false">IF($G63=0,IF(DK$11=$H63,"◆",""),IF(AND(DK$11&gt;=$H63,DK$11&lt;=$I63),1,""))</f>
        <v/>
      </c>
      <c r="DL63" s="448" t="str">
        <f aca="false">IF($G63=0,IF(DL$11=$H63,"◆",""),IF(AND(DL$11&gt;=$H63,DL$11&lt;=$I63),1,""))</f>
        <v/>
      </c>
      <c r="DM63" s="448" t="str">
        <f aca="false">IF($G63=0,IF(DM$11=$H63,"◆",""),IF(AND(DM$11&gt;=$H63,DM$11&lt;=$I63),1,""))</f>
        <v/>
      </c>
      <c r="DN63" s="448" t="str">
        <f aca="false">IF($G63=0,IF(DN$11=$H63,"◆",""),IF(AND(DN$11&gt;=$H63,DN$11&lt;=$I63),1,""))</f>
        <v/>
      </c>
      <c r="DO63" s="448" t="str">
        <f aca="false">IF($G63=0,IF(DO$11=$H63,"◆",""),IF(AND(DO$11&gt;=$H63,DO$11&lt;=$I63),1,""))</f>
        <v/>
      </c>
      <c r="DP63" s="448" t="str">
        <f aca="false">IF($G63=0,IF(DP$11=$H63,"◆",""),IF(AND(DP$11&gt;=$H63,DP$11&lt;=$I63),1,""))</f>
        <v/>
      </c>
      <c r="DQ63" s="448" t="str">
        <f aca="false">IF($G63=0,IF(DQ$11=$H63,"◆",""),IF(AND(DQ$11&gt;=$H63,DQ$11&lt;=$I63),1,""))</f>
        <v/>
      </c>
      <c r="DR63" s="448" t="str">
        <f aca="false">IF($G63=0,IF(DR$11=$H63,"◆",""),IF(AND(DR$11&gt;=$H63,DR$11&lt;=$I63),1,""))</f>
        <v/>
      </c>
      <c r="DS63" s="448" t="str">
        <f aca="false">IF($G63=0,IF(DS$11=$H63,"◆",""),IF(AND(DS$11&gt;=$H63,DS$11&lt;=$I63),1,""))</f>
        <v/>
      </c>
      <c r="DT63" s="448" t="str">
        <f aca="false">IF($G63=0,IF(DT$11=$H63,"◆",""),IF(AND(DT$11&gt;=$H63,DT$11&lt;=$I63),1,""))</f>
        <v/>
      </c>
      <c r="DU63" s="448" t="str">
        <f aca="false">IF($G63=0,IF(DU$11=$H63,"◆",""),IF(AND(DU$11&gt;=$H63,DU$11&lt;=$I63),1,""))</f>
        <v/>
      </c>
      <c r="DV63" s="448" t="str">
        <f aca="false">IF($G63=0,IF(DV$11=$H63,"◆",""),IF(AND(DV$11&gt;=$H63,DV$11&lt;=$I63),1,""))</f>
        <v/>
      </c>
      <c r="DW63" s="448" t="str">
        <f aca="false">IF($G63=0,IF(DW$11=$H63,"◆",""),IF(AND(DW$11&gt;=$H63,DW$11&lt;=$I63),1,""))</f>
        <v/>
      </c>
      <c r="DX63" s="448" t="str">
        <f aca="false">IF($G63=0,IF(DX$11=$H63,"◆",""),IF(AND(DX$11&gt;=$H63,DX$11&lt;=$I63),1,""))</f>
        <v/>
      </c>
      <c r="DY63" s="448" t="str">
        <f aca="false">IF($G63=0,IF(DY$11=$H63,"◆",""),IF(AND(DY$11&gt;=$H63,DY$11&lt;=$I63),1,""))</f>
        <v/>
      </c>
      <c r="DZ63" s="448" t="str">
        <f aca="false">IF($G63=0,IF(DZ$11=$H63,"◆",""),IF(AND(DZ$11&gt;=$H63,DZ$11&lt;=$I63),1,""))</f>
        <v/>
      </c>
      <c r="EA63" s="448" t="str">
        <f aca="false">IF($G63=0,IF(EA$11=$H63,"◆",""),IF(AND(EA$11&gt;=$H63,EA$11&lt;=$I63),1,""))</f>
        <v/>
      </c>
      <c r="EB63" s="448" t="str">
        <f aca="false">IF($G63=0,IF(EB$11=$H63,"◆",""),IF(AND(EB$11&gt;=$H63,EB$11&lt;=$I63),1,""))</f>
        <v/>
      </c>
      <c r="EC63" s="448" t="str">
        <f aca="false">IF($G63=0,IF(EC$11=$H63,"◆",""),IF(AND(EC$11&gt;=$H63,EC$11&lt;=$I63),1,""))</f>
        <v/>
      </c>
      <c r="ED63" s="448" t="str">
        <f aca="false">IF($G63=0,IF(ED$11=$H63,"◆",""),IF(AND(ED$11&gt;=$H63,ED$11&lt;=$I63),1,""))</f>
        <v/>
      </c>
    </row>
    <row r="64" customFormat="false" ht="15" hidden="false" customHeight="true" outlineLevel="0" collapsed="false">
      <c r="A64" s="441" t="s">
        <v>2556</v>
      </c>
      <c r="B64" s="297" t="s">
        <v>2557</v>
      </c>
      <c r="C64" s="442" t="s">
        <v>2558</v>
      </c>
      <c r="D64" s="443" t="s">
        <v>2555</v>
      </c>
      <c r="E64" s="354" t="n">
        <f aca="false">FC_SUPUESTOS!$C$17</f>
        <v>1</v>
      </c>
      <c r="F64" s="352" t="n">
        <v>1</v>
      </c>
      <c r="G64" s="352" t="n">
        <v>16</v>
      </c>
      <c r="H64" s="367" t="n">
        <f aca="false">MAX(1,ROUND(($E64-1)*$D$5,0)+1+$F64)</f>
        <v>2</v>
      </c>
      <c r="I64" s="367" t="n">
        <f aca="false">MAX($H64,$H64+$G64-1)</f>
        <v>17</v>
      </c>
      <c r="J64" s="444" t="n">
        <f aca="false">$D$4+($H64-1)*7</f>
        <v>46307</v>
      </c>
      <c r="K64" s="444" t="n">
        <f aca="false">$D$4+$I64*7-1</f>
        <v>46418</v>
      </c>
      <c r="L64" s="445" t="n">
        <f aca="false">ROUNDUP($H64/$D$5,0)</f>
        <v>1</v>
      </c>
      <c r="M64" s="446" t="s">
        <v>2453</v>
      </c>
      <c r="N64" s="447" t="n">
        <v>0</v>
      </c>
      <c r="O64" s="448" t="str">
        <f aca="false">IF($G64=0,IF(O$11=$H64,"◆",""),IF(AND(O$11&gt;=$H64,O$11&lt;=$I64),1,""))</f>
        <v/>
      </c>
      <c r="P64" s="448" t="n">
        <f aca="false">IF($G64=0,IF(P$11=$H64,"◆",""),IF(AND(P$11&gt;=$H64,P$11&lt;=$I64),1,""))</f>
        <v>1</v>
      </c>
      <c r="Q64" s="448" t="n">
        <f aca="false">IF($G64=0,IF(Q$11=$H64,"◆",""),IF(AND(Q$11&gt;=$H64,Q$11&lt;=$I64),1,""))</f>
        <v>1</v>
      </c>
      <c r="R64" s="448" t="n">
        <f aca="false">IF($G64=0,IF(R$11=$H64,"◆",""),IF(AND(R$11&gt;=$H64,R$11&lt;=$I64),1,""))</f>
        <v>1</v>
      </c>
      <c r="S64" s="448" t="n">
        <f aca="false">IF($G64=0,IF(S$11=$H64,"◆",""),IF(AND(S$11&gt;=$H64,S$11&lt;=$I64),1,""))</f>
        <v>1</v>
      </c>
      <c r="T64" s="448" t="n">
        <f aca="false">IF($G64=0,IF(T$11=$H64,"◆",""),IF(AND(T$11&gt;=$H64,T$11&lt;=$I64),1,""))</f>
        <v>1</v>
      </c>
      <c r="U64" s="448" t="n">
        <f aca="false">IF($G64=0,IF(U$11=$H64,"◆",""),IF(AND(U$11&gt;=$H64,U$11&lt;=$I64),1,""))</f>
        <v>1</v>
      </c>
      <c r="V64" s="448" t="n">
        <f aca="false">IF($G64=0,IF(V$11=$H64,"◆",""),IF(AND(V$11&gt;=$H64,V$11&lt;=$I64),1,""))</f>
        <v>1</v>
      </c>
      <c r="W64" s="448" t="n">
        <f aca="false">IF($G64=0,IF(W$11=$H64,"◆",""),IF(AND(W$11&gt;=$H64,W$11&lt;=$I64),1,""))</f>
        <v>1</v>
      </c>
      <c r="X64" s="448" t="n">
        <f aca="false">IF($G64=0,IF(X$11=$H64,"◆",""),IF(AND(X$11&gt;=$H64,X$11&lt;=$I64),1,""))</f>
        <v>1</v>
      </c>
      <c r="Y64" s="448" t="n">
        <f aca="false">IF($G64=0,IF(Y$11=$H64,"◆",""),IF(AND(Y$11&gt;=$H64,Y$11&lt;=$I64),1,""))</f>
        <v>1</v>
      </c>
      <c r="Z64" s="448" t="n">
        <f aca="false">IF($G64=0,IF(Z$11=$H64,"◆",""),IF(AND(Z$11&gt;=$H64,Z$11&lt;=$I64),1,""))</f>
        <v>1</v>
      </c>
      <c r="AA64" s="448" t="n">
        <f aca="false">IF($G64=0,IF(AA$11=$H64,"◆",""),IF(AND(AA$11&gt;=$H64,AA$11&lt;=$I64),1,""))</f>
        <v>1</v>
      </c>
      <c r="AB64" s="448" t="n">
        <f aca="false">IF($G64=0,IF(AB$11=$H64,"◆",""),IF(AND(AB$11&gt;=$H64,AB$11&lt;=$I64),1,""))</f>
        <v>1</v>
      </c>
      <c r="AC64" s="448" t="n">
        <f aca="false">IF($G64=0,IF(AC$11=$H64,"◆",""),IF(AND(AC$11&gt;=$H64,AC$11&lt;=$I64),1,""))</f>
        <v>1</v>
      </c>
      <c r="AD64" s="448" t="n">
        <f aca="false">IF($G64=0,IF(AD$11=$H64,"◆",""),IF(AND(AD$11&gt;=$H64,AD$11&lt;=$I64),1,""))</f>
        <v>1</v>
      </c>
      <c r="AE64" s="448" t="n">
        <f aca="false">IF($G64=0,IF(AE$11=$H64,"◆",""),IF(AND(AE$11&gt;=$H64,AE$11&lt;=$I64),1,""))</f>
        <v>1</v>
      </c>
      <c r="AF64" s="448" t="str">
        <f aca="false">IF($G64=0,IF(AF$11=$H64,"◆",""),IF(AND(AF$11&gt;=$H64,AF$11&lt;=$I64),1,""))</f>
        <v/>
      </c>
      <c r="AG64" s="448" t="str">
        <f aca="false">IF($G64=0,IF(AG$11=$H64,"◆",""),IF(AND(AG$11&gt;=$H64,AG$11&lt;=$I64),1,""))</f>
        <v/>
      </c>
      <c r="AH64" s="448" t="str">
        <f aca="false">IF($G64=0,IF(AH$11=$H64,"◆",""),IF(AND(AH$11&gt;=$H64,AH$11&lt;=$I64),1,""))</f>
        <v/>
      </c>
      <c r="AI64" s="448" t="str">
        <f aca="false">IF($G64=0,IF(AI$11=$H64,"◆",""),IF(AND(AI$11&gt;=$H64,AI$11&lt;=$I64),1,""))</f>
        <v/>
      </c>
      <c r="AJ64" s="448" t="str">
        <f aca="false">IF($G64=0,IF(AJ$11=$H64,"◆",""),IF(AND(AJ$11&gt;=$H64,AJ$11&lt;=$I64),1,""))</f>
        <v/>
      </c>
      <c r="AK64" s="448" t="str">
        <f aca="false">IF($G64=0,IF(AK$11=$H64,"◆",""),IF(AND(AK$11&gt;=$H64,AK$11&lt;=$I64),1,""))</f>
        <v/>
      </c>
      <c r="AL64" s="448" t="str">
        <f aca="false">IF($G64=0,IF(AL$11=$H64,"◆",""),IF(AND(AL$11&gt;=$H64,AL$11&lt;=$I64),1,""))</f>
        <v/>
      </c>
      <c r="AM64" s="448" t="str">
        <f aca="false">IF($G64=0,IF(AM$11=$H64,"◆",""),IF(AND(AM$11&gt;=$H64,AM$11&lt;=$I64),1,""))</f>
        <v/>
      </c>
      <c r="AN64" s="448" t="str">
        <f aca="false">IF($G64=0,IF(AN$11=$H64,"◆",""),IF(AND(AN$11&gt;=$H64,AN$11&lt;=$I64),1,""))</f>
        <v/>
      </c>
      <c r="AO64" s="448" t="str">
        <f aca="false">IF($G64=0,IF(AO$11=$H64,"◆",""),IF(AND(AO$11&gt;=$H64,AO$11&lt;=$I64),1,""))</f>
        <v/>
      </c>
      <c r="AP64" s="448" t="str">
        <f aca="false">IF($G64=0,IF(AP$11=$H64,"◆",""),IF(AND(AP$11&gt;=$H64,AP$11&lt;=$I64),1,""))</f>
        <v/>
      </c>
      <c r="AQ64" s="448" t="str">
        <f aca="false">IF($G64=0,IF(AQ$11=$H64,"◆",""),IF(AND(AQ$11&gt;=$H64,AQ$11&lt;=$I64),1,""))</f>
        <v/>
      </c>
      <c r="AR64" s="448" t="str">
        <f aca="false">IF($G64=0,IF(AR$11=$H64,"◆",""),IF(AND(AR$11&gt;=$H64,AR$11&lt;=$I64),1,""))</f>
        <v/>
      </c>
      <c r="AS64" s="448" t="str">
        <f aca="false">IF($G64=0,IF(AS$11=$H64,"◆",""),IF(AND(AS$11&gt;=$H64,AS$11&lt;=$I64),1,""))</f>
        <v/>
      </c>
      <c r="AT64" s="448" t="str">
        <f aca="false">IF($G64=0,IF(AT$11=$H64,"◆",""),IF(AND(AT$11&gt;=$H64,AT$11&lt;=$I64),1,""))</f>
        <v/>
      </c>
      <c r="AU64" s="448" t="str">
        <f aca="false">IF($G64=0,IF(AU$11=$H64,"◆",""),IF(AND(AU$11&gt;=$H64,AU$11&lt;=$I64),1,""))</f>
        <v/>
      </c>
      <c r="AV64" s="448" t="str">
        <f aca="false">IF($G64=0,IF(AV$11=$H64,"◆",""),IF(AND(AV$11&gt;=$H64,AV$11&lt;=$I64),1,""))</f>
        <v/>
      </c>
      <c r="AW64" s="448" t="str">
        <f aca="false">IF($G64=0,IF(AW$11=$H64,"◆",""),IF(AND(AW$11&gt;=$H64,AW$11&lt;=$I64),1,""))</f>
        <v/>
      </c>
      <c r="AX64" s="448" t="str">
        <f aca="false">IF($G64=0,IF(AX$11=$H64,"◆",""),IF(AND(AX$11&gt;=$H64,AX$11&lt;=$I64),1,""))</f>
        <v/>
      </c>
      <c r="AY64" s="448" t="str">
        <f aca="false">IF($G64=0,IF(AY$11=$H64,"◆",""),IF(AND(AY$11&gt;=$H64,AY$11&lt;=$I64),1,""))</f>
        <v/>
      </c>
      <c r="AZ64" s="448" t="str">
        <f aca="false">IF($G64=0,IF(AZ$11=$H64,"◆",""),IF(AND(AZ$11&gt;=$H64,AZ$11&lt;=$I64),1,""))</f>
        <v/>
      </c>
      <c r="BA64" s="448" t="str">
        <f aca="false">IF($G64=0,IF(BA$11=$H64,"◆",""),IF(AND(BA$11&gt;=$H64,BA$11&lt;=$I64),1,""))</f>
        <v/>
      </c>
      <c r="BB64" s="448" t="str">
        <f aca="false">IF($G64=0,IF(BB$11=$H64,"◆",""),IF(AND(BB$11&gt;=$H64,BB$11&lt;=$I64),1,""))</f>
        <v/>
      </c>
      <c r="BC64" s="448" t="str">
        <f aca="false">IF($G64=0,IF(BC$11=$H64,"◆",""),IF(AND(BC$11&gt;=$H64,BC$11&lt;=$I64),1,""))</f>
        <v/>
      </c>
      <c r="BD64" s="448" t="str">
        <f aca="false">IF($G64=0,IF(BD$11=$H64,"◆",""),IF(AND(BD$11&gt;=$H64,BD$11&lt;=$I64),1,""))</f>
        <v/>
      </c>
      <c r="BE64" s="448" t="str">
        <f aca="false">IF($G64=0,IF(BE$11=$H64,"◆",""),IF(AND(BE$11&gt;=$H64,BE$11&lt;=$I64),1,""))</f>
        <v/>
      </c>
      <c r="BF64" s="448" t="str">
        <f aca="false">IF($G64=0,IF(BF$11=$H64,"◆",""),IF(AND(BF$11&gt;=$H64,BF$11&lt;=$I64),1,""))</f>
        <v/>
      </c>
      <c r="BG64" s="448" t="str">
        <f aca="false">IF($G64=0,IF(BG$11=$H64,"◆",""),IF(AND(BG$11&gt;=$H64,BG$11&lt;=$I64),1,""))</f>
        <v/>
      </c>
      <c r="BH64" s="448" t="str">
        <f aca="false">IF($G64=0,IF(BH$11=$H64,"◆",""),IF(AND(BH$11&gt;=$H64,BH$11&lt;=$I64),1,""))</f>
        <v/>
      </c>
      <c r="BI64" s="448" t="str">
        <f aca="false">IF($G64=0,IF(BI$11=$H64,"◆",""),IF(AND(BI$11&gt;=$H64,BI$11&lt;=$I64),1,""))</f>
        <v/>
      </c>
      <c r="BJ64" s="448" t="str">
        <f aca="false">IF($G64=0,IF(BJ$11=$H64,"◆",""),IF(AND(BJ$11&gt;=$H64,BJ$11&lt;=$I64),1,""))</f>
        <v/>
      </c>
      <c r="BK64" s="448" t="str">
        <f aca="false">IF($G64=0,IF(BK$11=$H64,"◆",""),IF(AND(BK$11&gt;=$H64,BK$11&lt;=$I64),1,""))</f>
        <v/>
      </c>
      <c r="BL64" s="448" t="str">
        <f aca="false">IF($G64=0,IF(BL$11=$H64,"◆",""),IF(AND(BL$11&gt;=$H64,BL$11&lt;=$I64),1,""))</f>
        <v/>
      </c>
      <c r="BM64" s="448" t="str">
        <f aca="false">IF($G64=0,IF(BM$11=$H64,"◆",""),IF(AND(BM$11&gt;=$H64,BM$11&lt;=$I64),1,""))</f>
        <v/>
      </c>
      <c r="BN64" s="448" t="str">
        <f aca="false">IF($G64=0,IF(BN$11=$H64,"◆",""),IF(AND(BN$11&gt;=$H64,BN$11&lt;=$I64),1,""))</f>
        <v/>
      </c>
      <c r="BO64" s="448" t="str">
        <f aca="false">IF($G64=0,IF(BO$11=$H64,"◆",""),IF(AND(BO$11&gt;=$H64,BO$11&lt;=$I64),1,""))</f>
        <v/>
      </c>
      <c r="BP64" s="448" t="str">
        <f aca="false">IF($G64=0,IF(BP$11=$H64,"◆",""),IF(AND(BP$11&gt;=$H64,BP$11&lt;=$I64),1,""))</f>
        <v/>
      </c>
      <c r="BQ64" s="448" t="str">
        <f aca="false">IF($G64=0,IF(BQ$11=$H64,"◆",""),IF(AND(BQ$11&gt;=$H64,BQ$11&lt;=$I64),1,""))</f>
        <v/>
      </c>
      <c r="BR64" s="448" t="str">
        <f aca="false">IF($G64=0,IF(BR$11=$H64,"◆",""),IF(AND(BR$11&gt;=$H64,BR$11&lt;=$I64),1,""))</f>
        <v/>
      </c>
      <c r="BS64" s="448" t="str">
        <f aca="false">IF($G64=0,IF(BS$11=$H64,"◆",""),IF(AND(BS$11&gt;=$H64,BS$11&lt;=$I64),1,""))</f>
        <v/>
      </c>
      <c r="BT64" s="448" t="str">
        <f aca="false">IF($G64=0,IF(BT$11=$H64,"◆",""),IF(AND(BT$11&gt;=$H64,BT$11&lt;=$I64),1,""))</f>
        <v/>
      </c>
      <c r="BU64" s="448" t="str">
        <f aca="false">IF($G64=0,IF(BU$11=$H64,"◆",""),IF(AND(BU$11&gt;=$H64,BU$11&lt;=$I64),1,""))</f>
        <v/>
      </c>
      <c r="BV64" s="448" t="str">
        <f aca="false">IF($G64=0,IF(BV$11=$H64,"◆",""),IF(AND(BV$11&gt;=$H64,BV$11&lt;=$I64),1,""))</f>
        <v/>
      </c>
      <c r="BW64" s="448" t="str">
        <f aca="false">IF($G64=0,IF(BW$11=$H64,"◆",""),IF(AND(BW$11&gt;=$H64,BW$11&lt;=$I64),1,""))</f>
        <v/>
      </c>
      <c r="BX64" s="448" t="str">
        <f aca="false">IF($G64=0,IF(BX$11=$H64,"◆",""),IF(AND(BX$11&gt;=$H64,BX$11&lt;=$I64),1,""))</f>
        <v/>
      </c>
      <c r="BY64" s="448" t="str">
        <f aca="false">IF($G64=0,IF(BY$11=$H64,"◆",""),IF(AND(BY$11&gt;=$H64,BY$11&lt;=$I64),1,""))</f>
        <v/>
      </c>
      <c r="BZ64" s="448" t="str">
        <f aca="false">IF($G64=0,IF(BZ$11=$H64,"◆",""),IF(AND(BZ$11&gt;=$H64,BZ$11&lt;=$I64),1,""))</f>
        <v/>
      </c>
      <c r="CA64" s="448" t="str">
        <f aca="false">IF($G64=0,IF(CA$11=$H64,"◆",""),IF(AND(CA$11&gt;=$H64,CA$11&lt;=$I64),1,""))</f>
        <v/>
      </c>
      <c r="CB64" s="448" t="str">
        <f aca="false">IF($G64=0,IF(CB$11=$H64,"◆",""),IF(AND(CB$11&gt;=$H64,CB$11&lt;=$I64),1,""))</f>
        <v/>
      </c>
      <c r="CC64" s="448" t="str">
        <f aca="false">IF($G64=0,IF(CC$11=$H64,"◆",""),IF(AND(CC$11&gt;=$H64,CC$11&lt;=$I64),1,""))</f>
        <v/>
      </c>
      <c r="CD64" s="448" t="str">
        <f aca="false">IF($G64=0,IF(CD$11=$H64,"◆",""),IF(AND(CD$11&gt;=$H64,CD$11&lt;=$I64),1,""))</f>
        <v/>
      </c>
      <c r="CE64" s="448" t="str">
        <f aca="false">IF($G64=0,IF(CE$11=$H64,"◆",""),IF(AND(CE$11&gt;=$H64,CE$11&lt;=$I64),1,""))</f>
        <v/>
      </c>
      <c r="CF64" s="448" t="str">
        <f aca="false">IF($G64=0,IF(CF$11=$H64,"◆",""),IF(AND(CF$11&gt;=$H64,CF$11&lt;=$I64),1,""))</f>
        <v/>
      </c>
      <c r="CG64" s="448" t="str">
        <f aca="false">IF($G64=0,IF(CG$11=$H64,"◆",""),IF(AND(CG$11&gt;=$H64,CG$11&lt;=$I64),1,""))</f>
        <v/>
      </c>
      <c r="CH64" s="448" t="str">
        <f aca="false">IF($G64=0,IF(CH$11=$H64,"◆",""),IF(AND(CH$11&gt;=$H64,CH$11&lt;=$I64),1,""))</f>
        <v/>
      </c>
      <c r="CI64" s="448" t="str">
        <f aca="false">IF($G64=0,IF(CI$11=$H64,"◆",""),IF(AND(CI$11&gt;=$H64,CI$11&lt;=$I64),1,""))</f>
        <v/>
      </c>
      <c r="CJ64" s="448" t="str">
        <f aca="false">IF($G64=0,IF(CJ$11=$H64,"◆",""),IF(AND(CJ$11&gt;=$H64,CJ$11&lt;=$I64),1,""))</f>
        <v/>
      </c>
      <c r="CK64" s="448" t="str">
        <f aca="false">IF($G64=0,IF(CK$11=$H64,"◆",""),IF(AND(CK$11&gt;=$H64,CK$11&lt;=$I64),1,""))</f>
        <v/>
      </c>
      <c r="CL64" s="448" t="str">
        <f aca="false">IF($G64=0,IF(CL$11=$H64,"◆",""),IF(AND(CL$11&gt;=$H64,CL$11&lt;=$I64),1,""))</f>
        <v/>
      </c>
      <c r="CM64" s="448" t="str">
        <f aca="false">IF($G64=0,IF(CM$11=$H64,"◆",""),IF(AND(CM$11&gt;=$H64,CM$11&lt;=$I64),1,""))</f>
        <v/>
      </c>
      <c r="CN64" s="448" t="str">
        <f aca="false">IF($G64=0,IF(CN$11=$H64,"◆",""),IF(AND(CN$11&gt;=$H64,CN$11&lt;=$I64),1,""))</f>
        <v/>
      </c>
      <c r="CO64" s="448" t="str">
        <f aca="false">IF($G64=0,IF(CO$11=$H64,"◆",""),IF(AND(CO$11&gt;=$H64,CO$11&lt;=$I64),1,""))</f>
        <v/>
      </c>
      <c r="CP64" s="448" t="str">
        <f aca="false">IF($G64=0,IF(CP$11=$H64,"◆",""),IF(AND(CP$11&gt;=$H64,CP$11&lt;=$I64),1,""))</f>
        <v/>
      </c>
      <c r="CQ64" s="448" t="str">
        <f aca="false">IF($G64=0,IF(CQ$11=$H64,"◆",""),IF(AND(CQ$11&gt;=$H64,CQ$11&lt;=$I64),1,""))</f>
        <v/>
      </c>
      <c r="CR64" s="448" t="str">
        <f aca="false">IF($G64=0,IF(CR$11=$H64,"◆",""),IF(AND(CR$11&gt;=$H64,CR$11&lt;=$I64),1,""))</f>
        <v/>
      </c>
      <c r="CS64" s="448" t="str">
        <f aca="false">IF($G64=0,IF(CS$11=$H64,"◆",""),IF(AND(CS$11&gt;=$H64,CS$11&lt;=$I64),1,""))</f>
        <v/>
      </c>
      <c r="CT64" s="448" t="str">
        <f aca="false">IF($G64=0,IF(CT$11=$H64,"◆",""),IF(AND(CT$11&gt;=$H64,CT$11&lt;=$I64),1,""))</f>
        <v/>
      </c>
      <c r="CU64" s="448" t="str">
        <f aca="false">IF($G64=0,IF(CU$11=$H64,"◆",""),IF(AND(CU$11&gt;=$H64,CU$11&lt;=$I64),1,""))</f>
        <v/>
      </c>
      <c r="CV64" s="448" t="str">
        <f aca="false">IF($G64=0,IF(CV$11=$H64,"◆",""),IF(AND(CV$11&gt;=$H64,CV$11&lt;=$I64),1,""))</f>
        <v/>
      </c>
      <c r="CW64" s="448" t="str">
        <f aca="false">IF($G64=0,IF(CW$11=$H64,"◆",""),IF(AND(CW$11&gt;=$H64,CW$11&lt;=$I64),1,""))</f>
        <v/>
      </c>
      <c r="CX64" s="448" t="str">
        <f aca="false">IF($G64=0,IF(CX$11=$H64,"◆",""),IF(AND(CX$11&gt;=$H64,CX$11&lt;=$I64),1,""))</f>
        <v/>
      </c>
      <c r="CY64" s="448" t="str">
        <f aca="false">IF($G64=0,IF(CY$11=$H64,"◆",""),IF(AND(CY$11&gt;=$H64,CY$11&lt;=$I64),1,""))</f>
        <v/>
      </c>
      <c r="CZ64" s="448" t="str">
        <f aca="false">IF($G64=0,IF(CZ$11=$H64,"◆",""),IF(AND(CZ$11&gt;=$H64,CZ$11&lt;=$I64),1,""))</f>
        <v/>
      </c>
      <c r="DA64" s="448" t="str">
        <f aca="false">IF($G64=0,IF(DA$11=$H64,"◆",""),IF(AND(DA$11&gt;=$H64,DA$11&lt;=$I64),1,""))</f>
        <v/>
      </c>
      <c r="DB64" s="448" t="str">
        <f aca="false">IF($G64=0,IF(DB$11=$H64,"◆",""),IF(AND(DB$11&gt;=$H64,DB$11&lt;=$I64),1,""))</f>
        <v/>
      </c>
      <c r="DC64" s="448" t="str">
        <f aca="false">IF($G64=0,IF(DC$11=$H64,"◆",""),IF(AND(DC$11&gt;=$H64,DC$11&lt;=$I64),1,""))</f>
        <v/>
      </c>
      <c r="DD64" s="448" t="str">
        <f aca="false">IF($G64=0,IF(DD$11=$H64,"◆",""),IF(AND(DD$11&gt;=$H64,DD$11&lt;=$I64),1,""))</f>
        <v/>
      </c>
      <c r="DE64" s="448" t="str">
        <f aca="false">IF($G64=0,IF(DE$11=$H64,"◆",""),IF(AND(DE$11&gt;=$H64,DE$11&lt;=$I64),1,""))</f>
        <v/>
      </c>
      <c r="DF64" s="448" t="str">
        <f aca="false">IF($G64=0,IF(DF$11=$H64,"◆",""),IF(AND(DF$11&gt;=$H64,DF$11&lt;=$I64),1,""))</f>
        <v/>
      </c>
      <c r="DG64" s="448" t="str">
        <f aca="false">IF($G64=0,IF(DG$11=$H64,"◆",""),IF(AND(DG$11&gt;=$H64,DG$11&lt;=$I64),1,""))</f>
        <v/>
      </c>
      <c r="DH64" s="448" t="str">
        <f aca="false">IF($G64=0,IF(DH$11=$H64,"◆",""),IF(AND(DH$11&gt;=$H64,DH$11&lt;=$I64),1,""))</f>
        <v/>
      </c>
      <c r="DI64" s="448" t="str">
        <f aca="false">IF($G64=0,IF(DI$11=$H64,"◆",""),IF(AND(DI$11&gt;=$H64,DI$11&lt;=$I64),1,""))</f>
        <v/>
      </c>
      <c r="DJ64" s="448" t="str">
        <f aca="false">IF($G64=0,IF(DJ$11=$H64,"◆",""),IF(AND(DJ$11&gt;=$H64,DJ$11&lt;=$I64),1,""))</f>
        <v/>
      </c>
      <c r="DK64" s="448" t="str">
        <f aca="false">IF($G64=0,IF(DK$11=$H64,"◆",""),IF(AND(DK$11&gt;=$H64,DK$11&lt;=$I64),1,""))</f>
        <v/>
      </c>
      <c r="DL64" s="448" t="str">
        <f aca="false">IF($G64=0,IF(DL$11=$H64,"◆",""),IF(AND(DL$11&gt;=$H64,DL$11&lt;=$I64),1,""))</f>
        <v/>
      </c>
      <c r="DM64" s="448" t="str">
        <f aca="false">IF($G64=0,IF(DM$11=$H64,"◆",""),IF(AND(DM$11&gt;=$H64,DM$11&lt;=$I64),1,""))</f>
        <v/>
      </c>
      <c r="DN64" s="448" t="str">
        <f aca="false">IF($G64=0,IF(DN$11=$H64,"◆",""),IF(AND(DN$11&gt;=$H64,DN$11&lt;=$I64),1,""))</f>
        <v/>
      </c>
      <c r="DO64" s="448" t="str">
        <f aca="false">IF($G64=0,IF(DO$11=$H64,"◆",""),IF(AND(DO$11&gt;=$H64,DO$11&lt;=$I64),1,""))</f>
        <v/>
      </c>
      <c r="DP64" s="448" t="str">
        <f aca="false">IF($G64=0,IF(DP$11=$H64,"◆",""),IF(AND(DP$11&gt;=$H64,DP$11&lt;=$I64),1,""))</f>
        <v/>
      </c>
      <c r="DQ64" s="448" t="str">
        <f aca="false">IF($G64=0,IF(DQ$11=$H64,"◆",""),IF(AND(DQ$11&gt;=$H64,DQ$11&lt;=$I64),1,""))</f>
        <v/>
      </c>
      <c r="DR64" s="448" t="str">
        <f aca="false">IF($G64=0,IF(DR$11=$H64,"◆",""),IF(AND(DR$11&gt;=$H64,DR$11&lt;=$I64),1,""))</f>
        <v/>
      </c>
      <c r="DS64" s="448" t="str">
        <f aca="false">IF($G64=0,IF(DS$11=$H64,"◆",""),IF(AND(DS$11&gt;=$H64,DS$11&lt;=$I64),1,""))</f>
        <v/>
      </c>
      <c r="DT64" s="448" t="str">
        <f aca="false">IF($G64=0,IF(DT$11=$H64,"◆",""),IF(AND(DT$11&gt;=$H64,DT$11&lt;=$I64),1,""))</f>
        <v/>
      </c>
      <c r="DU64" s="448" t="str">
        <f aca="false">IF($G64=0,IF(DU$11=$H64,"◆",""),IF(AND(DU$11&gt;=$H64,DU$11&lt;=$I64),1,""))</f>
        <v/>
      </c>
      <c r="DV64" s="448" t="str">
        <f aca="false">IF($G64=0,IF(DV$11=$H64,"◆",""),IF(AND(DV$11&gt;=$H64,DV$11&lt;=$I64),1,""))</f>
        <v/>
      </c>
      <c r="DW64" s="448" t="str">
        <f aca="false">IF($G64=0,IF(DW$11=$H64,"◆",""),IF(AND(DW$11&gt;=$H64,DW$11&lt;=$I64),1,""))</f>
        <v/>
      </c>
      <c r="DX64" s="448" t="str">
        <f aca="false">IF($G64=0,IF(DX$11=$H64,"◆",""),IF(AND(DX$11&gt;=$H64,DX$11&lt;=$I64),1,""))</f>
        <v/>
      </c>
      <c r="DY64" s="448" t="str">
        <f aca="false">IF($G64=0,IF(DY$11=$H64,"◆",""),IF(AND(DY$11&gt;=$H64,DY$11&lt;=$I64),1,""))</f>
        <v/>
      </c>
      <c r="DZ64" s="448" t="str">
        <f aca="false">IF($G64=0,IF(DZ$11=$H64,"◆",""),IF(AND(DZ$11&gt;=$H64,DZ$11&lt;=$I64),1,""))</f>
        <v/>
      </c>
      <c r="EA64" s="448" t="str">
        <f aca="false">IF($G64=0,IF(EA$11=$H64,"◆",""),IF(AND(EA$11&gt;=$H64,EA$11&lt;=$I64),1,""))</f>
        <v/>
      </c>
      <c r="EB64" s="448" t="str">
        <f aca="false">IF($G64=0,IF(EB$11=$H64,"◆",""),IF(AND(EB$11&gt;=$H64,EB$11&lt;=$I64),1,""))</f>
        <v/>
      </c>
      <c r="EC64" s="448" t="str">
        <f aca="false">IF($G64=0,IF(EC$11=$H64,"◆",""),IF(AND(EC$11&gt;=$H64,EC$11&lt;=$I64),1,""))</f>
        <v/>
      </c>
      <c r="ED64" s="448" t="str">
        <f aca="false">IF($G64=0,IF(ED$11=$H64,"◆",""),IF(AND(ED$11&gt;=$H64,ED$11&lt;=$I64),1,""))</f>
        <v/>
      </c>
    </row>
    <row r="65" customFormat="false" ht="15" hidden="false" customHeight="true" outlineLevel="0" collapsed="false">
      <c r="A65" s="441" t="s">
        <v>2559</v>
      </c>
      <c r="B65" s="297" t="s">
        <v>2560</v>
      </c>
      <c r="C65" s="442" t="s">
        <v>2561</v>
      </c>
      <c r="D65" s="443" t="s">
        <v>2562</v>
      </c>
      <c r="E65" s="354" t="n">
        <f aca="false">FC_SUPUESTOS!$C$17+FC_SUPUESTOS!$C$18</f>
        <v>5</v>
      </c>
      <c r="F65" s="352" t="n">
        <v>0</v>
      </c>
      <c r="G65" s="352" t="n">
        <v>9</v>
      </c>
      <c r="H65" s="367" t="n">
        <f aca="false">MAX(1,ROUND(($E65-1)*$D$5,0)+1+$F65)</f>
        <v>18</v>
      </c>
      <c r="I65" s="367" t="n">
        <f aca="false">MAX($H65,$H65+$G65-1)</f>
        <v>26</v>
      </c>
      <c r="J65" s="444" t="n">
        <f aca="false">$D$4+($H65-1)*7</f>
        <v>46419</v>
      </c>
      <c r="K65" s="444" t="n">
        <f aca="false">$D$4+$I65*7-1</f>
        <v>46481</v>
      </c>
      <c r="L65" s="445" t="n">
        <f aca="false">ROUNDUP($H65/$D$5,0)</f>
        <v>5</v>
      </c>
      <c r="M65" s="446" t="s">
        <v>2453</v>
      </c>
      <c r="N65" s="447" t="n">
        <v>0</v>
      </c>
      <c r="O65" s="448" t="str">
        <f aca="false">IF($G65=0,IF(O$11=$H65,"◆",""),IF(AND(O$11&gt;=$H65,O$11&lt;=$I65),1,""))</f>
        <v/>
      </c>
      <c r="P65" s="448" t="str">
        <f aca="false">IF($G65=0,IF(P$11=$H65,"◆",""),IF(AND(P$11&gt;=$H65,P$11&lt;=$I65),1,""))</f>
        <v/>
      </c>
      <c r="Q65" s="448" t="str">
        <f aca="false">IF($G65=0,IF(Q$11=$H65,"◆",""),IF(AND(Q$11&gt;=$H65,Q$11&lt;=$I65),1,""))</f>
        <v/>
      </c>
      <c r="R65" s="448" t="str">
        <f aca="false">IF($G65=0,IF(R$11=$H65,"◆",""),IF(AND(R$11&gt;=$H65,R$11&lt;=$I65),1,""))</f>
        <v/>
      </c>
      <c r="S65" s="448" t="str">
        <f aca="false">IF($G65=0,IF(S$11=$H65,"◆",""),IF(AND(S$11&gt;=$H65,S$11&lt;=$I65),1,""))</f>
        <v/>
      </c>
      <c r="T65" s="448" t="str">
        <f aca="false">IF($G65=0,IF(T$11=$H65,"◆",""),IF(AND(T$11&gt;=$H65,T$11&lt;=$I65),1,""))</f>
        <v/>
      </c>
      <c r="U65" s="448" t="str">
        <f aca="false">IF($G65=0,IF(U$11=$H65,"◆",""),IF(AND(U$11&gt;=$H65,U$11&lt;=$I65),1,""))</f>
        <v/>
      </c>
      <c r="V65" s="448" t="str">
        <f aca="false">IF($G65=0,IF(V$11=$H65,"◆",""),IF(AND(V$11&gt;=$H65,V$11&lt;=$I65),1,""))</f>
        <v/>
      </c>
      <c r="W65" s="448" t="str">
        <f aca="false">IF($G65=0,IF(W$11=$H65,"◆",""),IF(AND(W$11&gt;=$H65,W$11&lt;=$I65),1,""))</f>
        <v/>
      </c>
      <c r="X65" s="448" t="str">
        <f aca="false">IF($G65=0,IF(X$11=$H65,"◆",""),IF(AND(X$11&gt;=$H65,X$11&lt;=$I65),1,""))</f>
        <v/>
      </c>
      <c r="Y65" s="448" t="str">
        <f aca="false">IF($G65=0,IF(Y$11=$H65,"◆",""),IF(AND(Y$11&gt;=$H65,Y$11&lt;=$I65),1,""))</f>
        <v/>
      </c>
      <c r="Z65" s="448" t="str">
        <f aca="false">IF($G65=0,IF(Z$11=$H65,"◆",""),IF(AND(Z$11&gt;=$H65,Z$11&lt;=$I65),1,""))</f>
        <v/>
      </c>
      <c r="AA65" s="448" t="str">
        <f aca="false">IF($G65=0,IF(AA$11=$H65,"◆",""),IF(AND(AA$11&gt;=$H65,AA$11&lt;=$I65),1,""))</f>
        <v/>
      </c>
      <c r="AB65" s="448" t="str">
        <f aca="false">IF($G65=0,IF(AB$11=$H65,"◆",""),IF(AND(AB$11&gt;=$H65,AB$11&lt;=$I65),1,""))</f>
        <v/>
      </c>
      <c r="AC65" s="448" t="str">
        <f aca="false">IF($G65=0,IF(AC$11=$H65,"◆",""),IF(AND(AC$11&gt;=$H65,AC$11&lt;=$I65),1,""))</f>
        <v/>
      </c>
      <c r="AD65" s="448" t="str">
        <f aca="false">IF($G65=0,IF(AD$11=$H65,"◆",""),IF(AND(AD$11&gt;=$H65,AD$11&lt;=$I65),1,""))</f>
        <v/>
      </c>
      <c r="AE65" s="448" t="str">
        <f aca="false">IF($G65=0,IF(AE$11=$H65,"◆",""),IF(AND(AE$11&gt;=$H65,AE$11&lt;=$I65),1,""))</f>
        <v/>
      </c>
      <c r="AF65" s="448" t="n">
        <f aca="false">IF($G65=0,IF(AF$11=$H65,"◆",""),IF(AND(AF$11&gt;=$H65,AF$11&lt;=$I65),1,""))</f>
        <v>1</v>
      </c>
      <c r="AG65" s="448" t="n">
        <f aca="false">IF($G65=0,IF(AG$11=$H65,"◆",""),IF(AND(AG$11&gt;=$H65,AG$11&lt;=$I65),1,""))</f>
        <v>1</v>
      </c>
      <c r="AH65" s="448" t="n">
        <f aca="false">IF($G65=0,IF(AH$11=$H65,"◆",""),IF(AND(AH$11&gt;=$H65,AH$11&lt;=$I65),1,""))</f>
        <v>1</v>
      </c>
      <c r="AI65" s="448" t="n">
        <f aca="false">IF($G65=0,IF(AI$11=$H65,"◆",""),IF(AND(AI$11&gt;=$H65,AI$11&lt;=$I65),1,""))</f>
        <v>1</v>
      </c>
      <c r="AJ65" s="448" t="n">
        <f aca="false">IF($G65=0,IF(AJ$11=$H65,"◆",""),IF(AND(AJ$11&gt;=$H65,AJ$11&lt;=$I65),1,""))</f>
        <v>1</v>
      </c>
      <c r="AK65" s="448" t="n">
        <f aca="false">IF($G65=0,IF(AK$11=$H65,"◆",""),IF(AND(AK$11&gt;=$H65,AK$11&lt;=$I65),1,""))</f>
        <v>1</v>
      </c>
      <c r="AL65" s="448" t="n">
        <f aca="false">IF($G65=0,IF(AL$11=$H65,"◆",""),IF(AND(AL$11&gt;=$H65,AL$11&lt;=$I65),1,""))</f>
        <v>1</v>
      </c>
      <c r="AM65" s="448" t="n">
        <f aca="false">IF($G65=0,IF(AM$11=$H65,"◆",""),IF(AND(AM$11&gt;=$H65,AM$11&lt;=$I65),1,""))</f>
        <v>1</v>
      </c>
      <c r="AN65" s="448" t="n">
        <f aca="false">IF($G65=0,IF(AN$11=$H65,"◆",""),IF(AND(AN$11&gt;=$H65,AN$11&lt;=$I65),1,""))</f>
        <v>1</v>
      </c>
      <c r="AO65" s="448" t="str">
        <f aca="false">IF($G65=0,IF(AO$11=$H65,"◆",""),IF(AND(AO$11&gt;=$H65,AO$11&lt;=$I65),1,""))</f>
        <v/>
      </c>
      <c r="AP65" s="448" t="str">
        <f aca="false">IF($G65=0,IF(AP$11=$H65,"◆",""),IF(AND(AP$11&gt;=$H65,AP$11&lt;=$I65),1,""))</f>
        <v/>
      </c>
      <c r="AQ65" s="448" t="str">
        <f aca="false">IF($G65=0,IF(AQ$11=$H65,"◆",""),IF(AND(AQ$11&gt;=$H65,AQ$11&lt;=$I65),1,""))</f>
        <v/>
      </c>
      <c r="AR65" s="448" t="str">
        <f aca="false">IF($G65=0,IF(AR$11=$H65,"◆",""),IF(AND(AR$11&gt;=$H65,AR$11&lt;=$I65),1,""))</f>
        <v/>
      </c>
      <c r="AS65" s="448" t="str">
        <f aca="false">IF($G65=0,IF(AS$11=$H65,"◆",""),IF(AND(AS$11&gt;=$H65,AS$11&lt;=$I65),1,""))</f>
        <v/>
      </c>
      <c r="AT65" s="448" t="str">
        <f aca="false">IF($G65=0,IF(AT$11=$H65,"◆",""),IF(AND(AT$11&gt;=$H65,AT$11&lt;=$I65),1,""))</f>
        <v/>
      </c>
      <c r="AU65" s="448" t="str">
        <f aca="false">IF($G65=0,IF(AU$11=$H65,"◆",""),IF(AND(AU$11&gt;=$H65,AU$11&lt;=$I65),1,""))</f>
        <v/>
      </c>
      <c r="AV65" s="448" t="str">
        <f aca="false">IF($G65=0,IF(AV$11=$H65,"◆",""),IF(AND(AV$11&gt;=$H65,AV$11&lt;=$I65),1,""))</f>
        <v/>
      </c>
      <c r="AW65" s="448" t="str">
        <f aca="false">IF($G65=0,IF(AW$11=$H65,"◆",""),IF(AND(AW$11&gt;=$H65,AW$11&lt;=$I65),1,""))</f>
        <v/>
      </c>
      <c r="AX65" s="448" t="str">
        <f aca="false">IF($G65=0,IF(AX$11=$H65,"◆",""),IF(AND(AX$11&gt;=$H65,AX$11&lt;=$I65),1,""))</f>
        <v/>
      </c>
      <c r="AY65" s="448" t="str">
        <f aca="false">IF($G65=0,IF(AY$11=$H65,"◆",""),IF(AND(AY$11&gt;=$H65,AY$11&lt;=$I65),1,""))</f>
        <v/>
      </c>
      <c r="AZ65" s="448" t="str">
        <f aca="false">IF($G65=0,IF(AZ$11=$H65,"◆",""),IF(AND(AZ$11&gt;=$H65,AZ$11&lt;=$I65),1,""))</f>
        <v/>
      </c>
      <c r="BA65" s="448" t="str">
        <f aca="false">IF($G65=0,IF(BA$11=$H65,"◆",""),IF(AND(BA$11&gt;=$H65,BA$11&lt;=$I65),1,""))</f>
        <v/>
      </c>
      <c r="BB65" s="448" t="str">
        <f aca="false">IF($G65=0,IF(BB$11=$H65,"◆",""),IF(AND(BB$11&gt;=$H65,BB$11&lt;=$I65),1,""))</f>
        <v/>
      </c>
      <c r="BC65" s="448" t="str">
        <f aca="false">IF($G65=0,IF(BC$11=$H65,"◆",""),IF(AND(BC$11&gt;=$H65,BC$11&lt;=$I65),1,""))</f>
        <v/>
      </c>
      <c r="BD65" s="448" t="str">
        <f aca="false">IF($G65=0,IF(BD$11=$H65,"◆",""),IF(AND(BD$11&gt;=$H65,BD$11&lt;=$I65),1,""))</f>
        <v/>
      </c>
      <c r="BE65" s="448" t="str">
        <f aca="false">IF($G65=0,IF(BE$11=$H65,"◆",""),IF(AND(BE$11&gt;=$H65,BE$11&lt;=$I65),1,""))</f>
        <v/>
      </c>
      <c r="BF65" s="448" t="str">
        <f aca="false">IF($G65=0,IF(BF$11=$H65,"◆",""),IF(AND(BF$11&gt;=$H65,BF$11&lt;=$I65),1,""))</f>
        <v/>
      </c>
      <c r="BG65" s="448" t="str">
        <f aca="false">IF($G65=0,IF(BG$11=$H65,"◆",""),IF(AND(BG$11&gt;=$H65,BG$11&lt;=$I65),1,""))</f>
        <v/>
      </c>
      <c r="BH65" s="448" t="str">
        <f aca="false">IF($G65=0,IF(BH$11=$H65,"◆",""),IF(AND(BH$11&gt;=$H65,BH$11&lt;=$I65),1,""))</f>
        <v/>
      </c>
      <c r="BI65" s="448" t="str">
        <f aca="false">IF($G65=0,IF(BI$11=$H65,"◆",""),IF(AND(BI$11&gt;=$H65,BI$11&lt;=$I65),1,""))</f>
        <v/>
      </c>
      <c r="BJ65" s="448" t="str">
        <f aca="false">IF($G65=0,IF(BJ$11=$H65,"◆",""),IF(AND(BJ$11&gt;=$H65,BJ$11&lt;=$I65),1,""))</f>
        <v/>
      </c>
      <c r="BK65" s="448" t="str">
        <f aca="false">IF($G65=0,IF(BK$11=$H65,"◆",""),IF(AND(BK$11&gt;=$H65,BK$11&lt;=$I65),1,""))</f>
        <v/>
      </c>
      <c r="BL65" s="448" t="str">
        <f aca="false">IF($G65=0,IF(BL$11=$H65,"◆",""),IF(AND(BL$11&gt;=$H65,BL$11&lt;=$I65),1,""))</f>
        <v/>
      </c>
      <c r="BM65" s="448" t="str">
        <f aca="false">IF($G65=0,IF(BM$11=$H65,"◆",""),IF(AND(BM$11&gt;=$H65,BM$11&lt;=$I65),1,""))</f>
        <v/>
      </c>
      <c r="BN65" s="448" t="str">
        <f aca="false">IF($G65=0,IF(BN$11=$H65,"◆",""),IF(AND(BN$11&gt;=$H65,BN$11&lt;=$I65),1,""))</f>
        <v/>
      </c>
      <c r="BO65" s="448" t="str">
        <f aca="false">IF($G65=0,IF(BO$11=$H65,"◆",""),IF(AND(BO$11&gt;=$H65,BO$11&lt;=$I65),1,""))</f>
        <v/>
      </c>
      <c r="BP65" s="448" t="str">
        <f aca="false">IF($G65=0,IF(BP$11=$H65,"◆",""),IF(AND(BP$11&gt;=$H65,BP$11&lt;=$I65),1,""))</f>
        <v/>
      </c>
      <c r="BQ65" s="448" t="str">
        <f aca="false">IF($G65=0,IF(BQ$11=$H65,"◆",""),IF(AND(BQ$11&gt;=$H65,BQ$11&lt;=$I65),1,""))</f>
        <v/>
      </c>
      <c r="BR65" s="448" t="str">
        <f aca="false">IF($G65=0,IF(BR$11=$H65,"◆",""),IF(AND(BR$11&gt;=$H65,BR$11&lt;=$I65),1,""))</f>
        <v/>
      </c>
      <c r="BS65" s="448" t="str">
        <f aca="false">IF($G65=0,IF(BS$11=$H65,"◆",""),IF(AND(BS$11&gt;=$H65,BS$11&lt;=$I65),1,""))</f>
        <v/>
      </c>
      <c r="BT65" s="448" t="str">
        <f aca="false">IF($G65=0,IF(BT$11=$H65,"◆",""),IF(AND(BT$11&gt;=$H65,BT$11&lt;=$I65),1,""))</f>
        <v/>
      </c>
      <c r="BU65" s="448" t="str">
        <f aca="false">IF($G65=0,IF(BU$11=$H65,"◆",""),IF(AND(BU$11&gt;=$H65,BU$11&lt;=$I65),1,""))</f>
        <v/>
      </c>
      <c r="BV65" s="448" t="str">
        <f aca="false">IF($G65=0,IF(BV$11=$H65,"◆",""),IF(AND(BV$11&gt;=$H65,BV$11&lt;=$I65),1,""))</f>
        <v/>
      </c>
      <c r="BW65" s="448" t="str">
        <f aca="false">IF($G65=0,IF(BW$11=$H65,"◆",""),IF(AND(BW$11&gt;=$H65,BW$11&lt;=$I65),1,""))</f>
        <v/>
      </c>
      <c r="BX65" s="448" t="str">
        <f aca="false">IF($G65=0,IF(BX$11=$H65,"◆",""),IF(AND(BX$11&gt;=$H65,BX$11&lt;=$I65),1,""))</f>
        <v/>
      </c>
      <c r="BY65" s="448" t="str">
        <f aca="false">IF($G65=0,IF(BY$11=$H65,"◆",""),IF(AND(BY$11&gt;=$H65,BY$11&lt;=$I65),1,""))</f>
        <v/>
      </c>
      <c r="BZ65" s="448" t="str">
        <f aca="false">IF($G65=0,IF(BZ$11=$H65,"◆",""),IF(AND(BZ$11&gt;=$H65,BZ$11&lt;=$I65),1,""))</f>
        <v/>
      </c>
      <c r="CA65" s="448" t="str">
        <f aca="false">IF($G65=0,IF(CA$11=$H65,"◆",""),IF(AND(CA$11&gt;=$H65,CA$11&lt;=$I65),1,""))</f>
        <v/>
      </c>
      <c r="CB65" s="448" t="str">
        <f aca="false">IF($G65=0,IF(CB$11=$H65,"◆",""),IF(AND(CB$11&gt;=$H65,CB$11&lt;=$I65),1,""))</f>
        <v/>
      </c>
      <c r="CC65" s="448" t="str">
        <f aca="false">IF($G65=0,IF(CC$11=$H65,"◆",""),IF(AND(CC$11&gt;=$H65,CC$11&lt;=$I65),1,""))</f>
        <v/>
      </c>
      <c r="CD65" s="448" t="str">
        <f aca="false">IF($G65=0,IF(CD$11=$H65,"◆",""),IF(AND(CD$11&gt;=$H65,CD$11&lt;=$I65),1,""))</f>
        <v/>
      </c>
      <c r="CE65" s="448" t="str">
        <f aca="false">IF($G65=0,IF(CE$11=$H65,"◆",""),IF(AND(CE$11&gt;=$H65,CE$11&lt;=$I65),1,""))</f>
        <v/>
      </c>
      <c r="CF65" s="448" t="str">
        <f aca="false">IF($G65=0,IF(CF$11=$H65,"◆",""),IF(AND(CF$11&gt;=$H65,CF$11&lt;=$I65),1,""))</f>
        <v/>
      </c>
      <c r="CG65" s="448" t="str">
        <f aca="false">IF($G65=0,IF(CG$11=$H65,"◆",""),IF(AND(CG$11&gt;=$H65,CG$11&lt;=$I65),1,""))</f>
        <v/>
      </c>
      <c r="CH65" s="448" t="str">
        <f aca="false">IF($G65=0,IF(CH$11=$H65,"◆",""),IF(AND(CH$11&gt;=$H65,CH$11&lt;=$I65),1,""))</f>
        <v/>
      </c>
      <c r="CI65" s="448" t="str">
        <f aca="false">IF($G65=0,IF(CI$11=$H65,"◆",""),IF(AND(CI$11&gt;=$H65,CI$11&lt;=$I65),1,""))</f>
        <v/>
      </c>
      <c r="CJ65" s="448" t="str">
        <f aca="false">IF($G65=0,IF(CJ$11=$H65,"◆",""),IF(AND(CJ$11&gt;=$H65,CJ$11&lt;=$I65),1,""))</f>
        <v/>
      </c>
      <c r="CK65" s="448" t="str">
        <f aca="false">IF($G65=0,IF(CK$11=$H65,"◆",""),IF(AND(CK$11&gt;=$H65,CK$11&lt;=$I65),1,""))</f>
        <v/>
      </c>
      <c r="CL65" s="448" t="str">
        <f aca="false">IF($G65=0,IF(CL$11=$H65,"◆",""),IF(AND(CL$11&gt;=$H65,CL$11&lt;=$I65),1,""))</f>
        <v/>
      </c>
      <c r="CM65" s="448" t="str">
        <f aca="false">IF($G65=0,IF(CM$11=$H65,"◆",""),IF(AND(CM$11&gt;=$H65,CM$11&lt;=$I65),1,""))</f>
        <v/>
      </c>
      <c r="CN65" s="448" t="str">
        <f aca="false">IF($G65=0,IF(CN$11=$H65,"◆",""),IF(AND(CN$11&gt;=$H65,CN$11&lt;=$I65),1,""))</f>
        <v/>
      </c>
      <c r="CO65" s="448" t="str">
        <f aca="false">IF($G65=0,IF(CO$11=$H65,"◆",""),IF(AND(CO$11&gt;=$H65,CO$11&lt;=$I65),1,""))</f>
        <v/>
      </c>
      <c r="CP65" s="448" t="str">
        <f aca="false">IF($G65=0,IF(CP$11=$H65,"◆",""),IF(AND(CP$11&gt;=$H65,CP$11&lt;=$I65),1,""))</f>
        <v/>
      </c>
      <c r="CQ65" s="448" t="str">
        <f aca="false">IF($G65=0,IF(CQ$11=$H65,"◆",""),IF(AND(CQ$11&gt;=$H65,CQ$11&lt;=$I65),1,""))</f>
        <v/>
      </c>
      <c r="CR65" s="448" t="str">
        <f aca="false">IF($G65=0,IF(CR$11=$H65,"◆",""),IF(AND(CR$11&gt;=$H65,CR$11&lt;=$I65),1,""))</f>
        <v/>
      </c>
      <c r="CS65" s="448" t="str">
        <f aca="false">IF($G65=0,IF(CS$11=$H65,"◆",""),IF(AND(CS$11&gt;=$H65,CS$11&lt;=$I65),1,""))</f>
        <v/>
      </c>
      <c r="CT65" s="448" t="str">
        <f aca="false">IF($G65=0,IF(CT$11=$H65,"◆",""),IF(AND(CT$11&gt;=$H65,CT$11&lt;=$I65),1,""))</f>
        <v/>
      </c>
      <c r="CU65" s="448" t="str">
        <f aca="false">IF($G65=0,IF(CU$11=$H65,"◆",""),IF(AND(CU$11&gt;=$H65,CU$11&lt;=$I65),1,""))</f>
        <v/>
      </c>
      <c r="CV65" s="448" t="str">
        <f aca="false">IF($G65=0,IF(CV$11=$H65,"◆",""),IF(AND(CV$11&gt;=$H65,CV$11&lt;=$I65),1,""))</f>
        <v/>
      </c>
      <c r="CW65" s="448" t="str">
        <f aca="false">IF($G65=0,IF(CW$11=$H65,"◆",""),IF(AND(CW$11&gt;=$H65,CW$11&lt;=$I65),1,""))</f>
        <v/>
      </c>
      <c r="CX65" s="448" t="str">
        <f aca="false">IF($G65=0,IF(CX$11=$H65,"◆",""),IF(AND(CX$11&gt;=$H65,CX$11&lt;=$I65),1,""))</f>
        <v/>
      </c>
      <c r="CY65" s="448" t="str">
        <f aca="false">IF($G65=0,IF(CY$11=$H65,"◆",""),IF(AND(CY$11&gt;=$H65,CY$11&lt;=$I65),1,""))</f>
        <v/>
      </c>
      <c r="CZ65" s="448" t="str">
        <f aca="false">IF($G65=0,IF(CZ$11=$H65,"◆",""),IF(AND(CZ$11&gt;=$H65,CZ$11&lt;=$I65),1,""))</f>
        <v/>
      </c>
      <c r="DA65" s="448" t="str">
        <f aca="false">IF($G65=0,IF(DA$11=$H65,"◆",""),IF(AND(DA$11&gt;=$H65,DA$11&lt;=$I65),1,""))</f>
        <v/>
      </c>
      <c r="DB65" s="448" t="str">
        <f aca="false">IF($G65=0,IF(DB$11=$H65,"◆",""),IF(AND(DB$11&gt;=$H65,DB$11&lt;=$I65),1,""))</f>
        <v/>
      </c>
      <c r="DC65" s="448" t="str">
        <f aca="false">IF($G65=0,IF(DC$11=$H65,"◆",""),IF(AND(DC$11&gt;=$H65,DC$11&lt;=$I65),1,""))</f>
        <v/>
      </c>
      <c r="DD65" s="448" t="str">
        <f aca="false">IF($G65=0,IF(DD$11=$H65,"◆",""),IF(AND(DD$11&gt;=$H65,DD$11&lt;=$I65),1,""))</f>
        <v/>
      </c>
      <c r="DE65" s="448" t="str">
        <f aca="false">IF($G65=0,IF(DE$11=$H65,"◆",""),IF(AND(DE$11&gt;=$H65,DE$11&lt;=$I65),1,""))</f>
        <v/>
      </c>
      <c r="DF65" s="448" t="str">
        <f aca="false">IF($G65=0,IF(DF$11=$H65,"◆",""),IF(AND(DF$11&gt;=$H65,DF$11&lt;=$I65),1,""))</f>
        <v/>
      </c>
      <c r="DG65" s="448" t="str">
        <f aca="false">IF($G65=0,IF(DG$11=$H65,"◆",""),IF(AND(DG$11&gt;=$H65,DG$11&lt;=$I65),1,""))</f>
        <v/>
      </c>
      <c r="DH65" s="448" t="str">
        <f aca="false">IF($G65=0,IF(DH$11=$H65,"◆",""),IF(AND(DH$11&gt;=$H65,DH$11&lt;=$I65),1,""))</f>
        <v/>
      </c>
      <c r="DI65" s="448" t="str">
        <f aca="false">IF($G65=0,IF(DI$11=$H65,"◆",""),IF(AND(DI$11&gt;=$H65,DI$11&lt;=$I65),1,""))</f>
        <v/>
      </c>
      <c r="DJ65" s="448" t="str">
        <f aca="false">IF($G65=0,IF(DJ$11=$H65,"◆",""),IF(AND(DJ$11&gt;=$H65,DJ$11&lt;=$I65),1,""))</f>
        <v/>
      </c>
      <c r="DK65" s="448" t="str">
        <f aca="false">IF($G65=0,IF(DK$11=$H65,"◆",""),IF(AND(DK$11&gt;=$H65,DK$11&lt;=$I65),1,""))</f>
        <v/>
      </c>
      <c r="DL65" s="448" t="str">
        <f aca="false">IF($G65=0,IF(DL$11=$H65,"◆",""),IF(AND(DL$11&gt;=$H65,DL$11&lt;=$I65),1,""))</f>
        <v/>
      </c>
      <c r="DM65" s="448" t="str">
        <f aca="false">IF($G65=0,IF(DM$11=$H65,"◆",""),IF(AND(DM$11&gt;=$H65,DM$11&lt;=$I65),1,""))</f>
        <v/>
      </c>
      <c r="DN65" s="448" t="str">
        <f aca="false">IF($G65=0,IF(DN$11=$H65,"◆",""),IF(AND(DN$11&gt;=$H65,DN$11&lt;=$I65),1,""))</f>
        <v/>
      </c>
      <c r="DO65" s="448" t="str">
        <f aca="false">IF($G65=0,IF(DO$11=$H65,"◆",""),IF(AND(DO$11&gt;=$H65,DO$11&lt;=$I65),1,""))</f>
        <v/>
      </c>
      <c r="DP65" s="448" t="str">
        <f aca="false">IF($G65=0,IF(DP$11=$H65,"◆",""),IF(AND(DP$11&gt;=$H65,DP$11&lt;=$I65),1,""))</f>
        <v/>
      </c>
      <c r="DQ65" s="448" t="str">
        <f aca="false">IF($G65=0,IF(DQ$11=$H65,"◆",""),IF(AND(DQ$11&gt;=$H65,DQ$11&lt;=$I65),1,""))</f>
        <v/>
      </c>
      <c r="DR65" s="448" t="str">
        <f aca="false">IF($G65=0,IF(DR$11=$H65,"◆",""),IF(AND(DR$11&gt;=$H65,DR$11&lt;=$I65),1,""))</f>
        <v/>
      </c>
      <c r="DS65" s="448" t="str">
        <f aca="false">IF($G65=0,IF(DS$11=$H65,"◆",""),IF(AND(DS$11&gt;=$H65,DS$11&lt;=$I65),1,""))</f>
        <v/>
      </c>
      <c r="DT65" s="448" t="str">
        <f aca="false">IF($G65=0,IF(DT$11=$H65,"◆",""),IF(AND(DT$11&gt;=$H65,DT$11&lt;=$I65),1,""))</f>
        <v/>
      </c>
      <c r="DU65" s="448" t="str">
        <f aca="false">IF($G65=0,IF(DU$11=$H65,"◆",""),IF(AND(DU$11&gt;=$H65,DU$11&lt;=$I65),1,""))</f>
        <v/>
      </c>
      <c r="DV65" s="448" t="str">
        <f aca="false">IF($G65=0,IF(DV$11=$H65,"◆",""),IF(AND(DV$11&gt;=$H65,DV$11&lt;=$I65),1,""))</f>
        <v/>
      </c>
      <c r="DW65" s="448" t="str">
        <f aca="false">IF($G65=0,IF(DW$11=$H65,"◆",""),IF(AND(DW$11&gt;=$H65,DW$11&lt;=$I65),1,""))</f>
        <v/>
      </c>
      <c r="DX65" s="448" t="str">
        <f aca="false">IF($G65=0,IF(DX$11=$H65,"◆",""),IF(AND(DX$11&gt;=$H65,DX$11&lt;=$I65),1,""))</f>
        <v/>
      </c>
      <c r="DY65" s="448" t="str">
        <f aca="false">IF($G65=0,IF(DY$11=$H65,"◆",""),IF(AND(DY$11&gt;=$H65,DY$11&lt;=$I65),1,""))</f>
        <v/>
      </c>
      <c r="DZ65" s="448" t="str">
        <f aca="false">IF($G65=0,IF(DZ$11=$H65,"◆",""),IF(AND(DZ$11&gt;=$H65,DZ$11&lt;=$I65),1,""))</f>
        <v/>
      </c>
      <c r="EA65" s="448" t="str">
        <f aca="false">IF($G65=0,IF(EA$11=$H65,"◆",""),IF(AND(EA$11&gt;=$H65,EA$11&lt;=$I65),1,""))</f>
        <v/>
      </c>
      <c r="EB65" s="448" t="str">
        <f aca="false">IF($G65=0,IF(EB$11=$H65,"◆",""),IF(AND(EB$11&gt;=$H65,EB$11&lt;=$I65),1,""))</f>
        <v/>
      </c>
      <c r="EC65" s="448" t="str">
        <f aca="false">IF($G65=0,IF(EC$11=$H65,"◆",""),IF(AND(EC$11&gt;=$H65,EC$11&lt;=$I65),1,""))</f>
        <v/>
      </c>
      <c r="ED65" s="448" t="str">
        <f aca="false">IF($G65=0,IF(ED$11=$H65,"◆",""),IF(AND(ED$11&gt;=$H65,ED$11&lt;=$I65),1,""))</f>
        <v/>
      </c>
    </row>
    <row r="66" customFormat="false" ht="15" hidden="false" customHeight="true" outlineLevel="0" collapsed="false">
      <c r="A66" s="441" t="s">
        <v>2563</v>
      </c>
      <c r="B66" s="297" t="s">
        <v>2564</v>
      </c>
      <c r="C66" s="442" t="s">
        <v>2565</v>
      </c>
      <c r="D66" s="443" t="s">
        <v>2492</v>
      </c>
      <c r="E66" s="354" t="n">
        <f aca="false">FC_SUPUESTOS!$C$17+FC_SUPUESTOS!$C$18+FC_SUPUESTOS!$C$19</f>
        <v>7</v>
      </c>
      <c r="F66" s="352" t="n">
        <v>0</v>
      </c>
      <c r="G66" s="352" t="n">
        <v>4</v>
      </c>
      <c r="H66" s="367" t="n">
        <f aca="false">MAX(1,ROUND(($E66-1)*$D$5,0)+1+$F66)</f>
        <v>27</v>
      </c>
      <c r="I66" s="367" t="n">
        <f aca="false">MAX($H66,$H66+$G66-1)</f>
        <v>30</v>
      </c>
      <c r="J66" s="444" t="n">
        <f aca="false">$D$4+($H66-1)*7</f>
        <v>46482</v>
      </c>
      <c r="K66" s="444" t="n">
        <f aca="false">$D$4+$I66*7-1</f>
        <v>46509</v>
      </c>
      <c r="L66" s="445" t="n">
        <f aca="false">ROUNDUP($H66/$D$5,0)</f>
        <v>7</v>
      </c>
      <c r="M66" s="446" t="s">
        <v>2453</v>
      </c>
      <c r="N66" s="447" t="n">
        <v>0</v>
      </c>
      <c r="O66" s="448" t="str">
        <f aca="false">IF($G66=0,IF(O$11=$H66,"◆",""),IF(AND(O$11&gt;=$H66,O$11&lt;=$I66),1,""))</f>
        <v/>
      </c>
      <c r="P66" s="448" t="str">
        <f aca="false">IF($G66=0,IF(P$11=$H66,"◆",""),IF(AND(P$11&gt;=$H66,P$11&lt;=$I66),1,""))</f>
        <v/>
      </c>
      <c r="Q66" s="448" t="str">
        <f aca="false">IF($G66=0,IF(Q$11=$H66,"◆",""),IF(AND(Q$11&gt;=$H66,Q$11&lt;=$I66),1,""))</f>
        <v/>
      </c>
      <c r="R66" s="448" t="str">
        <f aca="false">IF($G66=0,IF(R$11=$H66,"◆",""),IF(AND(R$11&gt;=$H66,R$11&lt;=$I66),1,""))</f>
        <v/>
      </c>
      <c r="S66" s="448" t="str">
        <f aca="false">IF($G66=0,IF(S$11=$H66,"◆",""),IF(AND(S$11&gt;=$H66,S$11&lt;=$I66),1,""))</f>
        <v/>
      </c>
      <c r="T66" s="448" t="str">
        <f aca="false">IF($G66=0,IF(T$11=$H66,"◆",""),IF(AND(T$11&gt;=$H66,T$11&lt;=$I66),1,""))</f>
        <v/>
      </c>
      <c r="U66" s="448" t="str">
        <f aca="false">IF($G66=0,IF(U$11=$H66,"◆",""),IF(AND(U$11&gt;=$H66,U$11&lt;=$I66),1,""))</f>
        <v/>
      </c>
      <c r="V66" s="448" t="str">
        <f aca="false">IF($G66=0,IF(V$11=$H66,"◆",""),IF(AND(V$11&gt;=$H66,V$11&lt;=$I66),1,""))</f>
        <v/>
      </c>
      <c r="W66" s="448" t="str">
        <f aca="false">IF($G66=0,IF(W$11=$H66,"◆",""),IF(AND(W$11&gt;=$H66,W$11&lt;=$I66),1,""))</f>
        <v/>
      </c>
      <c r="X66" s="448" t="str">
        <f aca="false">IF($G66=0,IF(X$11=$H66,"◆",""),IF(AND(X$11&gt;=$H66,X$11&lt;=$I66),1,""))</f>
        <v/>
      </c>
      <c r="Y66" s="448" t="str">
        <f aca="false">IF($G66=0,IF(Y$11=$H66,"◆",""),IF(AND(Y$11&gt;=$H66,Y$11&lt;=$I66),1,""))</f>
        <v/>
      </c>
      <c r="Z66" s="448" t="str">
        <f aca="false">IF($G66=0,IF(Z$11=$H66,"◆",""),IF(AND(Z$11&gt;=$H66,Z$11&lt;=$I66),1,""))</f>
        <v/>
      </c>
      <c r="AA66" s="448" t="str">
        <f aca="false">IF($G66=0,IF(AA$11=$H66,"◆",""),IF(AND(AA$11&gt;=$H66,AA$11&lt;=$I66),1,""))</f>
        <v/>
      </c>
      <c r="AB66" s="448" t="str">
        <f aca="false">IF($G66=0,IF(AB$11=$H66,"◆",""),IF(AND(AB$11&gt;=$H66,AB$11&lt;=$I66),1,""))</f>
        <v/>
      </c>
      <c r="AC66" s="448" t="str">
        <f aca="false">IF($G66=0,IF(AC$11=$H66,"◆",""),IF(AND(AC$11&gt;=$H66,AC$11&lt;=$I66),1,""))</f>
        <v/>
      </c>
      <c r="AD66" s="448" t="str">
        <f aca="false">IF($G66=0,IF(AD$11=$H66,"◆",""),IF(AND(AD$11&gt;=$H66,AD$11&lt;=$I66),1,""))</f>
        <v/>
      </c>
      <c r="AE66" s="448" t="str">
        <f aca="false">IF($G66=0,IF(AE$11=$H66,"◆",""),IF(AND(AE$11&gt;=$H66,AE$11&lt;=$I66),1,""))</f>
        <v/>
      </c>
      <c r="AF66" s="448" t="str">
        <f aca="false">IF($G66=0,IF(AF$11=$H66,"◆",""),IF(AND(AF$11&gt;=$H66,AF$11&lt;=$I66),1,""))</f>
        <v/>
      </c>
      <c r="AG66" s="448" t="str">
        <f aca="false">IF($G66=0,IF(AG$11=$H66,"◆",""),IF(AND(AG$11&gt;=$H66,AG$11&lt;=$I66),1,""))</f>
        <v/>
      </c>
      <c r="AH66" s="448" t="str">
        <f aca="false">IF($G66=0,IF(AH$11=$H66,"◆",""),IF(AND(AH$11&gt;=$H66,AH$11&lt;=$I66),1,""))</f>
        <v/>
      </c>
      <c r="AI66" s="448" t="str">
        <f aca="false">IF($G66=0,IF(AI$11=$H66,"◆",""),IF(AND(AI$11&gt;=$H66,AI$11&lt;=$I66),1,""))</f>
        <v/>
      </c>
      <c r="AJ66" s="448" t="str">
        <f aca="false">IF($G66=0,IF(AJ$11=$H66,"◆",""),IF(AND(AJ$11&gt;=$H66,AJ$11&lt;=$I66),1,""))</f>
        <v/>
      </c>
      <c r="AK66" s="448" t="str">
        <f aca="false">IF($G66=0,IF(AK$11=$H66,"◆",""),IF(AND(AK$11&gt;=$H66,AK$11&lt;=$I66),1,""))</f>
        <v/>
      </c>
      <c r="AL66" s="448" t="str">
        <f aca="false">IF($G66=0,IF(AL$11=$H66,"◆",""),IF(AND(AL$11&gt;=$H66,AL$11&lt;=$I66),1,""))</f>
        <v/>
      </c>
      <c r="AM66" s="448" t="str">
        <f aca="false">IF($G66=0,IF(AM$11=$H66,"◆",""),IF(AND(AM$11&gt;=$H66,AM$11&lt;=$I66),1,""))</f>
        <v/>
      </c>
      <c r="AN66" s="448" t="str">
        <f aca="false">IF($G66=0,IF(AN$11=$H66,"◆",""),IF(AND(AN$11&gt;=$H66,AN$11&lt;=$I66),1,""))</f>
        <v/>
      </c>
      <c r="AO66" s="448" t="n">
        <f aca="false">IF($G66=0,IF(AO$11=$H66,"◆",""),IF(AND(AO$11&gt;=$H66,AO$11&lt;=$I66),1,""))</f>
        <v>1</v>
      </c>
      <c r="AP66" s="448" t="n">
        <f aca="false">IF($G66=0,IF(AP$11=$H66,"◆",""),IF(AND(AP$11&gt;=$H66,AP$11&lt;=$I66),1,""))</f>
        <v>1</v>
      </c>
      <c r="AQ66" s="448" t="n">
        <f aca="false">IF($G66=0,IF(AQ$11=$H66,"◆",""),IF(AND(AQ$11&gt;=$H66,AQ$11&lt;=$I66),1,""))</f>
        <v>1</v>
      </c>
      <c r="AR66" s="448" t="n">
        <f aca="false">IF($G66=0,IF(AR$11=$H66,"◆",""),IF(AND(AR$11&gt;=$H66,AR$11&lt;=$I66),1,""))</f>
        <v>1</v>
      </c>
      <c r="AS66" s="448" t="str">
        <f aca="false">IF($G66=0,IF(AS$11=$H66,"◆",""),IF(AND(AS$11&gt;=$H66,AS$11&lt;=$I66),1,""))</f>
        <v/>
      </c>
      <c r="AT66" s="448" t="str">
        <f aca="false">IF($G66=0,IF(AT$11=$H66,"◆",""),IF(AND(AT$11&gt;=$H66,AT$11&lt;=$I66),1,""))</f>
        <v/>
      </c>
      <c r="AU66" s="448" t="str">
        <f aca="false">IF($G66=0,IF(AU$11=$H66,"◆",""),IF(AND(AU$11&gt;=$H66,AU$11&lt;=$I66),1,""))</f>
        <v/>
      </c>
      <c r="AV66" s="448" t="str">
        <f aca="false">IF($G66=0,IF(AV$11=$H66,"◆",""),IF(AND(AV$11&gt;=$H66,AV$11&lt;=$I66),1,""))</f>
        <v/>
      </c>
      <c r="AW66" s="448" t="str">
        <f aca="false">IF($G66=0,IF(AW$11=$H66,"◆",""),IF(AND(AW$11&gt;=$H66,AW$11&lt;=$I66),1,""))</f>
        <v/>
      </c>
      <c r="AX66" s="448" t="str">
        <f aca="false">IF($G66=0,IF(AX$11=$H66,"◆",""),IF(AND(AX$11&gt;=$H66,AX$11&lt;=$I66),1,""))</f>
        <v/>
      </c>
      <c r="AY66" s="448" t="str">
        <f aca="false">IF($G66=0,IF(AY$11=$H66,"◆",""),IF(AND(AY$11&gt;=$H66,AY$11&lt;=$I66),1,""))</f>
        <v/>
      </c>
      <c r="AZ66" s="448" t="str">
        <f aca="false">IF($G66=0,IF(AZ$11=$H66,"◆",""),IF(AND(AZ$11&gt;=$H66,AZ$11&lt;=$I66),1,""))</f>
        <v/>
      </c>
      <c r="BA66" s="448" t="str">
        <f aca="false">IF($G66=0,IF(BA$11=$H66,"◆",""),IF(AND(BA$11&gt;=$H66,BA$11&lt;=$I66),1,""))</f>
        <v/>
      </c>
      <c r="BB66" s="448" t="str">
        <f aca="false">IF($G66=0,IF(BB$11=$H66,"◆",""),IF(AND(BB$11&gt;=$H66,BB$11&lt;=$I66),1,""))</f>
        <v/>
      </c>
      <c r="BC66" s="448" t="str">
        <f aca="false">IF($G66=0,IF(BC$11=$H66,"◆",""),IF(AND(BC$11&gt;=$H66,BC$11&lt;=$I66),1,""))</f>
        <v/>
      </c>
      <c r="BD66" s="448" t="str">
        <f aca="false">IF($G66=0,IF(BD$11=$H66,"◆",""),IF(AND(BD$11&gt;=$H66,BD$11&lt;=$I66),1,""))</f>
        <v/>
      </c>
      <c r="BE66" s="448" t="str">
        <f aca="false">IF($G66=0,IF(BE$11=$H66,"◆",""),IF(AND(BE$11&gt;=$H66,BE$11&lt;=$I66),1,""))</f>
        <v/>
      </c>
      <c r="BF66" s="448" t="str">
        <f aca="false">IF($G66=0,IF(BF$11=$H66,"◆",""),IF(AND(BF$11&gt;=$H66,BF$11&lt;=$I66),1,""))</f>
        <v/>
      </c>
      <c r="BG66" s="448" t="str">
        <f aca="false">IF($G66=0,IF(BG$11=$H66,"◆",""),IF(AND(BG$11&gt;=$H66,BG$11&lt;=$I66),1,""))</f>
        <v/>
      </c>
      <c r="BH66" s="448" t="str">
        <f aca="false">IF($G66=0,IF(BH$11=$H66,"◆",""),IF(AND(BH$11&gt;=$H66,BH$11&lt;=$I66),1,""))</f>
        <v/>
      </c>
      <c r="BI66" s="448" t="str">
        <f aca="false">IF($G66=0,IF(BI$11=$H66,"◆",""),IF(AND(BI$11&gt;=$H66,BI$11&lt;=$I66),1,""))</f>
        <v/>
      </c>
      <c r="BJ66" s="448" t="str">
        <f aca="false">IF($G66=0,IF(BJ$11=$H66,"◆",""),IF(AND(BJ$11&gt;=$H66,BJ$11&lt;=$I66),1,""))</f>
        <v/>
      </c>
      <c r="BK66" s="448" t="str">
        <f aca="false">IF($G66=0,IF(BK$11=$H66,"◆",""),IF(AND(BK$11&gt;=$H66,BK$11&lt;=$I66),1,""))</f>
        <v/>
      </c>
      <c r="BL66" s="448" t="str">
        <f aca="false">IF($G66=0,IF(BL$11=$H66,"◆",""),IF(AND(BL$11&gt;=$H66,BL$11&lt;=$I66),1,""))</f>
        <v/>
      </c>
      <c r="BM66" s="448" t="str">
        <f aca="false">IF($G66=0,IF(BM$11=$H66,"◆",""),IF(AND(BM$11&gt;=$H66,BM$11&lt;=$I66),1,""))</f>
        <v/>
      </c>
      <c r="BN66" s="448" t="str">
        <f aca="false">IF($G66=0,IF(BN$11=$H66,"◆",""),IF(AND(BN$11&gt;=$H66,BN$11&lt;=$I66),1,""))</f>
        <v/>
      </c>
      <c r="BO66" s="448" t="str">
        <f aca="false">IF($G66=0,IF(BO$11=$H66,"◆",""),IF(AND(BO$11&gt;=$H66,BO$11&lt;=$I66),1,""))</f>
        <v/>
      </c>
      <c r="BP66" s="448" t="str">
        <f aca="false">IF($G66=0,IF(BP$11=$H66,"◆",""),IF(AND(BP$11&gt;=$H66,BP$11&lt;=$I66),1,""))</f>
        <v/>
      </c>
      <c r="BQ66" s="448" t="str">
        <f aca="false">IF($G66=0,IF(BQ$11=$H66,"◆",""),IF(AND(BQ$11&gt;=$H66,BQ$11&lt;=$I66),1,""))</f>
        <v/>
      </c>
      <c r="BR66" s="448" t="str">
        <f aca="false">IF($G66=0,IF(BR$11=$H66,"◆",""),IF(AND(BR$11&gt;=$H66,BR$11&lt;=$I66),1,""))</f>
        <v/>
      </c>
      <c r="BS66" s="448" t="str">
        <f aca="false">IF($G66=0,IF(BS$11=$H66,"◆",""),IF(AND(BS$11&gt;=$H66,BS$11&lt;=$I66),1,""))</f>
        <v/>
      </c>
      <c r="BT66" s="448" t="str">
        <f aca="false">IF($G66=0,IF(BT$11=$H66,"◆",""),IF(AND(BT$11&gt;=$H66,BT$11&lt;=$I66),1,""))</f>
        <v/>
      </c>
      <c r="BU66" s="448" t="str">
        <f aca="false">IF($G66=0,IF(BU$11=$H66,"◆",""),IF(AND(BU$11&gt;=$H66,BU$11&lt;=$I66),1,""))</f>
        <v/>
      </c>
      <c r="BV66" s="448" t="str">
        <f aca="false">IF($G66=0,IF(BV$11=$H66,"◆",""),IF(AND(BV$11&gt;=$H66,BV$11&lt;=$I66),1,""))</f>
        <v/>
      </c>
      <c r="BW66" s="448" t="str">
        <f aca="false">IF($G66=0,IF(BW$11=$H66,"◆",""),IF(AND(BW$11&gt;=$H66,BW$11&lt;=$I66),1,""))</f>
        <v/>
      </c>
      <c r="BX66" s="448" t="str">
        <f aca="false">IF($G66=0,IF(BX$11=$H66,"◆",""),IF(AND(BX$11&gt;=$H66,BX$11&lt;=$I66),1,""))</f>
        <v/>
      </c>
      <c r="BY66" s="448" t="str">
        <f aca="false">IF($G66=0,IF(BY$11=$H66,"◆",""),IF(AND(BY$11&gt;=$H66,BY$11&lt;=$I66),1,""))</f>
        <v/>
      </c>
      <c r="BZ66" s="448" t="str">
        <f aca="false">IF($G66=0,IF(BZ$11=$H66,"◆",""),IF(AND(BZ$11&gt;=$H66,BZ$11&lt;=$I66),1,""))</f>
        <v/>
      </c>
      <c r="CA66" s="448" t="str">
        <f aca="false">IF($G66=0,IF(CA$11=$H66,"◆",""),IF(AND(CA$11&gt;=$H66,CA$11&lt;=$I66),1,""))</f>
        <v/>
      </c>
      <c r="CB66" s="448" t="str">
        <f aca="false">IF($G66=0,IF(CB$11=$H66,"◆",""),IF(AND(CB$11&gt;=$H66,CB$11&lt;=$I66),1,""))</f>
        <v/>
      </c>
      <c r="CC66" s="448" t="str">
        <f aca="false">IF($G66=0,IF(CC$11=$H66,"◆",""),IF(AND(CC$11&gt;=$H66,CC$11&lt;=$I66),1,""))</f>
        <v/>
      </c>
      <c r="CD66" s="448" t="str">
        <f aca="false">IF($G66=0,IF(CD$11=$H66,"◆",""),IF(AND(CD$11&gt;=$H66,CD$11&lt;=$I66),1,""))</f>
        <v/>
      </c>
      <c r="CE66" s="448" t="str">
        <f aca="false">IF($G66=0,IF(CE$11=$H66,"◆",""),IF(AND(CE$11&gt;=$H66,CE$11&lt;=$I66),1,""))</f>
        <v/>
      </c>
      <c r="CF66" s="448" t="str">
        <f aca="false">IF($G66=0,IF(CF$11=$H66,"◆",""),IF(AND(CF$11&gt;=$H66,CF$11&lt;=$I66),1,""))</f>
        <v/>
      </c>
      <c r="CG66" s="448" t="str">
        <f aca="false">IF($G66=0,IF(CG$11=$H66,"◆",""),IF(AND(CG$11&gt;=$H66,CG$11&lt;=$I66),1,""))</f>
        <v/>
      </c>
      <c r="CH66" s="448" t="str">
        <f aca="false">IF($G66=0,IF(CH$11=$H66,"◆",""),IF(AND(CH$11&gt;=$H66,CH$11&lt;=$I66),1,""))</f>
        <v/>
      </c>
      <c r="CI66" s="448" t="str">
        <f aca="false">IF($G66=0,IF(CI$11=$H66,"◆",""),IF(AND(CI$11&gt;=$H66,CI$11&lt;=$I66),1,""))</f>
        <v/>
      </c>
      <c r="CJ66" s="448" t="str">
        <f aca="false">IF($G66=0,IF(CJ$11=$H66,"◆",""),IF(AND(CJ$11&gt;=$H66,CJ$11&lt;=$I66),1,""))</f>
        <v/>
      </c>
      <c r="CK66" s="448" t="str">
        <f aca="false">IF($G66=0,IF(CK$11=$H66,"◆",""),IF(AND(CK$11&gt;=$H66,CK$11&lt;=$I66),1,""))</f>
        <v/>
      </c>
      <c r="CL66" s="448" t="str">
        <f aca="false">IF($G66=0,IF(CL$11=$H66,"◆",""),IF(AND(CL$11&gt;=$H66,CL$11&lt;=$I66),1,""))</f>
        <v/>
      </c>
      <c r="CM66" s="448" t="str">
        <f aca="false">IF($G66=0,IF(CM$11=$H66,"◆",""),IF(AND(CM$11&gt;=$H66,CM$11&lt;=$I66),1,""))</f>
        <v/>
      </c>
      <c r="CN66" s="448" t="str">
        <f aca="false">IF($G66=0,IF(CN$11=$H66,"◆",""),IF(AND(CN$11&gt;=$H66,CN$11&lt;=$I66),1,""))</f>
        <v/>
      </c>
      <c r="CO66" s="448" t="str">
        <f aca="false">IF($G66=0,IF(CO$11=$H66,"◆",""),IF(AND(CO$11&gt;=$H66,CO$11&lt;=$I66),1,""))</f>
        <v/>
      </c>
      <c r="CP66" s="448" t="str">
        <f aca="false">IF($G66=0,IF(CP$11=$H66,"◆",""),IF(AND(CP$11&gt;=$H66,CP$11&lt;=$I66),1,""))</f>
        <v/>
      </c>
      <c r="CQ66" s="448" t="str">
        <f aca="false">IF($G66=0,IF(CQ$11=$H66,"◆",""),IF(AND(CQ$11&gt;=$H66,CQ$11&lt;=$I66),1,""))</f>
        <v/>
      </c>
      <c r="CR66" s="448" t="str">
        <f aca="false">IF($G66=0,IF(CR$11=$H66,"◆",""),IF(AND(CR$11&gt;=$H66,CR$11&lt;=$I66),1,""))</f>
        <v/>
      </c>
      <c r="CS66" s="448" t="str">
        <f aca="false">IF($G66=0,IF(CS$11=$H66,"◆",""),IF(AND(CS$11&gt;=$H66,CS$11&lt;=$I66),1,""))</f>
        <v/>
      </c>
      <c r="CT66" s="448" t="str">
        <f aca="false">IF($G66=0,IF(CT$11=$H66,"◆",""),IF(AND(CT$11&gt;=$H66,CT$11&lt;=$I66),1,""))</f>
        <v/>
      </c>
      <c r="CU66" s="448" t="str">
        <f aca="false">IF($G66=0,IF(CU$11=$H66,"◆",""),IF(AND(CU$11&gt;=$H66,CU$11&lt;=$I66),1,""))</f>
        <v/>
      </c>
      <c r="CV66" s="448" t="str">
        <f aca="false">IF($G66=0,IF(CV$11=$H66,"◆",""),IF(AND(CV$11&gt;=$H66,CV$11&lt;=$I66),1,""))</f>
        <v/>
      </c>
      <c r="CW66" s="448" t="str">
        <f aca="false">IF($G66=0,IF(CW$11=$H66,"◆",""),IF(AND(CW$11&gt;=$H66,CW$11&lt;=$I66),1,""))</f>
        <v/>
      </c>
      <c r="CX66" s="448" t="str">
        <f aca="false">IF($G66=0,IF(CX$11=$H66,"◆",""),IF(AND(CX$11&gt;=$H66,CX$11&lt;=$I66),1,""))</f>
        <v/>
      </c>
      <c r="CY66" s="448" t="str">
        <f aca="false">IF($G66=0,IF(CY$11=$H66,"◆",""),IF(AND(CY$11&gt;=$H66,CY$11&lt;=$I66),1,""))</f>
        <v/>
      </c>
      <c r="CZ66" s="448" t="str">
        <f aca="false">IF($G66=0,IF(CZ$11=$H66,"◆",""),IF(AND(CZ$11&gt;=$H66,CZ$11&lt;=$I66),1,""))</f>
        <v/>
      </c>
      <c r="DA66" s="448" t="str">
        <f aca="false">IF($G66=0,IF(DA$11=$H66,"◆",""),IF(AND(DA$11&gt;=$H66,DA$11&lt;=$I66),1,""))</f>
        <v/>
      </c>
      <c r="DB66" s="448" t="str">
        <f aca="false">IF($G66=0,IF(DB$11=$H66,"◆",""),IF(AND(DB$11&gt;=$H66,DB$11&lt;=$I66),1,""))</f>
        <v/>
      </c>
      <c r="DC66" s="448" t="str">
        <f aca="false">IF($G66=0,IF(DC$11=$H66,"◆",""),IF(AND(DC$11&gt;=$H66,DC$11&lt;=$I66),1,""))</f>
        <v/>
      </c>
      <c r="DD66" s="448" t="str">
        <f aca="false">IF($G66=0,IF(DD$11=$H66,"◆",""),IF(AND(DD$11&gt;=$H66,DD$11&lt;=$I66),1,""))</f>
        <v/>
      </c>
      <c r="DE66" s="448" t="str">
        <f aca="false">IF($G66=0,IF(DE$11=$H66,"◆",""),IF(AND(DE$11&gt;=$H66,DE$11&lt;=$I66),1,""))</f>
        <v/>
      </c>
      <c r="DF66" s="448" t="str">
        <f aca="false">IF($G66=0,IF(DF$11=$H66,"◆",""),IF(AND(DF$11&gt;=$H66,DF$11&lt;=$I66),1,""))</f>
        <v/>
      </c>
      <c r="DG66" s="448" t="str">
        <f aca="false">IF($G66=0,IF(DG$11=$H66,"◆",""),IF(AND(DG$11&gt;=$H66,DG$11&lt;=$I66),1,""))</f>
        <v/>
      </c>
      <c r="DH66" s="448" t="str">
        <f aca="false">IF($G66=0,IF(DH$11=$H66,"◆",""),IF(AND(DH$11&gt;=$H66,DH$11&lt;=$I66),1,""))</f>
        <v/>
      </c>
      <c r="DI66" s="448" t="str">
        <f aca="false">IF($G66=0,IF(DI$11=$H66,"◆",""),IF(AND(DI$11&gt;=$H66,DI$11&lt;=$I66),1,""))</f>
        <v/>
      </c>
      <c r="DJ66" s="448" t="str">
        <f aca="false">IF($G66=0,IF(DJ$11=$H66,"◆",""),IF(AND(DJ$11&gt;=$H66,DJ$11&lt;=$I66),1,""))</f>
        <v/>
      </c>
      <c r="DK66" s="448" t="str">
        <f aca="false">IF($G66=0,IF(DK$11=$H66,"◆",""),IF(AND(DK$11&gt;=$H66,DK$11&lt;=$I66),1,""))</f>
        <v/>
      </c>
      <c r="DL66" s="448" t="str">
        <f aca="false">IF($G66=0,IF(DL$11=$H66,"◆",""),IF(AND(DL$11&gt;=$H66,DL$11&lt;=$I66),1,""))</f>
        <v/>
      </c>
      <c r="DM66" s="448" t="str">
        <f aca="false">IF($G66=0,IF(DM$11=$H66,"◆",""),IF(AND(DM$11&gt;=$H66,DM$11&lt;=$I66),1,""))</f>
        <v/>
      </c>
      <c r="DN66" s="448" t="str">
        <f aca="false">IF($G66=0,IF(DN$11=$H66,"◆",""),IF(AND(DN$11&gt;=$H66,DN$11&lt;=$I66),1,""))</f>
        <v/>
      </c>
      <c r="DO66" s="448" t="str">
        <f aca="false">IF($G66=0,IF(DO$11=$H66,"◆",""),IF(AND(DO$11&gt;=$H66,DO$11&lt;=$I66),1,""))</f>
        <v/>
      </c>
      <c r="DP66" s="448" t="str">
        <f aca="false">IF($G66=0,IF(DP$11=$H66,"◆",""),IF(AND(DP$11&gt;=$H66,DP$11&lt;=$I66),1,""))</f>
        <v/>
      </c>
      <c r="DQ66" s="448" t="str">
        <f aca="false">IF($G66=0,IF(DQ$11=$H66,"◆",""),IF(AND(DQ$11&gt;=$H66,DQ$11&lt;=$I66),1,""))</f>
        <v/>
      </c>
      <c r="DR66" s="448" t="str">
        <f aca="false">IF($G66=0,IF(DR$11=$H66,"◆",""),IF(AND(DR$11&gt;=$H66,DR$11&lt;=$I66),1,""))</f>
        <v/>
      </c>
      <c r="DS66" s="448" t="str">
        <f aca="false">IF($G66=0,IF(DS$11=$H66,"◆",""),IF(AND(DS$11&gt;=$H66,DS$11&lt;=$I66),1,""))</f>
        <v/>
      </c>
      <c r="DT66" s="448" t="str">
        <f aca="false">IF($G66=0,IF(DT$11=$H66,"◆",""),IF(AND(DT$11&gt;=$H66,DT$11&lt;=$I66),1,""))</f>
        <v/>
      </c>
      <c r="DU66" s="448" t="str">
        <f aca="false">IF($G66=0,IF(DU$11=$H66,"◆",""),IF(AND(DU$11&gt;=$H66,DU$11&lt;=$I66),1,""))</f>
        <v/>
      </c>
      <c r="DV66" s="448" t="str">
        <f aca="false">IF($G66=0,IF(DV$11=$H66,"◆",""),IF(AND(DV$11&gt;=$H66,DV$11&lt;=$I66),1,""))</f>
        <v/>
      </c>
      <c r="DW66" s="448" t="str">
        <f aca="false">IF($G66=0,IF(DW$11=$H66,"◆",""),IF(AND(DW$11&gt;=$H66,DW$11&lt;=$I66),1,""))</f>
        <v/>
      </c>
      <c r="DX66" s="448" t="str">
        <f aca="false">IF($G66=0,IF(DX$11=$H66,"◆",""),IF(AND(DX$11&gt;=$H66,DX$11&lt;=$I66),1,""))</f>
        <v/>
      </c>
      <c r="DY66" s="448" t="str">
        <f aca="false">IF($G66=0,IF(DY$11=$H66,"◆",""),IF(AND(DY$11&gt;=$H66,DY$11&lt;=$I66),1,""))</f>
        <v/>
      </c>
      <c r="DZ66" s="448" t="str">
        <f aca="false">IF($G66=0,IF(DZ$11=$H66,"◆",""),IF(AND(DZ$11&gt;=$H66,DZ$11&lt;=$I66),1,""))</f>
        <v/>
      </c>
      <c r="EA66" s="448" t="str">
        <f aca="false">IF($G66=0,IF(EA$11=$H66,"◆",""),IF(AND(EA$11&gt;=$H66,EA$11&lt;=$I66),1,""))</f>
        <v/>
      </c>
      <c r="EB66" s="448" t="str">
        <f aca="false">IF($G66=0,IF(EB$11=$H66,"◆",""),IF(AND(EB$11&gt;=$H66,EB$11&lt;=$I66),1,""))</f>
        <v/>
      </c>
      <c r="EC66" s="448" t="str">
        <f aca="false">IF($G66=0,IF(EC$11=$H66,"◆",""),IF(AND(EC$11&gt;=$H66,EC$11&lt;=$I66),1,""))</f>
        <v/>
      </c>
      <c r="ED66" s="448" t="str">
        <f aca="false">IF($G66=0,IF(ED$11=$H66,"◆",""),IF(AND(ED$11&gt;=$H66,ED$11&lt;=$I66),1,""))</f>
        <v/>
      </c>
    </row>
    <row r="67" customFormat="false" ht="15" hidden="false" customHeight="true" outlineLevel="0" collapsed="false">
      <c r="A67" s="441" t="s">
        <v>2566</v>
      </c>
      <c r="B67" s="297" t="s">
        <v>2567</v>
      </c>
      <c r="C67" s="442" t="s">
        <v>2568</v>
      </c>
      <c r="D67" s="443" t="s">
        <v>2436</v>
      </c>
      <c r="E67" s="354" t="n">
        <f aca="false">1</f>
        <v>1</v>
      </c>
      <c r="F67" s="352" t="n">
        <v>2</v>
      </c>
      <c r="G67" s="352" t="n">
        <v>14</v>
      </c>
      <c r="H67" s="367" t="n">
        <f aca="false">MAX(1,ROUND(($E67-1)*$D$5,0)+1+$F67)</f>
        <v>3</v>
      </c>
      <c r="I67" s="367" t="n">
        <f aca="false">MAX($H67,$H67+$G67-1)</f>
        <v>16</v>
      </c>
      <c r="J67" s="444" t="n">
        <f aca="false">$D$4+($H67-1)*7</f>
        <v>46314</v>
      </c>
      <c r="K67" s="444" t="n">
        <f aca="false">$D$4+$I67*7-1</f>
        <v>46411</v>
      </c>
      <c r="L67" s="445" t="n">
        <f aca="false">ROUNDUP($H67/$D$5,0)</f>
        <v>1</v>
      </c>
      <c r="M67" s="446"/>
      <c r="N67" s="447" t="n">
        <v>0</v>
      </c>
      <c r="O67" s="448" t="str">
        <f aca="false">IF($G67=0,IF(O$11=$H67,"◆",""),IF(AND(O$11&gt;=$H67,O$11&lt;=$I67),1,""))</f>
        <v/>
      </c>
      <c r="P67" s="448" t="str">
        <f aca="false">IF($G67=0,IF(P$11=$H67,"◆",""),IF(AND(P$11&gt;=$H67,P$11&lt;=$I67),1,""))</f>
        <v/>
      </c>
      <c r="Q67" s="448" t="n">
        <f aca="false">IF($G67=0,IF(Q$11=$H67,"◆",""),IF(AND(Q$11&gt;=$H67,Q$11&lt;=$I67),1,""))</f>
        <v>1</v>
      </c>
      <c r="R67" s="448" t="n">
        <f aca="false">IF($G67=0,IF(R$11=$H67,"◆",""),IF(AND(R$11&gt;=$H67,R$11&lt;=$I67),1,""))</f>
        <v>1</v>
      </c>
      <c r="S67" s="448" t="n">
        <f aca="false">IF($G67=0,IF(S$11=$H67,"◆",""),IF(AND(S$11&gt;=$H67,S$11&lt;=$I67),1,""))</f>
        <v>1</v>
      </c>
      <c r="T67" s="448" t="n">
        <f aca="false">IF($G67=0,IF(T$11=$H67,"◆",""),IF(AND(T$11&gt;=$H67,T$11&lt;=$I67),1,""))</f>
        <v>1</v>
      </c>
      <c r="U67" s="448" t="n">
        <f aca="false">IF($G67=0,IF(U$11=$H67,"◆",""),IF(AND(U$11&gt;=$H67,U$11&lt;=$I67),1,""))</f>
        <v>1</v>
      </c>
      <c r="V67" s="448" t="n">
        <f aca="false">IF($G67=0,IF(V$11=$H67,"◆",""),IF(AND(V$11&gt;=$H67,V$11&lt;=$I67),1,""))</f>
        <v>1</v>
      </c>
      <c r="W67" s="448" t="n">
        <f aca="false">IF($G67=0,IF(W$11=$H67,"◆",""),IF(AND(W$11&gt;=$H67,W$11&lt;=$I67),1,""))</f>
        <v>1</v>
      </c>
      <c r="X67" s="448" t="n">
        <f aca="false">IF($G67=0,IF(X$11=$H67,"◆",""),IF(AND(X$11&gt;=$H67,X$11&lt;=$I67),1,""))</f>
        <v>1</v>
      </c>
      <c r="Y67" s="448" t="n">
        <f aca="false">IF($G67=0,IF(Y$11=$H67,"◆",""),IF(AND(Y$11&gt;=$H67,Y$11&lt;=$I67),1,""))</f>
        <v>1</v>
      </c>
      <c r="Z67" s="448" t="n">
        <f aca="false">IF($G67=0,IF(Z$11=$H67,"◆",""),IF(AND(Z$11&gt;=$H67,Z$11&lt;=$I67),1,""))</f>
        <v>1</v>
      </c>
      <c r="AA67" s="448" t="n">
        <f aca="false">IF($G67=0,IF(AA$11=$H67,"◆",""),IF(AND(AA$11&gt;=$H67,AA$11&lt;=$I67),1,""))</f>
        <v>1</v>
      </c>
      <c r="AB67" s="448" t="n">
        <f aca="false">IF($G67=0,IF(AB$11=$H67,"◆",""),IF(AND(AB$11&gt;=$H67,AB$11&lt;=$I67),1,""))</f>
        <v>1</v>
      </c>
      <c r="AC67" s="448" t="n">
        <f aca="false">IF($G67=0,IF(AC$11=$H67,"◆",""),IF(AND(AC$11&gt;=$H67,AC$11&lt;=$I67),1,""))</f>
        <v>1</v>
      </c>
      <c r="AD67" s="448" t="n">
        <f aca="false">IF($G67=0,IF(AD$11=$H67,"◆",""),IF(AND(AD$11&gt;=$H67,AD$11&lt;=$I67),1,""))</f>
        <v>1</v>
      </c>
      <c r="AE67" s="448" t="str">
        <f aca="false">IF($G67=0,IF(AE$11=$H67,"◆",""),IF(AND(AE$11&gt;=$H67,AE$11&lt;=$I67),1,""))</f>
        <v/>
      </c>
      <c r="AF67" s="448" t="str">
        <f aca="false">IF($G67=0,IF(AF$11=$H67,"◆",""),IF(AND(AF$11&gt;=$H67,AF$11&lt;=$I67),1,""))</f>
        <v/>
      </c>
      <c r="AG67" s="448" t="str">
        <f aca="false">IF($G67=0,IF(AG$11=$H67,"◆",""),IF(AND(AG$11&gt;=$H67,AG$11&lt;=$I67),1,""))</f>
        <v/>
      </c>
      <c r="AH67" s="448" t="str">
        <f aca="false">IF($G67=0,IF(AH$11=$H67,"◆",""),IF(AND(AH$11&gt;=$H67,AH$11&lt;=$I67),1,""))</f>
        <v/>
      </c>
      <c r="AI67" s="448" t="str">
        <f aca="false">IF($G67=0,IF(AI$11=$H67,"◆",""),IF(AND(AI$11&gt;=$H67,AI$11&lt;=$I67),1,""))</f>
        <v/>
      </c>
      <c r="AJ67" s="448" t="str">
        <f aca="false">IF($G67=0,IF(AJ$11=$H67,"◆",""),IF(AND(AJ$11&gt;=$H67,AJ$11&lt;=$I67),1,""))</f>
        <v/>
      </c>
      <c r="AK67" s="448" t="str">
        <f aca="false">IF($G67=0,IF(AK$11=$H67,"◆",""),IF(AND(AK$11&gt;=$H67,AK$11&lt;=$I67),1,""))</f>
        <v/>
      </c>
      <c r="AL67" s="448" t="str">
        <f aca="false">IF($G67=0,IF(AL$11=$H67,"◆",""),IF(AND(AL$11&gt;=$H67,AL$11&lt;=$I67),1,""))</f>
        <v/>
      </c>
      <c r="AM67" s="448" t="str">
        <f aca="false">IF($G67=0,IF(AM$11=$H67,"◆",""),IF(AND(AM$11&gt;=$H67,AM$11&lt;=$I67),1,""))</f>
        <v/>
      </c>
      <c r="AN67" s="448" t="str">
        <f aca="false">IF($G67=0,IF(AN$11=$H67,"◆",""),IF(AND(AN$11&gt;=$H67,AN$11&lt;=$I67),1,""))</f>
        <v/>
      </c>
      <c r="AO67" s="448" t="str">
        <f aca="false">IF($G67=0,IF(AO$11=$H67,"◆",""),IF(AND(AO$11&gt;=$H67,AO$11&lt;=$I67),1,""))</f>
        <v/>
      </c>
      <c r="AP67" s="448" t="str">
        <f aca="false">IF($G67=0,IF(AP$11=$H67,"◆",""),IF(AND(AP$11&gt;=$H67,AP$11&lt;=$I67),1,""))</f>
        <v/>
      </c>
      <c r="AQ67" s="448" t="str">
        <f aca="false">IF($G67=0,IF(AQ$11=$H67,"◆",""),IF(AND(AQ$11&gt;=$H67,AQ$11&lt;=$I67),1,""))</f>
        <v/>
      </c>
      <c r="AR67" s="448" t="str">
        <f aca="false">IF($G67=0,IF(AR$11=$H67,"◆",""),IF(AND(AR$11&gt;=$H67,AR$11&lt;=$I67),1,""))</f>
        <v/>
      </c>
      <c r="AS67" s="448" t="str">
        <f aca="false">IF($G67=0,IF(AS$11=$H67,"◆",""),IF(AND(AS$11&gt;=$H67,AS$11&lt;=$I67),1,""))</f>
        <v/>
      </c>
      <c r="AT67" s="448" t="str">
        <f aca="false">IF($G67=0,IF(AT$11=$H67,"◆",""),IF(AND(AT$11&gt;=$H67,AT$11&lt;=$I67),1,""))</f>
        <v/>
      </c>
      <c r="AU67" s="448" t="str">
        <f aca="false">IF($G67=0,IF(AU$11=$H67,"◆",""),IF(AND(AU$11&gt;=$H67,AU$11&lt;=$I67),1,""))</f>
        <v/>
      </c>
      <c r="AV67" s="448" t="str">
        <f aca="false">IF($G67=0,IF(AV$11=$H67,"◆",""),IF(AND(AV$11&gt;=$H67,AV$11&lt;=$I67),1,""))</f>
        <v/>
      </c>
      <c r="AW67" s="448" t="str">
        <f aca="false">IF($G67=0,IF(AW$11=$H67,"◆",""),IF(AND(AW$11&gt;=$H67,AW$11&lt;=$I67),1,""))</f>
        <v/>
      </c>
      <c r="AX67" s="448" t="str">
        <f aca="false">IF($G67=0,IF(AX$11=$H67,"◆",""),IF(AND(AX$11&gt;=$H67,AX$11&lt;=$I67),1,""))</f>
        <v/>
      </c>
      <c r="AY67" s="448" t="str">
        <f aca="false">IF($G67=0,IF(AY$11=$H67,"◆",""),IF(AND(AY$11&gt;=$H67,AY$11&lt;=$I67),1,""))</f>
        <v/>
      </c>
      <c r="AZ67" s="448" t="str">
        <f aca="false">IF($G67=0,IF(AZ$11=$H67,"◆",""),IF(AND(AZ$11&gt;=$H67,AZ$11&lt;=$I67),1,""))</f>
        <v/>
      </c>
      <c r="BA67" s="448" t="str">
        <f aca="false">IF($G67=0,IF(BA$11=$H67,"◆",""),IF(AND(BA$11&gt;=$H67,BA$11&lt;=$I67),1,""))</f>
        <v/>
      </c>
      <c r="BB67" s="448" t="str">
        <f aca="false">IF($G67=0,IF(BB$11=$H67,"◆",""),IF(AND(BB$11&gt;=$H67,BB$11&lt;=$I67),1,""))</f>
        <v/>
      </c>
      <c r="BC67" s="448" t="str">
        <f aca="false">IF($G67=0,IF(BC$11=$H67,"◆",""),IF(AND(BC$11&gt;=$H67,BC$11&lt;=$I67),1,""))</f>
        <v/>
      </c>
      <c r="BD67" s="448" t="str">
        <f aca="false">IF($G67=0,IF(BD$11=$H67,"◆",""),IF(AND(BD$11&gt;=$H67,BD$11&lt;=$I67),1,""))</f>
        <v/>
      </c>
      <c r="BE67" s="448" t="str">
        <f aca="false">IF($G67=0,IF(BE$11=$H67,"◆",""),IF(AND(BE$11&gt;=$H67,BE$11&lt;=$I67),1,""))</f>
        <v/>
      </c>
      <c r="BF67" s="448" t="str">
        <f aca="false">IF($G67=0,IF(BF$11=$H67,"◆",""),IF(AND(BF$11&gt;=$H67,BF$11&lt;=$I67),1,""))</f>
        <v/>
      </c>
      <c r="BG67" s="448" t="str">
        <f aca="false">IF($G67=0,IF(BG$11=$H67,"◆",""),IF(AND(BG$11&gt;=$H67,BG$11&lt;=$I67),1,""))</f>
        <v/>
      </c>
      <c r="BH67" s="448" t="str">
        <f aca="false">IF($G67=0,IF(BH$11=$H67,"◆",""),IF(AND(BH$11&gt;=$H67,BH$11&lt;=$I67),1,""))</f>
        <v/>
      </c>
      <c r="BI67" s="448" t="str">
        <f aca="false">IF($G67=0,IF(BI$11=$H67,"◆",""),IF(AND(BI$11&gt;=$H67,BI$11&lt;=$I67),1,""))</f>
        <v/>
      </c>
      <c r="BJ67" s="448" t="str">
        <f aca="false">IF($G67=0,IF(BJ$11=$H67,"◆",""),IF(AND(BJ$11&gt;=$H67,BJ$11&lt;=$I67),1,""))</f>
        <v/>
      </c>
      <c r="BK67" s="448" t="str">
        <f aca="false">IF($G67=0,IF(BK$11=$H67,"◆",""),IF(AND(BK$11&gt;=$H67,BK$11&lt;=$I67),1,""))</f>
        <v/>
      </c>
      <c r="BL67" s="448" t="str">
        <f aca="false">IF($G67=0,IF(BL$11=$H67,"◆",""),IF(AND(BL$11&gt;=$H67,BL$11&lt;=$I67),1,""))</f>
        <v/>
      </c>
      <c r="BM67" s="448" t="str">
        <f aca="false">IF($G67=0,IF(BM$11=$H67,"◆",""),IF(AND(BM$11&gt;=$H67,BM$11&lt;=$I67),1,""))</f>
        <v/>
      </c>
      <c r="BN67" s="448" t="str">
        <f aca="false">IF($G67=0,IF(BN$11=$H67,"◆",""),IF(AND(BN$11&gt;=$H67,BN$11&lt;=$I67),1,""))</f>
        <v/>
      </c>
      <c r="BO67" s="448" t="str">
        <f aca="false">IF($G67=0,IF(BO$11=$H67,"◆",""),IF(AND(BO$11&gt;=$H67,BO$11&lt;=$I67),1,""))</f>
        <v/>
      </c>
      <c r="BP67" s="448" t="str">
        <f aca="false">IF($G67=0,IF(BP$11=$H67,"◆",""),IF(AND(BP$11&gt;=$H67,BP$11&lt;=$I67),1,""))</f>
        <v/>
      </c>
      <c r="BQ67" s="448" t="str">
        <f aca="false">IF($G67=0,IF(BQ$11=$H67,"◆",""),IF(AND(BQ$11&gt;=$H67,BQ$11&lt;=$I67),1,""))</f>
        <v/>
      </c>
      <c r="BR67" s="448" t="str">
        <f aca="false">IF($G67=0,IF(BR$11=$H67,"◆",""),IF(AND(BR$11&gt;=$H67,BR$11&lt;=$I67),1,""))</f>
        <v/>
      </c>
      <c r="BS67" s="448" t="str">
        <f aca="false">IF($G67=0,IF(BS$11=$H67,"◆",""),IF(AND(BS$11&gt;=$H67,BS$11&lt;=$I67),1,""))</f>
        <v/>
      </c>
      <c r="BT67" s="448" t="str">
        <f aca="false">IF($G67=0,IF(BT$11=$H67,"◆",""),IF(AND(BT$11&gt;=$H67,BT$11&lt;=$I67),1,""))</f>
        <v/>
      </c>
      <c r="BU67" s="448" t="str">
        <f aca="false">IF($G67=0,IF(BU$11=$H67,"◆",""),IF(AND(BU$11&gt;=$H67,BU$11&lt;=$I67),1,""))</f>
        <v/>
      </c>
      <c r="BV67" s="448" t="str">
        <f aca="false">IF($G67=0,IF(BV$11=$H67,"◆",""),IF(AND(BV$11&gt;=$H67,BV$11&lt;=$I67),1,""))</f>
        <v/>
      </c>
      <c r="BW67" s="448" t="str">
        <f aca="false">IF($G67=0,IF(BW$11=$H67,"◆",""),IF(AND(BW$11&gt;=$H67,BW$11&lt;=$I67),1,""))</f>
        <v/>
      </c>
      <c r="BX67" s="448" t="str">
        <f aca="false">IF($G67=0,IF(BX$11=$H67,"◆",""),IF(AND(BX$11&gt;=$H67,BX$11&lt;=$I67),1,""))</f>
        <v/>
      </c>
      <c r="BY67" s="448" t="str">
        <f aca="false">IF($G67=0,IF(BY$11=$H67,"◆",""),IF(AND(BY$11&gt;=$H67,BY$11&lt;=$I67),1,""))</f>
        <v/>
      </c>
      <c r="BZ67" s="448" t="str">
        <f aca="false">IF($G67=0,IF(BZ$11=$H67,"◆",""),IF(AND(BZ$11&gt;=$H67,BZ$11&lt;=$I67),1,""))</f>
        <v/>
      </c>
      <c r="CA67" s="448" t="str">
        <f aca="false">IF($G67=0,IF(CA$11=$H67,"◆",""),IF(AND(CA$11&gt;=$H67,CA$11&lt;=$I67),1,""))</f>
        <v/>
      </c>
      <c r="CB67" s="448" t="str">
        <f aca="false">IF($G67=0,IF(CB$11=$H67,"◆",""),IF(AND(CB$11&gt;=$H67,CB$11&lt;=$I67),1,""))</f>
        <v/>
      </c>
      <c r="CC67" s="448" t="str">
        <f aca="false">IF($G67=0,IF(CC$11=$H67,"◆",""),IF(AND(CC$11&gt;=$H67,CC$11&lt;=$I67),1,""))</f>
        <v/>
      </c>
      <c r="CD67" s="448" t="str">
        <f aca="false">IF($G67=0,IF(CD$11=$H67,"◆",""),IF(AND(CD$11&gt;=$H67,CD$11&lt;=$I67),1,""))</f>
        <v/>
      </c>
      <c r="CE67" s="448" t="str">
        <f aca="false">IF($G67=0,IF(CE$11=$H67,"◆",""),IF(AND(CE$11&gt;=$H67,CE$11&lt;=$I67),1,""))</f>
        <v/>
      </c>
      <c r="CF67" s="448" t="str">
        <f aca="false">IF($G67=0,IF(CF$11=$H67,"◆",""),IF(AND(CF$11&gt;=$H67,CF$11&lt;=$I67),1,""))</f>
        <v/>
      </c>
      <c r="CG67" s="448" t="str">
        <f aca="false">IF($G67=0,IF(CG$11=$H67,"◆",""),IF(AND(CG$11&gt;=$H67,CG$11&lt;=$I67),1,""))</f>
        <v/>
      </c>
      <c r="CH67" s="448" t="str">
        <f aca="false">IF($G67=0,IF(CH$11=$H67,"◆",""),IF(AND(CH$11&gt;=$H67,CH$11&lt;=$I67),1,""))</f>
        <v/>
      </c>
      <c r="CI67" s="448" t="str">
        <f aca="false">IF($G67=0,IF(CI$11=$H67,"◆",""),IF(AND(CI$11&gt;=$H67,CI$11&lt;=$I67),1,""))</f>
        <v/>
      </c>
      <c r="CJ67" s="448" t="str">
        <f aca="false">IF($G67=0,IF(CJ$11=$H67,"◆",""),IF(AND(CJ$11&gt;=$H67,CJ$11&lt;=$I67),1,""))</f>
        <v/>
      </c>
      <c r="CK67" s="448" t="str">
        <f aca="false">IF($G67=0,IF(CK$11=$H67,"◆",""),IF(AND(CK$11&gt;=$H67,CK$11&lt;=$I67),1,""))</f>
        <v/>
      </c>
      <c r="CL67" s="448" t="str">
        <f aca="false">IF($G67=0,IF(CL$11=$H67,"◆",""),IF(AND(CL$11&gt;=$H67,CL$11&lt;=$I67),1,""))</f>
        <v/>
      </c>
      <c r="CM67" s="448" t="str">
        <f aca="false">IF($G67=0,IF(CM$11=$H67,"◆",""),IF(AND(CM$11&gt;=$H67,CM$11&lt;=$I67),1,""))</f>
        <v/>
      </c>
      <c r="CN67" s="448" t="str">
        <f aca="false">IF($G67=0,IF(CN$11=$H67,"◆",""),IF(AND(CN$11&gt;=$H67,CN$11&lt;=$I67),1,""))</f>
        <v/>
      </c>
      <c r="CO67" s="448" t="str">
        <f aca="false">IF($G67=0,IF(CO$11=$H67,"◆",""),IF(AND(CO$11&gt;=$H67,CO$11&lt;=$I67),1,""))</f>
        <v/>
      </c>
      <c r="CP67" s="448" t="str">
        <f aca="false">IF($G67=0,IF(CP$11=$H67,"◆",""),IF(AND(CP$11&gt;=$H67,CP$11&lt;=$I67),1,""))</f>
        <v/>
      </c>
      <c r="CQ67" s="448" t="str">
        <f aca="false">IF($G67=0,IF(CQ$11=$H67,"◆",""),IF(AND(CQ$11&gt;=$H67,CQ$11&lt;=$I67),1,""))</f>
        <v/>
      </c>
      <c r="CR67" s="448" t="str">
        <f aca="false">IF($G67=0,IF(CR$11=$H67,"◆",""),IF(AND(CR$11&gt;=$H67,CR$11&lt;=$I67),1,""))</f>
        <v/>
      </c>
      <c r="CS67" s="448" t="str">
        <f aca="false">IF($G67=0,IF(CS$11=$H67,"◆",""),IF(AND(CS$11&gt;=$H67,CS$11&lt;=$I67),1,""))</f>
        <v/>
      </c>
      <c r="CT67" s="448" t="str">
        <f aca="false">IF($G67=0,IF(CT$11=$H67,"◆",""),IF(AND(CT$11&gt;=$H67,CT$11&lt;=$I67),1,""))</f>
        <v/>
      </c>
      <c r="CU67" s="448" t="str">
        <f aca="false">IF($G67=0,IF(CU$11=$H67,"◆",""),IF(AND(CU$11&gt;=$H67,CU$11&lt;=$I67),1,""))</f>
        <v/>
      </c>
      <c r="CV67" s="448" t="str">
        <f aca="false">IF($G67=0,IF(CV$11=$H67,"◆",""),IF(AND(CV$11&gt;=$H67,CV$11&lt;=$I67),1,""))</f>
        <v/>
      </c>
      <c r="CW67" s="448" t="str">
        <f aca="false">IF($G67=0,IF(CW$11=$H67,"◆",""),IF(AND(CW$11&gt;=$H67,CW$11&lt;=$I67),1,""))</f>
        <v/>
      </c>
      <c r="CX67" s="448" t="str">
        <f aca="false">IF($G67=0,IF(CX$11=$H67,"◆",""),IF(AND(CX$11&gt;=$H67,CX$11&lt;=$I67),1,""))</f>
        <v/>
      </c>
      <c r="CY67" s="448" t="str">
        <f aca="false">IF($G67=0,IF(CY$11=$H67,"◆",""),IF(AND(CY$11&gt;=$H67,CY$11&lt;=$I67),1,""))</f>
        <v/>
      </c>
      <c r="CZ67" s="448" t="str">
        <f aca="false">IF($G67=0,IF(CZ$11=$H67,"◆",""),IF(AND(CZ$11&gt;=$H67,CZ$11&lt;=$I67),1,""))</f>
        <v/>
      </c>
      <c r="DA67" s="448" t="str">
        <f aca="false">IF($G67=0,IF(DA$11=$H67,"◆",""),IF(AND(DA$11&gt;=$H67,DA$11&lt;=$I67),1,""))</f>
        <v/>
      </c>
      <c r="DB67" s="448" t="str">
        <f aca="false">IF($G67=0,IF(DB$11=$H67,"◆",""),IF(AND(DB$11&gt;=$H67,DB$11&lt;=$I67),1,""))</f>
        <v/>
      </c>
      <c r="DC67" s="448" t="str">
        <f aca="false">IF($G67=0,IF(DC$11=$H67,"◆",""),IF(AND(DC$11&gt;=$H67,DC$11&lt;=$I67),1,""))</f>
        <v/>
      </c>
      <c r="DD67" s="448" t="str">
        <f aca="false">IF($G67=0,IF(DD$11=$H67,"◆",""),IF(AND(DD$11&gt;=$H67,DD$11&lt;=$I67),1,""))</f>
        <v/>
      </c>
      <c r="DE67" s="448" t="str">
        <f aca="false">IF($G67=0,IF(DE$11=$H67,"◆",""),IF(AND(DE$11&gt;=$H67,DE$11&lt;=$I67),1,""))</f>
        <v/>
      </c>
      <c r="DF67" s="448" t="str">
        <f aca="false">IF($G67=0,IF(DF$11=$H67,"◆",""),IF(AND(DF$11&gt;=$H67,DF$11&lt;=$I67),1,""))</f>
        <v/>
      </c>
      <c r="DG67" s="448" t="str">
        <f aca="false">IF($G67=0,IF(DG$11=$H67,"◆",""),IF(AND(DG$11&gt;=$H67,DG$11&lt;=$I67),1,""))</f>
        <v/>
      </c>
      <c r="DH67" s="448" t="str">
        <f aca="false">IF($G67=0,IF(DH$11=$H67,"◆",""),IF(AND(DH$11&gt;=$H67,DH$11&lt;=$I67),1,""))</f>
        <v/>
      </c>
      <c r="DI67" s="448" t="str">
        <f aca="false">IF($G67=0,IF(DI$11=$H67,"◆",""),IF(AND(DI$11&gt;=$H67,DI$11&lt;=$I67),1,""))</f>
        <v/>
      </c>
      <c r="DJ67" s="448" t="str">
        <f aca="false">IF($G67=0,IF(DJ$11=$H67,"◆",""),IF(AND(DJ$11&gt;=$H67,DJ$11&lt;=$I67),1,""))</f>
        <v/>
      </c>
      <c r="DK67" s="448" t="str">
        <f aca="false">IF($G67=0,IF(DK$11=$H67,"◆",""),IF(AND(DK$11&gt;=$H67,DK$11&lt;=$I67),1,""))</f>
        <v/>
      </c>
      <c r="DL67" s="448" t="str">
        <f aca="false">IF($G67=0,IF(DL$11=$H67,"◆",""),IF(AND(DL$11&gt;=$H67,DL$11&lt;=$I67),1,""))</f>
        <v/>
      </c>
      <c r="DM67" s="448" t="str">
        <f aca="false">IF($G67=0,IF(DM$11=$H67,"◆",""),IF(AND(DM$11&gt;=$H67,DM$11&lt;=$I67),1,""))</f>
        <v/>
      </c>
      <c r="DN67" s="448" t="str">
        <f aca="false">IF($G67=0,IF(DN$11=$H67,"◆",""),IF(AND(DN$11&gt;=$H67,DN$11&lt;=$I67),1,""))</f>
        <v/>
      </c>
      <c r="DO67" s="448" t="str">
        <f aca="false">IF($G67=0,IF(DO$11=$H67,"◆",""),IF(AND(DO$11&gt;=$H67,DO$11&lt;=$I67),1,""))</f>
        <v/>
      </c>
      <c r="DP67" s="448" t="str">
        <f aca="false">IF($G67=0,IF(DP$11=$H67,"◆",""),IF(AND(DP$11&gt;=$H67,DP$11&lt;=$I67),1,""))</f>
        <v/>
      </c>
      <c r="DQ67" s="448" t="str">
        <f aca="false">IF($G67=0,IF(DQ$11=$H67,"◆",""),IF(AND(DQ$11&gt;=$H67,DQ$11&lt;=$I67),1,""))</f>
        <v/>
      </c>
      <c r="DR67" s="448" t="str">
        <f aca="false">IF($G67=0,IF(DR$11=$H67,"◆",""),IF(AND(DR$11&gt;=$H67,DR$11&lt;=$I67),1,""))</f>
        <v/>
      </c>
      <c r="DS67" s="448" t="str">
        <f aca="false">IF($G67=0,IF(DS$11=$H67,"◆",""),IF(AND(DS$11&gt;=$H67,DS$11&lt;=$I67),1,""))</f>
        <v/>
      </c>
      <c r="DT67" s="448" t="str">
        <f aca="false">IF($G67=0,IF(DT$11=$H67,"◆",""),IF(AND(DT$11&gt;=$H67,DT$11&lt;=$I67),1,""))</f>
        <v/>
      </c>
      <c r="DU67" s="448" t="str">
        <f aca="false">IF($G67=0,IF(DU$11=$H67,"◆",""),IF(AND(DU$11&gt;=$H67,DU$11&lt;=$I67),1,""))</f>
        <v/>
      </c>
      <c r="DV67" s="448" t="str">
        <f aca="false">IF($G67=0,IF(DV$11=$H67,"◆",""),IF(AND(DV$11&gt;=$H67,DV$11&lt;=$I67),1,""))</f>
        <v/>
      </c>
      <c r="DW67" s="448" t="str">
        <f aca="false">IF($G67=0,IF(DW$11=$H67,"◆",""),IF(AND(DW$11&gt;=$H67,DW$11&lt;=$I67),1,""))</f>
        <v/>
      </c>
      <c r="DX67" s="448" t="str">
        <f aca="false">IF($G67=0,IF(DX$11=$H67,"◆",""),IF(AND(DX$11&gt;=$H67,DX$11&lt;=$I67),1,""))</f>
        <v/>
      </c>
      <c r="DY67" s="448" t="str">
        <f aca="false">IF($G67=0,IF(DY$11=$H67,"◆",""),IF(AND(DY$11&gt;=$H67,DY$11&lt;=$I67),1,""))</f>
        <v/>
      </c>
      <c r="DZ67" s="448" t="str">
        <f aca="false">IF($G67=0,IF(DZ$11=$H67,"◆",""),IF(AND(DZ$11&gt;=$H67,DZ$11&lt;=$I67),1,""))</f>
        <v/>
      </c>
      <c r="EA67" s="448" t="str">
        <f aca="false">IF($G67=0,IF(EA$11=$H67,"◆",""),IF(AND(EA$11&gt;=$H67,EA$11&lt;=$I67),1,""))</f>
        <v/>
      </c>
      <c r="EB67" s="448" t="str">
        <f aca="false">IF($G67=0,IF(EB$11=$H67,"◆",""),IF(AND(EB$11&gt;=$H67,EB$11&lt;=$I67),1,""))</f>
        <v/>
      </c>
      <c r="EC67" s="448" t="str">
        <f aca="false">IF($G67=0,IF(EC$11=$H67,"◆",""),IF(AND(EC$11&gt;=$H67,EC$11&lt;=$I67),1,""))</f>
        <v/>
      </c>
      <c r="ED67" s="448" t="str">
        <f aca="false">IF($G67=0,IF(ED$11=$H67,"◆",""),IF(AND(ED$11&gt;=$H67,ED$11&lt;=$I67),1,""))</f>
        <v/>
      </c>
    </row>
    <row r="68" customFormat="false" ht="15" hidden="false" customHeight="true" outlineLevel="0" collapsed="false">
      <c r="A68" s="460"/>
      <c r="B68" s="461" t="s">
        <v>2569</v>
      </c>
      <c r="C68" s="462"/>
      <c r="D68" s="462"/>
      <c r="E68" s="462"/>
      <c r="F68" s="462"/>
      <c r="G68" s="462"/>
      <c r="H68" s="462"/>
      <c r="I68" s="462"/>
      <c r="J68" s="462"/>
      <c r="K68" s="462"/>
      <c r="L68" s="462"/>
      <c r="M68" s="462"/>
      <c r="N68" s="462"/>
      <c r="O68" s="462"/>
      <c r="P68" s="462"/>
      <c r="Q68" s="462"/>
      <c r="R68" s="462"/>
      <c r="S68" s="462"/>
      <c r="T68" s="462"/>
      <c r="U68" s="462"/>
      <c r="V68" s="462"/>
      <c r="W68" s="462"/>
      <c r="X68" s="462"/>
      <c r="Y68" s="462"/>
      <c r="Z68" s="462"/>
      <c r="AA68" s="462"/>
      <c r="AB68" s="462"/>
      <c r="AC68" s="462"/>
      <c r="AD68" s="462"/>
      <c r="AE68" s="462"/>
      <c r="AF68" s="462"/>
      <c r="AG68" s="462"/>
      <c r="AH68" s="462"/>
      <c r="AI68" s="462"/>
      <c r="AJ68" s="462"/>
      <c r="AK68" s="462"/>
      <c r="AL68" s="462"/>
      <c r="AM68" s="462"/>
      <c r="AN68" s="462"/>
      <c r="AO68" s="462"/>
      <c r="AP68" s="462"/>
      <c r="AQ68" s="462"/>
      <c r="AR68" s="462"/>
      <c r="AS68" s="462"/>
      <c r="AT68" s="462"/>
      <c r="AU68" s="462"/>
      <c r="AV68" s="462"/>
      <c r="AW68" s="462"/>
      <c r="AX68" s="462"/>
      <c r="AY68" s="462"/>
      <c r="AZ68" s="462"/>
      <c r="BA68" s="462"/>
      <c r="BB68" s="462"/>
      <c r="BC68" s="462"/>
      <c r="BD68" s="462"/>
      <c r="BE68" s="462"/>
      <c r="BF68" s="462"/>
      <c r="BG68" s="462"/>
      <c r="BH68" s="462"/>
      <c r="BI68" s="462"/>
      <c r="BJ68" s="462"/>
      <c r="BK68" s="462"/>
      <c r="BL68" s="462"/>
      <c r="BM68" s="462"/>
      <c r="BN68" s="462"/>
      <c r="BO68" s="462"/>
      <c r="BP68" s="462"/>
      <c r="BQ68" s="462"/>
      <c r="BR68" s="462"/>
      <c r="BS68" s="462"/>
      <c r="BT68" s="462"/>
      <c r="BU68" s="462"/>
      <c r="BV68" s="462"/>
      <c r="BW68" s="462"/>
      <c r="BX68" s="462"/>
      <c r="BY68" s="462"/>
      <c r="BZ68" s="462"/>
      <c r="CA68" s="462"/>
      <c r="CB68" s="462"/>
      <c r="CC68" s="462"/>
      <c r="CD68" s="462"/>
      <c r="CE68" s="462"/>
      <c r="CF68" s="462"/>
      <c r="CG68" s="462"/>
      <c r="CH68" s="462"/>
      <c r="CI68" s="462"/>
      <c r="CJ68" s="462"/>
      <c r="CK68" s="462"/>
      <c r="CL68" s="462"/>
      <c r="CM68" s="462"/>
      <c r="CN68" s="462"/>
      <c r="CO68" s="462"/>
      <c r="CP68" s="462"/>
      <c r="CQ68" s="462"/>
      <c r="CR68" s="462"/>
      <c r="CS68" s="462"/>
      <c r="CT68" s="462"/>
      <c r="CU68" s="462"/>
      <c r="CV68" s="462"/>
      <c r="CW68" s="462"/>
      <c r="CX68" s="462"/>
      <c r="CY68" s="462"/>
      <c r="CZ68" s="462"/>
      <c r="DA68" s="462"/>
      <c r="DB68" s="462"/>
      <c r="DC68" s="462"/>
      <c r="DD68" s="462"/>
      <c r="DE68" s="462"/>
      <c r="DF68" s="462"/>
      <c r="DG68" s="462"/>
      <c r="DH68" s="462"/>
      <c r="DI68" s="462"/>
      <c r="DJ68" s="462"/>
      <c r="DK68" s="462"/>
      <c r="DL68" s="462"/>
      <c r="DM68" s="462"/>
      <c r="DN68" s="462"/>
      <c r="DO68" s="462"/>
      <c r="DP68" s="462"/>
      <c r="DQ68" s="462"/>
      <c r="DR68" s="462"/>
      <c r="DS68" s="462"/>
      <c r="DT68" s="462"/>
      <c r="DU68" s="462"/>
      <c r="DV68" s="462"/>
      <c r="DW68" s="462"/>
      <c r="DX68" s="462"/>
      <c r="DY68" s="462"/>
      <c r="DZ68" s="462"/>
      <c r="EA68" s="462"/>
      <c r="EB68" s="462"/>
      <c r="EC68" s="462"/>
      <c r="ED68" s="462"/>
    </row>
    <row r="69" customFormat="false" ht="15" hidden="false" customHeight="true" outlineLevel="0" collapsed="false">
      <c r="A69" s="441" t="s">
        <v>2570</v>
      </c>
      <c r="B69" s="297" t="s">
        <v>2571</v>
      </c>
      <c r="C69" s="442" t="s">
        <v>2572</v>
      </c>
      <c r="D69" s="443" t="s">
        <v>2436</v>
      </c>
      <c r="E69" s="354" t="n">
        <f aca="false">1</f>
        <v>1</v>
      </c>
      <c r="F69" s="352" t="n">
        <v>0</v>
      </c>
      <c r="G69" s="352" t="n">
        <v>1</v>
      </c>
      <c r="H69" s="367" t="n">
        <f aca="false">MAX(1,ROUND(($E69-1)*$D$5,0)+1+$F69)</f>
        <v>1</v>
      </c>
      <c r="I69" s="367" t="n">
        <f aca="false">MAX($H69,$H69+$G69-1)</f>
        <v>1</v>
      </c>
      <c r="J69" s="444" t="n">
        <f aca="false">$D$4+($H69-1)*7</f>
        <v>46300</v>
      </c>
      <c r="K69" s="444" t="n">
        <f aca="false">$D$4+$I69*7-1</f>
        <v>46306</v>
      </c>
      <c r="L69" s="445" t="n">
        <f aca="false">ROUNDUP($H69/$D$5,0)</f>
        <v>1</v>
      </c>
      <c r="M69" s="446"/>
      <c r="N69" s="447" t="n">
        <v>0</v>
      </c>
      <c r="O69" s="448" t="n">
        <f aca="false">IF($G69=0,IF(O$11=$H69,"◆",""),IF(AND(O$11&gt;=$H69,O$11&lt;=$I69),1,""))</f>
        <v>1</v>
      </c>
      <c r="P69" s="448" t="str">
        <f aca="false">IF($G69=0,IF(P$11=$H69,"◆",""),IF(AND(P$11&gt;=$H69,P$11&lt;=$I69),1,""))</f>
        <v/>
      </c>
      <c r="Q69" s="448" t="str">
        <f aca="false">IF($G69=0,IF(Q$11=$H69,"◆",""),IF(AND(Q$11&gt;=$H69,Q$11&lt;=$I69),1,""))</f>
        <v/>
      </c>
      <c r="R69" s="448" t="str">
        <f aca="false">IF($G69=0,IF(R$11=$H69,"◆",""),IF(AND(R$11&gt;=$H69,R$11&lt;=$I69),1,""))</f>
        <v/>
      </c>
      <c r="S69" s="448" t="str">
        <f aca="false">IF($G69=0,IF(S$11=$H69,"◆",""),IF(AND(S$11&gt;=$H69,S$11&lt;=$I69),1,""))</f>
        <v/>
      </c>
      <c r="T69" s="448" t="str">
        <f aca="false">IF($G69=0,IF(T$11=$H69,"◆",""),IF(AND(T$11&gt;=$H69,T$11&lt;=$I69),1,""))</f>
        <v/>
      </c>
      <c r="U69" s="448" t="str">
        <f aca="false">IF($G69=0,IF(U$11=$H69,"◆",""),IF(AND(U$11&gt;=$H69,U$11&lt;=$I69),1,""))</f>
        <v/>
      </c>
      <c r="V69" s="448" t="str">
        <f aca="false">IF($G69=0,IF(V$11=$H69,"◆",""),IF(AND(V$11&gt;=$H69,V$11&lt;=$I69),1,""))</f>
        <v/>
      </c>
      <c r="W69" s="448" t="str">
        <f aca="false">IF($G69=0,IF(W$11=$H69,"◆",""),IF(AND(W$11&gt;=$H69,W$11&lt;=$I69),1,""))</f>
        <v/>
      </c>
      <c r="X69" s="448" t="str">
        <f aca="false">IF($G69=0,IF(X$11=$H69,"◆",""),IF(AND(X$11&gt;=$H69,X$11&lt;=$I69),1,""))</f>
        <v/>
      </c>
      <c r="Y69" s="448" t="str">
        <f aca="false">IF($G69=0,IF(Y$11=$H69,"◆",""),IF(AND(Y$11&gt;=$H69,Y$11&lt;=$I69),1,""))</f>
        <v/>
      </c>
      <c r="Z69" s="448" t="str">
        <f aca="false">IF($G69=0,IF(Z$11=$H69,"◆",""),IF(AND(Z$11&gt;=$H69,Z$11&lt;=$I69),1,""))</f>
        <v/>
      </c>
      <c r="AA69" s="448" t="str">
        <f aca="false">IF($G69=0,IF(AA$11=$H69,"◆",""),IF(AND(AA$11&gt;=$H69,AA$11&lt;=$I69),1,""))</f>
        <v/>
      </c>
      <c r="AB69" s="448" t="str">
        <f aca="false">IF($G69=0,IF(AB$11=$H69,"◆",""),IF(AND(AB$11&gt;=$H69,AB$11&lt;=$I69),1,""))</f>
        <v/>
      </c>
      <c r="AC69" s="448" t="str">
        <f aca="false">IF($G69=0,IF(AC$11=$H69,"◆",""),IF(AND(AC$11&gt;=$H69,AC$11&lt;=$I69),1,""))</f>
        <v/>
      </c>
      <c r="AD69" s="448" t="str">
        <f aca="false">IF($G69=0,IF(AD$11=$H69,"◆",""),IF(AND(AD$11&gt;=$H69,AD$11&lt;=$I69),1,""))</f>
        <v/>
      </c>
      <c r="AE69" s="448" t="str">
        <f aca="false">IF($G69=0,IF(AE$11=$H69,"◆",""),IF(AND(AE$11&gt;=$H69,AE$11&lt;=$I69),1,""))</f>
        <v/>
      </c>
      <c r="AF69" s="448" t="str">
        <f aca="false">IF($G69=0,IF(AF$11=$H69,"◆",""),IF(AND(AF$11&gt;=$H69,AF$11&lt;=$I69),1,""))</f>
        <v/>
      </c>
      <c r="AG69" s="448" t="str">
        <f aca="false">IF($G69=0,IF(AG$11=$H69,"◆",""),IF(AND(AG$11&gt;=$H69,AG$11&lt;=$I69),1,""))</f>
        <v/>
      </c>
      <c r="AH69" s="448" t="str">
        <f aca="false">IF($G69=0,IF(AH$11=$H69,"◆",""),IF(AND(AH$11&gt;=$H69,AH$11&lt;=$I69),1,""))</f>
        <v/>
      </c>
      <c r="AI69" s="448" t="str">
        <f aca="false">IF($G69=0,IF(AI$11=$H69,"◆",""),IF(AND(AI$11&gt;=$H69,AI$11&lt;=$I69),1,""))</f>
        <v/>
      </c>
      <c r="AJ69" s="448" t="str">
        <f aca="false">IF($G69=0,IF(AJ$11=$H69,"◆",""),IF(AND(AJ$11&gt;=$H69,AJ$11&lt;=$I69),1,""))</f>
        <v/>
      </c>
      <c r="AK69" s="448" t="str">
        <f aca="false">IF($G69=0,IF(AK$11=$H69,"◆",""),IF(AND(AK$11&gt;=$H69,AK$11&lt;=$I69),1,""))</f>
        <v/>
      </c>
      <c r="AL69" s="448" t="str">
        <f aca="false">IF($G69=0,IF(AL$11=$H69,"◆",""),IF(AND(AL$11&gt;=$H69,AL$11&lt;=$I69),1,""))</f>
        <v/>
      </c>
      <c r="AM69" s="448" t="str">
        <f aca="false">IF($G69=0,IF(AM$11=$H69,"◆",""),IF(AND(AM$11&gt;=$H69,AM$11&lt;=$I69),1,""))</f>
        <v/>
      </c>
      <c r="AN69" s="448" t="str">
        <f aca="false">IF($G69=0,IF(AN$11=$H69,"◆",""),IF(AND(AN$11&gt;=$H69,AN$11&lt;=$I69),1,""))</f>
        <v/>
      </c>
      <c r="AO69" s="448" t="str">
        <f aca="false">IF($G69=0,IF(AO$11=$H69,"◆",""),IF(AND(AO$11&gt;=$H69,AO$11&lt;=$I69),1,""))</f>
        <v/>
      </c>
      <c r="AP69" s="448" t="str">
        <f aca="false">IF($G69=0,IF(AP$11=$H69,"◆",""),IF(AND(AP$11&gt;=$H69,AP$11&lt;=$I69),1,""))</f>
        <v/>
      </c>
      <c r="AQ69" s="448" t="str">
        <f aca="false">IF($G69=0,IF(AQ$11=$H69,"◆",""),IF(AND(AQ$11&gt;=$H69,AQ$11&lt;=$I69),1,""))</f>
        <v/>
      </c>
      <c r="AR69" s="448" t="str">
        <f aca="false">IF($G69=0,IF(AR$11=$H69,"◆",""),IF(AND(AR$11&gt;=$H69,AR$11&lt;=$I69),1,""))</f>
        <v/>
      </c>
      <c r="AS69" s="448" t="str">
        <f aca="false">IF($G69=0,IF(AS$11=$H69,"◆",""),IF(AND(AS$11&gt;=$H69,AS$11&lt;=$I69),1,""))</f>
        <v/>
      </c>
      <c r="AT69" s="448" t="str">
        <f aca="false">IF($G69=0,IF(AT$11=$H69,"◆",""),IF(AND(AT$11&gt;=$H69,AT$11&lt;=$I69),1,""))</f>
        <v/>
      </c>
      <c r="AU69" s="448" t="str">
        <f aca="false">IF($G69=0,IF(AU$11=$H69,"◆",""),IF(AND(AU$11&gt;=$H69,AU$11&lt;=$I69),1,""))</f>
        <v/>
      </c>
      <c r="AV69" s="448" t="str">
        <f aca="false">IF($G69=0,IF(AV$11=$H69,"◆",""),IF(AND(AV$11&gt;=$H69,AV$11&lt;=$I69),1,""))</f>
        <v/>
      </c>
      <c r="AW69" s="448" t="str">
        <f aca="false">IF($G69=0,IF(AW$11=$H69,"◆",""),IF(AND(AW$11&gt;=$H69,AW$11&lt;=$I69),1,""))</f>
        <v/>
      </c>
      <c r="AX69" s="448" t="str">
        <f aca="false">IF($G69=0,IF(AX$11=$H69,"◆",""),IF(AND(AX$11&gt;=$H69,AX$11&lt;=$I69),1,""))</f>
        <v/>
      </c>
      <c r="AY69" s="448" t="str">
        <f aca="false">IF($G69=0,IF(AY$11=$H69,"◆",""),IF(AND(AY$11&gt;=$H69,AY$11&lt;=$I69),1,""))</f>
        <v/>
      </c>
      <c r="AZ69" s="448" t="str">
        <f aca="false">IF($G69=0,IF(AZ$11=$H69,"◆",""),IF(AND(AZ$11&gt;=$H69,AZ$11&lt;=$I69),1,""))</f>
        <v/>
      </c>
      <c r="BA69" s="448" t="str">
        <f aca="false">IF($G69=0,IF(BA$11=$H69,"◆",""),IF(AND(BA$11&gt;=$H69,BA$11&lt;=$I69),1,""))</f>
        <v/>
      </c>
      <c r="BB69" s="448" t="str">
        <f aca="false">IF($G69=0,IF(BB$11=$H69,"◆",""),IF(AND(BB$11&gt;=$H69,BB$11&lt;=$I69),1,""))</f>
        <v/>
      </c>
      <c r="BC69" s="448" t="str">
        <f aca="false">IF($G69=0,IF(BC$11=$H69,"◆",""),IF(AND(BC$11&gt;=$H69,BC$11&lt;=$I69),1,""))</f>
        <v/>
      </c>
      <c r="BD69" s="448" t="str">
        <f aca="false">IF($G69=0,IF(BD$11=$H69,"◆",""),IF(AND(BD$11&gt;=$H69,BD$11&lt;=$I69),1,""))</f>
        <v/>
      </c>
      <c r="BE69" s="448" t="str">
        <f aca="false">IF($G69=0,IF(BE$11=$H69,"◆",""),IF(AND(BE$11&gt;=$H69,BE$11&lt;=$I69),1,""))</f>
        <v/>
      </c>
      <c r="BF69" s="448" t="str">
        <f aca="false">IF($G69=0,IF(BF$11=$H69,"◆",""),IF(AND(BF$11&gt;=$H69,BF$11&lt;=$I69),1,""))</f>
        <v/>
      </c>
      <c r="BG69" s="448" t="str">
        <f aca="false">IF($G69=0,IF(BG$11=$H69,"◆",""),IF(AND(BG$11&gt;=$H69,BG$11&lt;=$I69),1,""))</f>
        <v/>
      </c>
      <c r="BH69" s="448" t="str">
        <f aca="false">IF($G69=0,IF(BH$11=$H69,"◆",""),IF(AND(BH$11&gt;=$H69,BH$11&lt;=$I69),1,""))</f>
        <v/>
      </c>
      <c r="BI69" s="448" t="str">
        <f aca="false">IF($G69=0,IF(BI$11=$H69,"◆",""),IF(AND(BI$11&gt;=$H69,BI$11&lt;=$I69),1,""))</f>
        <v/>
      </c>
      <c r="BJ69" s="448" t="str">
        <f aca="false">IF($G69=0,IF(BJ$11=$H69,"◆",""),IF(AND(BJ$11&gt;=$H69,BJ$11&lt;=$I69),1,""))</f>
        <v/>
      </c>
      <c r="BK69" s="448" t="str">
        <f aca="false">IF($G69=0,IF(BK$11=$H69,"◆",""),IF(AND(BK$11&gt;=$H69,BK$11&lt;=$I69),1,""))</f>
        <v/>
      </c>
      <c r="BL69" s="448" t="str">
        <f aca="false">IF($G69=0,IF(BL$11=$H69,"◆",""),IF(AND(BL$11&gt;=$H69,BL$11&lt;=$I69),1,""))</f>
        <v/>
      </c>
      <c r="BM69" s="448" t="str">
        <f aca="false">IF($G69=0,IF(BM$11=$H69,"◆",""),IF(AND(BM$11&gt;=$H69,BM$11&lt;=$I69),1,""))</f>
        <v/>
      </c>
      <c r="BN69" s="448" t="str">
        <f aca="false">IF($G69=0,IF(BN$11=$H69,"◆",""),IF(AND(BN$11&gt;=$H69,BN$11&lt;=$I69),1,""))</f>
        <v/>
      </c>
      <c r="BO69" s="448" t="str">
        <f aca="false">IF($G69=0,IF(BO$11=$H69,"◆",""),IF(AND(BO$11&gt;=$H69,BO$11&lt;=$I69),1,""))</f>
        <v/>
      </c>
      <c r="BP69" s="448" t="str">
        <f aca="false">IF($G69=0,IF(BP$11=$H69,"◆",""),IF(AND(BP$11&gt;=$H69,BP$11&lt;=$I69),1,""))</f>
        <v/>
      </c>
      <c r="BQ69" s="448" t="str">
        <f aca="false">IF($G69=0,IF(BQ$11=$H69,"◆",""),IF(AND(BQ$11&gt;=$H69,BQ$11&lt;=$I69),1,""))</f>
        <v/>
      </c>
      <c r="BR69" s="448" t="str">
        <f aca="false">IF($G69=0,IF(BR$11=$H69,"◆",""),IF(AND(BR$11&gt;=$H69,BR$11&lt;=$I69),1,""))</f>
        <v/>
      </c>
      <c r="BS69" s="448" t="str">
        <f aca="false">IF($G69=0,IF(BS$11=$H69,"◆",""),IF(AND(BS$11&gt;=$H69,BS$11&lt;=$I69),1,""))</f>
        <v/>
      </c>
      <c r="BT69" s="448" t="str">
        <f aca="false">IF($G69=0,IF(BT$11=$H69,"◆",""),IF(AND(BT$11&gt;=$H69,BT$11&lt;=$I69),1,""))</f>
        <v/>
      </c>
      <c r="BU69" s="448" t="str">
        <f aca="false">IF($G69=0,IF(BU$11=$H69,"◆",""),IF(AND(BU$11&gt;=$H69,BU$11&lt;=$I69),1,""))</f>
        <v/>
      </c>
      <c r="BV69" s="448" t="str">
        <f aca="false">IF($G69=0,IF(BV$11=$H69,"◆",""),IF(AND(BV$11&gt;=$H69,BV$11&lt;=$I69),1,""))</f>
        <v/>
      </c>
      <c r="BW69" s="448" t="str">
        <f aca="false">IF($G69=0,IF(BW$11=$H69,"◆",""),IF(AND(BW$11&gt;=$H69,BW$11&lt;=$I69),1,""))</f>
        <v/>
      </c>
      <c r="BX69" s="448" t="str">
        <f aca="false">IF($G69=0,IF(BX$11=$H69,"◆",""),IF(AND(BX$11&gt;=$H69,BX$11&lt;=$I69),1,""))</f>
        <v/>
      </c>
      <c r="BY69" s="448" t="str">
        <f aca="false">IF($G69=0,IF(BY$11=$H69,"◆",""),IF(AND(BY$11&gt;=$H69,BY$11&lt;=$I69),1,""))</f>
        <v/>
      </c>
      <c r="BZ69" s="448" t="str">
        <f aca="false">IF($G69=0,IF(BZ$11=$H69,"◆",""),IF(AND(BZ$11&gt;=$H69,BZ$11&lt;=$I69),1,""))</f>
        <v/>
      </c>
      <c r="CA69" s="448" t="str">
        <f aca="false">IF($G69=0,IF(CA$11=$H69,"◆",""),IF(AND(CA$11&gt;=$H69,CA$11&lt;=$I69),1,""))</f>
        <v/>
      </c>
      <c r="CB69" s="448" t="str">
        <f aca="false">IF($G69=0,IF(CB$11=$H69,"◆",""),IF(AND(CB$11&gt;=$H69,CB$11&lt;=$I69),1,""))</f>
        <v/>
      </c>
      <c r="CC69" s="448" t="str">
        <f aca="false">IF($G69=0,IF(CC$11=$H69,"◆",""),IF(AND(CC$11&gt;=$H69,CC$11&lt;=$I69),1,""))</f>
        <v/>
      </c>
      <c r="CD69" s="448" t="str">
        <f aca="false">IF($G69=0,IF(CD$11=$H69,"◆",""),IF(AND(CD$11&gt;=$H69,CD$11&lt;=$I69),1,""))</f>
        <v/>
      </c>
      <c r="CE69" s="448" t="str">
        <f aca="false">IF($G69=0,IF(CE$11=$H69,"◆",""),IF(AND(CE$11&gt;=$H69,CE$11&lt;=$I69),1,""))</f>
        <v/>
      </c>
      <c r="CF69" s="448" t="str">
        <f aca="false">IF($G69=0,IF(CF$11=$H69,"◆",""),IF(AND(CF$11&gt;=$H69,CF$11&lt;=$I69),1,""))</f>
        <v/>
      </c>
      <c r="CG69" s="448" t="str">
        <f aca="false">IF($G69=0,IF(CG$11=$H69,"◆",""),IF(AND(CG$11&gt;=$H69,CG$11&lt;=$I69),1,""))</f>
        <v/>
      </c>
      <c r="CH69" s="448" t="str">
        <f aca="false">IF($G69=0,IF(CH$11=$H69,"◆",""),IF(AND(CH$11&gt;=$H69,CH$11&lt;=$I69),1,""))</f>
        <v/>
      </c>
      <c r="CI69" s="448" t="str">
        <f aca="false">IF($G69=0,IF(CI$11=$H69,"◆",""),IF(AND(CI$11&gt;=$H69,CI$11&lt;=$I69),1,""))</f>
        <v/>
      </c>
      <c r="CJ69" s="448" t="str">
        <f aca="false">IF($G69=0,IF(CJ$11=$H69,"◆",""),IF(AND(CJ$11&gt;=$H69,CJ$11&lt;=$I69),1,""))</f>
        <v/>
      </c>
      <c r="CK69" s="448" t="str">
        <f aca="false">IF($G69=0,IF(CK$11=$H69,"◆",""),IF(AND(CK$11&gt;=$H69,CK$11&lt;=$I69),1,""))</f>
        <v/>
      </c>
      <c r="CL69" s="448" t="str">
        <f aca="false">IF($G69=0,IF(CL$11=$H69,"◆",""),IF(AND(CL$11&gt;=$H69,CL$11&lt;=$I69),1,""))</f>
        <v/>
      </c>
      <c r="CM69" s="448" t="str">
        <f aca="false">IF($G69=0,IF(CM$11=$H69,"◆",""),IF(AND(CM$11&gt;=$H69,CM$11&lt;=$I69),1,""))</f>
        <v/>
      </c>
      <c r="CN69" s="448" t="str">
        <f aca="false">IF($G69=0,IF(CN$11=$H69,"◆",""),IF(AND(CN$11&gt;=$H69,CN$11&lt;=$I69),1,""))</f>
        <v/>
      </c>
      <c r="CO69" s="448" t="str">
        <f aca="false">IF($G69=0,IF(CO$11=$H69,"◆",""),IF(AND(CO$11&gt;=$H69,CO$11&lt;=$I69),1,""))</f>
        <v/>
      </c>
      <c r="CP69" s="448" t="str">
        <f aca="false">IF($G69=0,IF(CP$11=$H69,"◆",""),IF(AND(CP$11&gt;=$H69,CP$11&lt;=$I69),1,""))</f>
        <v/>
      </c>
      <c r="CQ69" s="448" t="str">
        <f aca="false">IF($G69=0,IF(CQ$11=$H69,"◆",""),IF(AND(CQ$11&gt;=$H69,CQ$11&lt;=$I69),1,""))</f>
        <v/>
      </c>
      <c r="CR69" s="448" t="str">
        <f aca="false">IF($G69=0,IF(CR$11=$H69,"◆",""),IF(AND(CR$11&gt;=$H69,CR$11&lt;=$I69),1,""))</f>
        <v/>
      </c>
      <c r="CS69" s="448" t="str">
        <f aca="false">IF($G69=0,IF(CS$11=$H69,"◆",""),IF(AND(CS$11&gt;=$H69,CS$11&lt;=$I69),1,""))</f>
        <v/>
      </c>
      <c r="CT69" s="448" t="str">
        <f aca="false">IF($G69=0,IF(CT$11=$H69,"◆",""),IF(AND(CT$11&gt;=$H69,CT$11&lt;=$I69),1,""))</f>
        <v/>
      </c>
      <c r="CU69" s="448" t="str">
        <f aca="false">IF($G69=0,IF(CU$11=$H69,"◆",""),IF(AND(CU$11&gt;=$H69,CU$11&lt;=$I69),1,""))</f>
        <v/>
      </c>
      <c r="CV69" s="448" t="str">
        <f aca="false">IF($G69=0,IF(CV$11=$H69,"◆",""),IF(AND(CV$11&gt;=$H69,CV$11&lt;=$I69),1,""))</f>
        <v/>
      </c>
      <c r="CW69" s="448" t="str">
        <f aca="false">IF($G69=0,IF(CW$11=$H69,"◆",""),IF(AND(CW$11&gt;=$H69,CW$11&lt;=$I69),1,""))</f>
        <v/>
      </c>
      <c r="CX69" s="448" t="str">
        <f aca="false">IF($G69=0,IF(CX$11=$H69,"◆",""),IF(AND(CX$11&gt;=$H69,CX$11&lt;=$I69),1,""))</f>
        <v/>
      </c>
      <c r="CY69" s="448" t="str">
        <f aca="false">IF($G69=0,IF(CY$11=$H69,"◆",""),IF(AND(CY$11&gt;=$H69,CY$11&lt;=$I69),1,""))</f>
        <v/>
      </c>
      <c r="CZ69" s="448" t="str">
        <f aca="false">IF($G69=0,IF(CZ$11=$H69,"◆",""),IF(AND(CZ$11&gt;=$H69,CZ$11&lt;=$I69),1,""))</f>
        <v/>
      </c>
      <c r="DA69" s="448" t="str">
        <f aca="false">IF($G69=0,IF(DA$11=$H69,"◆",""),IF(AND(DA$11&gt;=$H69,DA$11&lt;=$I69),1,""))</f>
        <v/>
      </c>
      <c r="DB69" s="448" t="str">
        <f aca="false">IF($G69=0,IF(DB$11=$H69,"◆",""),IF(AND(DB$11&gt;=$H69,DB$11&lt;=$I69),1,""))</f>
        <v/>
      </c>
      <c r="DC69" s="448" t="str">
        <f aca="false">IF($G69=0,IF(DC$11=$H69,"◆",""),IF(AND(DC$11&gt;=$H69,DC$11&lt;=$I69),1,""))</f>
        <v/>
      </c>
      <c r="DD69" s="448" t="str">
        <f aca="false">IF($G69=0,IF(DD$11=$H69,"◆",""),IF(AND(DD$11&gt;=$H69,DD$11&lt;=$I69),1,""))</f>
        <v/>
      </c>
      <c r="DE69" s="448" t="str">
        <f aca="false">IF($G69=0,IF(DE$11=$H69,"◆",""),IF(AND(DE$11&gt;=$H69,DE$11&lt;=$I69),1,""))</f>
        <v/>
      </c>
      <c r="DF69" s="448" t="str">
        <f aca="false">IF($G69=0,IF(DF$11=$H69,"◆",""),IF(AND(DF$11&gt;=$H69,DF$11&lt;=$I69),1,""))</f>
        <v/>
      </c>
      <c r="DG69" s="448" t="str">
        <f aca="false">IF($G69=0,IF(DG$11=$H69,"◆",""),IF(AND(DG$11&gt;=$H69,DG$11&lt;=$I69),1,""))</f>
        <v/>
      </c>
      <c r="DH69" s="448" t="str">
        <f aca="false">IF($G69=0,IF(DH$11=$H69,"◆",""),IF(AND(DH$11&gt;=$H69,DH$11&lt;=$I69),1,""))</f>
        <v/>
      </c>
      <c r="DI69" s="448" t="str">
        <f aca="false">IF($G69=0,IF(DI$11=$H69,"◆",""),IF(AND(DI$11&gt;=$H69,DI$11&lt;=$I69),1,""))</f>
        <v/>
      </c>
      <c r="DJ69" s="448" t="str">
        <f aca="false">IF($G69=0,IF(DJ$11=$H69,"◆",""),IF(AND(DJ$11&gt;=$H69,DJ$11&lt;=$I69),1,""))</f>
        <v/>
      </c>
      <c r="DK69" s="448" t="str">
        <f aca="false">IF($G69=0,IF(DK$11=$H69,"◆",""),IF(AND(DK$11&gt;=$H69,DK$11&lt;=$I69),1,""))</f>
        <v/>
      </c>
      <c r="DL69" s="448" t="str">
        <f aca="false">IF($G69=0,IF(DL$11=$H69,"◆",""),IF(AND(DL$11&gt;=$H69,DL$11&lt;=$I69),1,""))</f>
        <v/>
      </c>
      <c r="DM69" s="448" t="str">
        <f aca="false">IF($G69=0,IF(DM$11=$H69,"◆",""),IF(AND(DM$11&gt;=$H69,DM$11&lt;=$I69),1,""))</f>
        <v/>
      </c>
      <c r="DN69" s="448" t="str">
        <f aca="false">IF($G69=0,IF(DN$11=$H69,"◆",""),IF(AND(DN$11&gt;=$H69,DN$11&lt;=$I69),1,""))</f>
        <v/>
      </c>
      <c r="DO69" s="448" t="str">
        <f aca="false">IF($G69=0,IF(DO$11=$H69,"◆",""),IF(AND(DO$11&gt;=$H69,DO$11&lt;=$I69),1,""))</f>
        <v/>
      </c>
      <c r="DP69" s="448" t="str">
        <f aca="false">IF($G69=0,IF(DP$11=$H69,"◆",""),IF(AND(DP$11&gt;=$H69,DP$11&lt;=$I69),1,""))</f>
        <v/>
      </c>
      <c r="DQ69" s="448" t="str">
        <f aca="false">IF($G69=0,IF(DQ$11=$H69,"◆",""),IF(AND(DQ$11&gt;=$H69,DQ$11&lt;=$I69),1,""))</f>
        <v/>
      </c>
      <c r="DR69" s="448" t="str">
        <f aca="false">IF($G69=0,IF(DR$11=$H69,"◆",""),IF(AND(DR$11&gt;=$H69,DR$11&lt;=$I69),1,""))</f>
        <v/>
      </c>
      <c r="DS69" s="448" t="str">
        <f aca="false">IF($G69=0,IF(DS$11=$H69,"◆",""),IF(AND(DS$11&gt;=$H69,DS$11&lt;=$I69),1,""))</f>
        <v/>
      </c>
      <c r="DT69" s="448" t="str">
        <f aca="false">IF($G69=0,IF(DT$11=$H69,"◆",""),IF(AND(DT$11&gt;=$H69,DT$11&lt;=$I69),1,""))</f>
        <v/>
      </c>
      <c r="DU69" s="448" t="str">
        <f aca="false">IF($G69=0,IF(DU$11=$H69,"◆",""),IF(AND(DU$11&gt;=$H69,DU$11&lt;=$I69),1,""))</f>
        <v/>
      </c>
      <c r="DV69" s="448" t="str">
        <f aca="false">IF($G69=0,IF(DV$11=$H69,"◆",""),IF(AND(DV$11&gt;=$H69,DV$11&lt;=$I69),1,""))</f>
        <v/>
      </c>
      <c r="DW69" s="448" t="str">
        <f aca="false">IF($G69=0,IF(DW$11=$H69,"◆",""),IF(AND(DW$11&gt;=$H69,DW$11&lt;=$I69),1,""))</f>
        <v/>
      </c>
      <c r="DX69" s="448" t="str">
        <f aca="false">IF($G69=0,IF(DX$11=$H69,"◆",""),IF(AND(DX$11&gt;=$H69,DX$11&lt;=$I69),1,""))</f>
        <v/>
      </c>
      <c r="DY69" s="448" t="str">
        <f aca="false">IF($G69=0,IF(DY$11=$H69,"◆",""),IF(AND(DY$11&gt;=$H69,DY$11&lt;=$I69),1,""))</f>
        <v/>
      </c>
      <c r="DZ69" s="448" t="str">
        <f aca="false">IF($G69=0,IF(DZ$11=$H69,"◆",""),IF(AND(DZ$11&gt;=$H69,DZ$11&lt;=$I69),1,""))</f>
        <v/>
      </c>
      <c r="EA69" s="448" t="str">
        <f aca="false">IF($G69=0,IF(EA$11=$H69,"◆",""),IF(AND(EA$11&gt;=$H69,EA$11&lt;=$I69),1,""))</f>
        <v/>
      </c>
      <c r="EB69" s="448" t="str">
        <f aca="false">IF($G69=0,IF(EB$11=$H69,"◆",""),IF(AND(EB$11&gt;=$H69,EB$11&lt;=$I69),1,""))</f>
        <v/>
      </c>
      <c r="EC69" s="448" t="str">
        <f aca="false">IF($G69=0,IF(EC$11=$H69,"◆",""),IF(AND(EC$11&gt;=$H69,EC$11&lt;=$I69),1,""))</f>
        <v/>
      </c>
      <c r="ED69" s="448" t="str">
        <f aca="false">IF($G69=0,IF(ED$11=$H69,"◆",""),IF(AND(ED$11&gt;=$H69,ED$11&lt;=$I69),1,""))</f>
        <v/>
      </c>
    </row>
    <row r="70" customFormat="false" ht="15" hidden="false" customHeight="true" outlineLevel="0" collapsed="false">
      <c r="A70" s="441" t="s">
        <v>2573</v>
      </c>
      <c r="B70" s="297" t="s">
        <v>2574</v>
      </c>
      <c r="C70" s="442" t="s">
        <v>2528</v>
      </c>
      <c r="D70" s="443" t="s">
        <v>2575</v>
      </c>
      <c r="E70" s="354" t="n">
        <f aca="false">FC_SUPUESTOS!$C$24</f>
        <v>1</v>
      </c>
      <c r="F70" s="352" t="n">
        <v>0</v>
      </c>
      <c r="G70" s="352" t="n">
        <v>1</v>
      </c>
      <c r="H70" s="367" t="n">
        <f aca="false">MAX(1,ROUND(($E70-1)*$D$5,0)+1+$F70)</f>
        <v>1</v>
      </c>
      <c r="I70" s="367" t="n">
        <f aca="false">MAX($H70,$H70+$G70-1)</f>
        <v>1</v>
      </c>
      <c r="J70" s="444" t="n">
        <f aca="false">$D$4+($H70-1)*7</f>
        <v>46300</v>
      </c>
      <c r="K70" s="444" t="n">
        <f aca="false">$D$4+$I70*7-1</f>
        <v>46306</v>
      </c>
      <c r="L70" s="445" t="n">
        <f aca="false">ROUNDUP($H70/$D$5,0)</f>
        <v>1</v>
      </c>
      <c r="M70" s="446"/>
      <c r="N70" s="447" t="n">
        <v>0</v>
      </c>
      <c r="O70" s="448" t="n">
        <f aca="false">IF($G70=0,IF(O$11=$H70,"◆",""),IF(AND(O$11&gt;=$H70,O$11&lt;=$I70),1,""))</f>
        <v>1</v>
      </c>
      <c r="P70" s="448" t="str">
        <f aca="false">IF($G70=0,IF(P$11=$H70,"◆",""),IF(AND(P$11&gt;=$H70,P$11&lt;=$I70),1,""))</f>
        <v/>
      </c>
      <c r="Q70" s="448" t="str">
        <f aca="false">IF($G70=0,IF(Q$11=$H70,"◆",""),IF(AND(Q$11&gt;=$H70,Q$11&lt;=$I70),1,""))</f>
        <v/>
      </c>
      <c r="R70" s="448" t="str">
        <f aca="false">IF($G70=0,IF(R$11=$H70,"◆",""),IF(AND(R$11&gt;=$H70,R$11&lt;=$I70),1,""))</f>
        <v/>
      </c>
      <c r="S70" s="448" t="str">
        <f aca="false">IF($G70=0,IF(S$11=$H70,"◆",""),IF(AND(S$11&gt;=$H70,S$11&lt;=$I70),1,""))</f>
        <v/>
      </c>
      <c r="T70" s="448" t="str">
        <f aca="false">IF($G70=0,IF(T$11=$H70,"◆",""),IF(AND(T$11&gt;=$H70,T$11&lt;=$I70),1,""))</f>
        <v/>
      </c>
      <c r="U70" s="448" t="str">
        <f aca="false">IF($G70=0,IF(U$11=$H70,"◆",""),IF(AND(U$11&gt;=$H70,U$11&lt;=$I70),1,""))</f>
        <v/>
      </c>
      <c r="V70" s="448" t="str">
        <f aca="false">IF($G70=0,IF(V$11=$H70,"◆",""),IF(AND(V$11&gt;=$H70,V$11&lt;=$I70),1,""))</f>
        <v/>
      </c>
      <c r="W70" s="448" t="str">
        <f aca="false">IF($G70=0,IF(W$11=$H70,"◆",""),IF(AND(W$11&gt;=$H70,W$11&lt;=$I70),1,""))</f>
        <v/>
      </c>
      <c r="X70" s="448" t="str">
        <f aca="false">IF($G70=0,IF(X$11=$H70,"◆",""),IF(AND(X$11&gt;=$H70,X$11&lt;=$I70),1,""))</f>
        <v/>
      </c>
      <c r="Y70" s="448" t="str">
        <f aca="false">IF($G70=0,IF(Y$11=$H70,"◆",""),IF(AND(Y$11&gt;=$H70,Y$11&lt;=$I70),1,""))</f>
        <v/>
      </c>
      <c r="Z70" s="448" t="str">
        <f aca="false">IF($G70=0,IF(Z$11=$H70,"◆",""),IF(AND(Z$11&gt;=$H70,Z$11&lt;=$I70),1,""))</f>
        <v/>
      </c>
      <c r="AA70" s="448" t="str">
        <f aca="false">IF($G70=0,IF(AA$11=$H70,"◆",""),IF(AND(AA$11&gt;=$H70,AA$11&lt;=$I70),1,""))</f>
        <v/>
      </c>
      <c r="AB70" s="448" t="str">
        <f aca="false">IF($G70=0,IF(AB$11=$H70,"◆",""),IF(AND(AB$11&gt;=$H70,AB$11&lt;=$I70),1,""))</f>
        <v/>
      </c>
      <c r="AC70" s="448" t="str">
        <f aca="false">IF($G70=0,IF(AC$11=$H70,"◆",""),IF(AND(AC$11&gt;=$H70,AC$11&lt;=$I70),1,""))</f>
        <v/>
      </c>
      <c r="AD70" s="448" t="str">
        <f aca="false">IF($G70=0,IF(AD$11=$H70,"◆",""),IF(AND(AD$11&gt;=$H70,AD$11&lt;=$I70),1,""))</f>
        <v/>
      </c>
      <c r="AE70" s="448" t="str">
        <f aca="false">IF($G70=0,IF(AE$11=$H70,"◆",""),IF(AND(AE$11&gt;=$H70,AE$11&lt;=$I70),1,""))</f>
        <v/>
      </c>
      <c r="AF70" s="448" t="str">
        <f aca="false">IF($G70=0,IF(AF$11=$H70,"◆",""),IF(AND(AF$11&gt;=$H70,AF$11&lt;=$I70),1,""))</f>
        <v/>
      </c>
      <c r="AG70" s="448" t="str">
        <f aca="false">IF($G70=0,IF(AG$11=$H70,"◆",""),IF(AND(AG$11&gt;=$H70,AG$11&lt;=$I70),1,""))</f>
        <v/>
      </c>
      <c r="AH70" s="448" t="str">
        <f aca="false">IF($G70=0,IF(AH$11=$H70,"◆",""),IF(AND(AH$11&gt;=$H70,AH$11&lt;=$I70),1,""))</f>
        <v/>
      </c>
      <c r="AI70" s="448" t="str">
        <f aca="false">IF($G70=0,IF(AI$11=$H70,"◆",""),IF(AND(AI$11&gt;=$H70,AI$11&lt;=$I70),1,""))</f>
        <v/>
      </c>
      <c r="AJ70" s="448" t="str">
        <f aca="false">IF($G70=0,IF(AJ$11=$H70,"◆",""),IF(AND(AJ$11&gt;=$H70,AJ$11&lt;=$I70),1,""))</f>
        <v/>
      </c>
      <c r="AK70" s="448" t="str">
        <f aca="false">IF($G70=0,IF(AK$11=$H70,"◆",""),IF(AND(AK$11&gt;=$H70,AK$11&lt;=$I70),1,""))</f>
        <v/>
      </c>
      <c r="AL70" s="448" t="str">
        <f aca="false">IF($G70=0,IF(AL$11=$H70,"◆",""),IF(AND(AL$11&gt;=$H70,AL$11&lt;=$I70),1,""))</f>
        <v/>
      </c>
      <c r="AM70" s="448" t="str">
        <f aca="false">IF($G70=0,IF(AM$11=$H70,"◆",""),IF(AND(AM$11&gt;=$H70,AM$11&lt;=$I70),1,""))</f>
        <v/>
      </c>
      <c r="AN70" s="448" t="str">
        <f aca="false">IF($G70=0,IF(AN$11=$H70,"◆",""),IF(AND(AN$11&gt;=$H70,AN$11&lt;=$I70),1,""))</f>
        <v/>
      </c>
      <c r="AO70" s="448" t="str">
        <f aca="false">IF($G70=0,IF(AO$11=$H70,"◆",""),IF(AND(AO$11&gt;=$H70,AO$11&lt;=$I70),1,""))</f>
        <v/>
      </c>
      <c r="AP70" s="448" t="str">
        <f aca="false">IF($G70=0,IF(AP$11=$H70,"◆",""),IF(AND(AP$11&gt;=$H70,AP$11&lt;=$I70),1,""))</f>
        <v/>
      </c>
      <c r="AQ70" s="448" t="str">
        <f aca="false">IF($G70=0,IF(AQ$11=$H70,"◆",""),IF(AND(AQ$11&gt;=$H70,AQ$11&lt;=$I70),1,""))</f>
        <v/>
      </c>
      <c r="AR70" s="448" t="str">
        <f aca="false">IF($G70=0,IF(AR$11=$H70,"◆",""),IF(AND(AR$11&gt;=$H70,AR$11&lt;=$I70),1,""))</f>
        <v/>
      </c>
      <c r="AS70" s="448" t="str">
        <f aca="false">IF($G70=0,IF(AS$11=$H70,"◆",""),IF(AND(AS$11&gt;=$H70,AS$11&lt;=$I70),1,""))</f>
        <v/>
      </c>
      <c r="AT70" s="448" t="str">
        <f aca="false">IF($G70=0,IF(AT$11=$H70,"◆",""),IF(AND(AT$11&gt;=$H70,AT$11&lt;=$I70),1,""))</f>
        <v/>
      </c>
      <c r="AU70" s="448" t="str">
        <f aca="false">IF($G70=0,IF(AU$11=$H70,"◆",""),IF(AND(AU$11&gt;=$H70,AU$11&lt;=$I70),1,""))</f>
        <v/>
      </c>
      <c r="AV70" s="448" t="str">
        <f aca="false">IF($G70=0,IF(AV$11=$H70,"◆",""),IF(AND(AV$11&gt;=$H70,AV$11&lt;=$I70),1,""))</f>
        <v/>
      </c>
      <c r="AW70" s="448" t="str">
        <f aca="false">IF($G70=0,IF(AW$11=$H70,"◆",""),IF(AND(AW$11&gt;=$H70,AW$11&lt;=$I70),1,""))</f>
        <v/>
      </c>
      <c r="AX70" s="448" t="str">
        <f aca="false">IF($G70=0,IF(AX$11=$H70,"◆",""),IF(AND(AX$11&gt;=$H70,AX$11&lt;=$I70),1,""))</f>
        <v/>
      </c>
      <c r="AY70" s="448" t="str">
        <f aca="false">IF($G70=0,IF(AY$11=$H70,"◆",""),IF(AND(AY$11&gt;=$H70,AY$11&lt;=$I70),1,""))</f>
        <v/>
      </c>
      <c r="AZ70" s="448" t="str">
        <f aca="false">IF($G70=0,IF(AZ$11=$H70,"◆",""),IF(AND(AZ$11&gt;=$H70,AZ$11&lt;=$I70),1,""))</f>
        <v/>
      </c>
      <c r="BA70" s="448" t="str">
        <f aca="false">IF($G70=0,IF(BA$11=$H70,"◆",""),IF(AND(BA$11&gt;=$H70,BA$11&lt;=$I70),1,""))</f>
        <v/>
      </c>
      <c r="BB70" s="448" t="str">
        <f aca="false">IF($G70=0,IF(BB$11=$H70,"◆",""),IF(AND(BB$11&gt;=$H70,BB$11&lt;=$I70),1,""))</f>
        <v/>
      </c>
      <c r="BC70" s="448" t="str">
        <f aca="false">IF($G70=0,IF(BC$11=$H70,"◆",""),IF(AND(BC$11&gt;=$H70,BC$11&lt;=$I70),1,""))</f>
        <v/>
      </c>
      <c r="BD70" s="448" t="str">
        <f aca="false">IF($G70=0,IF(BD$11=$H70,"◆",""),IF(AND(BD$11&gt;=$H70,BD$11&lt;=$I70),1,""))</f>
        <v/>
      </c>
      <c r="BE70" s="448" t="str">
        <f aca="false">IF($G70=0,IF(BE$11=$H70,"◆",""),IF(AND(BE$11&gt;=$H70,BE$11&lt;=$I70),1,""))</f>
        <v/>
      </c>
      <c r="BF70" s="448" t="str">
        <f aca="false">IF($G70=0,IF(BF$11=$H70,"◆",""),IF(AND(BF$11&gt;=$H70,BF$11&lt;=$I70),1,""))</f>
        <v/>
      </c>
      <c r="BG70" s="448" t="str">
        <f aca="false">IF($G70=0,IF(BG$11=$H70,"◆",""),IF(AND(BG$11&gt;=$H70,BG$11&lt;=$I70),1,""))</f>
        <v/>
      </c>
      <c r="BH70" s="448" t="str">
        <f aca="false">IF($G70=0,IF(BH$11=$H70,"◆",""),IF(AND(BH$11&gt;=$H70,BH$11&lt;=$I70),1,""))</f>
        <v/>
      </c>
      <c r="BI70" s="448" t="str">
        <f aca="false">IF($G70=0,IF(BI$11=$H70,"◆",""),IF(AND(BI$11&gt;=$H70,BI$11&lt;=$I70),1,""))</f>
        <v/>
      </c>
      <c r="BJ70" s="448" t="str">
        <f aca="false">IF($G70=0,IF(BJ$11=$H70,"◆",""),IF(AND(BJ$11&gt;=$H70,BJ$11&lt;=$I70),1,""))</f>
        <v/>
      </c>
      <c r="BK70" s="448" t="str">
        <f aca="false">IF($G70=0,IF(BK$11=$H70,"◆",""),IF(AND(BK$11&gt;=$H70,BK$11&lt;=$I70),1,""))</f>
        <v/>
      </c>
      <c r="BL70" s="448" t="str">
        <f aca="false">IF($G70=0,IF(BL$11=$H70,"◆",""),IF(AND(BL$11&gt;=$H70,BL$11&lt;=$I70),1,""))</f>
        <v/>
      </c>
      <c r="BM70" s="448" t="str">
        <f aca="false">IF($G70=0,IF(BM$11=$H70,"◆",""),IF(AND(BM$11&gt;=$H70,BM$11&lt;=$I70),1,""))</f>
        <v/>
      </c>
      <c r="BN70" s="448" t="str">
        <f aca="false">IF($G70=0,IF(BN$11=$H70,"◆",""),IF(AND(BN$11&gt;=$H70,BN$11&lt;=$I70),1,""))</f>
        <v/>
      </c>
      <c r="BO70" s="448" t="str">
        <f aca="false">IF($G70=0,IF(BO$11=$H70,"◆",""),IF(AND(BO$11&gt;=$H70,BO$11&lt;=$I70),1,""))</f>
        <v/>
      </c>
      <c r="BP70" s="448" t="str">
        <f aca="false">IF($G70=0,IF(BP$11=$H70,"◆",""),IF(AND(BP$11&gt;=$H70,BP$11&lt;=$I70),1,""))</f>
        <v/>
      </c>
      <c r="BQ70" s="448" t="str">
        <f aca="false">IF($G70=0,IF(BQ$11=$H70,"◆",""),IF(AND(BQ$11&gt;=$H70,BQ$11&lt;=$I70),1,""))</f>
        <v/>
      </c>
      <c r="BR70" s="448" t="str">
        <f aca="false">IF($G70=0,IF(BR$11=$H70,"◆",""),IF(AND(BR$11&gt;=$H70,BR$11&lt;=$I70),1,""))</f>
        <v/>
      </c>
      <c r="BS70" s="448" t="str">
        <f aca="false">IF($G70=0,IF(BS$11=$H70,"◆",""),IF(AND(BS$11&gt;=$H70,BS$11&lt;=$I70),1,""))</f>
        <v/>
      </c>
      <c r="BT70" s="448" t="str">
        <f aca="false">IF($G70=0,IF(BT$11=$H70,"◆",""),IF(AND(BT$11&gt;=$H70,BT$11&lt;=$I70),1,""))</f>
        <v/>
      </c>
      <c r="BU70" s="448" t="str">
        <f aca="false">IF($G70=0,IF(BU$11=$H70,"◆",""),IF(AND(BU$11&gt;=$H70,BU$11&lt;=$I70),1,""))</f>
        <v/>
      </c>
      <c r="BV70" s="448" t="str">
        <f aca="false">IF($G70=0,IF(BV$11=$H70,"◆",""),IF(AND(BV$11&gt;=$H70,BV$11&lt;=$I70),1,""))</f>
        <v/>
      </c>
      <c r="BW70" s="448" t="str">
        <f aca="false">IF($G70=0,IF(BW$11=$H70,"◆",""),IF(AND(BW$11&gt;=$H70,BW$11&lt;=$I70),1,""))</f>
        <v/>
      </c>
      <c r="BX70" s="448" t="str">
        <f aca="false">IF($G70=0,IF(BX$11=$H70,"◆",""),IF(AND(BX$11&gt;=$H70,BX$11&lt;=$I70),1,""))</f>
        <v/>
      </c>
      <c r="BY70" s="448" t="str">
        <f aca="false">IF($G70=0,IF(BY$11=$H70,"◆",""),IF(AND(BY$11&gt;=$H70,BY$11&lt;=$I70),1,""))</f>
        <v/>
      </c>
      <c r="BZ70" s="448" t="str">
        <f aca="false">IF($G70=0,IF(BZ$11=$H70,"◆",""),IF(AND(BZ$11&gt;=$H70,BZ$11&lt;=$I70),1,""))</f>
        <v/>
      </c>
      <c r="CA70" s="448" t="str">
        <f aca="false">IF($G70=0,IF(CA$11=$H70,"◆",""),IF(AND(CA$11&gt;=$H70,CA$11&lt;=$I70),1,""))</f>
        <v/>
      </c>
      <c r="CB70" s="448" t="str">
        <f aca="false">IF($G70=0,IF(CB$11=$H70,"◆",""),IF(AND(CB$11&gt;=$H70,CB$11&lt;=$I70),1,""))</f>
        <v/>
      </c>
      <c r="CC70" s="448" t="str">
        <f aca="false">IF($G70=0,IF(CC$11=$H70,"◆",""),IF(AND(CC$11&gt;=$H70,CC$11&lt;=$I70),1,""))</f>
        <v/>
      </c>
      <c r="CD70" s="448" t="str">
        <f aca="false">IF($G70=0,IF(CD$11=$H70,"◆",""),IF(AND(CD$11&gt;=$H70,CD$11&lt;=$I70),1,""))</f>
        <v/>
      </c>
      <c r="CE70" s="448" t="str">
        <f aca="false">IF($G70=0,IF(CE$11=$H70,"◆",""),IF(AND(CE$11&gt;=$H70,CE$11&lt;=$I70),1,""))</f>
        <v/>
      </c>
      <c r="CF70" s="448" t="str">
        <f aca="false">IF($G70=0,IF(CF$11=$H70,"◆",""),IF(AND(CF$11&gt;=$H70,CF$11&lt;=$I70),1,""))</f>
        <v/>
      </c>
      <c r="CG70" s="448" t="str">
        <f aca="false">IF($G70=0,IF(CG$11=$H70,"◆",""),IF(AND(CG$11&gt;=$H70,CG$11&lt;=$I70),1,""))</f>
        <v/>
      </c>
      <c r="CH70" s="448" t="str">
        <f aca="false">IF($G70=0,IF(CH$11=$H70,"◆",""),IF(AND(CH$11&gt;=$H70,CH$11&lt;=$I70),1,""))</f>
        <v/>
      </c>
      <c r="CI70" s="448" t="str">
        <f aca="false">IF($G70=0,IF(CI$11=$H70,"◆",""),IF(AND(CI$11&gt;=$H70,CI$11&lt;=$I70),1,""))</f>
        <v/>
      </c>
      <c r="CJ70" s="448" t="str">
        <f aca="false">IF($G70=0,IF(CJ$11=$H70,"◆",""),IF(AND(CJ$11&gt;=$H70,CJ$11&lt;=$I70),1,""))</f>
        <v/>
      </c>
      <c r="CK70" s="448" t="str">
        <f aca="false">IF($G70=0,IF(CK$11=$H70,"◆",""),IF(AND(CK$11&gt;=$H70,CK$11&lt;=$I70),1,""))</f>
        <v/>
      </c>
      <c r="CL70" s="448" t="str">
        <f aca="false">IF($G70=0,IF(CL$11=$H70,"◆",""),IF(AND(CL$11&gt;=$H70,CL$11&lt;=$I70),1,""))</f>
        <v/>
      </c>
      <c r="CM70" s="448" t="str">
        <f aca="false">IF($G70=0,IF(CM$11=$H70,"◆",""),IF(AND(CM$11&gt;=$H70,CM$11&lt;=$I70),1,""))</f>
        <v/>
      </c>
      <c r="CN70" s="448" t="str">
        <f aca="false">IF($G70=0,IF(CN$11=$H70,"◆",""),IF(AND(CN$11&gt;=$H70,CN$11&lt;=$I70),1,""))</f>
        <v/>
      </c>
      <c r="CO70" s="448" t="str">
        <f aca="false">IF($G70=0,IF(CO$11=$H70,"◆",""),IF(AND(CO$11&gt;=$H70,CO$11&lt;=$I70),1,""))</f>
        <v/>
      </c>
      <c r="CP70" s="448" t="str">
        <f aca="false">IF($G70=0,IF(CP$11=$H70,"◆",""),IF(AND(CP$11&gt;=$H70,CP$11&lt;=$I70),1,""))</f>
        <v/>
      </c>
      <c r="CQ70" s="448" t="str">
        <f aca="false">IF($G70=0,IF(CQ$11=$H70,"◆",""),IF(AND(CQ$11&gt;=$H70,CQ$11&lt;=$I70),1,""))</f>
        <v/>
      </c>
      <c r="CR70" s="448" t="str">
        <f aca="false">IF($G70=0,IF(CR$11=$H70,"◆",""),IF(AND(CR$11&gt;=$H70,CR$11&lt;=$I70),1,""))</f>
        <v/>
      </c>
      <c r="CS70" s="448" t="str">
        <f aca="false">IF($G70=0,IF(CS$11=$H70,"◆",""),IF(AND(CS$11&gt;=$H70,CS$11&lt;=$I70),1,""))</f>
        <v/>
      </c>
      <c r="CT70" s="448" t="str">
        <f aca="false">IF($G70=0,IF(CT$11=$H70,"◆",""),IF(AND(CT$11&gt;=$H70,CT$11&lt;=$I70),1,""))</f>
        <v/>
      </c>
      <c r="CU70" s="448" t="str">
        <f aca="false">IF($G70=0,IF(CU$11=$H70,"◆",""),IF(AND(CU$11&gt;=$H70,CU$11&lt;=$I70),1,""))</f>
        <v/>
      </c>
      <c r="CV70" s="448" t="str">
        <f aca="false">IF($G70=0,IF(CV$11=$H70,"◆",""),IF(AND(CV$11&gt;=$H70,CV$11&lt;=$I70),1,""))</f>
        <v/>
      </c>
      <c r="CW70" s="448" t="str">
        <f aca="false">IF($G70=0,IF(CW$11=$H70,"◆",""),IF(AND(CW$11&gt;=$H70,CW$11&lt;=$I70),1,""))</f>
        <v/>
      </c>
      <c r="CX70" s="448" t="str">
        <f aca="false">IF($G70=0,IF(CX$11=$H70,"◆",""),IF(AND(CX$11&gt;=$H70,CX$11&lt;=$I70),1,""))</f>
        <v/>
      </c>
      <c r="CY70" s="448" t="str">
        <f aca="false">IF($G70=0,IF(CY$11=$H70,"◆",""),IF(AND(CY$11&gt;=$H70,CY$11&lt;=$I70),1,""))</f>
        <v/>
      </c>
      <c r="CZ70" s="448" t="str">
        <f aca="false">IF($G70=0,IF(CZ$11=$H70,"◆",""),IF(AND(CZ$11&gt;=$H70,CZ$11&lt;=$I70),1,""))</f>
        <v/>
      </c>
      <c r="DA70" s="448" t="str">
        <f aca="false">IF($G70=0,IF(DA$11=$H70,"◆",""),IF(AND(DA$11&gt;=$H70,DA$11&lt;=$I70),1,""))</f>
        <v/>
      </c>
      <c r="DB70" s="448" t="str">
        <f aca="false">IF($G70=0,IF(DB$11=$H70,"◆",""),IF(AND(DB$11&gt;=$H70,DB$11&lt;=$I70),1,""))</f>
        <v/>
      </c>
      <c r="DC70" s="448" t="str">
        <f aca="false">IF($G70=0,IF(DC$11=$H70,"◆",""),IF(AND(DC$11&gt;=$H70,DC$11&lt;=$I70),1,""))</f>
        <v/>
      </c>
      <c r="DD70" s="448" t="str">
        <f aca="false">IF($G70=0,IF(DD$11=$H70,"◆",""),IF(AND(DD$11&gt;=$H70,DD$11&lt;=$I70),1,""))</f>
        <v/>
      </c>
      <c r="DE70" s="448" t="str">
        <f aca="false">IF($G70=0,IF(DE$11=$H70,"◆",""),IF(AND(DE$11&gt;=$H70,DE$11&lt;=$I70),1,""))</f>
        <v/>
      </c>
      <c r="DF70" s="448" t="str">
        <f aca="false">IF($G70=0,IF(DF$11=$H70,"◆",""),IF(AND(DF$11&gt;=$H70,DF$11&lt;=$I70),1,""))</f>
        <v/>
      </c>
      <c r="DG70" s="448" t="str">
        <f aca="false">IF($G70=0,IF(DG$11=$H70,"◆",""),IF(AND(DG$11&gt;=$H70,DG$11&lt;=$I70),1,""))</f>
        <v/>
      </c>
      <c r="DH70" s="448" t="str">
        <f aca="false">IF($G70=0,IF(DH$11=$H70,"◆",""),IF(AND(DH$11&gt;=$H70,DH$11&lt;=$I70),1,""))</f>
        <v/>
      </c>
      <c r="DI70" s="448" t="str">
        <f aca="false">IF($G70=0,IF(DI$11=$H70,"◆",""),IF(AND(DI$11&gt;=$H70,DI$11&lt;=$I70),1,""))</f>
        <v/>
      </c>
      <c r="DJ70" s="448" t="str">
        <f aca="false">IF($G70=0,IF(DJ$11=$H70,"◆",""),IF(AND(DJ$11&gt;=$H70,DJ$11&lt;=$I70),1,""))</f>
        <v/>
      </c>
      <c r="DK70" s="448" t="str">
        <f aca="false">IF($G70=0,IF(DK$11=$H70,"◆",""),IF(AND(DK$11&gt;=$H70,DK$11&lt;=$I70),1,""))</f>
        <v/>
      </c>
      <c r="DL70" s="448" t="str">
        <f aca="false">IF($G70=0,IF(DL$11=$H70,"◆",""),IF(AND(DL$11&gt;=$H70,DL$11&lt;=$I70),1,""))</f>
        <v/>
      </c>
      <c r="DM70" s="448" t="str">
        <f aca="false">IF($G70=0,IF(DM$11=$H70,"◆",""),IF(AND(DM$11&gt;=$H70,DM$11&lt;=$I70),1,""))</f>
        <v/>
      </c>
      <c r="DN70" s="448" t="str">
        <f aca="false">IF($G70=0,IF(DN$11=$H70,"◆",""),IF(AND(DN$11&gt;=$H70,DN$11&lt;=$I70),1,""))</f>
        <v/>
      </c>
      <c r="DO70" s="448" t="str">
        <f aca="false">IF($G70=0,IF(DO$11=$H70,"◆",""),IF(AND(DO$11&gt;=$H70,DO$11&lt;=$I70),1,""))</f>
        <v/>
      </c>
      <c r="DP70" s="448" t="str">
        <f aca="false">IF($G70=0,IF(DP$11=$H70,"◆",""),IF(AND(DP$11&gt;=$H70,DP$11&lt;=$I70),1,""))</f>
        <v/>
      </c>
      <c r="DQ70" s="448" t="str">
        <f aca="false">IF($G70=0,IF(DQ$11=$H70,"◆",""),IF(AND(DQ$11&gt;=$H70,DQ$11&lt;=$I70),1,""))</f>
        <v/>
      </c>
      <c r="DR70" s="448" t="str">
        <f aca="false">IF($G70=0,IF(DR$11=$H70,"◆",""),IF(AND(DR$11&gt;=$H70,DR$11&lt;=$I70),1,""))</f>
        <v/>
      </c>
      <c r="DS70" s="448" t="str">
        <f aca="false">IF($G70=0,IF(DS$11=$H70,"◆",""),IF(AND(DS$11&gt;=$H70,DS$11&lt;=$I70),1,""))</f>
        <v/>
      </c>
      <c r="DT70" s="448" t="str">
        <f aca="false">IF($G70=0,IF(DT$11=$H70,"◆",""),IF(AND(DT$11&gt;=$H70,DT$11&lt;=$I70),1,""))</f>
        <v/>
      </c>
      <c r="DU70" s="448" t="str">
        <f aca="false">IF($G70=0,IF(DU$11=$H70,"◆",""),IF(AND(DU$11&gt;=$H70,DU$11&lt;=$I70),1,""))</f>
        <v/>
      </c>
      <c r="DV70" s="448" t="str">
        <f aca="false">IF($G70=0,IF(DV$11=$H70,"◆",""),IF(AND(DV$11&gt;=$H70,DV$11&lt;=$I70),1,""))</f>
        <v/>
      </c>
      <c r="DW70" s="448" t="str">
        <f aca="false">IF($G70=0,IF(DW$11=$H70,"◆",""),IF(AND(DW$11&gt;=$H70,DW$11&lt;=$I70),1,""))</f>
        <v/>
      </c>
      <c r="DX70" s="448" t="str">
        <f aca="false">IF($G70=0,IF(DX$11=$H70,"◆",""),IF(AND(DX$11&gt;=$H70,DX$11&lt;=$I70),1,""))</f>
        <v/>
      </c>
      <c r="DY70" s="448" t="str">
        <f aca="false">IF($G70=0,IF(DY$11=$H70,"◆",""),IF(AND(DY$11&gt;=$H70,DY$11&lt;=$I70),1,""))</f>
        <v/>
      </c>
      <c r="DZ70" s="448" t="str">
        <f aca="false">IF($G70=0,IF(DZ$11=$H70,"◆",""),IF(AND(DZ$11&gt;=$H70,DZ$11&lt;=$I70),1,""))</f>
        <v/>
      </c>
      <c r="EA70" s="448" t="str">
        <f aca="false">IF($G70=0,IF(EA$11=$H70,"◆",""),IF(AND(EA$11&gt;=$H70,EA$11&lt;=$I70),1,""))</f>
        <v/>
      </c>
      <c r="EB70" s="448" t="str">
        <f aca="false">IF($G70=0,IF(EB$11=$H70,"◆",""),IF(AND(EB$11&gt;=$H70,EB$11&lt;=$I70),1,""))</f>
        <v/>
      </c>
      <c r="EC70" s="448" t="str">
        <f aca="false">IF($G70=0,IF(EC$11=$H70,"◆",""),IF(AND(EC$11&gt;=$H70,EC$11&lt;=$I70),1,""))</f>
        <v/>
      </c>
      <c r="ED70" s="448" t="str">
        <f aca="false">IF($G70=0,IF(ED$11=$H70,"◆",""),IF(AND(ED$11&gt;=$H70,ED$11&lt;=$I70),1,""))</f>
        <v/>
      </c>
    </row>
    <row r="71" customFormat="false" ht="15" hidden="false" customHeight="true" outlineLevel="0" collapsed="false">
      <c r="A71" s="441" t="s">
        <v>2576</v>
      </c>
      <c r="B71" s="297" t="s">
        <v>2577</v>
      </c>
      <c r="C71" s="442" t="s">
        <v>2558</v>
      </c>
      <c r="D71" s="443" t="s">
        <v>2575</v>
      </c>
      <c r="E71" s="354" t="n">
        <f aca="false">FC_SUPUESTOS!$C$24</f>
        <v>1</v>
      </c>
      <c r="F71" s="352" t="n">
        <v>1</v>
      </c>
      <c r="G71" s="352" t="n">
        <v>12</v>
      </c>
      <c r="H71" s="367" t="n">
        <f aca="false">MAX(1,ROUND(($E71-1)*$D$5,0)+1+$F71)</f>
        <v>2</v>
      </c>
      <c r="I71" s="367" t="n">
        <f aca="false">MAX($H71,$H71+$G71-1)</f>
        <v>13</v>
      </c>
      <c r="J71" s="444" t="n">
        <f aca="false">$D$4+($H71-1)*7</f>
        <v>46307</v>
      </c>
      <c r="K71" s="444" t="n">
        <f aca="false">$D$4+$I71*7-1</f>
        <v>46390</v>
      </c>
      <c r="L71" s="445" t="n">
        <f aca="false">ROUNDUP($H71/$D$5,0)</f>
        <v>1</v>
      </c>
      <c r="M71" s="446"/>
      <c r="N71" s="447" t="n">
        <v>0</v>
      </c>
      <c r="O71" s="448" t="str">
        <f aca="false">IF($G71=0,IF(O$11=$H71,"◆",""),IF(AND(O$11&gt;=$H71,O$11&lt;=$I71),1,""))</f>
        <v/>
      </c>
      <c r="P71" s="448" t="n">
        <f aca="false">IF($G71=0,IF(P$11=$H71,"◆",""),IF(AND(P$11&gt;=$H71,P$11&lt;=$I71),1,""))</f>
        <v>1</v>
      </c>
      <c r="Q71" s="448" t="n">
        <f aca="false">IF($G71=0,IF(Q$11=$H71,"◆",""),IF(AND(Q$11&gt;=$H71,Q$11&lt;=$I71),1,""))</f>
        <v>1</v>
      </c>
      <c r="R71" s="448" t="n">
        <f aca="false">IF($G71=0,IF(R$11=$H71,"◆",""),IF(AND(R$11&gt;=$H71,R$11&lt;=$I71),1,""))</f>
        <v>1</v>
      </c>
      <c r="S71" s="448" t="n">
        <f aca="false">IF($G71=0,IF(S$11=$H71,"◆",""),IF(AND(S$11&gt;=$H71,S$11&lt;=$I71),1,""))</f>
        <v>1</v>
      </c>
      <c r="T71" s="448" t="n">
        <f aca="false">IF($G71=0,IF(T$11=$H71,"◆",""),IF(AND(T$11&gt;=$H71,T$11&lt;=$I71),1,""))</f>
        <v>1</v>
      </c>
      <c r="U71" s="448" t="n">
        <f aca="false">IF($G71=0,IF(U$11=$H71,"◆",""),IF(AND(U$11&gt;=$H71,U$11&lt;=$I71),1,""))</f>
        <v>1</v>
      </c>
      <c r="V71" s="448" t="n">
        <f aca="false">IF($G71=0,IF(V$11=$H71,"◆",""),IF(AND(V$11&gt;=$H71,V$11&lt;=$I71),1,""))</f>
        <v>1</v>
      </c>
      <c r="W71" s="448" t="n">
        <f aca="false">IF($G71=0,IF(W$11=$H71,"◆",""),IF(AND(W$11&gt;=$H71,W$11&lt;=$I71),1,""))</f>
        <v>1</v>
      </c>
      <c r="X71" s="448" t="n">
        <f aca="false">IF($G71=0,IF(X$11=$H71,"◆",""),IF(AND(X$11&gt;=$H71,X$11&lt;=$I71),1,""))</f>
        <v>1</v>
      </c>
      <c r="Y71" s="448" t="n">
        <f aca="false">IF($G71=0,IF(Y$11=$H71,"◆",""),IF(AND(Y$11&gt;=$H71,Y$11&lt;=$I71),1,""))</f>
        <v>1</v>
      </c>
      <c r="Z71" s="448" t="n">
        <f aca="false">IF($G71=0,IF(Z$11=$H71,"◆",""),IF(AND(Z$11&gt;=$H71,Z$11&lt;=$I71),1,""))</f>
        <v>1</v>
      </c>
      <c r="AA71" s="448" t="n">
        <f aca="false">IF($G71=0,IF(AA$11=$H71,"◆",""),IF(AND(AA$11&gt;=$H71,AA$11&lt;=$I71),1,""))</f>
        <v>1</v>
      </c>
      <c r="AB71" s="448" t="str">
        <f aca="false">IF($G71=0,IF(AB$11=$H71,"◆",""),IF(AND(AB$11&gt;=$H71,AB$11&lt;=$I71),1,""))</f>
        <v/>
      </c>
      <c r="AC71" s="448" t="str">
        <f aca="false">IF($G71=0,IF(AC$11=$H71,"◆",""),IF(AND(AC$11&gt;=$H71,AC$11&lt;=$I71),1,""))</f>
        <v/>
      </c>
      <c r="AD71" s="448" t="str">
        <f aca="false">IF($G71=0,IF(AD$11=$H71,"◆",""),IF(AND(AD$11&gt;=$H71,AD$11&lt;=$I71),1,""))</f>
        <v/>
      </c>
      <c r="AE71" s="448" t="str">
        <f aca="false">IF($G71=0,IF(AE$11=$H71,"◆",""),IF(AND(AE$11&gt;=$H71,AE$11&lt;=$I71),1,""))</f>
        <v/>
      </c>
      <c r="AF71" s="448" t="str">
        <f aca="false">IF($G71=0,IF(AF$11=$H71,"◆",""),IF(AND(AF$11&gt;=$H71,AF$11&lt;=$I71),1,""))</f>
        <v/>
      </c>
      <c r="AG71" s="448" t="str">
        <f aca="false">IF($G71=0,IF(AG$11=$H71,"◆",""),IF(AND(AG$11&gt;=$H71,AG$11&lt;=$I71),1,""))</f>
        <v/>
      </c>
      <c r="AH71" s="448" t="str">
        <f aca="false">IF($G71=0,IF(AH$11=$H71,"◆",""),IF(AND(AH$11&gt;=$H71,AH$11&lt;=$I71),1,""))</f>
        <v/>
      </c>
      <c r="AI71" s="448" t="str">
        <f aca="false">IF($G71=0,IF(AI$11=$H71,"◆",""),IF(AND(AI$11&gt;=$H71,AI$11&lt;=$I71),1,""))</f>
        <v/>
      </c>
      <c r="AJ71" s="448" t="str">
        <f aca="false">IF($G71=0,IF(AJ$11=$H71,"◆",""),IF(AND(AJ$11&gt;=$H71,AJ$11&lt;=$I71),1,""))</f>
        <v/>
      </c>
      <c r="AK71" s="448" t="str">
        <f aca="false">IF($G71=0,IF(AK$11=$H71,"◆",""),IF(AND(AK$11&gt;=$H71,AK$11&lt;=$I71),1,""))</f>
        <v/>
      </c>
      <c r="AL71" s="448" t="str">
        <f aca="false">IF($G71=0,IF(AL$11=$H71,"◆",""),IF(AND(AL$11&gt;=$H71,AL$11&lt;=$I71),1,""))</f>
        <v/>
      </c>
      <c r="AM71" s="448" t="str">
        <f aca="false">IF($G71=0,IF(AM$11=$H71,"◆",""),IF(AND(AM$11&gt;=$H71,AM$11&lt;=$I71),1,""))</f>
        <v/>
      </c>
      <c r="AN71" s="448" t="str">
        <f aca="false">IF($G71=0,IF(AN$11=$H71,"◆",""),IF(AND(AN$11&gt;=$H71,AN$11&lt;=$I71),1,""))</f>
        <v/>
      </c>
      <c r="AO71" s="448" t="str">
        <f aca="false">IF($G71=0,IF(AO$11=$H71,"◆",""),IF(AND(AO$11&gt;=$H71,AO$11&lt;=$I71),1,""))</f>
        <v/>
      </c>
      <c r="AP71" s="448" t="str">
        <f aca="false">IF($G71=0,IF(AP$11=$H71,"◆",""),IF(AND(AP$11&gt;=$H71,AP$11&lt;=$I71),1,""))</f>
        <v/>
      </c>
      <c r="AQ71" s="448" t="str">
        <f aca="false">IF($G71=0,IF(AQ$11=$H71,"◆",""),IF(AND(AQ$11&gt;=$H71,AQ$11&lt;=$I71),1,""))</f>
        <v/>
      </c>
      <c r="AR71" s="448" t="str">
        <f aca="false">IF($G71=0,IF(AR$11=$H71,"◆",""),IF(AND(AR$11&gt;=$H71,AR$11&lt;=$I71),1,""))</f>
        <v/>
      </c>
      <c r="AS71" s="448" t="str">
        <f aca="false">IF($G71=0,IF(AS$11=$H71,"◆",""),IF(AND(AS$11&gt;=$H71,AS$11&lt;=$I71),1,""))</f>
        <v/>
      </c>
      <c r="AT71" s="448" t="str">
        <f aca="false">IF($G71=0,IF(AT$11=$H71,"◆",""),IF(AND(AT$11&gt;=$H71,AT$11&lt;=$I71),1,""))</f>
        <v/>
      </c>
      <c r="AU71" s="448" t="str">
        <f aca="false">IF($G71=0,IF(AU$11=$H71,"◆",""),IF(AND(AU$11&gt;=$H71,AU$11&lt;=$I71),1,""))</f>
        <v/>
      </c>
      <c r="AV71" s="448" t="str">
        <f aca="false">IF($G71=0,IF(AV$11=$H71,"◆",""),IF(AND(AV$11&gt;=$H71,AV$11&lt;=$I71),1,""))</f>
        <v/>
      </c>
      <c r="AW71" s="448" t="str">
        <f aca="false">IF($G71=0,IF(AW$11=$H71,"◆",""),IF(AND(AW$11&gt;=$H71,AW$11&lt;=$I71),1,""))</f>
        <v/>
      </c>
      <c r="AX71" s="448" t="str">
        <f aca="false">IF($G71=0,IF(AX$11=$H71,"◆",""),IF(AND(AX$11&gt;=$H71,AX$11&lt;=$I71),1,""))</f>
        <v/>
      </c>
      <c r="AY71" s="448" t="str">
        <f aca="false">IF($G71=0,IF(AY$11=$H71,"◆",""),IF(AND(AY$11&gt;=$H71,AY$11&lt;=$I71),1,""))</f>
        <v/>
      </c>
      <c r="AZ71" s="448" t="str">
        <f aca="false">IF($G71=0,IF(AZ$11=$H71,"◆",""),IF(AND(AZ$11&gt;=$H71,AZ$11&lt;=$I71),1,""))</f>
        <v/>
      </c>
      <c r="BA71" s="448" t="str">
        <f aca="false">IF($G71=0,IF(BA$11=$H71,"◆",""),IF(AND(BA$11&gt;=$H71,BA$11&lt;=$I71),1,""))</f>
        <v/>
      </c>
      <c r="BB71" s="448" t="str">
        <f aca="false">IF($G71=0,IF(BB$11=$H71,"◆",""),IF(AND(BB$11&gt;=$H71,BB$11&lt;=$I71),1,""))</f>
        <v/>
      </c>
      <c r="BC71" s="448" t="str">
        <f aca="false">IF($G71=0,IF(BC$11=$H71,"◆",""),IF(AND(BC$11&gt;=$H71,BC$11&lt;=$I71),1,""))</f>
        <v/>
      </c>
      <c r="BD71" s="448" t="str">
        <f aca="false">IF($G71=0,IF(BD$11=$H71,"◆",""),IF(AND(BD$11&gt;=$H71,BD$11&lt;=$I71),1,""))</f>
        <v/>
      </c>
      <c r="BE71" s="448" t="str">
        <f aca="false">IF($G71=0,IF(BE$11=$H71,"◆",""),IF(AND(BE$11&gt;=$H71,BE$11&lt;=$I71),1,""))</f>
        <v/>
      </c>
      <c r="BF71" s="448" t="str">
        <f aca="false">IF($G71=0,IF(BF$11=$H71,"◆",""),IF(AND(BF$11&gt;=$H71,BF$11&lt;=$I71),1,""))</f>
        <v/>
      </c>
      <c r="BG71" s="448" t="str">
        <f aca="false">IF($G71=0,IF(BG$11=$H71,"◆",""),IF(AND(BG$11&gt;=$H71,BG$11&lt;=$I71),1,""))</f>
        <v/>
      </c>
      <c r="BH71" s="448" t="str">
        <f aca="false">IF($G71=0,IF(BH$11=$H71,"◆",""),IF(AND(BH$11&gt;=$H71,BH$11&lt;=$I71),1,""))</f>
        <v/>
      </c>
      <c r="BI71" s="448" t="str">
        <f aca="false">IF($G71=0,IF(BI$11=$H71,"◆",""),IF(AND(BI$11&gt;=$H71,BI$11&lt;=$I71),1,""))</f>
        <v/>
      </c>
      <c r="BJ71" s="448" t="str">
        <f aca="false">IF($G71=0,IF(BJ$11=$H71,"◆",""),IF(AND(BJ$11&gt;=$H71,BJ$11&lt;=$I71),1,""))</f>
        <v/>
      </c>
      <c r="BK71" s="448" t="str">
        <f aca="false">IF($G71=0,IF(BK$11=$H71,"◆",""),IF(AND(BK$11&gt;=$H71,BK$11&lt;=$I71),1,""))</f>
        <v/>
      </c>
      <c r="BL71" s="448" t="str">
        <f aca="false">IF($G71=0,IF(BL$11=$H71,"◆",""),IF(AND(BL$11&gt;=$H71,BL$11&lt;=$I71),1,""))</f>
        <v/>
      </c>
      <c r="BM71" s="448" t="str">
        <f aca="false">IF($G71=0,IF(BM$11=$H71,"◆",""),IF(AND(BM$11&gt;=$H71,BM$11&lt;=$I71),1,""))</f>
        <v/>
      </c>
      <c r="BN71" s="448" t="str">
        <f aca="false">IF($G71=0,IF(BN$11=$H71,"◆",""),IF(AND(BN$11&gt;=$H71,BN$11&lt;=$I71),1,""))</f>
        <v/>
      </c>
      <c r="BO71" s="448" t="str">
        <f aca="false">IF($G71=0,IF(BO$11=$H71,"◆",""),IF(AND(BO$11&gt;=$H71,BO$11&lt;=$I71),1,""))</f>
        <v/>
      </c>
      <c r="BP71" s="448" t="str">
        <f aca="false">IF($G71=0,IF(BP$11=$H71,"◆",""),IF(AND(BP$11&gt;=$H71,BP$11&lt;=$I71),1,""))</f>
        <v/>
      </c>
      <c r="BQ71" s="448" t="str">
        <f aca="false">IF($G71=0,IF(BQ$11=$H71,"◆",""),IF(AND(BQ$11&gt;=$H71,BQ$11&lt;=$I71),1,""))</f>
        <v/>
      </c>
      <c r="BR71" s="448" t="str">
        <f aca="false">IF($G71=0,IF(BR$11=$H71,"◆",""),IF(AND(BR$11&gt;=$H71,BR$11&lt;=$I71),1,""))</f>
        <v/>
      </c>
      <c r="BS71" s="448" t="str">
        <f aca="false">IF($G71=0,IF(BS$11=$H71,"◆",""),IF(AND(BS$11&gt;=$H71,BS$11&lt;=$I71),1,""))</f>
        <v/>
      </c>
      <c r="BT71" s="448" t="str">
        <f aca="false">IF($G71=0,IF(BT$11=$H71,"◆",""),IF(AND(BT$11&gt;=$H71,BT$11&lt;=$I71),1,""))</f>
        <v/>
      </c>
      <c r="BU71" s="448" t="str">
        <f aca="false">IF($G71=0,IF(BU$11=$H71,"◆",""),IF(AND(BU$11&gt;=$H71,BU$11&lt;=$I71),1,""))</f>
        <v/>
      </c>
      <c r="BV71" s="448" t="str">
        <f aca="false">IF($G71=0,IF(BV$11=$H71,"◆",""),IF(AND(BV$11&gt;=$H71,BV$11&lt;=$I71),1,""))</f>
        <v/>
      </c>
      <c r="BW71" s="448" t="str">
        <f aca="false">IF($G71=0,IF(BW$11=$H71,"◆",""),IF(AND(BW$11&gt;=$H71,BW$11&lt;=$I71),1,""))</f>
        <v/>
      </c>
      <c r="BX71" s="448" t="str">
        <f aca="false">IF($G71=0,IF(BX$11=$H71,"◆",""),IF(AND(BX$11&gt;=$H71,BX$11&lt;=$I71),1,""))</f>
        <v/>
      </c>
      <c r="BY71" s="448" t="str">
        <f aca="false">IF($G71=0,IF(BY$11=$H71,"◆",""),IF(AND(BY$11&gt;=$H71,BY$11&lt;=$I71),1,""))</f>
        <v/>
      </c>
      <c r="BZ71" s="448" t="str">
        <f aca="false">IF($G71=0,IF(BZ$11=$H71,"◆",""),IF(AND(BZ$11&gt;=$H71,BZ$11&lt;=$I71),1,""))</f>
        <v/>
      </c>
      <c r="CA71" s="448" t="str">
        <f aca="false">IF($G71=0,IF(CA$11=$H71,"◆",""),IF(AND(CA$11&gt;=$H71,CA$11&lt;=$I71),1,""))</f>
        <v/>
      </c>
      <c r="CB71" s="448" t="str">
        <f aca="false">IF($G71=0,IF(CB$11=$H71,"◆",""),IF(AND(CB$11&gt;=$H71,CB$11&lt;=$I71),1,""))</f>
        <v/>
      </c>
      <c r="CC71" s="448" t="str">
        <f aca="false">IF($G71=0,IF(CC$11=$H71,"◆",""),IF(AND(CC$11&gt;=$H71,CC$11&lt;=$I71),1,""))</f>
        <v/>
      </c>
      <c r="CD71" s="448" t="str">
        <f aca="false">IF($G71=0,IF(CD$11=$H71,"◆",""),IF(AND(CD$11&gt;=$H71,CD$11&lt;=$I71),1,""))</f>
        <v/>
      </c>
      <c r="CE71" s="448" t="str">
        <f aca="false">IF($G71=0,IF(CE$11=$H71,"◆",""),IF(AND(CE$11&gt;=$H71,CE$11&lt;=$I71),1,""))</f>
        <v/>
      </c>
      <c r="CF71" s="448" t="str">
        <f aca="false">IF($G71=0,IF(CF$11=$H71,"◆",""),IF(AND(CF$11&gt;=$H71,CF$11&lt;=$I71),1,""))</f>
        <v/>
      </c>
      <c r="CG71" s="448" t="str">
        <f aca="false">IF($G71=0,IF(CG$11=$H71,"◆",""),IF(AND(CG$11&gt;=$H71,CG$11&lt;=$I71),1,""))</f>
        <v/>
      </c>
      <c r="CH71" s="448" t="str">
        <f aca="false">IF($G71=0,IF(CH$11=$H71,"◆",""),IF(AND(CH$11&gt;=$H71,CH$11&lt;=$I71),1,""))</f>
        <v/>
      </c>
      <c r="CI71" s="448" t="str">
        <f aca="false">IF($G71=0,IF(CI$11=$H71,"◆",""),IF(AND(CI$11&gt;=$H71,CI$11&lt;=$I71),1,""))</f>
        <v/>
      </c>
      <c r="CJ71" s="448" t="str">
        <f aca="false">IF($G71=0,IF(CJ$11=$H71,"◆",""),IF(AND(CJ$11&gt;=$H71,CJ$11&lt;=$I71),1,""))</f>
        <v/>
      </c>
      <c r="CK71" s="448" t="str">
        <f aca="false">IF($G71=0,IF(CK$11=$H71,"◆",""),IF(AND(CK$11&gt;=$H71,CK$11&lt;=$I71),1,""))</f>
        <v/>
      </c>
      <c r="CL71" s="448" t="str">
        <f aca="false">IF($G71=0,IF(CL$11=$H71,"◆",""),IF(AND(CL$11&gt;=$H71,CL$11&lt;=$I71),1,""))</f>
        <v/>
      </c>
      <c r="CM71" s="448" t="str">
        <f aca="false">IF($G71=0,IF(CM$11=$H71,"◆",""),IF(AND(CM$11&gt;=$H71,CM$11&lt;=$I71),1,""))</f>
        <v/>
      </c>
      <c r="CN71" s="448" t="str">
        <f aca="false">IF($G71=0,IF(CN$11=$H71,"◆",""),IF(AND(CN$11&gt;=$H71,CN$11&lt;=$I71),1,""))</f>
        <v/>
      </c>
      <c r="CO71" s="448" t="str">
        <f aca="false">IF($G71=0,IF(CO$11=$H71,"◆",""),IF(AND(CO$11&gt;=$H71,CO$11&lt;=$I71),1,""))</f>
        <v/>
      </c>
      <c r="CP71" s="448" t="str">
        <f aca="false">IF($G71=0,IF(CP$11=$H71,"◆",""),IF(AND(CP$11&gt;=$H71,CP$11&lt;=$I71),1,""))</f>
        <v/>
      </c>
      <c r="CQ71" s="448" t="str">
        <f aca="false">IF($G71=0,IF(CQ$11=$H71,"◆",""),IF(AND(CQ$11&gt;=$H71,CQ$11&lt;=$I71),1,""))</f>
        <v/>
      </c>
      <c r="CR71" s="448" t="str">
        <f aca="false">IF($G71=0,IF(CR$11=$H71,"◆",""),IF(AND(CR$11&gt;=$H71,CR$11&lt;=$I71),1,""))</f>
        <v/>
      </c>
      <c r="CS71" s="448" t="str">
        <f aca="false">IF($G71=0,IF(CS$11=$H71,"◆",""),IF(AND(CS$11&gt;=$H71,CS$11&lt;=$I71),1,""))</f>
        <v/>
      </c>
      <c r="CT71" s="448" t="str">
        <f aca="false">IF($G71=0,IF(CT$11=$H71,"◆",""),IF(AND(CT$11&gt;=$H71,CT$11&lt;=$I71),1,""))</f>
        <v/>
      </c>
      <c r="CU71" s="448" t="str">
        <f aca="false">IF($G71=0,IF(CU$11=$H71,"◆",""),IF(AND(CU$11&gt;=$H71,CU$11&lt;=$I71),1,""))</f>
        <v/>
      </c>
      <c r="CV71" s="448" t="str">
        <f aca="false">IF($G71=0,IF(CV$11=$H71,"◆",""),IF(AND(CV$11&gt;=$H71,CV$11&lt;=$I71),1,""))</f>
        <v/>
      </c>
      <c r="CW71" s="448" t="str">
        <f aca="false">IF($G71=0,IF(CW$11=$H71,"◆",""),IF(AND(CW$11&gt;=$H71,CW$11&lt;=$I71),1,""))</f>
        <v/>
      </c>
      <c r="CX71" s="448" t="str">
        <f aca="false">IF($G71=0,IF(CX$11=$H71,"◆",""),IF(AND(CX$11&gt;=$H71,CX$11&lt;=$I71),1,""))</f>
        <v/>
      </c>
      <c r="CY71" s="448" t="str">
        <f aca="false">IF($G71=0,IF(CY$11=$H71,"◆",""),IF(AND(CY$11&gt;=$H71,CY$11&lt;=$I71),1,""))</f>
        <v/>
      </c>
      <c r="CZ71" s="448" t="str">
        <f aca="false">IF($G71=0,IF(CZ$11=$H71,"◆",""),IF(AND(CZ$11&gt;=$H71,CZ$11&lt;=$I71),1,""))</f>
        <v/>
      </c>
      <c r="DA71" s="448" t="str">
        <f aca="false">IF($G71=0,IF(DA$11=$H71,"◆",""),IF(AND(DA$11&gt;=$H71,DA$11&lt;=$I71),1,""))</f>
        <v/>
      </c>
      <c r="DB71" s="448" t="str">
        <f aca="false">IF($G71=0,IF(DB$11=$H71,"◆",""),IF(AND(DB$11&gt;=$H71,DB$11&lt;=$I71),1,""))</f>
        <v/>
      </c>
      <c r="DC71" s="448" t="str">
        <f aca="false">IF($G71=0,IF(DC$11=$H71,"◆",""),IF(AND(DC$11&gt;=$H71,DC$11&lt;=$I71),1,""))</f>
        <v/>
      </c>
      <c r="DD71" s="448" t="str">
        <f aca="false">IF($G71=0,IF(DD$11=$H71,"◆",""),IF(AND(DD$11&gt;=$H71,DD$11&lt;=$I71),1,""))</f>
        <v/>
      </c>
      <c r="DE71" s="448" t="str">
        <f aca="false">IF($G71=0,IF(DE$11=$H71,"◆",""),IF(AND(DE$11&gt;=$H71,DE$11&lt;=$I71),1,""))</f>
        <v/>
      </c>
      <c r="DF71" s="448" t="str">
        <f aca="false">IF($G71=0,IF(DF$11=$H71,"◆",""),IF(AND(DF$11&gt;=$H71,DF$11&lt;=$I71),1,""))</f>
        <v/>
      </c>
      <c r="DG71" s="448" t="str">
        <f aca="false">IF($G71=0,IF(DG$11=$H71,"◆",""),IF(AND(DG$11&gt;=$H71,DG$11&lt;=$I71),1,""))</f>
        <v/>
      </c>
      <c r="DH71" s="448" t="str">
        <f aca="false">IF($G71=0,IF(DH$11=$H71,"◆",""),IF(AND(DH$11&gt;=$H71,DH$11&lt;=$I71),1,""))</f>
        <v/>
      </c>
      <c r="DI71" s="448" t="str">
        <f aca="false">IF($G71=0,IF(DI$11=$H71,"◆",""),IF(AND(DI$11&gt;=$H71,DI$11&lt;=$I71),1,""))</f>
        <v/>
      </c>
      <c r="DJ71" s="448" t="str">
        <f aca="false">IF($G71=0,IF(DJ$11=$H71,"◆",""),IF(AND(DJ$11&gt;=$H71,DJ$11&lt;=$I71),1,""))</f>
        <v/>
      </c>
      <c r="DK71" s="448" t="str">
        <f aca="false">IF($G71=0,IF(DK$11=$H71,"◆",""),IF(AND(DK$11&gt;=$H71,DK$11&lt;=$I71),1,""))</f>
        <v/>
      </c>
      <c r="DL71" s="448" t="str">
        <f aca="false">IF($G71=0,IF(DL$11=$H71,"◆",""),IF(AND(DL$11&gt;=$H71,DL$11&lt;=$I71),1,""))</f>
        <v/>
      </c>
      <c r="DM71" s="448" t="str">
        <f aca="false">IF($G71=0,IF(DM$11=$H71,"◆",""),IF(AND(DM$11&gt;=$H71,DM$11&lt;=$I71),1,""))</f>
        <v/>
      </c>
      <c r="DN71" s="448" t="str">
        <f aca="false">IF($G71=0,IF(DN$11=$H71,"◆",""),IF(AND(DN$11&gt;=$H71,DN$11&lt;=$I71),1,""))</f>
        <v/>
      </c>
      <c r="DO71" s="448" t="str">
        <f aca="false">IF($G71=0,IF(DO$11=$H71,"◆",""),IF(AND(DO$11&gt;=$H71,DO$11&lt;=$I71),1,""))</f>
        <v/>
      </c>
      <c r="DP71" s="448" t="str">
        <f aca="false">IF($G71=0,IF(DP$11=$H71,"◆",""),IF(AND(DP$11&gt;=$H71,DP$11&lt;=$I71),1,""))</f>
        <v/>
      </c>
      <c r="DQ71" s="448" t="str">
        <f aca="false">IF($G71=0,IF(DQ$11=$H71,"◆",""),IF(AND(DQ$11&gt;=$H71,DQ$11&lt;=$I71),1,""))</f>
        <v/>
      </c>
      <c r="DR71" s="448" t="str">
        <f aca="false">IF($G71=0,IF(DR$11=$H71,"◆",""),IF(AND(DR$11&gt;=$H71,DR$11&lt;=$I71),1,""))</f>
        <v/>
      </c>
      <c r="DS71" s="448" t="str">
        <f aca="false">IF($G71=0,IF(DS$11=$H71,"◆",""),IF(AND(DS$11&gt;=$H71,DS$11&lt;=$I71),1,""))</f>
        <v/>
      </c>
      <c r="DT71" s="448" t="str">
        <f aca="false">IF($G71=0,IF(DT$11=$H71,"◆",""),IF(AND(DT$11&gt;=$H71,DT$11&lt;=$I71),1,""))</f>
        <v/>
      </c>
      <c r="DU71" s="448" t="str">
        <f aca="false">IF($G71=0,IF(DU$11=$H71,"◆",""),IF(AND(DU$11&gt;=$H71,DU$11&lt;=$I71),1,""))</f>
        <v/>
      </c>
      <c r="DV71" s="448" t="str">
        <f aca="false">IF($G71=0,IF(DV$11=$H71,"◆",""),IF(AND(DV$11&gt;=$H71,DV$11&lt;=$I71),1,""))</f>
        <v/>
      </c>
      <c r="DW71" s="448" t="str">
        <f aca="false">IF($G71=0,IF(DW$11=$H71,"◆",""),IF(AND(DW$11&gt;=$H71,DW$11&lt;=$I71),1,""))</f>
        <v/>
      </c>
      <c r="DX71" s="448" t="str">
        <f aca="false">IF($G71=0,IF(DX$11=$H71,"◆",""),IF(AND(DX$11&gt;=$H71,DX$11&lt;=$I71),1,""))</f>
        <v/>
      </c>
      <c r="DY71" s="448" t="str">
        <f aca="false">IF($G71=0,IF(DY$11=$H71,"◆",""),IF(AND(DY$11&gt;=$H71,DY$11&lt;=$I71),1,""))</f>
        <v/>
      </c>
      <c r="DZ71" s="448" t="str">
        <f aca="false">IF($G71=0,IF(DZ$11=$H71,"◆",""),IF(AND(DZ$11&gt;=$H71,DZ$11&lt;=$I71),1,""))</f>
        <v/>
      </c>
      <c r="EA71" s="448" t="str">
        <f aca="false">IF($G71=0,IF(EA$11=$H71,"◆",""),IF(AND(EA$11&gt;=$H71,EA$11&lt;=$I71),1,""))</f>
        <v/>
      </c>
      <c r="EB71" s="448" t="str">
        <f aca="false">IF($G71=0,IF(EB$11=$H71,"◆",""),IF(AND(EB$11&gt;=$H71,EB$11&lt;=$I71),1,""))</f>
        <v/>
      </c>
      <c r="EC71" s="448" t="str">
        <f aca="false">IF($G71=0,IF(EC$11=$H71,"◆",""),IF(AND(EC$11&gt;=$H71,EC$11&lt;=$I71),1,""))</f>
        <v/>
      </c>
      <c r="ED71" s="448" t="str">
        <f aca="false">IF($G71=0,IF(ED$11=$H71,"◆",""),IF(AND(ED$11&gt;=$H71,ED$11&lt;=$I71),1,""))</f>
        <v/>
      </c>
    </row>
    <row r="72" customFormat="false" ht="15" hidden="false" customHeight="true" outlineLevel="0" collapsed="false">
      <c r="A72" s="441" t="s">
        <v>2578</v>
      </c>
      <c r="B72" s="297" t="s">
        <v>2579</v>
      </c>
      <c r="C72" s="442" t="s">
        <v>2561</v>
      </c>
      <c r="D72" s="443" t="s">
        <v>2580</v>
      </c>
      <c r="E72" s="354" t="n">
        <f aca="false">FC_SUPUESTOS!$C$24+FC_SUPUESTOS!$C$27</f>
        <v>4</v>
      </c>
      <c r="F72" s="352" t="n">
        <v>0</v>
      </c>
      <c r="G72" s="352" t="n">
        <v>4</v>
      </c>
      <c r="H72" s="367" t="n">
        <f aca="false">MAX(1,ROUND(($E72-1)*$D$5,0)+1+$F72)</f>
        <v>14</v>
      </c>
      <c r="I72" s="367" t="n">
        <f aca="false">MAX($H72,$H72+$G72-1)</f>
        <v>17</v>
      </c>
      <c r="J72" s="444" t="n">
        <f aca="false">$D$4+($H72-1)*7</f>
        <v>46391</v>
      </c>
      <c r="K72" s="444" t="n">
        <f aca="false">$D$4+$I72*7-1</f>
        <v>46418</v>
      </c>
      <c r="L72" s="445" t="n">
        <f aca="false">ROUNDUP($H72/$D$5,0)</f>
        <v>4</v>
      </c>
      <c r="M72" s="446"/>
      <c r="N72" s="447" t="n">
        <v>0</v>
      </c>
      <c r="O72" s="448" t="str">
        <f aca="false">IF($G72=0,IF(O$11=$H72,"◆",""),IF(AND(O$11&gt;=$H72,O$11&lt;=$I72),1,""))</f>
        <v/>
      </c>
      <c r="P72" s="448" t="str">
        <f aca="false">IF($G72=0,IF(P$11=$H72,"◆",""),IF(AND(P$11&gt;=$H72,P$11&lt;=$I72),1,""))</f>
        <v/>
      </c>
      <c r="Q72" s="448" t="str">
        <f aca="false">IF($G72=0,IF(Q$11=$H72,"◆",""),IF(AND(Q$11&gt;=$H72,Q$11&lt;=$I72),1,""))</f>
        <v/>
      </c>
      <c r="R72" s="448" t="str">
        <f aca="false">IF($G72=0,IF(R$11=$H72,"◆",""),IF(AND(R$11&gt;=$H72,R$11&lt;=$I72),1,""))</f>
        <v/>
      </c>
      <c r="S72" s="448" t="str">
        <f aca="false">IF($G72=0,IF(S$11=$H72,"◆",""),IF(AND(S$11&gt;=$H72,S$11&lt;=$I72),1,""))</f>
        <v/>
      </c>
      <c r="T72" s="448" t="str">
        <f aca="false">IF($G72=0,IF(T$11=$H72,"◆",""),IF(AND(T$11&gt;=$H72,T$11&lt;=$I72),1,""))</f>
        <v/>
      </c>
      <c r="U72" s="448" t="str">
        <f aca="false">IF($G72=0,IF(U$11=$H72,"◆",""),IF(AND(U$11&gt;=$H72,U$11&lt;=$I72),1,""))</f>
        <v/>
      </c>
      <c r="V72" s="448" t="str">
        <f aca="false">IF($G72=0,IF(V$11=$H72,"◆",""),IF(AND(V$11&gt;=$H72,V$11&lt;=$I72),1,""))</f>
        <v/>
      </c>
      <c r="W72" s="448" t="str">
        <f aca="false">IF($G72=0,IF(W$11=$H72,"◆",""),IF(AND(W$11&gt;=$H72,W$11&lt;=$I72),1,""))</f>
        <v/>
      </c>
      <c r="X72" s="448" t="str">
        <f aca="false">IF($G72=0,IF(X$11=$H72,"◆",""),IF(AND(X$11&gt;=$H72,X$11&lt;=$I72),1,""))</f>
        <v/>
      </c>
      <c r="Y72" s="448" t="str">
        <f aca="false">IF($G72=0,IF(Y$11=$H72,"◆",""),IF(AND(Y$11&gt;=$H72,Y$11&lt;=$I72),1,""))</f>
        <v/>
      </c>
      <c r="Z72" s="448" t="str">
        <f aca="false">IF($G72=0,IF(Z$11=$H72,"◆",""),IF(AND(Z$11&gt;=$H72,Z$11&lt;=$I72),1,""))</f>
        <v/>
      </c>
      <c r="AA72" s="448" t="str">
        <f aca="false">IF($G72=0,IF(AA$11=$H72,"◆",""),IF(AND(AA$11&gt;=$H72,AA$11&lt;=$I72),1,""))</f>
        <v/>
      </c>
      <c r="AB72" s="448" t="n">
        <f aca="false">IF($G72=0,IF(AB$11=$H72,"◆",""),IF(AND(AB$11&gt;=$H72,AB$11&lt;=$I72),1,""))</f>
        <v>1</v>
      </c>
      <c r="AC72" s="448" t="n">
        <f aca="false">IF($G72=0,IF(AC$11=$H72,"◆",""),IF(AND(AC$11&gt;=$H72,AC$11&lt;=$I72),1,""))</f>
        <v>1</v>
      </c>
      <c r="AD72" s="448" t="n">
        <f aca="false">IF($G72=0,IF(AD$11=$H72,"◆",""),IF(AND(AD$11&gt;=$H72,AD$11&lt;=$I72),1,""))</f>
        <v>1</v>
      </c>
      <c r="AE72" s="448" t="n">
        <f aca="false">IF($G72=0,IF(AE$11=$H72,"◆",""),IF(AND(AE$11&gt;=$H72,AE$11&lt;=$I72),1,""))</f>
        <v>1</v>
      </c>
      <c r="AF72" s="448" t="str">
        <f aca="false">IF($G72=0,IF(AF$11=$H72,"◆",""),IF(AND(AF$11&gt;=$H72,AF$11&lt;=$I72),1,""))</f>
        <v/>
      </c>
      <c r="AG72" s="448" t="str">
        <f aca="false">IF($G72=0,IF(AG$11=$H72,"◆",""),IF(AND(AG$11&gt;=$H72,AG$11&lt;=$I72),1,""))</f>
        <v/>
      </c>
      <c r="AH72" s="448" t="str">
        <f aca="false">IF($G72=0,IF(AH$11=$H72,"◆",""),IF(AND(AH$11&gt;=$H72,AH$11&lt;=$I72),1,""))</f>
        <v/>
      </c>
      <c r="AI72" s="448" t="str">
        <f aca="false">IF($G72=0,IF(AI$11=$H72,"◆",""),IF(AND(AI$11&gt;=$H72,AI$11&lt;=$I72),1,""))</f>
        <v/>
      </c>
      <c r="AJ72" s="448" t="str">
        <f aca="false">IF($G72=0,IF(AJ$11=$H72,"◆",""),IF(AND(AJ$11&gt;=$H72,AJ$11&lt;=$I72),1,""))</f>
        <v/>
      </c>
      <c r="AK72" s="448" t="str">
        <f aca="false">IF($G72=0,IF(AK$11=$H72,"◆",""),IF(AND(AK$11&gt;=$H72,AK$11&lt;=$I72),1,""))</f>
        <v/>
      </c>
      <c r="AL72" s="448" t="str">
        <f aca="false">IF($G72=0,IF(AL$11=$H72,"◆",""),IF(AND(AL$11&gt;=$H72,AL$11&lt;=$I72),1,""))</f>
        <v/>
      </c>
      <c r="AM72" s="448" t="str">
        <f aca="false">IF($G72=0,IF(AM$11=$H72,"◆",""),IF(AND(AM$11&gt;=$H72,AM$11&lt;=$I72),1,""))</f>
        <v/>
      </c>
      <c r="AN72" s="448" t="str">
        <f aca="false">IF($G72=0,IF(AN$11=$H72,"◆",""),IF(AND(AN$11&gt;=$H72,AN$11&lt;=$I72),1,""))</f>
        <v/>
      </c>
      <c r="AO72" s="448" t="str">
        <f aca="false">IF($G72=0,IF(AO$11=$H72,"◆",""),IF(AND(AO$11&gt;=$H72,AO$11&lt;=$I72),1,""))</f>
        <v/>
      </c>
      <c r="AP72" s="448" t="str">
        <f aca="false">IF($G72=0,IF(AP$11=$H72,"◆",""),IF(AND(AP$11&gt;=$H72,AP$11&lt;=$I72),1,""))</f>
        <v/>
      </c>
      <c r="AQ72" s="448" t="str">
        <f aca="false">IF($G72=0,IF(AQ$11=$H72,"◆",""),IF(AND(AQ$11&gt;=$H72,AQ$11&lt;=$I72),1,""))</f>
        <v/>
      </c>
      <c r="AR72" s="448" t="str">
        <f aca="false">IF($G72=0,IF(AR$11=$H72,"◆",""),IF(AND(AR$11&gt;=$H72,AR$11&lt;=$I72),1,""))</f>
        <v/>
      </c>
      <c r="AS72" s="448" t="str">
        <f aca="false">IF($G72=0,IF(AS$11=$H72,"◆",""),IF(AND(AS$11&gt;=$H72,AS$11&lt;=$I72),1,""))</f>
        <v/>
      </c>
      <c r="AT72" s="448" t="str">
        <f aca="false">IF($G72=0,IF(AT$11=$H72,"◆",""),IF(AND(AT$11&gt;=$H72,AT$11&lt;=$I72),1,""))</f>
        <v/>
      </c>
      <c r="AU72" s="448" t="str">
        <f aca="false">IF($G72=0,IF(AU$11=$H72,"◆",""),IF(AND(AU$11&gt;=$H72,AU$11&lt;=$I72),1,""))</f>
        <v/>
      </c>
      <c r="AV72" s="448" t="str">
        <f aca="false">IF($G72=0,IF(AV$11=$H72,"◆",""),IF(AND(AV$11&gt;=$H72,AV$11&lt;=$I72),1,""))</f>
        <v/>
      </c>
      <c r="AW72" s="448" t="str">
        <f aca="false">IF($G72=0,IF(AW$11=$H72,"◆",""),IF(AND(AW$11&gt;=$H72,AW$11&lt;=$I72),1,""))</f>
        <v/>
      </c>
      <c r="AX72" s="448" t="str">
        <f aca="false">IF($G72=0,IF(AX$11=$H72,"◆",""),IF(AND(AX$11&gt;=$H72,AX$11&lt;=$I72),1,""))</f>
        <v/>
      </c>
      <c r="AY72" s="448" t="str">
        <f aca="false">IF($G72=0,IF(AY$11=$H72,"◆",""),IF(AND(AY$11&gt;=$H72,AY$11&lt;=$I72),1,""))</f>
        <v/>
      </c>
      <c r="AZ72" s="448" t="str">
        <f aca="false">IF($G72=0,IF(AZ$11=$H72,"◆",""),IF(AND(AZ$11&gt;=$H72,AZ$11&lt;=$I72),1,""))</f>
        <v/>
      </c>
      <c r="BA72" s="448" t="str">
        <f aca="false">IF($G72=0,IF(BA$11=$H72,"◆",""),IF(AND(BA$11&gt;=$H72,BA$11&lt;=$I72),1,""))</f>
        <v/>
      </c>
      <c r="BB72" s="448" t="str">
        <f aca="false">IF($G72=0,IF(BB$11=$H72,"◆",""),IF(AND(BB$11&gt;=$H72,BB$11&lt;=$I72),1,""))</f>
        <v/>
      </c>
      <c r="BC72" s="448" t="str">
        <f aca="false">IF($G72=0,IF(BC$11=$H72,"◆",""),IF(AND(BC$11&gt;=$H72,BC$11&lt;=$I72),1,""))</f>
        <v/>
      </c>
      <c r="BD72" s="448" t="str">
        <f aca="false">IF($G72=0,IF(BD$11=$H72,"◆",""),IF(AND(BD$11&gt;=$H72,BD$11&lt;=$I72),1,""))</f>
        <v/>
      </c>
      <c r="BE72" s="448" t="str">
        <f aca="false">IF($G72=0,IF(BE$11=$H72,"◆",""),IF(AND(BE$11&gt;=$H72,BE$11&lt;=$I72),1,""))</f>
        <v/>
      </c>
      <c r="BF72" s="448" t="str">
        <f aca="false">IF($G72=0,IF(BF$11=$H72,"◆",""),IF(AND(BF$11&gt;=$H72,BF$11&lt;=$I72),1,""))</f>
        <v/>
      </c>
      <c r="BG72" s="448" t="str">
        <f aca="false">IF($G72=0,IF(BG$11=$H72,"◆",""),IF(AND(BG$11&gt;=$H72,BG$11&lt;=$I72),1,""))</f>
        <v/>
      </c>
      <c r="BH72" s="448" t="str">
        <f aca="false">IF($G72=0,IF(BH$11=$H72,"◆",""),IF(AND(BH$11&gt;=$H72,BH$11&lt;=$I72),1,""))</f>
        <v/>
      </c>
      <c r="BI72" s="448" t="str">
        <f aca="false">IF($G72=0,IF(BI$11=$H72,"◆",""),IF(AND(BI$11&gt;=$H72,BI$11&lt;=$I72),1,""))</f>
        <v/>
      </c>
      <c r="BJ72" s="448" t="str">
        <f aca="false">IF($G72=0,IF(BJ$11=$H72,"◆",""),IF(AND(BJ$11&gt;=$H72,BJ$11&lt;=$I72),1,""))</f>
        <v/>
      </c>
      <c r="BK72" s="448" t="str">
        <f aca="false">IF($G72=0,IF(BK$11=$H72,"◆",""),IF(AND(BK$11&gt;=$H72,BK$11&lt;=$I72),1,""))</f>
        <v/>
      </c>
      <c r="BL72" s="448" t="str">
        <f aca="false">IF($G72=0,IF(BL$11=$H72,"◆",""),IF(AND(BL$11&gt;=$H72,BL$11&lt;=$I72),1,""))</f>
        <v/>
      </c>
      <c r="BM72" s="448" t="str">
        <f aca="false">IF($G72=0,IF(BM$11=$H72,"◆",""),IF(AND(BM$11&gt;=$H72,BM$11&lt;=$I72),1,""))</f>
        <v/>
      </c>
      <c r="BN72" s="448" t="str">
        <f aca="false">IF($G72=0,IF(BN$11=$H72,"◆",""),IF(AND(BN$11&gt;=$H72,BN$11&lt;=$I72),1,""))</f>
        <v/>
      </c>
      <c r="BO72" s="448" t="str">
        <f aca="false">IF($G72=0,IF(BO$11=$H72,"◆",""),IF(AND(BO$11&gt;=$H72,BO$11&lt;=$I72),1,""))</f>
        <v/>
      </c>
      <c r="BP72" s="448" t="str">
        <f aca="false">IF($G72=0,IF(BP$11=$H72,"◆",""),IF(AND(BP$11&gt;=$H72,BP$11&lt;=$I72),1,""))</f>
        <v/>
      </c>
      <c r="BQ72" s="448" t="str">
        <f aca="false">IF($G72=0,IF(BQ$11=$H72,"◆",""),IF(AND(BQ$11&gt;=$H72,BQ$11&lt;=$I72),1,""))</f>
        <v/>
      </c>
      <c r="BR72" s="448" t="str">
        <f aca="false">IF($G72=0,IF(BR$11=$H72,"◆",""),IF(AND(BR$11&gt;=$H72,BR$11&lt;=$I72),1,""))</f>
        <v/>
      </c>
      <c r="BS72" s="448" t="str">
        <f aca="false">IF($G72=0,IF(BS$11=$H72,"◆",""),IF(AND(BS$11&gt;=$H72,BS$11&lt;=$I72),1,""))</f>
        <v/>
      </c>
      <c r="BT72" s="448" t="str">
        <f aca="false">IF($G72=0,IF(BT$11=$H72,"◆",""),IF(AND(BT$11&gt;=$H72,BT$11&lt;=$I72),1,""))</f>
        <v/>
      </c>
      <c r="BU72" s="448" t="str">
        <f aca="false">IF($G72=0,IF(BU$11=$H72,"◆",""),IF(AND(BU$11&gt;=$H72,BU$11&lt;=$I72),1,""))</f>
        <v/>
      </c>
      <c r="BV72" s="448" t="str">
        <f aca="false">IF($G72=0,IF(BV$11=$H72,"◆",""),IF(AND(BV$11&gt;=$H72,BV$11&lt;=$I72),1,""))</f>
        <v/>
      </c>
      <c r="BW72" s="448" t="str">
        <f aca="false">IF($G72=0,IF(BW$11=$H72,"◆",""),IF(AND(BW$11&gt;=$H72,BW$11&lt;=$I72),1,""))</f>
        <v/>
      </c>
      <c r="BX72" s="448" t="str">
        <f aca="false">IF($G72=0,IF(BX$11=$H72,"◆",""),IF(AND(BX$11&gt;=$H72,BX$11&lt;=$I72),1,""))</f>
        <v/>
      </c>
      <c r="BY72" s="448" t="str">
        <f aca="false">IF($G72=0,IF(BY$11=$H72,"◆",""),IF(AND(BY$11&gt;=$H72,BY$11&lt;=$I72),1,""))</f>
        <v/>
      </c>
      <c r="BZ72" s="448" t="str">
        <f aca="false">IF($G72=0,IF(BZ$11=$H72,"◆",""),IF(AND(BZ$11&gt;=$H72,BZ$11&lt;=$I72),1,""))</f>
        <v/>
      </c>
      <c r="CA72" s="448" t="str">
        <f aca="false">IF($G72=0,IF(CA$11=$H72,"◆",""),IF(AND(CA$11&gt;=$H72,CA$11&lt;=$I72),1,""))</f>
        <v/>
      </c>
      <c r="CB72" s="448" t="str">
        <f aca="false">IF($G72=0,IF(CB$11=$H72,"◆",""),IF(AND(CB$11&gt;=$H72,CB$11&lt;=$I72),1,""))</f>
        <v/>
      </c>
      <c r="CC72" s="448" t="str">
        <f aca="false">IF($G72=0,IF(CC$11=$H72,"◆",""),IF(AND(CC$11&gt;=$H72,CC$11&lt;=$I72),1,""))</f>
        <v/>
      </c>
      <c r="CD72" s="448" t="str">
        <f aca="false">IF($G72=0,IF(CD$11=$H72,"◆",""),IF(AND(CD$11&gt;=$H72,CD$11&lt;=$I72),1,""))</f>
        <v/>
      </c>
      <c r="CE72" s="448" t="str">
        <f aca="false">IF($G72=0,IF(CE$11=$H72,"◆",""),IF(AND(CE$11&gt;=$H72,CE$11&lt;=$I72),1,""))</f>
        <v/>
      </c>
      <c r="CF72" s="448" t="str">
        <f aca="false">IF($G72=0,IF(CF$11=$H72,"◆",""),IF(AND(CF$11&gt;=$H72,CF$11&lt;=$I72),1,""))</f>
        <v/>
      </c>
      <c r="CG72" s="448" t="str">
        <f aca="false">IF($G72=0,IF(CG$11=$H72,"◆",""),IF(AND(CG$11&gt;=$H72,CG$11&lt;=$I72),1,""))</f>
        <v/>
      </c>
      <c r="CH72" s="448" t="str">
        <f aca="false">IF($G72=0,IF(CH$11=$H72,"◆",""),IF(AND(CH$11&gt;=$H72,CH$11&lt;=$I72),1,""))</f>
        <v/>
      </c>
      <c r="CI72" s="448" t="str">
        <f aca="false">IF($G72=0,IF(CI$11=$H72,"◆",""),IF(AND(CI$11&gt;=$H72,CI$11&lt;=$I72),1,""))</f>
        <v/>
      </c>
      <c r="CJ72" s="448" t="str">
        <f aca="false">IF($G72=0,IF(CJ$11=$H72,"◆",""),IF(AND(CJ$11&gt;=$H72,CJ$11&lt;=$I72),1,""))</f>
        <v/>
      </c>
      <c r="CK72" s="448" t="str">
        <f aca="false">IF($G72=0,IF(CK$11=$H72,"◆",""),IF(AND(CK$11&gt;=$H72,CK$11&lt;=$I72),1,""))</f>
        <v/>
      </c>
      <c r="CL72" s="448" t="str">
        <f aca="false">IF($G72=0,IF(CL$11=$H72,"◆",""),IF(AND(CL$11&gt;=$H72,CL$11&lt;=$I72),1,""))</f>
        <v/>
      </c>
      <c r="CM72" s="448" t="str">
        <f aca="false">IF($G72=0,IF(CM$11=$H72,"◆",""),IF(AND(CM$11&gt;=$H72,CM$11&lt;=$I72),1,""))</f>
        <v/>
      </c>
      <c r="CN72" s="448" t="str">
        <f aca="false">IF($G72=0,IF(CN$11=$H72,"◆",""),IF(AND(CN$11&gt;=$H72,CN$11&lt;=$I72),1,""))</f>
        <v/>
      </c>
      <c r="CO72" s="448" t="str">
        <f aca="false">IF($G72=0,IF(CO$11=$H72,"◆",""),IF(AND(CO$11&gt;=$H72,CO$11&lt;=$I72),1,""))</f>
        <v/>
      </c>
      <c r="CP72" s="448" t="str">
        <f aca="false">IF($G72=0,IF(CP$11=$H72,"◆",""),IF(AND(CP$11&gt;=$H72,CP$11&lt;=$I72),1,""))</f>
        <v/>
      </c>
      <c r="CQ72" s="448" t="str">
        <f aca="false">IF($G72=0,IF(CQ$11=$H72,"◆",""),IF(AND(CQ$11&gt;=$H72,CQ$11&lt;=$I72),1,""))</f>
        <v/>
      </c>
      <c r="CR72" s="448" t="str">
        <f aca="false">IF($G72=0,IF(CR$11=$H72,"◆",""),IF(AND(CR$11&gt;=$H72,CR$11&lt;=$I72),1,""))</f>
        <v/>
      </c>
      <c r="CS72" s="448" t="str">
        <f aca="false">IF($G72=0,IF(CS$11=$H72,"◆",""),IF(AND(CS$11&gt;=$H72,CS$11&lt;=$I72),1,""))</f>
        <v/>
      </c>
      <c r="CT72" s="448" t="str">
        <f aca="false">IF($G72=0,IF(CT$11=$H72,"◆",""),IF(AND(CT$11&gt;=$H72,CT$11&lt;=$I72),1,""))</f>
        <v/>
      </c>
      <c r="CU72" s="448" t="str">
        <f aca="false">IF($G72=0,IF(CU$11=$H72,"◆",""),IF(AND(CU$11&gt;=$H72,CU$11&lt;=$I72),1,""))</f>
        <v/>
      </c>
      <c r="CV72" s="448" t="str">
        <f aca="false">IF($G72=0,IF(CV$11=$H72,"◆",""),IF(AND(CV$11&gt;=$H72,CV$11&lt;=$I72),1,""))</f>
        <v/>
      </c>
      <c r="CW72" s="448" t="str">
        <f aca="false">IF($G72=0,IF(CW$11=$H72,"◆",""),IF(AND(CW$11&gt;=$H72,CW$11&lt;=$I72),1,""))</f>
        <v/>
      </c>
      <c r="CX72" s="448" t="str">
        <f aca="false">IF($G72=0,IF(CX$11=$H72,"◆",""),IF(AND(CX$11&gt;=$H72,CX$11&lt;=$I72),1,""))</f>
        <v/>
      </c>
      <c r="CY72" s="448" t="str">
        <f aca="false">IF($G72=0,IF(CY$11=$H72,"◆",""),IF(AND(CY$11&gt;=$H72,CY$11&lt;=$I72),1,""))</f>
        <v/>
      </c>
      <c r="CZ72" s="448" t="str">
        <f aca="false">IF($G72=0,IF(CZ$11=$H72,"◆",""),IF(AND(CZ$11&gt;=$H72,CZ$11&lt;=$I72),1,""))</f>
        <v/>
      </c>
      <c r="DA72" s="448" t="str">
        <f aca="false">IF($G72=0,IF(DA$11=$H72,"◆",""),IF(AND(DA$11&gt;=$H72,DA$11&lt;=$I72),1,""))</f>
        <v/>
      </c>
      <c r="DB72" s="448" t="str">
        <f aca="false">IF($G72=0,IF(DB$11=$H72,"◆",""),IF(AND(DB$11&gt;=$H72,DB$11&lt;=$I72),1,""))</f>
        <v/>
      </c>
      <c r="DC72" s="448" t="str">
        <f aca="false">IF($G72=0,IF(DC$11=$H72,"◆",""),IF(AND(DC$11&gt;=$H72,DC$11&lt;=$I72),1,""))</f>
        <v/>
      </c>
      <c r="DD72" s="448" t="str">
        <f aca="false">IF($G72=0,IF(DD$11=$H72,"◆",""),IF(AND(DD$11&gt;=$H72,DD$11&lt;=$I72),1,""))</f>
        <v/>
      </c>
      <c r="DE72" s="448" t="str">
        <f aca="false">IF($G72=0,IF(DE$11=$H72,"◆",""),IF(AND(DE$11&gt;=$H72,DE$11&lt;=$I72),1,""))</f>
        <v/>
      </c>
      <c r="DF72" s="448" t="str">
        <f aca="false">IF($G72=0,IF(DF$11=$H72,"◆",""),IF(AND(DF$11&gt;=$H72,DF$11&lt;=$I72),1,""))</f>
        <v/>
      </c>
      <c r="DG72" s="448" t="str">
        <f aca="false">IF($G72=0,IF(DG$11=$H72,"◆",""),IF(AND(DG$11&gt;=$H72,DG$11&lt;=$I72),1,""))</f>
        <v/>
      </c>
      <c r="DH72" s="448" t="str">
        <f aca="false">IF($G72=0,IF(DH$11=$H72,"◆",""),IF(AND(DH$11&gt;=$H72,DH$11&lt;=$I72),1,""))</f>
        <v/>
      </c>
      <c r="DI72" s="448" t="str">
        <f aca="false">IF($G72=0,IF(DI$11=$H72,"◆",""),IF(AND(DI$11&gt;=$H72,DI$11&lt;=$I72),1,""))</f>
        <v/>
      </c>
      <c r="DJ72" s="448" t="str">
        <f aca="false">IF($G72=0,IF(DJ$11=$H72,"◆",""),IF(AND(DJ$11&gt;=$H72,DJ$11&lt;=$I72),1,""))</f>
        <v/>
      </c>
      <c r="DK72" s="448" t="str">
        <f aca="false">IF($G72=0,IF(DK$11=$H72,"◆",""),IF(AND(DK$11&gt;=$H72,DK$11&lt;=$I72),1,""))</f>
        <v/>
      </c>
      <c r="DL72" s="448" t="str">
        <f aca="false">IF($G72=0,IF(DL$11=$H72,"◆",""),IF(AND(DL$11&gt;=$H72,DL$11&lt;=$I72),1,""))</f>
        <v/>
      </c>
      <c r="DM72" s="448" t="str">
        <f aca="false">IF($G72=0,IF(DM$11=$H72,"◆",""),IF(AND(DM$11&gt;=$H72,DM$11&lt;=$I72),1,""))</f>
        <v/>
      </c>
      <c r="DN72" s="448" t="str">
        <f aca="false">IF($G72=0,IF(DN$11=$H72,"◆",""),IF(AND(DN$11&gt;=$H72,DN$11&lt;=$I72),1,""))</f>
        <v/>
      </c>
      <c r="DO72" s="448" t="str">
        <f aca="false">IF($G72=0,IF(DO$11=$H72,"◆",""),IF(AND(DO$11&gt;=$H72,DO$11&lt;=$I72),1,""))</f>
        <v/>
      </c>
      <c r="DP72" s="448" t="str">
        <f aca="false">IF($G72=0,IF(DP$11=$H72,"◆",""),IF(AND(DP$11&gt;=$H72,DP$11&lt;=$I72),1,""))</f>
        <v/>
      </c>
      <c r="DQ72" s="448" t="str">
        <f aca="false">IF($G72=0,IF(DQ$11=$H72,"◆",""),IF(AND(DQ$11&gt;=$H72,DQ$11&lt;=$I72),1,""))</f>
        <v/>
      </c>
      <c r="DR72" s="448" t="str">
        <f aca="false">IF($G72=0,IF(DR$11=$H72,"◆",""),IF(AND(DR$11&gt;=$H72,DR$11&lt;=$I72),1,""))</f>
        <v/>
      </c>
      <c r="DS72" s="448" t="str">
        <f aca="false">IF($G72=0,IF(DS$11=$H72,"◆",""),IF(AND(DS$11&gt;=$H72,DS$11&lt;=$I72),1,""))</f>
        <v/>
      </c>
      <c r="DT72" s="448" t="str">
        <f aca="false">IF($G72=0,IF(DT$11=$H72,"◆",""),IF(AND(DT$11&gt;=$H72,DT$11&lt;=$I72),1,""))</f>
        <v/>
      </c>
      <c r="DU72" s="448" t="str">
        <f aca="false">IF($G72=0,IF(DU$11=$H72,"◆",""),IF(AND(DU$11&gt;=$H72,DU$11&lt;=$I72),1,""))</f>
        <v/>
      </c>
      <c r="DV72" s="448" t="str">
        <f aca="false">IF($G72=0,IF(DV$11=$H72,"◆",""),IF(AND(DV$11&gt;=$H72,DV$11&lt;=$I72),1,""))</f>
        <v/>
      </c>
      <c r="DW72" s="448" t="str">
        <f aca="false">IF($G72=0,IF(DW$11=$H72,"◆",""),IF(AND(DW$11&gt;=$H72,DW$11&lt;=$I72),1,""))</f>
        <v/>
      </c>
      <c r="DX72" s="448" t="str">
        <f aca="false">IF($G72=0,IF(DX$11=$H72,"◆",""),IF(AND(DX$11&gt;=$H72,DX$11&lt;=$I72),1,""))</f>
        <v/>
      </c>
      <c r="DY72" s="448" t="str">
        <f aca="false">IF($G72=0,IF(DY$11=$H72,"◆",""),IF(AND(DY$11&gt;=$H72,DY$11&lt;=$I72),1,""))</f>
        <v/>
      </c>
      <c r="DZ72" s="448" t="str">
        <f aca="false">IF($G72=0,IF(DZ$11=$H72,"◆",""),IF(AND(DZ$11&gt;=$H72,DZ$11&lt;=$I72),1,""))</f>
        <v/>
      </c>
      <c r="EA72" s="448" t="str">
        <f aca="false">IF($G72=0,IF(EA$11=$H72,"◆",""),IF(AND(EA$11&gt;=$H72,EA$11&lt;=$I72),1,""))</f>
        <v/>
      </c>
      <c r="EB72" s="448" t="str">
        <f aca="false">IF($G72=0,IF(EB$11=$H72,"◆",""),IF(AND(EB$11&gt;=$H72,EB$11&lt;=$I72),1,""))</f>
        <v/>
      </c>
      <c r="EC72" s="448" t="str">
        <f aca="false">IF($G72=0,IF(EC$11=$H72,"◆",""),IF(AND(EC$11&gt;=$H72,EC$11&lt;=$I72),1,""))</f>
        <v/>
      </c>
      <c r="ED72" s="448" t="str">
        <f aca="false">IF($G72=0,IF(ED$11=$H72,"◆",""),IF(AND(ED$11&gt;=$H72,ED$11&lt;=$I72),1,""))</f>
        <v/>
      </c>
    </row>
    <row r="73" customFormat="false" ht="15" hidden="false" customHeight="true" outlineLevel="0" collapsed="false">
      <c r="A73" s="441" t="s">
        <v>2581</v>
      </c>
      <c r="B73" s="297" t="s">
        <v>2582</v>
      </c>
      <c r="C73" s="442" t="s">
        <v>2565</v>
      </c>
      <c r="D73" s="443" t="s">
        <v>2583</v>
      </c>
      <c r="E73" s="354" t="n">
        <f aca="false">FC_SUPUESTOS!$C$24+FC_SUPUESTOS!$C$27+FC_SUPUESTOS!$C$28</f>
        <v>5</v>
      </c>
      <c r="F73" s="352" t="n">
        <v>0</v>
      </c>
      <c r="G73" s="352" t="n">
        <v>4</v>
      </c>
      <c r="H73" s="367" t="n">
        <f aca="false">MAX(1,ROUND(($E73-1)*$D$5,0)+1+$F73)</f>
        <v>18</v>
      </c>
      <c r="I73" s="367" t="n">
        <f aca="false">MAX($H73,$H73+$G73-1)</f>
        <v>21</v>
      </c>
      <c r="J73" s="444" t="n">
        <f aca="false">$D$4+($H73-1)*7</f>
        <v>46419</v>
      </c>
      <c r="K73" s="444" t="n">
        <f aca="false">$D$4+$I73*7-1</f>
        <v>46446</v>
      </c>
      <c r="L73" s="445" t="n">
        <f aca="false">ROUNDUP($H73/$D$5,0)</f>
        <v>5</v>
      </c>
      <c r="M73" s="446"/>
      <c r="N73" s="447" t="n">
        <v>0</v>
      </c>
      <c r="O73" s="448" t="str">
        <f aca="false">IF($G73=0,IF(O$11=$H73,"◆",""),IF(AND(O$11&gt;=$H73,O$11&lt;=$I73),1,""))</f>
        <v/>
      </c>
      <c r="P73" s="448" t="str">
        <f aca="false">IF($G73=0,IF(P$11=$H73,"◆",""),IF(AND(P$11&gt;=$H73,P$11&lt;=$I73),1,""))</f>
        <v/>
      </c>
      <c r="Q73" s="448" t="str">
        <f aca="false">IF($G73=0,IF(Q$11=$H73,"◆",""),IF(AND(Q$11&gt;=$H73,Q$11&lt;=$I73),1,""))</f>
        <v/>
      </c>
      <c r="R73" s="448" t="str">
        <f aca="false">IF($G73=0,IF(R$11=$H73,"◆",""),IF(AND(R$11&gt;=$H73,R$11&lt;=$I73),1,""))</f>
        <v/>
      </c>
      <c r="S73" s="448" t="str">
        <f aca="false">IF($G73=0,IF(S$11=$H73,"◆",""),IF(AND(S$11&gt;=$H73,S$11&lt;=$I73),1,""))</f>
        <v/>
      </c>
      <c r="T73" s="448" t="str">
        <f aca="false">IF($G73=0,IF(T$11=$H73,"◆",""),IF(AND(T$11&gt;=$H73,T$11&lt;=$I73),1,""))</f>
        <v/>
      </c>
      <c r="U73" s="448" t="str">
        <f aca="false">IF($G73=0,IF(U$11=$H73,"◆",""),IF(AND(U$11&gt;=$H73,U$11&lt;=$I73),1,""))</f>
        <v/>
      </c>
      <c r="V73" s="448" t="str">
        <f aca="false">IF($G73=0,IF(V$11=$H73,"◆",""),IF(AND(V$11&gt;=$H73,V$11&lt;=$I73),1,""))</f>
        <v/>
      </c>
      <c r="W73" s="448" t="str">
        <f aca="false">IF($G73=0,IF(W$11=$H73,"◆",""),IF(AND(W$11&gt;=$H73,W$11&lt;=$I73),1,""))</f>
        <v/>
      </c>
      <c r="X73" s="448" t="str">
        <f aca="false">IF($G73=0,IF(X$11=$H73,"◆",""),IF(AND(X$11&gt;=$H73,X$11&lt;=$I73),1,""))</f>
        <v/>
      </c>
      <c r="Y73" s="448" t="str">
        <f aca="false">IF($G73=0,IF(Y$11=$H73,"◆",""),IF(AND(Y$11&gt;=$H73,Y$11&lt;=$I73),1,""))</f>
        <v/>
      </c>
      <c r="Z73" s="448" t="str">
        <f aca="false">IF($G73=0,IF(Z$11=$H73,"◆",""),IF(AND(Z$11&gt;=$H73,Z$11&lt;=$I73),1,""))</f>
        <v/>
      </c>
      <c r="AA73" s="448" t="str">
        <f aca="false">IF($G73=0,IF(AA$11=$H73,"◆",""),IF(AND(AA$11&gt;=$H73,AA$11&lt;=$I73),1,""))</f>
        <v/>
      </c>
      <c r="AB73" s="448" t="str">
        <f aca="false">IF($G73=0,IF(AB$11=$H73,"◆",""),IF(AND(AB$11&gt;=$H73,AB$11&lt;=$I73),1,""))</f>
        <v/>
      </c>
      <c r="AC73" s="448" t="str">
        <f aca="false">IF($G73=0,IF(AC$11=$H73,"◆",""),IF(AND(AC$11&gt;=$H73,AC$11&lt;=$I73),1,""))</f>
        <v/>
      </c>
      <c r="AD73" s="448" t="str">
        <f aca="false">IF($G73=0,IF(AD$11=$H73,"◆",""),IF(AND(AD$11&gt;=$H73,AD$11&lt;=$I73),1,""))</f>
        <v/>
      </c>
      <c r="AE73" s="448" t="str">
        <f aca="false">IF($G73=0,IF(AE$11=$H73,"◆",""),IF(AND(AE$11&gt;=$H73,AE$11&lt;=$I73),1,""))</f>
        <v/>
      </c>
      <c r="AF73" s="448" t="n">
        <f aca="false">IF($G73=0,IF(AF$11=$H73,"◆",""),IF(AND(AF$11&gt;=$H73,AF$11&lt;=$I73),1,""))</f>
        <v>1</v>
      </c>
      <c r="AG73" s="448" t="n">
        <f aca="false">IF($G73=0,IF(AG$11=$H73,"◆",""),IF(AND(AG$11&gt;=$H73,AG$11&lt;=$I73),1,""))</f>
        <v>1</v>
      </c>
      <c r="AH73" s="448" t="n">
        <f aca="false">IF($G73=0,IF(AH$11=$H73,"◆",""),IF(AND(AH$11&gt;=$H73,AH$11&lt;=$I73),1,""))</f>
        <v>1</v>
      </c>
      <c r="AI73" s="448" t="n">
        <f aca="false">IF($G73=0,IF(AI$11=$H73,"◆",""),IF(AND(AI$11&gt;=$H73,AI$11&lt;=$I73),1,""))</f>
        <v>1</v>
      </c>
      <c r="AJ73" s="448" t="str">
        <f aca="false">IF($G73=0,IF(AJ$11=$H73,"◆",""),IF(AND(AJ$11&gt;=$H73,AJ$11&lt;=$I73),1,""))</f>
        <v/>
      </c>
      <c r="AK73" s="448" t="str">
        <f aca="false">IF($G73=0,IF(AK$11=$H73,"◆",""),IF(AND(AK$11&gt;=$H73,AK$11&lt;=$I73),1,""))</f>
        <v/>
      </c>
      <c r="AL73" s="448" t="str">
        <f aca="false">IF($G73=0,IF(AL$11=$H73,"◆",""),IF(AND(AL$11&gt;=$H73,AL$11&lt;=$I73),1,""))</f>
        <v/>
      </c>
      <c r="AM73" s="448" t="str">
        <f aca="false">IF($G73=0,IF(AM$11=$H73,"◆",""),IF(AND(AM$11&gt;=$H73,AM$11&lt;=$I73),1,""))</f>
        <v/>
      </c>
      <c r="AN73" s="448" t="str">
        <f aca="false">IF($G73=0,IF(AN$11=$H73,"◆",""),IF(AND(AN$11&gt;=$H73,AN$11&lt;=$I73),1,""))</f>
        <v/>
      </c>
      <c r="AO73" s="448" t="str">
        <f aca="false">IF($G73=0,IF(AO$11=$H73,"◆",""),IF(AND(AO$11&gt;=$H73,AO$11&lt;=$I73),1,""))</f>
        <v/>
      </c>
      <c r="AP73" s="448" t="str">
        <f aca="false">IF($G73=0,IF(AP$11=$H73,"◆",""),IF(AND(AP$11&gt;=$H73,AP$11&lt;=$I73),1,""))</f>
        <v/>
      </c>
      <c r="AQ73" s="448" t="str">
        <f aca="false">IF($G73=0,IF(AQ$11=$H73,"◆",""),IF(AND(AQ$11&gt;=$H73,AQ$11&lt;=$I73),1,""))</f>
        <v/>
      </c>
      <c r="AR73" s="448" t="str">
        <f aca="false">IF($G73=0,IF(AR$11=$H73,"◆",""),IF(AND(AR$11&gt;=$H73,AR$11&lt;=$I73),1,""))</f>
        <v/>
      </c>
      <c r="AS73" s="448" t="str">
        <f aca="false">IF($G73=0,IF(AS$11=$H73,"◆",""),IF(AND(AS$11&gt;=$H73,AS$11&lt;=$I73),1,""))</f>
        <v/>
      </c>
      <c r="AT73" s="448" t="str">
        <f aca="false">IF($G73=0,IF(AT$11=$H73,"◆",""),IF(AND(AT$11&gt;=$H73,AT$11&lt;=$I73),1,""))</f>
        <v/>
      </c>
      <c r="AU73" s="448" t="str">
        <f aca="false">IF($G73=0,IF(AU$11=$H73,"◆",""),IF(AND(AU$11&gt;=$H73,AU$11&lt;=$I73),1,""))</f>
        <v/>
      </c>
      <c r="AV73" s="448" t="str">
        <f aca="false">IF($G73=0,IF(AV$11=$H73,"◆",""),IF(AND(AV$11&gt;=$H73,AV$11&lt;=$I73),1,""))</f>
        <v/>
      </c>
      <c r="AW73" s="448" t="str">
        <f aca="false">IF($G73=0,IF(AW$11=$H73,"◆",""),IF(AND(AW$11&gt;=$H73,AW$11&lt;=$I73),1,""))</f>
        <v/>
      </c>
      <c r="AX73" s="448" t="str">
        <f aca="false">IF($G73=0,IF(AX$11=$H73,"◆",""),IF(AND(AX$11&gt;=$H73,AX$11&lt;=$I73),1,""))</f>
        <v/>
      </c>
      <c r="AY73" s="448" t="str">
        <f aca="false">IF($G73=0,IF(AY$11=$H73,"◆",""),IF(AND(AY$11&gt;=$H73,AY$11&lt;=$I73),1,""))</f>
        <v/>
      </c>
      <c r="AZ73" s="448" t="str">
        <f aca="false">IF($G73=0,IF(AZ$11=$H73,"◆",""),IF(AND(AZ$11&gt;=$H73,AZ$11&lt;=$I73),1,""))</f>
        <v/>
      </c>
      <c r="BA73" s="448" t="str">
        <f aca="false">IF($G73=0,IF(BA$11=$H73,"◆",""),IF(AND(BA$11&gt;=$H73,BA$11&lt;=$I73),1,""))</f>
        <v/>
      </c>
      <c r="BB73" s="448" t="str">
        <f aca="false">IF($G73=0,IF(BB$11=$H73,"◆",""),IF(AND(BB$11&gt;=$H73,BB$11&lt;=$I73),1,""))</f>
        <v/>
      </c>
      <c r="BC73" s="448" t="str">
        <f aca="false">IF($G73=0,IF(BC$11=$H73,"◆",""),IF(AND(BC$11&gt;=$H73,BC$11&lt;=$I73),1,""))</f>
        <v/>
      </c>
      <c r="BD73" s="448" t="str">
        <f aca="false">IF($G73=0,IF(BD$11=$H73,"◆",""),IF(AND(BD$11&gt;=$H73,BD$11&lt;=$I73),1,""))</f>
        <v/>
      </c>
      <c r="BE73" s="448" t="str">
        <f aca="false">IF($G73=0,IF(BE$11=$H73,"◆",""),IF(AND(BE$11&gt;=$H73,BE$11&lt;=$I73),1,""))</f>
        <v/>
      </c>
      <c r="BF73" s="448" t="str">
        <f aca="false">IF($G73=0,IF(BF$11=$H73,"◆",""),IF(AND(BF$11&gt;=$H73,BF$11&lt;=$I73),1,""))</f>
        <v/>
      </c>
      <c r="BG73" s="448" t="str">
        <f aca="false">IF($G73=0,IF(BG$11=$H73,"◆",""),IF(AND(BG$11&gt;=$H73,BG$11&lt;=$I73),1,""))</f>
        <v/>
      </c>
      <c r="BH73" s="448" t="str">
        <f aca="false">IF($G73=0,IF(BH$11=$H73,"◆",""),IF(AND(BH$11&gt;=$H73,BH$11&lt;=$I73),1,""))</f>
        <v/>
      </c>
      <c r="BI73" s="448" t="str">
        <f aca="false">IF($G73=0,IF(BI$11=$H73,"◆",""),IF(AND(BI$11&gt;=$H73,BI$11&lt;=$I73),1,""))</f>
        <v/>
      </c>
      <c r="BJ73" s="448" t="str">
        <f aca="false">IF($G73=0,IF(BJ$11=$H73,"◆",""),IF(AND(BJ$11&gt;=$H73,BJ$11&lt;=$I73),1,""))</f>
        <v/>
      </c>
      <c r="BK73" s="448" t="str">
        <f aca="false">IF($G73=0,IF(BK$11=$H73,"◆",""),IF(AND(BK$11&gt;=$H73,BK$11&lt;=$I73),1,""))</f>
        <v/>
      </c>
      <c r="BL73" s="448" t="str">
        <f aca="false">IF($G73=0,IF(BL$11=$H73,"◆",""),IF(AND(BL$11&gt;=$H73,BL$11&lt;=$I73),1,""))</f>
        <v/>
      </c>
      <c r="BM73" s="448" t="str">
        <f aca="false">IF($G73=0,IF(BM$11=$H73,"◆",""),IF(AND(BM$11&gt;=$H73,BM$11&lt;=$I73),1,""))</f>
        <v/>
      </c>
      <c r="BN73" s="448" t="str">
        <f aca="false">IF($G73=0,IF(BN$11=$H73,"◆",""),IF(AND(BN$11&gt;=$H73,BN$11&lt;=$I73),1,""))</f>
        <v/>
      </c>
      <c r="BO73" s="448" t="str">
        <f aca="false">IF($G73=0,IF(BO$11=$H73,"◆",""),IF(AND(BO$11&gt;=$H73,BO$11&lt;=$I73),1,""))</f>
        <v/>
      </c>
      <c r="BP73" s="448" t="str">
        <f aca="false">IF($G73=0,IF(BP$11=$H73,"◆",""),IF(AND(BP$11&gt;=$H73,BP$11&lt;=$I73),1,""))</f>
        <v/>
      </c>
      <c r="BQ73" s="448" t="str">
        <f aca="false">IF($G73=0,IF(BQ$11=$H73,"◆",""),IF(AND(BQ$11&gt;=$H73,BQ$11&lt;=$I73),1,""))</f>
        <v/>
      </c>
      <c r="BR73" s="448" t="str">
        <f aca="false">IF($G73=0,IF(BR$11=$H73,"◆",""),IF(AND(BR$11&gt;=$H73,BR$11&lt;=$I73),1,""))</f>
        <v/>
      </c>
      <c r="BS73" s="448" t="str">
        <f aca="false">IF($G73=0,IF(BS$11=$H73,"◆",""),IF(AND(BS$11&gt;=$H73,BS$11&lt;=$I73),1,""))</f>
        <v/>
      </c>
      <c r="BT73" s="448" t="str">
        <f aca="false">IF($G73=0,IF(BT$11=$H73,"◆",""),IF(AND(BT$11&gt;=$H73,BT$11&lt;=$I73),1,""))</f>
        <v/>
      </c>
      <c r="BU73" s="448" t="str">
        <f aca="false">IF($G73=0,IF(BU$11=$H73,"◆",""),IF(AND(BU$11&gt;=$H73,BU$11&lt;=$I73),1,""))</f>
        <v/>
      </c>
      <c r="BV73" s="448" t="str">
        <f aca="false">IF($G73=0,IF(BV$11=$H73,"◆",""),IF(AND(BV$11&gt;=$H73,BV$11&lt;=$I73),1,""))</f>
        <v/>
      </c>
      <c r="BW73" s="448" t="str">
        <f aca="false">IF($G73=0,IF(BW$11=$H73,"◆",""),IF(AND(BW$11&gt;=$H73,BW$11&lt;=$I73),1,""))</f>
        <v/>
      </c>
      <c r="BX73" s="448" t="str">
        <f aca="false">IF($G73=0,IF(BX$11=$H73,"◆",""),IF(AND(BX$11&gt;=$H73,BX$11&lt;=$I73),1,""))</f>
        <v/>
      </c>
      <c r="BY73" s="448" t="str">
        <f aca="false">IF($G73=0,IF(BY$11=$H73,"◆",""),IF(AND(BY$11&gt;=$H73,BY$11&lt;=$I73),1,""))</f>
        <v/>
      </c>
      <c r="BZ73" s="448" t="str">
        <f aca="false">IF($G73=0,IF(BZ$11=$H73,"◆",""),IF(AND(BZ$11&gt;=$H73,BZ$11&lt;=$I73),1,""))</f>
        <v/>
      </c>
      <c r="CA73" s="448" t="str">
        <f aca="false">IF($G73=0,IF(CA$11=$H73,"◆",""),IF(AND(CA$11&gt;=$H73,CA$11&lt;=$I73),1,""))</f>
        <v/>
      </c>
      <c r="CB73" s="448" t="str">
        <f aca="false">IF($G73=0,IF(CB$11=$H73,"◆",""),IF(AND(CB$11&gt;=$H73,CB$11&lt;=$I73),1,""))</f>
        <v/>
      </c>
      <c r="CC73" s="448" t="str">
        <f aca="false">IF($G73=0,IF(CC$11=$H73,"◆",""),IF(AND(CC$11&gt;=$H73,CC$11&lt;=$I73),1,""))</f>
        <v/>
      </c>
      <c r="CD73" s="448" t="str">
        <f aca="false">IF($G73=0,IF(CD$11=$H73,"◆",""),IF(AND(CD$11&gt;=$H73,CD$11&lt;=$I73),1,""))</f>
        <v/>
      </c>
      <c r="CE73" s="448" t="str">
        <f aca="false">IF($G73=0,IF(CE$11=$H73,"◆",""),IF(AND(CE$11&gt;=$H73,CE$11&lt;=$I73),1,""))</f>
        <v/>
      </c>
      <c r="CF73" s="448" t="str">
        <f aca="false">IF($G73=0,IF(CF$11=$H73,"◆",""),IF(AND(CF$11&gt;=$H73,CF$11&lt;=$I73),1,""))</f>
        <v/>
      </c>
      <c r="CG73" s="448" t="str">
        <f aca="false">IF($G73=0,IF(CG$11=$H73,"◆",""),IF(AND(CG$11&gt;=$H73,CG$11&lt;=$I73),1,""))</f>
        <v/>
      </c>
      <c r="CH73" s="448" t="str">
        <f aca="false">IF($G73=0,IF(CH$11=$H73,"◆",""),IF(AND(CH$11&gt;=$H73,CH$11&lt;=$I73),1,""))</f>
        <v/>
      </c>
      <c r="CI73" s="448" t="str">
        <f aca="false">IF($G73=0,IF(CI$11=$H73,"◆",""),IF(AND(CI$11&gt;=$H73,CI$11&lt;=$I73),1,""))</f>
        <v/>
      </c>
      <c r="CJ73" s="448" t="str">
        <f aca="false">IF($G73=0,IF(CJ$11=$H73,"◆",""),IF(AND(CJ$11&gt;=$H73,CJ$11&lt;=$I73),1,""))</f>
        <v/>
      </c>
      <c r="CK73" s="448" t="str">
        <f aca="false">IF($G73=0,IF(CK$11=$H73,"◆",""),IF(AND(CK$11&gt;=$H73,CK$11&lt;=$I73),1,""))</f>
        <v/>
      </c>
      <c r="CL73" s="448" t="str">
        <f aca="false">IF($G73=0,IF(CL$11=$H73,"◆",""),IF(AND(CL$11&gt;=$H73,CL$11&lt;=$I73),1,""))</f>
        <v/>
      </c>
      <c r="CM73" s="448" t="str">
        <f aca="false">IF($G73=0,IF(CM$11=$H73,"◆",""),IF(AND(CM$11&gt;=$H73,CM$11&lt;=$I73),1,""))</f>
        <v/>
      </c>
      <c r="CN73" s="448" t="str">
        <f aca="false">IF($G73=0,IF(CN$11=$H73,"◆",""),IF(AND(CN$11&gt;=$H73,CN$11&lt;=$I73),1,""))</f>
        <v/>
      </c>
      <c r="CO73" s="448" t="str">
        <f aca="false">IF($G73=0,IF(CO$11=$H73,"◆",""),IF(AND(CO$11&gt;=$H73,CO$11&lt;=$I73),1,""))</f>
        <v/>
      </c>
      <c r="CP73" s="448" t="str">
        <f aca="false">IF($G73=0,IF(CP$11=$H73,"◆",""),IF(AND(CP$11&gt;=$H73,CP$11&lt;=$I73),1,""))</f>
        <v/>
      </c>
      <c r="CQ73" s="448" t="str">
        <f aca="false">IF($G73=0,IF(CQ$11=$H73,"◆",""),IF(AND(CQ$11&gt;=$H73,CQ$11&lt;=$I73),1,""))</f>
        <v/>
      </c>
      <c r="CR73" s="448" t="str">
        <f aca="false">IF($G73=0,IF(CR$11=$H73,"◆",""),IF(AND(CR$11&gt;=$H73,CR$11&lt;=$I73),1,""))</f>
        <v/>
      </c>
      <c r="CS73" s="448" t="str">
        <f aca="false">IF($G73=0,IF(CS$11=$H73,"◆",""),IF(AND(CS$11&gt;=$H73,CS$11&lt;=$I73),1,""))</f>
        <v/>
      </c>
      <c r="CT73" s="448" t="str">
        <f aca="false">IF($G73=0,IF(CT$11=$H73,"◆",""),IF(AND(CT$11&gt;=$H73,CT$11&lt;=$I73),1,""))</f>
        <v/>
      </c>
      <c r="CU73" s="448" t="str">
        <f aca="false">IF($G73=0,IF(CU$11=$H73,"◆",""),IF(AND(CU$11&gt;=$H73,CU$11&lt;=$I73),1,""))</f>
        <v/>
      </c>
      <c r="CV73" s="448" t="str">
        <f aca="false">IF($G73=0,IF(CV$11=$H73,"◆",""),IF(AND(CV$11&gt;=$H73,CV$11&lt;=$I73),1,""))</f>
        <v/>
      </c>
      <c r="CW73" s="448" t="str">
        <f aca="false">IF($G73=0,IF(CW$11=$H73,"◆",""),IF(AND(CW$11&gt;=$H73,CW$11&lt;=$I73),1,""))</f>
        <v/>
      </c>
      <c r="CX73" s="448" t="str">
        <f aca="false">IF($G73=0,IF(CX$11=$H73,"◆",""),IF(AND(CX$11&gt;=$H73,CX$11&lt;=$I73),1,""))</f>
        <v/>
      </c>
      <c r="CY73" s="448" t="str">
        <f aca="false">IF($G73=0,IF(CY$11=$H73,"◆",""),IF(AND(CY$11&gt;=$H73,CY$11&lt;=$I73),1,""))</f>
        <v/>
      </c>
      <c r="CZ73" s="448" t="str">
        <f aca="false">IF($G73=0,IF(CZ$11=$H73,"◆",""),IF(AND(CZ$11&gt;=$H73,CZ$11&lt;=$I73),1,""))</f>
        <v/>
      </c>
      <c r="DA73" s="448" t="str">
        <f aca="false">IF($G73=0,IF(DA$11=$H73,"◆",""),IF(AND(DA$11&gt;=$H73,DA$11&lt;=$I73),1,""))</f>
        <v/>
      </c>
      <c r="DB73" s="448" t="str">
        <f aca="false">IF($G73=0,IF(DB$11=$H73,"◆",""),IF(AND(DB$11&gt;=$H73,DB$11&lt;=$I73),1,""))</f>
        <v/>
      </c>
      <c r="DC73" s="448" t="str">
        <f aca="false">IF($G73=0,IF(DC$11=$H73,"◆",""),IF(AND(DC$11&gt;=$H73,DC$11&lt;=$I73),1,""))</f>
        <v/>
      </c>
      <c r="DD73" s="448" t="str">
        <f aca="false">IF($G73=0,IF(DD$11=$H73,"◆",""),IF(AND(DD$11&gt;=$H73,DD$11&lt;=$I73),1,""))</f>
        <v/>
      </c>
      <c r="DE73" s="448" t="str">
        <f aca="false">IF($G73=0,IF(DE$11=$H73,"◆",""),IF(AND(DE$11&gt;=$H73,DE$11&lt;=$I73),1,""))</f>
        <v/>
      </c>
      <c r="DF73" s="448" t="str">
        <f aca="false">IF($G73=0,IF(DF$11=$H73,"◆",""),IF(AND(DF$11&gt;=$H73,DF$11&lt;=$I73),1,""))</f>
        <v/>
      </c>
      <c r="DG73" s="448" t="str">
        <f aca="false">IF($G73=0,IF(DG$11=$H73,"◆",""),IF(AND(DG$11&gt;=$H73,DG$11&lt;=$I73),1,""))</f>
        <v/>
      </c>
      <c r="DH73" s="448" t="str">
        <f aca="false">IF($G73=0,IF(DH$11=$H73,"◆",""),IF(AND(DH$11&gt;=$H73,DH$11&lt;=$I73),1,""))</f>
        <v/>
      </c>
      <c r="DI73" s="448" t="str">
        <f aca="false">IF($G73=0,IF(DI$11=$H73,"◆",""),IF(AND(DI$11&gt;=$H73,DI$11&lt;=$I73),1,""))</f>
        <v/>
      </c>
      <c r="DJ73" s="448" t="str">
        <f aca="false">IF($G73=0,IF(DJ$11=$H73,"◆",""),IF(AND(DJ$11&gt;=$H73,DJ$11&lt;=$I73),1,""))</f>
        <v/>
      </c>
      <c r="DK73" s="448" t="str">
        <f aca="false">IF($G73=0,IF(DK$11=$H73,"◆",""),IF(AND(DK$11&gt;=$H73,DK$11&lt;=$I73),1,""))</f>
        <v/>
      </c>
      <c r="DL73" s="448" t="str">
        <f aca="false">IF($G73=0,IF(DL$11=$H73,"◆",""),IF(AND(DL$11&gt;=$H73,DL$11&lt;=$I73),1,""))</f>
        <v/>
      </c>
      <c r="DM73" s="448" t="str">
        <f aca="false">IF($G73=0,IF(DM$11=$H73,"◆",""),IF(AND(DM$11&gt;=$H73,DM$11&lt;=$I73),1,""))</f>
        <v/>
      </c>
      <c r="DN73" s="448" t="str">
        <f aca="false">IF($G73=0,IF(DN$11=$H73,"◆",""),IF(AND(DN$11&gt;=$H73,DN$11&lt;=$I73),1,""))</f>
        <v/>
      </c>
      <c r="DO73" s="448" t="str">
        <f aca="false">IF($G73=0,IF(DO$11=$H73,"◆",""),IF(AND(DO$11&gt;=$H73,DO$11&lt;=$I73),1,""))</f>
        <v/>
      </c>
      <c r="DP73" s="448" t="str">
        <f aca="false">IF($G73=0,IF(DP$11=$H73,"◆",""),IF(AND(DP$11&gt;=$H73,DP$11&lt;=$I73),1,""))</f>
        <v/>
      </c>
      <c r="DQ73" s="448" t="str">
        <f aca="false">IF($G73=0,IF(DQ$11=$H73,"◆",""),IF(AND(DQ$11&gt;=$H73,DQ$11&lt;=$I73),1,""))</f>
        <v/>
      </c>
      <c r="DR73" s="448" t="str">
        <f aca="false">IF($G73=0,IF(DR$11=$H73,"◆",""),IF(AND(DR$11&gt;=$H73,DR$11&lt;=$I73),1,""))</f>
        <v/>
      </c>
      <c r="DS73" s="448" t="str">
        <f aca="false">IF($G73=0,IF(DS$11=$H73,"◆",""),IF(AND(DS$11&gt;=$H73,DS$11&lt;=$I73),1,""))</f>
        <v/>
      </c>
      <c r="DT73" s="448" t="str">
        <f aca="false">IF($G73=0,IF(DT$11=$H73,"◆",""),IF(AND(DT$11&gt;=$H73,DT$11&lt;=$I73),1,""))</f>
        <v/>
      </c>
      <c r="DU73" s="448" t="str">
        <f aca="false">IF($G73=0,IF(DU$11=$H73,"◆",""),IF(AND(DU$11&gt;=$H73,DU$11&lt;=$I73),1,""))</f>
        <v/>
      </c>
      <c r="DV73" s="448" t="str">
        <f aca="false">IF($G73=0,IF(DV$11=$H73,"◆",""),IF(AND(DV$11&gt;=$H73,DV$11&lt;=$I73),1,""))</f>
        <v/>
      </c>
      <c r="DW73" s="448" t="str">
        <f aca="false">IF($G73=0,IF(DW$11=$H73,"◆",""),IF(AND(DW$11&gt;=$H73,DW$11&lt;=$I73),1,""))</f>
        <v/>
      </c>
      <c r="DX73" s="448" t="str">
        <f aca="false">IF($G73=0,IF(DX$11=$H73,"◆",""),IF(AND(DX$11&gt;=$H73,DX$11&lt;=$I73),1,""))</f>
        <v/>
      </c>
      <c r="DY73" s="448" t="str">
        <f aca="false">IF($G73=0,IF(DY$11=$H73,"◆",""),IF(AND(DY$11&gt;=$H73,DY$11&lt;=$I73),1,""))</f>
        <v/>
      </c>
      <c r="DZ73" s="448" t="str">
        <f aca="false">IF($G73=0,IF(DZ$11=$H73,"◆",""),IF(AND(DZ$11&gt;=$H73,DZ$11&lt;=$I73),1,""))</f>
        <v/>
      </c>
      <c r="EA73" s="448" t="str">
        <f aca="false">IF($G73=0,IF(EA$11=$H73,"◆",""),IF(AND(EA$11&gt;=$H73,EA$11&lt;=$I73),1,""))</f>
        <v/>
      </c>
      <c r="EB73" s="448" t="str">
        <f aca="false">IF($G73=0,IF(EB$11=$H73,"◆",""),IF(AND(EB$11&gt;=$H73,EB$11&lt;=$I73),1,""))</f>
        <v/>
      </c>
      <c r="EC73" s="448" t="str">
        <f aca="false">IF($G73=0,IF(EC$11=$H73,"◆",""),IF(AND(EC$11&gt;=$H73,EC$11&lt;=$I73),1,""))</f>
        <v/>
      </c>
      <c r="ED73" s="448" t="str">
        <f aca="false">IF($G73=0,IF(ED$11=$H73,"◆",""),IF(AND(ED$11&gt;=$H73,ED$11&lt;=$I73),1,""))</f>
        <v/>
      </c>
    </row>
    <row r="74" customFormat="false" ht="15" hidden="false" customHeight="true" outlineLevel="0" collapsed="false">
      <c r="A74" s="441" t="s">
        <v>2584</v>
      </c>
      <c r="B74" s="297" t="s">
        <v>2585</v>
      </c>
      <c r="C74" s="442" t="s">
        <v>2586</v>
      </c>
      <c r="D74" s="443" t="s">
        <v>2583</v>
      </c>
      <c r="E74" s="354" t="n">
        <f aca="false">FC_SUPUESTOS!$C$24+FC_SUPUESTOS!$C$27+FC_SUPUESTOS!$C$28</f>
        <v>5</v>
      </c>
      <c r="F74" s="352" t="n">
        <v>4</v>
      </c>
      <c r="G74" s="352" t="n">
        <v>3</v>
      </c>
      <c r="H74" s="367" t="n">
        <f aca="false">MAX(1,ROUND(($E74-1)*$D$5,0)+1+$F74)</f>
        <v>22</v>
      </c>
      <c r="I74" s="367" t="n">
        <f aca="false">MAX($H74,$H74+$G74-1)</f>
        <v>24</v>
      </c>
      <c r="J74" s="444" t="n">
        <f aca="false">$D$4+($H74-1)*7</f>
        <v>46447</v>
      </c>
      <c r="K74" s="444" t="n">
        <f aca="false">$D$4+$I74*7-1</f>
        <v>46467</v>
      </c>
      <c r="L74" s="445" t="n">
        <f aca="false">ROUNDUP($H74/$D$5,0)</f>
        <v>6</v>
      </c>
      <c r="M74" s="446"/>
      <c r="N74" s="447" t="n">
        <v>0</v>
      </c>
      <c r="O74" s="448" t="str">
        <f aca="false">IF($G74=0,IF(O$11=$H74,"◆",""),IF(AND(O$11&gt;=$H74,O$11&lt;=$I74),1,""))</f>
        <v/>
      </c>
      <c r="P74" s="448" t="str">
        <f aca="false">IF($G74=0,IF(P$11=$H74,"◆",""),IF(AND(P$11&gt;=$H74,P$11&lt;=$I74),1,""))</f>
        <v/>
      </c>
      <c r="Q74" s="448" t="str">
        <f aca="false">IF($G74=0,IF(Q$11=$H74,"◆",""),IF(AND(Q$11&gt;=$H74,Q$11&lt;=$I74),1,""))</f>
        <v/>
      </c>
      <c r="R74" s="448" t="str">
        <f aca="false">IF($G74=0,IF(R$11=$H74,"◆",""),IF(AND(R$11&gt;=$H74,R$11&lt;=$I74),1,""))</f>
        <v/>
      </c>
      <c r="S74" s="448" t="str">
        <f aca="false">IF($G74=0,IF(S$11=$H74,"◆",""),IF(AND(S$11&gt;=$H74,S$11&lt;=$I74),1,""))</f>
        <v/>
      </c>
      <c r="T74" s="448" t="str">
        <f aca="false">IF($G74=0,IF(T$11=$H74,"◆",""),IF(AND(T$11&gt;=$H74,T$11&lt;=$I74),1,""))</f>
        <v/>
      </c>
      <c r="U74" s="448" t="str">
        <f aca="false">IF($G74=0,IF(U$11=$H74,"◆",""),IF(AND(U$11&gt;=$H74,U$11&lt;=$I74),1,""))</f>
        <v/>
      </c>
      <c r="V74" s="448" t="str">
        <f aca="false">IF($G74=0,IF(V$11=$H74,"◆",""),IF(AND(V$11&gt;=$H74,V$11&lt;=$I74),1,""))</f>
        <v/>
      </c>
      <c r="W74" s="448" t="str">
        <f aca="false">IF($G74=0,IF(W$11=$H74,"◆",""),IF(AND(W$11&gt;=$H74,W$11&lt;=$I74),1,""))</f>
        <v/>
      </c>
      <c r="X74" s="448" t="str">
        <f aca="false">IF($G74=0,IF(X$11=$H74,"◆",""),IF(AND(X$11&gt;=$H74,X$11&lt;=$I74),1,""))</f>
        <v/>
      </c>
      <c r="Y74" s="448" t="str">
        <f aca="false">IF($G74=0,IF(Y$11=$H74,"◆",""),IF(AND(Y$11&gt;=$H74,Y$11&lt;=$I74),1,""))</f>
        <v/>
      </c>
      <c r="Z74" s="448" t="str">
        <f aca="false">IF($G74=0,IF(Z$11=$H74,"◆",""),IF(AND(Z$11&gt;=$H74,Z$11&lt;=$I74),1,""))</f>
        <v/>
      </c>
      <c r="AA74" s="448" t="str">
        <f aca="false">IF($G74=0,IF(AA$11=$H74,"◆",""),IF(AND(AA$11&gt;=$H74,AA$11&lt;=$I74),1,""))</f>
        <v/>
      </c>
      <c r="AB74" s="448" t="str">
        <f aca="false">IF($G74=0,IF(AB$11=$H74,"◆",""),IF(AND(AB$11&gt;=$H74,AB$11&lt;=$I74),1,""))</f>
        <v/>
      </c>
      <c r="AC74" s="448" t="str">
        <f aca="false">IF($G74=0,IF(AC$11=$H74,"◆",""),IF(AND(AC$11&gt;=$H74,AC$11&lt;=$I74),1,""))</f>
        <v/>
      </c>
      <c r="AD74" s="448" t="str">
        <f aca="false">IF($G74=0,IF(AD$11=$H74,"◆",""),IF(AND(AD$11&gt;=$H74,AD$11&lt;=$I74),1,""))</f>
        <v/>
      </c>
      <c r="AE74" s="448" t="str">
        <f aca="false">IF($G74=0,IF(AE$11=$H74,"◆",""),IF(AND(AE$11&gt;=$H74,AE$11&lt;=$I74),1,""))</f>
        <v/>
      </c>
      <c r="AF74" s="448" t="str">
        <f aca="false">IF($G74=0,IF(AF$11=$H74,"◆",""),IF(AND(AF$11&gt;=$H74,AF$11&lt;=$I74),1,""))</f>
        <v/>
      </c>
      <c r="AG74" s="448" t="str">
        <f aca="false">IF($G74=0,IF(AG$11=$H74,"◆",""),IF(AND(AG$11&gt;=$H74,AG$11&lt;=$I74),1,""))</f>
        <v/>
      </c>
      <c r="AH74" s="448" t="str">
        <f aca="false">IF($G74=0,IF(AH$11=$H74,"◆",""),IF(AND(AH$11&gt;=$H74,AH$11&lt;=$I74),1,""))</f>
        <v/>
      </c>
      <c r="AI74" s="448" t="str">
        <f aca="false">IF($G74=0,IF(AI$11=$H74,"◆",""),IF(AND(AI$11&gt;=$H74,AI$11&lt;=$I74),1,""))</f>
        <v/>
      </c>
      <c r="AJ74" s="448" t="n">
        <f aca="false">IF($G74=0,IF(AJ$11=$H74,"◆",""),IF(AND(AJ$11&gt;=$H74,AJ$11&lt;=$I74),1,""))</f>
        <v>1</v>
      </c>
      <c r="AK74" s="448" t="n">
        <f aca="false">IF($G74=0,IF(AK$11=$H74,"◆",""),IF(AND(AK$11&gt;=$H74,AK$11&lt;=$I74),1,""))</f>
        <v>1</v>
      </c>
      <c r="AL74" s="448" t="n">
        <f aca="false">IF($G74=0,IF(AL$11=$H74,"◆",""),IF(AND(AL$11&gt;=$H74,AL$11&lt;=$I74),1,""))</f>
        <v>1</v>
      </c>
      <c r="AM74" s="448" t="str">
        <f aca="false">IF($G74=0,IF(AM$11=$H74,"◆",""),IF(AND(AM$11&gt;=$H74,AM$11&lt;=$I74),1,""))</f>
        <v/>
      </c>
      <c r="AN74" s="448" t="str">
        <f aca="false">IF($G74=0,IF(AN$11=$H74,"◆",""),IF(AND(AN$11&gt;=$H74,AN$11&lt;=$I74),1,""))</f>
        <v/>
      </c>
      <c r="AO74" s="448" t="str">
        <f aca="false">IF($G74=0,IF(AO$11=$H74,"◆",""),IF(AND(AO$11&gt;=$H74,AO$11&lt;=$I74),1,""))</f>
        <v/>
      </c>
      <c r="AP74" s="448" t="str">
        <f aca="false">IF($G74=0,IF(AP$11=$H74,"◆",""),IF(AND(AP$11&gt;=$H74,AP$11&lt;=$I74),1,""))</f>
        <v/>
      </c>
      <c r="AQ74" s="448" t="str">
        <f aca="false">IF($G74=0,IF(AQ$11=$H74,"◆",""),IF(AND(AQ$11&gt;=$H74,AQ$11&lt;=$I74),1,""))</f>
        <v/>
      </c>
      <c r="AR74" s="448" t="str">
        <f aca="false">IF($G74=0,IF(AR$11=$H74,"◆",""),IF(AND(AR$11&gt;=$H74,AR$11&lt;=$I74),1,""))</f>
        <v/>
      </c>
      <c r="AS74" s="448" t="str">
        <f aca="false">IF($G74=0,IF(AS$11=$H74,"◆",""),IF(AND(AS$11&gt;=$H74,AS$11&lt;=$I74),1,""))</f>
        <v/>
      </c>
      <c r="AT74" s="448" t="str">
        <f aca="false">IF($G74=0,IF(AT$11=$H74,"◆",""),IF(AND(AT$11&gt;=$H74,AT$11&lt;=$I74),1,""))</f>
        <v/>
      </c>
      <c r="AU74" s="448" t="str">
        <f aca="false">IF($G74=0,IF(AU$11=$H74,"◆",""),IF(AND(AU$11&gt;=$H74,AU$11&lt;=$I74),1,""))</f>
        <v/>
      </c>
      <c r="AV74" s="448" t="str">
        <f aca="false">IF($G74=0,IF(AV$11=$H74,"◆",""),IF(AND(AV$11&gt;=$H74,AV$11&lt;=$I74),1,""))</f>
        <v/>
      </c>
      <c r="AW74" s="448" t="str">
        <f aca="false">IF($G74=0,IF(AW$11=$H74,"◆",""),IF(AND(AW$11&gt;=$H74,AW$11&lt;=$I74),1,""))</f>
        <v/>
      </c>
      <c r="AX74" s="448" t="str">
        <f aca="false">IF($G74=0,IF(AX$11=$H74,"◆",""),IF(AND(AX$11&gt;=$H74,AX$11&lt;=$I74),1,""))</f>
        <v/>
      </c>
      <c r="AY74" s="448" t="str">
        <f aca="false">IF($G74=0,IF(AY$11=$H74,"◆",""),IF(AND(AY$11&gt;=$H74,AY$11&lt;=$I74),1,""))</f>
        <v/>
      </c>
      <c r="AZ74" s="448" t="str">
        <f aca="false">IF($G74=0,IF(AZ$11=$H74,"◆",""),IF(AND(AZ$11&gt;=$H74,AZ$11&lt;=$I74),1,""))</f>
        <v/>
      </c>
      <c r="BA74" s="448" t="str">
        <f aca="false">IF($G74=0,IF(BA$11=$H74,"◆",""),IF(AND(BA$11&gt;=$H74,BA$11&lt;=$I74),1,""))</f>
        <v/>
      </c>
      <c r="BB74" s="448" t="str">
        <f aca="false">IF($G74=0,IF(BB$11=$H74,"◆",""),IF(AND(BB$11&gt;=$H74,BB$11&lt;=$I74),1,""))</f>
        <v/>
      </c>
      <c r="BC74" s="448" t="str">
        <f aca="false">IF($G74=0,IF(BC$11=$H74,"◆",""),IF(AND(BC$11&gt;=$H74,BC$11&lt;=$I74),1,""))</f>
        <v/>
      </c>
      <c r="BD74" s="448" t="str">
        <f aca="false">IF($G74=0,IF(BD$11=$H74,"◆",""),IF(AND(BD$11&gt;=$H74,BD$11&lt;=$I74),1,""))</f>
        <v/>
      </c>
      <c r="BE74" s="448" t="str">
        <f aca="false">IF($G74=0,IF(BE$11=$H74,"◆",""),IF(AND(BE$11&gt;=$H74,BE$11&lt;=$I74),1,""))</f>
        <v/>
      </c>
      <c r="BF74" s="448" t="str">
        <f aca="false">IF($G74=0,IF(BF$11=$H74,"◆",""),IF(AND(BF$11&gt;=$H74,BF$11&lt;=$I74),1,""))</f>
        <v/>
      </c>
      <c r="BG74" s="448" t="str">
        <f aca="false">IF($G74=0,IF(BG$11=$H74,"◆",""),IF(AND(BG$11&gt;=$H74,BG$11&lt;=$I74),1,""))</f>
        <v/>
      </c>
      <c r="BH74" s="448" t="str">
        <f aca="false">IF($G74=0,IF(BH$11=$H74,"◆",""),IF(AND(BH$11&gt;=$H74,BH$11&lt;=$I74),1,""))</f>
        <v/>
      </c>
      <c r="BI74" s="448" t="str">
        <f aca="false">IF($G74=0,IF(BI$11=$H74,"◆",""),IF(AND(BI$11&gt;=$H74,BI$11&lt;=$I74),1,""))</f>
        <v/>
      </c>
      <c r="BJ74" s="448" t="str">
        <f aca="false">IF($G74=0,IF(BJ$11=$H74,"◆",""),IF(AND(BJ$11&gt;=$H74,BJ$11&lt;=$I74),1,""))</f>
        <v/>
      </c>
      <c r="BK74" s="448" t="str">
        <f aca="false">IF($G74=0,IF(BK$11=$H74,"◆",""),IF(AND(BK$11&gt;=$H74,BK$11&lt;=$I74),1,""))</f>
        <v/>
      </c>
      <c r="BL74" s="448" t="str">
        <f aca="false">IF($G74=0,IF(BL$11=$H74,"◆",""),IF(AND(BL$11&gt;=$H74,BL$11&lt;=$I74),1,""))</f>
        <v/>
      </c>
      <c r="BM74" s="448" t="str">
        <f aca="false">IF($G74=0,IF(BM$11=$H74,"◆",""),IF(AND(BM$11&gt;=$H74,BM$11&lt;=$I74),1,""))</f>
        <v/>
      </c>
      <c r="BN74" s="448" t="str">
        <f aca="false">IF($G74=0,IF(BN$11=$H74,"◆",""),IF(AND(BN$11&gt;=$H74,BN$11&lt;=$I74),1,""))</f>
        <v/>
      </c>
      <c r="BO74" s="448" t="str">
        <f aca="false">IF($G74=0,IF(BO$11=$H74,"◆",""),IF(AND(BO$11&gt;=$H74,BO$11&lt;=$I74),1,""))</f>
        <v/>
      </c>
      <c r="BP74" s="448" t="str">
        <f aca="false">IF($G74=0,IF(BP$11=$H74,"◆",""),IF(AND(BP$11&gt;=$H74,BP$11&lt;=$I74),1,""))</f>
        <v/>
      </c>
      <c r="BQ74" s="448" t="str">
        <f aca="false">IF($G74=0,IF(BQ$11=$H74,"◆",""),IF(AND(BQ$11&gt;=$H74,BQ$11&lt;=$I74),1,""))</f>
        <v/>
      </c>
      <c r="BR74" s="448" t="str">
        <f aca="false">IF($G74=0,IF(BR$11=$H74,"◆",""),IF(AND(BR$11&gt;=$H74,BR$11&lt;=$I74),1,""))</f>
        <v/>
      </c>
      <c r="BS74" s="448" t="str">
        <f aca="false">IF($G74=0,IF(BS$11=$H74,"◆",""),IF(AND(BS$11&gt;=$H74,BS$11&lt;=$I74),1,""))</f>
        <v/>
      </c>
      <c r="BT74" s="448" t="str">
        <f aca="false">IF($G74=0,IF(BT$11=$H74,"◆",""),IF(AND(BT$11&gt;=$H74,BT$11&lt;=$I74),1,""))</f>
        <v/>
      </c>
      <c r="BU74" s="448" t="str">
        <f aca="false">IF($G74=0,IF(BU$11=$H74,"◆",""),IF(AND(BU$11&gt;=$H74,BU$11&lt;=$I74),1,""))</f>
        <v/>
      </c>
      <c r="BV74" s="448" t="str">
        <f aca="false">IF($G74=0,IF(BV$11=$H74,"◆",""),IF(AND(BV$11&gt;=$H74,BV$11&lt;=$I74),1,""))</f>
        <v/>
      </c>
      <c r="BW74" s="448" t="str">
        <f aca="false">IF($G74=0,IF(BW$11=$H74,"◆",""),IF(AND(BW$11&gt;=$H74,BW$11&lt;=$I74),1,""))</f>
        <v/>
      </c>
      <c r="BX74" s="448" t="str">
        <f aca="false">IF($G74=0,IF(BX$11=$H74,"◆",""),IF(AND(BX$11&gt;=$H74,BX$11&lt;=$I74),1,""))</f>
        <v/>
      </c>
      <c r="BY74" s="448" t="str">
        <f aca="false">IF($G74=0,IF(BY$11=$H74,"◆",""),IF(AND(BY$11&gt;=$H74,BY$11&lt;=$I74),1,""))</f>
        <v/>
      </c>
      <c r="BZ74" s="448" t="str">
        <f aca="false">IF($G74=0,IF(BZ$11=$H74,"◆",""),IF(AND(BZ$11&gt;=$H74,BZ$11&lt;=$I74),1,""))</f>
        <v/>
      </c>
      <c r="CA74" s="448" t="str">
        <f aca="false">IF($G74=0,IF(CA$11=$H74,"◆",""),IF(AND(CA$11&gt;=$H74,CA$11&lt;=$I74),1,""))</f>
        <v/>
      </c>
      <c r="CB74" s="448" t="str">
        <f aca="false">IF($G74=0,IF(CB$11=$H74,"◆",""),IF(AND(CB$11&gt;=$H74,CB$11&lt;=$I74),1,""))</f>
        <v/>
      </c>
      <c r="CC74" s="448" t="str">
        <f aca="false">IF($G74=0,IF(CC$11=$H74,"◆",""),IF(AND(CC$11&gt;=$H74,CC$11&lt;=$I74),1,""))</f>
        <v/>
      </c>
      <c r="CD74" s="448" t="str">
        <f aca="false">IF($G74=0,IF(CD$11=$H74,"◆",""),IF(AND(CD$11&gt;=$H74,CD$11&lt;=$I74),1,""))</f>
        <v/>
      </c>
      <c r="CE74" s="448" t="str">
        <f aca="false">IF($G74=0,IF(CE$11=$H74,"◆",""),IF(AND(CE$11&gt;=$H74,CE$11&lt;=$I74),1,""))</f>
        <v/>
      </c>
      <c r="CF74" s="448" t="str">
        <f aca="false">IF($G74=0,IF(CF$11=$H74,"◆",""),IF(AND(CF$11&gt;=$H74,CF$11&lt;=$I74),1,""))</f>
        <v/>
      </c>
      <c r="CG74" s="448" t="str">
        <f aca="false">IF($G74=0,IF(CG$11=$H74,"◆",""),IF(AND(CG$11&gt;=$H74,CG$11&lt;=$I74),1,""))</f>
        <v/>
      </c>
      <c r="CH74" s="448" t="str">
        <f aca="false">IF($G74=0,IF(CH$11=$H74,"◆",""),IF(AND(CH$11&gt;=$H74,CH$11&lt;=$I74),1,""))</f>
        <v/>
      </c>
      <c r="CI74" s="448" t="str">
        <f aca="false">IF($G74=0,IF(CI$11=$H74,"◆",""),IF(AND(CI$11&gt;=$H74,CI$11&lt;=$I74),1,""))</f>
        <v/>
      </c>
      <c r="CJ74" s="448" t="str">
        <f aca="false">IF($G74=0,IF(CJ$11=$H74,"◆",""),IF(AND(CJ$11&gt;=$H74,CJ$11&lt;=$I74),1,""))</f>
        <v/>
      </c>
      <c r="CK74" s="448" t="str">
        <f aca="false">IF($G74=0,IF(CK$11=$H74,"◆",""),IF(AND(CK$11&gt;=$H74,CK$11&lt;=$I74),1,""))</f>
        <v/>
      </c>
      <c r="CL74" s="448" t="str">
        <f aca="false">IF($G74=0,IF(CL$11=$H74,"◆",""),IF(AND(CL$11&gt;=$H74,CL$11&lt;=$I74),1,""))</f>
        <v/>
      </c>
      <c r="CM74" s="448" t="str">
        <f aca="false">IF($G74=0,IF(CM$11=$H74,"◆",""),IF(AND(CM$11&gt;=$H74,CM$11&lt;=$I74),1,""))</f>
        <v/>
      </c>
      <c r="CN74" s="448" t="str">
        <f aca="false">IF($G74=0,IF(CN$11=$H74,"◆",""),IF(AND(CN$11&gt;=$H74,CN$11&lt;=$I74),1,""))</f>
        <v/>
      </c>
      <c r="CO74" s="448" t="str">
        <f aca="false">IF($G74=0,IF(CO$11=$H74,"◆",""),IF(AND(CO$11&gt;=$H74,CO$11&lt;=$I74),1,""))</f>
        <v/>
      </c>
      <c r="CP74" s="448" t="str">
        <f aca="false">IF($G74=0,IF(CP$11=$H74,"◆",""),IF(AND(CP$11&gt;=$H74,CP$11&lt;=$I74),1,""))</f>
        <v/>
      </c>
      <c r="CQ74" s="448" t="str">
        <f aca="false">IF($G74=0,IF(CQ$11=$H74,"◆",""),IF(AND(CQ$11&gt;=$H74,CQ$11&lt;=$I74),1,""))</f>
        <v/>
      </c>
      <c r="CR74" s="448" t="str">
        <f aca="false">IF($G74=0,IF(CR$11=$H74,"◆",""),IF(AND(CR$11&gt;=$H74,CR$11&lt;=$I74),1,""))</f>
        <v/>
      </c>
      <c r="CS74" s="448" t="str">
        <f aca="false">IF($G74=0,IF(CS$11=$H74,"◆",""),IF(AND(CS$11&gt;=$H74,CS$11&lt;=$I74),1,""))</f>
        <v/>
      </c>
      <c r="CT74" s="448" t="str">
        <f aca="false">IF($G74=0,IF(CT$11=$H74,"◆",""),IF(AND(CT$11&gt;=$H74,CT$11&lt;=$I74),1,""))</f>
        <v/>
      </c>
      <c r="CU74" s="448" t="str">
        <f aca="false">IF($G74=0,IF(CU$11=$H74,"◆",""),IF(AND(CU$11&gt;=$H74,CU$11&lt;=$I74),1,""))</f>
        <v/>
      </c>
      <c r="CV74" s="448" t="str">
        <f aca="false">IF($G74=0,IF(CV$11=$H74,"◆",""),IF(AND(CV$11&gt;=$H74,CV$11&lt;=$I74),1,""))</f>
        <v/>
      </c>
      <c r="CW74" s="448" t="str">
        <f aca="false">IF($G74=0,IF(CW$11=$H74,"◆",""),IF(AND(CW$11&gt;=$H74,CW$11&lt;=$I74),1,""))</f>
        <v/>
      </c>
      <c r="CX74" s="448" t="str">
        <f aca="false">IF($G74=0,IF(CX$11=$H74,"◆",""),IF(AND(CX$11&gt;=$H74,CX$11&lt;=$I74),1,""))</f>
        <v/>
      </c>
      <c r="CY74" s="448" t="str">
        <f aca="false">IF($G74=0,IF(CY$11=$H74,"◆",""),IF(AND(CY$11&gt;=$H74,CY$11&lt;=$I74),1,""))</f>
        <v/>
      </c>
      <c r="CZ74" s="448" t="str">
        <f aca="false">IF($G74=0,IF(CZ$11=$H74,"◆",""),IF(AND(CZ$11&gt;=$H74,CZ$11&lt;=$I74),1,""))</f>
        <v/>
      </c>
      <c r="DA74" s="448" t="str">
        <f aca="false">IF($G74=0,IF(DA$11=$H74,"◆",""),IF(AND(DA$11&gt;=$H74,DA$11&lt;=$I74),1,""))</f>
        <v/>
      </c>
      <c r="DB74" s="448" t="str">
        <f aca="false">IF($G74=0,IF(DB$11=$H74,"◆",""),IF(AND(DB$11&gt;=$H74,DB$11&lt;=$I74),1,""))</f>
        <v/>
      </c>
      <c r="DC74" s="448" t="str">
        <f aca="false">IF($G74=0,IF(DC$11=$H74,"◆",""),IF(AND(DC$11&gt;=$H74,DC$11&lt;=$I74),1,""))</f>
        <v/>
      </c>
      <c r="DD74" s="448" t="str">
        <f aca="false">IF($G74=0,IF(DD$11=$H74,"◆",""),IF(AND(DD$11&gt;=$H74,DD$11&lt;=$I74),1,""))</f>
        <v/>
      </c>
      <c r="DE74" s="448" t="str">
        <f aca="false">IF($G74=0,IF(DE$11=$H74,"◆",""),IF(AND(DE$11&gt;=$H74,DE$11&lt;=$I74),1,""))</f>
        <v/>
      </c>
      <c r="DF74" s="448" t="str">
        <f aca="false">IF($G74=0,IF(DF$11=$H74,"◆",""),IF(AND(DF$11&gt;=$H74,DF$11&lt;=$I74),1,""))</f>
        <v/>
      </c>
      <c r="DG74" s="448" t="str">
        <f aca="false">IF($G74=0,IF(DG$11=$H74,"◆",""),IF(AND(DG$11&gt;=$H74,DG$11&lt;=$I74),1,""))</f>
        <v/>
      </c>
      <c r="DH74" s="448" t="str">
        <f aca="false">IF($G74=0,IF(DH$11=$H74,"◆",""),IF(AND(DH$11&gt;=$H74,DH$11&lt;=$I74),1,""))</f>
        <v/>
      </c>
      <c r="DI74" s="448" t="str">
        <f aca="false">IF($G74=0,IF(DI$11=$H74,"◆",""),IF(AND(DI$11&gt;=$H74,DI$11&lt;=$I74),1,""))</f>
        <v/>
      </c>
      <c r="DJ74" s="448" t="str">
        <f aca="false">IF($G74=0,IF(DJ$11=$H74,"◆",""),IF(AND(DJ$11&gt;=$H74,DJ$11&lt;=$I74),1,""))</f>
        <v/>
      </c>
      <c r="DK74" s="448" t="str">
        <f aca="false">IF($G74=0,IF(DK$11=$H74,"◆",""),IF(AND(DK$11&gt;=$H74,DK$11&lt;=$I74),1,""))</f>
        <v/>
      </c>
      <c r="DL74" s="448" t="str">
        <f aca="false">IF($G74=0,IF(DL$11=$H74,"◆",""),IF(AND(DL$11&gt;=$H74,DL$11&lt;=$I74),1,""))</f>
        <v/>
      </c>
      <c r="DM74" s="448" t="str">
        <f aca="false">IF($G74=0,IF(DM$11=$H74,"◆",""),IF(AND(DM$11&gt;=$H74,DM$11&lt;=$I74),1,""))</f>
        <v/>
      </c>
      <c r="DN74" s="448" t="str">
        <f aca="false">IF($G74=0,IF(DN$11=$H74,"◆",""),IF(AND(DN$11&gt;=$H74,DN$11&lt;=$I74),1,""))</f>
        <v/>
      </c>
      <c r="DO74" s="448" t="str">
        <f aca="false">IF($G74=0,IF(DO$11=$H74,"◆",""),IF(AND(DO$11&gt;=$H74,DO$11&lt;=$I74),1,""))</f>
        <v/>
      </c>
      <c r="DP74" s="448" t="str">
        <f aca="false">IF($G74=0,IF(DP$11=$H74,"◆",""),IF(AND(DP$11&gt;=$H74,DP$11&lt;=$I74),1,""))</f>
        <v/>
      </c>
      <c r="DQ74" s="448" t="str">
        <f aca="false">IF($G74=0,IF(DQ$11=$H74,"◆",""),IF(AND(DQ$11&gt;=$H74,DQ$11&lt;=$I74),1,""))</f>
        <v/>
      </c>
      <c r="DR74" s="448" t="str">
        <f aca="false">IF($G74=0,IF(DR$11=$H74,"◆",""),IF(AND(DR$11&gt;=$H74,DR$11&lt;=$I74),1,""))</f>
        <v/>
      </c>
      <c r="DS74" s="448" t="str">
        <f aca="false">IF($G74=0,IF(DS$11=$H74,"◆",""),IF(AND(DS$11&gt;=$H74,DS$11&lt;=$I74),1,""))</f>
        <v/>
      </c>
      <c r="DT74" s="448" t="str">
        <f aca="false">IF($G74=0,IF(DT$11=$H74,"◆",""),IF(AND(DT$11&gt;=$H74,DT$11&lt;=$I74),1,""))</f>
        <v/>
      </c>
      <c r="DU74" s="448" t="str">
        <f aca="false">IF($G74=0,IF(DU$11=$H74,"◆",""),IF(AND(DU$11&gt;=$H74,DU$11&lt;=$I74),1,""))</f>
        <v/>
      </c>
      <c r="DV74" s="448" t="str">
        <f aca="false">IF($G74=0,IF(DV$11=$H74,"◆",""),IF(AND(DV$11&gt;=$H74,DV$11&lt;=$I74),1,""))</f>
        <v/>
      </c>
      <c r="DW74" s="448" t="str">
        <f aca="false">IF($G74=0,IF(DW$11=$H74,"◆",""),IF(AND(DW$11&gt;=$H74,DW$11&lt;=$I74),1,""))</f>
        <v/>
      </c>
      <c r="DX74" s="448" t="str">
        <f aca="false">IF($G74=0,IF(DX$11=$H74,"◆",""),IF(AND(DX$11&gt;=$H74,DX$11&lt;=$I74),1,""))</f>
        <v/>
      </c>
      <c r="DY74" s="448" t="str">
        <f aca="false">IF($G74=0,IF(DY$11=$H74,"◆",""),IF(AND(DY$11&gt;=$H74,DY$11&lt;=$I74),1,""))</f>
        <v/>
      </c>
      <c r="DZ74" s="448" t="str">
        <f aca="false">IF($G74=0,IF(DZ$11=$H74,"◆",""),IF(AND(DZ$11&gt;=$H74,DZ$11&lt;=$I74),1,""))</f>
        <v/>
      </c>
      <c r="EA74" s="448" t="str">
        <f aca="false">IF($G74=0,IF(EA$11=$H74,"◆",""),IF(AND(EA$11&gt;=$H74,EA$11&lt;=$I74),1,""))</f>
        <v/>
      </c>
      <c r="EB74" s="448" t="str">
        <f aca="false">IF($G74=0,IF(EB$11=$H74,"◆",""),IF(AND(EB$11&gt;=$H74,EB$11&lt;=$I74),1,""))</f>
        <v/>
      </c>
      <c r="EC74" s="448" t="str">
        <f aca="false">IF($G74=0,IF(EC$11=$H74,"◆",""),IF(AND(EC$11&gt;=$H74,EC$11&lt;=$I74),1,""))</f>
        <v/>
      </c>
      <c r="ED74" s="448" t="str">
        <f aca="false">IF($G74=0,IF(ED$11=$H74,"◆",""),IF(AND(ED$11&gt;=$H74,ED$11&lt;=$I74),1,""))</f>
        <v/>
      </c>
    </row>
    <row r="75" customFormat="false" ht="15" hidden="false" customHeight="true" outlineLevel="0" collapsed="false">
      <c r="A75" s="450" t="s">
        <v>2587</v>
      </c>
      <c r="B75" s="421" t="s">
        <v>2588</v>
      </c>
      <c r="C75" s="442" t="s">
        <v>2586</v>
      </c>
      <c r="D75" s="443" t="s">
        <v>2583</v>
      </c>
      <c r="E75" s="354" t="n">
        <f aca="false">FC_SUPUESTOS!$C$24+FC_SUPUESTOS!$C$27+FC_SUPUESTOS!$C$28</f>
        <v>5</v>
      </c>
      <c r="F75" s="352" t="n">
        <v>7</v>
      </c>
      <c r="G75" s="352" t="n">
        <v>0</v>
      </c>
      <c r="H75" s="358" t="n">
        <f aca="false">MAX(1,ROUND(($E75-1)*$D$5,0)+1+$F75)</f>
        <v>25</v>
      </c>
      <c r="I75" s="358" t="n">
        <f aca="false">MAX($H75,$H75+$G75-1)</f>
        <v>25</v>
      </c>
      <c r="J75" s="451" t="n">
        <f aca="false">$D$4+($H75-1)*7</f>
        <v>46468</v>
      </c>
      <c r="K75" s="451" t="n">
        <f aca="false">$D$4+$I75*7-1</f>
        <v>46474</v>
      </c>
      <c r="L75" s="445" t="n">
        <f aca="false">ROUNDUP($H75/$D$5,0)</f>
        <v>6</v>
      </c>
      <c r="M75" s="446"/>
      <c r="N75" s="447" t="n">
        <v>0</v>
      </c>
      <c r="O75" s="448" t="str">
        <f aca="false">IF($G75=0,IF(O$11=$H75,"◆",""),IF(AND(O$11&gt;=$H75,O$11&lt;=$I75),1,""))</f>
        <v/>
      </c>
      <c r="P75" s="448" t="str">
        <f aca="false">IF($G75=0,IF(P$11=$H75,"◆",""),IF(AND(P$11&gt;=$H75,P$11&lt;=$I75),1,""))</f>
        <v/>
      </c>
      <c r="Q75" s="448" t="str">
        <f aca="false">IF($G75=0,IF(Q$11=$H75,"◆",""),IF(AND(Q$11&gt;=$H75,Q$11&lt;=$I75),1,""))</f>
        <v/>
      </c>
      <c r="R75" s="448" t="str">
        <f aca="false">IF($G75=0,IF(R$11=$H75,"◆",""),IF(AND(R$11&gt;=$H75,R$11&lt;=$I75),1,""))</f>
        <v/>
      </c>
      <c r="S75" s="448" t="str">
        <f aca="false">IF($G75=0,IF(S$11=$H75,"◆",""),IF(AND(S$11&gt;=$H75,S$11&lt;=$I75),1,""))</f>
        <v/>
      </c>
      <c r="T75" s="448" t="str">
        <f aca="false">IF($G75=0,IF(T$11=$H75,"◆",""),IF(AND(T$11&gt;=$H75,T$11&lt;=$I75),1,""))</f>
        <v/>
      </c>
      <c r="U75" s="448" t="str">
        <f aca="false">IF($G75=0,IF(U$11=$H75,"◆",""),IF(AND(U$11&gt;=$H75,U$11&lt;=$I75),1,""))</f>
        <v/>
      </c>
      <c r="V75" s="448" t="str">
        <f aca="false">IF($G75=0,IF(V$11=$H75,"◆",""),IF(AND(V$11&gt;=$H75,V$11&lt;=$I75),1,""))</f>
        <v/>
      </c>
      <c r="W75" s="448" t="str">
        <f aca="false">IF($G75=0,IF(W$11=$H75,"◆",""),IF(AND(W$11&gt;=$H75,W$11&lt;=$I75),1,""))</f>
        <v/>
      </c>
      <c r="X75" s="448" t="str">
        <f aca="false">IF($G75=0,IF(X$11=$H75,"◆",""),IF(AND(X$11&gt;=$H75,X$11&lt;=$I75),1,""))</f>
        <v/>
      </c>
      <c r="Y75" s="448" t="str">
        <f aca="false">IF($G75=0,IF(Y$11=$H75,"◆",""),IF(AND(Y$11&gt;=$H75,Y$11&lt;=$I75),1,""))</f>
        <v/>
      </c>
      <c r="Z75" s="448" t="str">
        <f aca="false">IF($G75=0,IF(Z$11=$H75,"◆",""),IF(AND(Z$11&gt;=$H75,Z$11&lt;=$I75),1,""))</f>
        <v/>
      </c>
      <c r="AA75" s="448" t="str">
        <f aca="false">IF($G75=0,IF(AA$11=$H75,"◆",""),IF(AND(AA$11&gt;=$H75,AA$11&lt;=$I75),1,""))</f>
        <v/>
      </c>
      <c r="AB75" s="448" t="str">
        <f aca="false">IF($G75=0,IF(AB$11=$H75,"◆",""),IF(AND(AB$11&gt;=$H75,AB$11&lt;=$I75),1,""))</f>
        <v/>
      </c>
      <c r="AC75" s="448" t="str">
        <f aca="false">IF($G75=0,IF(AC$11=$H75,"◆",""),IF(AND(AC$11&gt;=$H75,AC$11&lt;=$I75),1,""))</f>
        <v/>
      </c>
      <c r="AD75" s="448" t="str">
        <f aca="false">IF($G75=0,IF(AD$11=$H75,"◆",""),IF(AND(AD$11&gt;=$H75,AD$11&lt;=$I75),1,""))</f>
        <v/>
      </c>
      <c r="AE75" s="448" t="str">
        <f aca="false">IF($G75=0,IF(AE$11=$H75,"◆",""),IF(AND(AE$11&gt;=$H75,AE$11&lt;=$I75),1,""))</f>
        <v/>
      </c>
      <c r="AF75" s="448" t="str">
        <f aca="false">IF($G75=0,IF(AF$11=$H75,"◆",""),IF(AND(AF$11&gt;=$H75,AF$11&lt;=$I75),1,""))</f>
        <v/>
      </c>
      <c r="AG75" s="448" t="str">
        <f aca="false">IF($G75=0,IF(AG$11=$H75,"◆",""),IF(AND(AG$11&gt;=$H75,AG$11&lt;=$I75),1,""))</f>
        <v/>
      </c>
      <c r="AH75" s="448" t="str">
        <f aca="false">IF($G75=0,IF(AH$11=$H75,"◆",""),IF(AND(AH$11&gt;=$H75,AH$11&lt;=$I75),1,""))</f>
        <v/>
      </c>
      <c r="AI75" s="448" t="str">
        <f aca="false">IF($G75=0,IF(AI$11=$H75,"◆",""),IF(AND(AI$11&gt;=$H75,AI$11&lt;=$I75),1,""))</f>
        <v/>
      </c>
      <c r="AJ75" s="448" t="str">
        <f aca="false">IF($G75=0,IF(AJ$11=$H75,"◆",""),IF(AND(AJ$11&gt;=$H75,AJ$11&lt;=$I75),1,""))</f>
        <v/>
      </c>
      <c r="AK75" s="448" t="str">
        <f aca="false">IF($G75=0,IF(AK$11=$H75,"◆",""),IF(AND(AK$11&gt;=$H75,AK$11&lt;=$I75),1,""))</f>
        <v/>
      </c>
      <c r="AL75" s="448" t="str">
        <f aca="false">IF($G75=0,IF(AL$11=$H75,"◆",""),IF(AND(AL$11&gt;=$H75,AL$11&lt;=$I75),1,""))</f>
        <v/>
      </c>
      <c r="AM75" s="448" t="str">
        <f aca="false">IF($G75=0,IF(AM$11=$H75,"◆",""),IF(AND(AM$11&gt;=$H75,AM$11&lt;=$I75),1,""))</f>
        <v>◆</v>
      </c>
      <c r="AN75" s="448" t="str">
        <f aca="false">IF($G75=0,IF(AN$11=$H75,"◆",""),IF(AND(AN$11&gt;=$H75,AN$11&lt;=$I75),1,""))</f>
        <v/>
      </c>
      <c r="AO75" s="448" t="str">
        <f aca="false">IF($G75=0,IF(AO$11=$H75,"◆",""),IF(AND(AO$11&gt;=$H75,AO$11&lt;=$I75),1,""))</f>
        <v/>
      </c>
      <c r="AP75" s="448" t="str">
        <f aca="false">IF($G75=0,IF(AP$11=$H75,"◆",""),IF(AND(AP$11&gt;=$H75,AP$11&lt;=$I75),1,""))</f>
        <v/>
      </c>
      <c r="AQ75" s="448" t="str">
        <f aca="false">IF($G75=0,IF(AQ$11=$H75,"◆",""),IF(AND(AQ$11&gt;=$H75,AQ$11&lt;=$I75),1,""))</f>
        <v/>
      </c>
      <c r="AR75" s="448" t="str">
        <f aca="false">IF($G75=0,IF(AR$11=$H75,"◆",""),IF(AND(AR$11&gt;=$H75,AR$11&lt;=$I75),1,""))</f>
        <v/>
      </c>
      <c r="AS75" s="448" t="str">
        <f aca="false">IF($G75=0,IF(AS$11=$H75,"◆",""),IF(AND(AS$11&gt;=$H75,AS$11&lt;=$I75),1,""))</f>
        <v/>
      </c>
      <c r="AT75" s="448" t="str">
        <f aca="false">IF($G75=0,IF(AT$11=$H75,"◆",""),IF(AND(AT$11&gt;=$H75,AT$11&lt;=$I75),1,""))</f>
        <v/>
      </c>
      <c r="AU75" s="448" t="str">
        <f aca="false">IF($G75=0,IF(AU$11=$H75,"◆",""),IF(AND(AU$11&gt;=$H75,AU$11&lt;=$I75),1,""))</f>
        <v/>
      </c>
      <c r="AV75" s="448" t="str">
        <f aca="false">IF($G75=0,IF(AV$11=$H75,"◆",""),IF(AND(AV$11&gt;=$H75,AV$11&lt;=$I75),1,""))</f>
        <v/>
      </c>
      <c r="AW75" s="448" t="str">
        <f aca="false">IF($G75=0,IF(AW$11=$H75,"◆",""),IF(AND(AW$11&gt;=$H75,AW$11&lt;=$I75),1,""))</f>
        <v/>
      </c>
      <c r="AX75" s="448" t="str">
        <f aca="false">IF($G75=0,IF(AX$11=$H75,"◆",""),IF(AND(AX$11&gt;=$H75,AX$11&lt;=$I75),1,""))</f>
        <v/>
      </c>
      <c r="AY75" s="448" t="str">
        <f aca="false">IF($G75=0,IF(AY$11=$H75,"◆",""),IF(AND(AY$11&gt;=$H75,AY$11&lt;=$I75),1,""))</f>
        <v/>
      </c>
      <c r="AZ75" s="448" t="str">
        <f aca="false">IF($G75=0,IF(AZ$11=$H75,"◆",""),IF(AND(AZ$11&gt;=$H75,AZ$11&lt;=$I75),1,""))</f>
        <v/>
      </c>
      <c r="BA75" s="448" t="str">
        <f aca="false">IF($G75=0,IF(BA$11=$H75,"◆",""),IF(AND(BA$11&gt;=$H75,BA$11&lt;=$I75),1,""))</f>
        <v/>
      </c>
      <c r="BB75" s="448" t="str">
        <f aca="false">IF($G75=0,IF(BB$11=$H75,"◆",""),IF(AND(BB$11&gt;=$H75,BB$11&lt;=$I75),1,""))</f>
        <v/>
      </c>
      <c r="BC75" s="448" t="str">
        <f aca="false">IF($G75=0,IF(BC$11=$H75,"◆",""),IF(AND(BC$11&gt;=$H75,BC$11&lt;=$I75),1,""))</f>
        <v/>
      </c>
      <c r="BD75" s="448" t="str">
        <f aca="false">IF($G75=0,IF(BD$11=$H75,"◆",""),IF(AND(BD$11&gt;=$H75,BD$11&lt;=$I75),1,""))</f>
        <v/>
      </c>
      <c r="BE75" s="448" t="str">
        <f aca="false">IF($G75=0,IF(BE$11=$H75,"◆",""),IF(AND(BE$11&gt;=$H75,BE$11&lt;=$I75),1,""))</f>
        <v/>
      </c>
      <c r="BF75" s="448" t="str">
        <f aca="false">IF($G75=0,IF(BF$11=$H75,"◆",""),IF(AND(BF$11&gt;=$H75,BF$11&lt;=$I75),1,""))</f>
        <v/>
      </c>
      <c r="BG75" s="448" t="str">
        <f aca="false">IF($G75=0,IF(BG$11=$H75,"◆",""),IF(AND(BG$11&gt;=$H75,BG$11&lt;=$I75),1,""))</f>
        <v/>
      </c>
      <c r="BH75" s="448" t="str">
        <f aca="false">IF($G75=0,IF(BH$11=$H75,"◆",""),IF(AND(BH$11&gt;=$H75,BH$11&lt;=$I75),1,""))</f>
        <v/>
      </c>
      <c r="BI75" s="448" t="str">
        <f aca="false">IF($G75=0,IF(BI$11=$H75,"◆",""),IF(AND(BI$11&gt;=$H75,BI$11&lt;=$I75),1,""))</f>
        <v/>
      </c>
      <c r="BJ75" s="448" t="str">
        <f aca="false">IF($G75=0,IF(BJ$11=$H75,"◆",""),IF(AND(BJ$11&gt;=$H75,BJ$11&lt;=$I75),1,""))</f>
        <v/>
      </c>
      <c r="BK75" s="448" t="str">
        <f aca="false">IF($G75=0,IF(BK$11=$H75,"◆",""),IF(AND(BK$11&gt;=$H75,BK$11&lt;=$I75),1,""))</f>
        <v/>
      </c>
      <c r="BL75" s="448" t="str">
        <f aca="false">IF($G75=0,IF(BL$11=$H75,"◆",""),IF(AND(BL$11&gt;=$H75,BL$11&lt;=$I75),1,""))</f>
        <v/>
      </c>
      <c r="BM75" s="448" t="str">
        <f aca="false">IF($G75=0,IF(BM$11=$H75,"◆",""),IF(AND(BM$11&gt;=$H75,BM$11&lt;=$I75),1,""))</f>
        <v/>
      </c>
      <c r="BN75" s="448" t="str">
        <f aca="false">IF($G75=0,IF(BN$11=$H75,"◆",""),IF(AND(BN$11&gt;=$H75,BN$11&lt;=$I75),1,""))</f>
        <v/>
      </c>
      <c r="BO75" s="448" t="str">
        <f aca="false">IF($G75=0,IF(BO$11=$H75,"◆",""),IF(AND(BO$11&gt;=$H75,BO$11&lt;=$I75),1,""))</f>
        <v/>
      </c>
      <c r="BP75" s="448" t="str">
        <f aca="false">IF($G75=0,IF(BP$11=$H75,"◆",""),IF(AND(BP$11&gt;=$H75,BP$11&lt;=$I75),1,""))</f>
        <v/>
      </c>
      <c r="BQ75" s="448" t="str">
        <f aca="false">IF($G75=0,IF(BQ$11=$H75,"◆",""),IF(AND(BQ$11&gt;=$H75,BQ$11&lt;=$I75),1,""))</f>
        <v/>
      </c>
      <c r="BR75" s="448" t="str">
        <f aca="false">IF($G75=0,IF(BR$11=$H75,"◆",""),IF(AND(BR$11&gt;=$H75,BR$11&lt;=$I75),1,""))</f>
        <v/>
      </c>
      <c r="BS75" s="448" t="str">
        <f aca="false">IF($G75=0,IF(BS$11=$H75,"◆",""),IF(AND(BS$11&gt;=$H75,BS$11&lt;=$I75),1,""))</f>
        <v/>
      </c>
      <c r="BT75" s="448" t="str">
        <f aca="false">IF($G75=0,IF(BT$11=$H75,"◆",""),IF(AND(BT$11&gt;=$H75,BT$11&lt;=$I75),1,""))</f>
        <v/>
      </c>
      <c r="BU75" s="448" t="str">
        <f aca="false">IF($G75=0,IF(BU$11=$H75,"◆",""),IF(AND(BU$11&gt;=$H75,BU$11&lt;=$I75),1,""))</f>
        <v/>
      </c>
      <c r="BV75" s="448" t="str">
        <f aca="false">IF($G75=0,IF(BV$11=$H75,"◆",""),IF(AND(BV$11&gt;=$H75,BV$11&lt;=$I75),1,""))</f>
        <v/>
      </c>
      <c r="BW75" s="448" t="str">
        <f aca="false">IF($G75=0,IF(BW$11=$H75,"◆",""),IF(AND(BW$11&gt;=$H75,BW$11&lt;=$I75),1,""))</f>
        <v/>
      </c>
      <c r="BX75" s="448" t="str">
        <f aca="false">IF($G75=0,IF(BX$11=$H75,"◆",""),IF(AND(BX$11&gt;=$H75,BX$11&lt;=$I75),1,""))</f>
        <v/>
      </c>
      <c r="BY75" s="448" t="str">
        <f aca="false">IF($G75=0,IF(BY$11=$H75,"◆",""),IF(AND(BY$11&gt;=$H75,BY$11&lt;=$I75),1,""))</f>
        <v/>
      </c>
      <c r="BZ75" s="448" t="str">
        <f aca="false">IF($G75=0,IF(BZ$11=$H75,"◆",""),IF(AND(BZ$11&gt;=$H75,BZ$11&lt;=$I75),1,""))</f>
        <v/>
      </c>
      <c r="CA75" s="448" t="str">
        <f aca="false">IF($G75=0,IF(CA$11=$H75,"◆",""),IF(AND(CA$11&gt;=$H75,CA$11&lt;=$I75),1,""))</f>
        <v/>
      </c>
      <c r="CB75" s="448" t="str">
        <f aca="false">IF($G75=0,IF(CB$11=$H75,"◆",""),IF(AND(CB$11&gt;=$H75,CB$11&lt;=$I75),1,""))</f>
        <v/>
      </c>
      <c r="CC75" s="448" t="str">
        <f aca="false">IF($G75=0,IF(CC$11=$H75,"◆",""),IF(AND(CC$11&gt;=$H75,CC$11&lt;=$I75),1,""))</f>
        <v/>
      </c>
      <c r="CD75" s="448" t="str">
        <f aca="false">IF($G75=0,IF(CD$11=$H75,"◆",""),IF(AND(CD$11&gt;=$H75,CD$11&lt;=$I75),1,""))</f>
        <v/>
      </c>
      <c r="CE75" s="448" t="str">
        <f aca="false">IF($G75=0,IF(CE$11=$H75,"◆",""),IF(AND(CE$11&gt;=$H75,CE$11&lt;=$I75),1,""))</f>
        <v/>
      </c>
      <c r="CF75" s="448" t="str">
        <f aca="false">IF($G75=0,IF(CF$11=$H75,"◆",""),IF(AND(CF$11&gt;=$H75,CF$11&lt;=$I75),1,""))</f>
        <v/>
      </c>
      <c r="CG75" s="448" t="str">
        <f aca="false">IF($G75=0,IF(CG$11=$H75,"◆",""),IF(AND(CG$11&gt;=$H75,CG$11&lt;=$I75),1,""))</f>
        <v/>
      </c>
      <c r="CH75" s="448" t="str">
        <f aca="false">IF($G75=0,IF(CH$11=$H75,"◆",""),IF(AND(CH$11&gt;=$H75,CH$11&lt;=$I75),1,""))</f>
        <v/>
      </c>
      <c r="CI75" s="448" t="str">
        <f aca="false">IF($G75=0,IF(CI$11=$H75,"◆",""),IF(AND(CI$11&gt;=$H75,CI$11&lt;=$I75),1,""))</f>
        <v/>
      </c>
      <c r="CJ75" s="448" t="str">
        <f aca="false">IF($G75=0,IF(CJ$11=$H75,"◆",""),IF(AND(CJ$11&gt;=$H75,CJ$11&lt;=$I75),1,""))</f>
        <v/>
      </c>
      <c r="CK75" s="448" t="str">
        <f aca="false">IF($G75=0,IF(CK$11=$H75,"◆",""),IF(AND(CK$11&gt;=$H75,CK$11&lt;=$I75),1,""))</f>
        <v/>
      </c>
      <c r="CL75" s="448" t="str">
        <f aca="false">IF($G75=0,IF(CL$11=$H75,"◆",""),IF(AND(CL$11&gt;=$H75,CL$11&lt;=$I75),1,""))</f>
        <v/>
      </c>
      <c r="CM75" s="448" t="str">
        <f aca="false">IF($G75=0,IF(CM$11=$H75,"◆",""),IF(AND(CM$11&gt;=$H75,CM$11&lt;=$I75),1,""))</f>
        <v/>
      </c>
      <c r="CN75" s="448" t="str">
        <f aca="false">IF($G75=0,IF(CN$11=$H75,"◆",""),IF(AND(CN$11&gt;=$H75,CN$11&lt;=$I75),1,""))</f>
        <v/>
      </c>
      <c r="CO75" s="448" t="str">
        <f aca="false">IF($G75=0,IF(CO$11=$H75,"◆",""),IF(AND(CO$11&gt;=$H75,CO$11&lt;=$I75),1,""))</f>
        <v/>
      </c>
      <c r="CP75" s="448" t="str">
        <f aca="false">IF($G75=0,IF(CP$11=$H75,"◆",""),IF(AND(CP$11&gt;=$H75,CP$11&lt;=$I75),1,""))</f>
        <v/>
      </c>
      <c r="CQ75" s="448" t="str">
        <f aca="false">IF($G75=0,IF(CQ$11=$H75,"◆",""),IF(AND(CQ$11&gt;=$H75,CQ$11&lt;=$I75),1,""))</f>
        <v/>
      </c>
      <c r="CR75" s="448" t="str">
        <f aca="false">IF($G75=0,IF(CR$11=$H75,"◆",""),IF(AND(CR$11&gt;=$H75,CR$11&lt;=$I75),1,""))</f>
        <v/>
      </c>
      <c r="CS75" s="448" t="str">
        <f aca="false">IF($G75=0,IF(CS$11=$H75,"◆",""),IF(AND(CS$11&gt;=$H75,CS$11&lt;=$I75),1,""))</f>
        <v/>
      </c>
      <c r="CT75" s="448" t="str">
        <f aca="false">IF($G75=0,IF(CT$11=$H75,"◆",""),IF(AND(CT$11&gt;=$H75,CT$11&lt;=$I75),1,""))</f>
        <v/>
      </c>
      <c r="CU75" s="448" t="str">
        <f aca="false">IF($G75=0,IF(CU$11=$H75,"◆",""),IF(AND(CU$11&gt;=$H75,CU$11&lt;=$I75),1,""))</f>
        <v/>
      </c>
      <c r="CV75" s="448" t="str">
        <f aca="false">IF($G75=0,IF(CV$11=$H75,"◆",""),IF(AND(CV$11&gt;=$H75,CV$11&lt;=$I75),1,""))</f>
        <v/>
      </c>
      <c r="CW75" s="448" t="str">
        <f aca="false">IF($G75=0,IF(CW$11=$H75,"◆",""),IF(AND(CW$11&gt;=$H75,CW$11&lt;=$I75),1,""))</f>
        <v/>
      </c>
      <c r="CX75" s="448" t="str">
        <f aca="false">IF($G75=0,IF(CX$11=$H75,"◆",""),IF(AND(CX$11&gt;=$H75,CX$11&lt;=$I75),1,""))</f>
        <v/>
      </c>
      <c r="CY75" s="448" t="str">
        <f aca="false">IF($G75=0,IF(CY$11=$H75,"◆",""),IF(AND(CY$11&gt;=$H75,CY$11&lt;=$I75),1,""))</f>
        <v/>
      </c>
      <c r="CZ75" s="448" t="str">
        <f aca="false">IF($G75=0,IF(CZ$11=$H75,"◆",""),IF(AND(CZ$11&gt;=$H75,CZ$11&lt;=$I75),1,""))</f>
        <v/>
      </c>
      <c r="DA75" s="448" t="str">
        <f aca="false">IF($G75=0,IF(DA$11=$H75,"◆",""),IF(AND(DA$11&gt;=$H75,DA$11&lt;=$I75),1,""))</f>
        <v/>
      </c>
      <c r="DB75" s="448" t="str">
        <f aca="false">IF($G75=0,IF(DB$11=$H75,"◆",""),IF(AND(DB$11&gt;=$H75,DB$11&lt;=$I75),1,""))</f>
        <v/>
      </c>
      <c r="DC75" s="448" t="str">
        <f aca="false">IF($G75=0,IF(DC$11=$H75,"◆",""),IF(AND(DC$11&gt;=$H75,DC$11&lt;=$I75),1,""))</f>
        <v/>
      </c>
      <c r="DD75" s="448" t="str">
        <f aca="false">IF($G75=0,IF(DD$11=$H75,"◆",""),IF(AND(DD$11&gt;=$H75,DD$11&lt;=$I75),1,""))</f>
        <v/>
      </c>
      <c r="DE75" s="448" t="str">
        <f aca="false">IF($G75=0,IF(DE$11=$H75,"◆",""),IF(AND(DE$11&gt;=$H75,DE$11&lt;=$I75),1,""))</f>
        <v/>
      </c>
      <c r="DF75" s="448" t="str">
        <f aca="false">IF($G75=0,IF(DF$11=$H75,"◆",""),IF(AND(DF$11&gt;=$H75,DF$11&lt;=$I75),1,""))</f>
        <v/>
      </c>
      <c r="DG75" s="448" t="str">
        <f aca="false">IF($G75=0,IF(DG$11=$H75,"◆",""),IF(AND(DG$11&gt;=$H75,DG$11&lt;=$I75),1,""))</f>
        <v/>
      </c>
      <c r="DH75" s="448" t="str">
        <f aca="false">IF($G75=0,IF(DH$11=$H75,"◆",""),IF(AND(DH$11&gt;=$H75,DH$11&lt;=$I75),1,""))</f>
        <v/>
      </c>
      <c r="DI75" s="448" t="str">
        <f aca="false">IF($G75=0,IF(DI$11=$H75,"◆",""),IF(AND(DI$11&gt;=$H75,DI$11&lt;=$I75),1,""))</f>
        <v/>
      </c>
      <c r="DJ75" s="448" t="str">
        <f aca="false">IF($G75=0,IF(DJ$11=$H75,"◆",""),IF(AND(DJ$11&gt;=$H75,DJ$11&lt;=$I75),1,""))</f>
        <v/>
      </c>
      <c r="DK75" s="448" t="str">
        <f aca="false">IF($G75=0,IF(DK$11=$H75,"◆",""),IF(AND(DK$11&gt;=$H75,DK$11&lt;=$I75),1,""))</f>
        <v/>
      </c>
      <c r="DL75" s="448" t="str">
        <f aca="false">IF($G75=0,IF(DL$11=$H75,"◆",""),IF(AND(DL$11&gt;=$H75,DL$11&lt;=$I75),1,""))</f>
        <v/>
      </c>
      <c r="DM75" s="448" t="str">
        <f aca="false">IF($G75=0,IF(DM$11=$H75,"◆",""),IF(AND(DM$11&gt;=$H75,DM$11&lt;=$I75),1,""))</f>
        <v/>
      </c>
      <c r="DN75" s="448" t="str">
        <f aca="false">IF($G75=0,IF(DN$11=$H75,"◆",""),IF(AND(DN$11&gt;=$H75,DN$11&lt;=$I75),1,""))</f>
        <v/>
      </c>
      <c r="DO75" s="448" t="str">
        <f aca="false">IF($G75=0,IF(DO$11=$H75,"◆",""),IF(AND(DO$11&gt;=$H75,DO$11&lt;=$I75),1,""))</f>
        <v/>
      </c>
      <c r="DP75" s="448" t="str">
        <f aca="false">IF($G75=0,IF(DP$11=$H75,"◆",""),IF(AND(DP$11&gt;=$H75,DP$11&lt;=$I75),1,""))</f>
        <v/>
      </c>
      <c r="DQ75" s="448" t="str">
        <f aca="false">IF($G75=0,IF(DQ$11=$H75,"◆",""),IF(AND(DQ$11&gt;=$H75,DQ$11&lt;=$I75),1,""))</f>
        <v/>
      </c>
      <c r="DR75" s="448" t="str">
        <f aca="false">IF($G75=0,IF(DR$11=$H75,"◆",""),IF(AND(DR$11&gt;=$H75,DR$11&lt;=$I75),1,""))</f>
        <v/>
      </c>
      <c r="DS75" s="448" t="str">
        <f aca="false">IF($G75=0,IF(DS$11=$H75,"◆",""),IF(AND(DS$11&gt;=$H75,DS$11&lt;=$I75),1,""))</f>
        <v/>
      </c>
      <c r="DT75" s="448" t="str">
        <f aca="false">IF($G75=0,IF(DT$11=$H75,"◆",""),IF(AND(DT$11&gt;=$H75,DT$11&lt;=$I75),1,""))</f>
        <v/>
      </c>
      <c r="DU75" s="448" t="str">
        <f aca="false">IF($G75=0,IF(DU$11=$H75,"◆",""),IF(AND(DU$11&gt;=$H75,DU$11&lt;=$I75),1,""))</f>
        <v/>
      </c>
      <c r="DV75" s="448" t="str">
        <f aca="false">IF($G75=0,IF(DV$11=$H75,"◆",""),IF(AND(DV$11&gt;=$H75,DV$11&lt;=$I75),1,""))</f>
        <v/>
      </c>
      <c r="DW75" s="448" t="str">
        <f aca="false">IF($G75=0,IF(DW$11=$H75,"◆",""),IF(AND(DW$11&gt;=$H75,DW$11&lt;=$I75),1,""))</f>
        <v/>
      </c>
      <c r="DX75" s="448" t="str">
        <f aca="false">IF($G75=0,IF(DX$11=$H75,"◆",""),IF(AND(DX$11&gt;=$H75,DX$11&lt;=$I75),1,""))</f>
        <v/>
      </c>
      <c r="DY75" s="448" t="str">
        <f aca="false">IF($G75=0,IF(DY$11=$H75,"◆",""),IF(AND(DY$11&gt;=$H75,DY$11&lt;=$I75),1,""))</f>
        <v/>
      </c>
      <c r="DZ75" s="448" t="str">
        <f aca="false">IF($G75=0,IF(DZ$11=$H75,"◆",""),IF(AND(DZ$11&gt;=$H75,DZ$11&lt;=$I75),1,""))</f>
        <v/>
      </c>
      <c r="EA75" s="448" t="str">
        <f aca="false">IF($G75=0,IF(EA$11=$H75,"◆",""),IF(AND(EA$11&gt;=$H75,EA$11&lt;=$I75),1,""))</f>
        <v/>
      </c>
      <c r="EB75" s="448" t="str">
        <f aca="false">IF($G75=0,IF(EB$11=$H75,"◆",""),IF(AND(EB$11&gt;=$H75,EB$11&lt;=$I75),1,""))</f>
        <v/>
      </c>
      <c r="EC75" s="448" t="str">
        <f aca="false">IF($G75=0,IF(EC$11=$H75,"◆",""),IF(AND(EC$11&gt;=$H75,EC$11&lt;=$I75),1,""))</f>
        <v/>
      </c>
      <c r="ED75" s="448" t="str">
        <f aca="false">IF($G75=0,IF(ED$11=$H75,"◆",""),IF(AND(ED$11&gt;=$H75,ED$11&lt;=$I75),1,""))</f>
        <v/>
      </c>
    </row>
    <row r="76" customFormat="false" ht="15" hidden="false" customHeight="true" outlineLevel="0" collapsed="false">
      <c r="A76" s="463"/>
      <c r="B76" s="464" t="s">
        <v>2589</v>
      </c>
      <c r="C76" s="465"/>
      <c r="D76" s="465"/>
      <c r="E76" s="465"/>
      <c r="F76" s="465"/>
      <c r="G76" s="465"/>
      <c r="H76" s="465"/>
      <c r="I76" s="465"/>
      <c r="J76" s="465"/>
      <c r="K76" s="465"/>
      <c r="L76" s="465"/>
      <c r="M76" s="465"/>
      <c r="N76" s="465"/>
      <c r="O76" s="465"/>
      <c r="P76" s="465"/>
      <c r="Q76" s="465"/>
      <c r="R76" s="465"/>
      <c r="S76" s="465"/>
      <c r="T76" s="465"/>
      <c r="U76" s="465"/>
      <c r="V76" s="465"/>
      <c r="W76" s="465"/>
      <c r="X76" s="465"/>
      <c r="Y76" s="465"/>
      <c r="Z76" s="465"/>
      <c r="AA76" s="465"/>
      <c r="AB76" s="465"/>
      <c r="AC76" s="465"/>
      <c r="AD76" s="465"/>
      <c r="AE76" s="465"/>
      <c r="AF76" s="465"/>
      <c r="AG76" s="465"/>
      <c r="AH76" s="465"/>
      <c r="AI76" s="465"/>
      <c r="AJ76" s="465"/>
      <c r="AK76" s="465"/>
      <c r="AL76" s="465"/>
      <c r="AM76" s="465"/>
      <c r="AN76" s="465"/>
      <c r="AO76" s="465"/>
      <c r="AP76" s="465"/>
      <c r="AQ76" s="465"/>
      <c r="AR76" s="465"/>
      <c r="AS76" s="465"/>
      <c r="AT76" s="465"/>
      <c r="AU76" s="465"/>
      <c r="AV76" s="465"/>
      <c r="AW76" s="465"/>
      <c r="AX76" s="465"/>
      <c r="AY76" s="465"/>
      <c r="AZ76" s="465"/>
      <c r="BA76" s="465"/>
      <c r="BB76" s="465"/>
      <c r="BC76" s="465"/>
      <c r="BD76" s="465"/>
      <c r="BE76" s="465"/>
      <c r="BF76" s="465"/>
      <c r="BG76" s="465"/>
      <c r="BH76" s="465"/>
      <c r="BI76" s="465"/>
      <c r="BJ76" s="465"/>
      <c r="BK76" s="465"/>
      <c r="BL76" s="465"/>
      <c r="BM76" s="465"/>
      <c r="BN76" s="465"/>
      <c r="BO76" s="465"/>
      <c r="BP76" s="465"/>
      <c r="BQ76" s="465"/>
      <c r="BR76" s="465"/>
      <c r="BS76" s="465"/>
      <c r="BT76" s="465"/>
      <c r="BU76" s="465"/>
      <c r="BV76" s="465"/>
      <c r="BW76" s="465"/>
      <c r="BX76" s="465"/>
      <c r="BY76" s="465"/>
      <c r="BZ76" s="465"/>
      <c r="CA76" s="465"/>
      <c r="CB76" s="465"/>
      <c r="CC76" s="465"/>
      <c r="CD76" s="465"/>
      <c r="CE76" s="465"/>
      <c r="CF76" s="465"/>
      <c r="CG76" s="465"/>
      <c r="CH76" s="465"/>
      <c r="CI76" s="465"/>
      <c r="CJ76" s="465"/>
      <c r="CK76" s="465"/>
      <c r="CL76" s="465"/>
      <c r="CM76" s="465"/>
      <c r="CN76" s="465"/>
      <c r="CO76" s="465"/>
      <c r="CP76" s="465"/>
      <c r="CQ76" s="465"/>
      <c r="CR76" s="465"/>
      <c r="CS76" s="465"/>
      <c r="CT76" s="465"/>
      <c r="CU76" s="465"/>
      <c r="CV76" s="465"/>
      <c r="CW76" s="465"/>
      <c r="CX76" s="465"/>
      <c r="CY76" s="465"/>
      <c r="CZ76" s="465"/>
      <c r="DA76" s="465"/>
      <c r="DB76" s="465"/>
      <c r="DC76" s="465"/>
      <c r="DD76" s="465"/>
      <c r="DE76" s="465"/>
      <c r="DF76" s="465"/>
      <c r="DG76" s="465"/>
      <c r="DH76" s="465"/>
      <c r="DI76" s="465"/>
      <c r="DJ76" s="465"/>
      <c r="DK76" s="465"/>
      <c r="DL76" s="465"/>
      <c r="DM76" s="465"/>
      <c r="DN76" s="465"/>
      <c r="DO76" s="465"/>
      <c r="DP76" s="465"/>
      <c r="DQ76" s="465"/>
      <c r="DR76" s="465"/>
      <c r="DS76" s="465"/>
      <c r="DT76" s="465"/>
      <c r="DU76" s="465"/>
      <c r="DV76" s="465"/>
      <c r="DW76" s="465"/>
      <c r="DX76" s="465"/>
      <c r="DY76" s="465"/>
      <c r="DZ76" s="465"/>
      <c r="EA76" s="465"/>
      <c r="EB76" s="465"/>
      <c r="EC76" s="465"/>
      <c r="ED76" s="465"/>
    </row>
    <row r="77" customFormat="false" ht="15" hidden="false" customHeight="true" outlineLevel="0" collapsed="false">
      <c r="A77" s="441" t="s">
        <v>2590</v>
      </c>
      <c r="B77" s="297" t="s">
        <v>2591</v>
      </c>
      <c r="C77" s="442" t="s">
        <v>2452</v>
      </c>
      <c r="D77" s="443" t="s">
        <v>2496</v>
      </c>
      <c r="E77" s="354" t="n">
        <f aca="false">FC_SUPUESTOS!$C$23-FC_SUPUESTOS!$C$21</f>
        <v>8</v>
      </c>
      <c r="F77" s="352" t="n">
        <v>-8</v>
      </c>
      <c r="G77" s="352" t="n">
        <v>3</v>
      </c>
      <c r="H77" s="367" t="n">
        <f aca="false">MAX(1,ROUND(($E77-1)*$D$5,0)+1+$F77)</f>
        <v>23</v>
      </c>
      <c r="I77" s="367" t="n">
        <f aca="false">MAX($H77,$H77+$G77-1)</f>
        <v>25</v>
      </c>
      <c r="J77" s="444" t="n">
        <f aca="false">$D$4+($H77-1)*7</f>
        <v>46454</v>
      </c>
      <c r="K77" s="444" t="n">
        <f aca="false">$D$4+$I77*7-1</f>
        <v>46474</v>
      </c>
      <c r="L77" s="445" t="n">
        <f aca="false">ROUNDUP($H77/$D$5,0)</f>
        <v>6</v>
      </c>
      <c r="M77" s="446"/>
      <c r="N77" s="447" t="n">
        <v>0</v>
      </c>
      <c r="O77" s="448" t="str">
        <f aca="false">IF($G77=0,IF(O$11=$H77,"◆",""),IF(AND(O$11&gt;=$H77,O$11&lt;=$I77),1,""))</f>
        <v/>
      </c>
      <c r="P77" s="448" t="str">
        <f aca="false">IF($G77=0,IF(P$11=$H77,"◆",""),IF(AND(P$11&gt;=$H77,P$11&lt;=$I77),1,""))</f>
        <v/>
      </c>
      <c r="Q77" s="448" t="str">
        <f aca="false">IF($G77=0,IF(Q$11=$H77,"◆",""),IF(AND(Q$11&gt;=$H77,Q$11&lt;=$I77),1,""))</f>
        <v/>
      </c>
      <c r="R77" s="448" t="str">
        <f aca="false">IF($G77=0,IF(R$11=$H77,"◆",""),IF(AND(R$11&gt;=$H77,R$11&lt;=$I77),1,""))</f>
        <v/>
      </c>
      <c r="S77" s="448" t="str">
        <f aca="false">IF($G77=0,IF(S$11=$H77,"◆",""),IF(AND(S$11&gt;=$H77,S$11&lt;=$I77),1,""))</f>
        <v/>
      </c>
      <c r="T77" s="448" t="str">
        <f aca="false">IF($G77=0,IF(T$11=$H77,"◆",""),IF(AND(T$11&gt;=$H77,T$11&lt;=$I77),1,""))</f>
        <v/>
      </c>
      <c r="U77" s="448" t="str">
        <f aca="false">IF($G77=0,IF(U$11=$H77,"◆",""),IF(AND(U$11&gt;=$H77,U$11&lt;=$I77),1,""))</f>
        <v/>
      </c>
      <c r="V77" s="448" t="str">
        <f aca="false">IF($G77=0,IF(V$11=$H77,"◆",""),IF(AND(V$11&gt;=$H77,V$11&lt;=$I77),1,""))</f>
        <v/>
      </c>
      <c r="W77" s="448" t="str">
        <f aca="false">IF($G77=0,IF(W$11=$H77,"◆",""),IF(AND(W$11&gt;=$H77,W$11&lt;=$I77),1,""))</f>
        <v/>
      </c>
      <c r="X77" s="448" t="str">
        <f aca="false">IF($G77=0,IF(X$11=$H77,"◆",""),IF(AND(X$11&gt;=$H77,X$11&lt;=$I77),1,""))</f>
        <v/>
      </c>
      <c r="Y77" s="448" t="str">
        <f aca="false">IF($G77=0,IF(Y$11=$H77,"◆",""),IF(AND(Y$11&gt;=$H77,Y$11&lt;=$I77),1,""))</f>
        <v/>
      </c>
      <c r="Z77" s="448" t="str">
        <f aca="false">IF($G77=0,IF(Z$11=$H77,"◆",""),IF(AND(Z$11&gt;=$H77,Z$11&lt;=$I77),1,""))</f>
        <v/>
      </c>
      <c r="AA77" s="448" t="str">
        <f aca="false">IF($G77=0,IF(AA$11=$H77,"◆",""),IF(AND(AA$11&gt;=$H77,AA$11&lt;=$I77),1,""))</f>
        <v/>
      </c>
      <c r="AB77" s="448" t="str">
        <f aca="false">IF($G77=0,IF(AB$11=$H77,"◆",""),IF(AND(AB$11&gt;=$H77,AB$11&lt;=$I77),1,""))</f>
        <v/>
      </c>
      <c r="AC77" s="448" t="str">
        <f aca="false">IF($G77=0,IF(AC$11=$H77,"◆",""),IF(AND(AC$11&gt;=$H77,AC$11&lt;=$I77),1,""))</f>
        <v/>
      </c>
      <c r="AD77" s="448" t="str">
        <f aca="false">IF($G77=0,IF(AD$11=$H77,"◆",""),IF(AND(AD$11&gt;=$H77,AD$11&lt;=$I77),1,""))</f>
        <v/>
      </c>
      <c r="AE77" s="448" t="str">
        <f aca="false">IF($G77=0,IF(AE$11=$H77,"◆",""),IF(AND(AE$11&gt;=$H77,AE$11&lt;=$I77),1,""))</f>
        <v/>
      </c>
      <c r="AF77" s="448" t="str">
        <f aca="false">IF($G77=0,IF(AF$11=$H77,"◆",""),IF(AND(AF$11&gt;=$H77,AF$11&lt;=$I77),1,""))</f>
        <v/>
      </c>
      <c r="AG77" s="448" t="str">
        <f aca="false">IF($G77=0,IF(AG$11=$H77,"◆",""),IF(AND(AG$11&gt;=$H77,AG$11&lt;=$I77),1,""))</f>
        <v/>
      </c>
      <c r="AH77" s="448" t="str">
        <f aca="false">IF($G77=0,IF(AH$11=$H77,"◆",""),IF(AND(AH$11&gt;=$H77,AH$11&lt;=$I77),1,""))</f>
        <v/>
      </c>
      <c r="AI77" s="448" t="str">
        <f aca="false">IF($G77=0,IF(AI$11=$H77,"◆",""),IF(AND(AI$11&gt;=$H77,AI$11&lt;=$I77),1,""))</f>
        <v/>
      </c>
      <c r="AJ77" s="448" t="str">
        <f aca="false">IF($G77=0,IF(AJ$11=$H77,"◆",""),IF(AND(AJ$11&gt;=$H77,AJ$11&lt;=$I77),1,""))</f>
        <v/>
      </c>
      <c r="AK77" s="448" t="n">
        <f aca="false">IF($G77=0,IF(AK$11=$H77,"◆",""),IF(AND(AK$11&gt;=$H77,AK$11&lt;=$I77),1,""))</f>
        <v>1</v>
      </c>
      <c r="AL77" s="448" t="n">
        <f aca="false">IF($G77=0,IF(AL$11=$H77,"◆",""),IF(AND(AL$11&gt;=$H77,AL$11&lt;=$I77),1,""))</f>
        <v>1</v>
      </c>
      <c r="AM77" s="448" t="n">
        <f aca="false">IF($G77=0,IF(AM$11=$H77,"◆",""),IF(AND(AM$11&gt;=$H77,AM$11&lt;=$I77),1,""))</f>
        <v>1</v>
      </c>
      <c r="AN77" s="448" t="str">
        <f aca="false">IF($G77=0,IF(AN$11=$H77,"◆",""),IF(AND(AN$11&gt;=$H77,AN$11&lt;=$I77),1,""))</f>
        <v/>
      </c>
      <c r="AO77" s="448" t="str">
        <f aca="false">IF($G77=0,IF(AO$11=$H77,"◆",""),IF(AND(AO$11&gt;=$H77,AO$11&lt;=$I77),1,""))</f>
        <v/>
      </c>
      <c r="AP77" s="448" t="str">
        <f aca="false">IF($G77=0,IF(AP$11=$H77,"◆",""),IF(AND(AP$11&gt;=$H77,AP$11&lt;=$I77),1,""))</f>
        <v/>
      </c>
      <c r="AQ77" s="448" t="str">
        <f aca="false">IF($G77=0,IF(AQ$11=$H77,"◆",""),IF(AND(AQ$11&gt;=$H77,AQ$11&lt;=$I77),1,""))</f>
        <v/>
      </c>
      <c r="AR77" s="448" t="str">
        <f aca="false">IF($G77=0,IF(AR$11=$H77,"◆",""),IF(AND(AR$11&gt;=$H77,AR$11&lt;=$I77),1,""))</f>
        <v/>
      </c>
      <c r="AS77" s="448" t="str">
        <f aca="false">IF($G77=0,IF(AS$11=$H77,"◆",""),IF(AND(AS$11&gt;=$H77,AS$11&lt;=$I77),1,""))</f>
        <v/>
      </c>
      <c r="AT77" s="448" t="str">
        <f aca="false">IF($G77=0,IF(AT$11=$H77,"◆",""),IF(AND(AT$11&gt;=$H77,AT$11&lt;=$I77),1,""))</f>
        <v/>
      </c>
      <c r="AU77" s="448" t="str">
        <f aca="false">IF($G77=0,IF(AU$11=$H77,"◆",""),IF(AND(AU$11&gt;=$H77,AU$11&lt;=$I77),1,""))</f>
        <v/>
      </c>
      <c r="AV77" s="448" t="str">
        <f aca="false">IF($G77=0,IF(AV$11=$H77,"◆",""),IF(AND(AV$11&gt;=$H77,AV$11&lt;=$I77),1,""))</f>
        <v/>
      </c>
      <c r="AW77" s="448" t="str">
        <f aca="false">IF($G77=0,IF(AW$11=$H77,"◆",""),IF(AND(AW$11&gt;=$H77,AW$11&lt;=$I77),1,""))</f>
        <v/>
      </c>
      <c r="AX77" s="448" t="str">
        <f aca="false">IF($G77=0,IF(AX$11=$H77,"◆",""),IF(AND(AX$11&gt;=$H77,AX$11&lt;=$I77),1,""))</f>
        <v/>
      </c>
      <c r="AY77" s="448" t="str">
        <f aca="false">IF($G77=0,IF(AY$11=$H77,"◆",""),IF(AND(AY$11&gt;=$H77,AY$11&lt;=$I77),1,""))</f>
        <v/>
      </c>
      <c r="AZ77" s="448" t="str">
        <f aca="false">IF($G77=0,IF(AZ$11=$H77,"◆",""),IF(AND(AZ$11&gt;=$H77,AZ$11&lt;=$I77),1,""))</f>
        <v/>
      </c>
      <c r="BA77" s="448" t="str">
        <f aca="false">IF($G77=0,IF(BA$11=$H77,"◆",""),IF(AND(BA$11&gt;=$H77,BA$11&lt;=$I77),1,""))</f>
        <v/>
      </c>
      <c r="BB77" s="448" t="str">
        <f aca="false">IF($G77=0,IF(BB$11=$H77,"◆",""),IF(AND(BB$11&gt;=$H77,BB$11&lt;=$I77),1,""))</f>
        <v/>
      </c>
      <c r="BC77" s="448" t="str">
        <f aca="false">IF($G77=0,IF(BC$11=$H77,"◆",""),IF(AND(BC$11&gt;=$H77,BC$11&lt;=$I77),1,""))</f>
        <v/>
      </c>
      <c r="BD77" s="448" t="str">
        <f aca="false">IF($G77=0,IF(BD$11=$H77,"◆",""),IF(AND(BD$11&gt;=$H77,BD$11&lt;=$I77),1,""))</f>
        <v/>
      </c>
      <c r="BE77" s="448" t="str">
        <f aca="false">IF($G77=0,IF(BE$11=$H77,"◆",""),IF(AND(BE$11&gt;=$H77,BE$11&lt;=$I77),1,""))</f>
        <v/>
      </c>
      <c r="BF77" s="448" t="str">
        <f aca="false">IF($G77=0,IF(BF$11=$H77,"◆",""),IF(AND(BF$11&gt;=$H77,BF$11&lt;=$I77),1,""))</f>
        <v/>
      </c>
      <c r="BG77" s="448" t="str">
        <f aca="false">IF($G77=0,IF(BG$11=$H77,"◆",""),IF(AND(BG$11&gt;=$H77,BG$11&lt;=$I77),1,""))</f>
        <v/>
      </c>
      <c r="BH77" s="448" t="str">
        <f aca="false">IF($G77=0,IF(BH$11=$H77,"◆",""),IF(AND(BH$11&gt;=$H77,BH$11&lt;=$I77),1,""))</f>
        <v/>
      </c>
      <c r="BI77" s="448" t="str">
        <f aca="false">IF($G77=0,IF(BI$11=$H77,"◆",""),IF(AND(BI$11&gt;=$H77,BI$11&lt;=$I77),1,""))</f>
        <v/>
      </c>
      <c r="BJ77" s="448" t="str">
        <f aca="false">IF($G77=0,IF(BJ$11=$H77,"◆",""),IF(AND(BJ$11&gt;=$H77,BJ$11&lt;=$I77),1,""))</f>
        <v/>
      </c>
      <c r="BK77" s="448" t="str">
        <f aca="false">IF($G77=0,IF(BK$11=$H77,"◆",""),IF(AND(BK$11&gt;=$H77,BK$11&lt;=$I77),1,""))</f>
        <v/>
      </c>
      <c r="BL77" s="448" t="str">
        <f aca="false">IF($G77=0,IF(BL$11=$H77,"◆",""),IF(AND(BL$11&gt;=$H77,BL$11&lt;=$I77),1,""))</f>
        <v/>
      </c>
      <c r="BM77" s="448" t="str">
        <f aca="false">IF($G77=0,IF(BM$11=$H77,"◆",""),IF(AND(BM$11&gt;=$H77,BM$11&lt;=$I77),1,""))</f>
        <v/>
      </c>
      <c r="BN77" s="448" t="str">
        <f aca="false">IF($G77=0,IF(BN$11=$H77,"◆",""),IF(AND(BN$11&gt;=$H77,BN$11&lt;=$I77),1,""))</f>
        <v/>
      </c>
      <c r="BO77" s="448" t="str">
        <f aca="false">IF($G77=0,IF(BO$11=$H77,"◆",""),IF(AND(BO$11&gt;=$H77,BO$11&lt;=$I77),1,""))</f>
        <v/>
      </c>
      <c r="BP77" s="448" t="str">
        <f aca="false">IF($G77=0,IF(BP$11=$H77,"◆",""),IF(AND(BP$11&gt;=$H77,BP$11&lt;=$I77),1,""))</f>
        <v/>
      </c>
      <c r="BQ77" s="448" t="str">
        <f aca="false">IF($G77=0,IF(BQ$11=$H77,"◆",""),IF(AND(BQ$11&gt;=$H77,BQ$11&lt;=$I77),1,""))</f>
        <v/>
      </c>
      <c r="BR77" s="448" t="str">
        <f aca="false">IF($G77=0,IF(BR$11=$H77,"◆",""),IF(AND(BR$11&gt;=$H77,BR$11&lt;=$I77),1,""))</f>
        <v/>
      </c>
      <c r="BS77" s="448" t="str">
        <f aca="false">IF($G77=0,IF(BS$11=$H77,"◆",""),IF(AND(BS$11&gt;=$H77,BS$11&lt;=$I77),1,""))</f>
        <v/>
      </c>
      <c r="BT77" s="448" t="str">
        <f aca="false">IF($G77=0,IF(BT$11=$H77,"◆",""),IF(AND(BT$11&gt;=$H77,BT$11&lt;=$I77),1,""))</f>
        <v/>
      </c>
      <c r="BU77" s="448" t="str">
        <f aca="false">IF($G77=0,IF(BU$11=$H77,"◆",""),IF(AND(BU$11&gt;=$H77,BU$11&lt;=$I77),1,""))</f>
        <v/>
      </c>
      <c r="BV77" s="448" t="str">
        <f aca="false">IF($G77=0,IF(BV$11=$H77,"◆",""),IF(AND(BV$11&gt;=$H77,BV$11&lt;=$I77),1,""))</f>
        <v/>
      </c>
      <c r="BW77" s="448" t="str">
        <f aca="false">IF($G77=0,IF(BW$11=$H77,"◆",""),IF(AND(BW$11&gt;=$H77,BW$11&lt;=$I77),1,""))</f>
        <v/>
      </c>
      <c r="BX77" s="448" t="str">
        <f aca="false">IF($G77=0,IF(BX$11=$H77,"◆",""),IF(AND(BX$11&gt;=$H77,BX$11&lt;=$I77),1,""))</f>
        <v/>
      </c>
      <c r="BY77" s="448" t="str">
        <f aca="false">IF($G77=0,IF(BY$11=$H77,"◆",""),IF(AND(BY$11&gt;=$H77,BY$11&lt;=$I77),1,""))</f>
        <v/>
      </c>
      <c r="BZ77" s="448" t="str">
        <f aca="false">IF($G77=0,IF(BZ$11=$H77,"◆",""),IF(AND(BZ$11&gt;=$H77,BZ$11&lt;=$I77),1,""))</f>
        <v/>
      </c>
      <c r="CA77" s="448" t="str">
        <f aca="false">IF($G77=0,IF(CA$11=$H77,"◆",""),IF(AND(CA$11&gt;=$H77,CA$11&lt;=$I77),1,""))</f>
        <v/>
      </c>
      <c r="CB77" s="448" t="str">
        <f aca="false">IF($G77=0,IF(CB$11=$H77,"◆",""),IF(AND(CB$11&gt;=$H77,CB$11&lt;=$I77),1,""))</f>
        <v/>
      </c>
      <c r="CC77" s="448" t="str">
        <f aca="false">IF($G77=0,IF(CC$11=$H77,"◆",""),IF(AND(CC$11&gt;=$H77,CC$11&lt;=$I77),1,""))</f>
        <v/>
      </c>
      <c r="CD77" s="448" t="str">
        <f aca="false">IF($G77=0,IF(CD$11=$H77,"◆",""),IF(AND(CD$11&gt;=$H77,CD$11&lt;=$I77),1,""))</f>
        <v/>
      </c>
      <c r="CE77" s="448" t="str">
        <f aca="false">IF($G77=0,IF(CE$11=$H77,"◆",""),IF(AND(CE$11&gt;=$H77,CE$11&lt;=$I77),1,""))</f>
        <v/>
      </c>
      <c r="CF77" s="448" t="str">
        <f aca="false">IF($G77=0,IF(CF$11=$H77,"◆",""),IF(AND(CF$11&gt;=$H77,CF$11&lt;=$I77),1,""))</f>
        <v/>
      </c>
      <c r="CG77" s="448" t="str">
        <f aca="false">IF($G77=0,IF(CG$11=$H77,"◆",""),IF(AND(CG$11&gt;=$H77,CG$11&lt;=$I77),1,""))</f>
        <v/>
      </c>
      <c r="CH77" s="448" t="str">
        <f aca="false">IF($G77=0,IF(CH$11=$H77,"◆",""),IF(AND(CH$11&gt;=$H77,CH$11&lt;=$I77),1,""))</f>
        <v/>
      </c>
      <c r="CI77" s="448" t="str">
        <f aca="false">IF($G77=0,IF(CI$11=$H77,"◆",""),IF(AND(CI$11&gt;=$H77,CI$11&lt;=$I77),1,""))</f>
        <v/>
      </c>
      <c r="CJ77" s="448" t="str">
        <f aca="false">IF($G77=0,IF(CJ$11=$H77,"◆",""),IF(AND(CJ$11&gt;=$H77,CJ$11&lt;=$I77),1,""))</f>
        <v/>
      </c>
      <c r="CK77" s="448" t="str">
        <f aca="false">IF($G77=0,IF(CK$11=$H77,"◆",""),IF(AND(CK$11&gt;=$H77,CK$11&lt;=$I77),1,""))</f>
        <v/>
      </c>
      <c r="CL77" s="448" t="str">
        <f aca="false">IF($G77=0,IF(CL$11=$H77,"◆",""),IF(AND(CL$11&gt;=$H77,CL$11&lt;=$I77),1,""))</f>
        <v/>
      </c>
      <c r="CM77" s="448" t="str">
        <f aca="false">IF($G77=0,IF(CM$11=$H77,"◆",""),IF(AND(CM$11&gt;=$H77,CM$11&lt;=$I77),1,""))</f>
        <v/>
      </c>
      <c r="CN77" s="448" t="str">
        <f aca="false">IF($G77=0,IF(CN$11=$H77,"◆",""),IF(AND(CN$11&gt;=$H77,CN$11&lt;=$I77),1,""))</f>
        <v/>
      </c>
      <c r="CO77" s="448" t="str">
        <f aca="false">IF($G77=0,IF(CO$11=$H77,"◆",""),IF(AND(CO$11&gt;=$H77,CO$11&lt;=$I77),1,""))</f>
        <v/>
      </c>
      <c r="CP77" s="448" t="str">
        <f aca="false">IF($G77=0,IF(CP$11=$H77,"◆",""),IF(AND(CP$11&gt;=$H77,CP$11&lt;=$I77),1,""))</f>
        <v/>
      </c>
      <c r="CQ77" s="448" t="str">
        <f aca="false">IF($G77=0,IF(CQ$11=$H77,"◆",""),IF(AND(CQ$11&gt;=$H77,CQ$11&lt;=$I77),1,""))</f>
        <v/>
      </c>
      <c r="CR77" s="448" t="str">
        <f aca="false">IF($G77=0,IF(CR$11=$H77,"◆",""),IF(AND(CR$11&gt;=$H77,CR$11&lt;=$I77),1,""))</f>
        <v/>
      </c>
      <c r="CS77" s="448" t="str">
        <f aca="false">IF($G77=0,IF(CS$11=$H77,"◆",""),IF(AND(CS$11&gt;=$H77,CS$11&lt;=$I77),1,""))</f>
        <v/>
      </c>
      <c r="CT77" s="448" t="str">
        <f aca="false">IF($G77=0,IF(CT$11=$H77,"◆",""),IF(AND(CT$11&gt;=$H77,CT$11&lt;=$I77),1,""))</f>
        <v/>
      </c>
      <c r="CU77" s="448" t="str">
        <f aca="false">IF($G77=0,IF(CU$11=$H77,"◆",""),IF(AND(CU$11&gt;=$H77,CU$11&lt;=$I77),1,""))</f>
        <v/>
      </c>
      <c r="CV77" s="448" t="str">
        <f aca="false">IF($G77=0,IF(CV$11=$H77,"◆",""),IF(AND(CV$11&gt;=$H77,CV$11&lt;=$I77),1,""))</f>
        <v/>
      </c>
      <c r="CW77" s="448" t="str">
        <f aca="false">IF($G77=0,IF(CW$11=$H77,"◆",""),IF(AND(CW$11&gt;=$H77,CW$11&lt;=$I77),1,""))</f>
        <v/>
      </c>
      <c r="CX77" s="448" t="str">
        <f aca="false">IF($G77=0,IF(CX$11=$H77,"◆",""),IF(AND(CX$11&gt;=$H77,CX$11&lt;=$I77),1,""))</f>
        <v/>
      </c>
      <c r="CY77" s="448" t="str">
        <f aca="false">IF($G77=0,IF(CY$11=$H77,"◆",""),IF(AND(CY$11&gt;=$H77,CY$11&lt;=$I77),1,""))</f>
        <v/>
      </c>
      <c r="CZ77" s="448" t="str">
        <f aca="false">IF($G77=0,IF(CZ$11=$H77,"◆",""),IF(AND(CZ$11&gt;=$H77,CZ$11&lt;=$I77),1,""))</f>
        <v/>
      </c>
      <c r="DA77" s="448" t="str">
        <f aca="false">IF($G77=0,IF(DA$11=$H77,"◆",""),IF(AND(DA$11&gt;=$H77,DA$11&lt;=$I77),1,""))</f>
        <v/>
      </c>
      <c r="DB77" s="448" t="str">
        <f aca="false">IF($G77=0,IF(DB$11=$H77,"◆",""),IF(AND(DB$11&gt;=$H77,DB$11&lt;=$I77),1,""))</f>
        <v/>
      </c>
      <c r="DC77" s="448" t="str">
        <f aca="false">IF($G77=0,IF(DC$11=$H77,"◆",""),IF(AND(DC$11&gt;=$H77,DC$11&lt;=$I77),1,""))</f>
        <v/>
      </c>
      <c r="DD77" s="448" t="str">
        <f aca="false">IF($G77=0,IF(DD$11=$H77,"◆",""),IF(AND(DD$11&gt;=$H77,DD$11&lt;=$I77),1,""))</f>
        <v/>
      </c>
      <c r="DE77" s="448" t="str">
        <f aca="false">IF($G77=0,IF(DE$11=$H77,"◆",""),IF(AND(DE$11&gt;=$H77,DE$11&lt;=$I77),1,""))</f>
        <v/>
      </c>
      <c r="DF77" s="448" t="str">
        <f aca="false">IF($G77=0,IF(DF$11=$H77,"◆",""),IF(AND(DF$11&gt;=$H77,DF$11&lt;=$I77),1,""))</f>
        <v/>
      </c>
      <c r="DG77" s="448" t="str">
        <f aca="false">IF($G77=0,IF(DG$11=$H77,"◆",""),IF(AND(DG$11&gt;=$H77,DG$11&lt;=$I77),1,""))</f>
        <v/>
      </c>
      <c r="DH77" s="448" t="str">
        <f aca="false">IF($G77=0,IF(DH$11=$H77,"◆",""),IF(AND(DH$11&gt;=$H77,DH$11&lt;=$I77),1,""))</f>
        <v/>
      </c>
      <c r="DI77" s="448" t="str">
        <f aca="false">IF($G77=0,IF(DI$11=$H77,"◆",""),IF(AND(DI$11&gt;=$H77,DI$11&lt;=$I77),1,""))</f>
        <v/>
      </c>
      <c r="DJ77" s="448" t="str">
        <f aca="false">IF($G77=0,IF(DJ$11=$H77,"◆",""),IF(AND(DJ$11&gt;=$H77,DJ$11&lt;=$I77),1,""))</f>
        <v/>
      </c>
      <c r="DK77" s="448" t="str">
        <f aca="false">IF($G77=0,IF(DK$11=$H77,"◆",""),IF(AND(DK$11&gt;=$H77,DK$11&lt;=$I77),1,""))</f>
        <v/>
      </c>
      <c r="DL77" s="448" t="str">
        <f aca="false">IF($G77=0,IF(DL$11=$H77,"◆",""),IF(AND(DL$11&gt;=$H77,DL$11&lt;=$I77),1,""))</f>
        <v/>
      </c>
      <c r="DM77" s="448" t="str">
        <f aca="false">IF($G77=0,IF(DM$11=$H77,"◆",""),IF(AND(DM$11&gt;=$H77,DM$11&lt;=$I77),1,""))</f>
        <v/>
      </c>
      <c r="DN77" s="448" t="str">
        <f aca="false">IF($G77=0,IF(DN$11=$H77,"◆",""),IF(AND(DN$11&gt;=$H77,DN$11&lt;=$I77),1,""))</f>
        <v/>
      </c>
      <c r="DO77" s="448" t="str">
        <f aca="false">IF($G77=0,IF(DO$11=$H77,"◆",""),IF(AND(DO$11&gt;=$H77,DO$11&lt;=$I77),1,""))</f>
        <v/>
      </c>
      <c r="DP77" s="448" t="str">
        <f aca="false">IF($G77=0,IF(DP$11=$H77,"◆",""),IF(AND(DP$11&gt;=$H77,DP$11&lt;=$I77),1,""))</f>
        <v/>
      </c>
      <c r="DQ77" s="448" t="str">
        <f aca="false">IF($G77=0,IF(DQ$11=$H77,"◆",""),IF(AND(DQ$11&gt;=$H77,DQ$11&lt;=$I77),1,""))</f>
        <v/>
      </c>
      <c r="DR77" s="448" t="str">
        <f aca="false">IF($G77=0,IF(DR$11=$H77,"◆",""),IF(AND(DR$11&gt;=$H77,DR$11&lt;=$I77),1,""))</f>
        <v/>
      </c>
      <c r="DS77" s="448" t="str">
        <f aca="false">IF($G77=0,IF(DS$11=$H77,"◆",""),IF(AND(DS$11&gt;=$H77,DS$11&lt;=$I77),1,""))</f>
        <v/>
      </c>
      <c r="DT77" s="448" t="str">
        <f aca="false">IF($G77=0,IF(DT$11=$H77,"◆",""),IF(AND(DT$11&gt;=$H77,DT$11&lt;=$I77),1,""))</f>
        <v/>
      </c>
      <c r="DU77" s="448" t="str">
        <f aca="false">IF($G77=0,IF(DU$11=$H77,"◆",""),IF(AND(DU$11&gt;=$H77,DU$11&lt;=$I77),1,""))</f>
        <v/>
      </c>
      <c r="DV77" s="448" t="str">
        <f aca="false">IF($G77=0,IF(DV$11=$H77,"◆",""),IF(AND(DV$11&gt;=$H77,DV$11&lt;=$I77),1,""))</f>
        <v/>
      </c>
      <c r="DW77" s="448" t="str">
        <f aca="false">IF($G77=0,IF(DW$11=$H77,"◆",""),IF(AND(DW$11&gt;=$H77,DW$11&lt;=$I77),1,""))</f>
        <v/>
      </c>
      <c r="DX77" s="448" t="str">
        <f aca="false">IF($G77=0,IF(DX$11=$H77,"◆",""),IF(AND(DX$11&gt;=$H77,DX$11&lt;=$I77),1,""))</f>
        <v/>
      </c>
      <c r="DY77" s="448" t="str">
        <f aca="false">IF($G77=0,IF(DY$11=$H77,"◆",""),IF(AND(DY$11&gt;=$H77,DY$11&lt;=$I77),1,""))</f>
        <v/>
      </c>
      <c r="DZ77" s="448" t="str">
        <f aca="false">IF($G77=0,IF(DZ$11=$H77,"◆",""),IF(AND(DZ$11&gt;=$H77,DZ$11&lt;=$I77),1,""))</f>
        <v/>
      </c>
      <c r="EA77" s="448" t="str">
        <f aca="false">IF($G77=0,IF(EA$11=$H77,"◆",""),IF(AND(EA$11&gt;=$H77,EA$11&lt;=$I77),1,""))</f>
        <v/>
      </c>
      <c r="EB77" s="448" t="str">
        <f aca="false">IF($G77=0,IF(EB$11=$H77,"◆",""),IF(AND(EB$11&gt;=$H77,EB$11&lt;=$I77),1,""))</f>
        <v/>
      </c>
      <c r="EC77" s="448" t="str">
        <f aca="false">IF($G77=0,IF(EC$11=$H77,"◆",""),IF(AND(EC$11&gt;=$H77,EC$11&lt;=$I77),1,""))</f>
        <v/>
      </c>
      <c r="ED77" s="448" t="str">
        <f aca="false">IF($G77=0,IF(ED$11=$H77,"◆",""),IF(AND(ED$11&gt;=$H77,ED$11&lt;=$I77),1,""))</f>
        <v/>
      </c>
    </row>
    <row r="78" customFormat="false" ht="15" hidden="false" customHeight="true" outlineLevel="0" collapsed="false">
      <c r="A78" s="441" t="s">
        <v>2592</v>
      </c>
      <c r="B78" s="297" t="s">
        <v>2593</v>
      </c>
      <c r="C78" s="442" t="s">
        <v>2127</v>
      </c>
      <c r="D78" s="443" t="s">
        <v>2496</v>
      </c>
      <c r="E78" s="354" t="n">
        <f aca="false">FC_SUPUESTOS!$C$23-FC_SUPUESTOS!$C$21</f>
        <v>8</v>
      </c>
      <c r="F78" s="352" t="n">
        <v>-5</v>
      </c>
      <c r="G78" s="352" t="n">
        <v>4</v>
      </c>
      <c r="H78" s="367" t="n">
        <f aca="false">MAX(1,ROUND(($E78-1)*$D$5,0)+1+$F78)</f>
        <v>26</v>
      </c>
      <c r="I78" s="367" t="n">
        <f aca="false">MAX($H78,$H78+$G78-1)</f>
        <v>29</v>
      </c>
      <c r="J78" s="444" t="n">
        <f aca="false">$D$4+($H78-1)*7</f>
        <v>46475</v>
      </c>
      <c r="K78" s="444" t="n">
        <f aca="false">$D$4+$I78*7-1</f>
        <v>46502</v>
      </c>
      <c r="L78" s="445" t="n">
        <f aca="false">ROUNDUP($H78/$D$5,0)</f>
        <v>6</v>
      </c>
      <c r="M78" s="446" t="s">
        <v>2453</v>
      </c>
      <c r="N78" s="447" t="n">
        <v>0</v>
      </c>
      <c r="O78" s="448" t="str">
        <f aca="false">IF($G78=0,IF(O$11=$H78,"◆",""),IF(AND(O$11&gt;=$H78,O$11&lt;=$I78),1,""))</f>
        <v/>
      </c>
      <c r="P78" s="448" t="str">
        <f aca="false">IF($G78=0,IF(P$11=$H78,"◆",""),IF(AND(P$11&gt;=$H78,P$11&lt;=$I78),1,""))</f>
        <v/>
      </c>
      <c r="Q78" s="448" t="str">
        <f aca="false">IF($G78=0,IF(Q$11=$H78,"◆",""),IF(AND(Q$11&gt;=$H78,Q$11&lt;=$I78),1,""))</f>
        <v/>
      </c>
      <c r="R78" s="448" t="str">
        <f aca="false">IF($G78=0,IF(R$11=$H78,"◆",""),IF(AND(R$11&gt;=$H78,R$11&lt;=$I78),1,""))</f>
        <v/>
      </c>
      <c r="S78" s="448" t="str">
        <f aca="false">IF($G78=0,IF(S$11=$H78,"◆",""),IF(AND(S$11&gt;=$H78,S$11&lt;=$I78),1,""))</f>
        <v/>
      </c>
      <c r="T78" s="448" t="str">
        <f aca="false">IF($G78=0,IF(T$11=$H78,"◆",""),IF(AND(T$11&gt;=$H78,T$11&lt;=$I78),1,""))</f>
        <v/>
      </c>
      <c r="U78" s="448" t="str">
        <f aca="false">IF($G78=0,IF(U$11=$H78,"◆",""),IF(AND(U$11&gt;=$H78,U$11&lt;=$I78),1,""))</f>
        <v/>
      </c>
      <c r="V78" s="448" t="str">
        <f aca="false">IF($G78=0,IF(V$11=$H78,"◆",""),IF(AND(V$11&gt;=$H78,V$11&lt;=$I78),1,""))</f>
        <v/>
      </c>
      <c r="W78" s="448" t="str">
        <f aca="false">IF($G78=0,IF(W$11=$H78,"◆",""),IF(AND(W$11&gt;=$H78,W$11&lt;=$I78),1,""))</f>
        <v/>
      </c>
      <c r="X78" s="448" t="str">
        <f aca="false">IF($G78=0,IF(X$11=$H78,"◆",""),IF(AND(X$11&gt;=$H78,X$11&lt;=$I78),1,""))</f>
        <v/>
      </c>
      <c r="Y78" s="448" t="str">
        <f aca="false">IF($G78=0,IF(Y$11=$H78,"◆",""),IF(AND(Y$11&gt;=$H78,Y$11&lt;=$I78),1,""))</f>
        <v/>
      </c>
      <c r="Z78" s="448" t="str">
        <f aca="false">IF($G78=0,IF(Z$11=$H78,"◆",""),IF(AND(Z$11&gt;=$H78,Z$11&lt;=$I78),1,""))</f>
        <v/>
      </c>
      <c r="AA78" s="448" t="str">
        <f aca="false">IF($G78=0,IF(AA$11=$H78,"◆",""),IF(AND(AA$11&gt;=$H78,AA$11&lt;=$I78),1,""))</f>
        <v/>
      </c>
      <c r="AB78" s="448" t="str">
        <f aca="false">IF($G78=0,IF(AB$11=$H78,"◆",""),IF(AND(AB$11&gt;=$H78,AB$11&lt;=$I78),1,""))</f>
        <v/>
      </c>
      <c r="AC78" s="448" t="str">
        <f aca="false">IF($G78=0,IF(AC$11=$H78,"◆",""),IF(AND(AC$11&gt;=$H78,AC$11&lt;=$I78),1,""))</f>
        <v/>
      </c>
      <c r="AD78" s="448" t="str">
        <f aca="false">IF($G78=0,IF(AD$11=$H78,"◆",""),IF(AND(AD$11&gt;=$H78,AD$11&lt;=$I78),1,""))</f>
        <v/>
      </c>
      <c r="AE78" s="448" t="str">
        <f aca="false">IF($G78=0,IF(AE$11=$H78,"◆",""),IF(AND(AE$11&gt;=$H78,AE$11&lt;=$I78),1,""))</f>
        <v/>
      </c>
      <c r="AF78" s="448" t="str">
        <f aca="false">IF($G78=0,IF(AF$11=$H78,"◆",""),IF(AND(AF$11&gt;=$H78,AF$11&lt;=$I78),1,""))</f>
        <v/>
      </c>
      <c r="AG78" s="448" t="str">
        <f aca="false">IF($G78=0,IF(AG$11=$H78,"◆",""),IF(AND(AG$11&gt;=$H78,AG$11&lt;=$I78),1,""))</f>
        <v/>
      </c>
      <c r="AH78" s="448" t="str">
        <f aca="false">IF($G78=0,IF(AH$11=$H78,"◆",""),IF(AND(AH$11&gt;=$H78,AH$11&lt;=$I78),1,""))</f>
        <v/>
      </c>
      <c r="AI78" s="448" t="str">
        <f aca="false">IF($G78=0,IF(AI$11=$H78,"◆",""),IF(AND(AI$11&gt;=$H78,AI$11&lt;=$I78),1,""))</f>
        <v/>
      </c>
      <c r="AJ78" s="448" t="str">
        <f aca="false">IF($G78=0,IF(AJ$11=$H78,"◆",""),IF(AND(AJ$11&gt;=$H78,AJ$11&lt;=$I78),1,""))</f>
        <v/>
      </c>
      <c r="AK78" s="448" t="str">
        <f aca="false">IF($G78=0,IF(AK$11=$H78,"◆",""),IF(AND(AK$11&gt;=$H78,AK$11&lt;=$I78),1,""))</f>
        <v/>
      </c>
      <c r="AL78" s="448" t="str">
        <f aca="false">IF($G78=0,IF(AL$11=$H78,"◆",""),IF(AND(AL$11&gt;=$H78,AL$11&lt;=$I78),1,""))</f>
        <v/>
      </c>
      <c r="AM78" s="448" t="str">
        <f aca="false">IF($G78=0,IF(AM$11=$H78,"◆",""),IF(AND(AM$11&gt;=$H78,AM$11&lt;=$I78),1,""))</f>
        <v/>
      </c>
      <c r="AN78" s="448" t="n">
        <f aca="false">IF($G78=0,IF(AN$11=$H78,"◆",""),IF(AND(AN$11&gt;=$H78,AN$11&lt;=$I78),1,""))</f>
        <v>1</v>
      </c>
      <c r="AO78" s="448" t="n">
        <f aca="false">IF($G78=0,IF(AO$11=$H78,"◆",""),IF(AND(AO$11&gt;=$H78,AO$11&lt;=$I78),1,""))</f>
        <v>1</v>
      </c>
      <c r="AP78" s="448" t="n">
        <f aca="false">IF($G78=0,IF(AP$11=$H78,"◆",""),IF(AND(AP$11&gt;=$H78,AP$11&lt;=$I78),1,""))</f>
        <v>1</v>
      </c>
      <c r="AQ78" s="448" t="n">
        <f aca="false">IF($G78=0,IF(AQ$11=$H78,"◆",""),IF(AND(AQ$11&gt;=$H78,AQ$11&lt;=$I78),1,""))</f>
        <v>1</v>
      </c>
      <c r="AR78" s="448" t="str">
        <f aca="false">IF($G78=0,IF(AR$11=$H78,"◆",""),IF(AND(AR$11&gt;=$H78,AR$11&lt;=$I78),1,""))</f>
        <v/>
      </c>
      <c r="AS78" s="448" t="str">
        <f aca="false">IF($G78=0,IF(AS$11=$H78,"◆",""),IF(AND(AS$11&gt;=$H78,AS$11&lt;=$I78),1,""))</f>
        <v/>
      </c>
      <c r="AT78" s="448" t="str">
        <f aca="false">IF($G78=0,IF(AT$11=$H78,"◆",""),IF(AND(AT$11&gt;=$H78,AT$11&lt;=$I78),1,""))</f>
        <v/>
      </c>
      <c r="AU78" s="448" t="str">
        <f aca="false">IF($G78=0,IF(AU$11=$H78,"◆",""),IF(AND(AU$11&gt;=$H78,AU$11&lt;=$I78),1,""))</f>
        <v/>
      </c>
      <c r="AV78" s="448" t="str">
        <f aca="false">IF($G78=0,IF(AV$11=$H78,"◆",""),IF(AND(AV$11&gt;=$H78,AV$11&lt;=$I78),1,""))</f>
        <v/>
      </c>
      <c r="AW78" s="448" t="str">
        <f aca="false">IF($G78=0,IF(AW$11=$H78,"◆",""),IF(AND(AW$11&gt;=$H78,AW$11&lt;=$I78),1,""))</f>
        <v/>
      </c>
      <c r="AX78" s="448" t="str">
        <f aca="false">IF($G78=0,IF(AX$11=$H78,"◆",""),IF(AND(AX$11&gt;=$H78,AX$11&lt;=$I78),1,""))</f>
        <v/>
      </c>
      <c r="AY78" s="448" t="str">
        <f aca="false">IF($G78=0,IF(AY$11=$H78,"◆",""),IF(AND(AY$11&gt;=$H78,AY$11&lt;=$I78),1,""))</f>
        <v/>
      </c>
      <c r="AZ78" s="448" t="str">
        <f aca="false">IF($G78=0,IF(AZ$11=$H78,"◆",""),IF(AND(AZ$11&gt;=$H78,AZ$11&lt;=$I78),1,""))</f>
        <v/>
      </c>
      <c r="BA78" s="448" t="str">
        <f aca="false">IF($G78=0,IF(BA$11=$H78,"◆",""),IF(AND(BA$11&gt;=$H78,BA$11&lt;=$I78),1,""))</f>
        <v/>
      </c>
      <c r="BB78" s="448" t="str">
        <f aca="false">IF($G78=0,IF(BB$11=$H78,"◆",""),IF(AND(BB$11&gt;=$H78,BB$11&lt;=$I78),1,""))</f>
        <v/>
      </c>
      <c r="BC78" s="448" t="str">
        <f aca="false">IF($G78=0,IF(BC$11=$H78,"◆",""),IF(AND(BC$11&gt;=$H78,BC$11&lt;=$I78),1,""))</f>
        <v/>
      </c>
      <c r="BD78" s="448" t="str">
        <f aca="false">IF($G78=0,IF(BD$11=$H78,"◆",""),IF(AND(BD$11&gt;=$H78,BD$11&lt;=$I78),1,""))</f>
        <v/>
      </c>
      <c r="BE78" s="448" t="str">
        <f aca="false">IF($G78=0,IF(BE$11=$H78,"◆",""),IF(AND(BE$11&gt;=$H78,BE$11&lt;=$I78),1,""))</f>
        <v/>
      </c>
      <c r="BF78" s="448" t="str">
        <f aca="false">IF($G78=0,IF(BF$11=$H78,"◆",""),IF(AND(BF$11&gt;=$H78,BF$11&lt;=$I78),1,""))</f>
        <v/>
      </c>
      <c r="BG78" s="448" t="str">
        <f aca="false">IF($G78=0,IF(BG$11=$H78,"◆",""),IF(AND(BG$11&gt;=$H78,BG$11&lt;=$I78),1,""))</f>
        <v/>
      </c>
      <c r="BH78" s="448" t="str">
        <f aca="false">IF($G78=0,IF(BH$11=$H78,"◆",""),IF(AND(BH$11&gt;=$H78,BH$11&lt;=$I78),1,""))</f>
        <v/>
      </c>
      <c r="BI78" s="448" t="str">
        <f aca="false">IF($G78=0,IF(BI$11=$H78,"◆",""),IF(AND(BI$11&gt;=$H78,BI$11&lt;=$I78),1,""))</f>
        <v/>
      </c>
      <c r="BJ78" s="448" t="str">
        <f aca="false">IF($G78=0,IF(BJ$11=$H78,"◆",""),IF(AND(BJ$11&gt;=$H78,BJ$11&lt;=$I78),1,""))</f>
        <v/>
      </c>
      <c r="BK78" s="448" t="str">
        <f aca="false">IF($G78=0,IF(BK$11=$H78,"◆",""),IF(AND(BK$11&gt;=$H78,BK$11&lt;=$I78),1,""))</f>
        <v/>
      </c>
      <c r="BL78" s="448" t="str">
        <f aca="false">IF($G78=0,IF(BL$11=$H78,"◆",""),IF(AND(BL$11&gt;=$H78,BL$11&lt;=$I78),1,""))</f>
        <v/>
      </c>
      <c r="BM78" s="448" t="str">
        <f aca="false">IF($G78=0,IF(BM$11=$H78,"◆",""),IF(AND(BM$11&gt;=$H78,BM$11&lt;=$I78),1,""))</f>
        <v/>
      </c>
      <c r="BN78" s="448" t="str">
        <f aca="false">IF($G78=0,IF(BN$11=$H78,"◆",""),IF(AND(BN$11&gt;=$H78,BN$11&lt;=$I78),1,""))</f>
        <v/>
      </c>
      <c r="BO78" s="448" t="str">
        <f aca="false">IF($G78=0,IF(BO$11=$H78,"◆",""),IF(AND(BO$11&gt;=$H78,BO$11&lt;=$I78),1,""))</f>
        <v/>
      </c>
      <c r="BP78" s="448" t="str">
        <f aca="false">IF($G78=0,IF(BP$11=$H78,"◆",""),IF(AND(BP$11&gt;=$H78,BP$11&lt;=$I78),1,""))</f>
        <v/>
      </c>
      <c r="BQ78" s="448" t="str">
        <f aca="false">IF($G78=0,IF(BQ$11=$H78,"◆",""),IF(AND(BQ$11&gt;=$H78,BQ$11&lt;=$I78),1,""))</f>
        <v/>
      </c>
      <c r="BR78" s="448" t="str">
        <f aca="false">IF($G78=0,IF(BR$11=$H78,"◆",""),IF(AND(BR$11&gt;=$H78,BR$11&lt;=$I78),1,""))</f>
        <v/>
      </c>
      <c r="BS78" s="448" t="str">
        <f aca="false">IF($G78=0,IF(BS$11=$H78,"◆",""),IF(AND(BS$11&gt;=$H78,BS$11&lt;=$I78),1,""))</f>
        <v/>
      </c>
      <c r="BT78" s="448" t="str">
        <f aca="false">IF($G78=0,IF(BT$11=$H78,"◆",""),IF(AND(BT$11&gt;=$H78,BT$11&lt;=$I78),1,""))</f>
        <v/>
      </c>
      <c r="BU78" s="448" t="str">
        <f aca="false">IF($G78=0,IF(BU$11=$H78,"◆",""),IF(AND(BU$11&gt;=$H78,BU$11&lt;=$I78),1,""))</f>
        <v/>
      </c>
      <c r="BV78" s="448" t="str">
        <f aca="false">IF($G78=0,IF(BV$11=$H78,"◆",""),IF(AND(BV$11&gt;=$H78,BV$11&lt;=$I78),1,""))</f>
        <v/>
      </c>
      <c r="BW78" s="448" t="str">
        <f aca="false">IF($G78=0,IF(BW$11=$H78,"◆",""),IF(AND(BW$11&gt;=$H78,BW$11&lt;=$I78),1,""))</f>
        <v/>
      </c>
      <c r="BX78" s="448" t="str">
        <f aca="false">IF($G78=0,IF(BX$11=$H78,"◆",""),IF(AND(BX$11&gt;=$H78,BX$11&lt;=$I78),1,""))</f>
        <v/>
      </c>
      <c r="BY78" s="448" t="str">
        <f aca="false">IF($G78=0,IF(BY$11=$H78,"◆",""),IF(AND(BY$11&gt;=$H78,BY$11&lt;=$I78),1,""))</f>
        <v/>
      </c>
      <c r="BZ78" s="448" t="str">
        <f aca="false">IF($G78=0,IF(BZ$11=$H78,"◆",""),IF(AND(BZ$11&gt;=$H78,BZ$11&lt;=$I78),1,""))</f>
        <v/>
      </c>
      <c r="CA78" s="448" t="str">
        <f aca="false">IF($G78=0,IF(CA$11=$H78,"◆",""),IF(AND(CA$11&gt;=$H78,CA$11&lt;=$I78),1,""))</f>
        <v/>
      </c>
      <c r="CB78" s="448" t="str">
        <f aca="false">IF($G78=0,IF(CB$11=$H78,"◆",""),IF(AND(CB$11&gt;=$H78,CB$11&lt;=$I78),1,""))</f>
        <v/>
      </c>
      <c r="CC78" s="448" t="str">
        <f aca="false">IF($G78=0,IF(CC$11=$H78,"◆",""),IF(AND(CC$11&gt;=$H78,CC$11&lt;=$I78),1,""))</f>
        <v/>
      </c>
      <c r="CD78" s="448" t="str">
        <f aca="false">IF($G78=0,IF(CD$11=$H78,"◆",""),IF(AND(CD$11&gt;=$H78,CD$11&lt;=$I78),1,""))</f>
        <v/>
      </c>
      <c r="CE78" s="448" t="str">
        <f aca="false">IF($G78=0,IF(CE$11=$H78,"◆",""),IF(AND(CE$11&gt;=$H78,CE$11&lt;=$I78),1,""))</f>
        <v/>
      </c>
      <c r="CF78" s="448" t="str">
        <f aca="false">IF($G78=0,IF(CF$11=$H78,"◆",""),IF(AND(CF$11&gt;=$H78,CF$11&lt;=$I78),1,""))</f>
        <v/>
      </c>
      <c r="CG78" s="448" t="str">
        <f aca="false">IF($G78=0,IF(CG$11=$H78,"◆",""),IF(AND(CG$11&gt;=$H78,CG$11&lt;=$I78),1,""))</f>
        <v/>
      </c>
      <c r="CH78" s="448" t="str">
        <f aca="false">IF($G78=0,IF(CH$11=$H78,"◆",""),IF(AND(CH$11&gt;=$H78,CH$11&lt;=$I78),1,""))</f>
        <v/>
      </c>
      <c r="CI78" s="448" t="str">
        <f aca="false">IF($G78=0,IF(CI$11=$H78,"◆",""),IF(AND(CI$11&gt;=$H78,CI$11&lt;=$I78),1,""))</f>
        <v/>
      </c>
      <c r="CJ78" s="448" t="str">
        <f aca="false">IF($G78=0,IF(CJ$11=$H78,"◆",""),IF(AND(CJ$11&gt;=$H78,CJ$11&lt;=$I78),1,""))</f>
        <v/>
      </c>
      <c r="CK78" s="448" t="str">
        <f aca="false">IF($G78=0,IF(CK$11=$H78,"◆",""),IF(AND(CK$11&gt;=$H78,CK$11&lt;=$I78),1,""))</f>
        <v/>
      </c>
      <c r="CL78" s="448" t="str">
        <f aca="false">IF($G78=0,IF(CL$11=$H78,"◆",""),IF(AND(CL$11&gt;=$H78,CL$11&lt;=$I78),1,""))</f>
        <v/>
      </c>
      <c r="CM78" s="448" t="str">
        <f aca="false">IF($G78=0,IF(CM$11=$H78,"◆",""),IF(AND(CM$11&gt;=$H78,CM$11&lt;=$I78),1,""))</f>
        <v/>
      </c>
      <c r="CN78" s="448" t="str">
        <f aca="false">IF($G78=0,IF(CN$11=$H78,"◆",""),IF(AND(CN$11&gt;=$H78,CN$11&lt;=$I78),1,""))</f>
        <v/>
      </c>
      <c r="CO78" s="448" t="str">
        <f aca="false">IF($G78=0,IF(CO$11=$H78,"◆",""),IF(AND(CO$11&gt;=$H78,CO$11&lt;=$I78),1,""))</f>
        <v/>
      </c>
      <c r="CP78" s="448" t="str">
        <f aca="false">IF($G78=0,IF(CP$11=$H78,"◆",""),IF(AND(CP$11&gt;=$H78,CP$11&lt;=$I78),1,""))</f>
        <v/>
      </c>
      <c r="CQ78" s="448" t="str">
        <f aca="false">IF($G78=0,IF(CQ$11=$H78,"◆",""),IF(AND(CQ$11&gt;=$H78,CQ$11&lt;=$I78),1,""))</f>
        <v/>
      </c>
      <c r="CR78" s="448" t="str">
        <f aca="false">IF($G78=0,IF(CR$11=$H78,"◆",""),IF(AND(CR$11&gt;=$H78,CR$11&lt;=$I78),1,""))</f>
        <v/>
      </c>
      <c r="CS78" s="448" t="str">
        <f aca="false">IF($G78=0,IF(CS$11=$H78,"◆",""),IF(AND(CS$11&gt;=$H78,CS$11&lt;=$I78),1,""))</f>
        <v/>
      </c>
      <c r="CT78" s="448" t="str">
        <f aca="false">IF($G78=0,IF(CT$11=$H78,"◆",""),IF(AND(CT$11&gt;=$H78,CT$11&lt;=$I78),1,""))</f>
        <v/>
      </c>
      <c r="CU78" s="448" t="str">
        <f aca="false">IF($G78=0,IF(CU$11=$H78,"◆",""),IF(AND(CU$11&gt;=$H78,CU$11&lt;=$I78),1,""))</f>
        <v/>
      </c>
      <c r="CV78" s="448" t="str">
        <f aca="false">IF($G78=0,IF(CV$11=$H78,"◆",""),IF(AND(CV$11&gt;=$H78,CV$11&lt;=$I78),1,""))</f>
        <v/>
      </c>
      <c r="CW78" s="448" t="str">
        <f aca="false">IF($G78=0,IF(CW$11=$H78,"◆",""),IF(AND(CW$11&gt;=$H78,CW$11&lt;=$I78),1,""))</f>
        <v/>
      </c>
      <c r="CX78" s="448" t="str">
        <f aca="false">IF($G78=0,IF(CX$11=$H78,"◆",""),IF(AND(CX$11&gt;=$H78,CX$11&lt;=$I78),1,""))</f>
        <v/>
      </c>
      <c r="CY78" s="448" t="str">
        <f aca="false">IF($G78=0,IF(CY$11=$H78,"◆",""),IF(AND(CY$11&gt;=$H78,CY$11&lt;=$I78),1,""))</f>
        <v/>
      </c>
      <c r="CZ78" s="448" t="str">
        <f aca="false">IF($G78=0,IF(CZ$11=$H78,"◆",""),IF(AND(CZ$11&gt;=$H78,CZ$11&lt;=$I78),1,""))</f>
        <v/>
      </c>
      <c r="DA78" s="448" t="str">
        <f aca="false">IF($G78=0,IF(DA$11=$H78,"◆",""),IF(AND(DA$11&gt;=$H78,DA$11&lt;=$I78),1,""))</f>
        <v/>
      </c>
      <c r="DB78" s="448" t="str">
        <f aca="false">IF($G78=0,IF(DB$11=$H78,"◆",""),IF(AND(DB$11&gt;=$H78,DB$11&lt;=$I78),1,""))</f>
        <v/>
      </c>
      <c r="DC78" s="448" t="str">
        <f aca="false">IF($G78=0,IF(DC$11=$H78,"◆",""),IF(AND(DC$11&gt;=$H78,DC$11&lt;=$I78),1,""))</f>
        <v/>
      </c>
      <c r="DD78" s="448" t="str">
        <f aca="false">IF($G78=0,IF(DD$11=$H78,"◆",""),IF(AND(DD$11&gt;=$H78,DD$11&lt;=$I78),1,""))</f>
        <v/>
      </c>
      <c r="DE78" s="448" t="str">
        <f aca="false">IF($G78=0,IF(DE$11=$H78,"◆",""),IF(AND(DE$11&gt;=$H78,DE$11&lt;=$I78),1,""))</f>
        <v/>
      </c>
      <c r="DF78" s="448" t="str">
        <f aca="false">IF($G78=0,IF(DF$11=$H78,"◆",""),IF(AND(DF$11&gt;=$H78,DF$11&lt;=$I78),1,""))</f>
        <v/>
      </c>
      <c r="DG78" s="448" t="str">
        <f aca="false">IF($G78=0,IF(DG$11=$H78,"◆",""),IF(AND(DG$11&gt;=$H78,DG$11&lt;=$I78),1,""))</f>
        <v/>
      </c>
      <c r="DH78" s="448" t="str">
        <f aca="false">IF($G78=0,IF(DH$11=$H78,"◆",""),IF(AND(DH$11&gt;=$H78,DH$11&lt;=$I78),1,""))</f>
        <v/>
      </c>
      <c r="DI78" s="448" t="str">
        <f aca="false">IF($G78=0,IF(DI$11=$H78,"◆",""),IF(AND(DI$11&gt;=$H78,DI$11&lt;=$I78),1,""))</f>
        <v/>
      </c>
      <c r="DJ78" s="448" t="str">
        <f aca="false">IF($G78=0,IF(DJ$11=$H78,"◆",""),IF(AND(DJ$11&gt;=$H78,DJ$11&lt;=$I78),1,""))</f>
        <v/>
      </c>
      <c r="DK78" s="448" t="str">
        <f aca="false">IF($G78=0,IF(DK$11=$H78,"◆",""),IF(AND(DK$11&gt;=$H78,DK$11&lt;=$I78),1,""))</f>
        <v/>
      </c>
      <c r="DL78" s="448" t="str">
        <f aca="false">IF($G78=0,IF(DL$11=$H78,"◆",""),IF(AND(DL$11&gt;=$H78,DL$11&lt;=$I78),1,""))</f>
        <v/>
      </c>
      <c r="DM78" s="448" t="str">
        <f aca="false">IF($G78=0,IF(DM$11=$H78,"◆",""),IF(AND(DM$11&gt;=$H78,DM$11&lt;=$I78),1,""))</f>
        <v/>
      </c>
      <c r="DN78" s="448" t="str">
        <f aca="false">IF($G78=0,IF(DN$11=$H78,"◆",""),IF(AND(DN$11&gt;=$H78,DN$11&lt;=$I78),1,""))</f>
        <v/>
      </c>
      <c r="DO78" s="448" t="str">
        <f aca="false">IF($G78=0,IF(DO$11=$H78,"◆",""),IF(AND(DO$11&gt;=$H78,DO$11&lt;=$I78),1,""))</f>
        <v/>
      </c>
      <c r="DP78" s="448" t="str">
        <f aca="false">IF($G78=0,IF(DP$11=$H78,"◆",""),IF(AND(DP$11&gt;=$H78,DP$11&lt;=$I78),1,""))</f>
        <v/>
      </c>
      <c r="DQ78" s="448" t="str">
        <f aca="false">IF($G78=0,IF(DQ$11=$H78,"◆",""),IF(AND(DQ$11&gt;=$H78,DQ$11&lt;=$I78),1,""))</f>
        <v/>
      </c>
      <c r="DR78" s="448" t="str">
        <f aca="false">IF($G78=0,IF(DR$11=$H78,"◆",""),IF(AND(DR$11&gt;=$H78,DR$11&lt;=$I78),1,""))</f>
        <v/>
      </c>
      <c r="DS78" s="448" t="str">
        <f aca="false">IF($G78=0,IF(DS$11=$H78,"◆",""),IF(AND(DS$11&gt;=$H78,DS$11&lt;=$I78),1,""))</f>
        <v/>
      </c>
      <c r="DT78" s="448" t="str">
        <f aca="false">IF($G78=0,IF(DT$11=$H78,"◆",""),IF(AND(DT$11&gt;=$H78,DT$11&lt;=$I78),1,""))</f>
        <v/>
      </c>
      <c r="DU78" s="448" t="str">
        <f aca="false">IF($G78=0,IF(DU$11=$H78,"◆",""),IF(AND(DU$11&gt;=$H78,DU$11&lt;=$I78),1,""))</f>
        <v/>
      </c>
      <c r="DV78" s="448" t="str">
        <f aca="false">IF($G78=0,IF(DV$11=$H78,"◆",""),IF(AND(DV$11&gt;=$H78,DV$11&lt;=$I78),1,""))</f>
        <v/>
      </c>
      <c r="DW78" s="448" t="str">
        <f aca="false">IF($G78=0,IF(DW$11=$H78,"◆",""),IF(AND(DW$11&gt;=$H78,DW$11&lt;=$I78),1,""))</f>
        <v/>
      </c>
      <c r="DX78" s="448" t="str">
        <f aca="false">IF($G78=0,IF(DX$11=$H78,"◆",""),IF(AND(DX$11&gt;=$H78,DX$11&lt;=$I78),1,""))</f>
        <v/>
      </c>
      <c r="DY78" s="448" t="str">
        <f aca="false">IF($G78=0,IF(DY$11=$H78,"◆",""),IF(AND(DY$11&gt;=$H78,DY$11&lt;=$I78),1,""))</f>
        <v/>
      </c>
      <c r="DZ78" s="448" t="str">
        <f aca="false">IF($G78=0,IF(DZ$11=$H78,"◆",""),IF(AND(DZ$11&gt;=$H78,DZ$11&lt;=$I78),1,""))</f>
        <v/>
      </c>
      <c r="EA78" s="448" t="str">
        <f aca="false">IF($G78=0,IF(EA$11=$H78,"◆",""),IF(AND(EA$11&gt;=$H78,EA$11&lt;=$I78),1,""))</f>
        <v/>
      </c>
      <c r="EB78" s="448" t="str">
        <f aca="false">IF($G78=0,IF(EB$11=$H78,"◆",""),IF(AND(EB$11&gt;=$H78,EB$11&lt;=$I78),1,""))</f>
        <v/>
      </c>
      <c r="EC78" s="448" t="str">
        <f aca="false">IF($G78=0,IF(EC$11=$H78,"◆",""),IF(AND(EC$11&gt;=$H78,EC$11&lt;=$I78),1,""))</f>
        <v/>
      </c>
      <c r="ED78" s="448" t="str">
        <f aca="false">IF($G78=0,IF(ED$11=$H78,"◆",""),IF(AND(ED$11&gt;=$H78,ED$11&lt;=$I78),1,""))</f>
        <v/>
      </c>
    </row>
    <row r="79" customFormat="false" ht="15" hidden="false" customHeight="true" outlineLevel="0" collapsed="false">
      <c r="A79" s="441" t="s">
        <v>2594</v>
      </c>
      <c r="B79" s="297" t="s">
        <v>2595</v>
      </c>
      <c r="C79" s="442" t="s">
        <v>2596</v>
      </c>
      <c r="D79" s="443" t="s">
        <v>2496</v>
      </c>
      <c r="E79" s="354" t="n">
        <f aca="false">FC_SUPUESTOS!$C$23-FC_SUPUESTOS!$C$21</f>
        <v>8</v>
      </c>
      <c r="F79" s="352" t="n">
        <v>-5</v>
      </c>
      <c r="G79" s="352" t="n">
        <v>8</v>
      </c>
      <c r="H79" s="367" t="n">
        <f aca="false">MAX(1,ROUND(($E79-1)*$D$5,0)+1+$F79)</f>
        <v>26</v>
      </c>
      <c r="I79" s="367" t="n">
        <f aca="false">MAX($H79,$H79+$G79-1)</f>
        <v>33</v>
      </c>
      <c r="J79" s="444" t="n">
        <f aca="false">$D$4+($H79-1)*7</f>
        <v>46475</v>
      </c>
      <c r="K79" s="444" t="n">
        <f aca="false">$D$4+$I79*7-1</f>
        <v>46530</v>
      </c>
      <c r="L79" s="445" t="n">
        <f aca="false">ROUNDUP($H79/$D$5,0)</f>
        <v>6</v>
      </c>
      <c r="M79" s="446" t="s">
        <v>2453</v>
      </c>
      <c r="N79" s="447" t="n">
        <v>0</v>
      </c>
      <c r="O79" s="448" t="str">
        <f aca="false">IF($G79=0,IF(O$11=$H79,"◆",""),IF(AND(O$11&gt;=$H79,O$11&lt;=$I79),1,""))</f>
        <v/>
      </c>
      <c r="P79" s="448" t="str">
        <f aca="false">IF($G79=0,IF(P$11=$H79,"◆",""),IF(AND(P$11&gt;=$H79,P$11&lt;=$I79),1,""))</f>
        <v/>
      </c>
      <c r="Q79" s="448" t="str">
        <f aca="false">IF($G79=0,IF(Q$11=$H79,"◆",""),IF(AND(Q$11&gt;=$H79,Q$11&lt;=$I79),1,""))</f>
        <v/>
      </c>
      <c r="R79" s="448" t="str">
        <f aca="false">IF($G79=0,IF(R$11=$H79,"◆",""),IF(AND(R$11&gt;=$H79,R$11&lt;=$I79),1,""))</f>
        <v/>
      </c>
      <c r="S79" s="448" t="str">
        <f aca="false">IF($G79=0,IF(S$11=$H79,"◆",""),IF(AND(S$11&gt;=$H79,S$11&lt;=$I79),1,""))</f>
        <v/>
      </c>
      <c r="T79" s="448" t="str">
        <f aca="false">IF($G79=0,IF(T$11=$H79,"◆",""),IF(AND(T$11&gt;=$H79,T$11&lt;=$I79),1,""))</f>
        <v/>
      </c>
      <c r="U79" s="448" t="str">
        <f aca="false">IF($G79=0,IF(U$11=$H79,"◆",""),IF(AND(U$11&gt;=$H79,U$11&lt;=$I79),1,""))</f>
        <v/>
      </c>
      <c r="V79" s="448" t="str">
        <f aca="false">IF($G79=0,IF(V$11=$H79,"◆",""),IF(AND(V$11&gt;=$H79,V$11&lt;=$I79),1,""))</f>
        <v/>
      </c>
      <c r="W79" s="448" t="str">
        <f aca="false">IF($G79=0,IF(W$11=$H79,"◆",""),IF(AND(W$11&gt;=$H79,W$11&lt;=$I79),1,""))</f>
        <v/>
      </c>
      <c r="X79" s="448" t="str">
        <f aca="false">IF($G79=0,IF(X$11=$H79,"◆",""),IF(AND(X$11&gt;=$H79,X$11&lt;=$I79),1,""))</f>
        <v/>
      </c>
      <c r="Y79" s="448" t="str">
        <f aca="false">IF($G79=0,IF(Y$11=$H79,"◆",""),IF(AND(Y$11&gt;=$H79,Y$11&lt;=$I79),1,""))</f>
        <v/>
      </c>
      <c r="Z79" s="448" t="str">
        <f aca="false">IF($G79=0,IF(Z$11=$H79,"◆",""),IF(AND(Z$11&gt;=$H79,Z$11&lt;=$I79),1,""))</f>
        <v/>
      </c>
      <c r="AA79" s="448" t="str">
        <f aca="false">IF($G79=0,IF(AA$11=$H79,"◆",""),IF(AND(AA$11&gt;=$H79,AA$11&lt;=$I79),1,""))</f>
        <v/>
      </c>
      <c r="AB79" s="448" t="str">
        <f aca="false">IF($G79=0,IF(AB$11=$H79,"◆",""),IF(AND(AB$11&gt;=$H79,AB$11&lt;=$I79),1,""))</f>
        <v/>
      </c>
      <c r="AC79" s="448" t="str">
        <f aca="false">IF($G79=0,IF(AC$11=$H79,"◆",""),IF(AND(AC$11&gt;=$H79,AC$11&lt;=$I79),1,""))</f>
        <v/>
      </c>
      <c r="AD79" s="448" t="str">
        <f aca="false">IF($G79=0,IF(AD$11=$H79,"◆",""),IF(AND(AD$11&gt;=$H79,AD$11&lt;=$I79),1,""))</f>
        <v/>
      </c>
      <c r="AE79" s="448" t="str">
        <f aca="false">IF($G79=0,IF(AE$11=$H79,"◆",""),IF(AND(AE$11&gt;=$H79,AE$11&lt;=$I79),1,""))</f>
        <v/>
      </c>
      <c r="AF79" s="448" t="str">
        <f aca="false">IF($G79=0,IF(AF$11=$H79,"◆",""),IF(AND(AF$11&gt;=$H79,AF$11&lt;=$I79),1,""))</f>
        <v/>
      </c>
      <c r="AG79" s="448" t="str">
        <f aca="false">IF($G79=0,IF(AG$11=$H79,"◆",""),IF(AND(AG$11&gt;=$H79,AG$11&lt;=$I79),1,""))</f>
        <v/>
      </c>
      <c r="AH79" s="448" t="str">
        <f aca="false">IF($G79=0,IF(AH$11=$H79,"◆",""),IF(AND(AH$11&gt;=$H79,AH$11&lt;=$I79),1,""))</f>
        <v/>
      </c>
      <c r="AI79" s="448" t="str">
        <f aca="false">IF($G79=0,IF(AI$11=$H79,"◆",""),IF(AND(AI$11&gt;=$H79,AI$11&lt;=$I79),1,""))</f>
        <v/>
      </c>
      <c r="AJ79" s="448" t="str">
        <f aca="false">IF($G79=0,IF(AJ$11=$H79,"◆",""),IF(AND(AJ$11&gt;=$H79,AJ$11&lt;=$I79),1,""))</f>
        <v/>
      </c>
      <c r="AK79" s="448" t="str">
        <f aca="false">IF($G79=0,IF(AK$11=$H79,"◆",""),IF(AND(AK$11&gt;=$H79,AK$11&lt;=$I79),1,""))</f>
        <v/>
      </c>
      <c r="AL79" s="448" t="str">
        <f aca="false">IF($G79=0,IF(AL$11=$H79,"◆",""),IF(AND(AL$11&gt;=$H79,AL$11&lt;=$I79),1,""))</f>
        <v/>
      </c>
      <c r="AM79" s="448" t="str">
        <f aca="false">IF($G79=0,IF(AM$11=$H79,"◆",""),IF(AND(AM$11&gt;=$H79,AM$11&lt;=$I79),1,""))</f>
        <v/>
      </c>
      <c r="AN79" s="448" t="n">
        <f aca="false">IF($G79=0,IF(AN$11=$H79,"◆",""),IF(AND(AN$11&gt;=$H79,AN$11&lt;=$I79),1,""))</f>
        <v>1</v>
      </c>
      <c r="AO79" s="448" t="n">
        <f aca="false">IF($G79=0,IF(AO$11=$H79,"◆",""),IF(AND(AO$11&gt;=$H79,AO$11&lt;=$I79),1,""))</f>
        <v>1</v>
      </c>
      <c r="AP79" s="448" t="n">
        <f aca="false">IF($G79=0,IF(AP$11=$H79,"◆",""),IF(AND(AP$11&gt;=$H79,AP$11&lt;=$I79),1,""))</f>
        <v>1</v>
      </c>
      <c r="AQ79" s="448" t="n">
        <f aca="false">IF($G79=0,IF(AQ$11=$H79,"◆",""),IF(AND(AQ$11&gt;=$H79,AQ$11&lt;=$I79),1,""))</f>
        <v>1</v>
      </c>
      <c r="AR79" s="448" t="n">
        <f aca="false">IF($G79=0,IF(AR$11=$H79,"◆",""),IF(AND(AR$11&gt;=$H79,AR$11&lt;=$I79),1,""))</f>
        <v>1</v>
      </c>
      <c r="AS79" s="448" t="n">
        <f aca="false">IF($G79=0,IF(AS$11=$H79,"◆",""),IF(AND(AS$11&gt;=$H79,AS$11&lt;=$I79),1,""))</f>
        <v>1</v>
      </c>
      <c r="AT79" s="448" t="n">
        <f aca="false">IF($G79=0,IF(AT$11=$H79,"◆",""),IF(AND(AT$11&gt;=$H79,AT$11&lt;=$I79),1,""))</f>
        <v>1</v>
      </c>
      <c r="AU79" s="448" t="n">
        <f aca="false">IF($G79=0,IF(AU$11=$H79,"◆",""),IF(AND(AU$11&gt;=$H79,AU$11&lt;=$I79),1,""))</f>
        <v>1</v>
      </c>
      <c r="AV79" s="448" t="str">
        <f aca="false">IF($G79=0,IF(AV$11=$H79,"◆",""),IF(AND(AV$11&gt;=$H79,AV$11&lt;=$I79),1,""))</f>
        <v/>
      </c>
      <c r="AW79" s="448" t="str">
        <f aca="false">IF($G79=0,IF(AW$11=$H79,"◆",""),IF(AND(AW$11&gt;=$H79,AW$11&lt;=$I79),1,""))</f>
        <v/>
      </c>
      <c r="AX79" s="448" t="str">
        <f aca="false">IF($G79=0,IF(AX$11=$H79,"◆",""),IF(AND(AX$11&gt;=$H79,AX$11&lt;=$I79),1,""))</f>
        <v/>
      </c>
      <c r="AY79" s="448" t="str">
        <f aca="false">IF($G79=0,IF(AY$11=$H79,"◆",""),IF(AND(AY$11&gt;=$H79,AY$11&lt;=$I79),1,""))</f>
        <v/>
      </c>
      <c r="AZ79" s="448" t="str">
        <f aca="false">IF($G79=0,IF(AZ$11=$H79,"◆",""),IF(AND(AZ$11&gt;=$H79,AZ$11&lt;=$I79),1,""))</f>
        <v/>
      </c>
      <c r="BA79" s="448" t="str">
        <f aca="false">IF($G79=0,IF(BA$11=$H79,"◆",""),IF(AND(BA$11&gt;=$H79,BA$11&lt;=$I79),1,""))</f>
        <v/>
      </c>
      <c r="BB79" s="448" t="str">
        <f aca="false">IF($G79=0,IF(BB$11=$H79,"◆",""),IF(AND(BB$11&gt;=$H79,BB$11&lt;=$I79),1,""))</f>
        <v/>
      </c>
      <c r="BC79" s="448" t="str">
        <f aca="false">IF($G79=0,IF(BC$11=$H79,"◆",""),IF(AND(BC$11&gt;=$H79,BC$11&lt;=$I79),1,""))</f>
        <v/>
      </c>
      <c r="BD79" s="448" t="str">
        <f aca="false">IF($G79=0,IF(BD$11=$H79,"◆",""),IF(AND(BD$11&gt;=$H79,BD$11&lt;=$I79),1,""))</f>
        <v/>
      </c>
      <c r="BE79" s="448" t="str">
        <f aca="false">IF($G79=0,IF(BE$11=$H79,"◆",""),IF(AND(BE$11&gt;=$H79,BE$11&lt;=$I79),1,""))</f>
        <v/>
      </c>
      <c r="BF79" s="448" t="str">
        <f aca="false">IF($G79=0,IF(BF$11=$H79,"◆",""),IF(AND(BF$11&gt;=$H79,BF$11&lt;=$I79),1,""))</f>
        <v/>
      </c>
      <c r="BG79" s="448" t="str">
        <f aca="false">IF($G79=0,IF(BG$11=$H79,"◆",""),IF(AND(BG$11&gt;=$H79,BG$11&lt;=$I79),1,""))</f>
        <v/>
      </c>
      <c r="BH79" s="448" t="str">
        <f aca="false">IF($G79=0,IF(BH$11=$H79,"◆",""),IF(AND(BH$11&gt;=$H79,BH$11&lt;=$I79),1,""))</f>
        <v/>
      </c>
      <c r="BI79" s="448" t="str">
        <f aca="false">IF($G79=0,IF(BI$11=$H79,"◆",""),IF(AND(BI$11&gt;=$H79,BI$11&lt;=$I79),1,""))</f>
        <v/>
      </c>
      <c r="BJ79" s="448" t="str">
        <f aca="false">IF($G79=0,IF(BJ$11=$H79,"◆",""),IF(AND(BJ$11&gt;=$H79,BJ$11&lt;=$I79),1,""))</f>
        <v/>
      </c>
      <c r="BK79" s="448" t="str">
        <f aca="false">IF($G79=0,IF(BK$11=$H79,"◆",""),IF(AND(BK$11&gt;=$H79,BK$11&lt;=$I79),1,""))</f>
        <v/>
      </c>
      <c r="BL79" s="448" t="str">
        <f aca="false">IF($G79=0,IF(BL$11=$H79,"◆",""),IF(AND(BL$11&gt;=$H79,BL$11&lt;=$I79),1,""))</f>
        <v/>
      </c>
      <c r="BM79" s="448" t="str">
        <f aca="false">IF($G79=0,IF(BM$11=$H79,"◆",""),IF(AND(BM$11&gt;=$H79,BM$11&lt;=$I79),1,""))</f>
        <v/>
      </c>
      <c r="BN79" s="448" t="str">
        <f aca="false">IF($G79=0,IF(BN$11=$H79,"◆",""),IF(AND(BN$11&gt;=$H79,BN$11&lt;=$I79),1,""))</f>
        <v/>
      </c>
      <c r="BO79" s="448" t="str">
        <f aca="false">IF($G79=0,IF(BO$11=$H79,"◆",""),IF(AND(BO$11&gt;=$H79,BO$11&lt;=$I79),1,""))</f>
        <v/>
      </c>
      <c r="BP79" s="448" t="str">
        <f aca="false">IF($G79=0,IF(BP$11=$H79,"◆",""),IF(AND(BP$11&gt;=$H79,BP$11&lt;=$I79),1,""))</f>
        <v/>
      </c>
      <c r="BQ79" s="448" t="str">
        <f aca="false">IF($G79=0,IF(BQ$11=$H79,"◆",""),IF(AND(BQ$11&gt;=$H79,BQ$11&lt;=$I79),1,""))</f>
        <v/>
      </c>
      <c r="BR79" s="448" t="str">
        <f aca="false">IF($G79=0,IF(BR$11=$H79,"◆",""),IF(AND(BR$11&gt;=$H79,BR$11&lt;=$I79),1,""))</f>
        <v/>
      </c>
      <c r="BS79" s="448" t="str">
        <f aca="false">IF($G79=0,IF(BS$11=$H79,"◆",""),IF(AND(BS$11&gt;=$H79,BS$11&lt;=$I79),1,""))</f>
        <v/>
      </c>
      <c r="BT79" s="448" t="str">
        <f aca="false">IF($G79=0,IF(BT$11=$H79,"◆",""),IF(AND(BT$11&gt;=$H79,BT$11&lt;=$I79),1,""))</f>
        <v/>
      </c>
      <c r="BU79" s="448" t="str">
        <f aca="false">IF($G79=0,IF(BU$11=$H79,"◆",""),IF(AND(BU$11&gt;=$H79,BU$11&lt;=$I79),1,""))</f>
        <v/>
      </c>
      <c r="BV79" s="448" t="str">
        <f aca="false">IF($G79=0,IF(BV$11=$H79,"◆",""),IF(AND(BV$11&gt;=$H79,BV$11&lt;=$I79),1,""))</f>
        <v/>
      </c>
      <c r="BW79" s="448" t="str">
        <f aca="false">IF($G79=0,IF(BW$11=$H79,"◆",""),IF(AND(BW$11&gt;=$H79,BW$11&lt;=$I79),1,""))</f>
        <v/>
      </c>
      <c r="BX79" s="448" t="str">
        <f aca="false">IF($G79=0,IF(BX$11=$H79,"◆",""),IF(AND(BX$11&gt;=$H79,BX$11&lt;=$I79),1,""))</f>
        <v/>
      </c>
      <c r="BY79" s="448" t="str">
        <f aca="false">IF($G79=0,IF(BY$11=$H79,"◆",""),IF(AND(BY$11&gt;=$H79,BY$11&lt;=$I79),1,""))</f>
        <v/>
      </c>
      <c r="BZ79" s="448" t="str">
        <f aca="false">IF($G79=0,IF(BZ$11=$H79,"◆",""),IF(AND(BZ$11&gt;=$H79,BZ$11&lt;=$I79),1,""))</f>
        <v/>
      </c>
      <c r="CA79" s="448" t="str">
        <f aca="false">IF($G79=0,IF(CA$11=$H79,"◆",""),IF(AND(CA$11&gt;=$H79,CA$11&lt;=$I79),1,""))</f>
        <v/>
      </c>
      <c r="CB79" s="448" t="str">
        <f aca="false">IF($G79=0,IF(CB$11=$H79,"◆",""),IF(AND(CB$11&gt;=$H79,CB$11&lt;=$I79),1,""))</f>
        <v/>
      </c>
      <c r="CC79" s="448" t="str">
        <f aca="false">IF($G79=0,IF(CC$11=$H79,"◆",""),IF(AND(CC$11&gt;=$H79,CC$11&lt;=$I79),1,""))</f>
        <v/>
      </c>
      <c r="CD79" s="448" t="str">
        <f aca="false">IF($G79=0,IF(CD$11=$H79,"◆",""),IF(AND(CD$11&gt;=$H79,CD$11&lt;=$I79),1,""))</f>
        <v/>
      </c>
      <c r="CE79" s="448" t="str">
        <f aca="false">IF($G79=0,IF(CE$11=$H79,"◆",""),IF(AND(CE$11&gt;=$H79,CE$11&lt;=$I79),1,""))</f>
        <v/>
      </c>
      <c r="CF79" s="448" t="str">
        <f aca="false">IF($G79=0,IF(CF$11=$H79,"◆",""),IF(AND(CF$11&gt;=$H79,CF$11&lt;=$I79),1,""))</f>
        <v/>
      </c>
      <c r="CG79" s="448" t="str">
        <f aca="false">IF($G79=0,IF(CG$11=$H79,"◆",""),IF(AND(CG$11&gt;=$H79,CG$11&lt;=$I79),1,""))</f>
        <v/>
      </c>
      <c r="CH79" s="448" t="str">
        <f aca="false">IF($G79=0,IF(CH$11=$H79,"◆",""),IF(AND(CH$11&gt;=$H79,CH$11&lt;=$I79),1,""))</f>
        <v/>
      </c>
      <c r="CI79" s="448" t="str">
        <f aca="false">IF($G79=0,IF(CI$11=$H79,"◆",""),IF(AND(CI$11&gt;=$H79,CI$11&lt;=$I79),1,""))</f>
        <v/>
      </c>
      <c r="CJ79" s="448" t="str">
        <f aca="false">IF($G79=0,IF(CJ$11=$H79,"◆",""),IF(AND(CJ$11&gt;=$H79,CJ$11&lt;=$I79),1,""))</f>
        <v/>
      </c>
      <c r="CK79" s="448" t="str">
        <f aca="false">IF($G79=0,IF(CK$11=$H79,"◆",""),IF(AND(CK$11&gt;=$H79,CK$11&lt;=$I79),1,""))</f>
        <v/>
      </c>
      <c r="CL79" s="448" t="str">
        <f aca="false">IF($G79=0,IF(CL$11=$H79,"◆",""),IF(AND(CL$11&gt;=$H79,CL$11&lt;=$I79),1,""))</f>
        <v/>
      </c>
      <c r="CM79" s="448" t="str">
        <f aca="false">IF($G79=0,IF(CM$11=$H79,"◆",""),IF(AND(CM$11&gt;=$H79,CM$11&lt;=$I79),1,""))</f>
        <v/>
      </c>
      <c r="CN79" s="448" t="str">
        <f aca="false">IF($G79=0,IF(CN$11=$H79,"◆",""),IF(AND(CN$11&gt;=$H79,CN$11&lt;=$I79),1,""))</f>
        <v/>
      </c>
      <c r="CO79" s="448" t="str">
        <f aca="false">IF($G79=0,IF(CO$11=$H79,"◆",""),IF(AND(CO$11&gt;=$H79,CO$11&lt;=$I79),1,""))</f>
        <v/>
      </c>
      <c r="CP79" s="448" t="str">
        <f aca="false">IF($G79=0,IF(CP$11=$H79,"◆",""),IF(AND(CP$11&gt;=$H79,CP$11&lt;=$I79),1,""))</f>
        <v/>
      </c>
      <c r="CQ79" s="448" t="str">
        <f aca="false">IF($G79=0,IF(CQ$11=$H79,"◆",""),IF(AND(CQ$11&gt;=$H79,CQ$11&lt;=$I79),1,""))</f>
        <v/>
      </c>
      <c r="CR79" s="448" t="str">
        <f aca="false">IF($G79=0,IF(CR$11=$H79,"◆",""),IF(AND(CR$11&gt;=$H79,CR$11&lt;=$I79),1,""))</f>
        <v/>
      </c>
      <c r="CS79" s="448" t="str">
        <f aca="false">IF($G79=0,IF(CS$11=$H79,"◆",""),IF(AND(CS$11&gt;=$H79,CS$11&lt;=$I79),1,""))</f>
        <v/>
      </c>
      <c r="CT79" s="448" t="str">
        <f aca="false">IF($G79=0,IF(CT$11=$H79,"◆",""),IF(AND(CT$11&gt;=$H79,CT$11&lt;=$I79),1,""))</f>
        <v/>
      </c>
      <c r="CU79" s="448" t="str">
        <f aca="false">IF($G79=0,IF(CU$11=$H79,"◆",""),IF(AND(CU$11&gt;=$H79,CU$11&lt;=$I79),1,""))</f>
        <v/>
      </c>
      <c r="CV79" s="448" t="str">
        <f aca="false">IF($G79=0,IF(CV$11=$H79,"◆",""),IF(AND(CV$11&gt;=$H79,CV$11&lt;=$I79),1,""))</f>
        <v/>
      </c>
      <c r="CW79" s="448" t="str">
        <f aca="false">IF($G79=0,IF(CW$11=$H79,"◆",""),IF(AND(CW$11&gt;=$H79,CW$11&lt;=$I79),1,""))</f>
        <v/>
      </c>
      <c r="CX79" s="448" t="str">
        <f aca="false">IF($G79=0,IF(CX$11=$H79,"◆",""),IF(AND(CX$11&gt;=$H79,CX$11&lt;=$I79),1,""))</f>
        <v/>
      </c>
      <c r="CY79" s="448" t="str">
        <f aca="false">IF($G79=0,IF(CY$11=$H79,"◆",""),IF(AND(CY$11&gt;=$H79,CY$11&lt;=$I79),1,""))</f>
        <v/>
      </c>
      <c r="CZ79" s="448" t="str">
        <f aca="false">IF($G79=0,IF(CZ$11=$H79,"◆",""),IF(AND(CZ$11&gt;=$H79,CZ$11&lt;=$I79),1,""))</f>
        <v/>
      </c>
      <c r="DA79" s="448" t="str">
        <f aca="false">IF($G79=0,IF(DA$11=$H79,"◆",""),IF(AND(DA$11&gt;=$H79,DA$11&lt;=$I79),1,""))</f>
        <v/>
      </c>
      <c r="DB79" s="448" t="str">
        <f aca="false">IF($G79=0,IF(DB$11=$H79,"◆",""),IF(AND(DB$11&gt;=$H79,DB$11&lt;=$I79),1,""))</f>
        <v/>
      </c>
      <c r="DC79" s="448" t="str">
        <f aca="false">IF($G79=0,IF(DC$11=$H79,"◆",""),IF(AND(DC$11&gt;=$H79,DC$11&lt;=$I79),1,""))</f>
        <v/>
      </c>
      <c r="DD79" s="448" t="str">
        <f aca="false">IF($G79=0,IF(DD$11=$H79,"◆",""),IF(AND(DD$11&gt;=$H79,DD$11&lt;=$I79),1,""))</f>
        <v/>
      </c>
      <c r="DE79" s="448" t="str">
        <f aca="false">IF($G79=0,IF(DE$11=$H79,"◆",""),IF(AND(DE$11&gt;=$H79,DE$11&lt;=$I79),1,""))</f>
        <v/>
      </c>
      <c r="DF79" s="448" t="str">
        <f aca="false">IF($G79=0,IF(DF$11=$H79,"◆",""),IF(AND(DF$11&gt;=$H79,DF$11&lt;=$I79),1,""))</f>
        <v/>
      </c>
      <c r="DG79" s="448" t="str">
        <f aca="false">IF($G79=0,IF(DG$11=$H79,"◆",""),IF(AND(DG$11&gt;=$H79,DG$11&lt;=$I79),1,""))</f>
        <v/>
      </c>
      <c r="DH79" s="448" t="str">
        <f aca="false">IF($G79=0,IF(DH$11=$H79,"◆",""),IF(AND(DH$11&gt;=$H79,DH$11&lt;=$I79),1,""))</f>
        <v/>
      </c>
      <c r="DI79" s="448" t="str">
        <f aca="false">IF($G79=0,IF(DI$11=$H79,"◆",""),IF(AND(DI$11&gt;=$H79,DI$11&lt;=$I79),1,""))</f>
        <v/>
      </c>
      <c r="DJ79" s="448" t="str">
        <f aca="false">IF($G79=0,IF(DJ$11=$H79,"◆",""),IF(AND(DJ$11&gt;=$H79,DJ$11&lt;=$I79),1,""))</f>
        <v/>
      </c>
      <c r="DK79" s="448" t="str">
        <f aca="false">IF($G79=0,IF(DK$11=$H79,"◆",""),IF(AND(DK$11&gt;=$H79,DK$11&lt;=$I79),1,""))</f>
        <v/>
      </c>
      <c r="DL79" s="448" t="str">
        <f aca="false">IF($G79=0,IF(DL$11=$H79,"◆",""),IF(AND(DL$11&gt;=$H79,DL$11&lt;=$I79),1,""))</f>
        <v/>
      </c>
      <c r="DM79" s="448" t="str">
        <f aca="false">IF($G79=0,IF(DM$11=$H79,"◆",""),IF(AND(DM$11&gt;=$H79,DM$11&lt;=$I79),1,""))</f>
        <v/>
      </c>
      <c r="DN79" s="448" t="str">
        <f aca="false">IF($G79=0,IF(DN$11=$H79,"◆",""),IF(AND(DN$11&gt;=$H79,DN$11&lt;=$I79),1,""))</f>
        <v/>
      </c>
      <c r="DO79" s="448" t="str">
        <f aca="false">IF($G79=0,IF(DO$11=$H79,"◆",""),IF(AND(DO$11&gt;=$H79,DO$11&lt;=$I79),1,""))</f>
        <v/>
      </c>
      <c r="DP79" s="448" t="str">
        <f aca="false">IF($G79=0,IF(DP$11=$H79,"◆",""),IF(AND(DP$11&gt;=$H79,DP$11&lt;=$I79),1,""))</f>
        <v/>
      </c>
      <c r="DQ79" s="448" t="str">
        <f aca="false">IF($G79=0,IF(DQ$11=$H79,"◆",""),IF(AND(DQ$11&gt;=$H79,DQ$11&lt;=$I79),1,""))</f>
        <v/>
      </c>
      <c r="DR79" s="448" t="str">
        <f aca="false">IF($G79=0,IF(DR$11=$H79,"◆",""),IF(AND(DR$11&gt;=$H79,DR$11&lt;=$I79),1,""))</f>
        <v/>
      </c>
      <c r="DS79" s="448" t="str">
        <f aca="false">IF($G79=0,IF(DS$11=$H79,"◆",""),IF(AND(DS$11&gt;=$H79,DS$11&lt;=$I79),1,""))</f>
        <v/>
      </c>
      <c r="DT79" s="448" t="str">
        <f aca="false">IF($G79=0,IF(DT$11=$H79,"◆",""),IF(AND(DT$11&gt;=$H79,DT$11&lt;=$I79),1,""))</f>
        <v/>
      </c>
      <c r="DU79" s="448" t="str">
        <f aca="false">IF($G79=0,IF(DU$11=$H79,"◆",""),IF(AND(DU$11&gt;=$H79,DU$11&lt;=$I79),1,""))</f>
        <v/>
      </c>
      <c r="DV79" s="448" t="str">
        <f aca="false">IF($G79=0,IF(DV$11=$H79,"◆",""),IF(AND(DV$11&gt;=$H79,DV$11&lt;=$I79),1,""))</f>
        <v/>
      </c>
      <c r="DW79" s="448" t="str">
        <f aca="false">IF($G79=0,IF(DW$11=$H79,"◆",""),IF(AND(DW$11&gt;=$H79,DW$11&lt;=$I79),1,""))</f>
        <v/>
      </c>
      <c r="DX79" s="448" t="str">
        <f aca="false">IF($G79=0,IF(DX$11=$H79,"◆",""),IF(AND(DX$11&gt;=$H79,DX$11&lt;=$I79),1,""))</f>
        <v/>
      </c>
      <c r="DY79" s="448" t="str">
        <f aca="false">IF($G79=0,IF(DY$11=$H79,"◆",""),IF(AND(DY$11&gt;=$H79,DY$11&lt;=$I79),1,""))</f>
        <v/>
      </c>
      <c r="DZ79" s="448" t="str">
        <f aca="false">IF($G79=0,IF(DZ$11=$H79,"◆",""),IF(AND(DZ$11&gt;=$H79,DZ$11&lt;=$I79),1,""))</f>
        <v/>
      </c>
      <c r="EA79" s="448" t="str">
        <f aca="false">IF($G79=0,IF(EA$11=$H79,"◆",""),IF(AND(EA$11&gt;=$H79,EA$11&lt;=$I79),1,""))</f>
        <v/>
      </c>
      <c r="EB79" s="448" t="str">
        <f aca="false">IF($G79=0,IF(EB$11=$H79,"◆",""),IF(AND(EB$11&gt;=$H79,EB$11&lt;=$I79),1,""))</f>
        <v/>
      </c>
      <c r="EC79" s="448" t="str">
        <f aca="false">IF($G79=0,IF(EC$11=$H79,"◆",""),IF(AND(EC$11&gt;=$H79,EC$11&lt;=$I79),1,""))</f>
        <v/>
      </c>
      <c r="ED79" s="448" t="str">
        <f aca="false">IF($G79=0,IF(ED$11=$H79,"◆",""),IF(AND(ED$11&gt;=$H79,ED$11&lt;=$I79),1,""))</f>
        <v/>
      </c>
    </row>
    <row r="80" customFormat="false" ht="15" hidden="false" customHeight="true" outlineLevel="0" collapsed="false">
      <c r="A80" s="441" t="s">
        <v>2597</v>
      </c>
      <c r="B80" s="297" t="s">
        <v>2598</v>
      </c>
      <c r="C80" s="442" t="s">
        <v>2127</v>
      </c>
      <c r="D80" s="443" t="s">
        <v>2496</v>
      </c>
      <c r="E80" s="354" t="n">
        <f aca="false">FC_SUPUESTOS!$C$23-FC_SUPUESTOS!$C$21</f>
        <v>8</v>
      </c>
      <c r="F80" s="352" t="n">
        <v>-1</v>
      </c>
      <c r="G80" s="352" t="n">
        <v>6</v>
      </c>
      <c r="H80" s="367" t="n">
        <f aca="false">MAX(1,ROUND(($E80-1)*$D$5,0)+1+$F80)</f>
        <v>30</v>
      </c>
      <c r="I80" s="367" t="n">
        <f aca="false">MAX($H80,$H80+$G80-1)</f>
        <v>35</v>
      </c>
      <c r="J80" s="444" t="n">
        <f aca="false">$D$4+($H80-1)*7</f>
        <v>46503</v>
      </c>
      <c r="K80" s="444" t="n">
        <f aca="false">$D$4+$I80*7-1</f>
        <v>46544</v>
      </c>
      <c r="L80" s="445" t="n">
        <f aca="false">ROUNDUP($H80/$D$5,0)</f>
        <v>7</v>
      </c>
      <c r="M80" s="446" t="s">
        <v>2453</v>
      </c>
      <c r="N80" s="447" t="n">
        <v>0</v>
      </c>
      <c r="O80" s="448" t="str">
        <f aca="false">IF($G80=0,IF(O$11=$H80,"◆",""),IF(AND(O$11&gt;=$H80,O$11&lt;=$I80),1,""))</f>
        <v/>
      </c>
      <c r="P80" s="448" t="str">
        <f aca="false">IF($G80=0,IF(P$11=$H80,"◆",""),IF(AND(P$11&gt;=$H80,P$11&lt;=$I80),1,""))</f>
        <v/>
      </c>
      <c r="Q80" s="448" t="str">
        <f aca="false">IF($G80=0,IF(Q$11=$H80,"◆",""),IF(AND(Q$11&gt;=$H80,Q$11&lt;=$I80),1,""))</f>
        <v/>
      </c>
      <c r="R80" s="448" t="str">
        <f aca="false">IF($G80=0,IF(R$11=$H80,"◆",""),IF(AND(R$11&gt;=$H80,R$11&lt;=$I80),1,""))</f>
        <v/>
      </c>
      <c r="S80" s="448" t="str">
        <f aca="false">IF($G80=0,IF(S$11=$H80,"◆",""),IF(AND(S$11&gt;=$H80,S$11&lt;=$I80),1,""))</f>
        <v/>
      </c>
      <c r="T80" s="448" t="str">
        <f aca="false">IF($G80=0,IF(T$11=$H80,"◆",""),IF(AND(T$11&gt;=$H80,T$11&lt;=$I80),1,""))</f>
        <v/>
      </c>
      <c r="U80" s="448" t="str">
        <f aca="false">IF($G80=0,IF(U$11=$H80,"◆",""),IF(AND(U$11&gt;=$H80,U$11&lt;=$I80),1,""))</f>
        <v/>
      </c>
      <c r="V80" s="448" t="str">
        <f aca="false">IF($G80=0,IF(V$11=$H80,"◆",""),IF(AND(V$11&gt;=$H80,V$11&lt;=$I80),1,""))</f>
        <v/>
      </c>
      <c r="W80" s="448" t="str">
        <f aca="false">IF($G80=0,IF(W$11=$H80,"◆",""),IF(AND(W$11&gt;=$H80,W$11&lt;=$I80),1,""))</f>
        <v/>
      </c>
      <c r="X80" s="448" t="str">
        <f aca="false">IF($G80=0,IF(X$11=$H80,"◆",""),IF(AND(X$11&gt;=$H80,X$11&lt;=$I80),1,""))</f>
        <v/>
      </c>
      <c r="Y80" s="448" t="str">
        <f aca="false">IF($G80=0,IF(Y$11=$H80,"◆",""),IF(AND(Y$11&gt;=$H80,Y$11&lt;=$I80),1,""))</f>
        <v/>
      </c>
      <c r="Z80" s="448" t="str">
        <f aca="false">IF($G80=0,IF(Z$11=$H80,"◆",""),IF(AND(Z$11&gt;=$H80,Z$11&lt;=$I80),1,""))</f>
        <v/>
      </c>
      <c r="AA80" s="448" t="str">
        <f aca="false">IF($G80=0,IF(AA$11=$H80,"◆",""),IF(AND(AA$11&gt;=$H80,AA$11&lt;=$I80),1,""))</f>
        <v/>
      </c>
      <c r="AB80" s="448" t="str">
        <f aca="false">IF($G80=0,IF(AB$11=$H80,"◆",""),IF(AND(AB$11&gt;=$H80,AB$11&lt;=$I80),1,""))</f>
        <v/>
      </c>
      <c r="AC80" s="448" t="str">
        <f aca="false">IF($G80=0,IF(AC$11=$H80,"◆",""),IF(AND(AC$11&gt;=$H80,AC$11&lt;=$I80),1,""))</f>
        <v/>
      </c>
      <c r="AD80" s="448" t="str">
        <f aca="false">IF($G80=0,IF(AD$11=$H80,"◆",""),IF(AND(AD$11&gt;=$H80,AD$11&lt;=$I80),1,""))</f>
        <v/>
      </c>
      <c r="AE80" s="448" t="str">
        <f aca="false">IF($G80=0,IF(AE$11=$H80,"◆",""),IF(AND(AE$11&gt;=$H80,AE$11&lt;=$I80),1,""))</f>
        <v/>
      </c>
      <c r="AF80" s="448" t="str">
        <f aca="false">IF($G80=0,IF(AF$11=$H80,"◆",""),IF(AND(AF$11&gt;=$H80,AF$11&lt;=$I80),1,""))</f>
        <v/>
      </c>
      <c r="AG80" s="448" t="str">
        <f aca="false">IF($G80=0,IF(AG$11=$H80,"◆",""),IF(AND(AG$11&gt;=$H80,AG$11&lt;=$I80),1,""))</f>
        <v/>
      </c>
      <c r="AH80" s="448" t="str">
        <f aca="false">IF($G80=0,IF(AH$11=$H80,"◆",""),IF(AND(AH$11&gt;=$H80,AH$11&lt;=$I80),1,""))</f>
        <v/>
      </c>
      <c r="AI80" s="448" t="str">
        <f aca="false">IF($G80=0,IF(AI$11=$H80,"◆",""),IF(AND(AI$11&gt;=$H80,AI$11&lt;=$I80),1,""))</f>
        <v/>
      </c>
      <c r="AJ80" s="448" t="str">
        <f aca="false">IF($G80=0,IF(AJ$11=$H80,"◆",""),IF(AND(AJ$11&gt;=$H80,AJ$11&lt;=$I80),1,""))</f>
        <v/>
      </c>
      <c r="AK80" s="448" t="str">
        <f aca="false">IF($G80=0,IF(AK$11=$H80,"◆",""),IF(AND(AK$11&gt;=$H80,AK$11&lt;=$I80),1,""))</f>
        <v/>
      </c>
      <c r="AL80" s="448" t="str">
        <f aca="false">IF($G80=0,IF(AL$11=$H80,"◆",""),IF(AND(AL$11&gt;=$H80,AL$11&lt;=$I80),1,""))</f>
        <v/>
      </c>
      <c r="AM80" s="448" t="str">
        <f aca="false">IF($G80=0,IF(AM$11=$H80,"◆",""),IF(AND(AM$11&gt;=$H80,AM$11&lt;=$I80),1,""))</f>
        <v/>
      </c>
      <c r="AN80" s="448" t="str">
        <f aca="false">IF($G80=0,IF(AN$11=$H80,"◆",""),IF(AND(AN$11&gt;=$H80,AN$11&lt;=$I80),1,""))</f>
        <v/>
      </c>
      <c r="AO80" s="448" t="str">
        <f aca="false">IF($G80=0,IF(AO$11=$H80,"◆",""),IF(AND(AO$11&gt;=$H80,AO$11&lt;=$I80),1,""))</f>
        <v/>
      </c>
      <c r="AP80" s="448" t="str">
        <f aca="false">IF($G80=0,IF(AP$11=$H80,"◆",""),IF(AND(AP$11&gt;=$H80,AP$11&lt;=$I80),1,""))</f>
        <v/>
      </c>
      <c r="AQ80" s="448" t="str">
        <f aca="false">IF($G80=0,IF(AQ$11=$H80,"◆",""),IF(AND(AQ$11&gt;=$H80,AQ$11&lt;=$I80),1,""))</f>
        <v/>
      </c>
      <c r="AR80" s="448" t="n">
        <f aca="false">IF($G80=0,IF(AR$11=$H80,"◆",""),IF(AND(AR$11&gt;=$H80,AR$11&lt;=$I80),1,""))</f>
        <v>1</v>
      </c>
      <c r="AS80" s="448" t="n">
        <f aca="false">IF($G80=0,IF(AS$11=$H80,"◆",""),IF(AND(AS$11&gt;=$H80,AS$11&lt;=$I80),1,""))</f>
        <v>1</v>
      </c>
      <c r="AT80" s="448" t="n">
        <f aca="false">IF($G80=0,IF(AT$11=$H80,"◆",""),IF(AND(AT$11&gt;=$H80,AT$11&lt;=$I80),1,""))</f>
        <v>1</v>
      </c>
      <c r="AU80" s="448" t="n">
        <f aca="false">IF($G80=0,IF(AU$11=$H80,"◆",""),IF(AND(AU$11&gt;=$H80,AU$11&lt;=$I80),1,""))</f>
        <v>1</v>
      </c>
      <c r="AV80" s="448" t="n">
        <f aca="false">IF($G80=0,IF(AV$11=$H80,"◆",""),IF(AND(AV$11&gt;=$H80,AV$11&lt;=$I80),1,""))</f>
        <v>1</v>
      </c>
      <c r="AW80" s="448" t="n">
        <f aca="false">IF($G80=0,IF(AW$11=$H80,"◆",""),IF(AND(AW$11&gt;=$H80,AW$11&lt;=$I80),1,""))</f>
        <v>1</v>
      </c>
      <c r="AX80" s="448" t="str">
        <f aca="false">IF($G80=0,IF(AX$11=$H80,"◆",""),IF(AND(AX$11&gt;=$H80,AX$11&lt;=$I80),1,""))</f>
        <v/>
      </c>
      <c r="AY80" s="448" t="str">
        <f aca="false">IF($G80=0,IF(AY$11=$H80,"◆",""),IF(AND(AY$11&gt;=$H80,AY$11&lt;=$I80),1,""))</f>
        <v/>
      </c>
      <c r="AZ80" s="448" t="str">
        <f aca="false">IF($G80=0,IF(AZ$11=$H80,"◆",""),IF(AND(AZ$11&gt;=$H80,AZ$11&lt;=$I80),1,""))</f>
        <v/>
      </c>
      <c r="BA80" s="448" t="str">
        <f aca="false">IF($G80=0,IF(BA$11=$H80,"◆",""),IF(AND(BA$11&gt;=$H80,BA$11&lt;=$I80),1,""))</f>
        <v/>
      </c>
      <c r="BB80" s="448" t="str">
        <f aca="false">IF($G80=0,IF(BB$11=$H80,"◆",""),IF(AND(BB$11&gt;=$H80,BB$11&lt;=$I80),1,""))</f>
        <v/>
      </c>
      <c r="BC80" s="448" t="str">
        <f aca="false">IF($G80=0,IF(BC$11=$H80,"◆",""),IF(AND(BC$11&gt;=$H80,BC$11&lt;=$I80),1,""))</f>
        <v/>
      </c>
      <c r="BD80" s="448" t="str">
        <f aca="false">IF($G80=0,IF(BD$11=$H80,"◆",""),IF(AND(BD$11&gt;=$H80,BD$11&lt;=$I80),1,""))</f>
        <v/>
      </c>
      <c r="BE80" s="448" t="str">
        <f aca="false">IF($G80=0,IF(BE$11=$H80,"◆",""),IF(AND(BE$11&gt;=$H80,BE$11&lt;=$I80),1,""))</f>
        <v/>
      </c>
      <c r="BF80" s="448" t="str">
        <f aca="false">IF($G80=0,IF(BF$11=$H80,"◆",""),IF(AND(BF$11&gt;=$H80,BF$11&lt;=$I80),1,""))</f>
        <v/>
      </c>
      <c r="BG80" s="448" t="str">
        <f aca="false">IF($G80=0,IF(BG$11=$H80,"◆",""),IF(AND(BG$11&gt;=$H80,BG$11&lt;=$I80),1,""))</f>
        <v/>
      </c>
      <c r="BH80" s="448" t="str">
        <f aca="false">IF($G80=0,IF(BH$11=$H80,"◆",""),IF(AND(BH$11&gt;=$H80,BH$11&lt;=$I80),1,""))</f>
        <v/>
      </c>
      <c r="BI80" s="448" t="str">
        <f aca="false">IF($G80=0,IF(BI$11=$H80,"◆",""),IF(AND(BI$11&gt;=$H80,BI$11&lt;=$I80),1,""))</f>
        <v/>
      </c>
      <c r="BJ80" s="448" t="str">
        <f aca="false">IF($G80=0,IF(BJ$11=$H80,"◆",""),IF(AND(BJ$11&gt;=$H80,BJ$11&lt;=$I80),1,""))</f>
        <v/>
      </c>
      <c r="BK80" s="448" t="str">
        <f aca="false">IF($G80=0,IF(BK$11=$H80,"◆",""),IF(AND(BK$11&gt;=$H80,BK$11&lt;=$I80),1,""))</f>
        <v/>
      </c>
      <c r="BL80" s="448" t="str">
        <f aca="false">IF($G80=0,IF(BL$11=$H80,"◆",""),IF(AND(BL$11&gt;=$H80,BL$11&lt;=$I80),1,""))</f>
        <v/>
      </c>
      <c r="BM80" s="448" t="str">
        <f aca="false">IF($G80=0,IF(BM$11=$H80,"◆",""),IF(AND(BM$11&gt;=$H80,BM$11&lt;=$I80),1,""))</f>
        <v/>
      </c>
      <c r="BN80" s="448" t="str">
        <f aca="false">IF($G80=0,IF(BN$11=$H80,"◆",""),IF(AND(BN$11&gt;=$H80,BN$11&lt;=$I80),1,""))</f>
        <v/>
      </c>
      <c r="BO80" s="448" t="str">
        <f aca="false">IF($G80=0,IF(BO$11=$H80,"◆",""),IF(AND(BO$11&gt;=$H80,BO$11&lt;=$I80),1,""))</f>
        <v/>
      </c>
      <c r="BP80" s="448" t="str">
        <f aca="false">IF($G80=0,IF(BP$11=$H80,"◆",""),IF(AND(BP$11&gt;=$H80,BP$11&lt;=$I80),1,""))</f>
        <v/>
      </c>
      <c r="BQ80" s="448" t="str">
        <f aca="false">IF($G80=0,IF(BQ$11=$H80,"◆",""),IF(AND(BQ$11&gt;=$H80,BQ$11&lt;=$I80),1,""))</f>
        <v/>
      </c>
      <c r="BR80" s="448" t="str">
        <f aca="false">IF($G80=0,IF(BR$11=$H80,"◆",""),IF(AND(BR$11&gt;=$H80,BR$11&lt;=$I80),1,""))</f>
        <v/>
      </c>
      <c r="BS80" s="448" t="str">
        <f aca="false">IF($G80=0,IF(BS$11=$H80,"◆",""),IF(AND(BS$11&gt;=$H80,BS$11&lt;=$I80),1,""))</f>
        <v/>
      </c>
      <c r="BT80" s="448" t="str">
        <f aca="false">IF($G80=0,IF(BT$11=$H80,"◆",""),IF(AND(BT$11&gt;=$H80,BT$11&lt;=$I80),1,""))</f>
        <v/>
      </c>
      <c r="BU80" s="448" t="str">
        <f aca="false">IF($G80=0,IF(BU$11=$H80,"◆",""),IF(AND(BU$11&gt;=$H80,BU$11&lt;=$I80),1,""))</f>
        <v/>
      </c>
      <c r="BV80" s="448" t="str">
        <f aca="false">IF($G80=0,IF(BV$11=$H80,"◆",""),IF(AND(BV$11&gt;=$H80,BV$11&lt;=$I80),1,""))</f>
        <v/>
      </c>
      <c r="BW80" s="448" t="str">
        <f aca="false">IF($G80=0,IF(BW$11=$H80,"◆",""),IF(AND(BW$11&gt;=$H80,BW$11&lt;=$I80),1,""))</f>
        <v/>
      </c>
      <c r="BX80" s="448" t="str">
        <f aca="false">IF($G80=0,IF(BX$11=$H80,"◆",""),IF(AND(BX$11&gt;=$H80,BX$11&lt;=$I80),1,""))</f>
        <v/>
      </c>
      <c r="BY80" s="448" t="str">
        <f aca="false">IF($G80=0,IF(BY$11=$H80,"◆",""),IF(AND(BY$11&gt;=$H80,BY$11&lt;=$I80),1,""))</f>
        <v/>
      </c>
      <c r="BZ80" s="448" t="str">
        <f aca="false">IF($G80=0,IF(BZ$11=$H80,"◆",""),IF(AND(BZ$11&gt;=$H80,BZ$11&lt;=$I80),1,""))</f>
        <v/>
      </c>
      <c r="CA80" s="448" t="str">
        <f aca="false">IF($G80=0,IF(CA$11=$H80,"◆",""),IF(AND(CA$11&gt;=$H80,CA$11&lt;=$I80),1,""))</f>
        <v/>
      </c>
      <c r="CB80" s="448" t="str">
        <f aca="false">IF($G80=0,IF(CB$11=$H80,"◆",""),IF(AND(CB$11&gt;=$H80,CB$11&lt;=$I80),1,""))</f>
        <v/>
      </c>
      <c r="CC80" s="448" t="str">
        <f aca="false">IF($G80=0,IF(CC$11=$H80,"◆",""),IF(AND(CC$11&gt;=$H80,CC$11&lt;=$I80),1,""))</f>
        <v/>
      </c>
      <c r="CD80" s="448" t="str">
        <f aca="false">IF($G80=0,IF(CD$11=$H80,"◆",""),IF(AND(CD$11&gt;=$H80,CD$11&lt;=$I80),1,""))</f>
        <v/>
      </c>
      <c r="CE80" s="448" t="str">
        <f aca="false">IF($G80=0,IF(CE$11=$H80,"◆",""),IF(AND(CE$11&gt;=$H80,CE$11&lt;=$I80),1,""))</f>
        <v/>
      </c>
      <c r="CF80" s="448" t="str">
        <f aca="false">IF($G80=0,IF(CF$11=$H80,"◆",""),IF(AND(CF$11&gt;=$H80,CF$11&lt;=$I80),1,""))</f>
        <v/>
      </c>
      <c r="CG80" s="448" t="str">
        <f aca="false">IF($G80=0,IF(CG$11=$H80,"◆",""),IF(AND(CG$11&gt;=$H80,CG$11&lt;=$I80),1,""))</f>
        <v/>
      </c>
      <c r="CH80" s="448" t="str">
        <f aca="false">IF($G80=0,IF(CH$11=$H80,"◆",""),IF(AND(CH$11&gt;=$H80,CH$11&lt;=$I80),1,""))</f>
        <v/>
      </c>
      <c r="CI80" s="448" t="str">
        <f aca="false">IF($G80=0,IF(CI$11=$H80,"◆",""),IF(AND(CI$11&gt;=$H80,CI$11&lt;=$I80),1,""))</f>
        <v/>
      </c>
      <c r="CJ80" s="448" t="str">
        <f aca="false">IF($G80=0,IF(CJ$11=$H80,"◆",""),IF(AND(CJ$11&gt;=$H80,CJ$11&lt;=$I80),1,""))</f>
        <v/>
      </c>
      <c r="CK80" s="448" t="str">
        <f aca="false">IF($G80=0,IF(CK$11=$H80,"◆",""),IF(AND(CK$11&gt;=$H80,CK$11&lt;=$I80),1,""))</f>
        <v/>
      </c>
      <c r="CL80" s="448" t="str">
        <f aca="false">IF($G80=0,IF(CL$11=$H80,"◆",""),IF(AND(CL$11&gt;=$H80,CL$11&lt;=$I80),1,""))</f>
        <v/>
      </c>
      <c r="CM80" s="448" t="str">
        <f aca="false">IF($G80=0,IF(CM$11=$H80,"◆",""),IF(AND(CM$11&gt;=$H80,CM$11&lt;=$I80),1,""))</f>
        <v/>
      </c>
      <c r="CN80" s="448" t="str">
        <f aca="false">IF($G80=0,IF(CN$11=$H80,"◆",""),IF(AND(CN$11&gt;=$H80,CN$11&lt;=$I80),1,""))</f>
        <v/>
      </c>
      <c r="CO80" s="448" t="str">
        <f aca="false">IF($G80=0,IF(CO$11=$H80,"◆",""),IF(AND(CO$11&gt;=$H80,CO$11&lt;=$I80),1,""))</f>
        <v/>
      </c>
      <c r="CP80" s="448" t="str">
        <f aca="false">IF($G80=0,IF(CP$11=$H80,"◆",""),IF(AND(CP$11&gt;=$H80,CP$11&lt;=$I80),1,""))</f>
        <v/>
      </c>
      <c r="CQ80" s="448" t="str">
        <f aca="false">IF($G80=0,IF(CQ$11=$H80,"◆",""),IF(AND(CQ$11&gt;=$H80,CQ$11&lt;=$I80),1,""))</f>
        <v/>
      </c>
      <c r="CR80" s="448" t="str">
        <f aca="false">IF($G80=0,IF(CR$11=$H80,"◆",""),IF(AND(CR$11&gt;=$H80,CR$11&lt;=$I80),1,""))</f>
        <v/>
      </c>
      <c r="CS80" s="448" t="str">
        <f aca="false">IF($G80=0,IF(CS$11=$H80,"◆",""),IF(AND(CS$11&gt;=$H80,CS$11&lt;=$I80),1,""))</f>
        <v/>
      </c>
      <c r="CT80" s="448" t="str">
        <f aca="false">IF($G80=0,IF(CT$11=$H80,"◆",""),IF(AND(CT$11&gt;=$H80,CT$11&lt;=$I80),1,""))</f>
        <v/>
      </c>
      <c r="CU80" s="448" t="str">
        <f aca="false">IF($G80=0,IF(CU$11=$H80,"◆",""),IF(AND(CU$11&gt;=$H80,CU$11&lt;=$I80),1,""))</f>
        <v/>
      </c>
      <c r="CV80" s="448" t="str">
        <f aca="false">IF($G80=0,IF(CV$11=$H80,"◆",""),IF(AND(CV$11&gt;=$H80,CV$11&lt;=$I80),1,""))</f>
        <v/>
      </c>
      <c r="CW80" s="448" t="str">
        <f aca="false">IF($G80=0,IF(CW$11=$H80,"◆",""),IF(AND(CW$11&gt;=$H80,CW$11&lt;=$I80),1,""))</f>
        <v/>
      </c>
      <c r="CX80" s="448" t="str">
        <f aca="false">IF($G80=0,IF(CX$11=$H80,"◆",""),IF(AND(CX$11&gt;=$H80,CX$11&lt;=$I80),1,""))</f>
        <v/>
      </c>
      <c r="CY80" s="448" t="str">
        <f aca="false">IF($G80=0,IF(CY$11=$H80,"◆",""),IF(AND(CY$11&gt;=$H80,CY$11&lt;=$I80),1,""))</f>
        <v/>
      </c>
      <c r="CZ80" s="448" t="str">
        <f aca="false">IF($G80=0,IF(CZ$11=$H80,"◆",""),IF(AND(CZ$11&gt;=$H80,CZ$11&lt;=$I80),1,""))</f>
        <v/>
      </c>
      <c r="DA80" s="448" t="str">
        <f aca="false">IF($G80=0,IF(DA$11=$H80,"◆",""),IF(AND(DA$11&gt;=$H80,DA$11&lt;=$I80),1,""))</f>
        <v/>
      </c>
      <c r="DB80" s="448" t="str">
        <f aca="false">IF($G80=0,IF(DB$11=$H80,"◆",""),IF(AND(DB$11&gt;=$H80,DB$11&lt;=$I80),1,""))</f>
        <v/>
      </c>
      <c r="DC80" s="448" t="str">
        <f aca="false">IF($G80=0,IF(DC$11=$H80,"◆",""),IF(AND(DC$11&gt;=$H80,DC$11&lt;=$I80),1,""))</f>
        <v/>
      </c>
      <c r="DD80" s="448" t="str">
        <f aca="false">IF($G80=0,IF(DD$11=$H80,"◆",""),IF(AND(DD$11&gt;=$H80,DD$11&lt;=$I80),1,""))</f>
        <v/>
      </c>
      <c r="DE80" s="448" t="str">
        <f aca="false">IF($G80=0,IF(DE$11=$H80,"◆",""),IF(AND(DE$11&gt;=$H80,DE$11&lt;=$I80),1,""))</f>
        <v/>
      </c>
      <c r="DF80" s="448" t="str">
        <f aca="false">IF($G80=0,IF(DF$11=$H80,"◆",""),IF(AND(DF$11&gt;=$H80,DF$11&lt;=$I80),1,""))</f>
        <v/>
      </c>
      <c r="DG80" s="448" t="str">
        <f aca="false">IF($G80=0,IF(DG$11=$H80,"◆",""),IF(AND(DG$11&gt;=$H80,DG$11&lt;=$I80),1,""))</f>
        <v/>
      </c>
      <c r="DH80" s="448" t="str">
        <f aca="false">IF($G80=0,IF(DH$11=$H80,"◆",""),IF(AND(DH$11&gt;=$H80,DH$11&lt;=$I80),1,""))</f>
        <v/>
      </c>
      <c r="DI80" s="448" t="str">
        <f aca="false">IF($G80=0,IF(DI$11=$H80,"◆",""),IF(AND(DI$11&gt;=$H80,DI$11&lt;=$I80),1,""))</f>
        <v/>
      </c>
      <c r="DJ80" s="448" t="str">
        <f aca="false">IF($G80=0,IF(DJ$11=$H80,"◆",""),IF(AND(DJ$11&gt;=$H80,DJ$11&lt;=$I80),1,""))</f>
        <v/>
      </c>
      <c r="DK80" s="448" t="str">
        <f aca="false">IF($G80=0,IF(DK$11=$H80,"◆",""),IF(AND(DK$11&gt;=$H80,DK$11&lt;=$I80),1,""))</f>
        <v/>
      </c>
      <c r="DL80" s="448" t="str">
        <f aca="false">IF($G80=0,IF(DL$11=$H80,"◆",""),IF(AND(DL$11&gt;=$H80,DL$11&lt;=$I80),1,""))</f>
        <v/>
      </c>
      <c r="DM80" s="448" t="str">
        <f aca="false">IF($G80=0,IF(DM$11=$H80,"◆",""),IF(AND(DM$11&gt;=$H80,DM$11&lt;=$I80),1,""))</f>
        <v/>
      </c>
      <c r="DN80" s="448" t="str">
        <f aca="false">IF($G80=0,IF(DN$11=$H80,"◆",""),IF(AND(DN$11&gt;=$H80,DN$11&lt;=$I80),1,""))</f>
        <v/>
      </c>
      <c r="DO80" s="448" t="str">
        <f aca="false">IF($G80=0,IF(DO$11=$H80,"◆",""),IF(AND(DO$11&gt;=$H80,DO$11&lt;=$I80),1,""))</f>
        <v/>
      </c>
      <c r="DP80" s="448" t="str">
        <f aca="false">IF($G80=0,IF(DP$11=$H80,"◆",""),IF(AND(DP$11&gt;=$H80,DP$11&lt;=$I80),1,""))</f>
        <v/>
      </c>
      <c r="DQ80" s="448" t="str">
        <f aca="false">IF($G80=0,IF(DQ$11=$H80,"◆",""),IF(AND(DQ$11&gt;=$H80,DQ$11&lt;=$I80),1,""))</f>
        <v/>
      </c>
      <c r="DR80" s="448" t="str">
        <f aca="false">IF($G80=0,IF(DR$11=$H80,"◆",""),IF(AND(DR$11&gt;=$H80,DR$11&lt;=$I80),1,""))</f>
        <v/>
      </c>
      <c r="DS80" s="448" t="str">
        <f aca="false">IF($G80=0,IF(DS$11=$H80,"◆",""),IF(AND(DS$11&gt;=$H80,DS$11&lt;=$I80),1,""))</f>
        <v/>
      </c>
      <c r="DT80" s="448" t="str">
        <f aca="false">IF($G80=0,IF(DT$11=$H80,"◆",""),IF(AND(DT$11&gt;=$H80,DT$11&lt;=$I80),1,""))</f>
        <v/>
      </c>
      <c r="DU80" s="448" t="str">
        <f aca="false">IF($G80=0,IF(DU$11=$H80,"◆",""),IF(AND(DU$11&gt;=$H80,DU$11&lt;=$I80),1,""))</f>
        <v/>
      </c>
      <c r="DV80" s="448" t="str">
        <f aca="false">IF($G80=0,IF(DV$11=$H80,"◆",""),IF(AND(DV$11&gt;=$H80,DV$11&lt;=$I80),1,""))</f>
        <v/>
      </c>
      <c r="DW80" s="448" t="str">
        <f aca="false">IF($G80=0,IF(DW$11=$H80,"◆",""),IF(AND(DW$11&gt;=$H80,DW$11&lt;=$I80),1,""))</f>
        <v/>
      </c>
      <c r="DX80" s="448" t="str">
        <f aca="false">IF($G80=0,IF(DX$11=$H80,"◆",""),IF(AND(DX$11&gt;=$H80,DX$11&lt;=$I80),1,""))</f>
        <v/>
      </c>
      <c r="DY80" s="448" t="str">
        <f aca="false">IF($G80=0,IF(DY$11=$H80,"◆",""),IF(AND(DY$11&gt;=$H80,DY$11&lt;=$I80),1,""))</f>
        <v/>
      </c>
      <c r="DZ80" s="448" t="str">
        <f aca="false">IF($G80=0,IF(DZ$11=$H80,"◆",""),IF(AND(DZ$11&gt;=$H80,DZ$11&lt;=$I80),1,""))</f>
        <v/>
      </c>
      <c r="EA80" s="448" t="str">
        <f aca="false">IF($G80=0,IF(EA$11=$H80,"◆",""),IF(AND(EA$11&gt;=$H80,EA$11&lt;=$I80),1,""))</f>
        <v/>
      </c>
      <c r="EB80" s="448" t="str">
        <f aca="false">IF($G80=0,IF(EB$11=$H80,"◆",""),IF(AND(EB$11&gt;=$H80,EB$11&lt;=$I80),1,""))</f>
        <v/>
      </c>
      <c r="EC80" s="448" t="str">
        <f aca="false">IF($G80=0,IF(EC$11=$H80,"◆",""),IF(AND(EC$11&gt;=$H80,EC$11&lt;=$I80),1,""))</f>
        <v/>
      </c>
      <c r="ED80" s="448" t="str">
        <f aca="false">IF($G80=0,IF(ED$11=$H80,"◆",""),IF(AND(ED$11&gt;=$H80,ED$11&lt;=$I80),1,""))</f>
        <v/>
      </c>
    </row>
    <row r="81" customFormat="false" ht="15" hidden="false" customHeight="true" outlineLevel="0" collapsed="false">
      <c r="A81" s="441" t="s">
        <v>2599</v>
      </c>
      <c r="B81" s="297" t="s">
        <v>2600</v>
      </c>
      <c r="C81" s="442" t="s">
        <v>2499</v>
      </c>
      <c r="D81" s="443" t="s">
        <v>2496</v>
      </c>
      <c r="E81" s="354" t="n">
        <f aca="false">FC_SUPUESTOS!$C$23-FC_SUPUESTOS!$C$21</f>
        <v>8</v>
      </c>
      <c r="F81" s="352" t="n">
        <v>2</v>
      </c>
      <c r="G81" s="352" t="n">
        <v>6</v>
      </c>
      <c r="H81" s="367" t="n">
        <f aca="false">MAX(1,ROUND(($E81-1)*$D$5,0)+1+$F81)</f>
        <v>33</v>
      </c>
      <c r="I81" s="367" t="n">
        <f aca="false">MAX($H81,$H81+$G81-1)</f>
        <v>38</v>
      </c>
      <c r="J81" s="444" t="n">
        <f aca="false">$D$4+($H81-1)*7</f>
        <v>46524</v>
      </c>
      <c r="K81" s="444" t="n">
        <f aca="false">$D$4+$I81*7-1</f>
        <v>46565</v>
      </c>
      <c r="L81" s="445" t="n">
        <f aca="false">ROUNDUP($H81/$D$5,0)</f>
        <v>8</v>
      </c>
      <c r="M81" s="446" t="s">
        <v>2453</v>
      </c>
      <c r="N81" s="447" t="n">
        <v>0</v>
      </c>
      <c r="O81" s="448" t="str">
        <f aca="false">IF($G81=0,IF(O$11=$H81,"◆",""),IF(AND(O$11&gt;=$H81,O$11&lt;=$I81),1,""))</f>
        <v/>
      </c>
      <c r="P81" s="448" t="str">
        <f aca="false">IF($G81=0,IF(P$11=$H81,"◆",""),IF(AND(P$11&gt;=$H81,P$11&lt;=$I81),1,""))</f>
        <v/>
      </c>
      <c r="Q81" s="448" t="str">
        <f aca="false">IF($G81=0,IF(Q$11=$H81,"◆",""),IF(AND(Q$11&gt;=$H81,Q$11&lt;=$I81),1,""))</f>
        <v/>
      </c>
      <c r="R81" s="448" t="str">
        <f aca="false">IF($G81=0,IF(R$11=$H81,"◆",""),IF(AND(R$11&gt;=$H81,R$11&lt;=$I81),1,""))</f>
        <v/>
      </c>
      <c r="S81" s="448" t="str">
        <f aca="false">IF($G81=0,IF(S$11=$H81,"◆",""),IF(AND(S$11&gt;=$H81,S$11&lt;=$I81),1,""))</f>
        <v/>
      </c>
      <c r="T81" s="448" t="str">
        <f aca="false">IF($G81=0,IF(T$11=$H81,"◆",""),IF(AND(T$11&gt;=$H81,T$11&lt;=$I81),1,""))</f>
        <v/>
      </c>
      <c r="U81" s="448" t="str">
        <f aca="false">IF($G81=0,IF(U$11=$H81,"◆",""),IF(AND(U$11&gt;=$H81,U$11&lt;=$I81),1,""))</f>
        <v/>
      </c>
      <c r="V81" s="448" t="str">
        <f aca="false">IF($G81=0,IF(V$11=$H81,"◆",""),IF(AND(V$11&gt;=$H81,V$11&lt;=$I81),1,""))</f>
        <v/>
      </c>
      <c r="W81" s="448" t="str">
        <f aca="false">IF($G81=0,IF(W$11=$H81,"◆",""),IF(AND(W$11&gt;=$H81,W$11&lt;=$I81),1,""))</f>
        <v/>
      </c>
      <c r="X81" s="448" t="str">
        <f aca="false">IF($G81=0,IF(X$11=$H81,"◆",""),IF(AND(X$11&gt;=$H81,X$11&lt;=$I81),1,""))</f>
        <v/>
      </c>
      <c r="Y81" s="448" t="str">
        <f aca="false">IF($G81=0,IF(Y$11=$H81,"◆",""),IF(AND(Y$11&gt;=$H81,Y$11&lt;=$I81),1,""))</f>
        <v/>
      </c>
      <c r="Z81" s="448" t="str">
        <f aca="false">IF($G81=0,IF(Z$11=$H81,"◆",""),IF(AND(Z$11&gt;=$H81,Z$11&lt;=$I81),1,""))</f>
        <v/>
      </c>
      <c r="AA81" s="448" t="str">
        <f aca="false">IF($G81=0,IF(AA$11=$H81,"◆",""),IF(AND(AA$11&gt;=$H81,AA$11&lt;=$I81),1,""))</f>
        <v/>
      </c>
      <c r="AB81" s="448" t="str">
        <f aca="false">IF($G81=0,IF(AB$11=$H81,"◆",""),IF(AND(AB$11&gt;=$H81,AB$11&lt;=$I81),1,""))</f>
        <v/>
      </c>
      <c r="AC81" s="448" t="str">
        <f aca="false">IF($G81=0,IF(AC$11=$H81,"◆",""),IF(AND(AC$11&gt;=$H81,AC$11&lt;=$I81),1,""))</f>
        <v/>
      </c>
      <c r="AD81" s="448" t="str">
        <f aca="false">IF($G81=0,IF(AD$11=$H81,"◆",""),IF(AND(AD$11&gt;=$H81,AD$11&lt;=$I81),1,""))</f>
        <v/>
      </c>
      <c r="AE81" s="448" t="str">
        <f aca="false">IF($G81=0,IF(AE$11=$H81,"◆",""),IF(AND(AE$11&gt;=$H81,AE$11&lt;=$I81),1,""))</f>
        <v/>
      </c>
      <c r="AF81" s="448" t="str">
        <f aca="false">IF($G81=0,IF(AF$11=$H81,"◆",""),IF(AND(AF$11&gt;=$H81,AF$11&lt;=$I81),1,""))</f>
        <v/>
      </c>
      <c r="AG81" s="448" t="str">
        <f aca="false">IF($G81=0,IF(AG$11=$H81,"◆",""),IF(AND(AG$11&gt;=$H81,AG$11&lt;=$I81),1,""))</f>
        <v/>
      </c>
      <c r="AH81" s="448" t="str">
        <f aca="false">IF($G81=0,IF(AH$11=$H81,"◆",""),IF(AND(AH$11&gt;=$H81,AH$11&lt;=$I81),1,""))</f>
        <v/>
      </c>
      <c r="AI81" s="448" t="str">
        <f aca="false">IF($G81=0,IF(AI$11=$H81,"◆",""),IF(AND(AI$11&gt;=$H81,AI$11&lt;=$I81),1,""))</f>
        <v/>
      </c>
      <c r="AJ81" s="448" t="str">
        <f aca="false">IF($G81=0,IF(AJ$11=$H81,"◆",""),IF(AND(AJ$11&gt;=$H81,AJ$11&lt;=$I81),1,""))</f>
        <v/>
      </c>
      <c r="AK81" s="448" t="str">
        <f aca="false">IF($G81=0,IF(AK$11=$H81,"◆",""),IF(AND(AK$11&gt;=$H81,AK$11&lt;=$I81),1,""))</f>
        <v/>
      </c>
      <c r="AL81" s="448" t="str">
        <f aca="false">IF($G81=0,IF(AL$11=$H81,"◆",""),IF(AND(AL$11&gt;=$H81,AL$11&lt;=$I81),1,""))</f>
        <v/>
      </c>
      <c r="AM81" s="448" t="str">
        <f aca="false">IF($G81=0,IF(AM$11=$H81,"◆",""),IF(AND(AM$11&gt;=$H81,AM$11&lt;=$I81),1,""))</f>
        <v/>
      </c>
      <c r="AN81" s="448" t="str">
        <f aca="false">IF($G81=0,IF(AN$11=$H81,"◆",""),IF(AND(AN$11&gt;=$H81,AN$11&lt;=$I81),1,""))</f>
        <v/>
      </c>
      <c r="AO81" s="448" t="str">
        <f aca="false">IF($G81=0,IF(AO$11=$H81,"◆",""),IF(AND(AO$11&gt;=$H81,AO$11&lt;=$I81),1,""))</f>
        <v/>
      </c>
      <c r="AP81" s="448" t="str">
        <f aca="false">IF($G81=0,IF(AP$11=$H81,"◆",""),IF(AND(AP$11&gt;=$H81,AP$11&lt;=$I81),1,""))</f>
        <v/>
      </c>
      <c r="AQ81" s="448" t="str">
        <f aca="false">IF($G81=0,IF(AQ$11=$H81,"◆",""),IF(AND(AQ$11&gt;=$H81,AQ$11&lt;=$I81),1,""))</f>
        <v/>
      </c>
      <c r="AR81" s="448" t="str">
        <f aca="false">IF($G81=0,IF(AR$11=$H81,"◆",""),IF(AND(AR$11&gt;=$H81,AR$11&lt;=$I81),1,""))</f>
        <v/>
      </c>
      <c r="AS81" s="448" t="str">
        <f aca="false">IF($G81=0,IF(AS$11=$H81,"◆",""),IF(AND(AS$11&gt;=$H81,AS$11&lt;=$I81),1,""))</f>
        <v/>
      </c>
      <c r="AT81" s="448" t="str">
        <f aca="false">IF($G81=0,IF(AT$11=$H81,"◆",""),IF(AND(AT$11&gt;=$H81,AT$11&lt;=$I81),1,""))</f>
        <v/>
      </c>
      <c r="AU81" s="448" t="n">
        <f aca="false">IF($G81=0,IF(AU$11=$H81,"◆",""),IF(AND(AU$11&gt;=$H81,AU$11&lt;=$I81),1,""))</f>
        <v>1</v>
      </c>
      <c r="AV81" s="448" t="n">
        <f aca="false">IF($G81=0,IF(AV$11=$H81,"◆",""),IF(AND(AV$11&gt;=$H81,AV$11&lt;=$I81),1,""))</f>
        <v>1</v>
      </c>
      <c r="AW81" s="448" t="n">
        <f aca="false">IF($G81=0,IF(AW$11=$H81,"◆",""),IF(AND(AW$11&gt;=$H81,AW$11&lt;=$I81),1,""))</f>
        <v>1</v>
      </c>
      <c r="AX81" s="448" t="n">
        <f aca="false">IF($G81=0,IF(AX$11=$H81,"◆",""),IF(AND(AX$11&gt;=$H81,AX$11&lt;=$I81),1,""))</f>
        <v>1</v>
      </c>
      <c r="AY81" s="448" t="n">
        <f aca="false">IF($G81=0,IF(AY$11=$H81,"◆",""),IF(AND(AY$11&gt;=$H81,AY$11&lt;=$I81),1,""))</f>
        <v>1</v>
      </c>
      <c r="AZ81" s="448" t="n">
        <f aca="false">IF($G81=0,IF(AZ$11=$H81,"◆",""),IF(AND(AZ$11&gt;=$H81,AZ$11&lt;=$I81),1,""))</f>
        <v>1</v>
      </c>
      <c r="BA81" s="448" t="str">
        <f aca="false">IF($G81=0,IF(BA$11=$H81,"◆",""),IF(AND(BA$11&gt;=$H81,BA$11&lt;=$I81),1,""))</f>
        <v/>
      </c>
      <c r="BB81" s="448" t="str">
        <f aca="false">IF($G81=0,IF(BB$11=$H81,"◆",""),IF(AND(BB$11&gt;=$H81,BB$11&lt;=$I81),1,""))</f>
        <v/>
      </c>
      <c r="BC81" s="448" t="str">
        <f aca="false">IF($G81=0,IF(BC$11=$H81,"◆",""),IF(AND(BC$11&gt;=$H81,BC$11&lt;=$I81),1,""))</f>
        <v/>
      </c>
      <c r="BD81" s="448" t="str">
        <f aca="false">IF($G81=0,IF(BD$11=$H81,"◆",""),IF(AND(BD$11&gt;=$H81,BD$11&lt;=$I81),1,""))</f>
        <v/>
      </c>
      <c r="BE81" s="448" t="str">
        <f aca="false">IF($G81=0,IF(BE$11=$H81,"◆",""),IF(AND(BE$11&gt;=$H81,BE$11&lt;=$I81),1,""))</f>
        <v/>
      </c>
      <c r="BF81" s="448" t="str">
        <f aca="false">IF($G81=0,IF(BF$11=$H81,"◆",""),IF(AND(BF$11&gt;=$H81,BF$11&lt;=$I81),1,""))</f>
        <v/>
      </c>
      <c r="BG81" s="448" t="str">
        <f aca="false">IF($G81=0,IF(BG$11=$H81,"◆",""),IF(AND(BG$11&gt;=$H81,BG$11&lt;=$I81),1,""))</f>
        <v/>
      </c>
      <c r="BH81" s="448" t="str">
        <f aca="false">IF($G81=0,IF(BH$11=$H81,"◆",""),IF(AND(BH$11&gt;=$H81,BH$11&lt;=$I81),1,""))</f>
        <v/>
      </c>
      <c r="BI81" s="448" t="str">
        <f aca="false">IF($G81=0,IF(BI$11=$H81,"◆",""),IF(AND(BI$11&gt;=$H81,BI$11&lt;=$I81),1,""))</f>
        <v/>
      </c>
      <c r="BJ81" s="448" t="str">
        <f aca="false">IF($G81=0,IF(BJ$11=$H81,"◆",""),IF(AND(BJ$11&gt;=$H81,BJ$11&lt;=$I81),1,""))</f>
        <v/>
      </c>
      <c r="BK81" s="448" t="str">
        <f aca="false">IF($G81=0,IF(BK$11=$H81,"◆",""),IF(AND(BK$11&gt;=$H81,BK$11&lt;=$I81),1,""))</f>
        <v/>
      </c>
      <c r="BL81" s="448" t="str">
        <f aca="false">IF($G81=0,IF(BL$11=$H81,"◆",""),IF(AND(BL$11&gt;=$H81,BL$11&lt;=$I81),1,""))</f>
        <v/>
      </c>
      <c r="BM81" s="448" t="str">
        <f aca="false">IF($G81=0,IF(BM$11=$H81,"◆",""),IF(AND(BM$11&gt;=$H81,BM$11&lt;=$I81),1,""))</f>
        <v/>
      </c>
      <c r="BN81" s="448" t="str">
        <f aca="false">IF($G81=0,IF(BN$11=$H81,"◆",""),IF(AND(BN$11&gt;=$H81,BN$11&lt;=$I81),1,""))</f>
        <v/>
      </c>
      <c r="BO81" s="448" t="str">
        <f aca="false">IF($G81=0,IF(BO$11=$H81,"◆",""),IF(AND(BO$11&gt;=$H81,BO$11&lt;=$I81),1,""))</f>
        <v/>
      </c>
      <c r="BP81" s="448" t="str">
        <f aca="false">IF($G81=0,IF(BP$11=$H81,"◆",""),IF(AND(BP$11&gt;=$H81,BP$11&lt;=$I81),1,""))</f>
        <v/>
      </c>
      <c r="BQ81" s="448" t="str">
        <f aca="false">IF($G81=0,IF(BQ$11=$H81,"◆",""),IF(AND(BQ$11&gt;=$H81,BQ$11&lt;=$I81),1,""))</f>
        <v/>
      </c>
      <c r="BR81" s="448" t="str">
        <f aca="false">IF($G81=0,IF(BR$11=$H81,"◆",""),IF(AND(BR$11&gt;=$H81,BR$11&lt;=$I81),1,""))</f>
        <v/>
      </c>
      <c r="BS81" s="448" t="str">
        <f aca="false">IF($G81=0,IF(BS$11=$H81,"◆",""),IF(AND(BS$11&gt;=$H81,BS$11&lt;=$I81),1,""))</f>
        <v/>
      </c>
      <c r="BT81" s="448" t="str">
        <f aca="false">IF($G81=0,IF(BT$11=$H81,"◆",""),IF(AND(BT$11&gt;=$H81,BT$11&lt;=$I81),1,""))</f>
        <v/>
      </c>
      <c r="BU81" s="448" t="str">
        <f aca="false">IF($G81=0,IF(BU$11=$H81,"◆",""),IF(AND(BU$11&gt;=$H81,BU$11&lt;=$I81),1,""))</f>
        <v/>
      </c>
      <c r="BV81" s="448" t="str">
        <f aca="false">IF($G81=0,IF(BV$11=$H81,"◆",""),IF(AND(BV$11&gt;=$H81,BV$11&lt;=$I81),1,""))</f>
        <v/>
      </c>
      <c r="BW81" s="448" t="str">
        <f aca="false">IF($G81=0,IF(BW$11=$H81,"◆",""),IF(AND(BW$11&gt;=$H81,BW$11&lt;=$I81),1,""))</f>
        <v/>
      </c>
      <c r="BX81" s="448" t="str">
        <f aca="false">IF($G81=0,IF(BX$11=$H81,"◆",""),IF(AND(BX$11&gt;=$H81,BX$11&lt;=$I81),1,""))</f>
        <v/>
      </c>
      <c r="BY81" s="448" t="str">
        <f aca="false">IF($G81=0,IF(BY$11=$H81,"◆",""),IF(AND(BY$11&gt;=$H81,BY$11&lt;=$I81),1,""))</f>
        <v/>
      </c>
      <c r="BZ81" s="448" t="str">
        <f aca="false">IF($G81=0,IF(BZ$11=$H81,"◆",""),IF(AND(BZ$11&gt;=$H81,BZ$11&lt;=$I81),1,""))</f>
        <v/>
      </c>
      <c r="CA81" s="448" t="str">
        <f aca="false">IF($G81=0,IF(CA$11=$H81,"◆",""),IF(AND(CA$11&gt;=$H81,CA$11&lt;=$I81),1,""))</f>
        <v/>
      </c>
      <c r="CB81" s="448" t="str">
        <f aca="false">IF($G81=0,IF(CB$11=$H81,"◆",""),IF(AND(CB$11&gt;=$H81,CB$11&lt;=$I81),1,""))</f>
        <v/>
      </c>
      <c r="CC81" s="448" t="str">
        <f aca="false">IF($G81=0,IF(CC$11=$H81,"◆",""),IF(AND(CC$11&gt;=$H81,CC$11&lt;=$I81),1,""))</f>
        <v/>
      </c>
      <c r="CD81" s="448" t="str">
        <f aca="false">IF($G81=0,IF(CD$11=$H81,"◆",""),IF(AND(CD$11&gt;=$H81,CD$11&lt;=$I81),1,""))</f>
        <v/>
      </c>
      <c r="CE81" s="448" t="str">
        <f aca="false">IF($G81=0,IF(CE$11=$H81,"◆",""),IF(AND(CE$11&gt;=$H81,CE$11&lt;=$I81),1,""))</f>
        <v/>
      </c>
      <c r="CF81" s="448" t="str">
        <f aca="false">IF($G81=0,IF(CF$11=$H81,"◆",""),IF(AND(CF$11&gt;=$H81,CF$11&lt;=$I81),1,""))</f>
        <v/>
      </c>
      <c r="CG81" s="448" t="str">
        <f aca="false">IF($G81=0,IF(CG$11=$H81,"◆",""),IF(AND(CG$11&gt;=$H81,CG$11&lt;=$I81),1,""))</f>
        <v/>
      </c>
      <c r="CH81" s="448" t="str">
        <f aca="false">IF($G81=0,IF(CH$11=$H81,"◆",""),IF(AND(CH$11&gt;=$H81,CH$11&lt;=$I81),1,""))</f>
        <v/>
      </c>
      <c r="CI81" s="448" t="str">
        <f aca="false">IF($G81=0,IF(CI$11=$H81,"◆",""),IF(AND(CI$11&gt;=$H81,CI$11&lt;=$I81),1,""))</f>
        <v/>
      </c>
      <c r="CJ81" s="448" t="str">
        <f aca="false">IF($G81=0,IF(CJ$11=$H81,"◆",""),IF(AND(CJ$11&gt;=$H81,CJ$11&lt;=$I81),1,""))</f>
        <v/>
      </c>
      <c r="CK81" s="448" t="str">
        <f aca="false">IF($G81=0,IF(CK$11=$H81,"◆",""),IF(AND(CK$11&gt;=$H81,CK$11&lt;=$I81),1,""))</f>
        <v/>
      </c>
      <c r="CL81" s="448" t="str">
        <f aca="false">IF($G81=0,IF(CL$11=$H81,"◆",""),IF(AND(CL$11&gt;=$H81,CL$11&lt;=$I81),1,""))</f>
        <v/>
      </c>
      <c r="CM81" s="448" t="str">
        <f aca="false">IF($G81=0,IF(CM$11=$H81,"◆",""),IF(AND(CM$11&gt;=$H81,CM$11&lt;=$I81),1,""))</f>
        <v/>
      </c>
      <c r="CN81" s="448" t="str">
        <f aca="false">IF($G81=0,IF(CN$11=$H81,"◆",""),IF(AND(CN$11&gt;=$H81,CN$11&lt;=$I81),1,""))</f>
        <v/>
      </c>
      <c r="CO81" s="448" t="str">
        <f aca="false">IF($G81=0,IF(CO$11=$H81,"◆",""),IF(AND(CO$11&gt;=$H81,CO$11&lt;=$I81),1,""))</f>
        <v/>
      </c>
      <c r="CP81" s="448" t="str">
        <f aca="false">IF($G81=0,IF(CP$11=$H81,"◆",""),IF(AND(CP$11&gt;=$H81,CP$11&lt;=$I81),1,""))</f>
        <v/>
      </c>
      <c r="CQ81" s="448" t="str">
        <f aca="false">IF($G81=0,IF(CQ$11=$H81,"◆",""),IF(AND(CQ$11&gt;=$H81,CQ$11&lt;=$I81),1,""))</f>
        <v/>
      </c>
      <c r="CR81" s="448" t="str">
        <f aca="false">IF($G81=0,IF(CR$11=$H81,"◆",""),IF(AND(CR$11&gt;=$H81,CR$11&lt;=$I81),1,""))</f>
        <v/>
      </c>
      <c r="CS81" s="448" t="str">
        <f aca="false">IF($G81=0,IF(CS$11=$H81,"◆",""),IF(AND(CS$11&gt;=$H81,CS$11&lt;=$I81),1,""))</f>
        <v/>
      </c>
      <c r="CT81" s="448" t="str">
        <f aca="false">IF($G81=0,IF(CT$11=$H81,"◆",""),IF(AND(CT$11&gt;=$H81,CT$11&lt;=$I81),1,""))</f>
        <v/>
      </c>
      <c r="CU81" s="448" t="str">
        <f aca="false">IF($G81=0,IF(CU$11=$H81,"◆",""),IF(AND(CU$11&gt;=$H81,CU$11&lt;=$I81),1,""))</f>
        <v/>
      </c>
      <c r="CV81" s="448" t="str">
        <f aca="false">IF($G81=0,IF(CV$11=$H81,"◆",""),IF(AND(CV$11&gt;=$H81,CV$11&lt;=$I81),1,""))</f>
        <v/>
      </c>
      <c r="CW81" s="448" t="str">
        <f aca="false">IF($G81=0,IF(CW$11=$H81,"◆",""),IF(AND(CW$11&gt;=$H81,CW$11&lt;=$I81),1,""))</f>
        <v/>
      </c>
      <c r="CX81" s="448" t="str">
        <f aca="false">IF($G81=0,IF(CX$11=$H81,"◆",""),IF(AND(CX$11&gt;=$H81,CX$11&lt;=$I81),1,""))</f>
        <v/>
      </c>
      <c r="CY81" s="448" t="str">
        <f aca="false">IF($G81=0,IF(CY$11=$H81,"◆",""),IF(AND(CY$11&gt;=$H81,CY$11&lt;=$I81),1,""))</f>
        <v/>
      </c>
      <c r="CZ81" s="448" t="str">
        <f aca="false">IF($G81=0,IF(CZ$11=$H81,"◆",""),IF(AND(CZ$11&gt;=$H81,CZ$11&lt;=$I81),1,""))</f>
        <v/>
      </c>
      <c r="DA81" s="448" t="str">
        <f aca="false">IF($G81=0,IF(DA$11=$H81,"◆",""),IF(AND(DA$11&gt;=$H81,DA$11&lt;=$I81),1,""))</f>
        <v/>
      </c>
      <c r="DB81" s="448" t="str">
        <f aca="false">IF($G81=0,IF(DB$11=$H81,"◆",""),IF(AND(DB$11&gt;=$H81,DB$11&lt;=$I81),1,""))</f>
        <v/>
      </c>
      <c r="DC81" s="448" t="str">
        <f aca="false">IF($G81=0,IF(DC$11=$H81,"◆",""),IF(AND(DC$11&gt;=$H81,DC$11&lt;=$I81),1,""))</f>
        <v/>
      </c>
      <c r="DD81" s="448" t="str">
        <f aca="false">IF($G81=0,IF(DD$11=$H81,"◆",""),IF(AND(DD$11&gt;=$H81,DD$11&lt;=$I81),1,""))</f>
        <v/>
      </c>
      <c r="DE81" s="448" t="str">
        <f aca="false">IF($G81=0,IF(DE$11=$H81,"◆",""),IF(AND(DE$11&gt;=$H81,DE$11&lt;=$I81),1,""))</f>
        <v/>
      </c>
      <c r="DF81" s="448" t="str">
        <f aca="false">IF($G81=0,IF(DF$11=$H81,"◆",""),IF(AND(DF$11&gt;=$H81,DF$11&lt;=$I81),1,""))</f>
        <v/>
      </c>
      <c r="DG81" s="448" t="str">
        <f aca="false">IF($G81=0,IF(DG$11=$H81,"◆",""),IF(AND(DG$11&gt;=$H81,DG$11&lt;=$I81),1,""))</f>
        <v/>
      </c>
      <c r="DH81" s="448" t="str">
        <f aca="false">IF($G81=0,IF(DH$11=$H81,"◆",""),IF(AND(DH$11&gt;=$H81,DH$11&lt;=$I81),1,""))</f>
        <v/>
      </c>
      <c r="DI81" s="448" t="str">
        <f aca="false">IF($G81=0,IF(DI$11=$H81,"◆",""),IF(AND(DI$11&gt;=$H81,DI$11&lt;=$I81),1,""))</f>
        <v/>
      </c>
      <c r="DJ81" s="448" t="str">
        <f aca="false">IF($G81=0,IF(DJ$11=$H81,"◆",""),IF(AND(DJ$11&gt;=$H81,DJ$11&lt;=$I81),1,""))</f>
        <v/>
      </c>
      <c r="DK81" s="448" t="str">
        <f aca="false">IF($G81=0,IF(DK$11=$H81,"◆",""),IF(AND(DK$11&gt;=$H81,DK$11&lt;=$I81),1,""))</f>
        <v/>
      </c>
      <c r="DL81" s="448" t="str">
        <f aca="false">IF($G81=0,IF(DL$11=$H81,"◆",""),IF(AND(DL$11&gt;=$H81,DL$11&lt;=$I81),1,""))</f>
        <v/>
      </c>
      <c r="DM81" s="448" t="str">
        <f aca="false">IF($G81=0,IF(DM$11=$H81,"◆",""),IF(AND(DM$11&gt;=$H81,DM$11&lt;=$I81),1,""))</f>
        <v/>
      </c>
      <c r="DN81" s="448" t="str">
        <f aca="false">IF($G81=0,IF(DN$11=$H81,"◆",""),IF(AND(DN$11&gt;=$H81,DN$11&lt;=$I81),1,""))</f>
        <v/>
      </c>
      <c r="DO81" s="448" t="str">
        <f aca="false">IF($G81=0,IF(DO$11=$H81,"◆",""),IF(AND(DO$11&gt;=$H81,DO$11&lt;=$I81),1,""))</f>
        <v/>
      </c>
      <c r="DP81" s="448" t="str">
        <f aca="false">IF($G81=0,IF(DP$11=$H81,"◆",""),IF(AND(DP$11&gt;=$H81,DP$11&lt;=$I81),1,""))</f>
        <v/>
      </c>
      <c r="DQ81" s="448" t="str">
        <f aca="false">IF($G81=0,IF(DQ$11=$H81,"◆",""),IF(AND(DQ$11&gt;=$H81,DQ$11&lt;=$I81),1,""))</f>
        <v/>
      </c>
      <c r="DR81" s="448" t="str">
        <f aca="false">IF($G81=0,IF(DR$11=$H81,"◆",""),IF(AND(DR$11&gt;=$H81,DR$11&lt;=$I81),1,""))</f>
        <v/>
      </c>
      <c r="DS81" s="448" t="str">
        <f aca="false">IF($G81=0,IF(DS$11=$H81,"◆",""),IF(AND(DS$11&gt;=$H81,DS$11&lt;=$I81),1,""))</f>
        <v/>
      </c>
      <c r="DT81" s="448" t="str">
        <f aca="false">IF($G81=0,IF(DT$11=$H81,"◆",""),IF(AND(DT$11&gt;=$H81,DT$11&lt;=$I81),1,""))</f>
        <v/>
      </c>
      <c r="DU81" s="448" t="str">
        <f aca="false">IF($G81=0,IF(DU$11=$H81,"◆",""),IF(AND(DU$11&gt;=$H81,DU$11&lt;=$I81),1,""))</f>
        <v/>
      </c>
      <c r="DV81" s="448" t="str">
        <f aca="false">IF($G81=0,IF(DV$11=$H81,"◆",""),IF(AND(DV$11&gt;=$H81,DV$11&lt;=$I81),1,""))</f>
        <v/>
      </c>
      <c r="DW81" s="448" t="str">
        <f aca="false">IF($G81=0,IF(DW$11=$H81,"◆",""),IF(AND(DW$11&gt;=$H81,DW$11&lt;=$I81),1,""))</f>
        <v/>
      </c>
      <c r="DX81" s="448" t="str">
        <f aca="false">IF($G81=0,IF(DX$11=$H81,"◆",""),IF(AND(DX$11&gt;=$H81,DX$11&lt;=$I81),1,""))</f>
        <v/>
      </c>
      <c r="DY81" s="448" t="str">
        <f aca="false">IF($G81=0,IF(DY$11=$H81,"◆",""),IF(AND(DY$11&gt;=$H81,DY$11&lt;=$I81),1,""))</f>
        <v/>
      </c>
      <c r="DZ81" s="448" t="str">
        <f aca="false">IF($G81=0,IF(DZ$11=$H81,"◆",""),IF(AND(DZ$11&gt;=$H81,DZ$11&lt;=$I81),1,""))</f>
        <v/>
      </c>
      <c r="EA81" s="448" t="str">
        <f aca="false">IF($G81=0,IF(EA$11=$H81,"◆",""),IF(AND(EA$11&gt;=$H81,EA$11&lt;=$I81),1,""))</f>
        <v/>
      </c>
      <c r="EB81" s="448" t="str">
        <f aca="false">IF($G81=0,IF(EB$11=$H81,"◆",""),IF(AND(EB$11&gt;=$H81,EB$11&lt;=$I81),1,""))</f>
        <v/>
      </c>
      <c r="EC81" s="448" t="str">
        <f aca="false">IF($G81=0,IF(EC$11=$H81,"◆",""),IF(AND(EC$11&gt;=$H81,EC$11&lt;=$I81),1,""))</f>
        <v/>
      </c>
      <c r="ED81" s="448" t="str">
        <f aca="false">IF($G81=0,IF(ED$11=$H81,"◆",""),IF(AND(ED$11&gt;=$H81,ED$11&lt;=$I81),1,""))</f>
        <v/>
      </c>
    </row>
    <row r="82" customFormat="false" ht="15" hidden="false" customHeight="true" outlineLevel="0" collapsed="false">
      <c r="A82" s="441" t="s">
        <v>2601</v>
      </c>
      <c r="B82" s="297" t="s">
        <v>2602</v>
      </c>
      <c r="C82" s="442" t="s">
        <v>2603</v>
      </c>
      <c r="D82" s="443" t="s">
        <v>2496</v>
      </c>
      <c r="E82" s="354" t="n">
        <f aca="false">FC_SUPUESTOS!$C$23-FC_SUPUESTOS!$C$21</f>
        <v>8</v>
      </c>
      <c r="F82" s="352" t="n">
        <v>3</v>
      </c>
      <c r="G82" s="352" t="n">
        <v>5</v>
      </c>
      <c r="H82" s="367" t="n">
        <f aca="false">MAX(1,ROUND(($E82-1)*$D$5,0)+1+$F82)</f>
        <v>34</v>
      </c>
      <c r="I82" s="367" t="n">
        <f aca="false">MAX($H82,$H82+$G82-1)</f>
        <v>38</v>
      </c>
      <c r="J82" s="444" t="n">
        <f aca="false">$D$4+($H82-1)*7</f>
        <v>46531</v>
      </c>
      <c r="K82" s="444" t="n">
        <f aca="false">$D$4+$I82*7-1</f>
        <v>46565</v>
      </c>
      <c r="L82" s="445" t="n">
        <f aca="false">ROUNDUP($H82/$D$5,0)</f>
        <v>8</v>
      </c>
      <c r="M82" s="446"/>
      <c r="N82" s="447" t="n">
        <v>0</v>
      </c>
      <c r="O82" s="448" t="str">
        <f aca="false">IF($G82=0,IF(O$11=$H82,"◆",""),IF(AND(O$11&gt;=$H82,O$11&lt;=$I82),1,""))</f>
        <v/>
      </c>
      <c r="P82" s="448" t="str">
        <f aca="false">IF($G82=0,IF(P$11=$H82,"◆",""),IF(AND(P$11&gt;=$H82,P$11&lt;=$I82),1,""))</f>
        <v/>
      </c>
      <c r="Q82" s="448" t="str">
        <f aca="false">IF($G82=0,IF(Q$11=$H82,"◆",""),IF(AND(Q$11&gt;=$H82,Q$11&lt;=$I82),1,""))</f>
        <v/>
      </c>
      <c r="R82" s="448" t="str">
        <f aca="false">IF($G82=0,IF(R$11=$H82,"◆",""),IF(AND(R$11&gt;=$H82,R$11&lt;=$I82),1,""))</f>
        <v/>
      </c>
      <c r="S82" s="448" t="str">
        <f aca="false">IF($G82=0,IF(S$11=$H82,"◆",""),IF(AND(S$11&gt;=$H82,S$11&lt;=$I82),1,""))</f>
        <v/>
      </c>
      <c r="T82" s="448" t="str">
        <f aca="false">IF($G82=0,IF(T$11=$H82,"◆",""),IF(AND(T$11&gt;=$H82,T$11&lt;=$I82),1,""))</f>
        <v/>
      </c>
      <c r="U82" s="448" t="str">
        <f aca="false">IF($G82=0,IF(U$11=$H82,"◆",""),IF(AND(U$11&gt;=$H82,U$11&lt;=$I82),1,""))</f>
        <v/>
      </c>
      <c r="V82" s="448" t="str">
        <f aca="false">IF($G82=0,IF(V$11=$H82,"◆",""),IF(AND(V$11&gt;=$H82,V$11&lt;=$I82),1,""))</f>
        <v/>
      </c>
      <c r="W82" s="448" t="str">
        <f aca="false">IF($G82=0,IF(W$11=$H82,"◆",""),IF(AND(W$11&gt;=$H82,W$11&lt;=$I82),1,""))</f>
        <v/>
      </c>
      <c r="X82" s="448" t="str">
        <f aca="false">IF($G82=0,IF(X$11=$H82,"◆",""),IF(AND(X$11&gt;=$H82,X$11&lt;=$I82),1,""))</f>
        <v/>
      </c>
      <c r="Y82" s="448" t="str">
        <f aca="false">IF($G82=0,IF(Y$11=$H82,"◆",""),IF(AND(Y$11&gt;=$H82,Y$11&lt;=$I82),1,""))</f>
        <v/>
      </c>
      <c r="Z82" s="448" t="str">
        <f aca="false">IF($G82=0,IF(Z$11=$H82,"◆",""),IF(AND(Z$11&gt;=$H82,Z$11&lt;=$I82),1,""))</f>
        <v/>
      </c>
      <c r="AA82" s="448" t="str">
        <f aca="false">IF($G82=0,IF(AA$11=$H82,"◆",""),IF(AND(AA$11&gt;=$H82,AA$11&lt;=$I82),1,""))</f>
        <v/>
      </c>
      <c r="AB82" s="448" t="str">
        <f aca="false">IF($G82=0,IF(AB$11=$H82,"◆",""),IF(AND(AB$11&gt;=$H82,AB$11&lt;=$I82),1,""))</f>
        <v/>
      </c>
      <c r="AC82" s="448" t="str">
        <f aca="false">IF($G82=0,IF(AC$11=$H82,"◆",""),IF(AND(AC$11&gt;=$H82,AC$11&lt;=$I82),1,""))</f>
        <v/>
      </c>
      <c r="AD82" s="448" t="str">
        <f aca="false">IF($G82=0,IF(AD$11=$H82,"◆",""),IF(AND(AD$11&gt;=$H82,AD$11&lt;=$I82),1,""))</f>
        <v/>
      </c>
      <c r="AE82" s="448" t="str">
        <f aca="false">IF($G82=0,IF(AE$11=$H82,"◆",""),IF(AND(AE$11&gt;=$H82,AE$11&lt;=$I82),1,""))</f>
        <v/>
      </c>
      <c r="AF82" s="448" t="str">
        <f aca="false">IF($G82=0,IF(AF$11=$H82,"◆",""),IF(AND(AF$11&gt;=$H82,AF$11&lt;=$I82),1,""))</f>
        <v/>
      </c>
      <c r="AG82" s="448" t="str">
        <f aca="false">IF($G82=0,IF(AG$11=$H82,"◆",""),IF(AND(AG$11&gt;=$H82,AG$11&lt;=$I82),1,""))</f>
        <v/>
      </c>
      <c r="AH82" s="448" t="str">
        <f aca="false">IF($G82=0,IF(AH$11=$H82,"◆",""),IF(AND(AH$11&gt;=$H82,AH$11&lt;=$I82),1,""))</f>
        <v/>
      </c>
      <c r="AI82" s="448" t="str">
        <f aca="false">IF($G82=0,IF(AI$11=$H82,"◆",""),IF(AND(AI$11&gt;=$H82,AI$11&lt;=$I82),1,""))</f>
        <v/>
      </c>
      <c r="AJ82" s="448" t="str">
        <f aca="false">IF($G82=0,IF(AJ$11=$H82,"◆",""),IF(AND(AJ$11&gt;=$H82,AJ$11&lt;=$I82),1,""))</f>
        <v/>
      </c>
      <c r="AK82" s="448" t="str">
        <f aca="false">IF($G82=0,IF(AK$11=$H82,"◆",""),IF(AND(AK$11&gt;=$H82,AK$11&lt;=$I82),1,""))</f>
        <v/>
      </c>
      <c r="AL82" s="448" t="str">
        <f aca="false">IF($G82=0,IF(AL$11=$H82,"◆",""),IF(AND(AL$11&gt;=$H82,AL$11&lt;=$I82),1,""))</f>
        <v/>
      </c>
      <c r="AM82" s="448" t="str">
        <f aca="false">IF($G82=0,IF(AM$11=$H82,"◆",""),IF(AND(AM$11&gt;=$H82,AM$11&lt;=$I82),1,""))</f>
        <v/>
      </c>
      <c r="AN82" s="448" t="str">
        <f aca="false">IF($G82=0,IF(AN$11=$H82,"◆",""),IF(AND(AN$11&gt;=$H82,AN$11&lt;=$I82),1,""))</f>
        <v/>
      </c>
      <c r="AO82" s="448" t="str">
        <f aca="false">IF($G82=0,IF(AO$11=$H82,"◆",""),IF(AND(AO$11&gt;=$H82,AO$11&lt;=$I82),1,""))</f>
        <v/>
      </c>
      <c r="AP82" s="448" t="str">
        <f aca="false">IF($G82=0,IF(AP$11=$H82,"◆",""),IF(AND(AP$11&gt;=$H82,AP$11&lt;=$I82),1,""))</f>
        <v/>
      </c>
      <c r="AQ82" s="448" t="str">
        <f aca="false">IF($G82=0,IF(AQ$11=$H82,"◆",""),IF(AND(AQ$11&gt;=$H82,AQ$11&lt;=$I82),1,""))</f>
        <v/>
      </c>
      <c r="AR82" s="448" t="str">
        <f aca="false">IF($G82=0,IF(AR$11=$H82,"◆",""),IF(AND(AR$11&gt;=$H82,AR$11&lt;=$I82),1,""))</f>
        <v/>
      </c>
      <c r="AS82" s="448" t="str">
        <f aca="false">IF($G82=0,IF(AS$11=$H82,"◆",""),IF(AND(AS$11&gt;=$H82,AS$11&lt;=$I82),1,""))</f>
        <v/>
      </c>
      <c r="AT82" s="448" t="str">
        <f aca="false">IF($G82=0,IF(AT$11=$H82,"◆",""),IF(AND(AT$11&gt;=$H82,AT$11&lt;=$I82),1,""))</f>
        <v/>
      </c>
      <c r="AU82" s="448" t="str">
        <f aca="false">IF($G82=0,IF(AU$11=$H82,"◆",""),IF(AND(AU$11&gt;=$H82,AU$11&lt;=$I82),1,""))</f>
        <v/>
      </c>
      <c r="AV82" s="448" t="n">
        <f aca="false">IF($G82=0,IF(AV$11=$H82,"◆",""),IF(AND(AV$11&gt;=$H82,AV$11&lt;=$I82),1,""))</f>
        <v>1</v>
      </c>
      <c r="AW82" s="448" t="n">
        <f aca="false">IF($G82=0,IF(AW$11=$H82,"◆",""),IF(AND(AW$11&gt;=$H82,AW$11&lt;=$I82),1,""))</f>
        <v>1</v>
      </c>
      <c r="AX82" s="448" t="n">
        <f aca="false">IF($G82=0,IF(AX$11=$H82,"◆",""),IF(AND(AX$11&gt;=$H82,AX$11&lt;=$I82),1,""))</f>
        <v>1</v>
      </c>
      <c r="AY82" s="448" t="n">
        <f aca="false">IF($G82=0,IF(AY$11=$H82,"◆",""),IF(AND(AY$11&gt;=$H82,AY$11&lt;=$I82),1,""))</f>
        <v>1</v>
      </c>
      <c r="AZ82" s="448" t="n">
        <f aca="false">IF($G82=0,IF(AZ$11=$H82,"◆",""),IF(AND(AZ$11&gt;=$H82,AZ$11&lt;=$I82),1,""))</f>
        <v>1</v>
      </c>
      <c r="BA82" s="448" t="str">
        <f aca="false">IF($G82=0,IF(BA$11=$H82,"◆",""),IF(AND(BA$11&gt;=$H82,BA$11&lt;=$I82),1,""))</f>
        <v/>
      </c>
      <c r="BB82" s="448" t="str">
        <f aca="false">IF($G82=0,IF(BB$11=$H82,"◆",""),IF(AND(BB$11&gt;=$H82,BB$11&lt;=$I82),1,""))</f>
        <v/>
      </c>
      <c r="BC82" s="448" t="str">
        <f aca="false">IF($G82=0,IF(BC$11=$H82,"◆",""),IF(AND(BC$11&gt;=$H82,BC$11&lt;=$I82),1,""))</f>
        <v/>
      </c>
      <c r="BD82" s="448" t="str">
        <f aca="false">IF($G82=0,IF(BD$11=$H82,"◆",""),IF(AND(BD$11&gt;=$H82,BD$11&lt;=$I82),1,""))</f>
        <v/>
      </c>
      <c r="BE82" s="448" t="str">
        <f aca="false">IF($G82=0,IF(BE$11=$H82,"◆",""),IF(AND(BE$11&gt;=$H82,BE$11&lt;=$I82),1,""))</f>
        <v/>
      </c>
      <c r="BF82" s="448" t="str">
        <f aca="false">IF($G82=0,IF(BF$11=$H82,"◆",""),IF(AND(BF$11&gt;=$H82,BF$11&lt;=$I82),1,""))</f>
        <v/>
      </c>
      <c r="BG82" s="448" t="str">
        <f aca="false">IF($G82=0,IF(BG$11=$H82,"◆",""),IF(AND(BG$11&gt;=$H82,BG$11&lt;=$I82),1,""))</f>
        <v/>
      </c>
      <c r="BH82" s="448" t="str">
        <f aca="false">IF($G82=0,IF(BH$11=$H82,"◆",""),IF(AND(BH$11&gt;=$H82,BH$11&lt;=$I82),1,""))</f>
        <v/>
      </c>
      <c r="BI82" s="448" t="str">
        <f aca="false">IF($G82=0,IF(BI$11=$H82,"◆",""),IF(AND(BI$11&gt;=$H82,BI$11&lt;=$I82),1,""))</f>
        <v/>
      </c>
      <c r="BJ82" s="448" t="str">
        <f aca="false">IF($G82=0,IF(BJ$11=$H82,"◆",""),IF(AND(BJ$11&gt;=$H82,BJ$11&lt;=$I82),1,""))</f>
        <v/>
      </c>
      <c r="BK82" s="448" t="str">
        <f aca="false">IF($G82=0,IF(BK$11=$H82,"◆",""),IF(AND(BK$11&gt;=$H82,BK$11&lt;=$I82),1,""))</f>
        <v/>
      </c>
      <c r="BL82" s="448" t="str">
        <f aca="false">IF($G82=0,IF(BL$11=$H82,"◆",""),IF(AND(BL$11&gt;=$H82,BL$11&lt;=$I82),1,""))</f>
        <v/>
      </c>
      <c r="BM82" s="448" t="str">
        <f aca="false">IF($G82=0,IF(BM$11=$H82,"◆",""),IF(AND(BM$11&gt;=$H82,BM$11&lt;=$I82),1,""))</f>
        <v/>
      </c>
      <c r="BN82" s="448" t="str">
        <f aca="false">IF($G82=0,IF(BN$11=$H82,"◆",""),IF(AND(BN$11&gt;=$H82,BN$11&lt;=$I82),1,""))</f>
        <v/>
      </c>
      <c r="BO82" s="448" t="str">
        <f aca="false">IF($G82=0,IF(BO$11=$H82,"◆",""),IF(AND(BO$11&gt;=$H82,BO$11&lt;=$I82),1,""))</f>
        <v/>
      </c>
      <c r="BP82" s="448" t="str">
        <f aca="false">IF($G82=0,IF(BP$11=$H82,"◆",""),IF(AND(BP$11&gt;=$H82,BP$11&lt;=$I82),1,""))</f>
        <v/>
      </c>
      <c r="BQ82" s="448" t="str">
        <f aca="false">IF($G82=0,IF(BQ$11=$H82,"◆",""),IF(AND(BQ$11&gt;=$H82,BQ$11&lt;=$I82),1,""))</f>
        <v/>
      </c>
      <c r="BR82" s="448" t="str">
        <f aca="false">IF($G82=0,IF(BR$11=$H82,"◆",""),IF(AND(BR$11&gt;=$H82,BR$11&lt;=$I82),1,""))</f>
        <v/>
      </c>
      <c r="BS82" s="448" t="str">
        <f aca="false">IF($G82=0,IF(BS$11=$H82,"◆",""),IF(AND(BS$11&gt;=$H82,BS$11&lt;=$I82),1,""))</f>
        <v/>
      </c>
      <c r="BT82" s="448" t="str">
        <f aca="false">IF($G82=0,IF(BT$11=$H82,"◆",""),IF(AND(BT$11&gt;=$H82,BT$11&lt;=$I82),1,""))</f>
        <v/>
      </c>
      <c r="BU82" s="448" t="str">
        <f aca="false">IF($G82=0,IF(BU$11=$H82,"◆",""),IF(AND(BU$11&gt;=$H82,BU$11&lt;=$I82),1,""))</f>
        <v/>
      </c>
      <c r="BV82" s="448" t="str">
        <f aca="false">IF($G82=0,IF(BV$11=$H82,"◆",""),IF(AND(BV$11&gt;=$H82,BV$11&lt;=$I82),1,""))</f>
        <v/>
      </c>
      <c r="BW82" s="448" t="str">
        <f aca="false">IF($G82=0,IF(BW$11=$H82,"◆",""),IF(AND(BW$11&gt;=$H82,BW$11&lt;=$I82),1,""))</f>
        <v/>
      </c>
      <c r="BX82" s="448" t="str">
        <f aca="false">IF($G82=0,IF(BX$11=$H82,"◆",""),IF(AND(BX$11&gt;=$H82,BX$11&lt;=$I82),1,""))</f>
        <v/>
      </c>
      <c r="BY82" s="448" t="str">
        <f aca="false">IF($G82=0,IF(BY$11=$H82,"◆",""),IF(AND(BY$11&gt;=$H82,BY$11&lt;=$I82),1,""))</f>
        <v/>
      </c>
      <c r="BZ82" s="448" t="str">
        <f aca="false">IF($G82=0,IF(BZ$11=$H82,"◆",""),IF(AND(BZ$11&gt;=$H82,BZ$11&lt;=$I82),1,""))</f>
        <v/>
      </c>
      <c r="CA82" s="448" t="str">
        <f aca="false">IF($G82=0,IF(CA$11=$H82,"◆",""),IF(AND(CA$11&gt;=$H82,CA$11&lt;=$I82),1,""))</f>
        <v/>
      </c>
      <c r="CB82" s="448" t="str">
        <f aca="false">IF($G82=0,IF(CB$11=$H82,"◆",""),IF(AND(CB$11&gt;=$H82,CB$11&lt;=$I82),1,""))</f>
        <v/>
      </c>
      <c r="CC82" s="448" t="str">
        <f aca="false">IF($G82=0,IF(CC$11=$H82,"◆",""),IF(AND(CC$11&gt;=$H82,CC$11&lt;=$I82),1,""))</f>
        <v/>
      </c>
      <c r="CD82" s="448" t="str">
        <f aca="false">IF($G82=0,IF(CD$11=$H82,"◆",""),IF(AND(CD$11&gt;=$H82,CD$11&lt;=$I82),1,""))</f>
        <v/>
      </c>
      <c r="CE82" s="448" t="str">
        <f aca="false">IF($G82=0,IF(CE$11=$H82,"◆",""),IF(AND(CE$11&gt;=$H82,CE$11&lt;=$I82),1,""))</f>
        <v/>
      </c>
      <c r="CF82" s="448" t="str">
        <f aca="false">IF($G82=0,IF(CF$11=$H82,"◆",""),IF(AND(CF$11&gt;=$H82,CF$11&lt;=$I82),1,""))</f>
        <v/>
      </c>
      <c r="CG82" s="448" t="str">
        <f aca="false">IF($G82=0,IF(CG$11=$H82,"◆",""),IF(AND(CG$11&gt;=$H82,CG$11&lt;=$I82),1,""))</f>
        <v/>
      </c>
      <c r="CH82" s="448" t="str">
        <f aca="false">IF($G82=0,IF(CH$11=$H82,"◆",""),IF(AND(CH$11&gt;=$H82,CH$11&lt;=$I82),1,""))</f>
        <v/>
      </c>
      <c r="CI82" s="448" t="str">
        <f aca="false">IF($G82=0,IF(CI$11=$H82,"◆",""),IF(AND(CI$11&gt;=$H82,CI$11&lt;=$I82),1,""))</f>
        <v/>
      </c>
      <c r="CJ82" s="448" t="str">
        <f aca="false">IF($G82=0,IF(CJ$11=$H82,"◆",""),IF(AND(CJ$11&gt;=$H82,CJ$11&lt;=$I82),1,""))</f>
        <v/>
      </c>
      <c r="CK82" s="448" t="str">
        <f aca="false">IF($G82=0,IF(CK$11=$H82,"◆",""),IF(AND(CK$11&gt;=$H82,CK$11&lt;=$I82),1,""))</f>
        <v/>
      </c>
      <c r="CL82" s="448" t="str">
        <f aca="false">IF($G82=0,IF(CL$11=$H82,"◆",""),IF(AND(CL$11&gt;=$H82,CL$11&lt;=$I82),1,""))</f>
        <v/>
      </c>
      <c r="CM82" s="448" t="str">
        <f aca="false">IF($G82=0,IF(CM$11=$H82,"◆",""),IF(AND(CM$11&gt;=$H82,CM$11&lt;=$I82),1,""))</f>
        <v/>
      </c>
      <c r="CN82" s="448" t="str">
        <f aca="false">IF($G82=0,IF(CN$11=$H82,"◆",""),IF(AND(CN$11&gt;=$H82,CN$11&lt;=$I82),1,""))</f>
        <v/>
      </c>
      <c r="CO82" s="448" t="str">
        <f aca="false">IF($G82=0,IF(CO$11=$H82,"◆",""),IF(AND(CO$11&gt;=$H82,CO$11&lt;=$I82),1,""))</f>
        <v/>
      </c>
      <c r="CP82" s="448" t="str">
        <f aca="false">IF($G82=0,IF(CP$11=$H82,"◆",""),IF(AND(CP$11&gt;=$H82,CP$11&lt;=$I82),1,""))</f>
        <v/>
      </c>
      <c r="CQ82" s="448" t="str">
        <f aca="false">IF($G82=0,IF(CQ$11=$H82,"◆",""),IF(AND(CQ$11&gt;=$H82,CQ$11&lt;=$I82),1,""))</f>
        <v/>
      </c>
      <c r="CR82" s="448" t="str">
        <f aca="false">IF($G82=0,IF(CR$11=$H82,"◆",""),IF(AND(CR$11&gt;=$H82,CR$11&lt;=$I82),1,""))</f>
        <v/>
      </c>
      <c r="CS82" s="448" t="str">
        <f aca="false">IF($G82=0,IF(CS$11=$H82,"◆",""),IF(AND(CS$11&gt;=$H82,CS$11&lt;=$I82),1,""))</f>
        <v/>
      </c>
      <c r="CT82" s="448" t="str">
        <f aca="false">IF($G82=0,IF(CT$11=$H82,"◆",""),IF(AND(CT$11&gt;=$H82,CT$11&lt;=$I82),1,""))</f>
        <v/>
      </c>
      <c r="CU82" s="448" t="str">
        <f aca="false">IF($G82=0,IF(CU$11=$H82,"◆",""),IF(AND(CU$11&gt;=$H82,CU$11&lt;=$I82),1,""))</f>
        <v/>
      </c>
      <c r="CV82" s="448" t="str">
        <f aca="false">IF($G82=0,IF(CV$11=$H82,"◆",""),IF(AND(CV$11&gt;=$H82,CV$11&lt;=$I82),1,""))</f>
        <v/>
      </c>
      <c r="CW82" s="448" t="str">
        <f aca="false">IF($G82=0,IF(CW$11=$H82,"◆",""),IF(AND(CW$11&gt;=$H82,CW$11&lt;=$I82),1,""))</f>
        <v/>
      </c>
      <c r="CX82" s="448" t="str">
        <f aca="false">IF($G82=0,IF(CX$11=$H82,"◆",""),IF(AND(CX$11&gt;=$H82,CX$11&lt;=$I82),1,""))</f>
        <v/>
      </c>
      <c r="CY82" s="448" t="str">
        <f aca="false">IF($G82=0,IF(CY$11=$H82,"◆",""),IF(AND(CY$11&gt;=$H82,CY$11&lt;=$I82),1,""))</f>
        <v/>
      </c>
      <c r="CZ82" s="448" t="str">
        <f aca="false">IF($G82=0,IF(CZ$11=$H82,"◆",""),IF(AND(CZ$11&gt;=$H82,CZ$11&lt;=$I82),1,""))</f>
        <v/>
      </c>
      <c r="DA82" s="448" t="str">
        <f aca="false">IF($G82=0,IF(DA$11=$H82,"◆",""),IF(AND(DA$11&gt;=$H82,DA$11&lt;=$I82),1,""))</f>
        <v/>
      </c>
      <c r="DB82" s="448" t="str">
        <f aca="false">IF($G82=0,IF(DB$11=$H82,"◆",""),IF(AND(DB$11&gt;=$H82,DB$11&lt;=$I82),1,""))</f>
        <v/>
      </c>
      <c r="DC82" s="448" t="str">
        <f aca="false">IF($G82=0,IF(DC$11=$H82,"◆",""),IF(AND(DC$11&gt;=$H82,DC$11&lt;=$I82),1,""))</f>
        <v/>
      </c>
      <c r="DD82" s="448" t="str">
        <f aca="false">IF($G82=0,IF(DD$11=$H82,"◆",""),IF(AND(DD$11&gt;=$H82,DD$11&lt;=$I82),1,""))</f>
        <v/>
      </c>
      <c r="DE82" s="448" t="str">
        <f aca="false">IF($G82=0,IF(DE$11=$H82,"◆",""),IF(AND(DE$11&gt;=$H82,DE$11&lt;=$I82),1,""))</f>
        <v/>
      </c>
      <c r="DF82" s="448" t="str">
        <f aca="false">IF($G82=0,IF(DF$11=$H82,"◆",""),IF(AND(DF$11&gt;=$H82,DF$11&lt;=$I82),1,""))</f>
        <v/>
      </c>
      <c r="DG82" s="448" t="str">
        <f aca="false">IF($G82=0,IF(DG$11=$H82,"◆",""),IF(AND(DG$11&gt;=$H82,DG$11&lt;=$I82),1,""))</f>
        <v/>
      </c>
      <c r="DH82" s="448" t="str">
        <f aca="false">IF($G82=0,IF(DH$11=$H82,"◆",""),IF(AND(DH$11&gt;=$H82,DH$11&lt;=$I82),1,""))</f>
        <v/>
      </c>
      <c r="DI82" s="448" t="str">
        <f aca="false">IF($G82=0,IF(DI$11=$H82,"◆",""),IF(AND(DI$11&gt;=$H82,DI$11&lt;=$I82),1,""))</f>
        <v/>
      </c>
      <c r="DJ82" s="448" t="str">
        <f aca="false">IF($G82=0,IF(DJ$11=$H82,"◆",""),IF(AND(DJ$11&gt;=$H82,DJ$11&lt;=$I82),1,""))</f>
        <v/>
      </c>
      <c r="DK82" s="448" t="str">
        <f aca="false">IF($G82=0,IF(DK$11=$H82,"◆",""),IF(AND(DK$11&gt;=$H82,DK$11&lt;=$I82),1,""))</f>
        <v/>
      </c>
      <c r="DL82" s="448" t="str">
        <f aca="false">IF($G82=0,IF(DL$11=$H82,"◆",""),IF(AND(DL$11&gt;=$H82,DL$11&lt;=$I82),1,""))</f>
        <v/>
      </c>
      <c r="DM82" s="448" t="str">
        <f aca="false">IF($G82=0,IF(DM$11=$H82,"◆",""),IF(AND(DM$11&gt;=$H82,DM$11&lt;=$I82),1,""))</f>
        <v/>
      </c>
      <c r="DN82" s="448" t="str">
        <f aca="false">IF($G82=0,IF(DN$11=$H82,"◆",""),IF(AND(DN$11&gt;=$H82,DN$11&lt;=$I82),1,""))</f>
        <v/>
      </c>
      <c r="DO82" s="448" t="str">
        <f aca="false">IF($G82=0,IF(DO$11=$H82,"◆",""),IF(AND(DO$11&gt;=$H82,DO$11&lt;=$I82),1,""))</f>
        <v/>
      </c>
      <c r="DP82" s="448" t="str">
        <f aca="false">IF($G82=0,IF(DP$11=$H82,"◆",""),IF(AND(DP$11&gt;=$H82,DP$11&lt;=$I82),1,""))</f>
        <v/>
      </c>
      <c r="DQ82" s="448" t="str">
        <f aca="false">IF($G82=0,IF(DQ$11=$H82,"◆",""),IF(AND(DQ$11&gt;=$H82,DQ$11&lt;=$I82),1,""))</f>
        <v/>
      </c>
      <c r="DR82" s="448" t="str">
        <f aca="false">IF($G82=0,IF(DR$11=$H82,"◆",""),IF(AND(DR$11&gt;=$H82,DR$11&lt;=$I82),1,""))</f>
        <v/>
      </c>
      <c r="DS82" s="448" t="str">
        <f aca="false">IF($G82=0,IF(DS$11=$H82,"◆",""),IF(AND(DS$11&gt;=$H82,DS$11&lt;=$I82),1,""))</f>
        <v/>
      </c>
      <c r="DT82" s="448" t="str">
        <f aca="false">IF($G82=0,IF(DT$11=$H82,"◆",""),IF(AND(DT$11&gt;=$H82,DT$11&lt;=$I82),1,""))</f>
        <v/>
      </c>
      <c r="DU82" s="448" t="str">
        <f aca="false">IF($G82=0,IF(DU$11=$H82,"◆",""),IF(AND(DU$11&gt;=$H82,DU$11&lt;=$I82),1,""))</f>
        <v/>
      </c>
      <c r="DV82" s="448" t="str">
        <f aca="false">IF($G82=0,IF(DV$11=$H82,"◆",""),IF(AND(DV$11&gt;=$H82,DV$11&lt;=$I82),1,""))</f>
        <v/>
      </c>
      <c r="DW82" s="448" t="str">
        <f aca="false">IF($G82=0,IF(DW$11=$H82,"◆",""),IF(AND(DW$11&gt;=$H82,DW$11&lt;=$I82),1,""))</f>
        <v/>
      </c>
      <c r="DX82" s="448" t="str">
        <f aca="false">IF($G82=0,IF(DX$11=$H82,"◆",""),IF(AND(DX$11&gt;=$H82,DX$11&lt;=$I82),1,""))</f>
        <v/>
      </c>
      <c r="DY82" s="448" t="str">
        <f aca="false">IF($G82=0,IF(DY$11=$H82,"◆",""),IF(AND(DY$11&gt;=$H82,DY$11&lt;=$I82),1,""))</f>
        <v/>
      </c>
      <c r="DZ82" s="448" t="str">
        <f aca="false">IF($G82=0,IF(DZ$11=$H82,"◆",""),IF(AND(DZ$11&gt;=$H82,DZ$11&lt;=$I82),1,""))</f>
        <v/>
      </c>
      <c r="EA82" s="448" t="str">
        <f aca="false">IF($G82=0,IF(EA$11=$H82,"◆",""),IF(AND(EA$11&gt;=$H82,EA$11&lt;=$I82),1,""))</f>
        <v/>
      </c>
      <c r="EB82" s="448" t="str">
        <f aca="false">IF($G82=0,IF(EB$11=$H82,"◆",""),IF(AND(EB$11&gt;=$H82,EB$11&lt;=$I82),1,""))</f>
        <v/>
      </c>
      <c r="EC82" s="448" t="str">
        <f aca="false">IF($G82=0,IF(EC$11=$H82,"◆",""),IF(AND(EC$11&gt;=$H82,EC$11&lt;=$I82),1,""))</f>
        <v/>
      </c>
      <c r="ED82" s="448" t="str">
        <f aca="false">IF($G82=0,IF(ED$11=$H82,"◆",""),IF(AND(ED$11&gt;=$H82,ED$11&lt;=$I82),1,""))</f>
        <v/>
      </c>
    </row>
    <row r="83" customFormat="false" ht="15" hidden="false" customHeight="true" outlineLevel="0" collapsed="false">
      <c r="A83" s="441" t="s">
        <v>2604</v>
      </c>
      <c r="B83" s="297" t="s">
        <v>2605</v>
      </c>
      <c r="C83" s="442" t="s">
        <v>2606</v>
      </c>
      <c r="D83" s="443" t="s">
        <v>2500</v>
      </c>
      <c r="E83" s="354" t="n">
        <f aca="false">FC_SUPUESTOS!$C$23</f>
        <v>10</v>
      </c>
      <c r="F83" s="352" t="n">
        <v>-3</v>
      </c>
      <c r="G83" s="352" t="n">
        <v>2</v>
      </c>
      <c r="H83" s="367" t="n">
        <f aca="false">MAX(1,ROUND(($E83-1)*$D$5,0)+1+$F83)</f>
        <v>37</v>
      </c>
      <c r="I83" s="367" t="n">
        <f aca="false">MAX($H83,$H83+$G83-1)</f>
        <v>38</v>
      </c>
      <c r="J83" s="444" t="n">
        <f aca="false">$D$4+($H83-1)*7</f>
        <v>46552</v>
      </c>
      <c r="K83" s="444" t="n">
        <f aca="false">$D$4+$I83*7-1</f>
        <v>46565</v>
      </c>
      <c r="L83" s="445" t="n">
        <f aca="false">ROUNDUP($H83/$D$5,0)</f>
        <v>9</v>
      </c>
      <c r="M83" s="446" t="s">
        <v>2453</v>
      </c>
      <c r="N83" s="447" t="n">
        <v>0</v>
      </c>
      <c r="O83" s="448" t="str">
        <f aca="false">IF($G83=0,IF(O$11=$H83,"◆",""),IF(AND(O$11&gt;=$H83,O$11&lt;=$I83),1,""))</f>
        <v/>
      </c>
      <c r="P83" s="448" t="str">
        <f aca="false">IF($G83=0,IF(P$11=$H83,"◆",""),IF(AND(P$11&gt;=$H83,P$11&lt;=$I83),1,""))</f>
        <v/>
      </c>
      <c r="Q83" s="448" t="str">
        <f aca="false">IF($G83=0,IF(Q$11=$H83,"◆",""),IF(AND(Q$11&gt;=$H83,Q$11&lt;=$I83),1,""))</f>
        <v/>
      </c>
      <c r="R83" s="448" t="str">
        <f aca="false">IF($G83=0,IF(R$11=$H83,"◆",""),IF(AND(R$11&gt;=$H83,R$11&lt;=$I83),1,""))</f>
        <v/>
      </c>
      <c r="S83" s="448" t="str">
        <f aca="false">IF($G83=0,IF(S$11=$H83,"◆",""),IF(AND(S$11&gt;=$H83,S$11&lt;=$I83),1,""))</f>
        <v/>
      </c>
      <c r="T83" s="448" t="str">
        <f aca="false">IF($G83=0,IF(T$11=$H83,"◆",""),IF(AND(T$11&gt;=$H83,T$11&lt;=$I83),1,""))</f>
        <v/>
      </c>
      <c r="U83" s="448" t="str">
        <f aca="false">IF($G83=0,IF(U$11=$H83,"◆",""),IF(AND(U$11&gt;=$H83,U$11&lt;=$I83),1,""))</f>
        <v/>
      </c>
      <c r="V83" s="448" t="str">
        <f aca="false">IF($G83=0,IF(V$11=$H83,"◆",""),IF(AND(V$11&gt;=$H83,V$11&lt;=$I83),1,""))</f>
        <v/>
      </c>
      <c r="W83" s="448" t="str">
        <f aca="false">IF($G83=0,IF(W$11=$H83,"◆",""),IF(AND(W$11&gt;=$H83,W$11&lt;=$I83),1,""))</f>
        <v/>
      </c>
      <c r="X83" s="448" t="str">
        <f aca="false">IF($G83=0,IF(X$11=$H83,"◆",""),IF(AND(X$11&gt;=$H83,X$11&lt;=$I83),1,""))</f>
        <v/>
      </c>
      <c r="Y83" s="448" t="str">
        <f aca="false">IF($G83=0,IF(Y$11=$H83,"◆",""),IF(AND(Y$11&gt;=$H83,Y$11&lt;=$I83),1,""))</f>
        <v/>
      </c>
      <c r="Z83" s="448" t="str">
        <f aca="false">IF($G83=0,IF(Z$11=$H83,"◆",""),IF(AND(Z$11&gt;=$H83,Z$11&lt;=$I83),1,""))</f>
        <v/>
      </c>
      <c r="AA83" s="448" t="str">
        <f aca="false">IF($G83=0,IF(AA$11=$H83,"◆",""),IF(AND(AA$11&gt;=$H83,AA$11&lt;=$I83),1,""))</f>
        <v/>
      </c>
      <c r="AB83" s="448" t="str">
        <f aca="false">IF($G83=0,IF(AB$11=$H83,"◆",""),IF(AND(AB$11&gt;=$H83,AB$11&lt;=$I83),1,""))</f>
        <v/>
      </c>
      <c r="AC83" s="448" t="str">
        <f aca="false">IF($G83=0,IF(AC$11=$H83,"◆",""),IF(AND(AC$11&gt;=$H83,AC$11&lt;=$I83),1,""))</f>
        <v/>
      </c>
      <c r="AD83" s="448" t="str">
        <f aca="false">IF($G83=0,IF(AD$11=$H83,"◆",""),IF(AND(AD$11&gt;=$H83,AD$11&lt;=$I83),1,""))</f>
        <v/>
      </c>
      <c r="AE83" s="448" t="str">
        <f aca="false">IF($G83=0,IF(AE$11=$H83,"◆",""),IF(AND(AE$11&gt;=$H83,AE$11&lt;=$I83),1,""))</f>
        <v/>
      </c>
      <c r="AF83" s="448" t="str">
        <f aca="false">IF($G83=0,IF(AF$11=$H83,"◆",""),IF(AND(AF$11&gt;=$H83,AF$11&lt;=$I83),1,""))</f>
        <v/>
      </c>
      <c r="AG83" s="448" t="str">
        <f aca="false">IF($G83=0,IF(AG$11=$H83,"◆",""),IF(AND(AG$11&gt;=$H83,AG$11&lt;=$I83),1,""))</f>
        <v/>
      </c>
      <c r="AH83" s="448" t="str">
        <f aca="false">IF($G83=0,IF(AH$11=$H83,"◆",""),IF(AND(AH$11&gt;=$H83,AH$11&lt;=$I83),1,""))</f>
        <v/>
      </c>
      <c r="AI83" s="448" t="str">
        <f aca="false">IF($G83=0,IF(AI$11=$H83,"◆",""),IF(AND(AI$11&gt;=$H83,AI$11&lt;=$I83),1,""))</f>
        <v/>
      </c>
      <c r="AJ83" s="448" t="str">
        <f aca="false">IF($G83=0,IF(AJ$11=$H83,"◆",""),IF(AND(AJ$11&gt;=$H83,AJ$11&lt;=$I83),1,""))</f>
        <v/>
      </c>
      <c r="AK83" s="448" t="str">
        <f aca="false">IF($G83=0,IF(AK$11=$H83,"◆",""),IF(AND(AK$11&gt;=$H83,AK$11&lt;=$I83),1,""))</f>
        <v/>
      </c>
      <c r="AL83" s="448" t="str">
        <f aca="false">IF($G83=0,IF(AL$11=$H83,"◆",""),IF(AND(AL$11&gt;=$H83,AL$11&lt;=$I83),1,""))</f>
        <v/>
      </c>
      <c r="AM83" s="448" t="str">
        <f aca="false">IF($G83=0,IF(AM$11=$H83,"◆",""),IF(AND(AM$11&gt;=$H83,AM$11&lt;=$I83),1,""))</f>
        <v/>
      </c>
      <c r="AN83" s="448" t="str">
        <f aca="false">IF($G83=0,IF(AN$11=$H83,"◆",""),IF(AND(AN$11&gt;=$H83,AN$11&lt;=$I83),1,""))</f>
        <v/>
      </c>
      <c r="AO83" s="448" t="str">
        <f aca="false">IF($G83=0,IF(AO$11=$H83,"◆",""),IF(AND(AO$11&gt;=$H83,AO$11&lt;=$I83),1,""))</f>
        <v/>
      </c>
      <c r="AP83" s="448" t="str">
        <f aca="false">IF($G83=0,IF(AP$11=$H83,"◆",""),IF(AND(AP$11&gt;=$H83,AP$11&lt;=$I83),1,""))</f>
        <v/>
      </c>
      <c r="AQ83" s="448" t="str">
        <f aca="false">IF($G83=0,IF(AQ$11=$H83,"◆",""),IF(AND(AQ$11&gt;=$H83,AQ$11&lt;=$I83),1,""))</f>
        <v/>
      </c>
      <c r="AR83" s="448" t="str">
        <f aca="false">IF($G83=0,IF(AR$11=$H83,"◆",""),IF(AND(AR$11&gt;=$H83,AR$11&lt;=$I83),1,""))</f>
        <v/>
      </c>
      <c r="AS83" s="448" t="str">
        <f aca="false">IF($G83=0,IF(AS$11=$H83,"◆",""),IF(AND(AS$11&gt;=$H83,AS$11&lt;=$I83),1,""))</f>
        <v/>
      </c>
      <c r="AT83" s="448" t="str">
        <f aca="false">IF($G83=0,IF(AT$11=$H83,"◆",""),IF(AND(AT$11&gt;=$H83,AT$11&lt;=$I83),1,""))</f>
        <v/>
      </c>
      <c r="AU83" s="448" t="str">
        <f aca="false">IF($G83=0,IF(AU$11=$H83,"◆",""),IF(AND(AU$11&gt;=$H83,AU$11&lt;=$I83),1,""))</f>
        <v/>
      </c>
      <c r="AV83" s="448" t="str">
        <f aca="false">IF($G83=0,IF(AV$11=$H83,"◆",""),IF(AND(AV$11&gt;=$H83,AV$11&lt;=$I83),1,""))</f>
        <v/>
      </c>
      <c r="AW83" s="448" t="str">
        <f aca="false">IF($G83=0,IF(AW$11=$H83,"◆",""),IF(AND(AW$11&gt;=$H83,AW$11&lt;=$I83),1,""))</f>
        <v/>
      </c>
      <c r="AX83" s="448" t="str">
        <f aca="false">IF($G83=0,IF(AX$11=$H83,"◆",""),IF(AND(AX$11&gt;=$H83,AX$11&lt;=$I83),1,""))</f>
        <v/>
      </c>
      <c r="AY83" s="448" t="n">
        <f aca="false">IF($G83=0,IF(AY$11=$H83,"◆",""),IF(AND(AY$11&gt;=$H83,AY$11&lt;=$I83),1,""))</f>
        <v>1</v>
      </c>
      <c r="AZ83" s="448" t="n">
        <f aca="false">IF($G83=0,IF(AZ$11=$H83,"◆",""),IF(AND(AZ$11&gt;=$H83,AZ$11&lt;=$I83),1,""))</f>
        <v>1</v>
      </c>
      <c r="BA83" s="448" t="str">
        <f aca="false">IF($G83=0,IF(BA$11=$H83,"◆",""),IF(AND(BA$11&gt;=$H83,BA$11&lt;=$I83),1,""))</f>
        <v/>
      </c>
      <c r="BB83" s="448" t="str">
        <f aca="false">IF($G83=0,IF(BB$11=$H83,"◆",""),IF(AND(BB$11&gt;=$H83,BB$11&lt;=$I83),1,""))</f>
        <v/>
      </c>
      <c r="BC83" s="448" t="str">
        <f aca="false">IF($G83=0,IF(BC$11=$H83,"◆",""),IF(AND(BC$11&gt;=$H83,BC$11&lt;=$I83),1,""))</f>
        <v/>
      </c>
      <c r="BD83" s="448" t="str">
        <f aca="false">IF($G83=0,IF(BD$11=$H83,"◆",""),IF(AND(BD$11&gt;=$H83,BD$11&lt;=$I83),1,""))</f>
        <v/>
      </c>
      <c r="BE83" s="448" t="str">
        <f aca="false">IF($G83=0,IF(BE$11=$H83,"◆",""),IF(AND(BE$11&gt;=$H83,BE$11&lt;=$I83),1,""))</f>
        <v/>
      </c>
      <c r="BF83" s="448" t="str">
        <f aca="false">IF($G83=0,IF(BF$11=$H83,"◆",""),IF(AND(BF$11&gt;=$H83,BF$11&lt;=$I83),1,""))</f>
        <v/>
      </c>
      <c r="BG83" s="448" t="str">
        <f aca="false">IF($G83=0,IF(BG$11=$H83,"◆",""),IF(AND(BG$11&gt;=$H83,BG$11&lt;=$I83),1,""))</f>
        <v/>
      </c>
      <c r="BH83" s="448" t="str">
        <f aca="false">IF($G83=0,IF(BH$11=$H83,"◆",""),IF(AND(BH$11&gt;=$H83,BH$11&lt;=$I83),1,""))</f>
        <v/>
      </c>
      <c r="BI83" s="448" t="str">
        <f aca="false">IF($G83=0,IF(BI$11=$H83,"◆",""),IF(AND(BI$11&gt;=$H83,BI$11&lt;=$I83),1,""))</f>
        <v/>
      </c>
      <c r="BJ83" s="448" t="str">
        <f aca="false">IF($G83=0,IF(BJ$11=$H83,"◆",""),IF(AND(BJ$11&gt;=$H83,BJ$11&lt;=$I83),1,""))</f>
        <v/>
      </c>
      <c r="BK83" s="448" t="str">
        <f aca="false">IF($G83=0,IF(BK$11=$H83,"◆",""),IF(AND(BK$11&gt;=$H83,BK$11&lt;=$I83),1,""))</f>
        <v/>
      </c>
      <c r="BL83" s="448" t="str">
        <f aca="false">IF($G83=0,IF(BL$11=$H83,"◆",""),IF(AND(BL$11&gt;=$H83,BL$11&lt;=$I83),1,""))</f>
        <v/>
      </c>
      <c r="BM83" s="448" t="str">
        <f aca="false">IF($G83=0,IF(BM$11=$H83,"◆",""),IF(AND(BM$11&gt;=$H83,BM$11&lt;=$I83),1,""))</f>
        <v/>
      </c>
      <c r="BN83" s="448" t="str">
        <f aca="false">IF($G83=0,IF(BN$11=$H83,"◆",""),IF(AND(BN$11&gt;=$H83,BN$11&lt;=$I83),1,""))</f>
        <v/>
      </c>
      <c r="BO83" s="448" t="str">
        <f aca="false">IF($G83=0,IF(BO$11=$H83,"◆",""),IF(AND(BO$11&gt;=$H83,BO$11&lt;=$I83),1,""))</f>
        <v/>
      </c>
      <c r="BP83" s="448" t="str">
        <f aca="false">IF($G83=0,IF(BP$11=$H83,"◆",""),IF(AND(BP$11&gt;=$H83,BP$11&lt;=$I83),1,""))</f>
        <v/>
      </c>
      <c r="BQ83" s="448" t="str">
        <f aca="false">IF($G83=0,IF(BQ$11=$H83,"◆",""),IF(AND(BQ$11&gt;=$H83,BQ$11&lt;=$I83),1,""))</f>
        <v/>
      </c>
      <c r="BR83" s="448" t="str">
        <f aca="false">IF($G83=0,IF(BR$11=$H83,"◆",""),IF(AND(BR$11&gt;=$H83,BR$11&lt;=$I83),1,""))</f>
        <v/>
      </c>
      <c r="BS83" s="448" t="str">
        <f aca="false">IF($G83=0,IF(BS$11=$H83,"◆",""),IF(AND(BS$11&gt;=$H83,BS$11&lt;=$I83),1,""))</f>
        <v/>
      </c>
      <c r="BT83" s="448" t="str">
        <f aca="false">IF($G83=0,IF(BT$11=$H83,"◆",""),IF(AND(BT$11&gt;=$H83,BT$11&lt;=$I83),1,""))</f>
        <v/>
      </c>
      <c r="BU83" s="448" t="str">
        <f aca="false">IF($G83=0,IF(BU$11=$H83,"◆",""),IF(AND(BU$11&gt;=$H83,BU$11&lt;=$I83),1,""))</f>
        <v/>
      </c>
      <c r="BV83" s="448" t="str">
        <f aca="false">IF($G83=0,IF(BV$11=$H83,"◆",""),IF(AND(BV$11&gt;=$H83,BV$11&lt;=$I83),1,""))</f>
        <v/>
      </c>
      <c r="BW83" s="448" t="str">
        <f aca="false">IF($G83=0,IF(BW$11=$H83,"◆",""),IF(AND(BW$11&gt;=$H83,BW$11&lt;=$I83),1,""))</f>
        <v/>
      </c>
      <c r="BX83" s="448" t="str">
        <f aca="false">IF($G83=0,IF(BX$11=$H83,"◆",""),IF(AND(BX$11&gt;=$H83,BX$11&lt;=$I83),1,""))</f>
        <v/>
      </c>
      <c r="BY83" s="448" t="str">
        <f aca="false">IF($G83=0,IF(BY$11=$H83,"◆",""),IF(AND(BY$11&gt;=$H83,BY$11&lt;=$I83),1,""))</f>
        <v/>
      </c>
      <c r="BZ83" s="448" t="str">
        <f aca="false">IF($G83=0,IF(BZ$11=$H83,"◆",""),IF(AND(BZ$11&gt;=$H83,BZ$11&lt;=$I83),1,""))</f>
        <v/>
      </c>
      <c r="CA83" s="448" t="str">
        <f aca="false">IF($G83=0,IF(CA$11=$H83,"◆",""),IF(AND(CA$11&gt;=$H83,CA$11&lt;=$I83),1,""))</f>
        <v/>
      </c>
      <c r="CB83" s="448" t="str">
        <f aca="false">IF($G83=0,IF(CB$11=$H83,"◆",""),IF(AND(CB$11&gt;=$H83,CB$11&lt;=$I83),1,""))</f>
        <v/>
      </c>
      <c r="CC83" s="448" t="str">
        <f aca="false">IF($G83=0,IF(CC$11=$H83,"◆",""),IF(AND(CC$11&gt;=$H83,CC$11&lt;=$I83),1,""))</f>
        <v/>
      </c>
      <c r="CD83" s="448" t="str">
        <f aca="false">IF($G83=0,IF(CD$11=$H83,"◆",""),IF(AND(CD$11&gt;=$H83,CD$11&lt;=$I83),1,""))</f>
        <v/>
      </c>
      <c r="CE83" s="448" t="str">
        <f aca="false">IF($G83=0,IF(CE$11=$H83,"◆",""),IF(AND(CE$11&gt;=$H83,CE$11&lt;=$I83),1,""))</f>
        <v/>
      </c>
      <c r="CF83" s="448" t="str">
        <f aca="false">IF($G83=0,IF(CF$11=$H83,"◆",""),IF(AND(CF$11&gt;=$H83,CF$11&lt;=$I83),1,""))</f>
        <v/>
      </c>
      <c r="CG83" s="448" t="str">
        <f aca="false">IF($G83=0,IF(CG$11=$H83,"◆",""),IF(AND(CG$11&gt;=$H83,CG$11&lt;=$I83),1,""))</f>
        <v/>
      </c>
      <c r="CH83" s="448" t="str">
        <f aca="false">IF($G83=0,IF(CH$11=$H83,"◆",""),IF(AND(CH$11&gt;=$H83,CH$11&lt;=$I83),1,""))</f>
        <v/>
      </c>
      <c r="CI83" s="448" t="str">
        <f aca="false">IF($G83=0,IF(CI$11=$H83,"◆",""),IF(AND(CI$11&gt;=$H83,CI$11&lt;=$I83),1,""))</f>
        <v/>
      </c>
      <c r="CJ83" s="448" t="str">
        <f aca="false">IF($G83=0,IF(CJ$11=$H83,"◆",""),IF(AND(CJ$11&gt;=$H83,CJ$11&lt;=$I83),1,""))</f>
        <v/>
      </c>
      <c r="CK83" s="448" t="str">
        <f aca="false">IF($G83=0,IF(CK$11=$H83,"◆",""),IF(AND(CK$11&gt;=$H83,CK$11&lt;=$I83),1,""))</f>
        <v/>
      </c>
      <c r="CL83" s="448" t="str">
        <f aca="false">IF($G83=0,IF(CL$11=$H83,"◆",""),IF(AND(CL$11&gt;=$H83,CL$11&lt;=$I83),1,""))</f>
        <v/>
      </c>
      <c r="CM83" s="448" t="str">
        <f aca="false">IF($G83=0,IF(CM$11=$H83,"◆",""),IF(AND(CM$11&gt;=$H83,CM$11&lt;=$I83),1,""))</f>
        <v/>
      </c>
      <c r="CN83" s="448" t="str">
        <f aca="false">IF($G83=0,IF(CN$11=$H83,"◆",""),IF(AND(CN$11&gt;=$H83,CN$11&lt;=$I83),1,""))</f>
        <v/>
      </c>
      <c r="CO83" s="448" t="str">
        <f aca="false">IF($G83=0,IF(CO$11=$H83,"◆",""),IF(AND(CO$11&gt;=$H83,CO$11&lt;=$I83),1,""))</f>
        <v/>
      </c>
      <c r="CP83" s="448" t="str">
        <f aca="false">IF($G83=0,IF(CP$11=$H83,"◆",""),IF(AND(CP$11&gt;=$H83,CP$11&lt;=$I83),1,""))</f>
        <v/>
      </c>
      <c r="CQ83" s="448" t="str">
        <f aca="false">IF($G83=0,IF(CQ$11=$H83,"◆",""),IF(AND(CQ$11&gt;=$H83,CQ$11&lt;=$I83),1,""))</f>
        <v/>
      </c>
      <c r="CR83" s="448" t="str">
        <f aca="false">IF($G83=0,IF(CR$11=$H83,"◆",""),IF(AND(CR$11&gt;=$H83,CR$11&lt;=$I83),1,""))</f>
        <v/>
      </c>
      <c r="CS83" s="448" t="str">
        <f aca="false">IF($G83=0,IF(CS$11=$H83,"◆",""),IF(AND(CS$11&gt;=$H83,CS$11&lt;=$I83),1,""))</f>
        <v/>
      </c>
      <c r="CT83" s="448" t="str">
        <f aca="false">IF($G83=0,IF(CT$11=$H83,"◆",""),IF(AND(CT$11&gt;=$H83,CT$11&lt;=$I83),1,""))</f>
        <v/>
      </c>
      <c r="CU83" s="448" t="str">
        <f aca="false">IF($G83=0,IF(CU$11=$H83,"◆",""),IF(AND(CU$11&gt;=$H83,CU$11&lt;=$I83),1,""))</f>
        <v/>
      </c>
      <c r="CV83" s="448" t="str">
        <f aca="false">IF($G83=0,IF(CV$11=$H83,"◆",""),IF(AND(CV$11&gt;=$H83,CV$11&lt;=$I83),1,""))</f>
        <v/>
      </c>
      <c r="CW83" s="448" t="str">
        <f aca="false">IF($G83=0,IF(CW$11=$H83,"◆",""),IF(AND(CW$11&gt;=$H83,CW$11&lt;=$I83),1,""))</f>
        <v/>
      </c>
      <c r="CX83" s="448" t="str">
        <f aca="false">IF($G83=0,IF(CX$11=$H83,"◆",""),IF(AND(CX$11&gt;=$H83,CX$11&lt;=$I83),1,""))</f>
        <v/>
      </c>
      <c r="CY83" s="448" t="str">
        <f aca="false">IF($G83=0,IF(CY$11=$H83,"◆",""),IF(AND(CY$11&gt;=$H83,CY$11&lt;=$I83),1,""))</f>
        <v/>
      </c>
      <c r="CZ83" s="448" t="str">
        <f aca="false">IF($G83=0,IF(CZ$11=$H83,"◆",""),IF(AND(CZ$11&gt;=$H83,CZ$11&lt;=$I83),1,""))</f>
        <v/>
      </c>
      <c r="DA83" s="448" t="str">
        <f aca="false">IF($G83=0,IF(DA$11=$H83,"◆",""),IF(AND(DA$11&gt;=$H83,DA$11&lt;=$I83),1,""))</f>
        <v/>
      </c>
      <c r="DB83" s="448" t="str">
        <f aca="false">IF($G83=0,IF(DB$11=$H83,"◆",""),IF(AND(DB$11&gt;=$H83,DB$11&lt;=$I83),1,""))</f>
        <v/>
      </c>
      <c r="DC83" s="448" t="str">
        <f aca="false">IF($G83=0,IF(DC$11=$H83,"◆",""),IF(AND(DC$11&gt;=$H83,DC$11&lt;=$I83),1,""))</f>
        <v/>
      </c>
      <c r="DD83" s="448" t="str">
        <f aca="false">IF($G83=0,IF(DD$11=$H83,"◆",""),IF(AND(DD$11&gt;=$H83,DD$11&lt;=$I83),1,""))</f>
        <v/>
      </c>
      <c r="DE83" s="448" t="str">
        <f aca="false">IF($G83=0,IF(DE$11=$H83,"◆",""),IF(AND(DE$11&gt;=$H83,DE$11&lt;=$I83),1,""))</f>
        <v/>
      </c>
      <c r="DF83" s="448" t="str">
        <f aca="false">IF($G83=0,IF(DF$11=$H83,"◆",""),IF(AND(DF$11&gt;=$H83,DF$11&lt;=$I83),1,""))</f>
        <v/>
      </c>
      <c r="DG83" s="448" t="str">
        <f aca="false">IF($G83=0,IF(DG$11=$H83,"◆",""),IF(AND(DG$11&gt;=$H83,DG$11&lt;=$I83),1,""))</f>
        <v/>
      </c>
      <c r="DH83" s="448" t="str">
        <f aca="false">IF($G83=0,IF(DH$11=$H83,"◆",""),IF(AND(DH$11&gt;=$H83,DH$11&lt;=$I83),1,""))</f>
        <v/>
      </c>
      <c r="DI83" s="448" t="str">
        <f aca="false">IF($G83=0,IF(DI$11=$H83,"◆",""),IF(AND(DI$11&gt;=$H83,DI$11&lt;=$I83),1,""))</f>
        <v/>
      </c>
      <c r="DJ83" s="448" t="str">
        <f aca="false">IF($G83=0,IF(DJ$11=$H83,"◆",""),IF(AND(DJ$11&gt;=$H83,DJ$11&lt;=$I83),1,""))</f>
        <v/>
      </c>
      <c r="DK83" s="448" t="str">
        <f aca="false">IF($G83=0,IF(DK$11=$H83,"◆",""),IF(AND(DK$11&gt;=$H83,DK$11&lt;=$I83),1,""))</f>
        <v/>
      </c>
      <c r="DL83" s="448" t="str">
        <f aca="false">IF($G83=0,IF(DL$11=$H83,"◆",""),IF(AND(DL$11&gt;=$H83,DL$11&lt;=$I83),1,""))</f>
        <v/>
      </c>
      <c r="DM83" s="448" t="str">
        <f aca="false">IF($G83=0,IF(DM$11=$H83,"◆",""),IF(AND(DM$11&gt;=$H83,DM$11&lt;=$I83),1,""))</f>
        <v/>
      </c>
      <c r="DN83" s="448" t="str">
        <f aca="false">IF($G83=0,IF(DN$11=$H83,"◆",""),IF(AND(DN$11&gt;=$H83,DN$11&lt;=$I83),1,""))</f>
        <v/>
      </c>
      <c r="DO83" s="448" t="str">
        <f aca="false">IF($G83=0,IF(DO$11=$H83,"◆",""),IF(AND(DO$11&gt;=$H83,DO$11&lt;=$I83),1,""))</f>
        <v/>
      </c>
      <c r="DP83" s="448" t="str">
        <f aca="false">IF($G83=0,IF(DP$11=$H83,"◆",""),IF(AND(DP$11&gt;=$H83,DP$11&lt;=$I83),1,""))</f>
        <v/>
      </c>
      <c r="DQ83" s="448" t="str">
        <f aca="false">IF($G83=0,IF(DQ$11=$H83,"◆",""),IF(AND(DQ$11&gt;=$H83,DQ$11&lt;=$I83),1,""))</f>
        <v/>
      </c>
      <c r="DR83" s="448" t="str">
        <f aca="false">IF($G83=0,IF(DR$11=$H83,"◆",""),IF(AND(DR$11&gt;=$H83,DR$11&lt;=$I83),1,""))</f>
        <v/>
      </c>
      <c r="DS83" s="448" t="str">
        <f aca="false">IF($G83=0,IF(DS$11=$H83,"◆",""),IF(AND(DS$11&gt;=$H83,DS$11&lt;=$I83),1,""))</f>
        <v/>
      </c>
      <c r="DT83" s="448" t="str">
        <f aca="false">IF($G83=0,IF(DT$11=$H83,"◆",""),IF(AND(DT$11&gt;=$H83,DT$11&lt;=$I83),1,""))</f>
        <v/>
      </c>
      <c r="DU83" s="448" t="str">
        <f aca="false">IF($G83=0,IF(DU$11=$H83,"◆",""),IF(AND(DU$11&gt;=$H83,DU$11&lt;=$I83),1,""))</f>
        <v/>
      </c>
      <c r="DV83" s="448" t="str">
        <f aca="false">IF($G83=0,IF(DV$11=$H83,"◆",""),IF(AND(DV$11&gt;=$H83,DV$11&lt;=$I83),1,""))</f>
        <v/>
      </c>
      <c r="DW83" s="448" t="str">
        <f aca="false">IF($G83=0,IF(DW$11=$H83,"◆",""),IF(AND(DW$11&gt;=$H83,DW$11&lt;=$I83),1,""))</f>
        <v/>
      </c>
      <c r="DX83" s="448" t="str">
        <f aca="false">IF($G83=0,IF(DX$11=$H83,"◆",""),IF(AND(DX$11&gt;=$H83,DX$11&lt;=$I83),1,""))</f>
        <v/>
      </c>
      <c r="DY83" s="448" t="str">
        <f aca="false">IF($G83=0,IF(DY$11=$H83,"◆",""),IF(AND(DY$11&gt;=$H83,DY$11&lt;=$I83),1,""))</f>
        <v/>
      </c>
      <c r="DZ83" s="448" t="str">
        <f aca="false">IF($G83=0,IF(DZ$11=$H83,"◆",""),IF(AND(DZ$11&gt;=$H83,DZ$11&lt;=$I83),1,""))</f>
        <v/>
      </c>
      <c r="EA83" s="448" t="str">
        <f aca="false">IF($G83=0,IF(EA$11=$H83,"◆",""),IF(AND(EA$11&gt;=$H83,EA$11&lt;=$I83),1,""))</f>
        <v/>
      </c>
      <c r="EB83" s="448" t="str">
        <f aca="false">IF($G83=0,IF(EB$11=$H83,"◆",""),IF(AND(EB$11&gt;=$H83,EB$11&lt;=$I83),1,""))</f>
        <v/>
      </c>
      <c r="EC83" s="448" t="str">
        <f aca="false">IF($G83=0,IF(EC$11=$H83,"◆",""),IF(AND(EC$11&gt;=$H83,EC$11&lt;=$I83),1,""))</f>
        <v/>
      </c>
      <c r="ED83" s="448" t="str">
        <f aca="false">IF($G83=0,IF(ED$11=$H83,"◆",""),IF(AND(ED$11&gt;=$H83,ED$11&lt;=$I83),1,""))</f>
        <v/>
      </c>
    </row>
    <row r="84" customFormat="false" ht="15" hidden="false" customHeight="true" outlineLevel="0" collapsed="false">
      <c r="A84" s="441" t="s">
        <v>2607</v>
      </c>
      <c r="B84" s="297" t="s">
        <v>2608</v>
      </c>
      <c r="C84" s="442" t="s">
        <v>2127</v>
      </c>
      <c r="D84" s="443" t="s">
        <v>2500</v>
      </c>
      <c r="E84" s="354" t="n">
        <f aca="false">FC_SUPUESTOS!$C$23</f>
        <v>10</v>
      </c>
      <c r="F84" s="352" t="n">
        <v>-2</v>
      </c>
      <c r="G84" s="352" t="n">
        <v>3</v>
      </c>
      <c r="H84" s="367" t="n">
        <f aca="false">MAX(1,ROUND(($E84-1)*$D$5,0)+1+$F84)</f>
        <v>38</v>
      </c>
      <c r="I84" s="367" t="n">
        <f aca="false">MAX($H84,$H84+$G84-1)</f>
        <v>40</v>
      </c>
      <c r="J84" s="444" t="n">
        <f aca="false">$D$4+($H84-1)*7</f>
        <v>46559</v>
      </c>
      <c r="K84" s="444" t="n">
        <f aca="false">$D$4+$I84*7-1</f>
        <v>46579</v>
      </c>
      <c r="L84" s="445" t="n">
        <f aca="false">ROUNDUP($H84/$D$5,0)</f>
        <v>9</v>
      </c>
      <c r="M84" s="446"/>
      <c r="N84" s="447" t="n">
        <v>0</v>
      </c>
      <c r="O84" s="448" t="str">
        <f aca="false">IF($G84=0,IF(O$11=$H84,"◆",""),IF(AND(O$11&gt;=$H84,O$11&lt;=$I84),1,""))</f>
        <v/>
      </c>
      <c r="P84" s="448" t="str">
        <f aca="false">IF($G84=0,IF(P$11=$H84,"◆",""),IF(AND(P$11&gt;=$H84,P$11&lt;=$I84),1,""))</f>
        <v/>
      </c>
      <c r="Q84" s="448" t="str">
        <f aca="false">IF($G84=0,IF(Q$11=$H84,"◆",""),IF(AND(Q$11&gt;=$H84,Q$11&lt;=$I84),1,""))</f>
        <v/>
      </c>
      <c r="R84" s="448" t="str">
        <f aca="false">IF($G84=0,IF(R$11=$H84,"◆",""),IF(AND(R$11&gt;=$H84,R$11&lt;=$I84),1,""))</f>
        <v/>
      </c>
      <c r="S84" s="448" t="str">
        <f aca="false">IF($G84=0,IF(S$11=$H84,"◆",""),IF(AND(S$11&gt;=$H84,S$11&lt;=$I84),1,""))</f>
        <v/>
      </c>
      <c r="T84" s="448" t="str">
        <f aca="false">IF($G84=0,IF(T$11=$H84,"◆",""),IF(AND(T$11&gt;=$H84,T$11&lt;=$I84),1,""))</f>
        <v/>
      </c>
      <c r="U84" s="448" t="str">
        <f aca="false">IF($G84=0,IF(U$11=$H84,"◆",""),IF(AND(U$11&gt;=$H84,U$11&lt;=$I84),1,""))</f>
        <v/>
      </c>
      <c r="V84" s="448" t="str">
        <f aca="false">IF($G84=0,IF(V$11=$H84,"◆",""),IF(AND(V$11&gt;=$H84,V$11&lt;=$I84),1,""))</f>
        <v/>
      </c>
      <c r="W84" s="448" t="str">
        <f aca="false">IF($G84=0,IF(W$11=$H84,"◆",""),IF(AND(W$11&gt;=$H84,W$11&lt;=$I84),1,""))</f>
        <v/>
      </c>
      <c r="X84" s="448" t="str">
        <f aca="false">IF($G84=0,IF(X$11=$H84,"◆",""),IF(AND(X$11&gt;=$H84,X$11&lt;=$I84),1,""))</f>
        <v/>
      </c>
      <c r="Y84" s="448" t="str">
        <f aca="false">IF($G84=0,IF(Y$11=$H84,"◆",""),IF(AND(Y$11&gt;=$H84,Y$11&lt;=$I84),1,""))</f>
        <v/>
      </c>
      <c r="Z84" s="448" t="str">
        <f aca="false">IF($G84=0,IF(Z$11=$H84,"◆",""),IF(AND(Z$11&gt;=$H84,Z$11&lt;=$I84),1,""))</f>
        <v/>
      </c>
      <c r="AA84" s="448" t="str">
        <f aca="false">IF($G84=0,IF(AA$11=$H84,"◆",""),IF(AND(AA$11&gt;=$H84,AA$11&lt;=$I84),1,""))</f>
        <v/>
      </c>
      <c r="AB84" s="448" t="str">
        <f aca="false">IF($G84=0,IF(AB$11=$H84,"◆",""),IF(AND(AB$11&gt;=$H84,AB$11&lt;=$I84),1,""))</f>
        <v/>
      </c>
      <c r="AC84" s="448" t="str">
        <f aca="false">IF($G84=0,IF(AC$11=$H84,"◆",""),IF(AND(AC$11&gt;=$H84,AC$11&lt;=$I84),1,""))</f>
        <v/>
      </c>
      <c r="AD84" s="448" t="str">
        <f aca="false">IF($G84=0,IF(AD$11=$H84,"◆",""),IF(AND(AD$11&gt;=$H84,AD$11&lt;=$I84),1,""))</f>
        <v/>
      </c>
      <c r="AE84" s="448" t="str">
        <f aca="false">IF($G84=0,IF(AE$11=$H84,"◆",""),IF(AND(AE$11&gt;=$H84,AE$11&lt;=$I84),1,""))</f>
        <v/>
      </c>
      <c r="AF84" s="448" t="str">
        <f aca="false">IF($G84=0,IF(AF$11=$H84,"◆",""),IF(AND(AF$11&gt;=$H84,AF$11&lt;=$I84),1,""))</f>
        <v/>
      </c>
      <c r="AG84" s="448" t="str">
        <f aca="false">IF($G84=0,IF(AG$11=$H84,"◆",""),IF(AND(AG$11&gt;=$H84,AG$11&lt;=$I84),1,""))</f>
        <v/>
      </c>
      <c r="AH84" s="448" t="str">
        <f aca="false">IF($G84=0,IF(AH$11=$H84,"◆",""),IF(AND(AH$11&gt;=$H84,AH$11&lt;=$I84),1,""))</f>
        <v/>
      </c>
      <c r="AI84" s="448" t="str">
        <f aca="false">IF($G84=0,IF(AI$11=$H84,"◆",""),IF(AND(AI$11&gt;=$H84,AI$11&lt;=$I84),1,""))</f>
        <v/>
      </c>
      <c r="AJ84" s="448" t="str">
        <f aca="false">IF($G84=0,IF(AJ$11=$H84,"◆",""),IF(AND(AJ$11&gt;=$H84,AJ$11&lt;=$I84),1,""))</f>
        <v/>
      </c>
      <c r="AK84" s="448" t="str">
        <f aca="false">IF($G84=0,IF(AK$11=$H84,"◆",""),IF(AND(AK$11&gt;=$H84,AK$11&lt;=$I84),1,""))</f>
        <v/>
      </c>
      <c r="AL84" s="448" t="str">
        <f aca="false">IF($G84=0,IF(AL$11=$H84,"◆",""),IF(AND(AL$11&gt;=$H84,AL$11&lt;=$I84),1,""))</f>
        <v/>
      </c>
      <c r="AM84" s="448" t="str">
        <f aca="false">IF($G84=0,IF(AM$11=$H84,"◆",""),IF(AND(AM$11&gt;=$H84,AM$11&lt;=$I84),1,""))</f>
        <v/>
      </c>
      <c r="AN84" s="448" t="str">
        <f aca="false">IF($G84=0,IF(AN$11=$H84,"◆",""),IF(AND(AN$11&gt;=$H84,AN$11&lt;=$I84),1,""))</f>
        <v/>
      </c>
      <c r="AO84" s="448" t="str">
        <f aca="false">IF($G84=0,IF(AO$11=$H84,"◆",""),IF(AND(AO$11&gt;=$H84,AO$11&lt;=$I84),1,""))</f>
        <v/>
      </c>
      <c r="AP84" s="448" t="str">
        <f aca="false">IF($G84=0,IF(AP$11=$H84,"◆",""),IF(AND(AP$11&gt;=$H84,AP$11&lt;=$I84),1,""))</f>
        <v/>
      </c>
      <c r="AQ84" s="448" t="str">
        <f aca="false">IF($G84=0,IF(AQ$11=$H84,"◆",""),IF(AND(AQ$11&gt;=$H84,AQ$11&lt;=$I84),1,""))</f>
        <v/>
      </c>
      <c r="AR84" s="448" t="str">
        <f aca="false">IF($G84=0,IF(AR$11=$H84,"◆",""),IF(AND(AR$11&gt;=$H84,AR$11&lt;=$I84),1,""))</f>
        <v/>
      </c>
      <c r="AS84" s="448" t="str">
        <f aca="false">IF($G84=0,IF(AS$11=$H84,"◆",""),IF(AND(AS$11&gt;=$H84,AS$11&lt;=$I84),1,""))</f>
        <v/>
      </c>
      <c r="AT84" s="448" t="str">
        <f aca="false">IF($G84=0,IF(AT$11=$H84,"◆",""),IF(AND(AT$11&gt;=$H84,AT$11&lt;=$I84),1,""))</f>
        <v/>
      </c>
      <c r="AU84" s="448" t="str">
        <f aca="false">IF($G84=0,IF(AU$11=$H84,"◆",""),IF(AND(AU$11&gt;=$H84,AU$11&lt;=$I84),1,""))</f>
        <v/>
      </c>
      <c r="AV84" s="448" t="str">
        <f aca="false">IF($G84=0,IF(AV$11=$H84,"◆",""),IF(AND(AV$11&gt;=$H84,AV$11&lt;=$I84),1,""))</f>
        <v/>
      </c>
      <c r="AW84" s="448" t="str">
        <f aca="false">IF($G84=0,IF(AW$11=$H84,"◆",""),IF(AND(AW$11&gt;=$H84,AW$11&lt;=$I84),1,""))</f>
        <v/>
      </c>
      <c r="AX84" s="448" t="str">
        <f aca="false">IF($G84=0,IF(AX$11=$H84,"◆",""),IF(AND(AX$11&gt;=$H84,AX$11&lt;=$I84),1,""))</f>
        <v/>
      </c>
      <c r="AY84" s="448" t="str">
        <f aca="false">IF($G84=0,IF(AY$11=$H84,"◆",""),IF(AND(AY$11&gt;=$H84,AY$11&lt;=$I84),1,""))</f>
        <v/>
      </c>
      <c r="AZ84" s="448" t="n">
        <f aca="false">IF($G84=0,IF(AZ$11=$H84,"◆",""),IF(AND(AZ$11&gt;=$H84,AZ$11&lt;=$I84),1,""))</f>
        <v>1</v>
      </c>
      <c r="BA84" s="448" t="n">
        <f aca="false">IF($G84=0,IF(BA$11=$H84,"◆",""),IF(AND(BA$11&gt;=$H84,BA$11&lt;=$I84),1,""))</f>
        <v>1</v>
      </c>
      <c r="BB84" s="448" t="n">
        <f aca="false">IF($G84=0,IF(BB$11=$H84,"◆",""),IF(AND(BB$11&gt;=$H84,BB$11&lt;=$I84),1,""))</f>
        <v>1</v>
      </c>
      <c r="BC84" s="448" t="str">
        <f aca="false">IF($G84=0,IF(BC$11=$H84,"◆",""),IF(AND(BC$11&gt;=$H84,BC$11&lt;=$I84),1,""))</f>
        <v/>
      </c>
      <c r="BD84" s="448" t="str">
        <f aca="false">IF($G84=0,IF(BD$11=$H84,"◆",""),IF(AND(BD$11&gt;=$H84,BD$11&lt;=$I84),1,""))</f>
        <v/>
      </c>
      <c r="BE84" s="448" t="str">
        <f aca="false">IF($G84=0,IF(BE$11=$H84,"◆",""),IF(AND(BE$11&gt;=$H84,BE$11&lt;=$I84),1,""))</f>
        <v/>
      </c>
      <c r="BF84" s="448" t="str">
        <f aca="false">IF($G84=0,IF(BF$11=$H84,"◆",""),IF(AND(BF$11&gt;=$H84,BF$11&lt;=$I84),1,""))</f>
        <v/>
      </c>
      <c r="BG84" s="448" t="str">
        <f aca="false">IF($G84=0,IF(BG$11=$H84,"◆",""),IF(AND(BG$11&gt;=$H84,BG$11&lt;=$I84),1,""))</f>
        <v/>
      </c>
      <c r="BH84" s="448" t="str">
        <f aca="false">IF($G84=0,IF(BH$11=$H84,"◆",""),IF(AND(BH$11&gt;=$H84,BH$11&lt;=$I84),1,""))</f>
        <v/>
      </c>
      <c r="BI84" s="448" t="str">
        <f aca="false">IF($G84=0,IF(BI$11=$H84,"◆",""),IF(AND(BI$11&gt;=$H84,BI$11&lt;=$I84),1,""))</f>
        <v/>
      </c>
      <c r="BJ84" s="448" t="str">
        <f aca="false">IF($G84=0,IF(BJ$11=$H84,"◆",""),IF(AND(BJ$11&gt;=$H84,BJ$11&lt;=$I84),1,""))</f>
        <v/>
      </c>
      <c r="BK84" s="448" t="str">
        <f aca="false">IF($G84=0,IF(BK$11=$H84,"◆",""),IF(AND(BK$11&gt;=$H84,BK$11&lt;=$I84),1,""))</f>
        <v/>
      </c>
      <c r="BL84" s="448" t="str">
        <f aca="false">IF($G84=0,IF(BL$11=$H84,"◆",""),IF(AND(BL$11&gt;=$H84,BL$11&lt;=$I84),1,""))</f>
        <v/>
      </c>
      <c r="BM84" s="448" t="str">
        <f aca="false">IF($G84=0,IF(BM$11=$H84,"◆",""),IF(AND(BM$11&gt;=$H84,BM$11&lt;=$I84),1,""))</f>
        <v/>
      </c>
      <c r="BN84" s="448" t="str">
        <f aca="false">IF($G84=0,IF(BN$11=$H84,"◆",""),IF(AND(BN$11&gt;=$H84,BN$11&lt;=$I84),1,""))</f>
        <v/>
      </c>
      <c r="BO84" s="448" t="str">
        <f aca="false">IF($G84=0,IF(BO$11=$H84,"◆",""),IF(AND(BO$11&gt;=$H84,BO$11&lt;=$I84),1,""))</f>
        <v/>
      </c>
      <c r="BP84" s="448" t="str">
        <f aca="false">IF($G84=0,IF(BP$11=$H84,"◆",""),IF(AND(BP$11&gt;=$H84,BP$11&lt;=$I84),1,""))</f>
        <v/>
      </c>
      <c r="BQ84" s="448" t="str">
        <f aca="false">IF($G84=0,IF(BQ$11=$H84,"◆",""),IF(AND(BQ$11&gt;=$H84,BQ$11&lt;=$I84),1,""))</f>
        <v/>
      </c>
      <c r="BR84" s="448" t="str">
        <f aca="false">IF($G84=0,IF(BR$11=$H84,"◆",""),IF(AND(BR$11&gt;=$H84,BR$11&lt;=$I84),1,""))</f>
        <v/>
      </c>
      <c r="BS84" s="448" t="str">
        <f aca="false">IF($G84=0,IF(BS$11=$H84,"◆",""),IF(AND(BS$11&gt;=$H84,BS$11&lt;=$I84),1,""))</f>
        <v/>
      </c>
      <c r="BT84" s="448" t="str">
        <f aca="false">IF($G84=0,IF(BT$11=$H84,"◆",""),IF(AND(BT$11&gt;=$H84,BT$11&lt;=$I84),1,""))</f>
        <v/>
      </c>
      <c r="BU84" s="448" t="str">
        <f aca="false">IF($G84=0,IF(BU$11=$H84,"◆",""),IF(AND(BU$11&gt;=$H84,BU$11&lt;=$I84),1,""))</f>
        <v/>
      </c>
      <c r="BV84" s="448" t="str">
        <f aca="false">IF($G84=0,IF(BV$11=$H84,"◆",""),IF(AND(BV$11&gt;=$H84,BV$11&lt;=$I84),1,""))</f>
        <v/>
      </c>
      <c r="BW84" s="448" t="str">
        <f aca="false">IF($G84=0,IF(BW$11=$H84,"◆",""),IF(AND(BW$11&gt;=$H84,BW$11&lt;=$I84),1,""))</f>
        <v/>
      </c>
      <c r="BX84" s="448" t="str">
        <f aca="false">IF($G84=0,IF(BX$11=$H84,"◆",""),IF(AND(BX$11&gt;=$H84,BX$11&lt;=$I84),1,""))</f>
        <v/>
      </c>
      <c r="BY84" s="448" t="str">
        <f aca="false">IF($G84=0,IF(BY$11=$H84,"◆",""),IF(AND(BY$11&gt;=$H84,BY$11&lt;=$I84),1,""))</f>
        <v/>
      </c>
      <c r="BZ84" s="448" t="str">
        <f aca="false">IF($G84=0,IF(BZ$11=$H84,"◆",""),IF(AND(BZ$11&gt;=$H84,BZ$11&lt;=$I84),1,""))</f>
        <v/>
      </c>
      <c r="CA84" s="448" t="str">
        <f aca="false">IF($G84=0,IF(CA$11=$H84,"◆",""),IF(AND(CA$11&gt;=$H84,CA$11&lt;=$I84),1,""))</f>
        <v/>
      </c>
      <c r="CB84" s="448" t="str">
        <f aca="false">IF($G84=0,IF(CB$11=$H84,"◆",""),IF(AND(CB$11&gt;=$H84,CB$11&lt;=$I84),1,""))</f>
        <v/>
      </c>
      <c r="CC84" s="448" t="str">
        <f aca="false">IF($G84=0,IF(CC$11=$H84,"◆",""),IF(AND(CC$11&gt;=$H84,CC$11&lt;=$I84),1,""))</f>
        <v/>
      </c>
      <c r="CD84" s="448" t="str">
        <f aca="false">IF($G84=0,IF(CD$11=$H84,"◆",""),IF(AND(CD$11&gt;=$H84,CD$11&lt;=$I84),1,""))</f>
        <v/>
      </c>
      <c r="CE84" s="448" t="str">
        <f aca="false">IF($G84=0,IF(CE$11=$H84,"◆",""),IF(AND(CE$11&gt;=$H84,CE$11&lt;=$I84),1,""))</f>
        <v/>
      </c>
      <c r="CF84" s="448" t="str">
        <f aca="false">IF($G84=0,IF(CF$11=$H84,"◆",""),IF(AND(CF$11&gt;=$H84,CF$11&lt;=$I84),1,""))</f>
        <v/>
      </c>
      <c r="CG84" s="448" t="str">
        <f aca="false">IF($G84=0,IF(CG$11=$H84,"◆",""),IF(AND(CG$11&gt;=$H84,CG$11&lt;=$I84),1,""))</f>
        <v/>
      </c>
      <c r="CH84" s="448" t="str">
        <f aca="false">IF($G84=0,IF(CH$11=$H84,"◆",""),IF(AND(CH$11&gt;=$H84,CH$11&lt;=$I84),1,""))</f>
        <v/>
      </c>
      <c r="CI84" s="448" t="str">
        <f aca="false">IF($G84=0,IF(CI$11=$H84,"◆",""),IF(AND(CI$11&gt;=$H84,CI$11&lt;=$I84),1,""))</f>
        <v/>
      </c>
      <c r="CJ84" s="448" t="str">
        <f aca="false">IF($G84=0,IF(CJ$11=$H84,"◆",""),IF(AND(CJ$11&gt;=$H84,CJ$11&lt;=$I84),1,""))</f>
        <v/>
      </c>
      <c r="CK84" s="448" t="str">
        <f aca="false">IF($G84=0,IF(CK$11=$H84,"◆",""),IF(AND(CK$11&gt;=$H84,CK$11&lt;=$I84),1,""))</f>
        <v/>
      </c>
      <c r="CL84" s="448" t="str">
        <f aca="false">IF($G84=0,IF(CL$11=$H84,"◆",""),IF(AND(CL$11&gt;=$H84,CL$11&lt;=$I84),1,""))</f>
        <v/>
      </c>
      <c r="CM84" s="448" t="str">
        <f aca="false">IF($G84=0,IF(CM$11=$H84,"◆",""),IF(AND(CM$11&gt;=$H84,CM$11&lt;=$I84),1,""))</f>
        <v/>
      </c>
      <c r="CN84" s="448" t="str">
        <f aca="false">IF($G84=0,IF(CN$11=$H84,"◆",""),IF(AND(CN$11&gt;=$H84,CN$11&lt;=$I84),1,""))</f>
        <v/>
      </c>
      <c r="CO84" s="448" t="str">
        <f aca="false">IF($G84=0,IF(CO$11=$H84,"◆",""),IF(AND(CO$11&gt;=$H84,CO$11&lt;=$I84),1,""))</f>
        <v/>
      </c>
      <c r="CP84" s="448" t="str">
        <f aca="false">IF($G84=0,IF(CP$11=$H84,"◆",""),IF(AND(CP$11&gt;=$H84,CP$11&lt;=$I84),1,""))</f>
        <v/>
      </c>
      <c r="CQ84" s="448" t="str">
        <f aca="false">IF($G84=0,IF(CQ$11=$H84,"◆",""),IF(AND(CQ$11&gt;=$H84,CQ$11&lt;=$I84),1,""))</f>
        <v/>
      </c>
      <c r="CR84" s="448" t="str">
        <f aca="false">IF($G84=0,IF(CR$11=$H84,"◆",""),IF(AND(CR$11&gt;=$H84,CR$11&lt;=$I84),1,""))</f>
        <v/>
      </c>
      <c r="CS84" s="448" t="str">
        <f aca="false">IF($G84=0,IF(CS$11=$H84,"◆",""),IF(AND(CS$11&gt;=$H84,CS$11&lt;=$I84),1,""))</f>
        <v/>
      </c>
      <c r="CT84" s="448" t="str">
        <f aca="false">IF($G84=0,IF(CT$11=$H84,"◆",""),IF(AND(CT$11&gt;=$H84,CT$11&lt;=$I84),1,""))</f>
        <v/>
      </c>
      <c r="CU84" s="448" t="str">
        <f aca="false">IF($G84=0,IF(CU$11=$H84,"◆",""),IF(AND(CU$11&gt;=$H84,CU$11&lt;=$I84),1,""))</f>
        <v/>
      </c>
      <c r="CV84" s="448" t="str">
        <f aca="false">IF($G84=0,IF(CV$11=$H84,"◆",""),IF(AND(CV$11&gt;=$H84,CV$11&lt;=$I84),1,""))</f>
        <v/>
      </c>
      <c r="CW84" s="448" t="str">
        <f aca="false">IF($G84=0,IF(CW$11=$H84,"◆",""),IF(AND(CW$11&gt;=$H84,CW$11&lt;=$I84),1,""))</f>
        <v/>
      </c>
      <c r="CX84" s="448" t="str">
        <f aca="false">IF($G84=0,IF(CX$11=$H84,"◆",""),IF(AND(CX$11&gt;=$H84,CX$11&lt;=$I84),1,""))</f>
        <v/>
      </c>
      <c r="CY84" s="448" t="str">
        <f aca="false">IF($G84=0,IF(CY$11=$H84,"◆",""),IF(AND(CY$11&gt;=$H84,CY$11&lt;=$I84),1,""))</f>
        <v/>
      </c>
      <c r="CZ84" s="448" t="str">
        <f aca="false">IF($G84=0,IF(CZ$11=$H84,"◆",""),IF(AND(CZ$11&gt;=$H84,CZ$11&lt;=$I84),1,""))</f>
        <v/>
      </c>
      <c r="DA84" s="448" t="str">
        <f aca="false">IF($G84=0,IF(DA$11=$H84,"◆",""),IF(AND(DA$11&gt;=$H84,DA$11&lt;=$I84),1,""))</f>
        <v/>
      </c>
      <c r="DB84" s="448" t="str">
        <f aca="false">IF($G84=0,IF(DB$11=$H84,"◆",""),IF(AND(DB$11&gt;=$H84,DB$11&lt;=$I84),1,""))</f>
        <v/>
      </c>
      <c r="DC84" s="448" t="str">
        <f aca="false">IF($G84=0,IF(DC$11=$H84,"◆",""),IF(AND(DC$11&gt;=$H84,DC$11&lt;=$I84),1,""))</f>
        <v/>
      </c>
      <c r="DD84" s="448" t="str">
        <f aca="false">IF($G84=0,IF(DD$11=$H84,"◆",""),IF(AND(DD$11&gt;=$H84,DD$11&lt;=$I84),1,""))</f>
        <v/>
      </c>
      <c r="DE84" s="448" t="str">
        <f aca="false">IF($G84=0,IF(DE$11=$H84,"◆",""),IF(AND(DE$11&gt;=$H84,DE$11&lt;=$I84),1,""))</f>
        <v/>
      </c>
      <c r="DF84" s="448" t="str">
        <f aca="false">IF($G84=0,IF(DF$11=$H84,"◆",""),IF(AND(DF$11&gt;=$H84,DF$11&lt;=$I84),1,""))</f>
        <v/>
      </c>
      <c r="DG84" s="448" t="str">
        <f aca="false">IF($G84=0,IF(DG$11=$H84,"◆",""),IF(AND(DG$11&gt;=$H84,DG$11&lt;=$I84),1,""))</f>
        <v/>
      </c>
      <c r="DH84" s="448" t="str">
        <f aca="false">IF($G84=0,IF(DH$11=$H84,"◆",""),IF(AND(DH$11&gt;=$H84,DH$11&lt;=$I84),1,""))</f>
        <v/>
      </c>
      <c r="DI84" s="448" t="str">
        <f aca="false">IF($G84=0,IF(DI$11=$H84,"◆",""),IF(AND(DI$11&gt;=$H84,DI$11&lt;=$I84),1,""))</f>
        <v/>
      </c>
      <c r="DJ84" s="448" t="str">
        <f aca="false">IF($G84=0,IF(DJ$11=$H84,"◆",""),IF(AND(DJ$11&gt;=$H84,DJ$11&lt;=$I84),1,""))</f>
        <v/>
      </c>
      <c r="DK84" s="448" t="str">
        <f aca="false">IF($G84=0,IF(DK$11=$H84,"◆",""),IF(AND(DK$11&gt;=$H84,DK$11&lt;=$I84),1,""))</f>
        <v/>
      </c>
      <c r="DL84" s="448" t="str">
        <f aca="false">IF($G84=0,IF(DL$11=$H84,"◆",""),IF(AND(DL$11&gt;=$H84,DL$11&lt;=$I84),1,""))</f>
        <v/>
      </c>
      <c r="DM84" s="448" t="str">
        <f aca="false">IF($G84=0,IF(DM$11=$H84,"◆",""),IF(AND(DM$11&gt;=$H84,DM$11&lt;=$I84),1,""))</f>
        <v/>
      </c>
      <c r="DN84" s="448" t="str">
        <f aca="false">IF($G84=0,IF(DN$11=$H84,"◆",""),IF(AND(DN$11&gt;=$H84,DN$11&lt;=$I84),1,""))</f>
        <v/>
      </c>
      <c r="DO84" s="448" t="str">
        <f aca="false">IF($G84=0,IF(DO$11=$H84,"◆",""),IF(AND(DO$11&gt;=$H84,DO$11&lt;=$I84),1,""))</f>
        <v/>
      </c>
      <c r="DP84" s="448" t="str">
        <f aca="false">IF($G84=0,IF(DP$11=$H84,"◆",""),IF(AND(DP$11&gt;=$H84,DP$11&lt;=$I84),1,""))</f>
        <v/>
      </c>
      <c r="DQ84" s="448" t="str">
        <f aca="false">IF($G84=0,IF(DQ$11=$H84,"◆",""),IF(AND(DQ$11&gt;=$H84,DQ$11&lt;=$I84),1,""))</f>
        <v/>
      </c>
      <c r="DR84" s="448" t="str">
        <f aca="false">IF($G84=0,IF(DR$11=$H84,"◆",""),IF(AND(DR$11&gt;=$H84,DR$11&lt;=$I84),1,""))</f>
        <v/>
      </c>
      <c r="DS84" s="448" t="str">
        <f aca="false">IF($G84=0,IF(DS$11=$H84,"◆",""),IF(AND(DS$11&gt;=$H84,DS$11&lt;=$I84),1,""))</f>
        <v/>
      </c>
      <c r="DT84" s="448" t="str">
        <f aca="false">IF($G84=0,IF(DT$11=$H84,"◆",""),IF(AND(DT$11&gt;=$H84,DT$11&lt;=$I84),1,""))</f>
        <v/>
      </c>
      <c r="DU84" s="448" t="str">
        <f aca="false">IF($G84=0,IF(DU$11=$H84,"◆",""),IF(AND(DU$11&gt;=$H84,DU$11&lt;=$I84),1,""))</f>
        <v/>
      </c>
      <c r="DV84" s="448" t="str">
        <f aca="false">IF($G84=0,IF(DV$11=$H84,"◆",""),IF(AND(DV$11&gt;=$H84,DV$11&lt;=$I84),1,""))</f>
        <v/>
      </c>
      <c r="DW84" s="448" t="str">
        <f aca="false">IF($G84=0,IF(DW$11=$H84,"◆",""),IF(AND(DW$11&gt;=$H84,DW$11&lt;=$I84),1,""))</f>
        <v/>
      </c>
      <c r="DX84" s="448" t="str">
        <f aca="false">IF($G84=0,IF(DX$11=$H84,"◆",""),IF(AND(DX$11&gt;=$H84,DX$11&lt;=$I84),1,""))</f>
        <v/>
      </c>
      <c r="DY84" s="448" t="str">
        <f aca="false">IF($G84=0,IF(DY$11=$H84,"◆",""),IF(AND(DY$11&gt;=$H84,DY$11&lt;=$I84),1,""))</f>
        <v/>
      </c>
      <c r="DZ84" s="448" t="str">
        <f aca="false">IF($G84=0,IF(DZ$11=$H84,"◆",""),IF(AND(DZ$11&gt;=$H84,DZ$11&lt;=$I84),1,""))</f>
        <v/>
      </c>
      <c r="EA84" s="448" t="str">
        <f aca="false">IF($G84=0,IF(EA$11=$H84,"◆",""),IF(AND(EA$11&gt;=$H84,EA$11&lt;=$I84),1,""))</f>
        <v/>
      </c>
      <c r="EB84" s="448" t="str">
        <f aca="false">IF($G84=0,IF(EB$11=$H84,"◆",""),IF(AND(EB$11&gt;=$H84,EB$11&lt;=$I84),1,""))</f>
        <v/>
      </c>
      <c r="EC84" s="448" t="str">
        <f aca="false">IF($G84=0,IF(EC$11=$H84,"◆",""),IF(AND(EC$11&gt;=$H84,EC$11&lt;=$I84),1,""))</f>
        <v/>
      </c>
      <c r="ED84" s="448" t="str">
        <f aca="false">IF($G84=0,IF(ED$11=$H84,"◆",""),IF(AND(ED$11&gt;=$H84,ED$11&lt;=$I84),1,""))</f>
        <v/>
      </c>
    </row>
    <row r="85" customFormat="false" ht="15" hidden="false" customHeight="true" outlineLevel="0" collapsed="false">
      <c r="A85" s="450" t="s">
        <v>2609</v>
      </c>
      <c r="B85" s="421" t="s">
        <v>2610</v>
      </c>
      <c r="C85" s="442" t="s">
        <v>2476</v>
      </c>
      <c r="D85" s="443" t="s">
        <v>2500</v>
      </c>
      <c r="E85" s="354" t="n">
        <f aca="false">FC_SUPUESTOS!$C$23</f>
        <v>10</v>
      </c>
      <c r="F85" s="352" t="n">
        <v>-1</v>
      </c>
      <c r="G85" s="352" t="n">
        <v>0</v>
      </c>
      <c r="H85" s="358" t="n">
        <f aca="false">MAX(1,ROUND(($E85-1)*$D$5,0)+1+$F85)</f>
        <v>39</v>
      </c>
      <c r="I85" s="358" t="n">
        <f aca="false">MAX($H85,$H85+$G85-1)</f>
        <v>39</v>
      </c>
      <c r="J85" s="451" t="n">
        <f aca="false">$D$4+($H85-1)*7</f>
        <v>46566</v>
      </c>
      <c r="K85" s="451" t="n">
        <f aca="false">$D$4+$I85*7-1</f>
        <v>46572</v>
      </c>
      <c r="L85" s="445" t="n">
        <f aca="false">ROUNDUP($H85/$D$5,0)</f>
        <v>9</v>
      </c>
      <c r="M85" s="446" t="s">
        <v>2453</v>
      </c>
      <c r="N85" s="447" t="n">
        <v>0</v>
      </c>
      <c r="O85" s="448" t="str">
        <f aca="false">IF($G85=0,IF(O$11=$H85,"◆",""),IF(AND(O$11&gt;=$H85,O$11&lt;=$I85),1,""))</f>
        <v/>
      </c>
      <c r="P85" s="448" t="str">
        <f aca="false">IF($G85=0,IF(P$11=$H85,"◆",""),IF(AND(P$11&gt;=$H85,P$11&lt;=$I85),1,""))</f>
        <v/>
      </c>
      <c r="Q85" s="448" t="str">
        <f aca="false">IF($G85=0,IF(Q$11=$H85,"◆",""),IF(AND(Q$11&gt;=$H85,Q$11&lt;=$I85),1,""))</f>
        <v/>
      </c>
      <c r="R85" s="448" t="str">
        <f aca="false">IF($G85=0,IF(R$11=$H85,"◆",""),IF(AND(R$11&gt;=$H85,R$11&lt;=$I85),1,""))</f>
        <v/>
      </c>
      <c r="S85" s="448" t="str">
        <f aca="false">IF($G85=0,IF(S$11=$H85,"◆",""),IF(AND(S$11&gt;=$H85,S$11&lt;=$I85),1,""))</f>
        <v/>
      </c>
      <c r="T85" s="448" t="str">
        <f aca="false">IF($G85=0,IF(T$11=$H85,"◆",""),IF(AND(T$11&gt;=$H85,T$11&lt;=$I85),1,""))</f>
        <v/>
      </c>
      <c r="U85" s="448" t="str">
        <f aca="false">IF($G85=0,IF(U$11=$H85,"◆",""),IF(AND(U$11&gt;=$H85,U$11&lt;=$I85),1,""))</f>
        <v/>
      </c>
      <c r="V85" s="448" t="str">
        <f aca="false">IF($G85=0,IF(V$11=$H85,"◆",""),IF(AND(V$11&gt;=$H85,V$11&lt;=$I85),1,""))</f>
        <v/>
      </c>
      <c r="W85" s="448" t="str">
        <f aca="false">IF($G85=0,IF(W$11=$H85,"◆",""),IF(AND(W$11&gt;=$H85,W$11&lt;=$I85),1,""))</f>
        <v/>
      </c>
      <c r="X85" s="448" t="str">
        <f aca="false">IF($G85=0,IF(X$11=$H85,"◆",""),IF(AND(X$11&gt;=$H85,X$11&lt;=$I85),1,""))</f>
        <v/>
      </c>
      <c r="Y85" s="448" t="str">
        <f aca="false">IF($G85=0,IF(Y$11=$H85,"◆",""),IF(AND(Y$11&gt;=$H85,Y$11&lt;=$I85),1,""))</f>
        <v/>
      </c>
      <c r="Z85" s="448" t="str">
        <f aca="false">IF($G85=0,IF(Z$11=$H85,"◆",""),IF(AND(Z$11&gt;=$H85,Z$11&lt;=$I85),1,""))</f>
        <v/>
      </c>
      <c r="AA85" s="448" t="str">
        <f aca="false">IF($G85=0,IF(AA$11=$H85,"◆",""),IF(AND(AA$11&gt;=$H85,AA$11&lt;=$I85),1,""))</f>
        <v/>
      </c>
      <c r="AB85" s="448" t="str">
        <f aca="false">IF($G85=0,IF(AB$11=$H85,"◆",""),IF(AND(AB$11&gt;=$H85,AB$11&lt;=$I85),1,""))</f>
        <v/>
      </c>
      <c r="AC85" s="448" t="str">
        <f aca="false">IF($G85=0,IF(AC$11=$H85,"◆",""),IF(AND(AC$11&gt;=$H85,AC$11&lt;=$I85),1,""))</f>
        <v/>
      </c>
      <c r="AD85" s="448" t="str">
        <f aca="false">IF($G85=0,IF(AD$11=$H85,"◆",""),IF(AND(AD$11&gt;=$H85,AD$11&lt;=$I85),1,""))</f>
        <v/>
      </c>
      <c r="AE85" s="448" t="str">
        <f aca="false">IF($G85=0,IF(AE$11=$H85,"◆",""),IF(AND(AE$11&gt;=$H85,AE$11&lt;=$I85),1,""))</f>
        <v/>
      </c>
      <c r="AF85" s="448" t="str">
        <f aca="false">IF($G85=0,IF(AF$11=$H85,"◆",""),IF(AND(AF$11&gt;=$H85,AF$11&lt;=$I85),1,""))</f>
        <v/>
      </c>
      <c r="AG85" s="448" t="str">
        <f aca="false">IF($G85=0,IF(AG$11=$H85,"◆",""),IF(AND(AG$11&gt;=$H85,AG$11&lt;=$I85),1,""))</f>
        <v/>
      </c>
      <c r="AH85" s="448" t="str">
        <f aca="false">IF($G85=0,IF(AH$11=$H85,"◆",""),IF(AND(AH$11&gt;=$H85,AH$11&lt;=$I85),1,""))</f>
        <v/>
      </c>
      <c r="AI85" s="448" t="str">
        <f aca="false">IF($G85=0,IF(AI$11=$H85,"◆",""),IF(AND(AI$11&gt;=$H85,AI$11&lt;=$I85),1,""))</f>
        <v/>
      </c>
      <c r="AJ85" s="448" t="str">
        <f aca="false">IF($G85=0,IF(AJ$11=$H85,"◆",""),IF(AND(AJ$11&gt;=$H85,AJ$11&lt;=$I85),1,""))</f>
        <v/>
      </c>
      <c r="AK85" s="448" t="str">
        <f aca="false">IF($G85=0,IF(AK$11=$H85,"◆",""),IF(AND(AK$11&gt;=$H85,AK$11&lt;=$I85),1,""))</f>
        <v/>
      </c>
      <c r="AL85" s="448" t="str">
        <f aca="false">IF($G85=0,IF(AL$11=$H85,"◆",""),IF(AND(AL$11&gt;=$H85,AL$11&lt;=$I85),1,""))</f>
        <v/>
      </c>
      <c r="AM85" s="448" t="str">
        <f aca="false">IF($G85=0,IF(AM$11=$H85,"◆",""),IF(AND(AM$11&gt;=$H85,AM$11&lt;=$I85),1,""))</f>
        <v/>
      </c>
      <c r="AN85" s="448" t="str">
        <f aca="false">IF($G85=0,IF(AN$11=$H85,"◆",""),IF(AND(AN$11&gt;=$H85,AN$11&lt;=$I85),1,""))</f>
        <v/>
      </c>
      <c r="AO85" s="448" t="str">
        <f aca="false">IF($G85=0,IF(AO$11=$H85,"◆",""),IF(AND(AO$11&gt;=$H85,AO$11&lt;=$I85),1,""))</f>
        <v/>
      </c>
      <c r="AP85" s="448" t="str">
        <f aca="false">IF($G85=0,IF(AP$11=$H85,"◆",""),IF(AND(AP$11&gt;=$H85,AP$11&lt;=$I85),1,""))</f>
        <v/>
      </c>
      <c r="AQ85" s="448" t="str">
        <f aca="false">IF($G85=0,IF(AQ$11=$H85,"◆",""),IF(AND(AQ$11&gt;=$H85,AQ$11&lt;=$I85),1,""))</f>
        <v/>
      </c>
      <c r="AR85" s="448" t="str">
        <f aca="false">IF($G85=0,IF(AR$11=$H85,"◆",""),IF(AND(AR$11&gt;=$H85,AR$11&lt;=$I85),1,""))</f>
        <v/>
      </c>
      <c r="AS85" s="448" t="str">
        <f aca="false">IF($G85=0,IF(AS$11=$H85,"◆",""),IF(AND(AS$11&gt;=$H85,AS$11&lt;=$I85),1,""))</f>
        <v/>
      </c>
      <c r="AT85" s="448" t="str">
        <f aca="false">IF($G85=0,IF(AT$11=$H85,"◆",""),IF(AND(AT$11&gt;=$H85,AT$11&lt;=$I85),1,""))</f>
        <v/>
      </c>
      <c r="AU85" s="448" t="str">
        <f aca="false">IF($G85=0,IF(AU$11=$H85,"◆",""),IF(AND(AU$11&gt;=$H85,AU$11&lt;=$I85),1,""))</f>
        <v/>
      </c>
      <c r="AV85" s="448" t="str">
        <f aca="false">IF($G85=0,IF(AV$11=$H85,"◆",""),IF(AND(AV$11&gt;=$H85,AV$11&lt;=$I85),1,""))</f>
        <v/>
      </c>
      <c r="AW85" s="448" t="str">
        <f aca="false">IF($G85=0,IF(AW$11=$H85,"◆",""),IF(AND(AW$11&gt;=$H85,AW$11&lt;=$I85),1,""))</f>
        <v/>
      </c>
      <c r="AX85" s="448" t="str">
        <f aca="false">IF($G85=0,IF(AX$11=$H85,"◆",""),IF(AND(AX$11&gt;=$H85,AX$11&lt;=$I85),1,""))</f>
        <v/>
      </c>
      <c r="AY85" s="448" t="str">
        <f aca="false">IF($G85=0,IF(AY$11=$H85,"◆",""),IF(AND(AY$11&gt;=$H85,AY$11&lt;=$I85),1,""))</f>
        <v/>
      </c>
      <c r="AZ85" s="448" t="str">
        <f aca="false">IF($G85=0,IF(AZ$11=$H85,"◆",""),IF(AND(AZ$11&gt;=$H85,AZ$11&lt;=$I85),1,""))</f>
        <v/>
      </c>
      <c r="BA85" s="448" t="str">
        <f aca="false">IF($G85=0,IF(BA$11=$H85,"◆",""),IF(AND(BA$11&gt;=$H85,BA$11&lt;=$I85),1,""))</f>
        <v>◆</v>
      </c>
      <c r="BB85" s="448" t="str">
        <f aca="false">IF($G85=0,IF(BB$11=$H85,"◆",""),IF(AND(BB$11&gt;=$H85,BB$11&lt;=$I85),1,""))</f>
        <v/>
      </c>
      <c r="BC85" s="448" t="str">
        <f aca="false">IF($G85=0,IF(BC$11=$H85,"◆",""),IF(AND(BC$11&gt;=$H85,BC$11&lt;=$I85),1,""))</f>
        <v/>
      </c>
      <c r="BD85" s="448" t="str">
        <f aca="false">IF($G85=0,IF(BD$11=$H85,"◆",""),IF(AND(BD$11&gt;=$H85,BD$11&lt;=$I85),1,""))</f>
        <v/>
      </c>
      <c r="BE85" s="448" t="str">
        <f aca="false">IF($G85=0,IF(BE$11=$H85,"◆",""),IF(AND(BE$11&gt;=$H85,BE$11&lt;=$I85),1,""))</f>
        <v/>
      </c>
      <c r="BF85" s="448" t="str">
        <f aca="false">IF($G85=0,IF(BF$11=$H85,"◆",""),IF(AND(BF$11&gt;=$H85,BF$11&lt;=$I85),1,""))</f>
        <v/>
      </c>
      <c r="BG85" s="448" t="str">
        <f aca="false">IF($G85=0,IF(BG$11=$H85,"◆",""),IF(AND(BG$11&gt;=$H85,BG$11&lt;=$I85),1,""))</f>
        <v/>
      </c>
      <c r="BH85" s="448" t="str">
        <f aca="false">IF($G85=0,IF(BH$11=$H85,"◆",""),IF(AND(BH$11&gt;=$H85,BH$11&lt;=$I85),1,""))</f>
        <v/>
      </c>
      <c r="BI85" s="448" t="str">
        <f aca="false">IF($G85=0,IF(BI$11=$H85,"◆",""),IF(AND(BI$11&gt;=$H85,BI$11&lt;=$I85),1,""))</f>
        <v/>
      </c>
      <c r="BJ85" s="448" t="str">
        <f aca="false">IF($G85=0,IF(BJ$11=$H85,"◆",""),IF(AND(BJ$11&gt;=$H85,BJ$11&lt;=$I85),1,""))</f>
        <v/>
      </c>
      <c r="BK85" s="448" t="str">
        <f aca="false">IF($G85=0,IF(BK$11=$H85,"◆",""),IF(AND(BK$11&gt;=$H85,BK$11&lt;=$I85),1,""))</f>
        <v/>
      </c>
      <c r="BL85" s="448" t="str">
        <f aca="false">IF($G85=0,IF(BL$11=$H85,"◆",""),IF(AND(BL$11&gt;=$H85,BL$11&lt;=$I85),1,""))</f>
        <v/>
      </c>
      <c r="BM85" s="448" t="str">
        <f aca="false">IF($G85=0,IF(BM$11=$H85,"◆",""),IF(AND(BM$11&gt;=$H85,BM$11&lt;=$I85),1,""))</f>
        <v/>
      </c>
      <c r="BN85" s="448" t="str">
        <f aca="false">IF($G85=0,IF(BN$11=$H85,"◆",""),IF(AND(BN$11&gt;=$H85,BN$11&lt;=$I85),1,""))</f>
        <v/>
      </c>
      <c r="BO85" s="448" t="str">
        <f aca="false">IF($G85=0,IF(BO$11=$H85,"◆",""),IF(AND(BO$11&gt;=$H85,BO$11&lt;=$I85),1,""))</f>
        <v/>
      </c>
      <c r="BP85" s="448" t="str">
        <f aca="false">IF($G85=0,IF(BP$11=$H85,"◆",""),IF(AND(BP$11&gt;=$H85,BP$11&lt;=$I85),1,""))</f>
        <v/>
      </c>
      <c r="BQ85" s="448" t="str">
        <f aca="false">IF($G85=0,IF(BQ$11=$H85,"◆",""),IF(AND(BQ$11&gt;=$H85,BQ$11&lt;=$I85),1,""))</f>
        <v/>
      </c>
      <c r="BR85" s="448" t="str">
        <f aca="false">IF($G85=0,IF(BR$11=$H85,"◆",""),IF(AND(BR$11&gt;=$H85,BR$11&lt;=$I85),1,""))</f>
        <v/>
      </c>
      <c r="BS85" s="448" t="str">
        <f aca="false">IF($G85=0,IF(BS$11=$H85,"◆",""),IF(AND(BS$11&gt;=$H85,BS$11&lt;=$I85),1,""))</f>
        <v/>
      </c>
      <c r="BT85" s="448" t="str">
        <f aca="false">IF($G85=0,IF(BT$11=$H85,"◆",""),IF(AND(BT$11&gt;=$H85,BT$11&lt;=$I85),1,""))</f>
        <v/>
      </c>
      <c r="BU85" s="448" t="str">
        <f aca="false">IF($G85=0,IF(BU$11=$H85,"◆",""),IF(AND(BU$11&gt;=$H85,BU$11&lt;=$I85),1,""))</f>
        <v/>
      </c>
      <c r="BV85" s="448" t="str">
        <f aca="false">IF($G85=0,IF(BV$11=$H85,"◆",""),IF(AND(BV$11&gt;=$H85,BV$11&lt;=$I85),1,""))</f>
        <v/>
      </c>
      <c r="BW85" s="448" t="str">
        <f aca="false">IF($G85=0,IF(BW$11=$H85,"◆",""),IF(AND(BW$11&gt;=$H85,BW$11&lt;=$I85),1,""))</f>
        <v/>
      </c>
      <c r="BX85" s="448" t="str">
        <f aca="false">IF($G85=0,IF(BX$11=$H85,"◆",""),IF(AND(BX$11&gt;=$H85,BX$11&lt;=$I85),1,""))</f>
        <v/>
      </c>
      <c r="BY85" s="448" t="str">
        <f aca="false">IF($G85=0,IF(BY$11=$H85,"◆",""),IF(AND(BY$11&gt;=$H85,BY$11&lt;=$I85),1,""))</f>
        <v/>
      </c>
      <c r="BZ85" s="448" t="str">
        <f aca="false">IF($G85=0,IF(BZ$11=$H85,"◆",""),IF(AND(BZ$11&gt;=$H85,BZ$11&lt;=$I85),1,""))</f>
        <v/>
      </c>
      <c r="CA85" s="448" t="str">
        <f aca="false">IF($G85=0,IF(CA$11=$H85,"◆",""),IF(AND(CA$11&gt;=$H85,CA$11&lt;=$I85),1,""))</f>
        <v/>
      </c>
      <c r="CB85" s="448" t="str">
        <f aca="false">IF($G85=0,IF(CB$11=$H85,"◆",""),IF(AND(CB$11&gt;=$H85,CB$11&lt;=$I85),1,""))</f>
        <v/>
      </c>
      <c r="CC85" s="448" t="str">
        <f aca="false">IF($G85=0,IF(CC$11=$H85,"◆",""),IF(AND(CC$11&gt;=$H85,CC$11&lt;=$I85),1,""))</f>
        <v/>
      </c>
      <c r="CD85" s="448" t="str">
        <f aca="false">IF($G85=0,IF(CD$11=$H85,"◆",""),IF(AND(CD$11&gt;=$H85,CD$11&lt;=$I85),1,""))</f>
        <v/>
      </c>
      <c r="CE85" s="448" t="str">
        <f aca="false">IF($G85=0,IF(CE$11=$H85,"◆",""),IF(AND(CE$11&gt;=$H85,CE$11&lt;=$I85),1,""))</f>
        <v/>
      </c>
      <c r="CF85" s="448" t="str">
        <f aca="false">IF($G85=0,IF(CF$11=$H85,"◆",""),IF(AND(CF$11&gt;=$H85,CF$11&lt;=$I85),1,""))</f>
        <v/>
      </c>
      <c r="CG85" s="448" t="str">
        <f aca="false">IF($G85=0,IF(CG$11=$H85,"◆",""),IF(AND(CG$11&gt;=$H85,CG$11&lt;=$I85),1,""))</f>
        <v/>
      </c>
      <c r="CH85" s="448" t="str">
        <f aca="false">IF($G85=0,IF(CH$11=$H85,"◆",""),IF(AND(CH$11&gt;=$H85,CH$11&lt;=$I85),1,""))</f>
        <v/>
      </c>
      <c r="CI85" s="448" t="str">
        <f aca="false">IF($G85=0,IF(CI$11=$H85,"◆",""),IF(AND(CI$11&gt;=$H85,CI$11&lt;=$I85),1,""))</f>
        <v/>
      </c>
      <c r="CJ85" s="448" t="str">
        <f aca="false">IF($G85=0,IF(CJ$11=$H85,"◆",""),IF(AND(CJ$11&gt;=$H85,CJ$11&lt;=$I85),1,""))</f>
        <v/>
      </c>
      <c r="CK85" s="448" t="str">
        <f aca="false">IF($G85=0,IF(CK$11=$H85,"◆",""),IF(AND(CK$11&gt;=$H85,CK$11&lt;=$I85),1,""))</f>
        <v/>
      </c>
      <c r="CL85" s="448" t="str">
        <f aca="false">IF($G85=0,IF(CL$11=$H85,"◆",""),IF(AND(CL$11&gt;=$H85,CL$11&lt;=$I85),1,""))</f>
        <v/>
      </c>
      <c r="CM85" s="448" t="str">
        <f aca="false">IF($G85=0,IF(CM$11=$H85,"◆",""),IF(AND(CM$11&gt;=$H85,CM$11&lt;=$I85),1,""))</f>
        <v/>
      </c>
      <c r="CN85" s="448" t="str">
        <f aca="false">IF($G85=0,IF(CN$11=$H85,"◆",""),IF(AND(CN$11&gt;=$H85,CN$11&lt;=$I85),1,""))</f>
        <v/>
      </c>
      <c r="CO85" s="448" t="str">
        <f aca="false">IF($G85=0,IF(CO$11=$H85,"◆",""),IF(AND(CO$11&gt;=$H85,CO$11&lt;=$I85),1,""))</f>
        <v/>
      </c>
      <c r="CP85" s="448" t="str">
        <f aca="false">IF($G85=0,IF(CP$11=$H85,"◆",""),IF(AND(CP$11&gt;=$H85,CP$11&lt;=$I85),1,""))</f>
        <v/>
      </c>
      <c r="CQ85" s="448" t="str">
        <f aca="false">IF($G85=0,IF(CQ$11=$H85,"◆",""),IF(AND(CQ$11&gt;=$H85,CQ$11&lt;=$I85),1,""))</f>
        <v/>
      </c>
      <c r="CR85" s="448" t="str">
        <f aca="false">IF($G85=0,IF(CR$11=$H85,"◆",""),IF(AND(CR$11&gt;=$H85,CR$11&lt;=$I85),1,""))</f>
        <v/>
      </c>
      <c r="CS85" s="448" t="str">
        <f aca="false">IF($G85=0,IF(CS$11=$H85,"◆",""),IF(AND(CS$11&gt;=$H85,CS$11&lt;=$I85),1,""))</f>
        <v/>
      </c>
      <c r="CT85" s="448" t="str">
        <f aca="false">IF($G85=0,IF(CT$11=$H85,"◆",""),IF(AND(CT$11&gt;=$H85,CT$11&lt;=$I85),1,""))</f>
        <v/>
      </c>
      <c r="CU85" s="448" t="str">
        <f aca="false">IF($G85=0,IF(CU$11=$H85,"◆",""),IF(AND(CU$11&gt;=$H85,CU$11&lt;=$I85),1,""))</f>
        <v/>
      </c>
      <c r="CV85" s="448" t="str">
        <f aca="false">IF($G85=0,IF(CV$11=$H85,"◆",""),IF(AND(CV$11&gt;=$H85,CV$11&lt;=$I85),1,""))</f>
        <v/>
      </c>
      <c r="CW85" s="448" t="str">
        <f aca="false">IF($G85=0,IF(CW$11=$H85,"◆",""),IF(AND(CW$11&gt;=$H85,CW$11&lt;=$I85),1,""))</f>
        <v/>
      </c>
      <c r="CX85" s="448" t="str">
        <f aca="false">IF($G85=0,IF(CX$11=$H85,"◆",""),IF(AND(CX$11&gt;=$H85,CX$11&lt;=$I85),1,""))</f>
        <v/>
      </c>
      <c r="CY85" s="448" t="str">
        <f aca="false">IF($G85=0,IF(CY$11=$H85,"◆",""),IF(AND(CY$11&gt;=$H85,CY$11&lt;=$I85),1,""))</f>
        <v/>
      </c>
      <c r="CZ85" s="448" t="str">
        <f aca="false">IF($G85=0,IF(CZ$11=$H85,"◆",""),IF(AND(CZ$11&gt;=$H85,CZ$11&lt;=$I85),1,""))</f>
        <v/>
      </c>
      <c r="DA85" s="448" t="str">
        <f aca="false">IF($G85=0,IF(DA$11=$H85,"◆",""),IF(AND(DA$11&gt;=$H85,DA$11&lt;=$I85),1,""))</f>
        <v/>
      </c>
      <c r="DB85" s="448" t="str">
        <f aca="false">IF($G85=0,IF(DB$11=$H85,"◆",""),IF(AND(DB$11&gt;=$H85,DB$11&lt;=$I85),1,""))</f>
        <v/>
      </c>
      <c r="DC85" s="448" t="str">
        <f aca="false">IF($G85=0,IF(DC$11=$H85,"◆",""),IF(AND(DC$11&gt;=$H85,DC$11&lt;=$I85),1,""))</f>
        <v/>
      </c>
      <c r="DD85" s="448" t="str">
        <f aca="false">IF($G85=0,IF(DD$11=$H85,"◆",""),IF(AND(DD$11&gt;=$H85,DD$11&lt;=$I85),1,""))</f>
        <v/>
      </c>
      <c r="DE85" s="448" t="str">
        <f aca="false">IF($G85=0,IF(DE$11=$H85,"◆",""),IF(AND(DE$11&gt;=$H85,DE$11&lt;=$I85),1,""))</f>
        <v/>
      </c>
      <c r="DF85" s="448" t="str">
        <f aca="false">IF($G85=0,IF(DF$11=$H85,"◆",""),IF(AND(DF$11&gt;=$H85,DF$11&lt;=$I85),1,""))</f>
        <v/>
      </c>
      <c r="DG85" s="448" t="str">
        <f aca="false">IF($G85=0,IF(DG$11=$H85,"◆",""),IF(AND(DG$11&gt;=$H85,DG$11&lt;=$I85),1,""))</f>
        <v/>
      </c>
      <c r="DH85" s="448" t="str">
        <f aca="false">IF($G85=0,IF(DH$11=$H85,"◆",""),IF(AND(DH$11&gt;=$H85,DH$11&lt;=$I85),1,""))</f>
        <v/>
      </c>
      <c r="DI85" s="448" t="str">
        <f aca="false">IF($G85=0,IF(DI$11=$H85,"◆",""),IF(AND(DI$11&gt;=$H85,DI$11&lt;=$I85),1,""))</f>
        <v/>
      </c>
      <c r="DJ85" s="448" t="str">
        <f aca="false">IF($G85=0,IF(DJ$11=$H85,"◆",""),IF(AND(DJ$11&gt;=$H85,DJ$11&lt;=$I85),1,""))</f>
        <v/>
      </c>
      <c r="DK85" s="448" t="str">
        <f aca="false">IF($G85=0,IF(DK$11=$H85,"◆",""),IF(AND(DK$11&gt;=$H85,DK$11&lt;=$I85),1,""))</f>
        <v/>
      </c>
      <c r="DL85" s="448" t="str">
        <f aca="false">IF($G85=0,IF(DL$11=$H85,"◆",""),IF(AND(DL$11&gt;=$H85,DL$11&lt;=$I85),1,""))</f>
        <v/>
      </c>
      <c r="DM85" s="448" t="str">
        <f aca="false">IF($G85=0,IF(DM$11=$H85,"◆",""),IF(AND(DM$11&gt;=$H85,DM$11&lt;=$I85),1,""))</f>
        <v/>
      </c>
      <c r="DN85" s="448" t="str">
        <f aca="false">IF($G85=0,IF(DN$11=$H85,"◆",""),IF(AND(DN$11&gt;=$H85,DN$11&lt;=$I85),1,""))</f>
        <v/>
      </c>
      <c r="DO85" s="448" t="str">
        <f aca="false">IF($G85=0,IF(DO$11=$H85,"◆",""),IF(AND(DO$11&gt;=$H85,DO$11&lt;=$I85),1,""))</f>
        <v/>
      </c>
      <c r="DP85" s="448" t="str">
        <f aca="false">IF($G85=0,IF(DP$11=$H85,"◆",""),IF(AND(DP$11&gt;=$H85,DP$11&lt;=$I85),1,""))</f>
        <v/>
      </c>
      <c r="DQ85" s="448" t="str">
        <f aca="false">IF($G85=0,IF(DQ$11=$H85,"◆",""),IF(AND(DQ$11&gt;=$H85,DQ$11&lt;=$I85),1,""))</f>
        <v/>
      </c>
      <c r="DR85" s="448" t="str">
        <f aca="false">IF($G85=0,IF(DR$11=$H85,"◆",""),IF(AND(DR$11&gt;=$H85,DR$11&lt;=$I85),1,""))</f>
        <v/>
      </c>
      <c r="DS85" s="448" t="str">
        <f aca="false">IF($G85=0,IF(DS$11=$H85,"◆",""),IF(AND(DS$11&gt;=$H85,DS$11&lt;=$I85),1,""))</f>
        <v/>
      </c>
      <c r="DT85" s="448" t="str">
        <f aca="false">IF($G85=0,IF(DT$11=$H85,"◆",""),IF(AND(DT$11&gt;=$H85,DT$11&lt;=$I85),1,""))</f>
        <v/>
      </c>
      <c r="DU85" s="448" t="str">
        <f aca="false">IF($G85=0,IF(DU$11=$H85,"◆",""),IF(AND(DU$11&gt;=$H85,DU$11&lt;=$I85),1,""))</f>
        <v/>
      </c>
      <c r="DV85" s="448" t="str">
        <f aca="false">IF($G85=0,IF(DV$11=$H85,"◆",""),IF(AND(DV$11&gt;=$H85,DV$11&lt;=$I85),1,""))</f>
        <v/>
      </c>
      <c r="DW85" s="448" t="str">
        <f aca="false">IF($G85=0,IF(DW$11=$H85,"◆",""),IF(AND(DW$11&gt;=$H85,DW$11&lt;=$I85),1,""))</f>
        <v/>
      </c>
      <c r="DX85" s="448" t="str">
        <f aca="false">IF($G85=0,IF(DX$11=$H85,"◆",""),IF(AND(DX$11&gt;=$H85,DX$11&lt;=$I85),1,""))</f>
        <v/>
      </c>
      <c r="DY85" s="448" t="str">
        <f aca="false">IF($G85=0,IF(DY$11=$H85,"◆",""),IF(AND(DY$11&gt;=$H85,DY$11&lt;=$I85),1,""))</f>
        <v/>
      </c>
      <c r="DZ85" s="448" t="str">
        <f aca="false">IF($G85=0,IF(DZ$11=$H85,"◆",""),IF(AND(DZ$11&gt;=$H85,DZ$11&lt;=$I85),1,""))</f>
        <v/>
      </c>
      <c r="EA85" s="448" t="str">
        <f aca="false">IF($G85=0,IF(EA$11=$H85,"◆",""),IF(AND(EA$11&gt;=$H85,EA$11&lt;=$I85),1,""))</f>
        <v/>
      </c>
      <c r="EB85" s="448" t="str">
        <f aca="false">IF($G85=0,IF(EB$11=$H85,"◆",""),IF(AND(EB$11&gt;=$H85,EB$11&lt;=$I85),1,""))</f>
        <v/>
      </c>
      <c r="EC85" s="448" t="str">
        <f aca="false">IF($G85=0,IF(EC$11=$H85,"◆",""),IF(AND(EC$11&gt;=$H85,EC$11&lt;=$I85),1,""))</f>
        <v/>
      </c>
      <c r="ED85" s="448" t="str">
        <f aca="false">IF($G85=0,IF(ED$11=$H85,"◆",""),IF(AND(ED$11&gt;=$H85,ED$11&lt;=$I85),1,""))</f>
        <v/>
      </c>
    </row>
    <row r="86" customFormat="false" ht="15" hidden="false" customHeight="true" outlineLevel="0" collapsed="false">
      <c r="A86" s="466"/>
      <c r="B86" s="467" t="s">
        <v>2611</v>
      </c>
      <c r="C86" s="468"/>
      <c r="D86" s="468"/>
      <c r="E86" s="468"/>
      <c r="F86" s="468"/>
      <c r="G86" s="468"/>
      <c r="H86" s="468"/>
      <c r="I86" s="468"/>
      <c r="J86" s="468"/>
      <c r="K86" s="468"/>
      <c r="L86" s="468"/>
      <c r="M86" s="468"/>
      <c r="N86" s="468"/>
      <c r="O86" s="468"/>
      <c r="P86" s="468"/>
      <c r="Q86" s="468"/>
      <c r="R86" s="468"/>
      <c r="S86" s="468"/>
      <c r="T86" s="468"/>
      <c r="U86" s="468"/>
      <c r="V86" s="468"/>
      <c r="W86" s="468"/>
      <c r="X86" s="468"/>
      <c r="Y86" s="468"/>
      <c r="Z86" s="468"/>
      <c r="AA86" s="468"/>
      <c r="AB86" s="468"/>
      <c r="AC86" s="468"/>
      <c r="AD86" s="468"/>
      <c r="AE86" s="468"/>
      <c r="AF86" s="468"/>
      <c r="AG86" s="468"/>
      <c r="AH86" s="468"/>
      <c r="AI86" s="468"/>
      <c r="AJ86" s="468"/>
      <c r="AK86" s="468"/>
      <c r="AL86" s="468"/>
      <c r="AM86" s="468"/>
      <c r="AN86" s="468"/>
      <c r="AO86" s="468"/>
      <c r="AP86" s="468"/>
      <c r="AQ86" s="468"/>
      <c r="AR86" s="468"/>
      <c r="AS86" s="468"/>
      <c r="AT86" s="468"/>
      <c r="AU86" s="468"/>
      <c r="AV86" s="468"/>
      <c r="AW86" s="468"/>
      <c r="AX86" s="468"/>
      <c r="AY86" s="468"/>
      <c r="AZ86" s="468"/>
      <c r="BA86" s="468"/>
      <c r="BB86" s="468"/>
      <c r="BC86" s="468"/>
      <c r="BD86" s="468"/>
      <c r="BE86" s="468"/>
      <c r="BF86" s="468"/>
      <c r="BG86" s="468"/>
      <c r="BH86" s="468"/>
      <c r="BI86" s="468"/>
      <c r="BJ86" s="468"/>
      <c r="BK86" s="468"/>
      <c r="BL86" s="468"/>
      <c r="BM86" s="468"/>
      <c r="BN86" s="468"/>
      <c r="BO86" s="468"/>
      <c r="BP86" s="468"/>
      <c r="BQ86" s="468"/>
      <c r="BR86" s="468"/>
      <c r="BS86" s="468"/>
      <c r="BT86" s="468"/>
      <c r="BU86" s="468"/>
      <c r="BV86" s="468"/>
      <c r="BW86" s="468"/>
      <c r="BX86" s="468"/>
      <c r="BY86" s="468"/>
      <c r="BZ86" s="468"/>
      <c r="CA86" s="468"/>
      <c r="CB86" s="468"/>
      <c r="CC86" s="468"/>
      <c r="CD86" s="468"/>
      <c r="CE86" s="468"/>
      <c r="CF86" s="468"/>
      <c r="CG86" s="468"/>
      <c r="CH86" s="468"/>
      <c r="CI86" s="468"/>
      <c r="CJ86" s="468"/>
      <c r="CK86" s="468"/>
      <c r="CL86" s="468"/>
      <c r="CM86" s="468"/>
      <c r="CN86" s="468"/>
      <c r="CO86" s="468"/>
      <c r="CP86" s="468"/>
      <c r="CQ86" s="468"/>
      <c r="CR86" s="468"/>
      <c r="CS86" s="468"/>
      <c r="CT86" s="468"/>
      <c r="CU86" s="468"/>
      <c r="CV86" s="468"/>
      <c r="CW86" s="468"/>
      <c r="CX86" s="468"/>
      <c r="CY86" s="468"/>
      <c r="CZ86" s="468"/>
      <c r="DA86" s="468"/>
      <c r="DB86" s="468"/>
      <c r="DC86" s="468"/>
      <c r="DD86" s="468"/>
      <c r="DE86" s="468"/>
      <c r="DF86" s="468"/>
      <c r="DG86" s="468"/>
      <c r="DH86" s="468"/>
      <c r="DI86" s="468"/>
      <c r="DJ86" s="468"/>
      <c r="DK86" s="468"/>
      <c r="DL86" s="468"/>
      <c r="DM86" s="468"/>
      <c r="DN86" s="468"/>
      <c r="DO86" s="468"/>
      <c r="DP86" s="468"/>
      <c r="DQ86" s="468"/>
      <c r="DR86" s="468"/>
      <c r="DS86" s="468"/>
      <c r="DT86" s="468"/>
      <c r="DU86" s="468"/>
      <c r="DV86" s="468"/>
      <c r="DW86" s="468"/>
      <c r="DX86" s="468"/>
      <c r="DY86" s="468"/>
      <c r="DZ86" s="468"/>
      <c r="EA86" s="468"/>
      <c r="EB86" s="468"/>
      <c r="EC86" s="468"/>
      <c r="ED86" s="468"/>
    </row>
    <row r="87" customFormat="false" ht="15" hidden="false" customHeight="true" outlineLevel="0" collapsed="false">
      <c r="A87" s="441" t="s">
        <v>2612</v>
      </c>
      <c r="B87" s="297" t="str">
        <f aca="false">"Acuerdo intercompañía y precio de transferencia del ave con El Dorado (US$ "&amp;TEXT(SUP_POLLO!$C$13,"0.00")&amp;"/kg beneficiado, banda ±"&amp;TEXT(SUP_POLLO!$C$58,"0%")&amp;")"</f>
        <v>Acuerdo intercompañía y precio de transferencia del ave con El Dorado (US$ 2.20/kg beneficiado, banda ±8%)</v>
      </c>
      <c r="C87" s="442" t="s">
        <v>2613</v>
      </c>
      <c r="D87" s="443" t="s">
        <v>2436</v>
      </c>
      <c r="E87" s="354" t="n">
        <f aca="false">1</f>
        <v>1</v>
      </c>
      <c r="F87" s="352" t="n">
        <v>0</v>
      </c>
      <c r="G87" s="352" t="n">
        <v>8</v>
      </c>
      <c r="H87" s="367" t="n">
        <f aca="false">MAX(1,ROUND(($E87-1)*$D$5,0)+1+$F87)</f>
        <v>1</v>
      </c>
      <c r="I87" s="367" t="n">
        <f aca="false">MAX($H87,$H87+$G87-1)</f>
        <v>8</v>
      </c>
      <c r="J87" s="444" t="n">
        <f aca="false">$D$4+($H87-1)*7</f>
        <v>46300</v>
      </c>
      <c r="K87" s="444" t="n">
        <f aca="false">$D$4+$I87*7-1</f>
        <v>46355</v>
      </c>
      <c r="L87" s="445" t="n">
        <f aca="false">ROUNDUP($H87/$D$5,0)</f>
        <v>1</v>
      </c>
      <c r="M87" s="446" t="s">
        <v>2453</v>
      </c>
      <c r="N87" s="447" t="n">
        <v>0</v>
      </c>
      <c r="O87" s="448" t="n">
        <f aca="false">IF($G87=0,IF(O$11=$H87,"◆",""),IF(AND(O$11&gt;=$H87,O$11&lt;=$I87),1,""))</f>
        <v>1</v>
      </c>
      <c r="P87" s="448" t="n">
        <f aca="false">IF($G87=0,IF(P$11=$H87,"◆",""),IF(AND(P$11&gt;=$H87,P$11&lt;=$I87),1,""))</f>
        <v>1</v>
      </c>
      <c r="Q87" s="448" t="n">
        <f aca="false">IF($G87=0,IF(Q$11=$H87,"◆",""),IF(AND(Q$11&gt;=$H87,Q$11&lt;=$I87),1,""))</f>
        <v>1</v>
      </c>
      <c r="R87" s="448" t="n">
        <f aca="false">IF($G87=0,IF(R$11=$H87,"◆",""),IF(AND(R$11&gt;=$H87,R$11&lt;=$I87),1,""))</f>
        <v>1</v>
      </c>
      <c r="S87" s="448" t="n">
        <f aca="false">IF($G87=0,IF(S$11=$H87,"◆",""),IF(AND(S$11&gt;=$H87,S$11&lt;=$I87),1,""))</f>
        <v>1</v>
      </c>
      <c r="T87" s="448" t="n">
        <f aca="false">IF($G87=0,IF(T$11=$H87,"◆",""),IF(AND(T$11&gt;=$H87,T$11&lt;=$I87),1,""))</f>
        <v>1</v>
      </c>
      <c r="U87" s="448" t="n">
        <f aca="false">IF($G87=0,IF(U$11=$H87,"◆",""),IF(AND(U$11&gt;=$H87,U$11&lt;=$I87),1,""))</f>
        <v>1</v>
      </c>
      <c r="V87" s="448" t="n">
        <f aca="false">IF($G87=0,IF(V$11=$H87,"◆",""),IF(AND(V$11&gt;=$H87,V$11&lt;=$I87),1,""))</f>
        <v>1</v>
      </c>
      <c r="W87" s="448" t="str">
        <f aca="false">IF($G87=0,IF(W$11=$H87,"◆",""),IF(AND(W$11&gt;=$H87,W$11&lt;=$I87),1,""))</f>
        <v/>
      </c>
      <c r="X87" s="448" t="str">
        <f aca="false">IF($G87=0,IF(X$11=$H87,"◆",""),IF(AND(X$11&gt;=$H87,X$11&lt;=$I87),1,""))</f>
        <v/>
      </c>
      <c r="Y87" s="448" t="str">
        <f aca="false">IF($G87=0,IF(Y$11=$H87,"◆",""),IF(AND(Y$11&gt;=$H87,Y$11&lt;=$I87),1,""))</f>
        <v/>
      </c>
      <c r="Z87" s="448" t="str">
        <f aca="false">IF($G87=0,IF(Z$11=$H87,"◆",""),IF(AND(Z$11&gt;=$H87,Z$11&lt;=$I87),1,""))</f>
        <v/>
      </c>
      <c r="AA87" s="448" t="str">
        <f aca="false">IF($G87=0,IF(AA$11=$H87,"◆",""),IF(AND(AA$11&gt;=$H87,AA$11&lt;=$I87),1,""))</f>
        <v/>
      </c>
      <c r="AB87" s="448" t="str">
        <f aca="false">IF($G87=0,IF(AB$11=$H87,"◆",""),IF(AND(AB$11&gt;=$H87,AB$11&lt;=$I87),1,""))</f>
        <v/>
      </c>
      <c r="AC87" s="448" t="str">
        <f aca="false">IF($G87=0,IF(AC$11=$H87,"◆",""),IF(AND(AC$11&gt;=$H87,AC$11&lt;=$I87),1,""))</f>
        <v/>
      </c>
      <c r="AD87" s="448" t="str">
        <f aca="false">IF($G87=0,IF(AD$11=$H87,"◆",""),IF(AND(AD$11&gt;=$H87,AD$11&lt;=$I87),1,""))</f>
        <v/>
      </c>
      <c r="AE87" s="448" t="str">
        <f aca="false">IF($G87=0,IF(AE$11=$H87,"◆",""),IF(AND(AE$11&gt;=$H87,AE$11&lt;=$I87),1,""))</f>
        <v/>
      </c>
      <c r="AF87" s="448" t="str">
        <f aca="false">IF($G87=0,IF(AF$11=$H87,"◆",""),IF(AND(AF$11&gt;=$H87,AF$11&lt;=$I87),1,""))</f>
        <v/>
      </c>
      <c r="AG87" s="448" t="str">
        <f aca="false">IF($G87=0,IF(AG$11=$H87,"◆",""),IF(AND(AG$11&gt;=$H87,AG$11&lt;=$I87),1,""))</f>
        <v/>
      </c>
      <c r="AH87" s="448" t="str">
        <f aca="false">IF($G87=0,IF(AH$11=$H87,"◆",""),IF(AND(AH$11&gt;=$H87,AH$11&lt;=$I87),1,""))</f>
        <v/>
      </c>
      <c r="AI87" s="448" t="str">
        <f aca="false">IF($G87=0,IF(AI$11=$H87,"◆",""),IF(AND(AI$11&gt;=$H87,AI$11&lt;=$I87),1,""))</f>
        <v/>
      </c>
      <c r="AJ87" s="448" t="str">
        <f aca="false">IF($G87=0,IF(AJ$11=$H87,"◆",""),IF(AND(AJ$11&gt;=$H87,AJ$11&lt;=$I87),1,""))</f>
        <v/>
      </c>
      <c r="AK87" s="448" t="str">
        <f aca="false">IF($G87=0,IF(AK$11=$H87,"◆",""),IF(AND(AK$11&gt;=$H87,AK$11&lt;=$I87),1,""))</f>
        <v/>
      </c>
      <c r="AL87" s="448" t="str">
        <f aca="false">IF($G87=0,IF(AL$11=$H87,"◆",""),IF(AND(AL$11&gt;=$H87,AL$11&lt;=$I87),1,""))</f>
        <v/>
      </c>
      <c r="AM87" s="448" t="str">
        <f aca="false">IF($G87=0,IF(AM$11=$H87,"◆",""),IF(AND(AM$11&gt;=$H87,AM$11&lt;=$I87),1,""))</f>
        <v/>
      </c>
      <c r="AN87" s="448" t="str">
        <f aca="false">IF($G87=0,IF(AN$11=$H87,"◆",""),IF(AND(AN$11&gt;=$H87,AN$11&lt;=$I87),1,""))</f>
        <v/>
      </c>
      <c r="AO87" s="448" t="str">
        <f aca="false">IF($G87=0,IF(AO$11=$H87,"◆",""),IF(AND(AO$11&gt;=$H87,AO$11&lt;=$I87),1,""))</f>
        <v/>
      </c>
      <c r="AP87" s="448" t="str">
        <f aca="false">IF($G87=0,IF(AP$11=$H87,"◆",""),IF(AND(AP$11&gt;=$H87,AP$11&lt;=$I87),1,""))</f>
        <v/>
      </c>
      <c r="AQ87" s="448" t="str">
        <f aca="false">IF($G87=0,IF(AQ$11=$H87,"◆",""),IF(AND(AQ$11&gt;=$H87,AQ$11&lt;=$I87),1,""))</f>
        <v/>
      </c>
      <c r="AR87" s="448" t="str">
        <f aca="false">IF($G87=0,IF(AR$11=$H87,"◆",""),IF(AND(AR$11&gt;=$H87,AR$11&lt;=$I87),1,""))</f>
        <v/>
      </c>
      <c r="AS87" s="448" t="str">
        <f aca="false">IF($G87=0,IF(AS$11=$H87,"◆",""),IF(AND(AS$11&gt;=$H87,AS$11&lt;=$I87),1,""))</f>
        <v/>
      </c>
      <c r="AT87" s="448" t="str">
        <f aca="false">IF($G87=0,IF(AT$11=$H87,"◆",""),IF(AND(AT$11&gt;=$H87,AT$11&lt;=$I87),1,""))</f>
        <v/>
      </c>
      <c r="AU87" s="448" t="str">
        <f aca="false">IF($G87=0,IF(AU$11=$H87,"◆",""),IF(AND(AU$11&gt;=$H87,AU$11&lt;=$I87),1,""))</f>
        <v/>
      </c>
      <c r="AV87" s="448" t="str">
        <f aca="false">IF($G87=0,IF(AV$11=$H87,"◆",""),IF(AND(AV$11&gt;=$H87,AV$11&lt;=$I87),1,""))</f>
        <v/>
      </c>
      <c r="AW87" s="448" t="str">
        <f aca="false">IF($G87=0,IF(AW$11=$H87,"◆",""),IF(AND(AW$11&gt;=$H87,AW$11&lt;=$I87),1,""))</f>
        <v/>
      </c>
      <c r="AX87" s="448" t="str">
        <f aca="false">IF($G87=0,IF(AX$11=$H87,"◆",""),IF(AND(AX$11&gt;=$H87,AX$11&lt;=$I87),1,""))</f>
        <v/>
      </c>
      <c r="AY87" s="448" t="str">
        <f aca="false">IF($G87=0,IF(AY$11=$H87,"◆",""),IF(AND(AY$11&gt;=$H87,AY$11&lt;=$I87),1,""))</f>
        <v/>
      </c>
      <c r="AZ87" s="448" t="str">
        <f aca="false">IF($G87=0,IF(AZ$11=$H87,"◆",""),IF(AND(AZ$11&gt;=$H87,AZ$11&lt;=$I87),1,""))</f>
        <v/>
      </c>
      <c r="BA87" s="448" t="str">
        <f aca="false">IF($G87=0,IF(BA$11=$H87,"◆",""),IF(AND(BA$11&gt;=$H87,BA$11&lt;=$I87),1,""))</f>
        <v/>
      </c>
      <c r="BB87" s="448" t="str">
        <f aca="false">IF($G87=0,IF(BB$11=$H87,"◆",""),IF(AND(BB$11&gt;=$H87,BB$11&lt;=$I87),1,""))</f>
        <v/>
      </c>
      <c r="BC87" s="448" t="str">
        <f aca="false">IF($G87=0,IF(BC$11=$H87,"◆",""),IF(AND(BC$11&gt;=$H87,BC$11&lt;=$I87),1,""))</f>
        <v/>
      </c>
      <c r="BD87" s="448" t="str">
        <f aca="false">IF($G87=0,IF(BD$11=$H87,"◆",""),IF(AND(BD$11&gt;=$H87,BD$11&lt;=$I87),1,""))</f>
        <v/>
      </c>
      <c r="BE87" s="448" t="str">
        <f aca="false">IF($G87=0,IF(BE$11=$H87,"◆",""),IF(AND(BE$11&gt;=$H87,BE$11&lt;=$I87),1,""))</f>
        <v/>
      </c>
      <c r="BF87" s="448" t="str">
        <f aca="false">IF($G87=0,IF(BF$11=$H87,"◆",""),IF(AND(BF$11&gt;=$H87,BF$11&lt;=$I87),1,""))</f>
        <v/>
      </c>
      <c r="BG87" s="448" t="str">
        <f aca="false">IF($G87=0,IF(BG$11=$H87,"◆",""),IF(AND(BG$11&gt;=$H87,BG$11&lt;=$I87),1,""))</f>
        <v/>
      </c>
      <c r="BH87" s="448" t="str">
        <f aca="false">IF($G87=0,IF(BH$11=$H87,"◆",""),IF(AND(BH$11&gt;=$H87,BH$11&lt;=$I87),1,""))</f>
        <v/>
      </c>
      <c r="BI87" s="448" t="str">
        <f aca="false">IF($G87=0,IF(BI$11=$H87,"◆",""),IF(AND(BI$11&gt;=$H87,BI$11&lt;=$I87),1,""))</f>
        <v/>
      </c>
      <c r="BJ87" s="448" t="str">
        <f aca="false">IF($G87=0,IF(BJ$11=$H87,"◆",""),IF(AND(BJ$11&gt;=$H87,BJ$11&lt;=$I87),1,""))</f>
        <v/>
      </c>
      <c r="BK87" s="448" t="str">
        <f aca="false">IF($G87=0,IF(BK$11=$H87,"◆",""),IF(AND(BK$11&gt;=$H87,BK$11&lt;=$I87),1,""))</f>
        <v/>
      </c>
      <c r="BL87" s="448" t="str">
        <f aca="false">IF($G87=0,IF(BL$11=$H87,"◆",""),IF(AND(BL$11&gt;=$H87,BL$11&lt;=$I87),1,""))</f>
        <v/>
      </c>
      <c r="BM87" s="448" t="str">
        <f aca="false">IF($G87=0,IF(BM$11=$H87,"◆",""),IF(AND(BM$11&gt;=$H87,BM$11&lt;=$I87),1,""))</f>
        <v/>
      </c>
      <c r="BN87" s="448" t="str">
        <f aca="false">IF($G87=0,IF(BN$11=$H87,"◆",""),IF(AND(BN$11&gt;=$H87,BN$11&lt;=$I87),1,""))</f>
        <v/>
      </c>
      <c r="BO87" s="448" t="str">
        <f aca="false">IF($G87=0,IF(BO$11=$H87,"◆",""),IF(AND(BO$11&gt;=$H87,BO$11&lt;=$I87),1,""))</f>
        <v/>
      </c>
      <c r="BP87" s="448" t="str">
        <f aca="false">IF($G87=0,IF(BP$11=$H87,"◆",""),IF(AND(BP$11&gt;=$H87,BP$11&lt;=$I87),1,""))</f>
        <v/>
      </c>
      <c r="BQ87" s="448" t="str">
        <f aca="false">IF($G87=0,IF(BQ$11=$H87,"◆",""),IF(AND(BQ$11&gt;=$H87,BQ$11&lt;=$I87),1,""))</f>
        <v/>
      </c>
      <c r="BR87" s="448" t="str">
        <f aca="false">IF($G87=0,IF(BR$11=$H87,"◆",""),IF(AND(BR$11&gt;=$H87,BR$11&lt;=$I87),1,""))</f>
        <v/>
      </c>
      <c r="BS87" s="448" t="str">
        <f aca="false">IF($G87=0,IF(BS$11=$H87,"◆",""),IF(AND(BS$11&gt;=$H87,BS$11&lt;=$I87),1,""))</f>
        <v/>
      </c>
      <c r="BT87" s="448" t="str">
        <f aca="false">IF($G87=0,IF(BT$11=$H87,"◆",""),IF(AND(BT$11&gt;=$H87,BT$11&lt;=$I87),1,""))</f>
        <v/>
      </c>
      <c r="BU87" s="448" t="str">
        <f aca="false">IF($G87=0,IF(BU$11=$H87,"◆",""),IF(AND(BU$11&gt;=$H87,BU$11&lt;=$I87),1,""))</f>
        <v/>
      </c>
      <c r="BV87" s="448" t="str">
        <f aca="false">IF($G87=0,IF(BV$11=$H87,"◆",""),IF(AND(BV$11&gt;=$H87,BV$11&lt;=$I87),1,""))</f>
        <v/>
      </c>
      <c r="BW87" s="448" t="str">
        <f aca="false">IF($G87=0,IF(BW$11=$H87,"◆",""),IF(AND(BW$11&gt;=$H87,BW$11&lt;=$I87),1,""))</f>
        <v/>
      </c>
      <c r="BX87" s="448" t="str">
        <f aca="false">IF($G87=0,IF(BX$11=$H87,"◆",""),IF(AND(BX$11&gt;=$H87,BX$11&lt;=$I87),1,""))</f>
        <v/>
      </c>
      <c r="BY87" s="448" t="str">
        <f aca="false">IF($G87=0,IF(BY$11=$H87,"◆",""),IF(AND(BY$11&gt;=$H87,BY$11&lt;=$I87),1,""))</f>
        <v/>
      </c>
      <c r="BZ87" s="448" t="str">
        <f aca="false">IF($G87=0,IF(BZ$11=$H87,"◆",""),IF(AND(BZ$11&gt;=$H87,BZ$11&lt;=$I87),1,""))</f>
        <v/>
      </c>
      <c r="CA87" s="448" t="str">
        <f aca="false">IF($G87=0,IF(CA$11=$H87,"◆",""),IF(AND(CA$11&gt;=$H87,CA$11&lt;=$I87),1,""))</f>
        <v/>
      </c>
      <c r="CB87" s="448" t="str">
        <f aca="false">IF($G87=0,IF(CB$11=$H87,"◆",""),IF(AND(CB$11&gt;=$H87,CB$11&lt;=$I87),1,""))</f>
        <v/>
      </c>
      <c r="CC87" s="448" t="str">
        <f aca="false">IF($G87=0,IF(CC$11=$H87,"◆",""),IF(AND(CC$11&gt;=$H87,CC$11&lt;=$I87),1,""))</f>
        <v/>
      </c>
      <c r="CD87" s="448" t="str">
        <f aca="false">IF($G87=0,IF(CD$11=$H87,"◆",""),IF(AND(CD$11&gt;=$H87,CD$11&lt;=$I87),1,""))</f>
        <v/>
      </c>
      <c r="CE87" s="448" t="str">
        <f aca="false">IF($G87=0,IF(CE$11=$H87,"◆",""),IF(AND(CE$11&gt;=$H87,CE$11&lt;=$I87),1,""))</f>
        <v/>
      </c>
      <c r="CF87" s="448" t="str">
        <f aca="false">IF($G87=0,IF(CF$11=$H87,"◆",""),IF(AND(CF$11&gt;=$H87,CF$11&lt;=$I87),1,""))</f>
        <v/>
      </c>
      <c r="CG87" s="448" t="str">
        <f aca="false">IF($G87=0,IF(CG$11=$H87,"◆",""),IF(AND(CG$11&gt;=$H87,CG$11&lt;=$I87),1,""))</f>
        <v/>
      </c>
      <c r="CH87" s="448" t="str">
        <f aca="false">IF($G87=0,IF(CH$11=$H87,"◆",""),IF(AND(CH$11&gt;=$H87,CH$11&lt;=$I87),1,""))</f>
        <v/>
      </c>
      <c r="CI87" s="448" t="str">
        <f aca="false">IF($G87=0,IF(CI$11=$H87,"◆",""),IF(AND(CI$11&gt;=$H87,CI$11&lt;=$I87),1,""))</f>
        <v/>
      </c>
      <c r="CJ87" s="448" t="str">
        <f aca="false">IF($G87=0,IF(CJ$11=$H87,"◆",""),IF(AND(CJ$11&gt;=$H87,CJ$11&lt;=$I87),1,""))</f>
        <v/>
      </c>
      <c r="CK87" s="448" t="str">
        <f aca="false">IF($G87=0,IF(CK$11=$H87,"◆",""),IF(AND(CK$11&gt;=$H87,CK$11&lt;=$I87),1,""))</f>
        <v/>
      </c>
      <c r="CL87" s="448" t="str">
        <f aca="false">IF($G87=0,IF(CL$11=$H87,"◆",""),IF(AND(CL$11&gt;=$H87,CL$11&lt;=$I87),1,""))</f>
        <v/>
      </c>
      <c r="CM87" s="448" t="str">
        <f aca="false">IF($G87=0,IF(CM$11=$H87,"◆",""),IF(AND(CM$11&gt;=$H87,CM$11&lt;=$I87),1,""))</f>
        <v/>
      </c>
      <c r="CN87" s="448" t="str">
        <f aca="false">IF($G87=0,IF(CN$11=$H87,"◆",""),IF(AND(CN$11&gt;=$H87,CN$11&lt;=$I87),1,""))</f>
        <v/>
      </c>
      <c r="CO87" s="448" t="str">
        <f aca="false">IF($G87=0,IF(CO$11=$H87,"◆",""),IF(AND(CO$11&gt;=$H87,CO$11&lt;=$I87),1,""))</f>
        <v/>
      </c>
      <c r="CP87" s="448" t="str">
        <f aca="false">IF($G87=0,IF(CP$11=$H87,"◆",""),IF(AND(CP$11&gt;=$H87,CP$11&lt;=$I87),1,""))</f>
        <v/>
      </c>
      <c r="CQ87" s="448" t="str">
        <f aca="false">IF($G87=0,IF(CQ$11=$H87,"◆",""),IF(AND(CQ$11&gt;=$H87,CQ$11&lt;=$I87),1,""))</f>
        <v/>
      </c>
      <c r="CR87" s="448" t="str">
        <f aca="false">IF($G87=0,IF(CR$11=$H87,"◆",""),IF(AND(CR$11&gt;=$H87,CR$11&lt;=$I87),1,""))</f>
        <v/>
      </c>
      <c r="CS87" s="448" t="str">
        <f aca="false">IF($G87=0,IF(CS$11=$H87,"◆",""),IF(AND(CS$11&gt;=$H87,CS$11&lt;=$I87),1,""))</f>
        <v/>
      </c>
      <c r="CT87" s="448" t="str">
        <f aca="false">IF($G87=0,IF(CT$11=$H87,"◆",""),IF(AND(CT$11&gt;=$H87,CT$11&lt;=$I87),1,""))</f>
        <v/>
      </c>
      <c r="CU87" s="448" t="str">
        <f aca="false">IF($G87=0,IF(CU$11=$H87,"◆",""),IF(AND(CU$11&gt;=$H87,CU$11&lt;=$I87),1,""))</f>
        <v/>
      </c>
      <c r="CV87" s="448" t="str">
        <f aca="false">IF($G87=0,IF(CV$11=$H87,"◆",""),IF(AND(CV$11&gt;=$H87,CV$11&lt;=$I87),1,""))</f>
        <v/>
      </c>
      <c r="CW87" s="448" t="str">
        <f aca="false">IF($G87=0,IF(CW$11=$H87,"◆",""),IF(AND(CW$11&gt;=$H87,CW$11&lt;=$I87),1,""))</f>
        <v/>
      </c>
      <c r="CX87" s="448" t="str">
        <f aca="false">IF($G87=0,IF(CX$11=$H87,"◆",""),IF(AND(CX$11&gt;=$H87,CX$11&lt;=$I87),1,""))</f>
        <v/>
      </c>
      <c r="CY87" s="448" t="str">
        <f aca="false">IF($G87=0,IF(CY$11=$H87,"◆",""),IF(AND(CY$11&gt;=$H87,CY$11&lt;=$I87),1,""))</f>
        <v/>
      </c>
      <c r="CZ87" s="448" t="str">
        <f aca="false">IF($G87=0,IF(CZ$11=$H87,"◆",""),IF(AND(CZ$11&gt;=$H87,CZ$11&lt;=$I87),1,""))</f>
        <v/>
      </c>
      <c r="DA87" s="448" t="str">
        <f aca="false">IF($G87=0,IF(DA$11=$H87,"◆",""),IF(AND(DA$11&gt;=$H87,DA$11&lt;=$I87),1,""))</f>
        <v/>
      </c>
      <c r="DB87" s="448" t="str">
        <f aca="false">IF($G87=0,IF(DB$11=$H87,"◆",""),IF(AND(DB$11&gt;=$H87,DB$11&lt;=$I87),1,""))</f>
        <v/>
      </c>
      <c r="DC87" s="448" t="str">
        <f aca="false">IF($G87=0,IF(DC$11=$H87,"◆",""),IF(AND(DC$11&gt;=$H87,DC$11&lt;=$I87),1,""))</f>
        <v/>
      </c>
      <c r="DD87" s="448" t="str">
        <f aca="false">IF($G87=0,IF(DD$11=$H87,"◆",""),IF(AND(DD$11&gt;=$H87,DD$11&lt;=$I87),1,""))</f>
        <v/>
      </c>
      <c r="DE87" s="448" t="str">
        <f aca="false">IF($G87=0,IF(DE$11=$H87,"◆",""),IF(AND(DE$11&gt;=$H87,DE$11&lt;=$I87),1,""))</f>
        <v/>
      </c>
      <c r="DF87" s="448" t="str">
        <f aca="false">IF($G87=0,IF(DF$11=$H87,"◆",""),IF(AND(DF$11&gt;=$H87,DF$11&lt;=$I87),1,""))</f>
        <v/>
      </c>
      <c r="DG87" s="448" t="str">
        <f aca="false">IF($G87=0,IF(DG$11=$H87,"◆",""),IF(AND(DG$11&gt;=$H87,DG$11&lt;=$I87),1,""))</f>
        <v/>
      </c>
      <c r="DH87" s="448" t="str">
        <f aca="false">IF($G87=0,IF(DH$11=$H87,"◆",""),IF(AND(DH$11&gt;=$H87,DH$11&lt;=$I87),1,""))</f>
        <v/>
      </c>
      <c r="DI87" s="448" t="str">
        <f aca="false">IF($G87=0,IF(DI$11=$H87,"◆",""),IF(AND(DI$11&gt;=$H87,DI$11&lt;=$I87),1,""))</f>
        <v/>
      </c>
      <c r="DJ87" s="448" t="str">
        <f aca="false">IF($G87=0,IF(DJ$11=$H87,"◆",""),IF(AND(DJ$11&gt;=$H87,DJ$11&lt;=$I87),1,""))</f>
        <v/>
      </c>
      <c r="DK87" s="448" t="str">
        <f aca="false">IF($G87=0,IF(DK$11=$H87,"◆",""),IF(AND(DK$11&gt;=$H87,DK$11&lt;=$I87),1,""))</f>
        <v/>
      </c>
      <c r="DL87" s="448" t="str">
        <f aca="false">IF($G87=0,IF(DL$11=$H87,"◆",""),IF(AND(DL$11&gt;=$H87,DL$11&lt;=$I87),1,""))</f>
        <v/>
      </c>
      <c r="DM87" s="448" t="str">
        <f aca="false">IF($G87=0,IF(DM$11=$H87,"◆",""),IF(AND(DM$11&gt;=$H87,DM$11&lt;=$I87),1,""))</f>
        <v/>
      </c>
      <c r="DN87" s="448" t="str">
        <f aca="false">IF($G87=0,IF(DN$11=$H87,"◆",""),IF(AND(DN$11&gt;=$H87,DN$11&lt;=$I87),1,""))</f>
        <v/>
      </c>
      <c r="DO87" s="448" t="str">
        <f aca="false">IF($G87=0,IF(DO$11=$H87,"◆",""),IF(AND(DO$11&gt;=$H87,DO$11&lt;=$I87),1,""))</f>
        <v/>
      </c>
      <c r="DP87" s="448" t="str">
        <f aca="false">IF($G87=0,IF(DP$11=$H87,"◆",""),IF(AND(DP$11&gt;=$H87,DP$11&lt;=$I87),1,""))</f>
        <v/>
      </c>
      <c r="DQ87" s="448" t="str">
        <f aca="false">IF($G87=0,IF(DQ$11=$H87,"◆",""),IF(AND(DQ$11&gt;=$H87,DQ$11&lt;=$I87),1,""))</f>
        <v/>
      </c>
      <c r="DR87" s="448" t="str">
        <f aca="false">IF($G87=0,IF(DR$11=$H87,"◆",""),IF(AND(DR$11&gt;=$H87,DR$11&lt;=$I87),1,""))</f>
        <v/>
      </c>
      <c r="DS87" s="448" t="str">
        <f aca="false">IF($G87=0,IF(DS$11=$H87,"◆",""),IF(AND(DS$11&gt;=$H87,DS$11&lt;=$I87),1,""))</f>
        <v/>
      </c>
      <c r="DT87" s="448" t="str">
        <f aca="false">IF($G87=0,IF(DT$11=$H87,"◆",""),IF(AND(DT$11&gt;=$H87,DT$11&lt;=$I87),1,""))</f>
        <v/>
      </c>
      <c r="DU87" s="448" t="str">
        <f aca="false">IF($G87=0,IF(DU$11=$H87,"◆",""),IF(AND(DU$11&gt;=$H87,DU$11&lt;=$I87),1,""))</f>
        <v/>
      </c>
      <c r="DV87" s="448" t="str">
        <f aca="false">IF($G87=0,IF(DV$11=$H87,"◆",""),IF(AND(DV$11&gt;=$H87,DV$11&lt;=$I87),1,""))</f>
        <v/>
      </c>
      <c r="DW87" s="448" t="str">
        <f aca="false">IF($G87=0,IF(DW$11=$H87,"◆",""),IF(AND(DW$11&gt;=$H87,DW$11&lt;=$I87),1,""))</f>
        <v/>
      </c>
      <c r="DX87" s="448" t="str">
        <f aca="false">IF($G87=0,IF(DX$11=$H87,"◆",""),IF(AND(DX$11&gt;=$H87,DX$11&lt;=$I87),1,""))</f>
        <v/>
      </c>
      <c r="DY87" s="448" t="str">
        <f aca="false">IF($G87=0,IF(DY$11=$H87,"◆",""),IF(AND(DY$11&gt;=$H87,DY$11&lt;=$I87),1,""))</f>
        <v/>
      </c>
      <c r="DZ87" s="448" t="str">
        <f aca="false">IF($G87=0,IF(DZ$11=$H87,"◆",""),IF(AND(DZ$11&gt;=$H87,DZ$11&lt;=$I87),1,""))</f>
        <v/>
      </c>
      <c r="EA87" s="448" t="str">
        <f aca="false">IF($G87=0,IF(EA$11=$H87,"◆",""),IF(AND(EA$11&gt;=$H87,EA$11&lt;=$I87),1,""))</f>
        <v/>
      </c>
      <c r="EB87" s="448" t="str">
        <f aca="false">IF($G87=0,IF(EB$11=$H87,"◆",""),IF(AND(EB$11&gt;=$H87,EB$11&lt;=$I87),1,""))</f>
        <v/>
      </c>
      <c r="EC87" s="448" t="str">
        <f aca="false">IF($G87=0,IF(EC$11=$H87,"◆",""),IF(AND(EC$11&gt;=$H87,EC$11&lt;=$I87),1,""))</f>
        <v/>
      </c>
      <c r="ED87" s="448" t="str">
        <f aca="false">IF($G87=0,IF(ED$11=$H87,"◆",""),IF(AND(ED$11&gt;=$H87,ED$11&lt;=$I87),1,""))</f>
        <v/>
      </c>
    </row>
    <row r="88" customFormat="false" ht="15" hidden="false" customHeight="true" outlineLevel="0" collapsed="false">
      <c r="A88" s="441" t="s">
        <v>2614</v>
      </c>
      <c r="B88" s="297" t="s">
        <v>2615</v>
      </c>
      <c r="C88" s="442" t="s">
        <v>2552</v>
      </c>
      <c r="D88" s="443" t="s">
        <v>2436</v>
      </c>
      <c r="E88" s="354" t="n">
        <f aca="false">1</f>
        <v>1</v>
      </c>
      <c r="F88" s="352" t="n">
        <v>4</v>
      </c>
      <c r="G88" s="352" t="n">
        <v>6</v>
      </c>
      <c r="H88" s="367" t="n">
        <f aca="false">MAX(1,ROUND(($E88-1)*$D$5,0)+1+$F88)</f>
        <v>5</v>
      </c>
      <c r="I88" s="367" t="n">
        <f aca="false">MAX($H88,$H88+$G88-1)</f>
        <v>10</v>
      </c>
      <c r="J88" s="444" t="n">
        <f aca="false">$D$4+($H88-1)*7</f>
        <v>46328</v>
      </c>
      <c r="K88" s="444" t="n">
        <f aca="false">$D$4+$I88*7-1</f>
        <v>46369</v>
      </c>
      <c r="L88" s="445" t="n">
        <f aca="false">ROUNDUP($H88/$D$5,0)</f>
        <v>2</v>
      </c>
      <c r="M88" s="446"/>
      <c r="N88" s="447" t="n">
        <v>0</v>
      </c>
      <c r="O88" s="448" t="str">
        <f aca="false">IF($G88=0,IF(O$11=$H88,"◆",""),IF(AND(O$11&gt;=$H88,O$11&lt;=$I88),1,""))</f>
        <v/>
      </c>
      <c r="P88" s="448" t="str">
        <f aca="false">IF($G88=0,IF(P$11=$H88,"◆",""),IF(AND(P$11&gt;=$H88,P$11&lt;=$I88),1,""))</f>
        <v/>
      </c>
      <c r="Q88" s="448" t="str">
        <f aca="false">IF($G88=0,IF(Q$11=$H88,"◆",""),IF(AND(Q$11&gt;=$H88,Q$11&lt;=$I88),1,""))</f>
        <v/>
      </c>
      <c r="R88" s="448" t="str">
        <f aca="false">IF($G88=0,IF(R$11=$H88,"◆",""),IF(AND(R$11&gt;=$H88,R$11&lt;=$I88),1,""))</f>
        <v/>
      </c>
      <c r="S88" s="448" t="n">
        <f aca="false">IF($G88=0,IF(S$11=$H88,"◆",""),IF(AND(S$11&gt;=$H88,S$11&lt;=$I88),1,""))</f>
        <v>1</v>
      </c>
      <c r="T88" s="448" t="n">
        <f aca="false">IF($G88=0,IF(T$11=$H88,"◆",""),IF(AND(T$11&gt;=$H88,T$11&lt;=$I88),1,""))</f>
        <v>1</v>
      </c>
      <c r="U88" s="448" t="n">
        <f aca="false">IF($G88=0,IF(U$11=$H88,"◆",""),IF(AND(U$11&gt;=$H88,U$11&lt;=$I88),1,""))</f>
        <v>1</v>
      </c>
      <c r="V88" s="448" t="n">
        <f aca="false">IF($G88=0,IF(V$11=$H88,"◆",""),IF(AND(V$11&gt;=$H88,V$11&lt;=$I88),1,""))</f>
        <v>1</v>
      </c>
      <c r="W88" s="448" t="n">
        <f aca="false">IF($G88=0,IF(W$11=$H88,"◆",""),IF(AND(W$11&gt;=$H88,W$11&lt;=$I88),1,""))</f>
        <v>1</v>
      </c>
      <c r="X88" s="448" t="n">
        <f aca="false">IF($G88=0,IF(X$11=$H88,"◆",""),IF(AND(X$11&gt;=$H88,X$11&lt;=$I88),1,""))</f>
        <v>1</v>
      </c>
      <c r="Y88" s="448" t="str">
        <f aca="false">IF($G88=0,IF(Y$11=$H88,"◆",""),IF(AND(Y$11&gt;=$H88,Y$11&lt;=$I88),1,""))</f>
        <v/>
      </c>
      <c r="Z88" s="448" t="str">
        <f aca="false">IF($G88=0,IF(Z$11=$H88,"◆",""),IF(AND(Z$11&gt;=$H88,Z$11&lt;=$I88),1,""))</f>
        <v/>
      </c>
      <c r="AA88" s="448" t="str">
        <f aca="false">IF($G88=0,IF(AA$11=$H88,"◆",""),IF(AND(AA$11&gt;=$H88,AA$11&lt;=$I88),1,""))</f>
        <v/>
      </c>
      <c r="AB88" s="448" t="str">
        <f aca="false">IF($G88=0,IF(AB$11=$H88,"◆",""),IF(AND(AB$11&gt;=$H88,AB$11&lt;=$I88),1,""))</f>
        <v/>
      </c>
      <c r="AC88" s="448" t="str">
        <f aca="false">IF($G88=0,IF(AC$11=$H88,"◆",""),IF(AND(AC$11&gt;=$H88,AC$11&lt;=$I88),1,""))</f>
        <v/>
      </c>
      <c r="AD88" s="448" t="str">
        <f aca="false">IF($G88=0,IF(AD$11=$H88,"◆",""),IF(AND(AD$11&gt;=$H88,AD$11&lt;=$I88),1,""))</f>
        <v/>
      </c>
      <c r="AE88" s="448" t="str">
        <f aca="false">IF($G88=0,IF(AE$11=$H88,"◆",""),IF(AND(AE$11&gt;=$H88,AE$11&lt;=$I88),1,""))</f>
        <v/>
      </c>
      <c r="AF88" s="448" t="str">
        <f aca="false">IF($G88=0,IF(AF$11=$H88,"◆",""),IF(AND(AF$11&gt;=$H88,AF$11&lt;=$I88),1,""))</f>
        <v/>
      </c>
      <c r="AG88" s="448" t="str">
        <f aca="false">IF($G88=0,IF(AG$11=$H88,"◆",""),IF(AND(AG$11&gt;=$H88,AG$11&lt;=$I88),1,""))</f>
        <v/>
      </c>
      <c r="AH88" s="448" t="str">
        <f aca="false">IF($G88=0,IF(AH$11=$H88,"◆",""),IF(AND(AH$11&gt;=$H88,AH$11&lt;=$I88),1,""))</f>
        <v/>
      </c>
      <c r="AI88" s="448" t="str">
        <f aca="false">IF($G88=0,IF(AI$11=$H88,"◆",""),IF(AND(AI$11&gt;=$H88,AI$11&lt;=$I88),1,""))</f>
        <v/>
      </c>
      <c r="AJ88" s="448" t="str">
        <f aca="false">IF($G88=0,IF(AJ$11=$H88,"◆",""),IF(AND(AJ$11&gt;=$H88,AJ$11&lt;=$I88),1,""))</f>
        <v/>
      </c>
      <c r="AK88" s="448" t="str">
        <f aca="false">IF($G88=0,IF(AK$11=$H88,"◆",""),IF(AND(AK$11&gt;=$H88,AK$11&lt;=$I88),1,""))</f>
        <v/>
      </c>
      <c r="AL88" s="448" t="str">
        <f aca="false">IF($G88=0,IF(AL$11=$H88,"◆",""),IF(AND(AL$11&gt;=$H88,AL$11&lt;=$I88),1,""))</f>
        <v/>
      </c>
      <c r="AM88" s="448" t="str">
        <f aca="false">IF($G88=0,IF(AM$11=$H88,"◆",""),IF(AND(AM$11&gt;=$H88,AM$11&lt;=$I88),1,""))</f>
        <v/>
      </c>
      <c r="AN88" s="448" t="str">
        <f aca="false">IF($G88=0,IF(AN$11=$H88,"◆",""),IF(AND(AN$11&gt;=$H88,AN$11&lt;=$I88),1,""))</f>
        <v/>
      </c>
      <c r="AO88" s="448" t="str">
        <f aca="false">IF($G88=0,IF(AO$11=$H88,"◆",""),IF(AND(AO$11&gt;=$H88,AO$11&lt;=$I88),1,""))</f>
        <v/>
      </c>
      <c r="AP88" s="448" t="str">
        <f aca="false">IF($G88=0,IF(AP$11=$H88,"◆",""),IF(AND(AP$11&gt;=$H88,AP$11&lt;=$I88),1,""))</f>
        <v/>
      </c>
      <c r="AQ88" s="448" t="str">
        <f aca="false">IF($G88=0,IF(AQ$11=$H88,"◆",""),IF(AND(AQ$11&gt;=$H88,AQ$11&lt;=$I88),1,""))</f>
        <v/>
      </c>
      <c r="AR88" s="448" t="str">
        <f aca="false">IF($G88=0,IF(AR$11=$H88,"◆",""),IF(AND(AR$11&gt;=$H88,AR$11&lt;=$I88),1,""))</f>
        <v/>
      </c>
      <c r="AS88" s="448" t="str">
        <f aca="false">IF($G88=0,IF(AS$11=$H88,"◆",""),IF(AND(AS$11&gt;=$H88,AS$11&lt;=$I88),1,""))</f>
        <v/>
      </c>
      <c r="AT88" s="448" t="str">
        <f aca="false">IF($G88=0,IF(AT$11=$H88,"◆",""),IF(AND(AT$11&gt;=$H88,AT$11&lt;=$I88),1,""))</f>
        <v/>
      </c>
      <c r="AU88" s="448" t="str">
        <f aca="false">IF($G88=0,IF(AU$11=$H88,"◆",""),IF(AND(AU$11&gt;=$H88,AU$11&lt;=$I88),1,""))</f>
        <v/>
      </c>
      <c r="AV88" s="448" t="str">
        <f aca="false">IF($G88=0,IF(AV$11=$H88,"◆",""),IF(AND(AV$11&gt;=$H88,AV$11&lt;=$I88),1,""))</f>
        <v/>
      </c>
      <c r="AW88" s="448" t="str">
        <f aca="false">IF($G88=0,IF(AW$11=$H88,"◆",""),IF(AND(AW$11&gt;=$H88,AW$11&lt;=$I88),1,""))</f>
        <v/>
      </c>
      <c r="AX88" s="448" t="str">
        <f aca="false">IF($G88=0,IF(AX$11=$H88,"◆",""),IF(AND(AX$11&gt;=$H88,AX$11&lt;=$I88),1,""))</f>
        <v/>
      </c>
      <c r="AY88" s="448" t="str">
        <f aca="false">IF($G88=0,IF(AY$11=$H88,"◆",""),IF(AND(AY$11&gt;=$H88,AY$11&lt;=$I88),1,""))</f>
        <v/>
      </c>
      <c r="AZ88" s="448" t="str">
        <f aca="false">IF($G88=0,IF(AZ$11=$H88,"◆",""),IF(AND(AZ$11&gt;=$H88,AZ$11&lt;=$I88),1,""))</f>
        <v/>
      </c>
      <c r="BA88" s="448" t="str">
        <f aca="false">IF($G88=0,IF(BA$11=$H88,"◆",""),IF(AND(BA$11&gt;=$H88,BA$11&lt;=$I88),1,""))</f>
        <v/>
      </c>
      <c r="BB88" s="448" t="str">
        <f aca="false">IF($G88=0,IF(BB$11=$H88,"◆",""),IF(AND(BB$11&gt;=$H88,BB$11&lt;=$I88),1,""))</f>
        <v/>
      </c>
      <c r="BC88" s="448" t="str">
        <f aca="false">IF($G88=0,IF(BC$11=$H88,"◆",""),IF(AND(BC$11&gt;=$H88,BC$11&lt;=$I88),1,""))</f>
        <v/>
      </c>
      <c r="BD88" s="448" t="str">
        <f aca="false">IF($G88=0,IF(BD$11=$H88,"◆",""),IF(AND(BD$11&gt;=$H88,BD$11&lt;=$I88),1,""))</f>
        <v/>
      </c>
      <c r="BE88" s="448" t="str">
        <f aca="false">IF($G88=0,IF(BE$11=$H88,"◆",""),IF(AND(BE$11&gt;=$H88,BE$11&lt;=$I88),1,""))</f>
        <v/>
      </c>
      <c r="BF88" s="448" t="str">
        <f aca="false">IF($G88=0,IF(BF$11=$H88,"◆",""),IF(AND(BF$11&gt;=$H88,BF$11&lt;=$I88),1,""))</f>
        <v/>
      </c>
      <c r="BG88" s="448" t="str">
        <f aca="false">IF($G88=0,IF(BG$11=$H88,"◆",""),IF(AND(BG$11&gt;=$H88,BG$11&lt;=$I88),1,""))</f>
        <v/>
      </c>
      <c r="BH88" s="448" t="str">
        <f aca="false">IF($G88=0,IF(BH$11=$H88,"◆",""),IF(AND(BH$11&gt;=$H88,BH$11&lt;=$I88),1,""))</f>
        <v/>
      </c>
      <c r="BI88" s="448" t="str">
        <f aca="false">IF($G88=0,IF(BI$11=$H88,"◆",""),IF(AND(BI$11&gt;=$H88,BI$11&lt;=$I88),1,""))</f>
        <v/>
      </c>
      <c r="BJ88" s="448" t="str">
        <f aca="false">IF($G88=0,IF(BJ$11=$H88,"◆",""),IF(AND(BJ$11&gt;=$H88,BJ$11&lt;=$I88),1,""))</f>
        <v/>
      </c>
      <c r="BK88" s="448" t="str">
        <f aca="false">IF($G88=0,IF(BK$11=$H88,"◆",""),IF(AND(BK$11&gt;=$H88,BK$11&lt;=$I88),1,""))</f>
        <v/>
      </c>
      <c r="BL88" s="448" t="str">
        <f aca="false">IF($G88=0,IF(BL$11=$H88,"◆",""),IF(AND(BL$11&gt;=$H88,BL$11&lt;=$I88),1,""))</f>
        <v/>
      </c>
      <c r="BM88" s="448" t="str">
        <f aca="false">IF($G88=0,IF(BM$11=$H88,"◆",""),IF(AND(BM$11&gt;=$H88,BM$11&lt;=$I88),1,""))</f>
        <v/>
      </c>
      <c r="BN88" s="448" t="str">
        <f aca="false">IF($G88=0,IF(BN$11=$H88,"◆",""),IF(AND(BN$11&gt;=$H88,BN$11&lt;=$I88),1,""))</f>
        <v/>
      </c>
      <c r="BO88" s="448" t="str">
        <f aca="false">IF($G88=0,IF(BO$11=$H88,"◆",""),IF(AND(BO$11&gt;=$H88,BO$11&lt;=$I88),1,""))</f>
        <v/>
      </c>
      <c r="BP88" s="448" t="str">
        <f aca="false">IF($G88=0,IF(BP$11=$H88,"◆",""),IF(AND(BP$11&gt;=$H88,BP$11&lt;=$I88),1,""))</f>
        <v/>
      </c>
      <c r="BQ88" s="448" t="str">
        <f aca="false">IF($G88=0,IF(BQ$11=$H88,"◆",""),IF(AND(BQ$11&gt;=$H88,BQ$11&lt;=$I88),1,""))</f>
        <v/>
      </c>
      <c r="BR88" s="448" t="str">
        <f aca="false">IF($G88=0,IF(BR$11=$H88,"◆",""),IF(AND(BR$11&gt;=$H88,BR$11&lt;=$I88),1,""))</f>
        <v/>
      </c>
      <c r="BS88" s="448" t="str">
        <f aca="false">IF($G88=0,IF(BS$11=$H88,"◆",""),IF(AND(BS$11&gt;=$H88,BS$11&lt;=$I88),1,""))</f>
        <v/>
      </c>
      <c r="BT88" s="448" t="str">
        <f aca="false">IF($G88=0,IF(BT$11=$H88,"◆",""),IF(AND(BT$11&gt;=$H88,BT$11&lt;=$I88),1,""))</f>
        <v/>
      </c>
      <c r="BU88" s="448" t="str">
        <f aca="false">IF($G88=0,IF(BU$11=$H88,"◆",""),IF(AND(BU$11&gt;=$H88,BU$11&lt;=$I88),1,""))</f>
        <v/>
      </c>
      <c r="BV88" s="448" t="str">
        <f aca="false">IF($G88=0,IF(BV$11=$H88,"◆",""),IF(AND(BV$11&gt;=$H88,BV$11&lt;=$I88),1,""))</f>
        <v/>
      </c>
      <c r="BW88" s="448" t="str">
        <f aca="false">IF($G88=0,IF(BW$11=$H88,"◆",""),IF(AND(BW$11&gt;=$H88,BW$11&lt;=$I88),1,""))</f>
        <v/>
      </c>
      <c r="BX88" s="448" t="str">
        <f aca="false">IF($G88=0,IF(BX$11=$H88,"◆",""),IF(AND(BX$11&gt;=$H88,BX$11&lt;=$I88),1,""))</f>
        <v/>
      </c>
      <c r="BY88" s="448" t="str">
        <f aca="false">IF($G88=0,IF(BY$11=$H88,"◆",""),IF(AND(BY$11&gt;=$H88,BY$11&lt;=$I88),1,""))</f>
        <v/>
      </c>
      <c r="BZ88" s="448" t="str">
        <f aca="false">IF($G88=0,IF(BZ$11=$H88,"◆",""),IF(AND(BZ$11&gt;=$H88,BZ$11&lt;=$I88),1,""))</f>
        <v/>
      </c>
      <c r="CA88" s="448" t="str">
        <f aca="false">IF($G88=0,IF(CA$11=$H88,"◆",""),IF(AND(CA$11&gt;=$H88,CA$11&lt;=$I88),1,""))</f>
        <v/>
      </c>
      <c r="CB88" s="448" t="str">
        <f aca="false">IF($G88=0,IF(CB$11=$H88,"◆",""),IF(AND(CB$11&gt;=$H88,CB$11&lt;=$I88),1,""))</f>
        <v/>
      </c>
      <c r="CC88" s="448" t="str">
        <f aca="false">IF($G88=0,IF(CC$11=$H88,"◆",""),IF(AND(CC$11&gt;=$H88,CC$11&lt;=$I88),1,""))</f>
        <v/>
      </c>
      <c r="CD88" s="448" t="str">
        <f aca="false">IF($G88=0,IF(CD$11=$H88,"◆",""),IF(AND(CD$11&gt;=$H88,CD$11&lt;=$I88),1,""))</f>
        <v/>
      </c>
      <c r="CE88" s="448" t="str">
        <f aca="false">IF($G88=0,IF(CE$11=$H88,"◆",""),IF(AND(CE$11&gt;=$H88,CE$11&lt;=$I88),1,""))</f>
        <v/>
      </c>
      <c r="CF88" s="448" t="str">
        <f aca="false">IF($G88=0,IF(CF$11=$H88,"◆",""),IF(AND(CF$11&gt;=$H88,CF$11&lt;=$I88),1,""))</f>
        <v/>
      </c>
      <c r="CG88" s="448" t="str">
        <f aca="false">IF($G88=0,IF(CG$11=$H88,"◆",""),IF(AND(CG$11&gt;=$H88,CG$11&lt;=$I88),1,""))</f>
        <v/>
      </c>
      <c r="CH88" s="448" t="str">
        <f aca="false">IF($G88=0,IF(CH$11=$H88,"◆",""),IF(AND(CH$11&gt;=$H88,CH$11&lt;=$I88),1,""))</f>
        <v/>
      </c>
      <c r="CI88" s="448" t="str">
        <f aca="false">IF($G88=0,IF(CI$11=$H88,"◆",""),IF(AND(CI$11&gt;=$H88,CI$11&lt;=$I88),1,""))</f>
        <v/>
      </c>
      <c r="CJ88" s="448" t="str">
        <f aca="false">IF($G88=0,IF(CJ$11=$H88,"◆",""),IF(AND(CJ$11&gt;=$H88,CJ$11&lt;=$I88),1,""))</f>
        <v/>
      </c>
      <c r="CK88" s="448" t="str">
        <f aca="false">IF($G88=0,IF(CK$11=$H88,"◆",""),IF(AND(CK$11&gt;=$H88,CK$11&lt;=$I88),1,""))</f>
        <v/>
      </c>
      <c r="CL88" s="448" t="str">
        <f aca="false">IF($G88=0,IF(CL$11=$H88,"◆",""),IF(AND(CL$11&gt;=$H88,CL$11&lt;=$I88),1,""))</f>
        <v/>
      </c>
      <c r="CM88" s="448" t="str">
        <f aca="false">IF($G88=0,IF(CM$11=$H88,"◆",""),IF(AND(CM$11&gt;=$H88,CM$11&lt;=$I88),1,""))</f>
        <v/>
      </c>
      <c r="CN88" s="448" t="str">
        <f aca="false">IF($G88=0,IF(CN$11=$H88,"◆",""),IF(AND(CN$11&gt;=$H88,CN$11&lt;=$I88),1,""))</f>
        <v/>
      </c>
      <c r="CO88" s="448" t="str">
        <f aca="false">IF($G88=0,IF(CO$11=$H88,"◆",""),IF(AND(CO$11&gt;=$H88,CO$11&lt;=$I88),1,""))</f>
        <v/>
      </c>
      <c r="CP88" s="448" t="str">
        <f aca="false">IF($G88=0,IF(CP$11=$H88,"◆",""),IF(AND(CP$11&gt;=$H88,CP$11&lt;=$I88),1,""))</f>
        <v/>
      </c>
      <c r="CQ88" s="448" t="str">
        <f aca="false">IF($G88=0,IF(CQ$11=$H88,"◆",""),IF(AND(CQ$11&gt;=$H88,CQ$11&lt;=$I88),1,""))</f>
        <v/>
      </c>
      <c r="CR88" s="448" t="str">
        <f aca="false">IF($G88=0,IF(CR$11=$H88,"◆",""),IF(AND(CR$11&gt;=$H88,CR$11&lt;=$I88),1,""))</f>
        <v/>
      </c>
      <c r="CS88" s="448" t="str">
        <f aca="false">IF($G88=0,IF(CS$11=$H88,"◆",""),IF(AND(CS$11&gt;=$H88,CS$11&lt;=$I88),1,""))</f>
        <v/>
      </c>
      <c r="CT88" s="448" t="str">
        <f aca="false">IF($G88=0,IF(CT$11=$H88,"◆",""),IF(AND(CT$11&gt;=$H88,CT$11&lt;=$I88),1,""))</f>
        <v/>
      </c>
      <c r="CU88" s="448" t="str">
        <f aca="false">IF($G88=0,IF(CU$11=$H88,"◆",""),IF(AND(CU$11&gt;=$H88,CU$11&lt;=$I88),1,""))</f>
        <v/>
      </c>
      <c r="CV88" s="448" t="str">
        <f aca="false">IF($G88=0,IF(CV$11=$H88,"◆",""),IF(AND(CV$11&gt;=$H88,CV$11&lt;=$I88),1,""))</f>
        <v/>
      </c>
      <c r="CW88" s="448" t="str">
        <f aca="false">IF($G88=0,IF(CW$11=$H88,"◆",""),IF(AND(CW$11&gt;=$H88,CW$11&lt;=$I88),1,""))</f>
        <v/>
      </c>
      <c r="CX88" s="448" t="str">
        <f aca="false">IF($G88=0,IF(CX$11=$H88,"◆",""),IF(AND(CX$11&gt;=$H88,CX$11&lt;=$I88),1,""))</f>
        <v/>
      </c>
      <c r="CY88" s="448" t="str">
        <f aca="false">IF($G88=0,IF(CY$11=$H88,"◆",""),IF(AND(CY$11&gt;=$H88,CY$11&lt;=$I88),1,""))</f>
        <v/>
      </c>
      <c r="CZ88" s="448" t="str">
        <f aca="false">IF($G88=0,IF(CZ$11=$H88,"◆",""),IF(AND(CZ$11&gt;=$H88,CZ$11&lt;=$I88),1,""))</f>
        <v/>
      </c>
      <c r="DA88" s="448" t="str">
        <f aca="false">IF($G88=0,IF(DA$11=$H88,"◆",""),IF(AND(DA$11&gt;=$H88,DA$11&lt;=$I88),1,""))</f>
        <v/>
      </c>
      <c r="DB88" s="448" t="str">
        <f aca="false">IF($G88=0,IF(DB$11=$H88,"◆",""),IF(AND(DB$11&gt;=$H88,DB$11&lt;=$I88),1,""))</f>
        <v/>
      </c>
      <c r="DC88" s="448" t="str">
        <f aca="false">IF($G88=0,IF(DC$11=$H88,"◆",""),IF(AND(DC$11&gt;=$H88,DC$11&lt;=$I88),1,""))</f>
        <v/>
      </c>
      <c r="DD88" s="448" t="str">
        <f aca="false">IF($G88=0,IF(DD$11=$H88,"◆",""),IF(AND(DD$11&gt;=$H88,DD$11&lt;=$I88),1,""))</f>
        <v/>
      </c>
      <c r="DE88" s="448" t="str">
        <f aca="false">IF($G88=0,IF(DE$11=$H88,"◆",""),IF(AND(DE$11&gt;=$H88,DE$11&lt;=$I88),1,""))</f>
        <v/>
      </c>
      <c r="DF88" s="448" t="str">
        <f aca="false">IF($G88=0,IF(DF$11=$H88,"◆",""),IF(AND(DF$11&gt;=$H88,DF$11&lt;=$I88),1,""))</f>
        <v/>
      </c>
      <c r="DG88" s="448" t="str">
        <f aca="false">IF($G88=0,IF(DG$11=$H88,"◆",""),IF(AND(DG$11&gt;=$H88,DG$11&lt;=$I88),1,""))</f>
        <v/>
      </c>
      <c r="DH88" s="448" t="str">
        <f aca="false">IF($G88=0,IF(DH$11=$H88,"◆",""),IF(AND(DH$11&gt;=$H88,DH$11&lt;=$I88),1,""))</f>
        <v/>
      </c>
      <c r="DI88" s="448" t="str">
        <f aca="false">IF($G88=0,IF(DI$11=$H88,"◆",""),IF(AND(DI$11&gt;=$H88,DI$11&lt;=$I88),1,""))</f>
        <v/>
      </c>
      <c r="DJ88" s="448" t="str">
        <f aca="false">IF($G88=0,IF(DJ$11=$H88,"◆",""),IF(AND(DJ$11&gt;=$H88,DJ$11&lt;=$I88),1,""))</f>
        <v/>
      </c>
      <c r="DK88" s="448" t="str">
        <f aca="false">IF($G88=0,IF(DK$11=$H88,"◆",""),IF(AND(DK$11&gt;=$H88,DK$11&lt;=$I88),1,""))</f>
        <v/>
      </c>
      <c r="DL88" s="448" t="str">
        <f aca="false">IF($G88=0,IF(DL$11=$H88,"◆",""),IF(AND(DL$11&gt;=$H88,DL$11&lt;=$I88),1,""))</f>
        <v/>
      </c>
      <c r="DM88" s="448" t="str">
        <f aca="false">IF($G88=0,IF(DM$11=$H88,"◆",""),IF(AND(DM$11&gt;=$H88,DM$11&lt;=$I88),1,""))</f>
        <v/>
      </c>
      <c r="DN88" s="448" t="str">
        <f aca="false">IF($G88=0,IF(DN$11=$H88,"◆",""),IF(AND(DN$11&gt;=$H88,DN$11&lt;=$I88),1,""))</f>
        <v/>
      </c>
      <c r="DO88" s="448" t="str">
        <f aca="false">IF($G88=0,IF(DO$11=$H88,"◆",""),IF(AND(DO$11&gt;=$H88,DO$11&lt;=$I88),1,""))</f>
        <v/>
      </c>
      <c r="DP88" s="448" t="str">
        <f aca="false">IF($G88=0,IF(DP$11=$H88,"◆",""),IF(AND(DP$11&gt;=$H88,DP$11&lt;=$I88),1,""))</f>
        <v/>
      </c>
      <c r="DQ88" s="448" t="str">
        <f aca="false">IF($G88=0,IF(DQ$11=$H88,"◆",""),IF(AND(DQ$11&gt;=$H88,DQ$11&lt;=$I88),1,""))</f>
        <v/>
      </c>
      <c r="DR88" s="448" t="str">
        <f aca="false">IF($G88=0,IF(DR$11=$H88,"◆",""),IF(AND(DR$11&gt;=$H88,DR$11&lt;=$I88),1,""))</f>
        <v/>
      </c>
      <c r="DS88" s="448" t="str">
        <f aca="false">IF($G88=0,IF(DS$11=$H88,"◆",""),IF(AND(DS$11&gt;=$H88,DS$11&lt;=$I88),1,""))</f>
        <v/>
      </c>
      <c r="DT88" s="448" t="str">
        <f aca="false">IF($G88=0,IF(DT$11=$H88,"◆",""),IF(AND(DT$11&gt;=$H88,DT$11&lt;=$I88),1,""))</f>
        <v/>
      </c>
      <c r="DU88" s="448" t="str">
        <f aca="false">IF($G88=0,IF(DU$11=$H88,"◆",""),IF(AND(DU$11&gt;=$H88,DU$11&lt;=$I88),1,""))</f>
        <v/>
      </c>
      <c r="DV88" s="448" t="str">
        <f aca="false">IF($G88=0,IF(DV$11=$H88,"◆",""),IF(AND(DV$11&gt;=$H88,DV$11&lt;=$I88),1,""))</f>
        <v/>
      </c>
      <c r="DW88" s="448" t="str">
        <f aca="false">IF($G88=0,IF(DW$11=$H88,"◆",""),IF(AND(DW$11&gt;=$H88,DW$11&lt;=$I88),1,""))</f>
        <v/>
      </c>
      <c r="DX88" s="448" t="str">
        <f aca="false">IF($G88=0,IF(DX$11=$H88,"◆",""),IF(AND(DX$11&gt;=$H88,DX$11&lt;=$I88),1,""))</f>
        <v/>
      </c>
      <c r="DY88" s="448" t="str">
        <f aca="false">IF($G88=0,IF(DY$11=$H88,"◆",""),IF(AND(DY$11&gt;=$H88,DY$11&lt;=$I88),1,""))</f>
        <v/>
      </c>
      <c r="DZ88" s="448" t="str">
        <f aca="false">IF($G88=0,IF(DZ$11=$H88,"◆",""),IF(AND(DZ$11&gt;=$H88,DZ$11&lt;=$I88),1,""))</f>
        <v/>
      </c>
      <c r="EA88" s="448" t="str">
        <f aca="false">IF($G88=0,IF(EA$11=$H88,"◆",""),IF(AND(EA$11&gt;=$H88,EA$11&lt;=$I88),1,""))</f>
        <v/>
      </c>
      <c r="EB88" s="448" t="str">
        <f aca="false">IF($G88=0,IF(EB$11=$H88,"◆",""),IF(AND(EB$11&gt;=$H88,EB$11&lt;=$I88),1,""))</f>
        <v/>
      </c>
      <c r="EC88" s="448" t="str">
        <f aca="false">IF($G88=0,IF(EC$11=$H88,"◆",""),IF(AND(EC$11&gt;=$H88,EC$11&lt;=$I88),1,""))</f>
        <v/>
      </c>
      <c r="ED88" s="448" t="str">
        <f aca="false">IF($G88=0,IF(ED$11=$H88,"◆",""),IF(AND(ED$11&gt;=$H88,ED$11&lt;=$I88),1,""))</f>
        <v/>
      </c>
    </row>
    <row r="89" customFormat="false" ht="15" hidden="false" customHeight="true" outlineLevel="0" collapsed="false">
      <c r="A89" s="441" t="s">
        <v>2616</v>
      </c>
      <c r="B89" s="297" t="s">
        <v>2617</v>
      </c>
      <c r="C89" s="442" t="s">
        <v>2528</v>
      </c>
      <c r="D89" s="443" t="s">
        <v>2436</v>
      </c>
      <c r="E89" s="354" t="n">
        <f aca="false">1</f>
        <v>1</v>
      </c>
      <c r="F89" s="352" t="n">
        <v>8</v>
      </c>
      <c r="G89" s="352" t="n">
        <v>12</v>
      </c>
      <c r="H89" s="367" t="n">
        <f aca="false">MAX(1,ROUND(($E89-1)*$D$5,0)+1+$F89)</f>
        <v>9</v>
      </c>
      <c r="I89" s="367" t="n">
        <f aca="false">MAX($H89,$H89+$G89-1)</f>
        <v>20</v>
      </c>
      <c r="J89" s="444" t="n">
        <f aca="false">$D$4+($H89-1)*7</f>
        <v>46356</v>
      </c>
      <c r="K89" s="444" t="n">
        <f aca="false">$D$4+$I89*7-1</f>
        <v>46439</v>
      </c>
      <c r="L89" s="445" t="n">
        <f aca="false">ROUNDUP($H89/$D$5,0)</f>
        <v>3</v>
      </c>
      <c r="M89" s="446" t="s">
        <v>2453</v>
      </c>
      <c r="N89" s="447" t="n">
        <v>0</v>
      </c>
      <c r="O89" s="448" t="str">
        <f aca="false">IF($G89=0,IF(O$11=$H89,"◆",""),IF(AND(O$11&gt;=$H89,O$11&lt;=$I89),1,""))</f>
        <v/>
      </c>
      <c r="P89" s="448" t="str">
        <f aca="false">IF($G89=0,IF(P$11=$H89,"◆",""),IF(AND(P$11&gt;=$H89,P$11&lt;=$I89),1,""))</f>
        <v/>
      </c>
      <c r="Q89" s="448" t="str">
        <f aca="false">IF($G89=0,IF(Q$11=$H89,"◆",""),IF(AND(Q$11&gt;=$H89,Q$11&lt;=$I89),1,""))</f>
        <v/>
      </c>
      <c r="R89" s="448" t="str">
        <f aca="false">IF($G89=0,IF(R$11=$H89,"◆",""),IF(AND(R$11&gt;=$H89,R$11&lt;=$I89),1,""))</f>
        <v/>
      </c>
      <c r="S89" s="448" t="str">
        <f aca="false">IF($G89=0,IF(S$11=$H89,"◆",""),IF(AND(S$11&gt;=$H89,S$11&lt;=$I89),1,""))</f>
        <v/>
      </c>
      <c r="T89" s="448" t="str">
        <f aca="false">IF($G89=0,IF(T$11=$H89,"◆",""),IF(AND(T$11&gt;=$H89,T$11&lt;=$I89),1,""))</f>
        <v/>
      </c>
      <c r="U89" s="448" t="str">
        <f aca="false">IF($G89=0,IF(U$11=$H89,"◆",""),IF(AND(U$11&gt;=$H89,U$11&lt;=$I89),1,""))</f>
        <v/>
      </c>
      <c r="V89" s="448" t="str">
        <f aca="false">IF($G89=0,IF(V$11=$H89,"◆",""),IF(AND(V$11&gt;=$H89,V$11&lt;=$I89),1,""))</f>
        <v/>
      </c>
      <c r="W89" s="448" t="n">
        <f aca="false">IF($G89=0,IF(W$11=$H89,"◆",""),IF(AND(W$11&gt;=$H89,W$11&lt;=$I89),1,""))</f>
        <v>1</v>
      </c>
      <c r="X89" s="448" t="n">
        <f aca="false">IF($G89=0,IF(X$11=$H89,"◆",""),IF(AND(X$11&gt;=$H89,X$11&lt;=$I89),1,""))</f>
        <v>1</v>
      </c>
      <c r="Y89" s="448" t="n">
        <f aca="false">IF($G89=0,IF(Y$11=$H89,"◆",""),IF(AND(Y$11&gt;=$H89,Y$11&lt;=$I89),1,""))</f>
        <v>1</v>
      </c>
      <c r="Z89" s="448" t="n">
        <f aca="false">IF($G89=0,IF(Z$11=$H89,"◆",""),IF(AND(Z$11&gt;=$H89,Z$11&lt;=$I89),1,""))</f>
        <v>1</v>
      </c>
      <c r="AA89" s="448" t="n">
        <f aca="false">IF($G89=0,IF(AA$11=$H89,"◆",""),IF(AND(AA$11&gt;=$H89,AA$11&lt;=$I89),1,""))</f>
        <v>1</v>
      </c>
      <c r="AB89" s="448" t="n">
        <f aca="false">IF($G89=0,IF(AB$11=$H89,"◆",""),IF(AND(AB$11&gt;=$H89,AB$11&lt;=$I89),1,""))</f>
        <v>1</v>
      </c>
      <c r="AC89" s="448" t="n">
        <f aca="false">IF($G89=0,IF(AC$11=$H89,"◆",""),IF(AND(AC$11&gt;=$H89,AC$11&lt;=$I89),1,""))</f>
        <v>1</v>
      </c>
      <c r="AD89" s="448" t="n">
        <f aca="false">IF($G89=0,IF(AD$11=$H89,"◆",""),IF(AND(AD$11&gt;=$H89,AD$11&lt;=$I89),1,""))</f>
        <v>1</v>
      </c>
      <c r="AE89" s="448" t="n">
        <f aca="false">IF($G89=0,IF(AE$11=$H89,"◆",""),IF(AND(AE$11&gt;=$H89,AE$11&lt;=$I89),1,""))</f>
        <v>1</v>
      </c>
      <c r="AF89" s="448" t="n">
        <f aca="false">IF($G89=0,IF(AF$11=$H89,"◆",""),IF(AND(AF$11&gt;=$H89,AF$11&lt;=$I89),1,""))</f>
        <v>1</v>
      </c>
      <c r="AG89" s="448" t="n">
        <f aca="false">IF($G89=0,IF(AG$11=$H89,"◆",""),IF(AND(AG$11&gt;=$H89,AG$11&lt;=$I89),1,""))</f>
        <v>1</v>
      </c>
      <c r="AH89" s="448" t="n">
        <f aca="false">IF($G89=0,IF(AH$11=$H89,"◆",""),IF(AND(AH$11&gt;=$H89,AH$11&lt;=$I89),1,""))</f>
        <v>1</v>
      </c>
      <c r="AI89" s="448" t="str">
        <f aca="false">IF($G89=0,IF(AI$11=$H89,"◆",""),IF(AND(AI$11&gt;=$H89,AI$11&lt;=$I89),1,""))</f>
        <v/>
      </c>
      <c r="AJ89" s="448" t="str">
        <f aca="false">IF($G89=0,IF(AJ$11=$H89,"◆",""),IF(AND(AJ$11&gt;=$H89,AJ$11&lt;=$I89),1,""))</f>
        <v/>
      </c>
      <c r="AK89" s="448" t="str">
        <f aca="false">IF($G89=0,IF(AK$11=$H89,"◆",""),IF(AND(AK$11&gt;=$H89,AK$11&lt;=$I89),1,""))</f>
        <v/>
      </c>
      <c r="AL89" s="448" t="str">
        <f aca="false">IF($G89=0,IF(AL$11=$H89,"◆",""),IF(AND(AL$11&gt;=$H89,AL$11&lt;=$I89),1,""))</f>
        <v/>
      </c>
      <c r="AM89" s="448" t="str">
        <f aca="false">IF($G89=0,IF(AM$11=$H89,"◆",""),IF(AND(AM$11&gt;=$H89,AM$11&lt;=$I89),1,""))</f>
        <v/>
      </c>
      <c r="AN89" s="448" t="str">
        <f aca="false">IF($G89=0,IF(AN$11=$H89,"◆",""),IF(AND(AN$11&gt;=$H89,AN$11&lt;=$I89),1,""))</f>
        <v/>
      </c>
      <c r="AO89" s="448" t="str">
        <f aca="false">IF($G89=0,IF(AO$11=$H89,"◆",""),IF(AND(AO$11&gt;=$H89,AO$11&lt;=$I89),1,""))</f>
        <v/>
      </c>
      <c r="AP89" s="448" t="str">
        <f aca="false">IF($G89=0,IF(AP$11=$H89,"◆",""),IF(AND(AP$11&gt;=$H89,AP$11&lt;=$I89),1,""))</f>
        <v/>
      </c>
      <c r="AQ89" s="448" t="str">
        <f aca="false">IF($G89=0,IF(AQ$11=$H89,"◆",""),IF(AND(AQ$11&gt;=$H89,AQ$11&lt;=$I89),1,""))</f>
        <v/>
      </c>
      <c r="AR89" s="448" t="str">
        <f aca="false">IF($G89=0,IF(AR$11=$H89,"◆",""),IF(AND(AR$11&gt;=$H89,AR$11&lt;=$I89),1,""))</f>
        <v/>
      </c>
      <c r="AS89" s="448" t="str">
        <f aca="false">IF($G89=0,IF(AS$11=$H89,"◆",""),IF(AND(AS$11&gt;=$H89,AS$11&lt;=$I89),1,""))</f>
        <v/>
      </c>
      <c r="AT89" s="448" t="str">
        <f aca="false">IF($G89=0,IF(AT$11=$H89,"◆",""),IF(AND(AT$11&gt;=$H89,AT$11&lt;=$I89),1,""))</f>
        <v/>
      </c>
      <c r="AU89" s="448" t="str">
        <f aca="false">IF($G89=0,IF(AU$11=$H89,"◆",""),IF(AND(AU$11&gt;=$H89,AU$11&lt;=$I89),1,""))</f>
        <v/>
      </c>
      <c r="AV89" s="448" t="str">
        <f aca="false">IF($G89=0,IF(AV$11=$H89,"◆",""),IF(AND(AV$11&gt;=$H89,AV$11&lt;=$I89),1,""))</f>
        <v/>
      </c>
      <c r="AW89" s="448" t="str">
        <f aca="false">IF($G89=0,IF(AW$11=$H89,"◆",""),IF(AND(AW$11&gt;=$H89,AW$11&lt;=$I89),1,""))</f>
        <v/>
      </c>
      <c r="AX89" s="448" t="str">
        <f aca="false">IF($G89=0,IF(AX$11=$H89,"◆",""),IF(AND(AX$11&gt;=$H89,AX$11&lt;=$I89),1,""))</f>
        <v/>
      </c>
      <c r="AY89" s="448" t="str">
        <f aca="false">IF($G89=0,IF(AY$11=$H89,"◆",""),IF(AND(AY$11&gt;=$H89,AY$11&lt;=$I89),1,""))</f>
        <v/>
      </c>
      <c r="AZ89" s="448" t="str">
        <f aca="false">IF($G89=0,IF(AZ$11=$H89,"◆",""),IF(AND(AZ$11&gt;=$H89,AZ$11&lt;=$I89),1,""))</f>
        <v/>
      </c>
      <c r="BA89" s="448" t="str">
        <f aca="false">IF($G89=0,IF(BA$11=$H89,"◆",""),IF(AND(BA$11&gt;=$H89,BA$11&lt;=$I89),1,""))</f>
        <v/>
      </c>
      <c r="BB89" s="448" t="str">
        <f aca="false">IF($G89=0,IF(BB$11=$H89,"◆",""),IF(AND(BB$11&gt;=$H89,BB$11&lt;=$I89),1,""))</f>
        <v/>
      </c>
      <c r="BC89" s="448" t="str">
        <f aca="false">IF($G89=0,IF(BC$11=$H89,"◆",""),IF(AND(BC$11&gt;=$H89,BC$11&lt;=$I89),1,""))</f>
        <v/>
      </c>
      <c r="BD89" s="448" t="str">
        <f aca="false">IF($G89=0,IF(BD$11=$H89,"◆",""),IF(AND(BD$11&gt;=$H89,BD$11&lt;=$I89),1,""))</f>
        <v/>
      </c>
      <c r="BE89" s="448" t="str">
        <f aca="false">IF($G89=0,IF(BE$11=$H89,"◆",""),IF(AND(BE$11&gt;=$H89,BE$11&lt;=$I89),1,""))</f>
        <v/>
      </c>
      <c r="BF89" s="448" t="str">
        <f aca="false">IF($G89=0,IF(BF$11=$H89,"◆",""),IF(AND(BF$11&gt;=$H89,BF$11&lt;=$I89),1,""))</f>
        <v/>
      </c>
      <c r="BG89" s="448" t="str">
        <f aca="false">IF($G89=0,IF(BG$11=$H89,"◆",""),IF(AND(BG$11&gt;=$H89,BG$11&lt;=$I89),1,""))</f>
        <v/>
      </c>
      <c r="BH89" s="448" t="str">
        <f aca="false">IF($G89=0,IF(BH$11=$H89,"◆",""),IF(AND(BH$11&gt;=$H89,BH$11&lt;=$I89),1,""))</f>
        <v/>
      </c>
      <c r="BI89" s="448" t="str">
        <f aca="false">IF($G89=0,IF(BI$11=$H89,"◆",""),IF(AND(BI$11&gt;=$H89,BI$11&lt;=$I89),1,""))</f>
        <v/>
      </c>
      <c r="BJ89" s="448" t="str">
        <f aca="false">IF($G89=0,IF(BJ$11=$H89,"◆",""),IF(AND(BJ$11&gt;=$H89,BJ$11&lt;=$I89),1,""))</f>
        <v/>
      </c>
      <c r="BK89" s="448" t="str">
        <f aca="false">IF($G89=0,IF(BK$11=$H89,"◆",""),IF(AND(BK$11&gt;=$H89,BK$11&lt;=$I89),1,""))</f>
        <v/>
      </c>
      <c r="BL89" s="448" t="str">
        <f aca="false">IF($G89=0,IF(BL$11=$H89,"◆",""),IF(AND(BL$11&gt;=$H89,BL$11&lt;=$I89),1,""))</f>
        <v/>
      </c>
      <c r="BM89" s="448" t="str">
        <f aca="false">IF($G89=0,IF(BM$11=$H89,"◆",""),IF(AND(BM$11&gt;=$H89,BM$11&lt;=$I89),1,""))</f>
        <v/>
      </c>
      <c r="BN89" s="448" t="str">
        <f aca="false">IF($G89=0,IF(BN$11=$H89,"◆",""),IF(AND(BN$11&gt;=$H89,BN$11&lt;=$I89),1,""))</f>
        <v/>
      </c>
      <c r="BO89" s="448" t="str">
        <f aca="false">IF($G89=0,IF(BO$11=$H89,"◆",""),IF(AND(BO$11&gt;=$H89,BO$11&lt;=$I89),1,""))</f>
        <v/>
      </c>
      <c r="BP89" s="448" t="str">
        <f aca="false">IF($G89=0,IF(BP$11=$H89,"◆",""),IF(AND(BP$11&gt;=$H89,BP$11&lt;=$I89),1,""))</f>
        <v/>
      </c>
      <c r="BQ89" s="448" t="str">
        <f aca="false">IF($G89=0,IF(BQ$11=$H89,"◆",""),IF(AND(BQ$11&gt;=$H89,BQ$11&lt;=$I89),1,""))</f>
        <v/>
      </c>
      <c r="BR89" s="448" t="str">
        <f aca="false">IF($G89=0,IF(BR$11=$H89,"◆",""),IF(AND(BR$11&gt;=$H89,BR$11&lt;=$I89),1,""))</f>
        <v/>
      </c>
      <c r="BS89" s="448" t="str">
        <f aca="false">IF($G89=0,IF(BS$11=$H89,"◆",""),IF(AND(BS$11&gt;=$H89,BS$11&lt;=$I89),1,""))</f>
        <v/>
      </c>
      <c r="BT89" s="448" t="str">
        <f aca="false">IF($G89=0,IF(BT$11=$H89,"◆",""),IF(AND(BT$11&gt;=$H89,BT$11&lt;=$I89),1,""))</f>
        <v/>
      </c>
      <c r="BU89" s="448" t="str">
        <f aca="false">IF($G89=0,IF(BU$11=$H89,"◆",""),IF(AND(BU$11&gt;=$H89,BU$11&lt;=$I89),1,""))</f>
        <v/>
      </c>
      <c r="BV89" s="448" t="str">
        <f aca="false">IF($G89=0,IF(BV$11=$H89,"◆",""),IF(AND(BV$11&gt;=$H89,BV$11&lt;=$I89),1,""))</f>
        <v/>
      </c>
      <c r="BW89" s="448" t="str">
        <f aca="false">IF($G89=0,IF(BW$11=$H89,"◆",""),IF(AND(BW$11&gt;=$H89,BW$11&lt;=$I89),1,""))</f>
        <v/>
      </c>
      <c r="BX89" s="448" t="str">
        <f aca="false">IF($G89=0,IF(BX$11=$H89,"◆",""),IF(AND(BX$11&gt;=$H89,BX$11&lt;=$I89),1,""))</f>
        <v/>
      </c>
      <c r="BY89" s="448" t="str">
        <f aca="false">IF($G89=0,IF(BY$11=$H89,"◆",""),IF(AND(BY$11&gt;=$H89,BY$11&lt;=$I89),1,""))</f>
        <v/>
      </c>
      <c r="BZ89" s="448" t="str">
        <f aca="false">IF($G89=0,IF(BZ$11=$H89,"◆",""),IF(AND(BZ$11&gt;=$H89,BZ$11&lt;=$I89),1,""))</f>
        <v/>
      </c>
      <c r="CA89" s="448" t="str">
        <f aca="false">IF($G89=0,IF(CA$11=$H89,"◆",""),IF(AND(CA$11&gt;=$H89,CA$11&lt;=$I89),1,""))</f>
        <v/>
      </c>
      <c r="CB89" s="448" t="str">
        <f aca="false">IF($G89=0,IF(CB$11=$H89,"◆",""),IF(AND(CB$11&gt;=$H89,CB$11&lt;=$I89),1,""))</f>
        <v/>
      </c>
      <c r="CC89" s="448" t="str">
        <f aca="false">IF($G89=0,IF(CC$11=$H89,"◆",""),IF(AND(CC$11&gt;=$H89,CC$11&lt;=$I89),1,""))</f>
        <v/>
      </c>
      <c r="CD89" s="448" t="str">
        <f aca="false">IF($G89=0,IF(CD$11=$H89,"◆",""),IF(AND(CD$11&gt;=$H89,CD$11&lt;=$I89),1,""))</f>
        <v/>
      </c>
      <c r="CE89" s="448" t="str">
        <f aca="false">IF($G89=0,IF(CE$11=$H89,"◆",""),IF(AND(CE$11&gt;=$H89,CE$11&lt;=$I89),1,""))</f>
        <v/>
      </c>
      <c r="CF89" s="448" t="str">
        <f aca="false">IF($G89=0,IF(CF$11=$H89,"◆",""),IF(AND(CF$11&gt;=$H89,CF$11&lt;=$I89),1,""))</f>
        <v/>
      </c>
      <c r="CG89" s="448" t="str">
        <f aca="false">IF($G89=0,IF(CG$11=$H89,"◆",""),IF(AND(CG$11&gt;=$H89,CG$11&lt;=$I89),1,""))</f>
        <v/>
      </c>
      <c r="CH89" s="448" t="str">
        <f aca="false">IF($G89=0,IF(CH$11=$H89,"◆",""),IF(AND(CH$11&gt;=$H89,CH$11&lt;=$I89),1,""))</f>
        <v/>
      </c>
      <c r="CI89" s="448" t="str">
        <f aca="false">IF($G89=0,IF(CI$11=$H89,"◆",""),IF(AND(CI$11&gt;=$H89,CI$11&lt;=$I89),1,""))</f>
        <v/>
      </c>
      <c r="CJ89" s="448" t="str">
        <f aca="false">IF($G89=0,IF(CJ$11=$H89,"◆",""),IF(AND(CJ$11&gt;=$H89,CJ$11&lt;=$I89),1,""))</f>
        <v/>
      </c>
      <c r="CK89" s="448" t="str">
        <f aca="false">IF($G89=0,IF(CK$11=$H89,"◆",""),IF(AND(CK$11&gt;=$H89,CK$11&lt;=$I89),1,""))</f>
        <v/>
      </c>
      <c r="CL89" s="448" t="str">
        <f aca="false">IF($G89=0,IF(CL$11=$H89,"◆",""),IF(AND(CL$11&gt;=$H89,CL$11&lt;=$I89),1,""))</f>
        <v/>
      </c>
      <c r="CM89" s="448" t="str">
        <f aca="false">IF($G89=0,IF(CM$11=$H89,"◆",""),IF(AND(CM$11&gt;=$H89,CM$11&lt;=$I89),1,""))</f>
        <v/>
      </c>
      <c r="CN89" s="448" t="str">
        <f aca="false">IF($G89=0,IF(CN$11=$H89,"◆",""),IF(AND(CN$11&gt;=$H89,CN$11&lt;=$I89),1,""))</f>
        <v/>
      </c>
      <c r="CO89" s="448" t="str">
        <f aca="false">IF($G89=0,IF(CO$11=$H89,"◆",""),IF(AND(CO$11&gt;=$H89,CO$11&lt;=$I89),1,""))</f>
        <v/>
      </c>
      <c r="CP89" s="448" t="str">
        <f aca="false">IF($G89=0,IF(CP$11=$H89,"◆",""),IF(AND(CP$11&gt;=$H89,CP$11&lt;=$I89),1,""))</f>
        <v/>
      </c>
      <c r="CQ89" s="448" t="str">
        <f aca="false">IF($G89=0,IF(CQ$11=$H89,"◆",""),IF(AND(CQ$11&gt;=$H89,CQ$11&lt;=$I89),1,""))</f>
        <v/>
      </c>
      <c r="CR89" s="448" t="str">
        <f aca="false">IF($G89=0,IF(CR$11=$H89,"◆",""),IF(AND(CR$11&gt;=$H89,CR$11&lt;=$I89),1,""))</f>
        <v/>
      </c>
      <c r="CS89" s="448" t="str">
        <f aca="false">IF($G89=0,IF(CS$11=$H89,"◆",""),IF(AND(CS$11&gt;=$H89,CS$11&lt;=$I89),1,""))</f>
        <v/>
      </c>
      <c r="CT89" s="448" t="str">
        <f aca="false">IF($G89=0,IF(CT$11=$H89,"◆",""),IF(AND(CT$11&gt;=$H89,CT$11&lt;=$I89),1,""))</f>
        <v/>
      </c>
      <c r="CU89" s="448" t="str">
        <f aca="false">IF($G89=0,IF(CU$11=$H89,"◆",""),IF(AND(CU$11&gt;=$H89,CU$11&lt;=$I89),1,""))</f>
        <v/>
      </c>
      <c r="CV89" s="448" t="str">
        <f aca="false">IF($G89=0,IF(CV$11=$H89,"◆",""),IF(AND(CV$11&gt;=$H89,CV$11&lt;=$I89),1,""))</f>
        <v/>
      </c>
      <c r="CW89" s="448" t="str">
        <f aca="false">IF($G89=0,IF(CW$11=$H89,"◆",""),IF(AND(CW$11&gt;=$H89,CW$11&lt;=$I89),1,""))</f>
        <v/>
      </c>
      <c r="CX89" s="448" t="str">
        <f aca="false">IF($G89=0,IF(CX$11=$H89,"◆",""),IF(AND(CX$11&gt;=$H89,CX$11&lt;=$I89),1,""))</f>
        <v/>
      </c>
      <c r="CY89" s="448" t="str">
        <f aca="false">IF($G89=0,IF(CY$11=$H89,"◆",""),IF(AND(CY$11&gt;=$H89,CY$11&lt;=$I89),1,""))</f>
        <v/>
      </c>
      <c r="CZ89" s="448" t="str">
        <f aca="false">IF($G89=0,IF(CZ$11=$H89,"◆",""),IF(AND(CZ$11&gt;=$H89,CZ$11&lt;=$I89),1,""))</f>
        <v/>
      </c>
      <c r="DA89" s="448" t="str">
        <f aca="false">IF($G89=0,IF(DA$11=$H89,"◆",""),IF(AND(DA$11&gt;=$H89,DA$11&lt;=$I89),1,""))</f>
        <v/>
      </c>
      <c r="DB89" s="448" t="str">
        <f aca="false">IF($G89=0,IF(DB$11=$H89,"◆",""),IF(AND(DB$11&gt;=$H89,DB$11&lt;=$I89),1,""))</f>
        <v/>
      </c>
      <c r="DC89" s="448" t="str">
        <f aca="false">IF($G89=0,IF(DC$11=$H89,"◆",""),IF(AND(DC$11&gt;=$H89,DC$11&lt;=$I89),1,""))</f>
        <v/>
      </c>
      <c r="DD89" s="448" t="str">
        <f aca="false">IF($G89=0,IF(DD$11=$H89,"◆",""),IF(AND(DD$11&gt;=$H89,DD$11&lt;=$I89),1,""))</f>
        <v/>
      </c>
      <c r="DE89" s="448" t="str">
        <f aca="false">IF($G89=0,IF(DE$11=$H89,"◆",""),IF(AND(DE$11&gt;=$H89,DE$11&lt;=$I89),1,""))</f>
        <v/>
      </c>
      <c r="DF89" s="448" t="str">
        <f aca="false">IF($G89=0,IF(DF$11=$H89,"◆",""),IF(AND(DF$11&gt;=$H89,DF$11&lt;=$I89),1,""))</f>
        <v/>
      </c>
      <c r="DG89" s="448" t="str">
        <f aca="false">IF($G89=0,IF(DG$11=$H89,"◆",""),IF(AND(DG$11&gt;=$H89,DG$11&lt;=$I89),1,""))</f>
        <v/>
      </c>
      <c r="DH89" s="448" t="str">
        <f aca="false">IF($G89=0,IF(DH$11=$H89,"◆",""),IF(AND(DH$11&gt;=$H89,DH$11&lt;=$I89),1,""))</f>
        <v/>
      </c>
      <c r="DI89" s="448" t="str">
        <f aca="false">IF($G89=0,IF(DI$11=$H89,"◆",""),IF(AND(DI$11&gt;=$H89,DI$11&lt;=$I89),1,""))</f>
        <v/>
      </c>
      <c r="DJ89" s="448" t="str">
        <f aca="false">IF($G89=0,IF(DJ$11=$H89,"◆",""),IF(AND(DJ$11&gt;=$H89,DJ$11&lt;=$I89),1,""))</f>
        <v/>
      </c>
      <c r="DK89" s="448" t="str">
        <f aca="false">IF($G89=0,IF(DK$11=$H89,"◆",""),IF(AND(DK$11&gt;=$H89,DK$11&lt;=$I89),1,""))</f>
        <v/>
      </c>
      <c r="DL89" s="448" t="str">
        <f aca="false">IF($G89=0,IF(DL$11=$H89,"◆",""),IF(AND(DL$11&gt;=$H89,DL$11&lt;=$I89),1,""))</f>
        <v/>
      </c>
      <c r="DM89" s="448" t="str">
        <f aca="false">IF($G89=0,IF(DM$11=$H89,"◆",""),IF(AND(DM$11&gt;=$H89,DM$11&lt;=$I89),1,""))</f>
        <v/>
      </c>
      <c r="DN89" s="448" t="str">
        <f aca="false">IF($G89=0,IF(DN$11=$H89,"◆",""),IF(AND(DN$11&gt;=$H89,DN$11&lt;=$I89),1,""))</f>
        <v/>
      </c>
      <c r="DO89" s="448" t="str">
        <f aca="false">IF($G89=0,IF(DO$11=$H89,"◆",""),IF(AND(DO$11&gt;=$H89,DO$11&lt;=$I89),1,""))</f>
        <v/>
      </c>
      <c r="DP89" s="448" t="str">
        <f aca="false">IF($G89=0,IF(DP$11=$H89,"◆",""),IF(AND(DP$11&gt;=$H89,DP$11&lt;=$I89),1,""))</f>
        <v/>
      </c>
      <c r="DQ89" s="448" t="str">
        <f aca="false">IF($G89=0,IF(DQ$11=$H89,"◆",""),IF(AND(DQ$11&gt;=$H89,DQ$11&lt;=$I89),1,""))</f>
        <v/>
      </c>
      <c r="DR89" s="448" t="str">
        <f aca="false">IF($G89=0,IF(DR$11=$H89,"◆",""),IF(AND(DR$11&gt;=$H89,DR$11&lt;=$I89),1,""))</f>
        <v/>
      </c>
      <c r="DS89" s="448" t="str">
        <f aca="false">IF($G89=0,IF(DS$11=$H89,"◆",""),IF(AND(DS$11&gt;=$H89,DS$11&lt;=$I89),1,""))</f>
        <v/>
      </c>
      <c r="DT89" s="448" t="str">
        <f aca="false">IF($G89=0,IF(DT$11=$H89,"◆",""),IF(AND(DT$11&gt;=$H89,DT$11&lt;=$I89),1,""))</f>
        <v/>
      </c>
      <c r="DU89" s="448" t="str">
        <f aca="false">IF($G89=0,IF(DU$11=$H89,"◆",""),IF(AND(DU$11&gt;=$H89,DU$11&lt;=$I89),1,""))</f>
        <v/>
      </c>
      <c r="DV89" s="448" t="str">
        <f aca="false">IF($G89=0,IF(DV$11=$H89,"◆",""),IF(AND(DV$11&gt;=$H89,DV$11&lt;=$I89),1,""))</f>
        <v/>
      </c>
      <c r="DW89" s="448" t="str">
        <f aca="false">IF($G89=0,IF(DW$11=$H89,"◆",""),IF(AND(DW$11&gt;=$H89,DW$11&lt;=$I89),1,""))</f>
        <v/>
      </c>
      <c r="DX89" s="448" t="str">
        <f aca="false">IF($G89=0,IF(DX$11=$H89,"◆",""),IF(AND(DX$11&gt;=$H89,DX$11&lt;=$I89),1,""))</f>
        <v/>
      </c>
      <c r="DY89" s="448" t="str">
        <f aca="false">IF($G89=0,IF(DY$11=$H89,"◆",""),IF(AND(DY$11&gt;=$H89,DY$11&lt;=$I89),1,""))</f>
        <v/>
      </c>
      <c r="DZ89" s="448" t="str">
        <f aca="false">IF($G89=0,IF(DZ$11=$H89,"◆",""),IF(AND(DZ$11&gt;=$H89,DZ$11&lt;=$I89),1,""))</f>
        <v/>
      </c>
      <c r="EA89" s="448" t="str">
        <f aca="false">IF($G89=0,IF(EA$11=$H89,"◆",""),IF(AND(EA$11&gt;=$H89,EA$11&lt;=$I89),1,""))</f>
        <v/>
      </c>
      <c r="EB89" s="448" t="str">
        <f aca="false">IF($G89=0,IF(EB$11=$H89,"◆",""),IF(AND(EB$11&gt;=$H89,EB$11&lt;=$I89),1,""))</f>
        <v/>
      </c>
      <c r="EC89" s="448" t="str">
        <f aca="false">IF($G89=0,IF(EC$11=$H89,"◆",""),IF(AND(EC$11&gt;=$H89,EC$11&lt;=$I89),1,""))</f>
        <v/>
      </c>
      <c r="ED89" s="448" t="str">
        <f aca="false">IF($G89=0,IF(ED$11=$H89,"◆",""),IF(AND(ED$11&gt;=$H89,ED$11&lt;=$I89),1,""))</f>
        <v/>
      </c>
    </row>
    <row r="90" customFormat="false" ht="15" hidden="false" customHeight="true" outlineLevel="0" collapsed="false">
      <c r="A90" s="441" t="s">
        <v>2618</v>
      </c>
      <c r="B90" s="297" t="s">
        <v>2619</v>
      </c>
      <c r="C90" s="442" t="s">
        <v>2620</v>
      </c>
      <c r="D90" s="443" t="s">
        <v>2436</v>
      </c>
      <c r="E90" s="354" t="n">
        <f aca="false">1</f>
        <v>1</v>
      </c>
      <c r="F90" s="352" t="n">
        <v>16</v>
      </c>
      <c r="G90" s="352" t="n">
        <v>8</v>
      </c>
      <c r="H90" s="367" t="n">
        <f aca="false">MAX(1,ROUND(($E90-1)*$D$5,0)+1+$F90)</f>
        <v>17</v>
      </c>
      <c r="I90" s="367" t="n">
        <f aca="false">MAX($H90,$H90+$G90-1)</f>
        <v>24</v>
      </c>
      <c r="J90" s="444" t="n">
        <f aca="false">$D$4+($H90-1)*7</f>
        <v>46412</v>
      </c>
      <c r="K90" s="444" t="n">
        <f aca="false">$D$4+$I90*7-1</f>
        <v>46467</v>
      </c>
      <c r="L90" s="445" t="n">
        <f aca="false">ROUNDUP($H90/$D$5,0)</f>
        <v>4</v>
      </c>
      <c r="M90" s="446"/>
      <c r="N90" s="447" t="n">
        <v>0</v>
      </c>
      <c r="O90" s="448" t="str">
        <f aca="false">IF($G90=0,IF(O$11=$H90,"◆",""),IF(AND(O$11&gt;=$H90,O$11&lt;=$I90),1,""))</f>
        <v/>
      </c>
      <c r="P90" s="448" t="str">
        <f aca="false">IF($G90=0,IF(P$11=$H90,"◆",""),IF(AND(P$11&gt;=$H90,P$11&lt;=$I90),1,""))</f>
        <v/>
      </c>
      <c r="Q90" s="448" t="str">
        <f aca="false">IF($G90=0,IF(Q$11=$H90,"◆",""),IF(AND(Q$11&gt;=$H90,Q$11&lt;=$I90),1,""))</f>
        <v/>
      </c>
      <c r="R90" s="448" t="str">
        <f aca="false">IF($G90=0,IF(R$11=$H90,"◆",""),IF(AND(R$11&gt;=$H90,R$11&lt;=$I90),1,""))</f>
        <v/>
      </c>
      <c r="S90" s="448" t="str">
        <f aca="false">IF($G90=0,IF(S$11=$H90,"◆",""),IF(AND(S$11&gt;=$H90,S$11&lt;=$I90),1,""))</f>
        <v/>
      </c>
      <c r="T90" s="448" t="str">
        <f aca="false">IF($G90=0,IF(T$11=$H90,"◆",""),IF(AND(T$11&gt;=$H90,T$11&lt;=$I90),1,""))</f>
        <v/>
      </c>
      <c r="U90" s="448" t="str">
        <f aca="false">IF($G90=0,IF(U$11=$H90,"◆",""),IF(AND(U$11&gt;=$H90,U$11&lt;=$I90),1,""))</f>
        <v/>
      </c>
      <c r="V90" s="448" t="str">
        <f aca="false">IF($G90=0,IF(V$11=$H90,"◆",""),IF(AND(V$11&gt;=$H90,V$11&lt;=$I90),1,""))</f>
        <v/>
      </c>
      <c r="W90" s="448" t="str">
        <f aca="false">IF($G90=0,IF(W$11=$H90,"◆",""),IF(AND(W$11&gt;=$H90,W$11&lt;=$I90),1,""))</f>
        <v/>
      </c>
      <c r="X90" s="448" t="str">
        <f aca="false">IF($G90=0,IF(X$11=$H90,"◆",""),IF(AND(X$11&gt;=$H90,X$11&lt;=$I90),1,""))</f>
        <v/>
      </c>
      <c r="Y90" s="448" t="str">
        <f aca="false">IF($G90=0,IF(Y$11=$H90,"◆",""),IF(AND(Y$11&gt;=$H90,Y$11&lt;=$I90),1,""))</f>
        <v/>
      </c>
      <c r="Z90" s="448" t="str">
        <f aca="false">IF($G90=0,IF(Z$11=$H90,"◆",""),IF(AND(Z$11&gt;=$H90,Z$11&lt;=$I90),1,""))</f>
        <v/>
      </c>
      <c r="AA90" s="448" t="str">
        <f aca="false">IF($G90=0,IF(AA$11=$H90,"◆",""),IF(AND(AA$11&gt;=$H90,AA$11&lt;=$I90),1,""))</f>
        <v/>
      </c>
      <c r="AB90" s="448" t="str">
        <f aca="false">IF($G90=0,IF(AB$11=$H90,"◆",""),IF(AND(AB$11&gt;=$H90,AB$11&lt;=$I90),1,""))</f>
        <v/>
      </c>
      <c r="AC90" s="448" t="str">
        <f aca="false">IF($G90=0,IF(AC$11=$H90,"◆",""),IF(AND(AC$11&gt;=$H90,AC$11&lt;=$I90),1,""))</f>
        <v/>
      </c>
      <c r="AD90" s="448" t="str">
        <f aca="false">IF($G90=0,IF(AD$11=$H90,"◆",""),IF(AND(AD$11&gt;=$H90,AD$11&lt;=$I90),1,""))</f>
        <v/>
      </c>
      <c r="AE90" s="448" t="n">
        <f aca="false">IF($G90=0,IF(AE$11=$H90,"◆",""),IF(AND(AE$11&gt;=$H90,AE$11&lt;=$I90),1,""))</f>
        <v>1</v>
      </c>
      <c r="AF90" s="448" t="n">
        <f aca="false">IF($G90=0,IF(AF$11=$H90,"◆",""),IF(AND(AF$11&gt;=$H90,AF$11&lt;=$I90),1,""))</f>
        <v>1</v>
      </c>
      <c r="AG90" s="448" t="n">
        <f aca="false">IF($G90=0,IF(AG$11=$H90,"◆",""),IF(AND(AG$11&gt;=$H90,AG$11&lt;=$I90),1,""))</f>
        <v>1</v>
      </c>
      <c r="AH90" s="448" t="n">
        <f aca="false">IF($G90=0,IF(AH$11=$H90,"◆",""),IF(AND(AH$11&gt;=$H90,AH$11&lt;=$I90),1,""))</f>
        <v>1</v>
      </c>
      <c r="AI90" s="448" t="n">
        <f aca="false">IF($G90=0,IF(AI$11=$H90,"◆",""),IF(AND(AI$11&gt;=$H90,AI$11&lt;=$I90),1,""))</f>
        <v>1</v>
      </c>
      <c r="AJ90" s="448" t="n">
        <f aca="false">IF($G90=0,IF(AJ$11=$H90,"◆",""),IF(AND(AJ$11&gt;=$H90,AJ$11&lt;=$I90),1,""))</f>
        <v>1</v>
      </c>
      <c r="AK90" s="448" t="n">
        <f aca="false">IF($G90=0,IF(AK$11=$H90,"◆",""),IF(AND(AK$11&gt;=$H90,AK$11&lt;=$I90),1,""))</f>
        <v>1</v>
      </c>
      <c r="AL90" s="448" t="n">
        <f aca="false">IF($G90=0,IF(AL$11=$H90,"◆",""),IF(AND(AL$11&gt;=$H90,AL$11&lt;=$I90),1,""))</f>
        <v>1</v>
      </c>
      <c r="AM90" s="448" t="str">
        <f aca="false">IF($G90=0,IF(AM$11=$H90,"◆",""),IF(AND(AM$11&gt;=$H90,AM$11&lt;=$I90),1,""))</f>
        <v/>
      </c>
      <c r="AN90" s="448" t="str">
        <f aca="false">IF($G90=0,IF(AN$11=$H90,"◆",""),IF(AND(AN$11&gt;=$H90,AN$11&lt;=$I90),1,""))</f>
        <v/>
      </c>
      <c r="AO90" s="448" t="str">
        <f aca="false">IF($G90=0,IF(AO$11=$H90,"◆",""),IF(AND(AO$11&gt;=$H90,AO$11&lt;=$I90),1,""))</f>
        <v/>
      </c>
      <c r="AP90" s="448" t="str">
        <f aca="false">IF($G90=0,IF(AP$11=$H90,"◆",""),IF(AND(AP$11&gt;=$H90,AP$11&lt;=$I90),1,""))</f>
        <v/>
      </c>
      <c r="AQ90" s="448" t="str">
        <f aca="false">IF($G90=0,IF(AQ$11=$H90,"◆",""),IF(AND(AQ$11&gt;=$H90,AQ$11&lt;=$I90),1,""))</f>
        <v/>
      </c>
      <c r="AR90" s="448" t="str">
        <f aca="false">IF($G90=0,IF(AR$11=$H90,"◆",""),IF(AND(AR$11&gt;=$H90,AR$11&lt;=$I90),1,""))</f>
        <v/>
      </c>
      <c r="AS90" s="448" t="str">
        <f aca="false">IF($G90=0,IF(AS$11=$H90,"◆",""),IF(AND(AS$11&gt;=$H90,AS$11&lt;=$I90),1,""))</f>
        <v/>
      </c>
      <c r="AT90" s="448" t="str">
        <f aca="false">IF($G90=0,IF(AT$11=$H90,"◆",""),IF(AND(AT$11&gt;=$H90,AT$11&lt;=$I90),1,""))</f>
        <v/>
      </c>
      <c r="AU90" s="448" t="str">
        <f aca="false">IF($G90=0,IF(AU$11=$H90,"◆",""),IF(AND(AU$11&gt;=$H90,AU$11&lt;=$I90),1,""))</f>
        <v/>
      </c>
      <c r="AV90" s="448" t="str">
        <f aca="false">IF($G90=0,IF(AV$11=$H90,"◆",""),IF(AND(AV$11&gt;=$H90,AV$11&lt;=$I90),1,""))</f>
        <v/>
      </c>
      <c r="AW90" s="448" t="str">
        <f aca="false">IF($G90=0,IF(AW$11=$H90,"◆",""),IF(AND(AW$11&gt;=$H90,AW$11&lt;=$I90),1,""))</f>
        <v/>
      </c>
      <c r="AX90" s="448" t="str">
        <f aca="false">IF($G90=0,IF(AX$11=$H90,"◆",""),IF(AND(AX$11&gt;=$H90,AX$11&lt;=$I90),1,""))</f>
        <v/>
      </c>
      <c r="AY90" s="448" t="str">
        <f aca="false">IF($G90=0,IF(AY$11=$H90,"◆",""),IF(AND(AY$11&gt;=$H90,AY$11&lt;=$I90),1,""))</f>
        <v/>
      </c>
      <c r="AZ90" s="448" t="str">
        <f aca="false">IF($G90=0,IF(AZ$11=$H90,"◆",""),IF(AND(AZ$11&gt;=$H90,AZ$11&lt;=$I90),1,""))</f>
        <v/>
      </c>
      <c r="BA90" s="448" t="str">
        <f aca="false">IF($G90=0,IF(BA$11=$H90,"◆",""),IF(AND(BA$11&gt;=$H90,BA$11&lt;=$I90),1,""))</f>
        <v/>
      </c>
      <c r="BB90" s="448" t="str">
        <f aca="false">IF($G90=0,IF(BB$11=$H90,"◆",""),IF(AND(BB$11&gt;=$H90,BB$11&lt;=$I90),1,""))</f>
        <v/>
      </c>
      <c r="BC90" s="448" t="str">
        <f aca="false">IF($G90=0,IF(BC$11=$H90,"◆",""),IF(AND(BC$11&gt;=$H90,BC$11&lt;=$I90),1,""))</f>
        <v/>
      </c>
      <c r="BD90" s="448" t="str">
        <f aca="false">IF($G90=0,IF(BD$11=$H90,"◆",""),IF(AND(BD$11&gt;=$H90,BD$11&lt;=$I90),1,""))</f>
        <v/>
      </c>
      <c r="BE90" s="448" t="str">
        <f aca="false">IF($G90=0,IF(BE$11=$H90,"◆",""),IF(AND(BE$11&gt;=$H90,BE$11&lt;=$I90),1,""))</f>
        <v/>
      </c>
      <c r="BF90" s="448" t="str">
        <f aca="false">IF($G90=0,IF(BF$11=$H90,"◆",""),IF(AND(BF$11&gt;=$H90,BF$11&lt;=$I90),1,""))</f>
        <v/>
      </c>
      <c r="BG90" s="448" t="str">
        <f aca="false">IF($G90=0,IF(BG$11=$H90,"◆",""),IF(AND(BG$11&gt;=$H90,BG$11&lt;=$I90),1,""))</f>
        <v/>
      </c>
      <c r="BH90" s="448" t="str">
        <f aca="false">IF($G90=0,IF(BH$11=$H90,"◆",""),IF(AND(BH$11&gt;=$H90,BH$11&lt;=$I90),1,""))</f>
        <v/>
      </c>
      <c r="BI90" s="448" t="str">
        <f aca="false">IF($G90=0,IF(BI$11=$H90,"◆",""),IF(AND(BI$11&gt;=$H90,BI$11&lt;=$I90),1,""))</f>
        <v/>
      </c>
      <c r="BJ90" s="448" t="str">
        <f aca="false">IF($G90=0,IF(BJ$11=$H90,"◆",""),IF(AND(BJ$11&gt;=$H90,BJ$11&lt;=$I90),1,""))</f>
        <v/>
      </c>
      <c r="BK90" s="448" t="str">
        <f aca="false">IF($G90=0,IF(BK$11=$H90,"◆",""),IF(AND(BK$11&gt;=$H90,BK$11&lt;=$I90),1,""))</f>
        <v/>
      </c>
      <c r="BL90" s="448" t="str">
        <f aca="false">IF($G90=0,IF(BL$11=$H90,"◆",""),IF(AND(BL$11&gt;=$H90,BL$11&lt;=$I90),1,""))</f>
        <v/>
      </c>
      <c r="BM90" s="448" t="str">
        <f aca="false">IF($G90=0,IF(BM$11=$H90,"◆",""),IF(AND(BM$11&gt;=$H90,BM$11&lt;=$I90),1,""))</f>
        <v/>
      </c>
      <c r="BN90" s="448" t="str">
        <f aca="false">IF($G90=0,IF(BN$11=$H90,"◆",""),IF(AND(BN$11&gt;=$H90,BN$11&lt;=$I90),1,""))</f>
        <v/>
      </c>
      <c r="BO90" s="448" t="str">
        <f aca="false">IF($G90=0,IF(BO$11=$H90,"◆",""),IF(AND(BO$11&gt;=$H90,BO$11&lt;=$I90),1,""))</f>
        <v/>
      </c>
      <c r="BP90" s="448" t="str">
        <f aca="false">IF($G90=0,IF(BP$11=$H90,"◆",""),IF(AND(BP$11&gt;=$H90,BP$11&lt;=$I90),1,""))</f>
        <v/>
      </c>
      <c r="BQ90" s="448" t="str">
        <f aca="false">IF($G90=0,IF(BQ$11=$H90,"◆",""),IF(AND(BQ$11&gt;=$H90,BQ$11&lt;=$I90),1,""))</f>
        <v/>
      </c>
      <c r="BR90" s="448" t="str">
        <f aca="false">IF($G90=0,IF(BR$11=$H90,"◆",""),IF(AND(BR$11&gt;=$H90,BR$11&lt;=$I90),1,""))</f>
        <v/>
      </c>
      <c r="BS90" s="448" t="str">
        <f aca="false">IF($G90=0,IF(BS$11=$H90,"◆",""),IF(AND(BS$11&gt;=$H90,BS$11&lt;=$I90),1,""))</f>
        <v/>
      </c>
      <c r="BT90" s="448" t="str">
        <f aca="false">IF($G90=0,IF(BT$11=$H90,"◆",""),IF(AND(BT$11&gt;=$H90,BT$11&lt;=$I90),1,""))</f>
        <v/>
      </c>
      <c r="BU90" s="448" t="str">
        <f aca="false">IF($G90=0,IF(BU$11=$H90,"◆",""),IF(AND(BU$11&gt;=$H90,BU$11&lt;=$I90),1,""))</f>
        <v/>
      </c>
      <c r="BV90" s="448" t="str">
        <f aca="false">IF($G90=0,IF(BV$11=$H90,"◆",""),IF(AND(BV$11&gt;=$H90,BV$11&lt;=$I90),1,""))</f>
        <v/>
      </c>
      <c r="BW90" s="448" t="str">
        <f aca="false">IF($G90=0,IF(BW$11=$H90,"◆",""),IF(AND(BW$11&gt;=$H90,BW$11&lt;=$I90),1,""))</f>
        <v/>
      </c>
      <c r="BX90" s="448" t="str">
        <f aca="false">IF($G90=0,IF(BX$11=$H90,"◆",""),IF(AND(BX$11&gt;=$H90,BX$11&lt;=$I90),1,""))</f>
        <v/>
      </c>
      <c r="BY90" s="448" t="str">
        <f aca="false">IF($G90=0,IF(BY$11=$H90,"◆",""),IF(AND(BY$11&gt;=$H90,BY$11&lt;=$I90),1,""))</f>
        <v/>
      </c>
      <c r="BZ90" s="448" t="str">
        <f aca="false">IF($G90=0,IF(BZ$11=$H90,"◆",""),IF(AND(BZ$11&gt;=$H90,BZ$11&lt;=$I90),1,""))</f>
        <v/>
      </c>
      <c r="CA90" s="448" t="str">
        <f aca="false">IF($G90=0,IF(CA$11=$H90,"◆",""),IF(AND(CA$11&gt;=$H90,CA$11&lt;=$I90),1,""))</f>
        <v/>
      </c>
      <c r="CB90" s="448" t="str">
        <f aca="false">IF($G90=0,IF(CB$11=$H90,"◆",""),IF(AND(CB$11&gt;=$H90,CB$11&lt;=$I90),1,""))</f>
        <v/>
      </c>
      <c r="CC90" s="448" t="str">
        <f aca="false">IF($G90=0,IF(CC$11=$H90,"◆",""),IF(AND(CC$11&gt;=$H90,CC$11&lt;=$I90),1,""))</f>
        <v/>
      </c>
      <c r="CD90" s="448" t="str">
        <f aca="false">IF($G90=0,IF(CD$11=$H90,"◆",""),IF(AND(CD$11&gt;=$H90,CD$11&lt;=$I90),1,""))</f>
        <v/>
      </c>
      <c r="CE90" s="448" t="str">
        <f aca="false">IF($G90=0,IF(CE$11=$H90,"◆",""),IF(AND(CE$11&gt;=$H90,CE$11&lt;=$I90),1,""))</f>
        <v/>
      </c>
      <c r="CF90" s="448" t="str">
        <f aca="false">IF($G90=0,IF(CF$11=$H90,"◆",""),IF(AND(CF$11&gt;=$H90,CF$11&lt;=$I90),1,""))</f>
        <v/>
      </c>
      <c r="CG90" s="448" t="str">
        <f aca="false">IF($G90=0,IF(CG$11=$H90,"◆",""),IF(AND(CG$11&gt;=$H90,CG$11&lt;=$I90),1,""))</f>
        <v/>
      </c>
      <c r="CH90" s="448" t="str">
        <f aca="false">IF($G90=0,IF(CH$11=$H90,"◆",""),IF(AND(CH$11&gt;=$H90,CH$11&lt;=$I90),1,""))</f>
        <v/>
      </c>
      <c r="CI90" s="448" t="str">
        <f aca="false">IF($G90=0,IF(CI$11=$H90,"◆",""),IF(AND(CI$11&gt;=$H90,CI$11&lt;=$I90),1,""))</f>
        <v/>
      </c>
      <c r="CJ90" s="448" t="str">
        <f aca="false">IF($G90=0,IF(CJ$11=$H90,"◆",""),IF(AND(CJ$11&gt;=$H90,CJ$11&lt;=$I90),1,""))</f>
        <v/>
      </c>
      <c r="CK90" s="448" t="str">
        <f aca="false">IF($G90=0,IF(CK$11=$H90,"◆",""),IF(AND(CK$11&gt;=$H90,CK$11&lt;=$I90),1,""))</f>
        <v/>
      </c>
      <c r="CL90" s="448" t="str">
        <f aca="false">IF($G90=0,IF(CL$11=$H90,"◆",""),IF(AND(CL$11&gt;=$H90,CL$11&lt;=$I90),1,""))</f>
        <v/>
      </c>
      <c r="CM90" s="448" t="str">
        <f aca="false">IF($G90=0,IF(CM$11=$H90,"◆",""),IF(AND(CM$11&gt;=$H90,CM$11&lt;=$I90),1,""))</f>
        <v/>
      </c>
      <c r="CN90" s="448" t="str">
        <f aca="false">IF($G90=0,IF(CN$11=$H90,"◆",""),IF(AND(CN$11&gt;=$H90,CN$11&lt;=$I90),1,""))</f>
        <v/>
      </c>
      <c r="CO90" s="448" t="str">
        <f aca="false">IF($G90=0,IF(CO$11=$H90,"◆",""),IF(AND(CO$11&gt;=$H90,CO$11&lt;=$I90),1,""))</f>
        <v/>
      </c>
      <c r="CP90" s="448" t="str">
        <f aca="false">IF($G90=0,IF(CP$11=$H90,"◆",""),IF(AND(CP$11&gt;=$H90,CP$11&lt;=$I90),1,""))</f>
        <v/>
      </c>
      <c r="CQ90" s="448" t="str">
        <f aca="false">IF($G90=0,IF(CQ$11=$H90,"◆",""),IF(AND(CQ$11&gt;=$H90,CQ$11&lt;=$I90),1,""))</f>
        <v/>
      </c>
      <c r="CR90" s="448" t="str">
        <f aca="false">IF($G90=0,IF(CR$11=$H90,"◆",""),IF(AND(CR$11&gt;=$H90,CR$11&lt;=$I90),1,""))</f>
        <v/>
      </c>
      <c r="CS90" s="448" t="str">
        <f aca="false">IF($G90=0,IF(CS$11=$H90,"◆",""),IF(AND(CS$11&gt;=$H90,CS$11&lt;=$I90),1,""))</f>
        <v/>
      </c>
      <c r="CT90" s="448" t="str">
        <f aca="false">IF($G90=0,IF(CT$11=$H90,"◆",""),IF(AND(CT$11&gt;=$H90,CT$11&lt;=$I90),1,""))</f>
        <v/>
      </c>
      <c r="CU90" s="448" t="str">
        <f aca="false">IF($G90=0,IF(CU$11=$H90,"◆",""),IF(AND(CU$11&gt;=$H90,CU$11&lt;=$I90),1,""))</f>
        <v/>
      </c>
      <c r="CV90" s="448" t="str">
        <f aca="false">IF($G90=0,IF(CV$11=$H90,"◆",""),IF(AND(CV$11&gt;=$H90,CV$11&lt;=$I90),1,""))</f>
        <v/>
      </c>
      <c r="CW90" s="448" t="str">
        <f aca="false">IF($G90=0,IF(CW$11=$H90,"◆",""),IF(AND(CW$11&gt;=$H90,CW$11&lt;=$I90),1,""))</f>
        <v/>
      </c>
      <c r="CX90" s="448" t="str">
        <f aca="false">IF($G90=0,IF(CX$11=$H90,"◆",""),IF(AND(CX$11&gt;=$H90,CX$11&lt;=$I90),1,""))</f>
        <v/>
      </c>
      <c r="CY90" s="448" t="str">
        <f aca="false">IF($G90=0,IF(CY$11=$H90,"◆",""),IF(AND(CY$11&gt;=$H90,CY$11&lt;=$I90),1,""))</f>
        <v/>
      </c>
      <c r="CZ90" s="448" t="str">
        <f aca="false">IF($G90=0,IF(CZ$11=$H90,"◆",""),IF(AND(CZ$11&gt;=$H90,CZ$11&lt;=$I90),1,""))</f>
        <v/>
      </c>
      <c r="DA90" s="448" t="str">
        <f aca="false">IF($G90=0,IF(DA$11=$H90,"◆",""),IF(AND(DA$11&gt;=$H90,DA$11&lt;=$I90),1,""))</f>
        <v/>
      </c>
      <c r="DB90" s="448" t="str">
        <f aca="false">IF($G90=0,IF(DB$11=$H90,"◆",""),IF(AND(DB$11&gt;=$H90,DB$11&lt;=$I90),1,""))</f>
        <v/>
      </c>
      <c r="DC90" s="448" t="str">
        <f aca="false">IF($G90=0,IF(DC$11=$H90,"◆",""),IF(AND(DC$11&gt;=$H90,DC$11&lt;=$I90),1,""))</f>
        <v/>
      </c>
      <c r="DD90" s="448" t="str">
        <f aca="false">IF($G90=0,IF(DD$11=$H90,"◆",""),IF(AND(DD$11&gt;=$H90,DD$11&lt;=$I90),1,""))</f>
        <v/>
      </c>
      <c r="DE90" s="448" t="str">
        <f aca="false">IF($G90=0,IF(DE$11=$H90,"◆",""),IF(AND(DE$11&gt;=$H90,DE$11&lt;=$I90),1,""))</f>
        <v/>
      </c>
      <c r="DF90" s="448" t="str">
        <f aca="false">IF($G90=0,IF(DF$11=$H90,"◆",""),IF(AND(DF$11&gt;=$H90,DF$11&lt;=$I90),1,""))</f>
        <v/>
      </c>
      <c r="DG90" s="448" t="str">
        <f aca="false">IF($G90=0,IF(DG$11=$H90,"◆",""),IF(AND(DG$11&gt;=$H90,DG$11&lt;=$I90),1,""))</f>
        <v/>
      </c>
      <c r="DH90" s="448" t="str">
        <f aca="false">IF($G90=0,IF(DH$11=$H90,"◆",""),IF(AND(DH$11&gt;=$H90,DH$11&lt;=$I90),1,""))</f>
        <v/>
      </c>
      <c r="DI90" s="448" t="str">
        <f aca="false">IF($G90=0,IF(DI$11=$H90,"◆",""),IF(AND(DI$11&gt;=$H90,DI$11&lt;=$I90),1,""))</f>
        <v/>
      </c>
      <c r="DJ90" s="448" t="str">
        <f aca="false">IF($G90=0,IF(DJ$11=$H90,"◆",""),IF(AND(DJ$11&gt;=$H90,DJ$11&lt;=$I90),1,""))</f>
        <v/>
      </c>
      <c r="DK90" s="448" t="str">
        <f aca="false">IF($G90=0,IF(DK$11=$H90,"◆",""),IF(AND(DK$11&gt;=$H90,DK$11&lt;=$I90),1,""))</f>
        <v/>
      </c>
      <c r="DL90" s="448" t="str">
        <f aca="false">IF($G90=0,IF(DL$11=$H90,"◆",""),IF(AND(DL$11&gt;=$H90,DL$11&lt;=$I90),1,""))</f>
        <v/>
      </c>
      <c r="DM90" s="448" t="str">
        <f aca="false">IF($G90=0,IF(DM$11=$H90,"◆",""),IF(AND(DM$11&gt;=$H90,DM$11&lt;=$I90),1,""))</f>
        <v/>
      </c>
      <c r="DN90" s="448" t="str">
        <f aca="false">IF($G90=0,IF(DN$11=$H90,"◆",""),IF(AND(DN$11&gt;=$H90,DN$11&lt;=$I90),1,""))</f>
        <v/>
      </c>
      <c r="DO90" s="448" t="str">
        <f aca="false">IF($G90=0,IF(DO$11=$H90,"◆",""),IF(AND(DO$11&gt;=$H90,DO$11&lt;=$I90),1,""))</f>
        <v/>
      </c>
      <c r="DP90" s="448" t="str">
        <f aca="false">IF($G90=0,IF(DP$11=$H90,"◆",""),IF(AND(DP$11&gt;=$H90,DP$11&lt;=$I90),1,""))</f>
        <v/>
      </c>
      <c r="DQ90" s="448" t="str">
        <f aca="false">IF($G90=0,IF(DQ$11=$H90,"◆",""),IF(AND(DQ$11&gt;=$H90,DQ$11&lt;=$I90),1,""))</f>
        <v/>
      </c>
      <c r="DR90" s="448" t="str">
        <f aca="false">IF($G90=0,IF(DR$11=$H90,"◆",""),IF(AND(DR$11&gt;=$H90,DR$11&lt;=$I90),1,""))</f>
        <v/>
      </c>
      <c r="DS90" s="448" t="str">
        <f aca="false">IF($G90=0,IF(DS$11=$H90,"◆",""),IF(AND(DS$11&gt;=$H90,DS$11&lt;=$I90),1,""))</f>
        <v/>
      </c>
      <c r="DT90" s="448" t="str">
        <f aca="false">IF($G90=0,IF(DT$11=$H90,"◆",""),IF(AND(DT$11&gt;=$H90,DT$11&lt;=$I90),1,""))</f>
        <v/>
      </c>
      <c r="DU90" s="448" t="str">
        <f aca="false">IF($G90=0,IF(DU$11=$H90,"◆",""),IF(AND(DU$11&gt;=$H90,DU$11&lt;=$I90),1,""))</f>
        <v/>
      </c>
      <c r="DV90" s="448" t="str">
        <f aca="false">IF($G90=0,IF(DV$11=$H90,"◆",""),IF(AND(DV$11&gt;=$H90,DV$11&lt;=$I90),1,""))</f>
        <v/>
      </c>
      <c r="DW90" s="448" t="str">
        <f aca="false">IF($G90=0,IF(DW$11=$H90,"◆",""),IF(AND(DW$11&gt;=$H90,DW$11&lt;=$I90),1,""))</f>
        <v/>
      </c>
      <c r="DX90" s="448" t="str">
        <f aca="false">IF($G90=0,IF(DX$11=$H90,"◆",""),IF(AND(DX$11&gt;=$H90,DX$11&lt;=$I90),1,""))</f>
        <v/>
      </c>
      <c r="DY90" s="448" t="str">
        <f aca="false">IF($G90=0,IF(DY$11=$H90,"◆",""),IF(AND(DY$11&gt;=$H90,DY$11&lt;=$I90),1,""))</f>
        <v/>
      </c>
      <c r="DZ90" s="448" t="str">
        <f aca="false">IF($G90=0,IF(DZ$11=$H90,"◆",""),IF(AND(DZ$11&gt;=$H90,DZ$11&lt;=$I90),1,""))</f>
        <v/>
      </c>
      <c r="EA90" s="448" t="str">
        <f aca="false">IF($G90=0,IF(EA$11=$H90,"◆",""),IF(AND(EA$11&gt;=$H90,EA$11&lt;=$I90),1,""))</f>
        <v/>
      </c>
      <c r="EB90" s="448" t="str">
        <f aca="false">IF($G90=0,IF(EB$11=$H90,"◆",""),IF(AND(EB$11&gt;=$H90,EB$11&lt;=$I90),1,""))</f>
        <v/>
      </c>
      <c r="EC90" s="448" t="str">
        <f aca="false">IF($G90=0,IF(EC$11=$H90,"◆",""),IF(AND(EC$11&gt;=$H90,EC$11&lt;=$I90),1,""))</f>
        <v/>
      </c>
      <c r="ED90" s="448" t="str">
        <f aca="false">IF($G90=0,IF(ED$11=$H90,"◆",""),IF(AND(ED$11&gt;=$H90,ED$11&lt;=$I90),1,""))</f>
        <v/>
      </c>
    </row>
    <row r="91" customFormat="false" ht="15" hidden="false" customHeight="true" outlineLevel="0" collapsed="false">
      <c r="A91" s="441" t="s">
        <v>2621</v>
      </c>
      <c r="B91" s="297" t="s">
        <v>2622</v>
      </c>
      <c r="C91" s="442" t="s">
        <v>2528</v>
      </c>
      <c r="D91" s="443" t="s">
        <v>2436</v>
      </c>
      <c r="E91" s="354" t="n">
        <f aca="false">1</f>
        <v>1</v>
      </c>
      <c r="F91" s="352" t="n">
        <v>20</v>
      </c>
      <c r="G91" s="352" t="n">
        <v>8</v>
      </c>
      <c r="H91" s="367" t="n">
        <f aca="false">MAX(1,ROUND(($E91-1)*$D$5,0)+1+$F91)</f>
        <v>21</v>
      </c>
      <c r="I91" s="367" t="n">
        <f aca="false">MAX($H91,$H91+$G91-1)</f>
        <v>28</v>
      </c>
      <c r="J91" s="444" t="n">
        <f aca="false">$D$4+($H91-1)*7</f>
        <v>46440</v>
      </c>
      <c r="K91" s="444" t="n">
        <f aca="false">$D$4+$I91*7-1</f>
        <v>46495</v>
      </c>
      <c r="L91" s="445" t="n">
        <f aca="false">ROUNDUP($H91/$D$5,0)</f>
        <v>5</v>
      </c>
      <c r="M91" s="446"/>
      <c r="N91" s="447" t="n">
        <v>0</v>
      </c>
      <c r="O91" s="448" t="str">
        <f aca="false">IF($G91=0,IF(O$11=$H91,"◆",""),IF(AND(O$11&gt;=$H91,O$11&lt;=$I91),1,""))</f>
        <v/>
      </c>
      <c r="P91" s="448" t="str">
        <f aca="false">IF($G91=0,IF(P$11=$H91,"◆",""),IF(AND(P$11&gt;=$H91,P$11&lt;=$I91),1,""))</f>
        <v/>
      </c>
      <c r="Q91" s="448" t="str">
        <f aca="false">IF($G91=0,IF(Q$11=$H91,"◆",""),IF(AND(Q$11&gt;=$H91,Q$11&lt;=$I91),1,""))</f>
        <v/>
      </c>
      <c r="R91" s="448" t="str">
        <f aca="false">IF($G91=0,IF(R$11=$H91,"◆",""),IF(AND(R$11&gt;=$H91,R$11&lt;=$I91),1,""))</f>
        <v/>
      </c>
      <c r="S91" s="448" t="str">
        <f aca="false">IF($G91=0,IF(S$11=$H91,"◆",""),IF(AND(S$11&gt;=$H91,S$11&lt;=$I91),1,""))</f>
        <v/>
      </c>
      <c r="T91" s="448" t="str">
        <f aca="false">IF($G91=0,IF(T$11=$H91,"◆",""),IF(AND(T$11&gt;=$H91,T$11&lt;=$I91),1,""))</f>
        <v/>
      </c>
      <c r="U91" s="448" t="str">
        <f aca="false">IF($G91=0,IF(U$11=$H91,"◆",""),IF(AND(U$11&gt;=$H91,U$11&lt;=$I91),1,""))</f>
        <v/>
      </c>
      <c r="V91" s="448" t="str">
        <f aca="false">IF($G91=0,IF(V$11=$H91,"◆",""),IF(AND(V$11&gt;=$H91,V$11&lt;=$I91),1,""))</f>
        <v/>
      </c>
      <c r="W91" s="448" t="str">
        <f aca="false">IF($G91=0,IF(W$11=$H91,"◆",""),IF(AND(W$11&gt;=$H91,W$11&lt;=$I91),1,""))</f>
        <v/>
      </c>
      <c r="X91" s="448" t="str">
        <f aca="false">IF($G91=0,IF(X$11=$H91,"◆",""),IF(AND(X$11&gt;=$H91,X$11&lt;=$I91),1,""))</f>
        <v/>
      </c>
      <c r="Y91" s="448" t="str">
        <f aca="false">IF($G91=0,IF(Y$11=$H91,"◆",""),IF(AND(Y$11&gt;=$H91,Y$11&lt;=$I91),1,""))</f>
        <v/>
      </c>
      <c r="Z91" s="448" t="str">
        <f aca="false">IF($G91=0,IF(Z$11=$H91,"◆",""),IF(AND(Z$11&gt;=$H91,Z$11&lt;=$I91),1,""))</f>
        <v/>
      </c>
      <c r="AA91" s="448" t="str">
        <f aca="false">IF($G91=0,IF(AA$11=$H91,"◆",""),IF(AND(AA$11&gt;=$H91,AA$11&lt;=$I91),1,""))</f>
        <v/>
      </c>
      <c r="AB91" s="448" t="str">
        <f aca="false">IF($G91=0,IF(AB$11=$H91,"◆",""),IF(AND(AB$11&gt;=$H91,AB$11&lt;=$I91),1,""))</f>
        <v/>
      </c>
      <c r="AC91" s="448" t="str">
        <f aca="false">IF($G91=0,IF(AC$11=$H91,"◆",""),IF(AND(AC$11&gt;=$H91,AC$11&lt;=$I91),1,""))</f>
        <v/>
      </c>
      <c r="AD91" s="448" t="str">
        <f aca="false">IF($G91=0,IF(AD$11=$H91,"◆",""),IF(AND(AD$11&gt;=$H91,AD$11&lt;=$I91),1,""))</f>
        <v/>
      </c>
      <c r="AE91" s="448" t="str">
        <f aca="false">IF($G91=0,IF(AE$11=$H91,"◆",""),IF(AND(AE$11&gt;=$H91,AE$11&lt;=$I91),1,""))</f>
        <v/>
      </c>
      <c r="AF91" s="448" t="str">
        <f aca="false">IF($G91=0,IF(AF$11=$H91,"◆",""),IF(AND(AF$11&gt;=$H91,AF$11&lt;=$I91),1,""))</f>
        <v/>
      </c>
      <c r="AG91" s="448" t="str">
        <f aca="false">IF($G91=0,IF(AG$11=$H91,"◆",""),IF(AND(AG$11&gt;=$H91,AG$11&lt;=$I91),1,""))</f>
        <v/>
      </c>
      <c r="AH91" s="448" t="str">
        <f aca="false">IF($G91=0,IF(AH$11=$H91,"◆",""),IF(AND(AH$11&gt;=$H91,AH$11&lt;=$I91),1,""))</f>
        <v/>
      </c>
      <c r="AI91" s="448" t="n">
        <f aca="false">IF($G91=0,IF(AI$11=$H91,"◆",""),IF(AND(AI$11&gt;=$H91,AI$11&lt;=$I91),1,""))</f>
        <v>1</v>
      </c>
      <c r="AJ91" s="448" t="n">
        <f aca="false">IF($G91=0,IF(AJ$11=$H91,"◆",""),IF(AND(AJ$11&gt;=$H91,AJ$11&lt;=$I91),1,""))</f>
        <v>1</v>
      </c>
      <c r="AK91" s="448" t="n">
        <f aca="false">IF($G91=0,IF(AK$11=$H91,"◆",""),IF(AND(AK$11&gt;=$H91,AK$11&lt;=$I91),1,""))</f>
        <v>1</v>
      </c>
      <c r="AL91" s="448" t="n">
        <f aca="false">IF($G91=0,IF(AL$11=$H91,"◆",""),IF(AND(AL$11&gt;=$H91,AL$11&lt;=$I91),1,""))</f>
        <v>1</v>
      </c>
      <c r="AM91" s="448" t="n">
        <f aca="false">IF($G91=0,IF(AM$11=$H91,"◆",""),IF(AND(AM$11&gt;=$H91,AM$11&lt;=$I91),1,""))</f>
        <v>1</v>
      </c>
      <c r="AN91" s="448" t="n">
        <f aca="false">IF($G91=0,IF(AN$11=$H91,"◆",""),IF(AND(AN$11&gt;=$H91,AN$11&lt;=$I91),1,""))</f>
        <v>1</v>
      </c>
      <c r="AO91" s="448" t="n">
        <f aca="false">IF($G91=0,IF(AO$11=$H91,"◆",""),IF(AND(AO$11&gt;=$H91,AO$11&lt;=$I91),1,""))</f>
        <v>1</v>
      </c>
      <c r="AP91" s="448" t="n">
        <f aca="false">IF($G91=0,IF(AP$11=$H91,"◆",""),IF(AND(AP$11&gt;=$H91,AP$11&lt;=$I91),1,""))</f>
        <v>1</v>
      </c>
      <c r="AQ91" s="448" t="str">
        <f aca="false">IF($G91=0,IF(AQ$11=$H91,"◆",""),IF(AND(AQ$11&gt;=$H91,AQ$11&lt;=$I91),1,""))</f>
        <v/>
      </c>
      <c r="AR91" s="448" t="str">
        <f aca="false">IF($G91=0,IF(AR$11=$H91,"◆",""),IF(AND(AR$11&gt;=$H91,AR$11&lt;=$I91),1,""))</f>
        <v/>
      </c>
      <c r="AS91" s="448" t="str">
        <f aca="false">IF($G91=0,IF(AS$11=$H91,"◆",""),IF(AND(AS$11&gt;=$H91,AS$11&lt;=$I91),1,""))</f>
        <v/>
      </c>
      <c r="AT91" s="448" t="str">
        <f aca="false">IF($G91=0,IF(AT$11=$H91,"◆",""),IF(AND(AT$11&gt;=$H91,AT$11&lt;=$I91),1,""))</f>
        <v/>
      </c>
      <c r="AU91" s="448" t="str">
        <f aca="false">IF($G91=0,IF(AU$11=$H91,"◆",""),IF(AND(AU$11&gt;=$H91,AU$11&lt;=$I91),1,""))</f>
        <v/>
      </c>
      <c r="AV91" s="448" t="str">
        <f aca="false">IF($G91=0,IF(AV$11=$H91,"◆",""),IF(AND(AV$11&gt;=$H91,AV$11&lt;=$I91),1,""))</f>
        <v/>
      </c>
      <c r="AW91" s="448" t="str">
        <f aca="false">IF($G91=0,IF(AW$11=$H91,"◆",""),IF(AND(AW$11&gt;=$H91,AW$11&lt;=$I91),1,""))</f>
        <v/>
      </c>
      <c r="AX91" s="448" t="str">
        <f aca="false">IF($G91=0,IF(AX$11=$H91,"◆",""),IF(AND(AX$11&gt;=$H91,AX$11&lt;=$I91),1,""))</f>
        <v/>
      </c>
      <c r="AY91" s="448" t="str">
        <f aca="false">IF($G91=0,IF(AY$11=$H91,"◆",""),IF(AND(AY$11&gt;=$H91,AY$11&lt;=$I91),1,""))</f>
        <v/>
      </c>
      <c r="AZ91" s="448" t="str">
        <f aca="false">IF($G91=0,IF(AZ$11=$H91,"◆",""),IF(AND(AZ$11&gt;=$H91,AZ$11&lt;=$I91),1,""))</f>
        <v/>
      </c>
      <c r="BA91" s="448" t="str">
        <f aca="false">IF($G91=0,IF(BA$11=$H91,"◆",""),IF(AND(BA$11&gt;=$H91,BA$11&lt;=$I91),1,""))</f>
        <v/>
      </c>
      <c r="BB91" s="448" t="str">
        <f aca="false">IF($G91=0,IF(BB$11=$H91,"◆",""),IF(AND(BB$11&gt;=$H91,BB$11&lt;=$I91),1,""))</f>
        <v/>
      </c>
      <c r="BC91" s="448" t="str">
        <f aca="false">IF($G91=0,IF(BC$11=$H91,"◆",""),IF(AND(BC$11&gt;=$H91,BC$11&lt;=$I91),1,""))</f>
        <v/>
      </c>
      <c r="BD91" s="448" t="str">
        <f aca="false">IF($G91=0,IF(BD$11=$H91,"◆",""),IF(AND(BD$11&gt;=$H91,BD$11&lt;=$I91),1,""))</f>
        <v/>
      </c>
      <c r="BE91" s="448" t="str">
        <f aca="false">IF($G91=0,IF(BE$11=$H91,"◆",""),IF(AND(BE$11&gt;=$H91,BE$11&lt;=$I91),1,""))</f>
        <v/>
      </c>
      <c r="BF91" s="448" t="str">
        <f aca="false">IF($G91=0,IF(BF$11=$H91,"◆",""),IF(AND(BF$11&gt;=$H91,BF$11&lt;=$I91),1,""))</f>
        <v/>
      </c>
      <c r="BG91" s="448" t="str">
        <f aca="false">IF($G91=0,IF(BG$11=$H91,"◆",""),IF(AND(BG$11&gt;=$H91,BG$11&lt;=$I91),1,""))</f>
        <v/>
      </c>
      <c r="BH91" s="448" t="str">
        <f aca="false">IF($G91=0,IF(BH$11=$H91,"◆",""),IF(AND(BH$11&gt;=$H91,BH$11&lt;=$I91),1,""))</f>
        <v/>
      </c>
      <c r="BI91" s="448" t="str">
        <f aca="false">IF($G91=0,IF(BI$11=$H91,"◆",""),IF(AND(BI$11&gt;=$H91,BI$11&lt;=$I91),1,""))</f>
        <v/>
      </c>
      <c r="BJ91" s="448" t="str">
        <f aca="false">IF($G91=0,IF(BJ$11=$H91,"◆",""),IF(AND(BJ$11&gt;=$H91,BJ$11&lt;=$I91),1,""))</f>
        <v/>
      </c>
      <c r="BK91" s="448" t="str">
        <f aca="false">IF($G91=0,IF(BK$11=$H91,"◆",""),IF(AND(BK$11&gt;=$H91,BK$11&lt;=$I91),1,""))</f>
        <v/>
      </c>
      <c r="BL91" s="448" t="str">
        <f aca="false">IF($G91=0,IF(BL$11=$H91,"◆",""),IF(AND(BL$11&gt;=$H91,BL$11&lt;=$I91),1,""))</f>
        <v/>
      </c>
      <c r="BM91" s="448" t="str">
        <f aca="false">IF($G91=0,IF(BM$11=$H91,"◆",""),IF(AND(BM$11&gt;=$H91,BM$11&lt;=$I91),1,""))</f>
        <v/>
      </c>
      <c r="BN91" s="448" t="str">
        <f aca="false">IF($G91=0,IF(BN$11=$H91,"◆",""),IF(AND(BN$11&gt;=$H91,BN$11&lt;=$I91),1,""))</f>
        <v/>
      </c>
      <c r="BO91" s="448" t="str">
        <f aca="false">IF($G91=0,IF(BO$11=$H91,"◆",""),IF(AND(BO$11&gt;=$H91,BO$11&lt;=$I91),1,""))</f>
        <v/>
      </c>
      <c r="BP91" s="448" t="str">
        <f aca="false">IF($G91=0,IF(BP$11=$H91,"◆",""),IF(AND(BP$11&gt;=$H91,BP$11&lt;=$I91),1,""))</f>
        <v/>
      </c>
      <c r="BQ91" s="448" t="str">
        <f aca="false">IF($G91=0,IF(BQ$11=$H91,"◆",""),IF(AND(BQ$11&gt;=$H91,BQ$11&lt;=$I91),1,""))</f>
        <v/>
      </c>
      <c r="BR91" s="448" t="str">
        <f aca="false">IF($G91=0,IF(BR$11=$H91,"◆",""),IF(AND(BR$11&gt;=$H91,BR$11&lt;=$I91),1,""))</f>
        <v/>
      </c>
      <c r="BS91" s="448" t="str">
        <f aca="false">IF($G91=0,IF(BS$11=$H91,"◆",""),IF(AND(BS$11&gt;=$H91,BS$11&lt;=$I91),1,""))</f>
        <v/>
      </c>
      <c r="BT91" s="448" t="str">
        <f aca="false">IF($G91=0,IF(BT$11=$H91,"◆",""),IF(AND(BT$11&gt;=$H91,BT$11&lt;=$I91),1,""))</f>
        <v/>
      </c>
      <c r="BU91" s="448" t="str">
        <f aca="false">IF($G91=0,IF(BU$11=$H91,"◆",""),IF(AND(BU$11&gt;=$H91,BU$11&lt;=$I91),1,""))</f>
        <v/>
      </c>
      <c r="BV91" s="448" t="str">
        <f aca="false">IF($G91=0,IF(BV$11=$H91,"◆",""),IF(AND(BV$11&gt;=$H91,BV$11&lt;=$I91),1,""))</f>
        <v/>
      </c>
      <c r="BW91" s="448" t="str">
        <f aca="false">IF($G91=0,IF(BW$11=$H91,"◆",""),IF(AND(BW$11&gt;=$H91,BW$11&lt;=$I91),1,""))</f>
        <v/>
      </c>
      <c r="BX91" s="448" t="str">
        <f aca="false">IF($G91=0,IF(BX$11=$H91,"◆",""),IF(AND(BX$11&gt;=$H91,BX$11&lt;=$I91),1,""))</f>
        <v/>
      </c>
      <c r="BY91" s="448" t="str">
        <f aca="false">IF($G91=0,IF(BY$11=$H91,"◆",""),IF(AND(BY$11&gt;=$H91,BY$11&lt;=$I91),1,""))</f>
        <v/>
      </c>
      <c r="BZ91" s="448" t="str">
        <f aca="false">IF($G91=0,IF(BZ$11=$H91,"◆",""),IF(AND(BZ$11&gt;=$H91,BZ$11&lt;=$I91),1,""))</f>
        <v/>
      </c>
      <c r="CA91" s="448" t="str">
        <f aca="false">IF($G91=0,IF(CA$11=$H91,"◆",""),IF(AND(CA$11&gt;=$H91,CA$11&lt;=$I91),1,""))</f>
        <v/>
      </c>
      <c r="CB91" s="448" t="str">
        <f aca="false">IF($G91=0,IF(CB$11=$H91,"◆",""),IF(AND(CB$11&gt;=$H91,CB$11&lt;=$I91),1,""))</f>
        <v/>
      </c>
      <c r="CC91" s="448" t="str">
        <f aca="false">IF($G91=0,IF(CC$11=$H91,"◆",""),IF(AND(CC$11&gt;=$H91,CC$11&lt;=$I91),1,""))</f>
        <v/>
      </c>
      <c r="CD91" s="448" t="str">
        <f aca="false">IF($G91=0,IF(CD$11=$H91,"◆",""),IF(AND(CD$11&gt;=$H91,CD$11&lt;=$I91),1,""))</f>
        <v/>
      </c>
      <c r="CE91" s="448" t="str">
        <f aca="false">IF($G91=0,IF(CE$11=$H91,"◆",""),IF(AND(CE$11&gt;=$H91,CE$11&lt;=$I91),1,""))</f>
        <v/>
      </c>
      <c r="CF91" s="448" t="str">
        <f aca="false">IF($G91=0,IF(CF$11=$H91,"◆",""),IF(AND(CF$11&gt;=$H91,CF$11&lt;=$I91),1,""))</f>
        <v/>
      </c>
      <c r="CG91" s="448" t="str">
        <f aca="false">IF($G91=0,IF(CG$11=$H91,"◆",""),IF(AND(CG$11&gt;=$H91,CG$11&lt;=$I91),1,""))</f>
        <v/>
      </c>
      <c r="CH91" s="448" t="str">
        <f aca="false">IF($G91=0,IF(CH$11=$H91,"◆",""),IF(AND(CH$11&gt;=$H91,CH$11&lt;=$I91),1,""))</f>
        <v/>
      </c>
      <c r="CI91" s="448" t="str">
        <f aca="false">IF($G91=0,IF(CI$11=$H91,"◆",""),IF(AND(CI$11&gt;=$H91,CI$11&lt;=$I91),1,""))</f>
        <v/>
      </c>
      <c r="CJ91" s="448" t="str">
        <f aca="false">IF($G91=0,IF(CJ$11=$H91,"◆",""),IF(AND(CJ$11&gt;=$H91,CJ$11&lt;=$I91),1,""))</f>
        <v/>
      </c>
      <c r="CK91" s="448" t="str">
        <f aca="false">IF($G91=0,IF(CK$11=$H91,"◆",""),IF(AND(CK$11&gt;=$H91,CK$11&lt;=$I91),1,""))</f>
        <v/>
      </c>
      <c r="CL91" s="448" t="str">
        <f aca="false">IF($G91=0,IF(CL$11=$H91,"◆",""),IF(AND(CL$11&gt;=$H91,CL$11&lt;=$I91),1,""))</f>
        <v/>
      </c>
      <c r="CM91" s="448" t="str">
        <f aca="false">IF($G91=0,IF(CM$11=$H91,"◆",""),IF(AND(CM$11&gt;=$H91,CM$11&lt;=$I91),1,""))</f>
        <v/>
      </c>
      <c r="CN91" s="448" t="str">
        <f aca="false">IF($G91=0,IF(CN$11=$H91,"◆",""),IF(AND(CN$11&gt;=$H91,CN$11&lt;=$I91),1,""))</f>
        <v/>
      </c>
      <c r="CO91" s="448" t="str">
        <f aca="false">IF($G91=0,IF(CO$11=$H91,"◆",""),IF(AND(CO$11&gt;=$H91,CO$11&lt;=$I91),1,""))</f>
        <v/>
      </c>
      <c r="CP91" s="448" t="str">
        <f aca="false">IF($G91=0,IF(CP$11=$H91,"◆",""),IF(AND(CP$11&gt;=$H91,CP$11&lt;=$I91),1,""))</f>
        <v/>
      </c>
      <c r="CQ91" s="448" t="str">
        <f aca="false">IF($G91=0,IF(CQ$11=$H91,"◆",""),IF(AND(CQ$11&gt;=$H91,CQ$11&lt;=$I91),1,""))</f>
        <v/>
      </c>
      <c r="CR91" s="448" t="str">
        <f aca="false">IF($G91=0,IF(CR$11=$H91,"◆",""),IF(AND(CR$11&gt;=$H91,CR$11&lt;=$I91),1,""))</f>
        <v/>
      </c>
      <c r="CS91" s="448" t="str">
        <f aca="false">IF($G91=0,IF(CS$11=$H91,"◆",""),IF(AND(CS$11&gt;=$H91,CS$11&lt;=$I91),1,""))</f>
        <v/>
      </c>
      <c r="CT91" s="448" t="str">
        <f aca="false">IF($G91=0,IF(CT$11=$H91,"◆",""),IF(AND(CT$11&gt;=$H91,CT$11&lt;=$I91),1,""))</f>
        <v/>
      </c>
      <c r="CU91" s="448" t="str">
        <f aca="false">IF($G91=0,IF(CU$11=$H91,"◆",""),IF(AND(CU$11&gt;=$H91,CU$11&lt;=$I91),1,""))</f>
        <v/>
      </c>
      <c r="CV91" s="448" t="str">
        <f aca="false">IF($G91=0,IF(CV$11=$H91,"◆",""),IF(AND(CV$11&gt;=$H91,CV$11&lt;=$I91),1,""))</f>
        <v/>
      </c>
      <c r="CW91" s="448" t="str">
        <f aca="false">IF($G91=0,IF(CW$11=$H91,"◆",""),IF(AND(CW$11&gt;=$H91,CW$11&lt;=$I91),1,""))</f>
        <v/>
      </c>
      <c r="CX91" s="448" t="str">
        <f aca="false">IF($G91=0,IF(CX$11=$H91,"◆",""),IF(AND(CX$11&gt;=$H91,CX$11&lt;=$I91),1,""))</f>
        <v/>
      </c>
      <c r="CY91" s="448" t="str">
        <f aca="false">IF($G91=0,IF(CY$11=$H91,"◆",""),IF(AND(CY$11&gt;=$H91,CY$11&lt;=$I91),1,""))</f>
        <v/>
      </c>
      <c r="CZ91" s="448" t="str">
        <f aca="false">IF($G91=0,IF(CZ$11=$H91,"◆",""),IF(AND(CZ$11&gt;=$H91,CZ$11&lt;=$I91),1,""))</f>
        <v/>
      </c>
      <c r="DA91" s="448" t="str">
        <f aca="false">IF($G91=0,IF(DA$11=$H91,"◆",""),IF(AND(DA$11&gt;=$H91,DA$11&lt;=$I91),1,""))</f>
        <v/>
      </c>
      <c r="DB91" s="448" t="str">
        <f aca="false">IF($G91=0,IF(DB$11=$H91,"◆",""),IF(AND(DB$11&gt;=$H91,DB$11&lt;=$I91),1,""))</f>
        <v/>
      </c>
      <c r="DC91" s="448" t="str">
        <f aca="false">IF($G91=0,IF(DC$11=$H91,"◆",""),IF(AND(DC$11&gt;=$H91,DC$11&lt;=$I91),1,""))</f>
        <v/>
      </c>
      <c r="DD91" s="448" t="str">
        <f aca="false">IF($G91=0,IF(DD$11=$H91,"◆",""),IF(AND(DD$11&gt;=$H91,DD$11&lt;=$I91),1,""))</f>
        <v/>
      </c>
      <c r="DE91" s="448" t="str">
        <f aca="false">IF($G91=0,IF(DE$11=$H91,"◆",""),IF(AND(DE$11&gt;=$H91,DE$11&lt;=$I91),1,""))</f>
        <v/>
      </c>
      <c r="DF91" s="448" t="str">
        <f aca="false">IF($G91=0,IF(DF$11=$H91,"◆",""),IF(AND(DF$11&gt;=$H91,DF$11&lt;=$I91),1,""))</f>
        <v/>
      </c>
      <c r="DG91" s="448" t="str">
        <f aca="false">IF($G91=0,IF(DG$11=$H91,"◆",""),IF(AND(DG$11&gt;=$H91,DG$11&lt;=$I91),1,""))</f>
        <v/>
      </c>
      <c r="DH91" s="448" t="str">
        <f aca="false">IF($G91=0,IF(DH$11=$H91,"◆",""),IF(AND(DH$11&gt;=$H91,DH$11&lt;=$I91),1,""))</f>
        <v/>
      </c>
      <c r="DI91" s="448" t="str">
        <f aca="false">IF($G91=0,IF(DI$11=$H91,"◆",""),IF(AND(DI$11&gt;=$H91,DI$11&lt;=$I91),1,""))</f>
        <v/>
      </c>
      <c r="DJ91" s="448" t="str">
        <f aca="false">IF($G91=0,IF(DJ$11=$H91,"◆",""),IF(AND(DJ$11&gt;=$H91,DJ$11&lt;=$I91),1,""))</f>
        <v/>
      </c>
      <c r="DK91" s="448" t="str">
        <f aca="false">IF($G91=0,IF(DK$11=$H91,"◆",""),IF(AND(DK$11&gt;=$H91,DK$11&lt;=$I91),1,""))</f>
        <v/>
      </c>
      <c r="DL91" s="448" t="str">
        <f aca="false">IF($G91=0,IF(DL$11=$H91,"◆",""),IF(AND(DL$11&gt;=$H91,DL$11&lt;=$I91),1,""))</f>
        <v/>
      </c>
      <c r="DM91" s="448" t="str">
        <f aca="false">IF($G91=0,IF(DM$11=$H91,"◆",""),IF(AND(DM$11&gt;=$H91,DM$11&lt;=$I91),1,""))</f>
        <v/>
      </c>
      <c r="DN91" s="448" t="str">
        <f aca="false">IF($G91=0,IF(DN$11=$H91,"◆",""),IF(AND(DN$11&gt;=$H91,DN$11&lt;=$I91),1,""))</f>
        <v/>
      </c>
      <c r="DO91" s="448" t="str">
        <f aca="false">IF($G91=0,IF(DO$11=$H91,"◆",""),IF(AND(DO$11&gt;=$H91,DO$11&lt;=$I91),1,""))</f>
        <v/>
      </c>
      <c r="DP91" s="448" t="str">
        <f aca="false">IF($G91=0,IF(DP$11=$H91,"◆",""),IF(AND(DP$11&gt;=$H91,DP$11&lt;=$I91),1,""))</f>
        <v/>
      </c>
      <c r="DQ91" s="448" t="str">
        <f aca="false">IF($G91=0,IF(DQ$11=$H91,"◆",""),IF(AND(DQ$11&gt;=$H91,DQ$11&lt;=$I91),1,""))</f>
        <v/>
      </c>
      <c r="DR91" s="448" t="str">
        <f aca="false">IF($G91=0,IF(DR$11=$H91,"◆",""),IF(AND(DR$11&gt;=$H91,DR$11&lt;=$I91),1,""))</f>
        <v/>
      </c>
      <c r="DS91" s="448" t="str">
        <f aca="false">IF($G91=0,IF(DS$11=$H91,"◆",""),IF(AND(DS$11&gt;=$H91,DS$11&lt;=$I91),1,""))</f>
        <v/>
      </c>
      <c r="DT91" s="448" t="str">
        <f aca="false">IF($G91=0,IF(DT$11=$H91,"◆",""),IF(AND(DT$11&gt;=$H91,DT$11&lt;=$I91),1,""))</f>
        <v/>
      </c>
      <c r="DU91" s="448" t="str">
        <f aca="false">IF($G91=0,IF(DU$11=$H91,"◆",""),IF(AND(DU$11&gt;=$H91,DU$11&lt;=$I91),1,""))</f>
        <v/>
      </c>
      <c r="DV91" s="448" t="str">
        <f aca="false">IF($G91=0,IF(DV$11=$H91,"◆",""),IF(AND(DV$11&gt;=$H91,DV$11&lt;=$I91),1,""))</f>
        <v/>
      </c>
      <c r="DW91" s="448" t="str">
        <f aca="false">IF($G91=0,IF(DW$11=$H91,"◆",""),IF(AND(DW$11&gt;=$H91,DW$11&lt;=$I91),1,""))</f>
        <v/>
      </c>
      <c r="DX91" s="448" t="str">
        <f aca="false">IF($G91=0,IF(DX$11=$H91,"◆",""),IF(AND(DX$11&gt;=$H91,DX$11&lt;=$I91),1,""))</f>
        <v/>
      </c>
      <c r="DY91" s="448" t="str">
        <f aca="false">IF($G91=0,IF(DY$11=$H91,"◆",""),IF(AND(DY$11&gt;=$H91,DY$11&lt;=$I91),1,""))</f>
        <v/>
      </c>
      <c r="DZ91" s="448" t="str">
        <f aca="false">IF($G91=0,IF(DZ$11=$H91,"◆",""),IF(AND(DZ$11&gt;=$H91,DZ$11&lt;=$I91),1,""))</f>
        <v/>
      </c>
      <c r="EA91" s="448" t="str">
        <f aca="false">IF($G91=0,IF(EA$11=$H91,"◆",""),IF(AND(EA$11&gt;=$H91,EA$11&lt;=$I91),1,""))</f>
        <v/>
      </c>
      <c r="EB91" s="448" t="str">
        <f aca="false">IF($G91=0,IF(EB$11=$H91,"◆",""),IF(AND(EB$11&gt;=$H91,EB$11&lt;=$I91),1,""))</f>
        <v/>
      </c>
      <c r="EC91" s="448" t="str">
        <f aca="false">IF($G91=0,IF(EC$11=$H91,"◆",""),IF(AND(EC$11&gt;=$H91,EC$11&lt;=$I91),1,""))</f>
        <v/>
      </c>
      <c r="ED91" s="448" t="str">
        <f aca="false">IF($G91=0,IF(ED$11=$H91,"◆",""),IF(AND(ED$11&gt;=$H91,ED$11&lt;=$I91),1,""))</f>
        <v/>
      </c>
    </row>
    <row r="92" customFormat="false" ht="15" hidden="false" customHeight="true" outlineLevel="0" collapsed="false">
      <c r="A92" s="441" t="s">
        <v>2623</v>
      </c>
      <c r="B92" s="297" t="s">
        <v>2624</v>
      </c>
      <c r="C92" s="442" t="s">
        <v>2499</v>
      </c>
      <c r="D92" s="443" t="s">
        <v>2496</v>
      </c>
      <c r="E92" s="354" t="n">
        <f aca="false">FC_SUPUESTOS!$C$23-FC_SUPUESTOS!$C$21</f>
        <v>8</v>
      </c>
      <c r="F92" s="352" t="n">
        <v>-6</v>
      </c>
      <c r="G92" s="352" t="n">
        <v>5</v>
      </c>
      <c r="H92" s="367" t="n">
        <f aca="false">MAX(1,ROUND(($E92-1)*$D$5,0)+1+$F92)</f>
        <v>25</v>
      </c>
      <c r="I92" s="367" t="n">
        <f aca="false">MAX($H92,$H92+$G92-1)</f>
        <v>29</v>
      </c>
      <c r="J92" s="444" t="n">
        <f aca="false">$D$4+($H92-1)*7</f>
        <v>46468</v>
      </c>
      <c r="K92" s="444" t="n">
        <f aca="false">$D$4+$I92*7-1</f>
        <v>46502</v>
      </c>
      <c r="L92" s="445" t="n">
        <f aca="false">ROUNDUP($H92/$D$5,0)</f>
        <v>6</v>
      </c>
      <c r="M92" s="446"/>
      <c r="N92" s="447" t="n">
        <v>0</v>
      </c>
      <c r="O92" s="448" t="str">
        <f aca="false">IF($G92=0,IF(O$11=$H92,"◆",""),IF(AND(O$11&gt;=$H92,O$11&lt;=$I92),1,""))</f>
        <v/>
      </c>
      <c r="P92" s="448" t="str">
        <f aca="false">IF($G92=0,IF(P$11=$H92,"◆",""),IF(AND(P$11&gt;=$H92,P$11&lt;=$I92),1,""))</f>
        <v/>
      </c>
      <c r="Q92" s="448" t="str">
        <f aca="false">IF($G92=0,IF(Q$11=$H92,"◆",""),IF(AND(Q$11&gt;=$H92,Q$11&lt;=$I92),1,""))</f>
        <v/>
      </c>
      <c r="R92" s="448" t="str">
        <f aca="false">IF($G92=0,IF(R$11=$H92,"◆",""),IF(AND(R$11&gt;=$H92,R$11&lt;=$I92),1,""))</f>
        <v/>
      </c>
      <c r="S92" s="448" t="str">
        <f aca="false">IF($G92=0,IF(S$11=$H92,"◆",""),IF(AND(S$11&gt;=$H92,S$11&lt;=$I92),1,""))</f>
        <v/>
      </c>
      <c r="T92" s="448" t="str">
        <f aca="false">IF($G92=0,IF(T$11=$H92,"◆",""),IF(AND(T$11&gt;=$H92,T$11&lt;=$I92),1,""))</f>
        <v/>
      </c>
      <c r="U92" s="448" t="str">
        <f aca="false">IF($G92=0,IF(U$11=$H92,"◆",""),IF(AND(U$11&gt;=$H92,U$11&lt;=$I92),1,""))</f>
        <v/>
      </c>
      <c r="V92" s="448" t="str">
        <f aca="false">IF($G92=0,IF(V$11=$H92,"◆",""),IF(AND(V$11&gt;=$H92,V$11&lt;=$I92),1,""))</f>
        <v/>
      </c>
      <c r="W92" s="448" t="str">
        <f aca="false">IF($G92=0,IF(W$11=$H92,"◆",""),IF(AND(W$11&gt;=$H92,W$11&lt;=$I92),1,""))</f>
        <v/>
      </c>
      <c r="X92" s="448" t="str">
        <f aca="false">IF($G92=0,IF(X$11=$H92,"◆",""),IF(AND(X$11&gt;=$H92,X$11&lt;=$I92),1,""))</f>
        <v/>
      </c>
      <c r="Y92" s="448" t="str">
        <f aca="false">IF($G92=0,IF(Y$11=$H92,"◆",""),IF(AND(Y$11&gt;=$H92,Y$11&lt;=$I92),1,""))</f>
        <v/>
      </c>
      <c r="Z92" s="448" t="str">
        <f aca="false">IF($G92=0,IF(Z$11=$H92,"◆",""),IF(AND(Z$11&gt;=$H92,Z$11&lt;=$I92),1,""))</f>
        <v/>
      </c>
      <c r="AA92" s="448" t="str">
        <f aca="false">IF($G92=0,IF(AA$11=$H92,"◆",""),IF(AND(AA$11&gt;=$H92,AA$11&lt;=$I92),1,""))</f>
        <v/>
      </c>
      <c r="AB92" s="448" t="str">
        <f aca="false">IF($G92=0,IF(AB$11=$H92,"◆",""),IF(AND(AB$11&gt;=$H92,AB$11&lt;=$I92),1,""))</f>
        <v/>
      </c>
      <c r="AC92" s="448" t="str">
        <f aca="false">IF($G92=0,IF(AC$11=$H92,"◆",""),IF(AND(AC$11&gt;=$H92,AC$11&lt;=$I92),1,""))</f>
        <v/>
      </c>
      <c r="AD92" s="448" t="str">
        <f aca="false">IF($G92=0,IF(AD$11=$H92,"◆",""),IF(AND(AD$11&gt;=$H92,AD$11&lt;=$I92),1,""))</f>
        <v/>
      </c>
      <c r="AE92" s="448" t="str">
        <f aca="false">IF($G92=0,IF(AE$11=$H92,"◆",""),IF(AND(AE$11&gt;=$H92,AE$11&lt;=$I92),1,""))</f>
        <v/>
      </c>
      <c r="AF92" s="448" t="str">
        <f aca="false">IF($G92=0,IF(AF$11=$H92,"◆",""),IF(AND(AF$11&gt;=$H92,AF$11&lt;=$I92),1,""))</f>
        <v/>
      </c>
      <c r="AG92" s="448" t="str">
        <f aca="false">IF($G92=0,IF(AG$11=$H92,"◆",""),IF(AND(AG$11&gt;=$H92,AG$11&lt;=$I92),1,""))</f>
        <v/>
      </c>
      <c r="AH92" s="448" t="str">
        <f aca="false">IF($G92=0,IF(AH$11=$H92,"◆",""),IF(AND(AH$11&gt;=$H92,AH$11&lt;=$I92),1,""))</f>
        <v/>
      </c>
      <c r="AI92" s="448" t="str">
        <f aca="false">IF($G92=0,IF(AI$11=$H92,"◆",""),IF(AND(AI$11&gt;=$H92,AI$11&lt;=$I92),1,""))</f>
        <v/>
      </c>
      <c r="AJ92" s="448" t="str">
        <f aca="false">IF($G92=0,IF(AJ$11=$H92,"◆",""),IF(AND(AJ$11&gt;=$H92,AJ$11&lt;=$I92),1,""))</f>
        <v/>
      </c>
      <c r="AK92" s="448" t="str">
        <f aca="false">IF($G92=0,IF(AK$11=$H92,"◆",""),IF(AND(AK$11&gt;=$H92,AK$11&lt;=$I92),1,""))</f>
        <v/>
      </c>
      <c r="AL92" s="448" t="str">
        <f aca="false">IF($G92=0,IF(AL$11=$H92,"◆",""),IF(AND(AL$11&gt;=$H92,AL$11&lt;=$I92),1,""))</f>
        <v/>
      </c>
      <c r="AM92" s="448" t="n">
        <f aca="false">IF($G92=0,IF(AM$11=$H92,"◆",""),IF(AND(AM$11&gt;=$H92,AM$11&lt;=$I92),1,""))</f>
        <v>1</v>
      </c>
      <c r="AN92" s="448" t="n">
        <f aca="false">IF($G92=0,IF(AN$11=$H92,"◆",""),IF(AND(AN$11&gt;=$H92,AN$11&lt;=$I92),1,""))</f>
        <v>1</v>
      </c>
      <c r="AO92" s="448" t="n">
        <f aca="false">IF($G92=0,IF(AO$11=$H92,"◆",""),IF(AND(AO$11&gt;=$H92,AO$11&lt;=$I92),1,""))</f>
        <v>1</v>
      </c>
      <c r="AP92" s="448" t="n">
        <f aca="false">IF($G92=0,IF(AP$11=$H92,"◆",""),IF(AND(AP$11&gt;=$H92,AP$11&lt;=$I92),1,""))</f>
        <v>1</v>
      </c>
      <c r="AQ92" s="448" t="n">
        <f aca="false">IF($G92=0,IF(AQ$11=$H92,"◆",""),IF(AND(AQ$11&gt;=$H92,AQ$11&lt;=$I92),1,""))</f>
        <v>1</v>
      </c>
      <c r="AR92" s="448" t="str">
        <f aca="false">IF($G92=0,IF(AR$11=$H92,"◆",""),IF(AND(AR$11&gt;=$H92,AR$11&lt;=$I92),1,""))</f>
        <v/>
      </c>
      <c r="AS92" s="448" t="str">
        <f aca="false">IF($G92=0,IF(AS$11=$H92,"◆",""),IF(AND(AS$11&gt;=$H92,AS$11&lt;=$I92),1,""))</f>
        <v/>
      </c>
      <c r="AT92" s="448" t="str">
        <f aca="false">IF($G92=0,IF(AT$11=$H92,"◆",""),IF(AND(AT$11&gt;=$H92,AT$11&lt;=$I92),1,""))</f>
        <v/>
      </c>
      <c r="AU92" s="448" t="str">
        <f aca="false">IF($G92=0,IF(AU$11=$H92,"◆",""),IF(AND(AU$11&gt;=$H92,AU$11&lt;=$I92),1,""))</f>
        <v/>
      </c>
      <c r="AV92" s="448" t="str">
        <f aca="false">IF($G92=0,IF(AV$11=$H92,"◆",""),IF(AND(AV$11&gt;=$H92,AV$11&lt;=$I92),1,""))</f>
        <v/>
      </c>
      <c r="AW92" s="448" t="str">
        <f aca="false">IF($G92=0,IF(AW$11=$H92,"◆",""),IF(AND(AW$11&gt;=$H92,AW$11&lt;=$I92),1,""))</f>
        <v/>
      </c>
      <c r="AX92" s="448" t="str">
        <f aca="false">IF($G92=0,IF(AX$11=$H92,"◆",""),IF(AND(AX$11&gt;=$H92,AX$11&lt;=$I92),1,""))</f>
        <v/>
      </c>
      <c r="AY92" s="448" t="str">
        <f aca="false">IF($G92=0,IF(AY$11=$H92,"◆",""),IF(AND(AY$11&gt;=$H92,AY$11&lt;=$I92),1,""))</f>
        <v/>
      </c>
      <c r="AZ92" s="448" t="str">
        <f aca="false">IF($G92=0,IF(AZ$11=$H92,"◆",""),IF(AND(AZ$11&gt;=$H92,AZ$11&lt;=$I92),1,""))</f>
        <v/>
      </c>
      <c r="BA92" s="448" t="str">
        <f aca="false">IF($G92=0,IF(BA$11=$H92,"◆",""),IF(AND(BA$11&gt;=$H92,BA$11&lt;=$I92),1,""))</f>
        <v/>
      </c>
      <c r="BB92" s="448" t="str">
        <f aca="false">IF($G92=0,IF(BB$11=$H92,"◆",""),IF(AND(BB$11&gt;=$H92,BB$11&lt;=$I92),1,""))</f>
        <v/>
      </c>
      <c r="BC92" s="448" t="str">
        <f aca="false">IF($G92=0,IF(BC$11=$H92,"◆",""),IF(AND(BC$11&gt;=$H92,BC$11&lt;=$I92),1,""))</f>
        <v/>
      </c>
      <c r="BD92" s="448" t="str">
        <f aca="false">IF($G92=0,IF(BD$11=$H92,"◆",""),IF(AND(BD$11&gt;=$H92,BD$11&lt;=$I92),1,""))</f>
        <v/>
      </c>
      <c r="BE92" s="448" t="str">
        <f aca="false">IF($G92=0,IF(BE$11=$H92,"◆",""),IF(AND(BE$11&gt;=$H92,BE$11&lt;=$I92),1,""))</f>
        <v/>
      </c>
      <c r="BF92" s="448" t="str">
        <f aca="false">IF($G92=0,IF(BF$11=$H92,"◆",""),IF(AND(BF$11&gt;=$H92,BF$11&lt;=$I92),1,""))</f>
        <v/>
      </c>
      <c r="BG92" s="448" t="str">
        <f aca="false">IF($G92=0,IF(BG$11=$H92,"◆",""),IF(AND(BG$11&gt;=$H92,BG$11&lt;=$I92),1,""))</f>
        <v/>
      </c>
      <c r="BH92" s="448" t="str">
        <f aca="false">IF($G92=0,IF(BH$11=$H92,"◆",""),IF(AND(BH$11&gt;=$H92,BH$11&lt;=$I92),1,""))</f>
        <v/>
      </c>
      <c r="BI92" s="448" t="str">
        <f aca="false">IF($G92=0,IF(BI$11=$H92,"◆",""),IF(AND(BI$11&gt;=$H92,BI$11&lt;=$I92),1,""))</f>
        <v/>
      </c>
      <c r="BJ92" s="448" t="str">
        <f aca="false">IF($G92=0,IF(BJ$11=$H92,"◆",""),IF(AND(BJ$11&gt;=$H92,BJ$11&lt;=$I92),1,""))</f>
        <v/>
      </c>
      <c r="BK92" s="448" t="str">
        <f aca="false">IF($G92=0,IF(BK$11=$H92,"◆",""),IF(AND(BK$11&gt;=$H92,BK$11&lt;=$I92),1,""))</f>
        <v/>
      </c>
      <c r="BL92" s="448" t="str">
        <f aca="false">IF($G92=0,IF(BL$11=$H92,"◆",""),IF(AND(BL$11&gt;=$H92,BL$11&lt;=$I92),1,""))</f>
        <v/>
      </c>
      <c r="BM92" s="448" t="str">
        <f aca="false">IF($G92=0,IF(BM$11=$H92,"◆",""),IF(AND(BM$11&gt;=$H92,BM$11&lt;=$I92),1,""))</f>
        <v/>
      </c>
      <c r="BN92" s="448" t="str">
        <f aca="false">IF($G92=0,IF(BN$11=$H92,"◆",""),IF(AND(BN$11&gt;=$H92,BN$11&lt;=$I92),1,""))</f>
        <v/>
      </c>
      <c r="BO92" s="448" t="str">
        <f aca="false">IF($G92=0,IF(BO$11=$H92,"◆",""),IF(AND(BO$11&gt;=$H92,BO$11&lt;=$I92),1,""))</f>
        <v/>
      </c>
      <c r="BP92" s="448" t="str">
        <f aca="false">IF($G92=0,IF(BP$11=$H92,"◆",""),IF(AND(BP$11&gt;=$H92,BP$11&lt;=$I92),1,""))</f>
        <v/>
      </c>
      <c r="BQ92" s="448" t="str">
        <f aca="false">IF($G92=0,IF(BQ$11=$H92,"◆",""),IF(AND(BQ$11&gt;=$H92,BQ$11&lt;=$I92),1,""))</f>
        <v/>
      </c>
      <c r="BR92" s="448" t="str">
        <f aca="false">IF($G92=0,IF(BR$11=$H92,"◆",""),IF(AND(BR$11&gt;=$H92,BR$11&lt;=$I92),1,""))</f>
        <v/>
      </c>
      <c r="BS92" s="448" t="str">
        <f aca="false">IF($G92=0,IF(BS$11=$H92,"◆",""),IF(AND(BS$11&gt;=$H92,BS$11&lt;=$I92),1,""))</f>
        <v/>
      </c>
      <c r="BT92" s="448" t="str">
        <f aca="false">IF($G92=0,IF(BT$11=$H92,"◆",""),IF(AND(BT$11&gt;=$H92,BT$11&lt;=$I92),1,""))</f>
        <v/>
      </c>
      <c r="BU92" s="448" t="str">
        <f aca="false">IF($G92=0,IF(BU$11=$H92,"◆",""),IF(AND(BU$11&gt;=$H92,BU$11&lt;=$I92),1,""))</f>
        <v/>
      </c>
      <c r="BV92" s="448" t="str">
        <f aca="false">IF($G92=0,IF(BV$11=$H92,"◆",""),IF(AND(BV$11&gt;=$H92,BV$11&lt;=$I92),1,""))</f>
        <v/>
      </c>
      <c r="BW92" s="448" t="str">
        <f aca="false">IF($G92=0,IF(BW$11=$H92,"◆",""),IF(AND(BW$11&gt;=$H92,BW$11&lt;=$I92),1,""))</f>
        <v/>
      </c>
      <c r="BX92" s="448" t="str">
        <f aca="false">IF($G92=0,IF(BX$11=$H92,"◆",""),IF(AND(BX$11&gt;=$H92,BX$11&lt;=$I92),1,""))</f>
        <v/>
      </c>
      <c r="BY92" s="448" t="str">
        <f aca="false">IF($G92=0,IF(BY$11=$H92,"◆",""),IF(AND(BY$11&gt;=$H92,BY$11&lt;=$I92),1,""))</f>
        <v/>
      </c>
      <c r="BZ92" s="448" t="str">
        <f aca="false">IF($G92=0,IF(BZ$11=$H92,"◆",""),IF(AND(BZ$11&gt;=$H92,BZ$11&lt;=$I92),1,""))</f>
        <v/>
      </c>
      <c r="CA92" s="448" t="str">
        <f aca="false">IF($G92=0,IF(CA$11=$H92,"◆",""),IF(AND(CA$11&gt;=$H92,CA$11&lt;=$I92),1,""))</f>
        <v/>
      </c>
      <c r="CB92" s="448" t="str">
        <f aca="false">IF($G92=0,IF(CB$11=$H92,"◆",""),IF(AND(CB$11&gt;=$H92,CB$11&lt;=$I92),1,""))</f>
        <v/>
      </c>
      <c r="CC92" s="448" t="str">
        <f aca="false">IF($G92=0,IF(CC$11=$H92,"◆",""),IF(AND(CC$11&gt;=$H92,CC$11&lt;=$I92),1,""))</f>
        <v/>
      </c>
      <c r="CD92" s="448" t="str">
        <f aca="false">IF($G92=0,IF(CD$11=$H92,"◆",""),IF(AND(CD$11&gt;=$H92,CD$11&lt;=$I92),1,""))</f>
        <v/>
      </c>
      <c r="CE92" s="448" t="str">
        <f aca="false">IF($G92=0,IF(CE$11=$H92,"◆",""),IF(AND(CE$11&gt;=$H92,CE$11&lt;=$I92),1,""))</f>
        <v/>
      </c>
      <c r="CF92" s="448" t="str">
        <f aca="false">IF($G92=0,IF(CF$11=$H92,"◆",""),IF(AND(CF$11&gt;=$H92,CF$11&lt;=$I92),1,""))</f>
        <v/>
      </c>
      <c r="CG92" s="448" t="str">
        <f aca="false">IF($G92=0,IF(CG$11=$H92,"◆",""),IF(AND(CG$11&gt;=$H92,CG$11&lt;=$I92),1,""))</f>
        <v/>
      </c>
      <c r="CH92" s="448" t="str">
        <f aca="false">IF($G92=0,IF(CH$11=$H92,"◆",""),IF(AND(CH$11&gt;=$H92,CH$11&lt;=$I92),1,""))</f>
        <v/>
      </c>
      <c r="CI92" s="448" t="str">
        <f aca="false">IF($G92=0,IF(CI$11=$H92,"◆",""),IF(AND(CI$11&gt;=$H92,CI$11&lt;=$I92),1,""))</f>
        <v/>
      </c>
      <c r="CJ92" s="448" t="str">
        <f aca="false">IF($G92=0,IF(CJ$11=$H92,"◆",""),IF(AND(CJ$11&gt;=$H92,CJ$11&lt;=$I92),1,""))</f>
        <v/>
      </c>
      <c r="CK92" s="448" t="str">
        <f aca="false">IF($G92=0,IF(CK$11=$H92,"◆",""),IF(AND(CK$11&gt;=$H92,CK$11&lt;=$I92),1,""))</f>
        <v/>
      </c>
      <c r="CL92" s="448" t="str">
        <f aca="false">IF($G92=0,IF(CL$11=$H92,"◆",""),IF(AND(CL$11&gt;=$H92,CL$11&lt;=$I92),1,""))</f>
        <v/>
      </c>
      <c r="CM92" s="448" t="str">
        <f aca="false">IF($G92=0,IF(CM$11=$H92,"◆",""),IF(AND(CM$11&gt;=$H92,CM$11&lt;=$I92),1,""))</f>
        <v/>
      </c>
      <c r="CN92" s="448" t="str">
        <f aca="false">IF($G92=0,IF(CN$11=$H92,"◆",""),IF(AND(CN$11&gt;=$H92,CN$11&lt;=$I92),1,""))</f>
        <v/>
      </c>
      <c r="CO92" s="448" t="str">
        <f aca="false">IF($G92=0,IF(CO$11=$H92,"◆",""),IF(AND(CO$11&gt;=$H92,CO$11&lt;=$I92),1,""))</f>
        <v/>
      </c>
      <c r="CP92" s="448" t="str">
        <f aca="false">IF($G92=0,IF(CP$11=$H92,"◆",""),IF(AND(CP$11&gt;=$H92,CP$11&lt;=$I92),1,""))</f>
        <v/>
      </c>
      <c r="CQ92" s="448" t="str">
        <f aca="false">IF($G92=0,IF(CQ$11=$H92,"◆",""),IF(AND(CQ$11&gt;=$H92,CQ$11&lt;=$I92),1,""))</f>
        <v/>
      </c>
      <c r="CR92" s="448" t="str">
        <f aca="false">IF($G92=0,IF(CR$11=$H92,"◆",""),IF(AND(CR$11&gt;=$H92,CR$11&lt;=$I92),1,""))</f>
        <v/>
      </c>
      <c r="CS92" s="448" t="str">
        <f aca="false">IF($G92=0,IF(CS$11=$H92,"◆",""),IF(AND(CS$11&gt;=$H92,CS$11&lt;=$I92),1,""))</f>
        <v/>
      </c>
      <c r="CT92" s="448" t="str">
        <f aca="false">IF($G92=0,IF(CT$11=$H92,"◆",""),IF(AND(CT$11&gt;=$H92,CT$11&lt;=$I92),1,""))</f>
        <v/>
      </c>
      <c r="CU92" s="448" t="str">
        <f aca="false">IF($G92=0,IF(CU$11=$H92,"◆",""),IF(AND(CU$11&gt;=$H92,CU$11&lt;=$I92),1,""))</f>
        <v/>
      </c>
      <c r="CV92" s="448" t="str">
        <f aca="false">IF($G92=0,IF(CV$11=$H92,"◆",""),IF(AND(CV$11&gt;=$H92,CV$11&lt;=$I92),1,""))</f>
        <v/>
      </c>
      <c r="CW92" s="448" t="str">
        <f aca="false">IF($G92=0,IF(CW$11=$H92,"◆",""),IF(AND(CW$11&gt;=$H92,CW$11&lt;=$I92),1,""))</f>
        <v/>
      </c>
      <c r="CX92" s="448" t="str">
        <f aca="false">IF($G92=0,IF(CX$11=$H92,"◆",""),IF(AND(CX$11&gt;=$H92,CX$11&lt;=$I92),1,""))</f>
        <v/>
      </c>
      <c r="CY92" s="448" t="str">
        <f aca="false">IF($G92=0,IF(CY$11=$H92,"◆",""),IF(AND(CY$11&gt;=$H92,CY$11&lt;=$I92),1,""))</f>
        <v/>
      </c>
      <c r="CZ92" s="448" t="str">
        <f aca="false">IF($G92=0,IF(CZ$11=$H92,"◆",""),IF(AND(CZ$11&gt;=$H92,CZ$11&lt;=$I92),1,""))</f>
        <v/>
      </c>
      <c r="DA92" s="448" t="str">
        <f aca="false">IF($G92=0,IF(DA$11=$H92,"◆",""),IF(AND(DA$11&gt;=$H92,DA$11&lt;=$I92),1,""))</f>
        <v/>
      </c>
      <c r="DB92" s="448" t="str">
        <f aca="false">IF($G92=0,IF(DB$11=$H92,"◆",""),IF(AND(DB$11&gt;=$H92,DB$11&lt;=$I92),1,""))</f>
        <v/>
      </c>
      <c r="DC92" s="448" t="str">
        <f aca="false">IF($G92=0,IF(DC$11=$H92,"◆",""),IF(AND(DC$11&gt;=$H92,DC$11&lt;=$I92),1,""))</f>
        <v/>
      </c>
      <c r="DD92" s="448" t="str">
        <f aca="false">IF($G92=0,IF(DD$11=$H92,"◆",""),IF(AND(DD$11&gt;=$H92,DD$11&lt;=$I92),1,""))</f>
        <v/>
      </c>
      <c r="DE92" s="448" t="str">
        <f aca="false">IF($G92=0,IF(DE$11=$H92,"◆",""),IF(AND(DE$11&gt;=$H92,DE$11&lt;=$I92),1,""))</f>
        <v/>
      </c>
      <c r="DF92" s="448" t="str">
        <f aca="false">IF($G92=0,IF(DF$11=$H92,"◆",""),IF(AND(DF$11&gt;=$H92,DF$11&lt;=$I92),1,""))</f>
        <v/>
      </c>
      <c r="DG92" s="448" t="str">
        <f aca="false">IF($G92=0,IF(DG$11=$H92,"◆",""),IF(AND(DG$11&gt;=$H92,DG$11&lt;=$I92),1,""))</f>
        <v/>
      </c>
      <c r="DH92" s="448" t="str">
        <f aca="false">IF($G92=0,IF(DH$11=$H92,"◆",""),IF(AND(DH$11&gt;=$H92,DH$11&lt;=$I92),1,""))</f>
        <v/>
      </c>
      <c r="DI92" s="448" t="str">
        <f aca="false">IF($G92=0,IF(DI$11=$H92,"◆",""),IF(AND(DI$11&gt;=$H92,DI$11&lt;=$I92),1,""))</f>
        <v/>
      </c>
      <c r="DJ92" s="448" t="str">
        <f aca="false">IF($G92=0,IF(DJ$11=$H92,"◆",""),IF(AND(DJ$11&gt;=$H92,DJ$11&lt;=$I92),1,""))</f>
        <v/>
      </c>
      <c r="DK92" s="448" t="str">
        <f aca="false">IF($G92=0,IF(DK$11=$H92,"◆",""),IF(AND(DK$11&gt;=$H92,DK$11&lt;=$I92),1,""))</f>
        <v/>
      </c>
      <c r="DL92" s="448" t="str">
        <f aca="false">IF($G92=0,IF(DL$11=$H92,"◆",""),IF(AND(DL$11&gt;=$H92,DL$11&lt;=$I92),1,""))</f>
        <v/>
      </c>
      <c r="DM92" s="448" t="str">
        <f aca="false">IF($G92=0,IF(DM$11=$H92,"◆",""),IF(AND(DM$11&gt;=$H92,DM$11&lt;=$I92),1,""))</f>
        <v/>
      </c>
      <c r="DN92" s="448" t="str">
        <f aca="false">IF($G92=0,IF(DN$11=$H92,"◆",""),IF(AND(DN$11&gt;=$H92,DN$11&lt;=$I92),1,""))</f>
        <v/>
      </c>
      <c r="DO92" s="448" t="str">
        <f aca="false">IF($G92=0,IF(DO$11=$H92,"◆",""),IF(AND(DO$11&gt;=$H92,DO$11&lt;=$I92),1,""))</f>
        <v/>
      </c>
      <c r="DP92" s="448" t="str">
        <f aca="false">IF($G92=0,IF(DP$11=$H92,"◆",""),IF(AND(DP$11&gt;=$H92,DP$11&lt;=$I92),1,""))</f>
        <v/>
      </c>
      <c r="DQ92" s="448" t="str">
        <f aca="false">IF($G92=0,IF(DQ$11=$H92,"◆",""),IF(AND(DQ$11&gt;=$H92,DQ$11&lt;=$I92),1,""))</f>
        <v/>
      </c>
      <c r="DR92" s="448" t="str">
        <f aca="false">IF($G92=0,IF(DR$11=$H92,"◆",""),IF(AND(DR$11&gt;=$H92,DR$11&lt;=$I92),1,""))</f>
        <v/>
      </c>
      <c r="DS92" s="448" t="str">
        <f aca="false">IF($G92=0,IF(DS$11=$H92,"◆",""),IF(AND(DS$11&gt;=$H92,DS$11&lt;=$I92),1,""))</f>
        <v/>
      </c>
      <c r="DT92" s="448" t="str">
        <f aca="false">IF($G92=0,IF(DT$11=$H92,"◆",""),IF(AND(DT$11&gt;=$H92,DT$11&lt;=$I92),1,""))</f>
        <v/>
      </c>
      <c r="DU92" s="448" t="str">
        <f aca="false">IF($G92=0,IF(DU$11=$H92,"◆",""),IF(AND(DU$11&gt;=$H92,DU$11&lt;=$I92),1,""))</f>
        <v/>
      </c>
      <c r="DV92" s="448" t="str">
        <f aca="false">IF($G92=0,IF(DV$11=$H92,"◆",""),IF(AND(DV$11&gt;=$H92,DV$11&lt;=$I92),1,""))</f>
        <v/>
      </c>
      <c r="DW92" s="448" t="str">
        <f aca="false">IF($G92=0,IF(DW$11=$H92,"◆",""),IF(AND(DW$11&gt;=$H92,DW$11&lt;=$I92),1,""))</f>
        <v/>
      </c>
      <c r="DX92" s="448" t="str">
        <f aca="false">IF($G92=0,IF(DX$11=$H92,"◆",""),IF(AND(DX$11&gt;=$H92,DX$11&lt;=$I92),1,""))</f>
        <v/>
      </c>
      <c r="DY92" s="448" t="str">
        <f aca="false">IF($G92=0,IF(DY$11=$H92,"◆",""),IF(AND(DY$11&gt;=$H92,DY$11&lt;=$I92),1,""))</f>
        <v/>
      </c>
      <c r="DZ92" s="448" t="str">
        <f aca="false">IF($G92=0,IF(DZ$11=$H92,"◆",""),IF(AND(DZ$11&gt;=$H92,DZ$11&lt;=$I92),1,""))</f>
        <v/>
      </c>
      <c r="EA92" s="448" t="str">
        <f aca="false">IF($G92=0,IF(EA$11=$H92,"◆",""),IF(AND(EA$11&gt;=$H92,EA$11&lt;=$I92),1,""))</f>
        <v/>
      </c>
      <c r="EB92" s="448" t="str">
        <f aca="false">IF($G92=0,IF(EB$11=$H92,"◆",""),IF(AND(EB$11&gt;=$H92,EB$11&lt;=$I92),1,""))</f>
        <v/>
      </c>
      <c r="EC92" s="448" t="str">
        <f aca="false">IF($G92=0,IF(EC$11=$H92,"◆",""),IF(AND(EC$11&gt;=$H92,EC$11&lt;=$I92),1,""))</f>
        <v/>
      </c>
      <c r="ED92" s="448" t="str">
        <f aca="false">IF($G92=0,IF(ED$11=$H92,"◆",""),IF(AND(ED$11&gt;=$H92,ED$11&lt;=$I92),1,""))</f>
        <v/>
      </c>
    </row>
    <row r="93" customFormat="false" ht="15" hidden="false" customHeight="true" outlineLevel="0" collapsed="false">
      <c r="A93" s="441" t="s">
        <v>2625</v>
      </c>
      <c r="B93" s="297" t="s">
        <v>2626</v>
      </c>
      <c r="C93" s="442" t="s">
        <v>2627</v>
      </c>
      <c r="D93" s="443" t="s">
        <v>2496</v>
      </c>
      <c r="E93" s="354" t="n">
        <f aca="false">FC_SUPUESTOS!$C$23-FC_SUPUESTOS!$C$21</f>
        <v>8</v>
      </c>
      <c r="F93" s="352" t="n">
        <v>-4</v>
      </c>
      <c r="G93" s="352" t="n">
        <v>4</v>
      </c>
      <c r="H93" s="367" t="n">
        <f aca="false">MAX(1,ROUND(($E93-1)*$D$5,0)+1+$F93)</f>
        <v>27</v>
      </c>
      <c r="I93" s="367" t="n">
        <f aca="false">MAX($H93,$H93+$G93-1)</f>
        <v>30</v>
      </c>
      <c r="J93" s="444" t="n">
        <f aca="false">$D$4+($H93-1)*7</f>
        <v>46482</v>
      </c>
      <c r="K93" s="444" t="n">
        <f aca="false">$D$4+$I93*7-1</f>
        <v>46509</v>
      </c>
      <c r="L93" s="445" t="n">
        <f aca="false">ROUNDUP($H93/$D$5,0)</f>
        <v>7</v>
      </c>
      <c r="M93" s="446"/>
      <c r="N93" s="447" t="n">
        <v>0</v>
      </c>
      <c r="O93" s="448" t="str">
        <f aca="false">IF($G93=0,IF(O$11=$H93,"◆",""),IF(AND(O$11&gt;=$H93,O$11&lt;=$I93),1,""))</f>
        <v/>
      </c>
      <c r="P93" s="448" t="str">
        <f aca="false">IF($G93=0,IF(P$11=$H93,"◆",""),IF(AND(P$11&gt;=$H93,P$11&lt;=$I93),1,""))</f>
        <v/>
      </c>
      <c r="Q93" s="448" t="str">
        <f aca="false">IF($G93=0,IF(Q$11=$H93,"◆",""),IF(AND(Q$11&gt;=$H93,Q$11&lt;=$I93),1,""))</f>
        <v/>
      </c>
      <c r="R93" s="448" t="str">
        <f aca="false">IF($G93=0,IF(R$11=$H93,"◆",""),IF(AND(R$11&gt;=$H93,R$11&lt;=$I93),1,""))</f>
        <v/>
      </c>
      <c r="S93" s="448" t="str">
        <f aca="false">IF($G93=0,IF(S$11=$H93,"◆",""),IF(AND(S$11&gt;=$H93,S$11&lt;=$I93),1,""))</f>
        <v/>
      </c>
      <c r="T93" s="448" t="str">
        <f aca="false">IF($G93=0,IF(T$11=$H93,"◆",""),IF(AND(T$11&gt;=$H93,T$11&lt;=$I93),1,""))</f>
        <v/>
      </c>
      <c r="U93" s="448" t="str">
        <f aca="false">IF($G93=0,IF(U$11=$H93,"◆",""),IF(AND(U$11&gt;=$H93,U$11&lt;=$I93),1,""))</f>
        <v/>
      </c>
      <c r="V93" s="448" t="str">
        <f aca="false">IF($G93=0,IF(V$11=$H93,"◆",""),IF(AND(V$11&gt;=$H93,V$11&lt;=$I93),1,""))</f>
        <v/>
      </c>
      <c r="W93" s="448" t="str">
        <f aca="false">IF($G93=0,IF(W$11=$H93,"◆",""),IF(AND(W$11&gt;=$H93,W$11&lt;=$I93),1,""))</f>
        <v/>
      </c>
      <c r="X93" s="448" t="str">
        <f aca="false">IF($G93=0,IF(X$11=$H93,"◆",""),IF(AND(X$11&gt;=$H93,X$11&lt;=$I93),1,""))</f>
        <v/>
      </c>
      <c r="Y93" s="448" t="str">
        <f aca="false">IF($G93=0,IF(Y$11=$H93,"◆",""),IF(AND(Y$11&gt;=$H93,Y$11&lt;=$I93),1,""))</f>
        <v/>
      </c>
      <c r="Z93" s="448" t="str">
        <f aca="false">IF($G93=0,IF(Z$11=$H93,"◆",""),IF(AND(Z$11&gt;=$H93,Z$11&lt;=$I93),1,""))</f>
        <v/>
      </c>
      <c r="AA93" s="448" t="str">
        <f aca="false">IF($G93=0,IF(AA$11=$H93,"◆",""),IF(AND(AA$11&gt;=$H93,AA$11&lt;=$I93),1,""))</f>
        <v/>
      </c>
      <c r="AB93" s="448" t="str">
        <f aca="false">IF($G93=0,IF(AB$11=$H93,"◆",""),IF(AND(AB$11&gt;=$H93,AB$11&lt;=$I93),1,""))</f>
        <v/>
      </c>
      <c r="AC93" s="448" t="str">
        <f aca="false">IF($G93=0,IF(AC$11=$H93,"◆",""),IF(AND(AC$11&gt;=$H93,AC$11&lt;=$I93),1,""))</f>
        <v/>
      </c>
      <c r="AD93" s="448" t="str">
        <f aca="false">IF($G93=0,IF(AD$11=$H93,"◆",""),IF(AND(AD$11&gt;=$H93,AD$11&lt;=$I93),1,""))</f>
        <v/>
      </c>
      <c r="AE93" s="448" t="str">
        <f aca="false">IF($G93=0,IF(AE$11=$H93,"◆",""),IF(AND(AE$11&gt;=$H93,AE$11&lt;=$I93),1,""))</f>
        <v/>
      </c>
      <c r="AF93" s="448" t="str">
        <f aca="false">IF($G93=0,IF(AF$11=$H93,"◆",""),IF(AND(AF$11&gt;=$H93,AF$11&lt;=$I93),1,""))</f>
        <v/>
      </c>
      <c r="AG93" s="448" t="str">
        <f aca="false">IF($G93=0,IF(AG$11=$H93,"◆",""),IF(AND(AG$11&gt;=$H93,AG$11&lt;=$I93),1,""))</f>
        <v/>
      </c>
      <c r="AH93" s="448" t="str">
        <f aca="false">IF($G93=0,IF(AH$11=$H93,"◆",""),IF(AND(AH$11&gt;=$H93,AH$11&lt;=$I93),1,""))</f>
        <v/>
      </c>
      <c r="AI93" s="448" t="str">
        <f aca="false">IF($G93=0,IF(AI$11=$H93,"◆",""),IF(AND(AI$11&gt;=$H93,AI$11&lt;=$I93),1,""))</f>
        <v/>
      </c>
      <c r="AJ93" s="448" t="str">
        <f aca="false">IF($G93=0,IF(AJ$11=$H93,"◆",""),IF(AND(AJ$11&gt;=$H93,AJ$11&lt;=$I93),1,""))</f>
        <v/>
      </c>
      <c r="AK93" s="448" t="str">
        <f aca="false">IF($G93=0,IF(AK$11=$H93,"◆",""),IF(AND(AK$11&gt;=$H93,AK$11&lt;=$I93),1,""))</f>
        <v/>
      </c>
      <c r="AL93" s="448" t="str">
        <f aca="false">IF($G93=0,IF(AL$11=$H93,"◆",""),IF(AND(AL$11&gt;=$H93,AL$11&lt;=$I93),1,""))</f>
        <v/>
      </c>
      <c r="AM93" s="448" t="str">
        <f aca="false">IF($G93=0,IF(AM$11=$H93,"◆",""),IF(AND(AM$11&gt;=$H93,AM$11&lt;=$I93),1,""))</f>
        <v/>
      </c>
      <c r="AN93" s="448" t="str">
        <f aca="false">IF($G93=0,IF(AN$11=$H93,"◆",""),IF(AND(AN$11&gt;=$H93,AN$11&lt;=$I93),1,""))</f>
        <v/>
      </c>
      <c r="AO93" s="448" t="n">
        <f aca="false">IF($G93=0,IF(AO$11=$H93,"◆",""),IF(AND(AO$11&gt;=$H93,AO$11&lt;=$I93),1,""))</f>
        <v>1</v>
      </c>
      <c r="AP93" s="448" t="n">
        <f aca="false">IF($G93=0,IF(AP$11=$H93,"◆",""),IF(AND(AP$11&gt;=$H93,AP$11&lt;=$I93),1,""))</f>
        <v>1</v>
      </c>
      <c r="AQ93" s="448" t="n">
        <f aca="false">IF($G93=0,IF(AQ$11=$H93,"◆",""),IF(AND(AQ$11&gt;=$H93,AQ$11&lt;=$I93),1,""))</f>
        <v>1</v>
      </c>
      <c r="AR93" s="448" t="n">
        <f aca="false">IF($G93=0,IF(AR$11=$H93,"◆",""),IF(AND(AR$11&gt;=$H93,AR$11&lt;=$I93),1,""))</f>
        <v>1</v>
      </c>
      <c r="AS93" s="448" t="str">
        <f aca="false">IF($G93=0,IF(AS$11=$H93,"◆",""),IF(AND(AS$11&gt;=$H93,AS$11&lt;=$I93),1,""))</f>
        <v/>
      </c>
      <c r="AT93" s="448" t="str">
        <f aca="false">IF($G93=0,IF(AT$11=$H93,"◆",""),IF(AND(AT$11&gt;=$H93,AT$11&lt;=$I93),1,""))</f>
        <v/>
      </c>
      <c r="AU93" s="448" t="str">
        <f aca="false">IF($G93=0,IF(AU$11=$H93,"◆",""),IF(AND(AU$11&gt;=$H93,AU$11&lt;=$I93),1,""))</f>
        <v/>
      </c>
      <c r="AV93" s="448" t="str">
        <f aca="false">IF($G93=0,IF(AV$11=$H93,"◆",""),IF(AND(AV$11&gt;=$H93,AV$11&lt;=$I93),1,""))</f>
        <v/>
      </c>
      <c r="AW93" s="448" t="str">
        <f aca="false">IF($G93=0,IF(AW$11=$H93,"◆",""),IF(AND(AW$11&gt;=$H93,AW$11&lt;=$I93),1,""))</f>
        <v/>
      </c>
      <c r="AX93" s="448" t="str">
        <f aca="false">IF($G93=0,IF(AX$11=$H93,"◆",""),IF(AND(AX$11&gt;=$H93,AX$11&lt;=$I93),1,""))</f>
        <v/>
      </c>
      <c r="AY93" s="448" t="str">
        <f aca="false">IF($G93=0,IF(AY$11=$H93,"◆",""),IF(AND(AY$11&gt;=$H93,AY$11&lt;=$I93),1,""))</f>
        <v/>
      </c>
      <c r="AZ93" s="448" t="str">
        <f aca="false">IF($G93=0,IF(AZ$11=$H93,"◆",""),IF(AND(AZ$11&gt;=$H93,AZ$11&lt;=$I93),1,""))</f>
        <v/>
      </c>
      <c r="BA93" s="448" t="str">
        <f aca="false">IF($G93=0,IF(BA$11=$H93,"◆",""),IF(AND(BA$11&gt;=$H93,BA$11&lt;=$I93),1,""))</f>
        <v/>
      </c>
      <c r="BB93" s="448" t="str">
        <f aca="false">IF($G93=0,IF(BB$11=$H93,"◆",""),IF(AND(BB$11&gt;=$H93,BB$11&lt;=$I93),1,""))</f>
        <v/>
      </c>
      <c r="BC93" s="448" t="str">
        <f aca="false">IF($G93=0,IF(BC$11=$H93,"◆",""),IF(AND(BC$11&gt;=$H93,BC$11&lt;=$I93),1,""))</f>
        <v/>
      </c>
      <c r="BD93" s="448" t="str">
        <f aca="false">IF($G93=0,IF(BD$11=$H93,"◆",""),IF(AND(BD$11&gt;=$H93,BD$11&lt;=$I93),1,""))</f>
        <v/>
      </c>
      <c r="BE93" s="448" t="str">
        <f aca="false">IF($G93=0,IF(BE$11=$H93,"◆",""),IF(AND(BE$11&gt;=$H93,BE$11&lt;=$I93),1,""))</f>
        <v/>
      </c>
      <c r="BF93" s="448" t="str">
        <f aca="false">IF($G93=0,IF(BF$11=$H93,"◆",""),IF(AND(BF$11&gt;=$H93,BF$11&lt;=$I93),1,""))</f>
        <v/>
      </c>
      <c r="BG93" s="448" t="str">
        <f aca="false">IF($G93=0,IF(BG$11=$H93,"◆",""),IF(AND(BG$11&gt;=$H93,BG$11&lt;=$I93),1,""))</f>
        <v/>
      </c>
      <c r="BH93" s="448" t="str">
        <f aca="false">IF($G93=0,IF(BH$11=$H93,"◆",""),IF(AND(BH$11&gt;=$H93,BH$11&lt;=$I93),1,""))</f>
        <v/>
      </c>
      <c r="BI93" s="448" t="str">
        <f aca="false">IF($G93=0,IF(BI$11=$H93,"◆",""),IF(AND(BI$11&gt;=$H93,BI$11&lt;=$I93),1,""))</f>
        <v/>
      </c>
      <c r="BJ93" s="448" t="str">
        <f aca="false">IF($G93=0,IF(BJ$11=$H93,"◆",""),IF(AND(BJ$11&gt;=$H93,BJ$11&lt;=$I93),1,""))</f>
        <v/>
      </c>
      <c r="BK93" s="448" t="str">
        <f aca="false">IF($G93=0,IF(BK$11=$H93,"◆",""),IF(AND(BK$11&gt;=$H93,BK$11&lt;=$I93),1,""))</f>
        <v/>
      </c>
      <c r="BL93" s="448" t="str">
        <f aca="false">IF($G93=0,IF(BL$11=$H93,"◆",""),IF(AND(BL$11&gt;=$H93,BL$11&lt;=$I93),1,""))</f>
        <v/>
      </c>
      <c r="BM93" s="448" t="str">
        <f aca="false">IF($G93=0,IF(BM$11=$H93,"◆",""),IF(AND(BM$11&gt;=$H93,BM$11&lt;=$I93),1,""))</f>
        <v/>
      </c>
      <c r="BN93" s="448" t="str">
        <f aca="false">IF($G93=0,IF(BN$11=$H93,"◆",""),IF(AND(BN$11&gt;=$H93,BN$11&lt;=$I93),1,""))</f>
        <v/>
      </c>
      <c r="BO93" s="448" t="str">
        <f aca="false">IF($G93=0,IF(BO$11=$H93,"◆",""),IF(AND(BO$11&gt;=$H93,BO$11&lt;=$I93),1,""))</f>
        <v/>
      </c>
      <c r="BP93" s="448" t="str">
        <f aca="false">IF($G93=0,IF(BP$11=$H93,"◆",""),IF(AND(BP$11&gt;=$H93,BP$11&lt;=$I93),1,""))</f>
        <v/>
      </c>
      <c r="BQ93" s="448" t="str">
        <f aca="false">IF($G93=0,IF(BQ$11=$H93,"◆",""),IF(AND(BQ$11&gt;=$H93,BQ$11&lt;=$I93),1,""))</f>
        <v/>
      </c>
      <c r="BR93" s="448" t="str">
        <f aca="false">IF($G93=0,IF(BR$11=$H93,"◆",""),IF(AND(BR$11&gt;=$H93,BR$11&lt;=$I93),1,""))</f>
        <v/>
      </c>
      <c r="BS93" s="448" t="str">
        <f aca="false">IF($G93=0,IF(BS$11=$H93,"◆",""),IF(AND(BS$11&gt;=$H93,BS$11&lt;=$I93),1,""))</f>
        <v/>
      </c>
      <c r="BT93" s="448" t="str">
        <f aca="false">IF($G93=0,IF(BT$11=$H93,"◆",""),IF(AND(BT$11&gt;=$H93,BT$11&lt;=$I93),1,""))</f>
        <v/>
      </c>
      <c r="BU93" s="448" t="str">
        <f aca="false">IF($G93=0,IF(BU$11=$H93,"◆",""),IF(AND(BU$11&gt;=$H93,BU$11&lt;=$I93),1,""))</f>
        <v/>
      </c>
      <c r="BV93" s="448" t="str">
        <f aca="false">IF($G93=0,IF(BV$11=$H93,"◆",""),IF(AND(BV$11&gt;=$H93,BV$11&lt;=$I93),1,""))</f>
        <v/>
      </c>
      <c r="BW93" s="448" t="str">
        <f aca="false">IF($G93=0,IF(BW$11=$H93,"◆",""),IF(AND(BW$11&gt;=$H93,BW$11&lt;=$I93),1,""))</f>
        <v/>
      </c>
      <c r="BX93" s="448" t="str">
        <f aca="false">IF($G93=0,IF(BX$11=$H93,"◆",""),IF(AND(BX$11&gt;=$H93,BX$11&lt;=$I93),1,""))</f>
        <v/>
      </c>
      <c r="BY93" s="448" t="str">
        <f aca="false">IF($G93=0,IF(BY$11=$H93,"◆",""),IF(AND(BY$11&gt;=$H93,BY$11&lt;=$I93),1,""))</f>
        <v/>
      </c>
      <c r="BZ93" s="448" t="str">
        <f aca="false">IF($G93=0,IF(BZ$11=$H93,"◆",""),IF(AND(BZ$11&gt;=$H93,BZ$11&lt;=$I93),1,""))</f>
        <v/>
      </c>
      <c r="CA93" s="448" t="str">
        <f aca="false">IF($G93=0,IF(CA$11=$H93,"◆",""),IF(AND(CA$11&gt;=$H93,CA$11&lt;=$I93),1,""))</f>
        <v/>
      </c>
      <c r="CB93" s="448" t="str">
        <f aca="false">IF($G93=0,IF(CB$11=$H93,"◆",""),IF(AND(CB$11&gt;=$H93,CB$11&lt;=$I93),1,""))</f>
        <v/>
      </c>
      <c r="CC93" s="448" t="str">
        <f aca="false">IF($G93=0,IF(CC$11=$H93,"◆",""),IF(AND(CC$11&gt;=$H93,CC$11&lt;=$I93),1,""))</f>
        <v/>
      </c>
      <c r="CD93" s="448" t="str">
        <f aca="false">IF($G93=0,IF(CD$11=$H93,"◆",""),IF(AND(CD$11&gt;=$H93,CD$11&lt;=$I93),1,""))</f>
        <v/>
      </c>
      <c r="CE93" s="448" t="str">
        <f aca="false">IF($G93=0,IF(CE$11=$H93,"◆",""),IF(AND(CE$11&gt;=$H93,CE$11&lt;=$I93),1,""))</f>
        <v/>
      </c>
      <c r="CF93" s="448" t="str">
        <f aca="false">IF($G93=0,IF(CF$11=$H93,"◆",""),IF(AND(CF$11&gt;=$H93,CF$11&lt;=$I93),1,""))</f>
        <v/>
      </c>
      <c r="CG93" s="448" t="str">
        <f aca="false">IF($G93=0,IF(CG$11=$H93,"◆",""),IF(AND(CG$11&gt;=$H93,CG$11&lt;=$I93),1,""))</f>
        <v/>
      </c>
      <c r="CH93" s="448" t="str">
        <f aca="false">IF($G93=0,IF(CH$11=$H93,"◆",""),IF(AND(CH$11&gt;=$H93,CH$11&lt;=$I93),1,""))</f>
        <v/>
      </c>
      <c r="CI93" s="448" t="str">
        <f aca="false">IF($G93=0,IF(CI$11=$H93,"◆",""),IF(AND(CI$11&gt;=$H93,CI$11&lt;=$I93),1,""))</f>
        <v/>
      </c>
      <c r="CJ93" s="448" t="str">
        <f aca="false">IF($G93=0,IF(CJ$11=$H93,"◆",""),IF(AND(CJ$11&gt;=$H93,CJ$11&lt;=$I93),1,""))</f>
        <v/>
      </c>
      <c r="CK93" s="448" t="str">
        <f aca="false">IF($G93=0,IF(CK$11=$H93,"◆",""),IF(AND(CK$11&gt;=$H93,CK$11&lt;=$I93),1,""))</f>
        <v/>
      </c>
      <c r="CL93" s="448" t="str">
        <f aca="false">IF($G93=0,IF(CL$11=$H93,"◆",""),IF(AND(CL$11&gt;=$H93,CL$11&lt;=$I93),1,""))</f>
        <v/>
      </c>
      <c r="CM93" s="448" t="str">
        <f aca="false">IF($G93=0,IF(CM$11=$H93,"◆",""),IF(AND(CM$11&gt;=$H93,CM$11&lt;=$I93),1,""))</f>
        <v/>
      </c>
      <c r="CN93" s="448" t="str">
        <f aca="false">IF($G93=0,IF(CN$11=$H93,"◆",""),IF(AND(CN$11&gt;=$H93,CN$11&lt;=$I93),1,""))</f>
        <v/>
      </c>
      <c r="CO93" s="448" t="str">
        <f aca="false">IF($G93=0,IF(CO$11=$H93,"◆",""),IF(AND(CO$11&gt;=$H93,CO$11&lt;=$I93),1,""))</f>
        <v/>
      </c>
      <c r="CP93" s="448" t="str">
        <f aca="false">IF($G93=0,IF(CP$11=$H93,"◆",""),IF(AND(CP$11&gt;=$H93,CP$11&lt;=$I93),1,""))</f>
        <v/>
      </c>
      <c r="CQ93" s="448" t="str">
        <f aca="false">IF($G93=0,IF(CQ$11=$H93,"◆",""),IF(AND(CQ$11&gt;=$H93,CQ$11&lt;=$I93),1,""))</f>
        <v/>
      </c>
      <c r="CR93" s="448" t="str">
        <f aca="false">IF($G93=0,IF(CR$11=$H93,"◆",""),IF(AND(CR$11&gt;=$H93,CR$11&lt;=$I93),1,""))</f>
        <v/>
      </c>
      <c r="CS93" s="448" t="str">
        <f aca="false">IF($G93=0,IF(CS$11=$H93,"◆",""),IF(AND(CS$11&gt;=$H93,CS$11&lt;=$I93),1,""))</f>
        <v/>
      </c>
      <c r="CT93" s="448" t="str">
        <f aca="false">IF($G93=0,IF(CT$11=$H93,"◆",""),IF(AND(CT$11&gt;=$H93,CT$11&lt;=$I93),1,""))</f>
        <v/>
      </c>
      <c r="CU93" s="448" t="str">
        <f aca="false">IF($G93=0,IF(CU$11=$H93,"◆",""),IF(AND(CU$11&gt;=$H93,CU$11&lt;=$I93),1,""))</f>
        <v/>
      </c>
      <c r="CV93" s="448" t="str">
        <f aca="false">IF($G93=0,IF(CV$11=$H93,"◆",""),IF(AND(CV$11&gt;=$H93,CV$11&lt;=$I93),1,""))</f>
        <v/>
      </c>
      <c r="CW93" s="448" t="str">
        <f aca="false">IF($G93=0,IF(CW$11=$H93,"◆",""),IF(AND(CW$11&gt;=$H93,CW$11&lt;=$I93),1,""))</f>
        <v/>
      </c>
      <c r="CX93" s="448" t="str">
        <f aca="false">IF($G93=0,IF(CX$11=$H93,"◆",""),IF(AND(CX$11&gt;=$H93,CX$11&lt;=$I93),1,""))</f>
        <v/>
      </c>
      <c r="CY93" s="448" t="str">
        <f aca="false">IF($G93=0,IF(CY$11=$H93,"◆",""),IF(AND(CY$11&gt;=$H93,CY$11&lt;=$I93),1,""))</f>
        <v/>
      </c>
      <c r="CZ93" s="448" t="str">
        <f aca="false">IF($G93=0,IF(CZ$11=$H93,"◆",""),IF(AND(CZ$11&gt;=$H93,CZ$11&lt;=$I93),1,""))</f>
        <v/>
      </c>
      <c r="DA93" s="448" t="str">
        <f aca="false">IF($G93=0,IF(DA$11=$H93,"◆",""),IF(AND(DA$11&gt;=$H93,DA$11&lt;=$I93),1,""))</f>
        <v/>
      </c>
      <c r="DB93" s="448" t="str">
        <f aca="false">IF($G93=0,IF(DB$11=$H93,"◆",""),IF(AND(DB$11&gt;=$H93,DB$11&lt;=$I93),1,""))</f>
        <v/>
      </c>
      <c r="DC93" s="448" t="str">
        <f aca="false">IF($G93=0,IF(DC$11=$H93,"◆",""),IF(AND(DC$11&gt;=$H93,DC$11&lt;=$I93),1,""))</f>
        <v/>
      </c>
      <c r="DD93" s="448" t="str">
        <f aca="false">IF($G93=0,IF(DD$11=$H93,"◆",""),IF(AND(DD$11&gt;=$H93,DD$11&lt;=$I93),1,""))</f>
        <v/>
      </c>
      <c r="DE93" s="448" t="str">
        <f aca="false">IF($G93=0,IF(DE$11=$H93,"◆",""),IF(AND(DE$11&gt;=$H93,DE$11&lt;=$I93),1,""))</f>
        <v/>
      </c>
      <c r="DF93" s="448" t="str">
        <f aca="false">IF($G93=0,IF(DF$11=$H93,"◆",""),IF(AND(DF$11&gt;=$H93,DF$11&lt;=$I93),1,""))</f>
        <v/>
      </c>
      <c r="DG93" s="448" t="str">
        <f aca="false">IF($G93=0,IF(DG$11=$H93,"◆",""),IF(AND(DG$11&gt;=$H93,DG$11&lt;=$I93),1,""))</f>
        <v/>
      </c>
      <c r="DH93" s="448" t="str">
        <f aca="false">IF($G93=0,IF(DH$11=$H93,"◆",""),IF(AND(DH$11&gt;=$H93,DH$11&lt;=$I93),1,""))</f>
        <v/>
      </c>
      <c r="DI93" s="448" t="str">
        <f aca="false">IF($G93=0,IF(DI$11=$H93,"◆",""),IF(AND(DI$11&gt;=$H93,DI$11&lt;=$I93),1,""))</f>
        <v/>
      </c>
      <c r="DJ93" s="448" t="str">
        <f aca="false">IF($G93=0,IF(DJ$11=$H93,"◆",""),IF(AND(DJ$11&gt;=$H93,DJ$11&lt;=$I93),1,""))</f>
        <v/>
      </c>
      <c r="DK93" s="448" t="str">
        <f aca="false">IF($G93=0,IF(DK$11=$H93,"◆",""),IF(AND(DK$11&gt;=$H93,DK$11&lt;=$I93),1,""))</f>
        <v/>
      </c>
      <c r="DL93" s="448" t="str">
        <f aca="false">IF($G93=0,IF(DL$11=$H93,"◆",""),IF(AND(DL$11&gt;=$H93,DL$11&lt;=$I93),1,""))</f>
        <v/>
      </c>
      <c r="DM93" s="448" t="str">
        <f aca="false">IF($G93=0,IF(DM$11=$H93,"◆",""),IF(AND(DM$11&gt;=$H93,DM$11&lt;=$I93),1,""))</f>
        <v/>
      </c>
      <c r="DN93" s="448" t="str">
        <f aca="false">IF($G93=0,IF(DN$11=$H93,"◆",""),IF(AND(DN$11&gt;=$H93,DN$11&lt;=$I93),1,""))</f>
        <v/>
      </c>
      <c r="DO93" s="448" t="str">
        <f aca="false">IF($G93=0,IF(DO$11=$H93,"◆",""),IF(AND(DO$11&gt;=$H93,DO$11&lt;=$I93),1,""))</f>
        <v/>
      </c>
      <c r="DP93" s="448" t="str">
        <f aca="false">IF($G93=0,IF(DP$11=$H93,"◆",""),IF(AND(DP$11&gt;=$H93,DP$11&lt;=$I93),1,""))</f>
        <v/>
      </c>
      <c r="DQ93" s="448" t="str">
        <f aca="false">IF($G93=0,IF(DQ$11=$H93,"◆",""),IF(AND(DQ$11&gt;=$H93,DQ$11&lt;=$I93),1,""))</f>
        <v/>
      </c>
      <c r="DR93" s="448" t="str">
        <f aca="false">IF($G93=0,IF(DR$11=$H93,"◆",""),IF(AND(DR$11&gt;=$H93,DR$11&lt;=$I93),1,""))</f>
        <v/>
      </c>
      <c r="DS93" s="448" t="str">
        <f aca="false">IF($G93=0,IF(DS$11=$H93,"◆",""),IF(AND(DS$11&gt;=$H93,DS$11&lt;=$I93),1,""))</f>
        <v/>
      </c>
      <c r="DT93" s="448" t="str">
        <f aca="false">IF($G93=0,IF(DT$11=$H93,"◆",""),IF(AND(DT$11&gt;=$H93,DT$11&lt;=$I93),1,""))</f>
        <v/>
      </c>
      <c r="DU93" s="448" t="str">
        <f aca="false">IF($G93=0,IF(DU$11=$H93,"◆",""),IF(AND(DU$11&gt;=$H93,DU$11&lt;=$I93),1,""))</f>
        <v/>
      </c>
      <c r="DV93" s="448" t="str">
        <f aca="false">IF($G93=0,IF(DV$11=$H93,"◆",""),IF(AND(DV$11&gt;=$H93,DV$11&lt;=$I93),1,""))</f>
        <v/>
      </c>
      <c r="DW93" s="448" t="str">
        <f aca="false">IF($G93=0,IF(DW$11=$H93,"◆",""),IF(AND(DW$11&gt;=$H93,DW$11&lt;=$I93),1,""))</f>
        <v/>
      </c>
      <c r="DX93" s="448" t="str">
        <f aca="false">IF($G93=0,IF(DX$11=$H93,"◆",""),IF(AND(DX$11&gt;=$H93,DX$11&lt;=$I93),1,""))</f>
        <v/>
      </c>
      <c r="DY93" s="448" t="str">
        <f aca="false">IF($G93=0,IF(DY$11=$H93,"◆",""),IF(AND(DY$11&gt;=$H93,DY$11&lt;=$I93),1,""))</f>
        <v/>
      </c>
      <c r="DZ93" s="448" t="str">
        <f aca="false">IF($G93=0,IF(DZ$11=$H93,"◆",""),IF(AND(DZ$11&gt;=$H93,DZ$11&lt;=$I93),1,""))</f>
        <v/>
      </c>
      <c r="EA93" s="448" t="str">
        <f aca="false">IF($G93=0,IF(EA$11=$H93,"◆",""),IF(AND(EA$11&gt;=$H93,EA$11&lt;=$I93),1,""))</f>
        <v/>
      </c>
      <c r="EB93" s="448" t="str">
        <f aca="false">IF($G93=0,IF(EB$11=$H93,"◆",""),IF(AND(EB$11&gt;=$H93,EB$11&lt;=$I93),1,""))</f>
        <v/>
      </c>
      <c r="EC93" s="448" t="str">
        <f aca="false">IF($G93=0,IF(EC$11=$H93,"◆",""),IF(AND(EC$11&gt;=$H93,EC$11&lt;=$I93),1,""))</f>
        <v/>
      </c>
      <c r="ED93" s="448" t="str">
        <f aca="false">IF($G93=0,IF(ED$11=$H93,"◆",""),IF(AND(ED$11&gt;=$H93,ED$11&lt;=$I93),1,""))</f>
        <v/>
      </c>
    </row>
    <row r="94" customFormat="false" ht="15" hidden="false" customHeight="true" outlineLevel="0" collapsed="false">
      <c r="A94" s="441" t="s">
        <v>2628</v>
      </c>
      <c r="B94" s="297" t="s">
        <v>2629</v>
      </c>
      <c r="C94" s="442" t="s">
        <v>2528</v>
      </c>
      <c r="D94" s="443" t="s">
        <v>2500</v>
      </c>
      <c r="E94" s="354" t="n">
        <f aca="false">FC_SUPUESTOS!$C$23</f>
        <v>10</v>
      </c>
      <c r="F94" s="352" t="n">
        <v>-3</v>
      </c>
      <c r="G94" s="352" t="n">
        <v>4</v>
      </c>
      <c r="H94" s="367" t="n">
        <f aca="false">MAX(1,ROUND(($E94-1)*$D$5,0)+1+$F94)</f>
        <v>37</v>
      </c>
      <c r="I94" s="367" t="n">
        <f aca="false">MAX($H94,$H94+$G94-1)</f>
        <v>40</v>
      </c>
      <c r="J94" s="444" t="n">
        <f aca="false">$D$4+($H94-1)*7</f>
        <v>46552</v>
      </c>
      <c r="K94" s="444" t="n">
        <f aca="false">$D$4+$I94*7-1</f>
        <v>46579</v>
      </c>
      <c r="L94" s="445" t="n">
        <f aca="false">ROUNDUP($H94/$D$5,0)</f>
        <v>9</v>
      </c>
      <c r="M94" s="446" t="s">
        <v>2453</v>
      </c>
      <c r="N94" s="447" t="n">
        <v>0</v>
      </c>
      <c r="O94" s="448" t="str">
        <f aca="false">IF($G94=0,IF(O$11=$H94,"◆",""),IF(AND(O$11&gt;=$H94,O$11&lt;=$I94),1,""))</f>
        <v/>
      </c>
      <c r="P94" s="448" t="str">
        <f aca="false">IF($G94=0,IF(P$11=$H94,"◆",""),IF(AND(P$11&gt;=$H94,P$11&lt;=$I94),1,""))</f>
        <v/>
      </c>
      <c r="Q94" s="448" t="str">
        <f aca="false">IF($G94=0,IF(Q$11=$H94,"◆",""),IF(AND(Q$11&gt;=$H94,Q$11&lt;=$I94),1,""))</f>
        <v/>
      </c>
      <c r="R94" s="448" t="str">
        <f aca="false">IF($G94=0,IF(R$11=$H94,"◆",""),IF(AND(R$11&gt;=$H94,R$11&lt;=$I94),1,""))</f>
        <v/>
      </c>
      <c r="S94" s="448" t="str">
        <f aca="false">IF($G94=0,IF(S$11=$H94,"◆",""),IF(AND(S$11&gt;=$H94,S$11&lt;=$I94),1,""))</f>
        <v/>
      </c>
      <c r="T94" s="448" t="str">
        <f aca="false">IF($G94=0,IF(T$11=$H94,"◆",""),IF(AND(T$11&gt;=$H94,T$11&lt;=$I94),1,""))</f>
        <v/>
      </c>
      <c r="U94" s="448" t="str">
        <f aca="false">IF($G94=0,IF(U$11=$H94,"◆",""),IF(AND(U$11&gt;=$H94,U$11&lt;=$I94),1,""))</f>
        <v/>
      </c>
      <c r="V94" s="448" t="str">
        <f aca="false">IF($G94=0,IF(V$11=$H94,"◆",""),IF(AND(V$11&gt;=$H94,V$11&lt;=$I94),1,""))</f>
        <v/>
      </c>
      <c r="W94" s="448" t="str">
        <f aca="false">IF($G94=0,IF(W$11=$H94,"◆",""),IF(AND(W$11&gt;=$H94,W$11&lt;=$I94),1,""))</f>
        <v/>
      </c>
      <c r="X94" s="448" t="str">
        <f aca="false">IF($G94=0,IF(X$11=$H94,"◆",""),IF(AND(X$11&gt;=$H94,X$11&lt;=$I94),1,""))</f>
        <v/>
      </c>
      <c r="Y94" s="448" t="str">
        <f aca="false">IF($G94=0,IF(Y$11=$H94,"◆",""),IF(AND(Y$11&gt;=$H94,Y$11&lt;=$I94),1,""))</f>
        <v/>
      </c>
      <c r="Z94" s="448" t="str">
        <f aca="false">IF($G94=0,IF(Z$11=$H94,"◆",""),IF(AND(Z$11&gt;=$H94,Z$11&lt;=$I94),1,""))</f>
        <v/>
      </c>
      <c r="AA94" s="448" t="str">
        <f aca="false">IF($G94=0,IF(AA$11=$H94,"◆",""),IF(AND(AA$11&gt;=$H94,AA$11&lt;=$I94),1,""))</f>
        <v/>
      </c>
      <c r="AB94" s="448" t="str">
        <f aca="false">IF($G94=0,IF(AB$11=$H94,"◆",""),IF(AND(AB$11&gt;=$H94,AB$11&lt;=$I94),1,""))</f>
        <v/>
      </c>
      <c r="AC94" s="448" t="str">
        <f aca="false">IF($G94=0,IF(AC$11=$H94,"◆",""),IF(AND(AC$11&gt;=$H94,AC$11&lt;=$I94),1,""))</f>
        <v/>
      </c>
      <c r="AD94" s="448" t="str">
        <f aca="false">IF($G94=0,IF(AD$11=$H94,"◆",""),IF(AND(AD$11&gt;=$H94,AD$11&lt;=$I94),1,""))</f>
        <v/>
      </c>
      <c r="AE94" s="448" t="str">
        <f aca="false">IF($G94=0,IF(AE$11=$H94,"◆",""),IF(AND(AE$11&gt;=$H94,AE$11&lt;=$I94),1,""))</f>
        <v/>
      </c>
      <c r="AF94" s="448" t="str">
        <f aca="false">IF($G94=0,IF(AF$11=$H94,"◆",""),IF(AND(AF$11&gt;=$H94,AF$11&lt;=$I94),1,""))</f>
        <v/>
      </c>
      <c r="AG94" s="448" t="str">
        <f aca="false">IF($G94=0,IF(AG$11=$H94,"◆",""),IF(AND(AG$11&gt;=$H94,AG$11&lt;=$I94),1,""))</f>
        <v/>
      </c>
      <c r="AH94" s="448" t="str">
        <f aca="false">IF($G94=0,IF(AH$11=$H94,"◆",""),IF(AND(AH$11&gt;=$H94,AH$11&lt;=$I94),1,""))</f>
        <v/>
      </c>
      <c r="AI94" s="448" t="str">
        <f aca="false">IF($G94=0,IF(AI$11=$H94,"◆",""),IF(AND(AI$11&gt;=$H94,AI$11&lt;=$I94),1,""))</f>
        <v/>
      </c>
      <c r="AJ94" s="448" t="str">
        <f aca="false">IF($G94=0,IF(AJ$11=$H94,"◆",""),IF(AND(AJ$11&gt;=$H94,AJ$11&lt;=$I94),1,""))</f>
        <v/>
      </c>
      <c r="AK94" s="448" t="str">
        <f aca="false">IF($G94=0,IF(AK$11=$H94,"◆",""),IF(AND(AK$11&gt;=$H94,AK$11&lt;=$I94),1,""))</f>
        <v/>
      </c>
      <c r="AL94" s="448" t="str">
        <f aca="false">IF($G94=0,IF(AL$11=$H94,"◆",""),IF(AND(AL$11&gt;=$H94,AL$11&lt;=$I94),1,""))</f>
        <v/>
      </c>
      <c r="AM94" s="448" t="str">
        <f aca="false">IF($G94=0,IF(AM$11=$H94,"◆",""),IF(AND(AM$11&gt;=$H94,AM$11&lt;=$I94),1,""))</f>
        <v/>
      </c>
      <c r="AN94" s="448" t="str">
        <f aca="false">IF($G94=0,IF(AN$11=$H94,"◆",""),IF(AND(AN$11&gt;=$H94,AN$11&lt;=$I94),1,""))</f>
        <v/>
      </c>
      <c r="AO94" s="448" t="str">
        <f aca="false">IF($G94=0,IF(AO$11=$H94,"◆",""),IF(AND(AO$11&gt;=$H94,AO$11&lt;=$I94),1,""))</f>
        <v/>
      </c>
      <c r="AP94" s="448" t="str">
        <f aca="false">IF($G94=0,IF(AP$11=$H94,"◆",""),IF(AND(AP$11&gt;=$H94,AP$11&lt;=$I94),1,""))</f>
        <v/>
      </c>
      <c r="AQ94" s="448" t="str">
        <f aca="false">IF($G94=0,IF(AQ$11=$H94,"◆",""),IF(AND(AQ$11&gt;=$H94,AQ$11&lt;=$I94),1,""))</f>
        <v/>
      </c>
      <c r="AR94" s="448" t="str">
        <f aca="false">IF($G94=0,IF(AR$11=$H94,"◆",""),IF(AND(AR$11&gt;=$H94,AR$11&lt;=$I94),1,""))</f>
        <v/>
      </c>
      <c r="AS94" s="448" t="str">
        <f aca="false">IF($G94=0,IF(AS$11=$H94,"◆",""),IF(AND(AS$11&gt;=$H94,AS$11&lt;=$I94),1,""))</f>
        <v/>
      </c>
      <c r="AT94" s="448" t="str">
        <f aca="false">IF($G94=0,IF(AT$11=$H94,"◆",""),IF(AND(AT$11&gt;=$H94,AT$11&lt;=$I94),1,""))</f>
        <v/>
      </c>
      <c r="AU94" s="448" t="str">
        <f aca="false">IF($G94=0,IF(AU$11=$H94,"◆",""),IF(AND(AU$11&gt;=$H94,AU$11&lt;=$I94),1,""))</f>
        <v/>
      </c>
      <c r="AV94" s="448" t="str">
        <f aca="false">IF($G94=0,IF(AV$11=$H94,"◆",""),IF(AND(AV$11&gt;=$H94,AV$11&lt;=$I94),1,""))</f>
        <v/>
      </c>
      <c r="AW94" s="448" t="str">
        <f aca="false">IF($G94=0,IF(AW$11=$H94,"◆",""),IF(AND(AW$11&gt;=$H94,AW$11&lt;=$I94),1,""))</f>
        <v/>
      </c>
      <c r="AX94" s="448" t="str">
        <f aca="false">IF($G94=0,IF(AX$11=$H94,"◆",""),IF(AND(AX$11&gt;=$H94,AX$11&lt;=$I94),1,""))</f>
        <v/>
      </c>
      <c r="AY94" s="448" t="n">
        <f aca="false">IF($G94=0,IF(AY$11=$H94,"◆",""),IF(AND(AY$11&gt;=$H94,AY$11&lt;=$I94),1,""))</f>
        <v>1</v>
      </c>
      <c r="AZ94" s="448" t="n">
        <f aca="false">IF($G94=0,IF(AZ$11=$H94,"◆",""),IF(AND(AZ$11&gt;=$H94,AZ$11&lt;=$I94),1,""))</f>
        <v>1</v>
      </c>
      <c r="BA94" s="448" t="n">
        <f aca="false">IF($G94=0,IF(BA$11=$H94,"◆",""),IF(AND(BA$11&gt;=$H94,BA$11&lt;=$I94),1,""))</f>
        <v>1</v>
      </c>
      <c r="BB94" s="448" t="n">
        <f aca="false">IF($G94=0,IF(BB$11=$H94,"◆",""),IF(AND(BB$11&gt;=$H94,BB$11&lt;=$I94),1,""))</f>
        <v>1</v>
      </c>
      <c r="BC94" s="448" t="str">
        <f aca="false">IF($G94=0,IF(BC$11=$H94,"◆",""),IF(AND(BC$11&gt;=$H94,BC$11&lt;=$I94),1,""))</f>
        <v/>
      </c>
      <c r="BD94" s="448" t="str">
        <f aca="false">IF($G94=0,IF(BD$11=$H94,"◆",""),IF(AND(BD$11&gt;=$H94,BD$11&lt;=$I94),1,""))</f>
        <v/>
      </c>
      <c r="BE94" s="448" t="str">
        <f aca="false">IF($G94=0,IF(BE$11=$H94,"◆",""),IF(AND(BE$11&gt;=$H94,BE$11&lt;=$I94),1,""))</f>
        <v/>
      </c>
      <c r="BF94" s="448" t="str">
        <f aca="false">IF($G94=0,IF(BF$11=$H94,"◆",""),IF(AND(BF$11&gt;=$H94,BF$11&lt;=$I94),1,""))</f>
        <v/>
      </c>
      <c r="BG94" s="448" t="str">
        <f aca="false">IF($G94=0,IF(BG$11=$H94,"◆",""),IF(AND(BG$11&gt;=$H94,BG$11&lt;=$I94),1,""))</f>
        <v/>
      </c>
      <c r="BH94" s="448" t="str">
        <f aca="false">IF($G94=0,IF(BH$11=$H94,"◆",""),IF(AND(BH$11&gt;=$H94,BH$11&lt;=$I94),1,""))</f>
        <v/>
      </c>
      <c r="BI94" s="448" t="str">
        <f aca="false">IF($G94=0,IF(BI$11=$H94,"◆",""),IF(AND(BI$11&gt;=$H94,BI$11&lt;=$I94),1,""))</f>
        <v/>
      </c>
      <c r="BJ94" s="448" t="str">
        <f aca="false">IF($G94=0,IF(BJ$11=$H94,"◆",""),IF(AND(BJ$11&gt;=$H94,BJ$11&lt;=$I94),1,""))</f>
        <v/>
      </c>
      <c r="BK94" s="448" t="str">
        <f aca="false">IF($G94=0,IF(BK$11=$H94,"◆",""),IF(AND(BK$11&gt;=$H94,BK$11&lt;=$I94),1,""))</f>
        <v/>
      </c>
      <c r="BL94" s="448" t="str">
        <f aca="false">IF($G94=0,IF(BL$11=$H94,"◆",""),IF(AND(BL$11&gt;=$H94,BL$11&lt;=$I94),1,""))</f>
        <v/>
      </c>
      <c r="BM94" s="448" t="str">
        <f aca="false">IF($G94=0,IF(BM$11=$H94,"◆",""),IF(AND(BM$11&gt;=$H94,BM$11&lt;=$I94),1,""))</f>
        <v/>
      </c>
      <c r="BN94" s="448" t="str">
        <f aca="false">IF($G94=0,IF(BN$11=$H94,"◆",""),IF(AND(BN$11&gt;=$H94,BN$11&lt;=$I94),1,""))</f>
        <v/>
      </c>
      <c r="BO94" s="448" t="str">
        <f aca="false">IF($G94=0,IF(BO$11=$H94,"◆",""),IF(AND(BO$11&gt;=$H94,BO$11&lt;=$I94),1,""))</f>
        <v/>
      </c>
      <c r="BP94" s="448" t="str">
        <f aca="false">IF($G94=0,IF(BP$11=$H94,"◆",""),IF(AND(BP$11&gt;=$H94,BP$11&lt;=$I94),1,""))</f>
        <v/>
      </c>
      <c r="BQ94" s="448" t="str">
        <f aca="false">IF($G94=0,IF(BQ$11=$H94,"◆",""),IF(AND(BQ$11&gt;=$H94,BQ$11&lt;=$I94),1,""))</f>
        <v/>
      </c>
      <c r="BR94" s="448" t="str">
        <f aca="false">IF($G94=0,IF(BR$11=$H94,"◆",""),IF(AND(BR$11&gt;=$H94,BR$11&lt;=$I94),1,""))</f>
        <v/>
      </c>
      <c r="BS94" s="448" t="str">
        <f aca="false">IF($G94=0,IF(BS$11=$H94,"◆",""),IF(AND(BS$11&gt;=$H94,BS$11&lt;=$I94),1,""))</f>
        <v/>
      </c>
      <c r="BT94" s="448" t="str">
        <f aca="false">IF($G94=0,IF(BT$11=$H94,"◆",""),IF(AND(BT$11&gt;=$H94,BT$11&lt;=$I94),1,""))</f>
        <v/>
      </c>
      <c r="BU94" s="448" t="str">
        <f aca="false">IF($G94=0,IF(BU$11=$H94,"◆",""),IF(AND(BU$11&gt;=$H94,BU$11&lt;=$I94),1,""))</f>
        <v/>
      </c>
      <c r="BV94" s="448" t="str">
        <f aca="false">IF($G94=0,IF(BV$11=$H94,"◆",""),IF(AND(BV$11&gt;=$H94,BV$11&lt;=$I94),1,""))</f>
        <v/>
      </c>
      <c r="BW94" s="448" t="str">
        <f aca="false">IF($G94=0,IF(BW$11=$H94,"◆",""),IF(AND(BW$11&gt;=$H94,BW$11&lt;=$I94),1,""))</f>
        <v/>
      </c>
      <c r="BX94" s="448" t="str">
        <f aca="false">IF($G94=0,IF(BX$11=$H94,"◆",""),IF(AND(BX$11&gt;=$H94,BX$11&lt;=$I94),1,""))</f>
        <v/>
      </c>
      <c r="BY94" s="448" t="str">
        <f aca="false">IF($G94=0,IF(BY$11=$H94,"◆",""),IF(AND(BY$11&gt;=$H94,BY$11&lt;=$I94),1,""))</f>
        <v/>
      </c>
      <c r="BZ94" s="448" t="str">
        <f aca="false">IF($G94=0,IF(BZ$11=$H94,"◆",""),IF(AND(BZ$11&gt;=$H94,BZ$11&lt;=$I94),1,""))</f>
        <v/>
      </c>
      <c r="CA94" s="448" t="str">
        <f aca="false">IF($G94=0,IF(CA$11=$H94,"◆",""),IF(AND(CA$11&gt;=$H94,CA$11&lt;=$I94),1,""))</f>
        <v/>
      </c>
      <c r="CB94" s="448" t="str">
        <f aca="false">IF($G94=0,IF(CB$11=$H94,"◆",""),IF(AND(CB$11&gt;=$H94,CB$11&lt;=$I94),1,""))</f>
        <v/>
      </c>
      <c r="CC94" s="448" t="str">
        <f aca="false">IF($G94=0,IF(CC$11=$H94,"◆",""),IF(AND(CC$11&gt;=$H94,CC$11&lt;=$I94),1,""))</f>
        <v/>
      </c>
      <c r="CD94" s="448" t="str">
        <f aca="false">IF($G94=0,IF(CD$11=$H94,"◆",""),IF(AND(CD$11&gt;=$H94,CD$11&lt;=$I94),1,""))</f>
        <v/>
      </c>
      <c r="CE94" s="448" t="str">
        <f aca="false">IF($G94=0,IF(CE$11=$H94,"◆",""),IF(AND(CE$11&gt;=$H94,CE$11&lt;=$I94),1,""))</f>
        <v/>
      </c>
      <c r="CF94" s="448" t="str">
        <f aca="false">IF($G94=0,IF(CF$11=$H94,"◆",""),IF(AND(CF$11&gt;=$H94,CF$11&lt;=$I94),1,""))</f>
        <v/>
      </c>
      <c r="CG94" s="448" t="str">
        <f aca="false">IF($G94=0,IF(CG$11=$H94,"◆",""),IF(AND(CG$11&gt;=$H94,CG$11&lt;=$I94),1,""))</f>
        <v/>
      </c>
      <c r="CH94" s="448" t="str">
        <f aca="false">IF($G94=0,IF(CH$11=$H94,"◆",""),IF(AND(CH$11&gt;=$H94,CH$11&lt;=$I94),1,""))</f>
        <v/>
      </c>
      <c r="CI94" s="448" t="str">
        <f aca="false">IF($G94=0,IF(CI$11=$H94,"◆",""),IF(AND(CI$11&gt;=$H94,CI$11&lt;=$I94),1,""))</f>
        <v/>
      </c>
      <c r="CJ94" s="448" t="str">
        <f aca="false">IF($G94=0,IF(CJ$11=$H94,"◆",""),IF(AND(CJ$11&gt;=$H94,CJ$11&lt;=$I94),1,""))</f>
        <v/>
      </c>
      <c r="CK94" s="448" t="str">
        <f aca="false">IF($G94=0,IF(CK$11=$H94,"◆",""),IF(AND(CK$11&gt;=$H94,CK$11&lt;=$I94),1,""))</f>
        <v/>
      </c>
      <c r="CL94" s="448" t="str">
        <f aca="false">IF($G94=0,IF(CL$11=$H94,"◆",""),IF(AND(CL$11&gt;=$H94,CL$11&lt;=$I94),1,""))</f>
        <v/>
      </c>
      <c r="CM94" s="448" t="str">
        <f aca="false">IF($G94=0,IF(CM$11=$H94,"◆",""),IF(AND(CM$11&gt;=$H94,CM$11&lt;=$I94),1,""))</f>
        <v/>
      </c>
      <c r="CN94" s="448" t="str">
        <f aca="false">IF($G94=0,IF(CN$11=$H94,"◆",""),IF(AND(CN$11&gt;=$H94,CN$11&lt;=$I94),1,""))</f>
        <v/>
      </c>
      <c r="CO94" s="448" t="str">
        <f aca="false">IF($G94=0,IF(CO$11=$H94,"◆",""),IF(AND(CO$11&gt;=$H94,CO$11&lt;=$I94),1,""))</f>
        <v/>
      </c>
      <c r="CP94" s="448" t="str">
        <f aca="false">IF($G94=0,IF(CP$11=$H94,"◆",""),IF(AND(CP$11&gt;=$H94,CP$11&lt;=$I94),1,""))</f>
        <v/>
      </c>
      <c r="CQ94" s="448" t="str">
        <f aca="false">IF($G94=0,IF(CQ$11=$H94,"◆",""),IF(AND(CQ$11&gt;=$H94,CQ$11&lt;=$I94),1,""))</f>
        <v/>
      </c>
      <c r="CR94" s="448" t="str">
        <f aca="false">IF($G94=0,IF(CR$11=$H94,"◆",""),IF(AND(CR$11&gt;=$H94,CR$11&lt;=$I94),1,""))</f>
        <v/>
      </c>
      <c r="CS94" s="448" t="str">
        <f aca="false">IF($G94=0,IF(CS$11=$H94,"◆",""),IF(AND(CS$11&gt;=$H94,CS$11&lt;=$I94),1,""))</f>
        <v/>
      </c>
      <c r="CT94" s="448" t="str">
        <f aca="false">IF($G94=0,IF(CT$11=$H94,"◆",""),IF(AND(CT$11&gt;=$H94,CT$11&lt;=$I94),1,""))</f>
        <v/>
      </c>
      <c r="CU94" s="448" t="str">
        <f aca="false">IF($G94=0,IF(CU$11=$H94,"◆",""),IF(AND(CU$11&gt;=$H94,CU$11&lt;=$I94),1,""))</f>
        <v/>
      </c>
      <c r="CV94" s="448" t="str">
        <f aca="false">IF($G94=0,IF(CV$11=$H94,"◆",""),IF(AND(CV$11&gt;=$H94,CV$11&lt;=$I94),1,""))</f>
        <v/>
      </c>
      <c r="CW94" s="448" t="str">
        <f aca="false">IF($G94=0,IF(CW$11=$H94,"◆",""),IF(AND(CW$11&gt;=$H94,CW$11&lt;=$I94),1,""))</f>
        <v/>
      </c>
      <c r="CX94" s="448" t="str">
        <f aca="false">IF($G94=0,IF(CX$11=$H94,"◆",""),IF(AND(CX$11&gt;=$H94,CX$11&lt;=$I94),1,""))</f>
        <v/>
      </c>
      <c r="CY94" s="448" t="str">
        <f aca="false">IF($G94=0,IF(CY$11=$H94,"◆",""),IF(AND(CY$11&gt;=$H94,CY$11&lt;=$I94),1,""))</f>
        <v/>
      </c>
      <c r="CZ94" s="448" t="str">
        <f aca="false">IF($G94=0,IF(CZ$11=$H94,"◆",""),IF(AND(CZ$11&gt;=$H94,CZ$11&lt;=$I94),1,""))</f>
        <v/>
      </c>
      <c r="DA94" s="448" t="str">
        <f aca="false">IF($G94=0,IF(DA$11=$H94,"◆",""),IF(AND(DA$11&gt;=$H94,DA$11&lt;=$I94),1,""))</f>
        <v/>
      </c>
      <c r="DB94" s="448" t="str">
        <f aca="false">IF($G94=0,IF(DB$11=$H94,"◆",""),IF(AND(DB$11&gt;=$H94,DB$11&lt;=$I94),1,""))</f>
        <v/>
      </c>
      <c r="DC94" s="448" t="str">
        <f aca="false">IF($G94=0,IF(DC$11=$H94,"◆",""),IF(AND(DC$11&gt;=$H94,DC$11&lt;=$I94),1,""))</f>
        <v/>
      </c>
      <c r="DD94" s="448" t="str">
        <f aca="false">IF($G94=0,IF(DD$11=$H94,"◆",""),IF(AND(DD$11&gt;=$H94,DD$11&lt;=$I94),1,""))</f>
        <v/>
      </c>
      <c r="DE94" s="448" t="str">
        <f aca="false">IF($G94=0,IF(DE$11=$H94,"◆",""),IF(AND(DE$11&gt;=$H94,DE$11&lt;=$I94),1,""))</f>
        <v/>
      </c>
      <c r="DF94" s="448" t="str">
        <f aca="false">IF($G94=0,IF(DF$11=$H94,"◆",""),IF(AND(DF$11&gt;=$H94,DF$11&lt;=$I94),1,""))</f>
        <v/>
      </c>
      <c r="DG94" s="448" t="str">
        <f aca="false">IF($G94=0,IF(DG$11=$H94,"◆",""),IF(AND(DG$11&gt;=$H94,DG$11&lt;=$I94),1,""))</f>
        <v/>
      </c>
      <c r="DH94" s="448" t="str">
        <f aca="false">IF($G94=0,IF(DH$11=$H94,"◆",""),IF(AND(DH$11&gt;=$H94,DH$11&lt;=$I94),1,""))</f>
        <v/>
      </c>
      <c r="DI94" s="448" t="str">
        <f aca="false">IF($G94=0,IF(DI$11=$H94,"◆",""),IF(AND(DI$11&gt;=$H94,DI$11&lt;=$I94),1,""))</f>
        <v/>
      </c>
      <c r="DJ94" s="448" t="str">
        <f aca="false">IF($G94=0,IF(DJ$11=$H94,"◆",""),IF(AND(DJ$11&gt;=$H94,DJ$11&lt;=$I94),1,""))</f>
        <v/>
      </c>
      <c r="DK94" s="448" t="str">
        <f aca="false">IF($G94=0,IF(DK$11=$H94,"◆",""),IF(AND(DK$11&gt;=$H94,DK$11&lt;=$I94),1,""))</f>
        <v/>
      </c>
      <c r="DL94" s="448" t="str">
        <f aca="false">IF($G94=0,IF(DL$11=$H94,"◆",""),IF(AND(DL$11&gt;=$H94,DL$11&lt;=$I94),1,""))</f>
        <v/>
      </c>
      <c r="DM94" s="448" t="str">
        <f aca="false">IF($G94=0,IF(DM$11=$H94,"◆",""),IF(AND(DM$11&gt;=$H94,DM$11&lt;=$I94),1,""))</f>
        <v/>
      </c>
      <c r="DN94" s="448" t="str">
        <f aca="false">IF($G94=0,IF(DN$11=$H94,"◆",""),IF(AND(DN$11&gt;=$H94,DN$11&lt;=$I94),1,""))</f>
        <v/>
      </c>
      <c r="DO94" s="448" t="str">
        <f aca="false">IF($G94=0,IF(DO$11=$H94,"◆",""),IF(AND(DO$11&gt;=$H94,DO$11&lt;=$I94),1,""))</f>
        <v/>
      </c>
      <c r="DP94" s="448" t="str">
        <f aca="false">IF($G94=0,IF(DP$11=$H94,"◆",""),IF(AND(DP$11&gt;=$H94,DP$11&lt;=$I94),1,""))</f>
        <v/>
      </c>
      <c r="DQ94" s="448" t="str">
        <f aca="false">IF($G94=0,IF(DQ$11=$H94,"◆",""),IF(AND(DQ$11&gt;=$H94,DQ$11&lt;=$I94),1,""))</f>
        <v/>
      </c>
      <c r="DR94" s="448" t="str">
        <f aca="false">IF($G94=0,IF(DR$11=$H94,"◆",""),IF(AND(DR$11&gt;=$H94,DR$11&lt;=$I94),1,""))</f>
        <v/>
      </c>
      <c r="DS94" s="448" t="str">
        <f aca="false">IF($G94=0,IF(DS$11=$H94,"◆",""),IF(AND(DS$11&gt;=$H94,DS$11&lt;=$I94),1,""))</f>
        <v/>
      </c>
      <c r="DT94" s="448" t="str">
        <f aca="false">IF($G94=0,IF(DT$11=$H94,"◆",""),IF(AND(DT$11&gt;=$H94,DT$11&lt;=$I94),1,""))</f>
        <v/>
      </c>
      <c r="DU94" s="448" t="str">
        <f aca="false">IF($G94=0,IF(DU$11=$H94,"◆",""),IF(AND(DU$11&gt;=$H94,DU$11&lt;=$I94),1,""))</f>
        <v/>
      </c>
      <c r="DV94" s="448" t="str">
        <f aca="false">IF($G94=0,IF(DV$11=$H94,"◆",""),IF(AND(DV$11&gt;=$H94,DV$11&lt;=$I94),1,""))</f>
        <v/>
      </c>
      <c r="DW94" s="448" t="str">
        <f aca="false">IF($G94=0,IF(DW$11=$H94,"◆",""),IF(AND(DW$11&gt;=$H94,DW$11&lt;=$I94),1,""))</f>
        <v/>
      </c>
      <c r="DX94" s="448" t="str">
        <f aca="false">IF($G94=0,IF(DX$11=$H94,"◆",""),IF(AND(DX$11&gt;=$H94,DX$11&lt;=$I94),1,""))</f>
        <v/>
      </c>
      <c r="DY94" s="448" t="str">
        <f aca="false">IF($G94=0,IF(DY$11=$H94,"◆",""),IF(AND(DY$11&gt;=$H94,DY$11&lt;=$I94),1,""))</f>
        <v/>
      </c>
      <c r="DZ94" s="448" t="str">
        <f aca="false">IF($G94=0,IF(DZ$11=$H94,"◆",""),IF(AND(DZ$11&gt;=$H94,DZ$11&lt;=$I94),1,""))</f>
        <v/>
      </c>
      <c r="EA94" s="448" t="str">
        <f aca="false">IF($G94=0,IF(EA$11=$H94,"◆",""),IF(AND(EA$11&gt;=$H94,EA$11&lt;=$I94),1,""))</f>
        <v/>
      </c>
      <c r="EB94" s="448" t="str">
        <f aca="false">IF($G94=0,IF(EB$11=$H94,"◆",""),IF(AND(EB$11&gt;=$H94,EB$11&lt;=$I94),1,""))</f>
        <v/>
      </c>
      <c r="EC94" s="448" t="str">
        <f aca="false">IF($G94=0,IF(EC$11=$H94,"◆",""),IF(AND(EC$11&gt;=$H94,EC$11&lt;=$I94),1,""))</f>
        <v/>
      </c>
      <c r="ED94" s="448" t="str">
        <f aca="false">IF($G94=0,IF(ED$11=$H94,"◆",""),IF(AND(ED$11&gt;=$H94,ED$11&lt;=$I94),1,""))</f>
        <v/>
      </c>
    </row>
    <row r="95" customFormat="false" ht="15" hidden="false" customHeight="true" outlineLevel="0" collapsed="false">
      <c r="A95" s="441" t="s">
        <v>2630</v>
      </c>
      <c r="B95" s="297" t="s">
        <v>2631</v>
      </c>
      <c r="C95" s="442" t="s">
        <v>2586</v>
      </c>
      <c r="D95" s="443" t="s">
        <v>2500</v>
      </c>
      <c r="E95" s="354" t="n">
        <f aca="false">FC_SUPUESTOS!$C$23</f>
        <v>10</v>
      </c>
      <c r="F95" s="352" t="n">
        <v>-8</v>
      </c>
      <c r="G95" s="352" t="n">
        <v>6</v>
      </c>
      <c r="H95" s="367" t="n">
        <f aca="false">MAX(1,ROUND(($E95-1)*$D$5,0)+1+$F95)</f>
        <v>32</v>
      </c>
      <c r="I95" s="367" t="n">
        <f aca="false">MAX($H95,$H95+$G95-1)</f>
        <v>37</v>
      </c>
      <c r="J95" s="444" t="n">
        <f aca="false">$D$4+($H95-1)*7</f>
        <v>46517</v>
      </c>
      <c r="K95" s="444" t="n">
        <f aca="false">$D$4+$I95*7-1</f>
        <v>46558</v>
      </c>
      <c r="L95" s="445" t="n">
        <f aca="false">ROUNDUP($H95/$D$5,0)</f>
        <v>8</v>
      </c>
      <c r="M95" s="446"/>
      <c r="N95" s="447" t="n">
        <v>0</v>
      </c>
      <c r="O95" s="448" t="str">
        <f aca="false">IF($G95=0,IF(O$11=$H95,"◆",""),IF(AND(O$11&gt;=$H95,O$11&lt;=$I95),1,""))</f>
        <v/>
      </c>
      <c r="P95" s="448" t="str">
        <f aca="false">IF($G95=0,IF(P$11=$H95,"◆",""),IF(AND(P$11&gt;=$H95,P$11&lt;=$I95),1,""))</f>
        <v/>
      </c>
      <c r="Q95" s="448" t="str">
        <f aca="false">IF($G95=0,IF(Q$11=$H95,"◆",""),IF(AND(Q$11&gt;=$H95,Q$11&lt;=$I95),1,""))</f>
        <v/>
      </c>
      <c r="R95" s="448" t="str">
        <f aca="false">IF($G95=0,IF(R$11=$H95,"◆",""),IF(AND(R$11&gt;=$H95,R$11&lt;=$I95),1,""))</f>
        <v/>
      </c>
      <c r="S95" s="448" t="str">
        <f aca="false">IF($G95=0,IF(S$11=$H95,"◆",""),IF(AND(S$11&gt;=$H95,S$11&lt;=$I95),1,""))</f>
        <v/>
      </c>
      <c r="T95" s="448" t="str">
        <f aca="false">IF($G95=0,IF(T$11=$H95,"◆",""),IF(AND(T$11&gt;=$H95,T$11&lt;=$I95),1,""))</f>
        <v/>
      </c>
      <c r="U95" s="448" t="str">
        <f aca="false">IF($G95=0,IF(U$11=$H95,"◆",""),IF(AND(U$11&gt;=$H95,U$11&lt;=$I95),1,""))</f>
        <v/>
      </c>
      <c r="V95" s="448" t="str">
        <f aca="false">IF($G95=0,IF(V$11=$H95,"◆",""),IF(AND(V$11&gt;=$H95,V$11&lt;=$I95),1,""))</f>
        <v/>
      </c>
      <c r="W95" s="448" t="str">
        <f aca="false">IF($G95=0,IF(W$11=$H95,"◆",""),IF(AND(W$11&gt;=$H95,W$11&lt;=$I95),1,""))</f>
        <v/>
      </c>
      <c r="X95" s="448" t="str">
        <f aca="false">IF($G95=0,IF(X$11=$H95,"◆",""),IF(AND(X$11&gt;=$H95,X$11&lt;=$I95),1,""))</f>
        <v/>
      </c>
      <c r="Y95" s="448" t="str">
        <f aca="false">IF($G95=0,IF(Y$11=$H95,"◆",""),IF(AND(Y$11&gt;=$H95,Y$11&lt;=$I95),1,""))</f>
        <v/>
      </c>
      <c r="Z95" s="448" t="str">
        <f aca="false">IF($G95=0,IF(Z$11=$H95,"◆",""),IF(AND(Z$11&gt;=$H95,Z$11&lt;=$I95),1,""))</f>
        <v/>
      </c>
      <c r="AA95" s="448" t="str">
        <f aca="false">IF($G95=0,IF(AA$11=$H95,"◆",""),IF(AND(AA$11&gt;=$H95,AA$11&lt;=$I95),1,""))</f>
        <v/>
      </c>
      <c r="AB95" s="448" t="str">
        <f aca="false">IF($G95=0,IF(AB$11=$H95,"◆",""),IF(AND(AB$11&gt;=$H95,AB$11&lt;=$I95),1,""))</f>
        <v/>
      </c>
      <c r="AC95" s="448" t="str">
        <f aca="false">IF($G95=0,IF(AC$11=$H95,"◆",""),IF(AND(AC$11&gt;=$H95,AC$11&lt;=$I95),1,""))</f>
        <v/>
      </c>
      <c r="AD95" s="448" t="str">
        <f aca="false">IF($G95=0,IF(AD$11=$H95,"◆",""),IF(AND(AD$11&gt;=$H95,AD$11&lt;=$I95),1,""))</f>
        <v/>
      </c>
      <c r="AE95" s="448" t="str">
        <f aca="false">IF($G95=0,IF(AE$11=$H95,"◆",""),IF(AND(AE$11&gt;=$H95,AE$11&lt;=$I95),1,""))</f>
        <v/>
      </c>
      <c r="AF95" s="448" t="str">
        <f aca="false">IF($G95=0,IF(AF$11=$H95,"◆",""),IF(AND(AF$11&gt;=$H95,AF$11&lt;=$I95),1,""))</f>
        <v/>
      </c>
      <c r="AG95" s="448" t="str">
        <f aca="false">IF($G95=0,IF(AG$11=$H95,"◆",""),IF(AND(AG$11&gt;=$H95,AG$11&lt;=$I95),1,""))</f>
        <v/>
      </c>
      <c r="AH95" s="448" t="str">
        <f aca="false">IF($G95=0,IF(AH$11=$H95,"◆",""),IF(AND(AH$11&gt;=$H95,AH$11&lt;=$I95),1,""))</f>
        <v/>
      </c>
      <c r="AI95" s="448" t="str">
        <f aca="false">IF($G95=0,IF(AI$11=$H95,"◆",""),IF(AND(AI$11&gt;=$H95,AI$11&lt;=$I95),1,""))</f>
        <v/>
      </c>
      <c r="AJ95" s="448" t="str">
        <f aca="false">IF($G95=0,IF(AJ$11=$H95,"◆",""),IF(AND(AJ$11&gt;=$H95,AJ$11&lt;=$I95),1,""))</f>
        <v/>
      </c>
      <c r="AK95" s="448" t="str">
        <f aca="false">IF($G95=0,IF(AK$11=$H95,"◆",""),IF(AND(AK$11&gt;=$H95,AK$11&lt;=$I95),1,""))</f>
        <v/>
      </c>
      <c r="AL95" s="448" t="str">
        <f aca="false">IF($G95=0,IF(AL$11=$H95,"◆",""),IF(AND(AL$11&gt;=$H95,AL$11&lt;=$I95),1,""))</f>
        <v/>
      </c>
      <c r="AM95" s="448" t="str">
        <f aca="false">IF($G95=0,IF(AM$11=$H95,"◆",""),IF(AND(AM$11&gt;=$H95,AM$11&lt;=$I95),1,""))</f>
        <v/>
      </c>
      <c r="AN95" s="448" t="str">
        <f aca="false">IF($G95=0,IF(AN$11=$H95,"◆",""),IF(AND(AN$11&gt;=$H95,AN$11&lt;=$I95),1,""))</f>
        <v/>
      </c>
      <c r="AO95" s="448" t="str">
        <f aca="false">IF($G95=0,IF(AO$11=$H95,"◆",""),IF(AND(AO$11&gt;=$H95,AO$11&lt;=$I95),1,""))</f>
        <v/>
      </c>
      <c r="AP95" s="448" t="str">
        <f aca="false">IF($G95=0,IF(AP$11=$H95,"◆",""),IF(AND(AP$11&gt;=$H95,AP$11&lt;=$I95),1,""))</f>
        <v/>
      </c>
      <c r="AQ95" s="448" t="str">
        <f aca="false">IF($G95=0,IF(AQ$11=$H95,"◆",""),IF(AND(AQ$11&gt;=$H95,AQ$11&lt;=$I95),1,""))</f>
        <v/>
      </c>
      <c r="AR95" s="448" t="str">
        <f aca="false">IF($G95=0,IF(AR$11=$H95,"◆",""),IF(AND(AR$11&gt;=$H95,AR$11&lt;=$I95),1,""))</f>
        <v/>
      </c>
      <c r="AS95" s="448" t="str">
        <f aca="false">IF($G95=0,IF(AS$11=$H95,"◆",""),IF(AND(AS$11&gt;=$H95,AS$11&lt;=$I95),1,""))</f>
        <v/>
      </c>
      <c r="AT95" s="448" t="n">
        <f aca="false">IF($G95=0,IF(AT$11=$H95,"◆",""),IF(AND(AT$11&gt;=$H95,AT$11&lt;=$I95),1,""))</f>
        <v>1</v>
      </c>
      <c r="AU95" s="448" t="n">
        <f aca="false">IF($G95=0,IF(AU$11=$H95,"◆",""),IF(AND(AU$11&gt;=$H95,AU$11&lt;=$I95),1,""))</f>
        <v>1</v>
      </c>
      <c r="AV95" s="448" t="n">
        <f aca="false">IF($G95=0,IF(AV$11=$H95,"◆",""),IF(AND(AV$11&gt;=$H95,AV$11&lt;=$I95),1,""))</f>
        <v>1</v>
      </c>
      <c r="AW95" s="448" t="n">
        <f aca="false">IF($G95=0,IF(AW$11=$H95,"◆",""),IF(AND(AW$11&gt;=$H95,AW$11&lt;=$I95),1,""))</f>
        <v>1</v>
      </c>
      <c r="AX95" s="448" t="n">
        <f aca="false">IF($G95=0,IF(AX$11=$H95,"◆",""),IF(AND(AX$11&gt;=$H95,AX$11&lt;=$I95),1,""))</f>
        <v>1</v>
      </c>
      <c r="AY95" s="448" t="n">
        <f aca="false">IF($G95=0,IF(AY$11=$H95,"◆",""),IF(AND(AY$11&gt;=$H95,AY$11&lt;=$I95),1,""))</f>
        <v>1</v>
      </c>
      <c r="AZ95" s="448" t="str">
        <f aca="false">IF($G95=0,IF(AZ$11=$H95,"◆",""),IF(AND(AZ$11&gt;=$H95,AZ$11&lt;=$I95),1,""))</f>
        <v/>
      </c>
      <c r="BA95" s="448" t="str">
        <f aca="false">IF($G95=0,IF(BA$11=$H95,"◆",""),IF(AND(BA$11&gt;=$H95,BA$11&lt;=$I95),1,""))</f>
        <v/>
      </c>
      <c r="BB95" s="448" t="str">
        <f aca="false">IF($G95=0,IF(BB$11=$H95,"◆",""),IF(AND(BB$11&gt;=$H95,BB$11&lt;=$I95),1,""))</f>
        <v/>
      </c>
      <c r="BC95" s="448" t="str">
        <f aca="false">IF($G95=0,IF(BC$11=$H95,"◆",""),IF(AND(BC$11&gt;=$H95,BC$11&lt;=$I95),1,""))</f>
        <v/>
      </c>
      <c r="BD95" s="448" t="str">
        <f aca="false">IF($G95=0,IF(BD$11=$H95,"◆",""),IF(AND(BD$11&gt;=$H95,BD$11&lt;=$I95),1,""))</f>
        <v/>
      </c>
      <c r="BE95" s="448" t="str">
        <f aca="false">IF($G95=0,IF(BE$11=$H95,"◆",""),IF(AND(BE$11&gt;=$H95,BE$11&lt;=$I95),1,""))</f>
        <v/>
      </c>
      <c r="BF95" s="448" t="str">
        <f aca="false">IF($G95=0,IF(BF$11=$H95,"◆",""),IF(AND(BF$11&gt;=$H95,BF$11&lt;=$I95),1,""))</f>
        <v/>
      </c>
      <c r="BG95" s="448" t="str">
        <f aca="false">IF($G95=0,IF(BG$11=$H95,"◆",""),IF(AND(BG$11&gt;=$H95,BG$11&lt;=$I95),1,""))</f>
        <v/>
      </c>
      <c r="BH95" s="448" t="str">
        <f aca="false">IF($G95=0,IF(BH$11=$H95,"◆",""),IF(AND(BH$11&gt;=$H95,BH$11&lt;=$I95),1,""))</f>
        <v/>
      </c>
      <c r="BI95" s="448" t="str">
        <f aca="false">IF($G95=0,IF(BI$11=$H95,"◆",""),IF(AND(BI$11&gt;=$H95,BI$11&lt;=$I95),1,""))</f>
        <v/>
      </c>
      <c r="BJ95" s="448" t="str">
        <f aca="false">IF($G95=0,IF(BJ$11=$H95,"◆",""),IF(AND(BJ$11&gt;=$H95,BJ$11&lt;=$I95),1,""))</f>
        <v/>
      </c>
      <c r="BK95" s="448" t="str">
        <f aca="false">IF($G95=0,IF(BK$11=$H95,"◆",""),IF(AND(BK$11&gt;=$H95,BK$11&lt;=$I95),1,""))</f>
        <v/>
      </c>
      <c r="BL95" s="448" t="str">
        <f aca="false">IF($G95=0,IF(BL$11=$H95,"◆",""),IF(AND(BL$11&gt;=$H95,BL$11&lt;=$I95),1,""))</f>
        <v/>
      </c>
      <c r="BM95" s="448" t="str">
        <f aca="false">IF($G95=0,IF(BM$11=$H95,"◆",""),IF(AND(BM$11&gt;=$H95,BM$11&lt;=$I95),1,""))</f>
        <v/>
      </c>
      <c r="BN95" s="448" t="str">
        <f aca="false">IF($G95=0,IF(BN$11=$H95,"◆",""),IF(AND(BN$11&gt;=$H95,BN$11&lt;=$I95),1,""))</f>
        <v/>
      </c>
      <c r="BO95" s="448" t="str">
        <f aca="false">IF($G95=0,IF(BO$11=$H95,"◆",""),IF(AND(BO$11&gt;=$H95,BO$11&lt;=$I95),1,""))</f>
        <v/>
      </c>
      <c r="BP95" s="448" t="str">
        <f aca="false">IF($G95=0,IF(BP$11=$H95,"◆",""),IF(AND(BP$11&gt;=$H95,BP$11&lt;=$I95),1,""))</f>
        <v/>
      </c>
      <c r="BQ95" s="448" t="str">
        <f aca="false">IF($G95=0,IF(BQ$11=$H95,"◆",""),IF(AND(BQ$11&gt;=$H95,BQ$11&lt;=$I95),1,""))</f>
        <v/>
      </c>
      <c r="BR95" s="448" t="str">
        <f aca="false">IF($G95=0,IF(BR$11=$H95,"◆",""),IF(AND(BR$11&gt;=$H95,BR$11&lt;=$I95),1,""))</f>
        <v/>
      </c>
      <c r="BS95" s="448" t="str">
        <f aca="false">IF($G95=0,IF(BS$11=$H95,"◆",""),IF(AND(BS$11&gt;=$H95,BS$11&lt;=$I95),1,""))</f>
        <v/>
      </c>
      <c r="BT95" s="448" t="str">
        <f aca="false">IF($G95=0,IF(BT$11=$H95,"◆",""),IF(AND(BT$11&gt;=$H95,BT$11&lt;=$I95),1,""))</f>
        <v/>
      </c>
      <c r="BU95" s="448" t="str">
        <f aca="false">IF($G95=0,IF(BU$11=$H95,"◆",""),IF(AND(BU$11&gt;=$H95,BU$11&lt;=$I95),1,""))</f>
        <v/>
      </c>
      <c r="BV95" s="448" t="str">
        <f aca="false">IF($G95=0,IF(BV$11=$H95,"◆",""),IF(AND(BV$11&gt;=$H95,BV$11&lt;=$I95),1,""))</f>
        <v/>
      </c>
      <c r="BW95" s="448" t="str">
        <f aca="false">IF($G95=0,IF(BW$11=$H95,"◆",""),IF(AND(BW$11&gt;=$H95,BW$11&lt;=$I95),1,""))</f>
        <v/>
      </c>
      <c r="BX95" s="448" t="str">
        <f aca="false">IF($G95=0,IF(BX$11=$H95,"◆",""),IF(AND(BX$11&gt;=$H95,BX$11&lt;=$I95),1,""))</f>
        <v/>
      </c>
      <c r="BY95" s="448" t="str">
        <f aca="false">IF($G95=0,IF(BY$11=$H95,"◆",""),IF(AND(BY$11&gt;=$H95,BY$11&lt;=$I95),1,""))</f>
        <v/>
      </c>
      <c r="BZ95" s="448" t="str">
        <f aca="false">IF($G95=0,IF(BZ$11=$H95,"◆",""),IF(AND(BZ$11&gt;=$H95,BZ$11&lt;=$I95),1,""))</f>
        <v/>
      </c>
      <c r="CA95" s="448" t="str">
        <f aca="false">IF($G95=0,IF(CA$11=$H95,"◆",""),IF(AND(CA$11&gt;=$H95,CA$11&lt;=$I95),1,""))</f>
        <v/>
      </c>
      <c r="CB95" s="448" t="str">
        <f aca="false">IF($G95=0,IF(CB$11=$H95,"◆",""),IF(AND(CB$11&gt;=$H95,CB$11&lt;=$I95),1,""))</f>
        <v/>
      </c>
      <c r="CC95" s="448" t="str">
        <f aca="false">IF($G95=0,IF(CC$11=$H95,"◆",""),IF(AND(CC$11&gt;=$H95,CC$11&lt;=$I95),1,""))</f>
        <v/>
      </c>
      <c r="CD95" s="448" t="str">
        <f aca="false">IF($G95=0,IF(CD$11=$H95,"◆",""),IF(AND(CD$11&gt;=$H95,CD$11&lt;=$I95),1,""))</f>
        <v/>
      </c>
      <c r="CE95" s="448" t="str">
        <f aca="false">IF($G95=0,IF(CE$11=$H95,"◆",""),IF(AND(CE$11&gt;=$H95,CE$11&lt;=$I95),1,""))</f>
        <v/>
      </c>
      <c r="CF95" s="448" t="str">
        <f aca="false">IF($G95=0,IF(CF$11=$H95,"◆",""),IF(AND(CF$11&gt;=$H95,CF$11&lt;=$I95),1,""))</f>
        <v/>
      </c>
      <c r="CG95" s="448" t="str">
        <f aca="false">IF($G95=0,IF(CG$11=$H95,"◆",""),IF(AND(CG$11&gt;=$H95,CG$11&lt;=$I95),1,""))</f>
        <v/>
      </c>
      <c r="CH95" s="448" t="str">
        <f aca="false">IF($G95=0,IF(CH$11=$H95,"◆",""),IF(AND(CH$11&gt;=$H95,CH$11&lt;=$I95),1,""))</f>
        <v/>
      </c>
      <c r="CI95" s="448" t="str">
        <f aca="false">IF($G95=0,IF(CI$11=$H95,"◆",""),IF(AND(CI$11&gt;=$H95,CI$11&lt;=$I95),1,""))</f>
        <v/>
      </c>
      <c r="CJ95" s="448" t="str">
        <f aca="false">IF($G95=0,IF(CJ$11=$H95,"◆",""),IF(AND(CJ$11&gt;=$H95,CJ$11&lt;=$I95),1,""))</f>
        <v/>
      </c>
      <c r="CK95" s="448" t="str">
        <f aca="false">IF($G95=0,IF(CK$11=$H95,"◆",""),IF(AND(CK$11&gt;=$H95,CK$11&lt;=$I95),1,""))</f>
        <v/>
      </c>
      <c r="CL95" s="448" t="str">
        <f aca="false">IF($G95=0,IF(CL$11=$H95,"◆",""),IF(AND(CL$11&gt;=$H95,CL$11&lt;=$I95),1,""))</f>
        <v/>
      </c>
      <c r="CM95" s="448" t="str">
        <f aca="false">IF($G95=0,IF(CM$11=$H95,"◆",""),IF(AND(CM$11&gt;=$H95,CM$11&lt;=$I95),1,""))</f>
        <v/>
      </c>
      <c r="CN95" s="448" t="str">
        <f aca="false">IF($G95=0,IF(CN$11=$H95,"◆",""),IF(AND(CN$11&gt;=$H95,CN$11&lt;=$I95),1,""))</f>
        <v/>
      </c>
      <c r="CO95" s="448" t="str">
        <f aca="false">IF($G95=0,IF(CO$11=$H95,"◆",""),IF(AND(CO$11&gt;=$H95,CO$11&lt;=$I95),1,""))</f>
        <v/>
      </c>
      <c r="CP95" s="448" t="str">
        <f aca="false">IF($G95=0,IF(CP$11=$H95,"◆",""),IF(AND(CP$11&gt;=$H95,CP$11&lt;=$I95),1,""))</f>
        <v/>
      </c>
      <c r="CQ95" s="448" t="str">
        <f aca="false">IF($G95=0,IF(CQ$11=$H95,"◆",""),IF(AND(CQ$11&gt;=$H95,CQ$11&lt;=$I95),1,""))</f>
        <v/>
      </c>
      <c r="CR95" s="448" t="str">
        <f aca="false">IF($G95=0,IF(CR$11=$H95,"◆",""),IF(AND(CR$11&gt;=$H95,CR$11&lt;=$I95),1,""))</f>
        <v/>
      </c>
      <c r="CS95" s="448" t="str">
        <f aca="false">IF($G95=0,IF(CS$11=$H95,"◆",""),IF(AND(CS$11&gt;=$H95,CS$11&lt;=$I95),1,""))</f>
        <v/>
      </c>
      <c r="CT95" s="448" t="str">
        <f aca="false">IF($G95=0,IF(CT$11=$H95,"◆",""),IF(AND(CT$11&gt;=$H95,CT$11&lt;=$I95),1,""))</f>
        <v/>
      </c>
      <c r="CU95" s="448" t="str">
        <f aca="false">IF($G95=0,IF(CU$11=$H95,"◆",""),IF(AND(CU$11&gt;=$H95,CU$11&lt;=$I95),1,""))</f>
        <v/>
      </c>
      <c r="CV95" s="448" t="str">
        <f aca="false">IF($G95=0,IF(CV$11=$H95,"◆",""),IF(AND(CV$11&gt;=$H95,CV$11&lt;=$I95),1,""))</f>
        <v/>
      </c>
      <c r="CW95" s="448" t="str">
        <f aca="false">IF($G95=0,IF(CW$11=$H95,"◆",""),IF(AND(CW$11&gt;=$H95,CW$11&lt;=$I95),1,""))</f>
        <v/>
      </c>
      <c r="CX95" s="448" t="str">
        <f aca="false">IF($G95=0,IF(CX$11=$H95,"◆",""),IF(AND(CX$11&gt;=$H95,CX$11&lt;=$I95),1,""))</f>
        <v/>
      </c>
      <c r="CY95" s="448" t="str">
        <f aca="false">IF($G95=0,IF(CY$11=$H95,"◆",""),IF(AND(CY$11&gt;=$H95,CY$11&lt;=$I95),1,""))</f>
        <v/>
      </c>
      <c r="CZ95" s="448" t="str">
        <f aca="false">IF($G95=0,IF(CZ$11=$H95,"◆",""),IF(AND(CZ$11&gt;=$H95,CZ$11&lt;=$I95),1,""))</f>
        <v/>
      </c>
      <c r="DA95" s="448" t="str">
        <f aca="false">IF($G95=0,IF(DA$11=$H95,"◆",""),IF(AND(DA$11&gt;=$H95,DA$11&lt;=$I95),1,""))</f>
        <v/>
      </c>
      <c r="DB95" s="448" t="str">
        <f aca="false">IF($G95=0,IF(DB$11=$H95,"◆",""),IF(AND(DB$11&gt;=$H95,DB$11&lt;=$I95),1,""))</f>
        <v/>
      </c>
      <c r="DC95" s="448" t="str">
        <f aca="false">IF($G95=0,IF(DC$11=$H95,"◆",""),IF(AND(DC$11&gt;=$H95,DC$11&lt;=$I95),1,""))</f>
        <v/>
      </c>
      <c r="DD95" s="448" t="str">
        <f aca="false">IF($G95=0,IF(DD$11=$H95,"◆",""),IF(AND(DD$11&gt;=$H95,DD$11&lt;=$I95),1,""))</f>
        <v/>
      </c>
      <c r="DE95" s="448" t="str">
        <f aca="false">IF($G95=0,IF(DE$11=$H95,"◆",""),IF(AND(DE$11&gt;=$H95,DE$11&lt;=$I95),1,""))</f>
        <v/>
      </c>
      <c r="DF95" s="448" t="str">
        <f aca="false">IF($G95=0,IF(DF$11=$H95,"◆",""),IF(AND(DF$11&gt;=$H95,DF$11&lt;=$I95),1,""))</f>
        <v/>
      </c>
      <c r="DG95" s="448" t="str">
        <f aca="false">IF($G95=0,IF(DG$11=$H95,"◆",""),IF(AND(DG$11&gt;=$H95,DG$11&lt;=$I95),1,""))</f>
        <v/>
      </c>
      <c r="DH95" s="448" t="str">
        <f aca="false">IF($G95=0,IF(DH$11=$H95,"◆",""),IF(AND(DH$11&gt;=$H95,DH$11&lt;=$I95),1,""))</f>
        <v/>
      </c>
      <c r="DI95" s="448" t="str">
        <f aca="false">IF($G95=0,IF(DI$11=$H95,"◆",""),IF(AND(DI$11&gt;=$H95,DI$11&lt;=$I95),1,""))</f>
        <v/>
      </c>
      <c r="DJ95" s="448" t="str">
        <f aca="false">IF($G95=0,IF(DJ$11=$H95,"◆",""),IF(AND(DJ$11&gt;=$H95,DJ$11&lt;=$I95),1,""))</f>
        <v/>
      </c>
      <c r="DK95" s="448" t="str">
        <f aca="false">IF($G95=0,IF(DK$11=$H95,"◆",""),IF(AND(DK$11&gt;=$H95,DK$11&lt;=$I95),1,""))</f>
        <v/>
      </c>
      <c r="DL95" s="448" t="str">
        <f aca="false">IF($G95=0,IF(DL$11=$H95,"◆",""),IF(AND(DL$11&gt;=$H95,DL$11&lt;=$I95),1,""))</f>
        <v/>
      </c>
      <c r="DM95" s="448" t="str">
        <f aca="false">IF($G95=0,IF(DM$11=$H95,"◆",""),IF(AND(DM$11&gt;=$H95,DM$11&lt;=$I95),1,""))</f>
        <v/>
      </c>
      <c r="DN95" s="448" t="str">
        <f aca="false">IF($G95=0,IF(DN$11=$H95,"◆",""),IF(AND(DN$11&gt;=$H95,DN$11&lt;=$I95),1,""))</f>
        <v/>
      </c>
      <c r="DO95" s="448" t="str">
        <f aca="false">IF($G95=0,IF(DO$11=$H95,"◆",""),IF(AND(DO$11&gt;=$H95,DO$11&lt;=$I95),1,""))</f>
        <v/>
      </c>
      <c r="DP95" s="448" t="str">
        <f aca="false">IF($G95=0,IF(DP$11=$H95,"◆",""),IF(AND(DP$11&gt;=$H95,DP$11&lt;=$I95),1,""))</f>
        <v/>
      </c>
      <c r="DQ95" s="448" t="str">
        <f aca="false">IF($G95=0,IF(DQ$11=$H95,"◆",""),IF(AND(DQ$11&gt;=$H95,DQ$11&lt;=$I95),1,""))</f>
        <v/>
      </c>
      <c r="DR95" s="448" t="str">
        <f aca="false">IF($G95=0,IF(DR$11=$H95,"◆",""),IF(AND(DR$11&gt;=$H95,DR$11&lt;=$I95),1,""))</f>
        <v/>
      </c>
      <c r="DS95" s="448" t="str">
        <f aca="false">IF($G95=0,IF(DS$11=$H95,"◆",""),IF(AND(DS$11&gt;=$H95,DS$11&lt;=$I95),1,""))</f>
        <v/>
      </c>
      <c r="DT95" s="448" t="str">
        <f aca="false">IF($G95=0,IF(DT$11=$H95,"◆",""),IF(AND(DT$11&gt;=$H95,DT$11&lt;=$I95),1,""))</f>
        <v/>
      </c>
      <c r="DU95" s="448" t="str">
        <f aca="false">IF($G95=0,IF(DU$11=$H95,"◆",""),IF(AND(DU$11&gt;=$H95,DU$11&lt;=$I95),1,""))</f>
        <v/>
      </c>
      <c r="DV95" s="448" t="str">
        <f aca="false">IF($G95=0,IF(DV$11=$H95,"◆",""),IF(AND(DV$11&gt;=$H95,DV$11&lt;=$I95),1,""))</f>
        <v/>
      </c>
      <c r="DW95" s="448" t="str">
        <f aca="false">IF($G95=0,IF(DW$11=$H95,"◆",""),IF(AND(DW$11&gt;=$H95,DW$11&lt;=$I95),1,""))</f>
        <v/>
      </c>
      <c r="DX95" s="448" t="str">
        <f aca="false">IF($G95=0,IF(DX$11=$H95,"◆",""),IF(AND(DX$11&gt;=$H95,DX$11&lt;=$I95),1,""))</f>
        <v/>
      </c>
      <c r="DY95" s="448" t="str">
        <f aca="false">IF($G95=0,IF(DY$11=$H95,"◆",""),IF(AND(DY$11&gt;=$H95,DY$11&lt;=$I95),1,""))</f>
        <v/>
      </c>
      <c r="DZ95" s="448" t="str">
        <f aca="false">IF($G95=0,IF(DZ$11=$H95,"◆",""),IF(AND(DZ$11&gt;=$H95,DZ$11&lt;=$I95),1,""))</f>
        <v/>
      </c>
      <c r="EA95" s="448" t="str">
        <f aca="false">IF($G95=0,IF(EA$11=$H95,"◆",""),IF(AND(EA$11&gt;=$H95,EA$11&lt;=$I95),1,""))</f>
        <v/>
      </c>
      <c r="EB95" s="448" t="str">
        <f aca="false">IF($G95=0,IF(EB$11=$H95,"◆",""),IF(AND(EB$11&gt;=$H95,EB$11&lt;=$I95),1,""))</f>
        <v/>
      </c>
      <c r="EC95" s="448" t="str">
        <f aca="false">IF($G95=0,IF(EC$11=$H95,"◆",""),IF(AND(EC$11&gt;=$H95,EC$11&lt;=$I95),1,""))</f>
        <v/>
      </c>
      <c r="ED95" s="448" t="str">
        <f aca="false">IF($G95=0,IF(ED$11=$H95,"◆",""),IF(AND(ED$11&gt;=$H95,ED$11&lt;=$I95),1,""))</f>
        <v/>
      </c>
    </row>
    <row r="96" customFormat="false" ht="15" hidden="false" customHeight="true" outlineLevel="0" collapsed="false">
      <c r="A96" s="441" t="s">
        <v>2632</v>
      </c>
      <c r="B96" s="297" t="s">
        <v>2633</v>
      </c>
      <c r="C96" s="442" t="s">
        <v>2528</v>
      </c>
      <c r="D96" s="443" t="s">
        <v>2634</v>
      </c>
      <c r="E96" s="354" t="n">
        <f aca="false">FC_SUPUESTOS!$C$40</f>
        <v>10</v>
      </c>
      <c r="F96" s="352" t="n">
        <v>-14</v>
      </c>
      <c r="G96" s="352" t="n">
        <v>6</v>
      </c>
      <c r="H96" s="367" t="n">
        <f aca="false">MAX(1,ROUND(($E96-1)*$D$5,0)+1+$F96)</f>
        <v>26</v>
      </c>
      <c r="I96" s="367" t="n">
        <f aca="false">MAX($H96,$H96+$G96-1)</f>
        <v>31</v>
      </c>
      <c r="J96" s="444" t="n">
        <f aca="false">$D$4+($H96-1)*7</f>
        <v>46475</v>
      </c>
      <c r="K96" s="444" t="n">
        <f aca="false">$D$4+$I96*7-1</f>
        <v>46516</v>
      </c>
      <c r="L96" s="445" t="n">
        <f aca="false">ROUNDUP($H96/$D$5,0)</f>
        <v>6</v>
      </c>
      <c r="M96" s="446"/>
      <c r="N96" s="447" t="n">
        <v>0</v>
      </c>
      <c r="O96" s="448" t="str">
        <f aca="false">IF($G96=0,IF(O$11=$H96,"◆",""),IF(AND(O$11&gt;=$H96,O$11&lt;=$I96),1,""))</f>
        <v/>
      </c>
      <c r="P96" s="448" t="str">
        <f aca="false">IF($G96=0,IF(P$11=$H96,"◆",""),IF(AND(P$11&gt;=$H96,P$11&lt;=$I96),1,""))</f>
        <v/>
      </c>
      <c r="Q96" s="448" t="str">
        <f aca="false">IF($G96=0,IF(Q$11=$H96,"◆",""),IF(AND(Q$11&gt;=$H96,Q$11&lt;=$I96),1,""))</f>
        <v/>
      </c>
      <c r="R96" s="448" t="str">
        <f aca="false">IF($G96=0,IF(R$11=$H96,"◆",""),IF(AND(R$11&gt;=$H96,R$11&lt;=$I96),1,""))</f>
        <v/>
      </c>
      <c r="S96" s="448" t="str">
        <f aca="false">IF($G96=0,IF(S$11=$H96,"◆",""),IF(AND(S$11&gt;=$H96,S$11&lt;=$I96),1,""))</f>
        <v/>
      </c>
      <c r="T96" s="448" t="str">
        <f aca="false">IF($G96=0,IF(T$11=$H96,"◆",""),IF(AND(T$11&gt;=$H96,T$11&lt;=$I96),1,""))</f>
        <v/>
      </c>
      <c r="U96" s="448" t="str">
        <f aca="false">IF($G96=0,IF(U$11=$H96,"◆",""),IF(AND(U$11&gt;=$H96,U$11&lt;=$I96),1,""))</f>
        <v/>
      </c>
      <c r="V96" s="448" t="str">
        <f aca="false">IF($G96=0,IF(V$11=$H96,"◆",""),IF(AND(V$11&gt;=$H96,V$11&lt;=$I96),1,""))</f>
        <v/>
      </c>
      <c r="W96" s="448" t="str">
        <f aca="false">IF($G96=0,IF(W$11=$H96,"◆",""),IF(AND(W$11&gt;=$H96,W$11&lt;=$I96),1,""))</f>
        <v/>
      </c>
      <c r="X96" s="448" t="str">
        <f aca="false">IF($G96=0,IF(X$11=$H96,"◆",""),IF(AND(X$11&gt;=$H96,X$11&lt;=$I96),1,""))</f>
        <v/>
      </c>
      <c r="Y96" s="448" t="str">
        <f aca="false">IF($G96=0,IF(Y$11=$H96,"◆",""),IF(AND(Y$11&gt;=$H96,Y$11&lt;=$I96),1,""))</f>
        <v/>
      </c>
      <c r="Z96" s="448" t="str">
        <f aca="false">IF($G96=0,IF(Z$11=$H96,"◆",""),IF(AND(Z$11&gt;=$H96,Z$11&lt;=$I96),1,""))</f>
        <v/>
      </c>
      <c r="AA96" s="448" t="str">
        <f aca="false">IF($G96=0,IF(AA$11=$H96,"◆",""),IF(AND(AA$11&gt;=$H96,AA$11&lt;=$I96),1,""))</f>
        <v/>
      </c>
      <c r="AB96" s="448" t="str">
        <f aca="false">IF($G96=0,IF(AB$11=$H96,"◆",""),IF(AND(AB$11&gt;=$H96,AB$11&lt;=$I96),1,""))</f>
        <v/>
      </c>
      <c r="AC96" s="448" t="str">
        <f aca="false">IF($G96=0,IF(AC$11=$H96,"◆",""),IF(AND(AC$11&gt;=$H96,AC$11&lt;=$I96),1,""))</f>
        <v/>
      </c>
      <c r="AD96" s="448" t="str">
        <f aca="false">IF($G96=0,IF(AD$11=$H96,"◆",""),IF(AND(AD$11&gt;=$H96,AD$11&lt;=$I96),1,""))</f>
        <v/>
      </c>
      <c r="AE96" s="448" t="str">
        <f aca="false">IF($G96=0,IF(AE$11=$H96,"◆",""),IF(AND(AE$11&gt;=$H96,AE$11&lt;=$I96),1,""))</f>
        <v/>
      </c>
      <c r="AF96" s="448" t="str">
        <f aca="false">IF($G96=0,IF(AF$11=$H96,"◆",""),IF(AND(AF$11&gt;=$H96,AF$11&lt;=$I96),1,""))</f>
        <v/>
      </c>
      <c r="AG96" s="448" t="str">
        <f aca="false">IF($G96=0,IF(AG$11=$H96,"◆",""),IF(AND(AG$11&gt;=$H96,AG$11&lt;=$I96),1,""))</f>
        <v/>
      </c>
      <c r="AH96" s="448" t="str">
        <f aca="false">IF($G96=0,IF(AH$11=$H96,"◆",""),IF(AND(AH$11&gt;=$H96,AH$11&lt;=$I96),1,""))</f>
        <v/>
      </c>
      <c r="AI96" s="448" t="str">
        <f aca="false">IF($G96=0,IF(AI$11=$H96,"◆",""),IF(AND(AI$11&gt;=$H96,AI$11&lt;=$I96),1,""))</f>
        <v/>
      </c>
      <c r="AJ96" s="448" t="str">
        <f aca="false">IF($G96=0,IF(AJ$11=$H96,"◆",""),IF(AND(AJ$11&gt;=$H96,AJ$11&lt;=$I96),1,""))</f>
        <v/>
      </c>
      <c r="AK96" s="448" t="str">
        <f aca="false">IF($G96=0,IF(AK$11=$H96,"◆",""),IF(AND(AK$11&gt;=$H96,AK$11&lt;=$I96),1,""))</f>
        <v/>
      </c>
      <c r="AL96" s="448" t="str">
        <f aca="false">IF($G96=0,IF(AL$11=$H96,"◆",""),IF(AND(AL$11&gt;=$H96,AL$11&lt;=$I96),1,""))</f>
        <v/>
      </c>
      <c r="AM96" s="448" t="str">
        <f aca="false">IF($G96=0,IF(AM$11=$H96,"◆",""),IF(AND(AM$11&gt;=$H96,AM$11&lt;=$I96),1,""))</f>
        <v/>
      </c>
      <c r="AN96" s="448" t="n">
        <f aca="false">IF($G96=0,IF(AN$11=$H96,"◆",""),IF(AND(AN$11&gt;=$H96,AN$11&lt;=$I96),1,""))</f>
        <v>1</v>
      </c>
      <c r="AO96" s="448" t="n">
        <f aca="false">IF($G96=0,IF(AO$11=$H96,"◆",""),IF(AND(AO$11&gt;=$H96,AO$11&lt;=$I96),1,""))</f>
        <v>1</v>
      </c>
      <c r="AP96" s="448" t="n">
        <f aca="false">IF($G96=0,IF(AP$11=$H96,"◆",""),IF(AND(AP$11&gt;=$H96,AP$11&lt;=$I96),1,""))</f>
        <v>1</v>
      </c>
      <c r="AQ96" s="448" t="n">
        <f aca="false">IF($G96=0,IF(AQ$11=$H96,"◆",""),IF(AND(AQ$11&gt;=$H96,AQ$11&lt;=$I96),1,""))</f>
        <v>1</v>
      </c>
      <c r="AR96" s="448" t="n">
        <f aca="false">IF($G96=0,IF(AR$11=$H96,"◆",""),IF(AND(AR$11&gt;=$H96,AR$11&lt;=$I96),1,""))</f>
        <v>1</v>
      </c>
      <c r="AS96" s="448" t="n">
        <f aca="false">IF($G96=0,IF(AS$11=$H96,"◆",""),IF(AND(AS$11&gt;=$H96,AS$11&lt;=$I96),1,""))</f>
        <v>1</v>
      </c>
      <c r="AT96" s="448" t="str">
        <f aca="false">IF($G96=0,IF(AT$11=$H96,"◆",""),IF(AND(AT$11&gt;=$H96,AT$11&lt;=$I96),1,""))</f>
        <v/>
      </c>
      <c r="AU96" s="448" t="str">
        <f aca="false">IF($G96=0,IF(AU$11=$H96,"◆",""),IF(AND(AU$11&gt;=$H96,AU$11&lt;=$I96),1,""))</f>
        <v/>
      </c>
      <c r="AV96" s="448" t="str">
        <f aca="false">IF($G96=0,IF(AV$11=$H96,"◆",""),IF(AND(AV$11&gt;=$H96,AV$11&lt;=$I96),1,""))</f>
        <v/>
      </c>
      <c r="AW96" s="448" t="str">
        <f aca="false">IF($G96=0,IF(AW$11=$H96,"◆",""),IF(AND(AW$11&gt;=$H96,AW$11&lt;=$I96),1,""))</f>
        <v/>
      </c>
      <c r="AX96" s="448" t="str">
        <f aca="false">IF($G96=0,IF(AX$11=$H96,"◆",""),IF(AND(AX$11&gt;=$H96,AX$11&lt;=$I96),1,""))</f>
        <v/>
      </c>
      <c r="AY96" s="448" t="str">
        <f aca="false">IF($G96=0,IF(AY$11=$H96,"◆",""),IF(AND(AY$11&gt;=$H96,AY$11&lt;=$I96),1,""))</f>
        <v/>
      </c>
      <c r="AZ96" s="448" t="str">
        <f aca="false">IF($G96=0,IF(AZ$11=$H96,"◆",""),IF(AND(AZ$11&gt;=$H96,AZ$11&lt;=$I96),1,""))</f>
        <v/>
      </c>
      <c r="BA96" s="448" t="str">
        <f aca="false">IF($G96=0,IF(BA$11=$H96,"◆",""),IF(AND(BA$11&gt;=$H96,BA$11&lt;=$I96),1,""))</f>
        <v/>
      </c>
      <c r="BB96" s="448" t="str">
        <f aca="false">IF($G96=0,IF(BB$11=$H96,"◆",""),IF(AND(BB$11&gt;=$H96,BB$11&lt;=$I96),1,""))</f>
        <v/>
      </c>
      <c r="BC96" s="448" t="str">
        <f aca="false">IF($G96=0,IF(BC$11=$H96,"◆",""),IF(AND(BC$11&gt;=$H96,BC$11&lt;=$I96),1,""))</f>
        <v/>
      </c>
      <c r="BD96" s="448" t="str">
        <f aca="false">IF($G96=0,IF(BD$11=$H96,"◆",""),IF(AND(BD$11&gt;=$H96,BD$11&lt;=$I96),1,""))</f>
        <v/>
      </c>
      <c r="BE96" s="448" t="str">
        <f aca="false">IF($G96=0,IF(BE$11=$H96,"◆",""),IF(AND(BE$11&gt;=$H96,BE$11&lt;=$I96),1,""))</f>
        <v/>
      </c>
      <c r="BF96" s="448" t="str">
        <f aca="false">IF($G96=0,IF(BF$11=$H96,"◆",""),IF(AND(BF$11&gt;=$H96,BF$11&lt;=$I96),1,""))</f>
        <v/>
      </c>
      <c r="BG96" s="448" t="str">
        <f aca="false">IF($G96=0,IF(BG$11=$H96,"◆",""),IF(AND(BG$11&gt;=$H96,BG$11&lt;=$I96),1,""))</f>
        <v/>
      </c>
      <c r="BH96" s="448" t="str">
        <f aca="false">IF($G96=0,IF(BH$11=$H96,"◆",""),IF(AND(BH$11&gt;=$H96,BH$11&lt;=$I96),1,""))</f>
        <v/>
      </c>
      <c r="BI96" s="448" t="str">
        <f aca="false">IF($G96=0,IF(BI$11=$H96,"◆",""),IF(AND(BI$11&gt;=$H96,BI$11&lt;=$I96),1,""))</f>
        <v/>
      </c>
      <c r="BJ96" s="448" t="str">
        <f aca="false">IF($G96=0,IF(BJ$11=$H96,"◆",""),IF(AND(BJ$11&gt;=$H96,BJ$11&lt;=$I96),1,""))</f>
        <v/>
      </c>
      <c r="BK96" s="448" t="str">
        <f aca="false">IF($G96=0,IF(BK$11=$H96,"◆",""),IF(AND(BK$11&gt;=$H96,BK$11&lt;=$I96),1,""))</f>
        <v/>
      </c>
      <c r="BL96" s="448" t="str">
        <f aca="false">IF($G96=0,IF(BL$11=$H96,"◆",""),IF(AND(BL$11&gt;=$H96,BL$11&lt;=$I96),1,""))</f>
        <v/>
      </c>
      <c r="BM96" s="448" t="str">
        <f aca="false">IF($G96=0,IF(BM$11=$H96,"◆",""),IF(AND(BM$11&gt;=$H96,BM$11&lt;=$I96),1,""))</f>
        <v/>
      </c>
      <c r="BN96" s="448" t="str">
        <f aca="false">IF($G96=0,IF(BN$11=$H96,"◆",""),IF(AND(BN$11&gt;=$H96,BN$11&lt;=$I96),1,""))</f>
        <v/>
      </c>
      <c r="BO96" s="448" t="str">
        <f aca="false">IF($G96=0,IF(BO$11=$H96,"◆",""),IF(AND(BO$11&gt;=$H96,BO$11&lt;=$I96),1,""))</f>
        <v/>
      </c>
      <c r="BP96" s="448" t="str">
        <f aca="false">IF($G96=0,IF(BP$11=$H96,"◆",""),IF(AND(BP$11&gt;=$H96,BP$11&lt;=$I96),1,""))</f>
        <v/>
      </c>
      <c r="BQ96" s="448" t="str">
        <f aca="false">IF($G96=0,IF(BQ$11=$H96,"◆",""),IF(AND(BQ$11&gt;=$H96,BQ$11&lt;=$I96),1,""))</f>
        <v/>
      </c>
      <c r="BR96" s="448" t="str">
        <f aca="false">IF($G96=0,IF(BR$11=$H96,"◆",""),IF(AND(BR$11&gt;=$H96,BR$11&lt;=$I96),1,""))</f>
        <v/>
      </c>
      <c r="BS96" s="448" t="str">
        <f aca="false">IF($G96=0,IF(BS$11=$H96,"◆",""),IF(AND(BS$11&gt;=$H96,BS$11&lt;=$I96),1,""))</f>
        <v/>
      </c>
      <c r="BT96" s="448" t="str">
        <f aca="false">IF($G96=0,IF(BT$11=$H96,"◆",""),IF(AND(BT$11&gt;=$H96,BT$11&lt;=$I96),1,""))</f>
        <v/>
      </c>
      <c r="BU96" s="448" t="str">
        <f aca="false">IF($G96=0,IF(BU$11=$H96,"◆",""),IF(AND(BU$11&gt;=$H96,BU$11&lt;=$I96),1,""))</f>
        <v/>
      </c>
      <c r="BV96" s="448" t="str">
        <f aca="false">IF($G96=0,IF(BV$11=$H96,"◆",""),IF(AND(BV$11&gt;=$H96,BV$11&lt;=$I96),1,""))</f>
        <v/>
      </c>
      <c r="BW96" s="448" t="str">
        <f aca="false">IF($G96=0,IF(BW$11=$H96,"◆",""),IF(AND(BW$11&gt;=$H96,BW$11&lt;=$I96),1,""))</f>
        <v/>
      </c>
      <c r="BX96" s="448" t="str">
        <f aca="false">IF($G96=0,IF(BX$11=$H96,"◆",""),IF(AND(BX$11&gt;=$H96,BX$11&lt;=$I96),1,""))</f>
        <v/>
      </c>
      <c r="BY96" s="448" t="str">
        <f aca="false">IF($G96=0,IF(BY$11=$H96,"◆",""),IF(AND(BY$11&gt;=$H96,BY$11&lt;=$I96),1,""))</f>
        <v/>
      </c>
      <c r="BZ96" s="448" t="str">
        <f aca="false">IF($G96=0,IF(BZ$11=$H96,"◆",""),IF(AND(BZ$11&gt;=$H96,BZ$11&lt;=$I96),1,""))</f>
        <v/>
      </c>
      <c r="CA96" s="448" t="str">
        <f aca="false">IF($G96=0,IF(CA$11=$H96,"◆",""),IF(AND(CA$11&gt;=$H96,CA$11&lt;=$I96),1,""))</f>
        <v/>
      </c>
      <c r="CB96" s="448" t="str">
        <f aca="false">IF($G96=0,IF(CB$11=$H96,"◆",""),IF(AND(CB$11&gt;=$H96,CB$11&lt;=$I96),1,""))</f>
        <v/>
      </c>
      <c r="CC96" s="448" t="str">
        <f aca="false">IF($G96=0,IF(CC$11=$H96,"◆",""),IF(AND(CC$11&gt;=$H96,CC$11&lt;=$I96),1,""))</f>
        <v/>
      </c>
      <c r="CD96" s="448" t="str">
        <f aca="false">IF($G96=0,IF(CD$11=$H96,"◆",""),IF(AND(CD$11&gt;=$H96,CD$11&lt;=$I96),1,""))</f>
        <v/>
      </c>
      <c r="CE96" s="448" t="str">
        <f aca="false">IF($G96=0,IF(CE$11=$H96,"◆",""),IF(AND(CE$11&gt;=$H96,CE$11&lt;=$I96),1,""))</f>
        <v/>
      </c>
      <c r="CF96" s="448" t="str">
        <f aca="false">IF($G96=0,IF(CF$11=$H96,"◆",""),IF(AND(CF$11&gt;=$H96,CF$11&lt;=$I96),1,""))</f>
        <v/>
      </c>
      <c r="CG96" s="448" t="str">
        <f aca="false">IF($G96=0,IF(CG$11=$H96,"◆",""),IF(AND(CG$11&gt;=$H96,CG$11&lt;=$I96),1,""))</f>
        <v/>
      </c>
      <c r="CH96" s="448" t="str">
        <f aca="false">IF($G96=0,IF(CH$11=$H96,"◆",""),IF(AND(CH$11&gt;=$H96,CH$11&lt;=$I96),1,""))</f>
        <v/>
      </c>
      <c r="CI96" s="448" t="str">
        <f aca="false">IF($G96=0,IF(CI$11=$H96,"◆",""),IF(AND(CI$11&gt;=$H96,CI$11&lt;=$I96),1,""))</f>
        <v/>
      </c>
      <c r="CJ96" s="448" t="str">
        <f aca="false">IF($G96=0,IF(CJ$11=$H96,"◆",""),IF(AND(CJ$11&gt;=$H96,CJ$11&lt;=$I96),1,""))</f>
        <v/>
      </c>
      <c r="CK96" s="448" t="str">
        <f aca="false">IF($G96=0,IF(CK$11=$H96,"◆",""),IF(AND(CK$11&gt;=$H96,CK$11&lt;=$I96),1,""))</f>
        <v/>
      </c>
      <c r="CL96" s="448" t="str">
        <f aca="false">IF($G96=0,IF(CL$11=$H96,"◆",""),IF(AND(CL$11&gt;=$H96,CL$11&lt;=$I96),1,""))</f>
        <v/>
      </c>
      <c r="CM96" s="448" t="str">
        <f aca="false">IF($G96=0,IF(CM$11=$H96,"◆",""),IF(AND(CM$11&gt;=$H96,CM$11&lt;=$I96),1,""))</f>
        <v/>
      </c>
      <c r="CN96" s="448" t="str">
        <f aca="false">IF($G96=0,IF(CN$11=$H96,"◆",""),IF(AND(CN$11&gt;=$H96,CN$11&lt;=$I96),1,""))</f>
        <v/>
      </c>
      <c r="CO96" s="448" t="str">
        <f aca="false">IF($G96=0,IF(CO$11=$H96,"◆",""),IF(AND(CO$11&gt;=$H96,CO$11&lt;=$I96),1,""))</f>
        <v/>
      </c>
      <c r="CP96" s="448" t="str">
        <f aca="false">IF($G96=0,IF(CP$11=$H96,"◆",""),IF(AND(CP$11&gt;=$H96,CP$11&lt;=$I96),1,""))</f>
        <v/>
      </c>
      <c r="CQ96" s="448" t="str">
        <f aca="false">IF($G96=0,IF(CQ$11=$H96,"◆",""),IF(AND(CQ$11&gt;=$H96,CQ$11&lt;=$I96),1,""))</f>
        <v/>
      </c>
      <c r="CR96" s="448" t="str">
        <f aca="false">IF($G96=0,IF(CR$11=$H96,"◆",""),IF(AND(CR$11&gt;=$H96,CR$11&lt;=$I96),1,""))</f>
        <v/>
      </c>
      <c r="CS96" s="448" t="str">
        <f aca="false">IF($G96=0,IF(CS$11=$H96,"◆",""),IF(AND(CS$11&gt;=$H96,CS$11&lt;=$I96),1,""))</f>
        <v/>
      </c>
      <c r="CT96" s="448" t="str">
        <f aca="false">IF($G96=0,IF(CT$11=$H96,"◆",""),IF(AND(CT$11&gt;=$H96,CT$11&lt;=$I96),1,""))</f>
        <v/>
      </c>
      <c r="CU96" s="448" t="str">
        <f aca="false">IF($G96=0,IF(CU$11=$H96,"◆",""),IF(AND(CU$11&gt;=$H96,CU$11&lt;=$I96),1,""))</f>
        <v/>
      </c>
      <c r="CV96" s="448" t="str">
        <f aca="false">IF($G96=0,IF(CV$11=$H96,"◆",""),IF(AND(CV$11&gt;=$H96,CV$11&lt;=$I96),1,""))</f>
        <v/>
      </c>
      <c r="CW96" s="448" t="str">
        <f aca="false">IF($G96=0,IF(CW$11=$H96,"◆",""),IF(AND(CW$11&gt;=$H96,CW$11&lt;=$I96),1,""))</f>
        <v/>
      </c>
      <c r="CX96" s="448" t="str">
        <f aca="false">IF($G96=0,IF(CX$11=$H96,"◆",""),IF(AND(CX$11&gt;=$H96,CX$11&lt;=$I96),1,""))</f>
        <v/>
      </c>
      <c r="CY96" s="448" t="str">
        <f aca="false">IF($G96=0,IF(CY$11=$H96,"◆",""),IF(AND(CY$11&gt;=$H96,CY$11&lt;=$I96),1,""))</f>
        <v/>
      </c>
      <c r="CZ96" s="448" t="str">
        <f aca="false">IF($G96=0,IF(CZ$11=$H96,"◆",""),IF(AND(CZ$11&gt;=$H96,CZ$11&lt;=$I96),1,""))</f>
        <v/>
      </c>
      <c r="DA96" s="448" t="str">
        <f aca="false">IF($G96=0,IF(DA$11=$H96,"◆",""),IF(AND(DA$11&gt;=$H96,DA$11&lt;=$I96),1,""))</f>
        <v/>
      </c>
      <c r="DB96" s="448" t="str">
        <f aca="false">IF($G96=0,IF(DB$11=$H96,"◆",""),IF(AND(DB$11&gt;=$H96,DB$11&lt;=$I96),1,""))</f>
        <v/>
      </c>
      <c r="DC96" s="448" t="str">
        <f aca="false">IF($G96=0,IF(DC$11=$H96,"◆",""),IF(AND(DC$11&gt;=$H96,DC$11&lt;=$I96),1,""))</f>
        <v/>
      </c>
      <c r="DD96" s="448" t="str">
        <f aca="false">IF($G96=0,IF(DD$11=$H96,"◆",""),IF(AND(DD$11&gt;=$H96,DD$11&lt;=$I96),1,""))</f>
        <v/>
      </c>
      <c r="DE96" s="448" t="str">
        <f aca="false">IF($G96=0,IF(DE$11=$H96,"◆",""),IF(AND(DE$11&gt;=$H96,DE$11&lt;=$I96),1,""))</f>
        <v/>
      </c>
      <c r="DF96" s="448" t="str">
        <f aca="false">IF($G96=0,IF(DF$11=$H96,"◆",""),IF(AND(DF$11&gt;=$H96,DF$11&lt;=$I96),1,""))</f>
        <v/>
      </c>
      <c r="DG96" s="448" t="str">
        <f aca="false">IF($G96=0,IF(DG$11=$H96,"◆",""),IF(AND(DG$11&gt;=$H96,DG$11&lt;=$I96),1,""))</f>
        <v/>
      </c>
      <c r="DH96" s="448" t="str">
        <f aca="false">IF($G96=0,IF(DH$11=$H96,"◆",""),IF(AND(DH$11&gt;=$H96,DH$11&lt;=$I96),1,""))</f>
        <v/>
      </c>
      <c r="DI96" s="448" t="str">
        <f aca="false">IF($G96=0,IF(DI$11=$H96,"◆",""),IF(AND(DI$11&gt;=$H96,DI$11&lt;=$I96),1,""))</f>
        <v/>
      </c>
      <c r="DJ96" s="448" t="str">
        <f aca="false">IF($G96=0,IF(DJ$11=$H96,"◆",""),IF(AND(DJ$11&gt;=$H96,DJ$11&lt;=$I96),1,""))</f>
        <v/>
      </c>
      <c r="DK96" s="448" t="str">
        <f aca="false">IF($G96=0,IF(DK$11=$H96,"◆",""),IF(AND(DK$11&gt;=$H96,DK$11&lt;=$I96),1,""))</f>
        <v/>
      </c>
      <c r="DL96" s="448" t="str">
        <f aca="false">IF($G96=0,IF(DL$11=$H96,"◆",""),IF(AND(DL$11&gt;=$H96,DL$11&lt;=$I96),1,""))</f>
        <v/>
      </c>
      <c r="DM96" s="448" t="str">
        <f aca="false">IF($G96=0,IF(DM$11=$H96,"◆",""),IF(AND(DM$11&gt;=$H96,DM$11&lt;=$I96),1,""))</f>
        <v/>
      </c>
      <c r="DN96" s="448" t="str">
        <f aca="false">IF($G96=0,IF(DN$11=$H96,"◆",""),IF(AND(DN$11&gt;=$H96,DN$11&lt;=$I96),1,""))</f>
        <v/>
      </c>
      <c r="DO96" s="448" t="str">
        <f aca="false">IF($G96=0,IF(DO$11=$H96,"◆",""),IF(AND(DO$11&gt;=$H96,DO$11&lt;=$I96),1,""))</f>
        <v/>
      </c>
      <c r="DP96" s="448" t="str">
        <f aca="false">IF($G96=0,IF(DP$11=$H96,"◆",""),IF(AND(DP$11&gt;=$H96,DP$11&lt;=$I96),1,""))</f>
        <v/>
      </c>
      <c r="DQ96" s="448" t="str">
        <f aca="false">IF($G96=0,IF(DQ$11=$H96,"◆",""),IF(AND(DQ$11&gt;=$H96,DQ$11&lt;=$I96),1,""))</f>
        <v/>
      </c>
      <c r="DR96" s="448" t="str">
        <f aca="false">IF($G96=0,IF(DR$11=$H96,"◆",""),IF(AND(DR$11&gt;=$H96,DR$11&lt;=$I96),1,""))</f>
        <v/>
      </c>
      <c r="DS96" s="448" t="str">
        <f aca="false">IF($G96=0,IF(DS$11=$H96,"◆",""),IF(AND(DS$11&gt;=$H96,DS$11&lt;=$I96),1,""))</f>
        <v/>
      </c>
      <c r="DT96" s="448" t="str">
        <f aca="false">IF($G96=0,IF(DT$11=$H96,"◆",""),IF(AND(DT$11&gt;=$H96,DT$11&lt;=$I96),1,""))</f>
        <v/>
      </c>
      <c r="DU96" s="448" t="str">
        <f aca="false">IF($G96=0,IF(DU$11=$H96,"◆",""),IF(AND(DU$11&gt;=$H96,DU$11&lt;=$I96),1,""))</f>
        <v/>
      </c>
      <c r="DV96" s="448" t="str">
        <f aca="false">IF($G96=0,IF(DV$11=$H96,"◆",""),IF(AND(DV$11&gt;=$H96,DV$11&lt;=$I96),1,""))</f>
        <v/>
      </c>
      <c r="DW96" s="448" t="str">
        <f aca="false">IF($G96=0,IF(DW$11=$H96,"◆",""),IF(AND(DW$11&gt;=$H96,DW$11&lt;=$I96),1,""))</f>
        <v/>
      </c>
      <c r="DX96" s="448" t="str">
        <f aca="false">IF($G96=0,IF(DX$11=$H96,"◆",""),IF(AND(DX$11&gt;=$H96,DX$11&lt;=$I96),1,""))</f>
        <v/>
      </c>
      <c r="DY96" s="448" t="str">
        <f aca="false">IF($G96=0,IF(DY$11=$H96,"◆",""),IF(AND(DY$11&gt;=$H96,DY$11&lt;=$I96),1,""))</f>
        <v/>
      </c>
      <c r="DZ96" s="448" t="str">
        <f aca="false">IF($G96=0,IF(DZ$11=$H96,"◆",""),IF(AND(DZ$11&gt;=$H96,DZ$11&lt;=$I96),1,""))</f>
        <v/>
      </c>
      <c r="EA96" s="448" t="str">
        <f aca="false">IF($G96=0,IF(EA$11=$H96,"◆",""),IF(AND(EA$11&gt;=$H96,EA$11&lt;=$I96),1,""))</f>
        <v/>
      </c>
      <c r="EB96" s="448" t="str">
        <f aca="false">IF($G96=0,IF(EB$11=$H96,"◆",""),IF(AND(EB$11&gt;=$H96,EB$11&lt;=$I96),1,""))</f>
        <v/>
      </c>
      <c r="EC96" s="448" t="str">
        <f aca="false">IF($G96=0,IF(EC$11=$H96,"◆",""),IF(AND(EC$11&gt;=$H96,EC$11&lt;=$I96),1,""))</f>
        <v/>
      </c>
      <c r="ED96" s="448" t="str">
        <f aca="false">IF($G96=0,IF(ED$11=$H96,"◆",""),IF(AND(ED$11&gt;=$H96,ED$11&lt;=$I96),1,""))</f>
        <v/>
      </c>
    </row>
    <row r="97" customFormat="false" ht="15" hidden="false" customHeight="true" outlineLevel="0" collapsed="false">
      <c r="A97" s="469"/>
      <c r="B97" s="470" t="s">
        <v>2635</v>
      </c>
      <c r="C97" s="471"/>
      <c r="D97" s="471"/>
      <c r="E97" s="471"/>
      <c r="F97" s="471"/>
      <c r="G97" s="471"/>
      <c r="H97" s="471"/>
      <c r="I97" s="471"/>
      <c r="J97" s="471"/>
      <c r="K97" s="471"/>
      <c r="L97" s="471"/>
      <c r="M97" s="471"/>
      <c r="N97" s="471"/>
      <c r="O97" s="471"/>
      <c r="P97" s="471"/>
      <c r="Q97" s="471"/>
      <c r="R97" s="471"/>
      <c r="S97" s="471"/>
      <c r="T97" s="471"/>
      <c r="U97" s="471"/>
      <c r="V97" s="471"/>
      <c r="W97" s="471"/>
      <c r="X97" s="471"/>
      <c r="Y97" s="471"/>
      <c r="Z97" s="471"/>
      <c r="AA97" s="471"/>
      <c r="AB97" s="471"/>
      <c r="AC97" s="471"/>
      <c r="AD97" s="471"/>
      <c r="AE97" s="471"/>
      <c r="AF97" s="471"/>
      <c r="AG97" s="471"/>
      <c r="AH97" s="471"/>
      <c r="AI97" s="471"/>
      <c r="AJ97" s="471"/>
      <c r="AK97" s="471"/>
      <c r="AL97" s="471"/>
      <c r="AM97" s="471"/>
      <c r="AN97" s="471"/>
      <c r="AO97" s="471"/>
      <c r="AP97" s="471"/>
      <c r="AQ97" s="471"/>
      <c r="AR97" s="471"/>
      <c r="AS97" s="471"/>
      <c r="AT97" s="471"/>
      <c r="AU97" s="471"/>
      <c r="AV97" s="471"/>
      <c r="AW97" s="471"/>
      <c r="AX97" s="471"/>
      <c r="AY97" s="471"/>
      <c r="AZ97" s="471"/>
      <c r="BA97" s="471"/>
      <c r="BB97" s="471"/>
      <c r="BC97" s="471"/>
      <c r="BD97" s="471"/>
      <c r="BE97" s="471"/>
      <c r="BF97" s="471"/>
      <c r="BG97" s="471"/>
      <c r="BH97" s="471"/>
      <c r="BI97" s="471"/>
      <c r="BJ97" s="471"/>
      <c r="BK97" s="471"/>
      <c r="BL97" s="471"/>
      <c r="BM97" s="471"/>
      <c r="BN97" s="471"/>
      <c r="BO97" s="471"/>
      <c r="BP97" s="471"/>
      <c r="BQ97" s="471"/>
      <c r="BR97" s="471"/>
      <c r="BS97" s="471"/>
      <c r="BT97" s="471"/>
      <c r="BU97" s="471"/>
      <c r="BV97" s="471"/>
      <c r="BW97" s="471"/>
      <c r="BX97" s="471"/>
      <c r="BY97" s="471"/>
      <c r="BZ97" s="471"/>
      <c r="CA97" s="471"/>
      <c r="CB97" s="471"/>
      <c r="CC97" s="471"/>
      <c r="CD97" s="471"/>
      <c r="CE97" s="471"/>
      <c r="CF97" s="471"/>
      <c r="CG97" s="471"/>
      <c r="CH97" s="471"/>
      <c r="CI97" s="471"/>
      <c r="CJ97" s="471"/>
      <c r="CK97" s="471"/>
      <c r="CL97" s="471"/>
      <c r="CM97" s="471"/>
      <c r="CN97" s="471"/>
      <c r="CO97" s="471"/>
      <c r="CP97" s="471"/>
      <c r="CQ97" s="471"/>
      <c r="CR97" s="471"/>
      <c r="CS97" s="471"/>
      <c r="CT97" s="471"/>
      <c r="CU97" s="471"/>
      <c r="CV97" s="471"/>
      <c r="CW97" s="471"/>
      <c r="CX97" s="471"/>
      <c r="CY97" s="471"/>
      <c r="CZ97" s="471"/>
      <c r="DA97" s="471"/>
      <c r="DB97" s="471"/>
      <c r="DC97" s="471"/>
      <c r="DD97" s="471"/>
      <c r="DE97" s="471"/>
      <c r="DF97" s="471"/>
      <c r="DG97" s="471"/>
      <c r="DH97" s="471"/>
      <c r="DI97" s="471"/>
      <c r="DJ97" s="471"/>
      <c r="DK97" s="471"/>
      <c r="DL97" s="471"/>
      <c r="DM97" s="471"/>
      <c r="DN97" s="471"/>
      <c r="DO97" s="471"/>
      <c r="DP97" s="471"/>
      <c r="DQ97" s="471"/>
      <c r="DR97" s="471"/>
      <c r="DS97" s="471"/>
      <c r="DT97" s="471"/>
      <c r="DU97" s="471"/>
      <c r="DV97" s="471"/>
      <c r="DW97" s="471"/>
      <c r="DX97" s="471"/>
      <c r="DY97" s="471"/>
      <c r="DZ97" s="471"/>
      <c r="EA97" s="471"/>
      <c r="EB97" s="471"/>
      <c r="EC97" s="471"/>
      <c r="ED97" s="471"/>
    </row>
    <row r="98" customFormat="false" ht="15" hidden="false" customHeight="true" outlineLevel="0" collapsed="false">
      <c r="A98" s="441" t="s">
        <v>2636</v>
      </c>
      <c r="B98" s="297" t="s">
        <v>2637</v>
      </c>
      <c r="C98" s="442" t="s">
        <v>2120</v>
      </c>
      <c r="D98" s="443" t="s">
        <v>2436</v>
      </c>
      <c r="E98" s="354" t="n">
        <f aca="false">1</f>
        <v>1</v>
      </c>
      <c r="F98" s="352" t="n">
        <v>0</v>
      </c>
      <c r="G98" s="352" t="n">
        <v>10</v>
      </c>
      <c r="H98" s="367" t="n">
        <f aca="false">MAX(1,ROUND(($E98-1)*$D$5,0)+1+$F98)</f>
        <v>1</v>
      </c>
      <c r="I98" s="367" t="n">
        <f aca="false">MAX($H98,$H98+$G98-1)</f>
        <v>10</v>
      </c>
      <c r="J98" s="444" t="n">
        <f aca="false">$D$4+($H98-1)*7</f>
        <v>46300</v>
      </c>
      <c r="K98" s="444" t="n">
        <f aca="false">$D$4+$I98*7-1</f>
        <v>46369</v>
      </c>
      <c r="L98" s="445" t="n">
        <f aca="false">ROUNDUP($H98/$D$5,0)</f>
        <v>1</v>
      </c>
      <c r="M98" s="446"/>
      <c r="N98" s="447" t="n">
        <v>0</v>
      </c>
      <c r="O98" s="448" t="n">
        <f aca="false">IF($G98=0,IF(O$11=$H98,"◆",""),IF(AND(O$11&gt;=$H98,O$11&lt;=$I98),1,""))</f>
        <v>1</v>
      </c>
      <c r="P98" s="448" t="n">
        <f aca="false">IF($G98=0,IF(P$11=$H98,"◆",""),IF(AND(P$11&gt;=$H98,P$11&lt;=$I98),1,""))</f>
        <v>1</v>
      </c>
      <c r="Q98" s="448" t="n">
        <f aca="false">IF($G98=0,IF(Q$11=$H98,"◆",""),IF(AND(Q$11&gt;=$H98,Q$11&lt;=$I98),1,""))</f>
        <v>1</v>
      </c>
      <c r="R98" s="448" t="n">
        <f aca="false">IF($G98=0,IF(R$11=$H98,"◆",""),IF(AND(R$11&gt;=$H98,R$11&lt;=$I98),1,""))</f>
        <v>1</v>
      </c>
      <c r="S98" s="448" t="n">
        <f aca="false">IF($G98=0,IF(S$11=$H98,"◆",""),IF(AND(S$11&gt;=$H98,S$11&lt;=$I98),1,""))</f>
        <v>1</v>
      </c>
      <c r="T98" s="448" t="n">
        <f aca="false">IF($G98=0,IF(T$11=$H98,"◆",""),IF(AND(T$11&gt;=$H98,T$11&lt;=$I98),1,""))</f>
        <v>1</v>
      </c>
      <c r="U98" s="448" t="n">
        <f aca="false">IF($G98=0,IF(U$11=$H98,"◆",""),IF(AND(U$11&gt;=$H98,U$11&lt;=$I98),1,""))</f>
        <v>1</v>
      </c>
      <c r="V98" s="448" t="n">
        <f aca="false">IF($G98=0,IF(V$11=$H98,"◆",""),IF(AND(V$11&gt;=$H98,V$11&lt;=$I98),1,""))</f>
        <v>1</v>
      </c>
      <c r="W98" s="448" t="n">
        <f aca="false">IF($G98=0,IF(W$11=$H98,"◆",""),IF(AND(W$11&gt;=$H98,W$11&lt;=$I98),1,""))</f>
        <v>1</v>
      </c>
      <c r="X98" s="448" t="n">
        <f aca="false">IF($G98=0,IF(X$11=$H98,"◆",""),IF(AND(X$11&gt;=$H98,X$11&lt;=$I98),1,""))</f>
        <v>1</v>
      </c>
      <c r="Y98" s="448" t="str">
        <f aca="false">IF($G98=0,IF(Y$11=$H98,"◆",""),IF(AND(Y$11&gt;=$H98,Y$11&lt;=$I98),1,""))</f>
        <v/>
      </c>
      <c r="Z98" s="448" t="str">
        <f aca="false">IF($G98=0,IF(Z$11=$H98,"◆",""),IF(AND(Z$11&gt;=$H98,Z$11&lt;=$I98),1,""))</f>
        <v/>
      </c>
      <c r="AA98" s="448" t="str">
        <f aca="false">IF($G98=0,IF(AA$11=$H98,"◆",""),IF(AND(AA$11&gt;=$H98,AA$11&lt;=$I98),1,""))</f>
        <v/>
      </c>
      <c r="AB98" s="448" t="str">
        <f aca="false">IF($G98=0,IF(AB$11=$H98,"◆",""),IF(AND(AB$11&gt;=$H98,AB$11&lt;=$I98),1,""))</f>
        <v/>
      </c>
      <c r="AC98" s="448" t="str">
        <f aca="false">IF($G98=0,IF(AC$11=$H98,"◆",""),IF(AND(AC$11&gt;=$H98,AC$11&lt;=$I98),1,""))</f>
        <v/>
      </c>
      <c r="AD98" s="448" t="str">
        <f aca="false">IF($G98=0,IF(AD$11=$H98,"◆",""),IF(AND(AD$11&gt;=$H98,AD$11&lt;=$I98),1,""))</f>
        <v/>
      </c>
      <c r="AE98" s="448" t="str">
        <f aca="false">IF($G98=0,IF(AE$11=$H98,"◆",""),IF(AND(AE$11&gt;=$H98,AE$11&lt;=$I98),1,""))</f>
        <v/>
      </c>
      <c r="AF98" s="448" t="str">
        <f aca="false">IF($G98=0,IF(AF$11=$H98,"◆",""),IF(AND(AF$11&gt;=$H98,AF$11&lt;=$I98),1,""))</f>
        <v/>
      </c>
      <c r="AG98" s="448" t="str">
        <f aca="false">IF($G98=0,IF(AG$11=$H98,"◆",""),IF(AND(AG$11&gt;=$H98,AG$11&lt;=$I98),1,""))</f>
        <v/>
      </c>
      <c r="AH98" s="448" t="str">
        <f aca="false">IF($G98=0,IF(AH$11=$H98,"◆",""),IF(AND(AH$11&gt;=$H98,AH$11&lt;=$I98),1,""))</f>
        <v/>
      </c>
      <c r="AI98" s="448" t="str">
        <f aca="false">IF($G98=0,IF(AI$11=$H98,"◆",""),IF(AND(AI$11&gt;=$H98,AI$11&lt;=$I98),1,""))</f>
        <v/>
      </c>
      <c r="AJ98" s="448" t="str">
        <f aca="false">IF($G98=0,IF(AJ$11=$H98,"◆",""),IF(AND(AJ$11&gt;=$H98,AJ$11&lt;=$I98),1,""))</f>
        <v/>
      </c>
      <c r="AK98" s="448" t="str">
        <f aca="false">IF($G98=0,IF(AK$11=$H98,"◆",""),IF(AND(AK$11&gt;=$H98,AK$11&lt;=$I98),1,""))</f>
        <v/>
      </c>
      <c r="AL98" s="448" t="str">
        <f aca="false">IF($G98=0,IF(AL$11=$H98,"◆",""),IF(AND(AL$11&gt;=$H98,AL$11&lt;=$I98),1,""))</f>
        <v/>
      </c>
      <c r="AM98" s="448" t="str">
        <f aca="false">IF($G98=0,IF(AM$11=$H98,"◆",""),IF(AND(AM$11&gt;=$H98,AM$11&lt;=$I98),1,""))</f>
        <v/>
      </c>
      <c r="AN98" s="448" t="str">
        <f aca="false">IF($G98=0,IF(AN$11=$H98,"◆",""),IF(AND(AN$11&gt;=$H98,AN$11&lt;=$I98),1,""))</f>
        <v/>
      </c>
      <c r="AO98" s="448" t="str">
        <f aca="false">IF($G98=0,IF(AO$11=$H98,"◆",""),IF(AND(AO$11&gt;=$H98,AO$11&lt;=$I98),1,""))</f>
        <v/>
      </c>
      <c r="AP98" s="448" t="str">
        <f aca="false">IF($G98=0,IF(AP$11=$H98,"◆",""),IF(AND(AP$11&gt;=$H98,AP$11&lt;=$I98),1,""))</f>
        <v/>
      </c>
      <c r="AQ98" s="448" t="str">
        <f aca="false">IF($G98=0,IF(AQ$11=$H98,"◆",""),IF(AND(AQ$11&gt;=$H98,AQ$11&lt;=$I98),1,""))</f>
        <v/>
      </c>
      <c r="AR98" s="448" t="str">
        <f aca="false">IF($G98=0,IF(AR$11=$H98,"◆",""),IF(AND(AR$11&gt;=$H98,AR$11&lt;=$I98),1,""))</f>
        <v/>
      </c>
      <c r="AS98" s="448" t="str">
        <f aca="false">IF($G98=0,IF(AS$11=$H98,"◆",""),IF(AND(AS$11&gt;=$H98,AS$11&lt;=$I98),1,""))</f>
        <v/>
      </c>
      <c r="AT98" s="448" t="str">
        <f aca="false">IF($G98=0,IF(AT$11=$H98,"◆",""),IF(AND(AT$11&gt;=$H98,AT$11&lt;=$I98),1,""))</f>
        <v/>
      </c>
      <c r="AU98" s="448" t="str">
        <f aca="false">IF($G98=0,IF(AU$11=$H98,"◆",""),IF(AND(AU$11&gt;=$H98,AU$11&lt;=$I98),1,""))</f>
        <v/>
      </c>
      <c r="AV98" s="448" t="str">
        <f aca="false">IF($G98=0,IF(AV$11=$H98,"◆",""),IF(AND(AV$11&gt;=$H98,AV$11&lt;=$I98),1,""))</f>
        <v/>
      </c>
      <c r="AW98" s="448" t="str">
        <f aca="false">IF($G98=0,IF(AW$11=$H98,"◆",""),IF(AND(AW$11&gt;=$H98,AW$11&lt;=$I98),1,""))</f>
        <v/>
      </c>
      <c r="AX98" s="448" t="str">
        <f aca="false">IF($G98=0,IF(AX$11=$H98,"◆",""),IF(AND(AX$11&gt;=$H98,AX$11&lt;=$I98),1,""))</f>
        <v/>
      </c>
      <c r="AY98" s="448" t="str">
        <f aca="false">IF($G98=0,IF(AY$11=$H98,"◆",""),IF(AND(AY$11&gt;=$H98,AY$11&lt;=$I98),1,""))</f>
        <v/>
      </c>
      <c r="AZ98" s="448" t="str">
        <f aca="false">IF($G98=0,IF(AZ$11=$H98,"◆",""),IF(AND(AZ$11&gt;=$H98,AZ$11&lt;=$I98),1,""))</f>
        <v/>
      </c>
      <c r="BA98" s="448" t="str">
        <f aca="false">IF($G98=0,IF(BA$11=$H98,"◆",""),IF(AND(BA$11&gt;=$H98,BA$11&lt;=$I98),1,""))</f>
        <v/>
      </c>
      <c r="BB98" s="448" t="str">
        <f aca="false">IF($G98=0,IF(BB$11=$H98,"◆",""),IF(AND(BB$11&gt;=$H98,BB$11&lt;=$I98),1,""))</f>
        <v/>
      </c>
      <c r="BC98" s="448" t="str">
        <f aca="false">IF($G98=0,IF(BC$11=$H98,"◆",""),IF(AND(BC$11&gt;=$H98,BC$11&lt;=$I98),1,""))</f>
        <v/>
      </c>
      <c r="BD98" s="448" t="str">
        <f aca="false">IF($G98=0,IF(BD$11=$H98,"◆",""),IF(AND(BD$11&gt;=$H98,BD$11&lt;=$I98),1,""))</f>
        <v/>
      </c>
      <c r="BE98" s="448" t="str">
        <f aca="false">IF($G98=0,IF(BE$11=$H98,"◆",""),IF(AND(BE$11&gt;=$H98,BE$11&lt;=$I98),1,""))</f>
        <v/>
      </c>
      <c r="BF98" s="448" t="str">
        <f aca="false">IF($G98=0,IF(BF$11=$H98,"◆",""),IF(AND(BF$11&gt;=$H98,BF$11&lt;=$I98),1,""))</f>
        <v/>
      </c>
      <c r="BG98" s="448" t="str">
        <f aca="false">IF($G98=0,IF(BG$11=$H98,"◆",""),IF(AND(BG$11&gt;=$H98,BG$11&lt;=$I98),1,""))</f>
        <v/>
      </c>
      <c r="BH98" s="448" t="str">
        <f aca="false">IF($G98=0,IF(BH$11=$H98,"◆",""),IF(AND(BH$11&gt;=$H98,BH$11&lt;=$I98),1,""))</f>
        <v/>
      </c>
      <c r="BI98" s="448" t="str">
        <f aca="false">IF($G98=0,IF(BI$11=$H98,"◆",""),IF(AND(BI$11&gt;=$H98,BI$11&lt;=$I98),1,""))</f>
        <v/>
      </c>
      <c r="BJ98" s="448" t="str">
        <f aca="false">IF($G98=0,IF(BJ$11=$H98,"◆",""),IF(AND(BJ$11&gt;=$H98,BJ$11&lt;=$I98),1,""))</f>
        <v/>
      </c>
      <c r="BK98" s="448" t="str">
        <f aca="false">IF($G98=0,IF(BK$11=$H98,"◆",""),IF(AND(BK$11&gt;=$H98,BK$11&lt;=$I98),1,""))</f>
        <v/>
      </c>
      <c r="BL98" s="448" t="str">
        <f aca="false">IF($G98=0,IF(BL$11=$H98,"◆",""),IF(AND(BL$11&gt;=$H98,BL$11&lt;=$I98),1,""))</f>
        <v/>
      </c>
      <c r="BM98" s="448" t="str">
        <f aca="false">IF($G98=0,IF(BM$11=$H98,"◆",""),IF(AND(BM$11&gt;=$H98,BM$11&lt;=$I98),1,""))</f>
        <v/>
      </c>
      <c r="BN98" s="448" t="str">
        <f aca="false">IF($G98=0,IF(BN$11=$H98,"◆",""),IF(AND(BN$11&gt;=$H98,BN$11&lt;=$I98),1,""))</f>
        <v/>
      </c>
      <c r="BO98" s="448" t="str">
        <f aca="false">IF($G98=0,IF(BO$11=$H98,"◆",""),IF(AND(BO$11&gt;=$H98,BO$11&lt;=$I98),1,""))</f>
        <v/>
      </c>
      <c r="BP98" s="448" t="str">
        <f aca="false">IF($G98=0,IF(BP$11=$H98,"◆",""),IF(AND(BP$11&gt;=$H98,BP$11&lt;=$I98),1,""))</f>
        <v/>
      </c>
      <c r="BQ98" s="448" t="str">
        <f aca="false">IF($G98=0,IF(BQ$11=$H98,"◆",""),IF(AND(BQ$11&gt;=$H98,BQ$11&lt;=$I98),1,""))</f>
        <v/>
      </c>
      <c r="BR98" s="448" t="str">
        <f aca="false">IF($G98=0,IF(BR$11=$H98,"◆",""),IF(AND(BR$11&gt;=$H98,BR$11&lt;=$I98),1,""))</f>
        <v/>
      </c>
      <c r="BS98" s="448" t="str">
        <f aca="false">IF($G98=0,IF(BS$11=$H98,"◆",""),IF(AND(BS$11&gt;=$H98,BS$11&lt;=$I98),1,""))</f>
        <v/>
      </c>
      <c r="BT98" s="448" t="str">
        <f aca="false">IF($G98=0,IF(BT$11=$H98,"◆",""),IF(AND(BT$11&gt;=$H98,BT$11&lt;=$I98),1,""))</f>
        <v/>
      </c>
      <c r="BU98" s="448" t="str">
        <f aca="false">IF($G98=0,IF(BU$11=$H98,"◆",""),IF(AND(BU$11&gt;=$H98,BU$11&lt;=$I98),1,""))</f>
        <v/>
      </c>
      <c r="BV98" s="448" t="str">
        <f aca="false">IF($G98=0,IF(BV$11=$H98,"◆",""),IF(AND(BV$11&gt;=$H98,BV$11&lt;=$I98),1,""))</f>
        <v/>
      </c>
      <c r="BW98" s="448" t="str">
        <f aca="false">IF($G98=0,IF(BW$11=$H98,"◆",""),IF(AND(BW$11&gt;=$H98,BW$11&lt;=$I98),1,""))</f>
        <v/>
      </c>
      <c r="BX98" s="448" t="str">
        <f aca="false">IF($G98=0,IF(BX$11=$H98,"◆",""),IF(AND(BX$11&gt;=$H98,BX$11&lt;=$I98),1,""))</f>
        <v/>
      </c>
      <c r="BY98" s="448" t="str">
        <f aca="false">IF($G98=0,IF(BY$11=$H98,"◆",""),IF(AND(BY$11&gt;=$H98,BY$11&lt;=$I98),1,""))</f>
        <v/>
      </c>
      <c r="BZ98" s="448" t="str">
        <f aca="false">IF($G98=0,IF(BZ$11=$H98,"◆",""),IF(AND(BZ$11&gt;=$H98,BZ$11&lt;=$I98),1,""))</f>
        <v/>
      </c>
      <c r="CA98" s="448" t="str">
        <f aca="false">IF($G98=0,IF(CA$11=$H98,"◆",""),IF(AND(CA$11&gt;=$H98,CA$11&lt;=$I98),1,""))</f>
        <v/>
      </c>
      <c r="CB98" s="448" t="str">
        <f aca="false">IF($G98=0,IF(CB$11=$H98,"◆",""),IF(AND(CB$11&gt;=$H98,CB$11&lt;=$I98),1,""))</f>
        <v/>
      </c>
      <c r="CC98" s="448" t="str">
        <f aca="false">IF($G98=0,IF(CC$11=$H98,"◆",""),IF(AND(CC$11&gt;=$H98,CC$11&lt;=$I98),1,""))</f>
        <v/>
      </c>
      <c r="CD98" s="448" t="str">
        <f aca="false">IF($G98=0,IF(CD$11=$H98,"◆",""),IF(AND(CD$11&gt;=$H98,CD$11&lt;=$I98),1,""))</f>
        <v/>
      </c>
      <c r="CE98" s="448" t="str">
        <f aca="false">IF($G98=0,IF(CE$11=$H98,"◆",""),IF(AND(CE$11&gt;=$H98,CE$11&lt;=$I98),1,""))</f>
        <v/>
      </c>
      <c r="CF98" s="448" t="str">
        <f aca="false">IF($G98=0,IF(CF$11=$H98,"◆",""),IF(AND(CF$11&gt;=$H98,CF$11&lt;=$I98),1,""))</f>
        <v/>
      </c>
      <c r="CG98" s="448" t="str">
        <f aca="false">IF($G98=0,IF(CG$11=$H98,"◆",""),IF(AND(CG$11&gt;=$H98,CG$11&lt;=$I98),1,""))</f>
        <v/>
      </c>
      <c r="CH98" s="448" t="str">
        <f aca="false">IF($G98=0,IF(CH$11=$H98,"◆",""),IF(AND(CH$11&gt;=$H98,CH$11&lt;=$I98),1,""))</f>
        <v/>
      </c>
      <c r="CI98" s="448" t="str">
        <f aca="false">IF($G98=0,IF(CI$11=$H98,"◆",""),IF(AND(CI$11&gt;=$H98,CI$11&lt;=$I98),1,""))</f>
        <v/>
      </c>
      <c r="CJ98" s="448" t="str">
        <f aca="false">IF($G98=0,IF(CJ$11=$H98,"◆",""),IF(AND(CJ$11&gt;=$H98,CJ$11&lt;=$I98),1,""))</f>
        <v/>
      </c>
      <c r="CK98" s="448" t="str">
        <f aca="false">IF($G98=0,IF(CK$11=$H98,"◆",""),IF(AND(CK$11&gt;=$H98,CK$11&lt;=$I98),1,""))</f>
        <v/>
      </c>
      <c r="CL98" s="448" t="str">
        <f aca="false">IF($G98=0,IF(CL$11=$H98,"◆",""),IF(AND(CL$11&gt;=$H98,CL$11&lt;=$I98),1,""))</f>
        <v/>
      </c>
      <c r="CM98" s="448" t="str">
        <f aca="false">IF($G98=0,IF(CM$11=$H98,"◆",""),IF(AND(CM$11&gt;=$H98,CM$11&lt;=$I98),1,""))</f>
        <v/>
      </c>
      <c r="CN98" s="448" t="str">
        <f aca="false">IF($G98=0,IF(CN$11=$H98,"◆",""),IF(AND(CN$11&gt;=$H98,CN$11&lt;=$I98),1,""))</f>
        <v/>
      </c>
      <c r="CO98" s="448" t="str">
        <f aca="false">IF($G98=0,IF(CO$11=$H98,"◆",""),IF(AND(CO$11&gt;=$H98,CO$11&lt;=$I98),1,""))</f>
        <v/>
      </c>
      <c r="CP98" s="448" t="str">
        <f aca="false">IF($G98=0,IF(CP$11=$H98,"◆",""),IF(AND(CP$11&gt;=$H98,CP$11&lt;=$I98),1,""))</f>
        <v/>
      </c>
      <c r="CQ98" s="448" t="str">
        <f aca="false">IF($G98=0,IF(CQ$11=$H98,"◆",""),IF(AND(CQ$11&gt;=$H98,CQ$11&lt;=$I98),1,""))</f>
        <v/>
      </c>
      <c r="CR98" s="448" t="str">
        <f aca="false">IF($G98=0,IF(CR$11=$H98,"◆",""),IF(AND(CR$11&gt;=$H98,CR$11&lt;=$I98),1,""))</f>
        <v/>
      </c>
      <c r="CS98" s="448" t="str">
        <f aca="false">IF($G98=0,IF(CS$11=$H98,"◆",""),IF(AND(CS$11&gt;=$H98,CS$11&lt;=$I98),1,""))</f>
        <v/>
      </c>
      <c r="CT98" s="448" t="str">
        <f aca="false">IF($G98=0,IF(CT$11=$H98,"◆",""),IF(AND(CT$11&gt;=$H98,CT$11&lt;=$I98),1,""))</f>
        <v/>
      </c>
      <c r="CU98" s="448" t="str">
        <f aca="false">IF($G98=0,IF(CU$11=$H98,"◆",""),IF(AND(CU$11&gt;=$H98,CU$11&lt;=$I98),1,""))</f>
        <v/>
      </c>
      <c r="CV98" s="448" t="str">
        <f aca="false">IF($G98=0,IF(CV$11=$H98,"◆",""),IF(AND(CV$11&gt;=$H98,CV$11&lt;=$I98),1,""))</f>
        <v/>
      </c>
      <c r="CW98" s="448" t="str">
        <f aca="false">IF($G98=0,IF(CW$11=$H98,"◆",""),IF(AND(CW$11&gt;=$H98,CW$11&lt;=$I98),1,""))</f>
        <v/>
      </c>
      <c r="CX98" s="448" t="str">
        <f aca="false">IF($G98=0,IF(CX$11=$H98,"◆",""),IF(AND(CX$11&gt;=$H98,CX$11&lt;=$I98),1,""))</f>
        <v/>
      </c>
      <c r="CY98" s="448" t="str">
        <f aca="false">IF($G98=0,IF(CY$11=$H98,"◆",""),IF(AND(CY$11&gt;=$H98,CY$11&lt;=$I98),1,""))</f>
        <v/>
      </c>
      <c r="CZ98" s="448" t="str">
        <f aca="false">IF($G98=0,IF(CZ$11=$H98,"◆",""),IF(AND(CZ$11&gt;=$H98,CZ$11&lt;=$I98),1,""))</f>
        <v/>
      </c>
      <c r="DA98" s="448" t="str">
        <f aca="false">IF($G98=0,IF(DA$11=$H98,"◆",""),IF(AND(DA$11&gt;=$H98,DA$11&lt;=$I98),1,""))</f>
        <v/>
      </c>
      <c r="DB98" s="448" t="str">
        <f aca="false">IF($G98=0,IF(DB$11=$H98,"◆",""),IF(AND(DB$11&gt;=$H98,DB$11&lt;=$I98),1,""))</f>
        <v/>
      </c>
      <c r="DC98" s="448" t="str">
        <f aca="false">IF($G98=0,IF(DC$11=$H98,"◆",""),IF(AND(DC$11&gt;=$H98,DC$11&lt;=$I98),1,""))</f>
        <v/>
      </c>
      <c r="DD98" s="448" t="str">
        <f aca="false">IF($G98=0,IF(DD$11=$H98,"◆",""),IF(AND(DD$11&gt;=$H98,DD$11&lt;=$I98),1,""))</f>
        <v/>
      </c>
      <c r="DE98" s="448" t="str">
        <f aca="false">IF($G98=0,IF(DE$11=$H98,"◆",""),IF(AND(DE$11&gt;=$H98,DE$11&lt;=$I98),1,""))</f>
        <v/>
      </c>
      <c r="DF98" s="448" t="str">
        <f aca="false">IF($G98=0,IF(DF$11=$H98,"◆",""),IF(AND(DF$11&gt;=$H98,DF$11&lt;=$I98),1,""))</f>
        <v/>
      </c>
      <c r="DG98" s="448" t="str">
        <f aca="false">IF($G98=0,IF(DG$11=$H98,"◆",""),IF(AND(DG$11&gt;=$H98,DG$11&lt;=$I98),1,""))</f>
        <v/>
      </c>
      <c r="DH98" s="448" t="str">
        <f aca="false">IF($G98=0,IF(DH$11=$H98,"◆",""),IF(AND(DH$11&gt;=$H98,DH$11&lt;=$I98),1,""))</f>
        <v/>
      </c>
      <c r="DI98" s="448" t="str">
        <f aca="false">IF($G98=0,IF(DI$11=$H98,"◆",""),IF(AND(DI$11&gt;=$H98,DI$11&lt;=$I98),1,""))</f>
        <v/>
      </c>
      <c r="DJ98" s="448" t="str">
        <f aca="false">IF($G98=0,IF(DJ$11=$H98,"◆",""),IF(AND(DJ$11&gt;=$H98,DJ$11&lt;=$I98),1,""))</f>
        <v/>
      </c>
      <c r="DK98" s="448" t="str">
        <f aca="false">IF($G98=0,IF(DK$11=$H98,"◆",""),IF(AND(DK$11&gt;=$H98,DK$11&lt;=$I98),1,""))</f>
        <v/>
      </c>
      <c r="DL98" s="448" t="str">
        <f aca="false">IF($G98=0,IF(DL$11=$H98,"◆",""),IF(AND(DL$11&gt;=$H98,DL$11&lt;=$I98),1,""))</f>
        <v/>
      </c>
      <c r="DM98" s="448" t="str">
        <f aca="false">IF($G98=0,IF(DM$11=$H98,"◆",""),IF(AND(DM$11&gt;=$H98,DM$11&lt;=$I98),1,""))</f>
        <v/>
      </c>
      <c r="DN98" s="448" t="str">
        <f aca="false">IF($G98=0,IF(DN$11=$H98,"◆",""),IF(AND(DN$11&gt;=$H98,DN$11&lt;=$I98),1,""))</f>
        <v/>
      </c>
      <c r="DO98" s="448" t="str">
        <f aca="false">IF($G98=0,IF(DO$11=$H98,"◆",""),IF(AND(DO$11&gt;=$H98,DO$11&lt;=$I98),1,""))</f>
        <v/>
      </c>
      <c r="DP98" s="448" t="str">
        <f aca="false">IF($G98=0,IF(DP$11=$H98,"◆",""),IF(AND(DP$11&gt;=$H98,DP$11&lt;=$I98),1,""))</f>
        <v/>
      </c>
      <c r="DQ98" s="448" t="str">
        <f aca="false">IF($G98=0,IF(DQ$11=$H98,"◆",""),IF(AND(DQ$11&gt;=$H98,DQ$11&lt;=$I98),1,""))</f>
        <v/>
      </c>
      <c r="DR98" s="448" t="str">
        <f aca="false">IF($G98=0,IF(DR$11=$H98,"◆",""),IF(AND(DR$11&gt;=$H98,DR$11&lt;=$I98),1,""))</f>
        <v/>
      </c>
      <c r="DS98" s="448" t="str">
        <f aca="false">IF($G98=0,IF(DS$11=$H98,"◆",""),IF(AND(DS$11&gt;=$H98,DS$11&lt;=$I98),1,""))</f>
        <v/>
      </c>
      <c r="DT98" s="448" t="str">
        <f aca="false">IF($G98=0,IF(DT$11=$H98,"◆",""),IF(AND(DT$11&gt;=$H98,DT$11&lt;=$I98),1,""))</f>
        <v/>
      </c>
      <c r="DU98" s="448" t="str">
        <f aca="false">IF($G98=0,IF(DU$11=$H98,"◆",""),IF(AND(DU$11&gt;=$H98,DU$11&lt;=$I98),1,""))</f>
        <v/>
      </c>
      <c r="DV98" s="448" t="str">
        <f aca="false">IF($G98=0,IF(DV$11=$H98,"◆",""),IF(AND(DV$11&gt;=$H98,DV$11&lt;=$I98),1,""))</f>
        <v/>
      </c>
      <c r="DW98" s="448" t="str">
        <f aca="false">IF($G98=0,IF(DW$11=$H98,"◆",""),IF(AND(DW$11&gt;=$H98,DW$11&lt;=$I98),1,""))</f>
        <v/>
      </c>
      <c r="DX98" s="448" t="str">
        <f aca="false">IF($G98=0,IF(DX$11=$H98,"◆",""),IF(AND(DX$11&gt;=$H98,DX$11&lt;=$I98),1,""))</f>
        <v/>
      </c>
      <c r="DY98" s="448" t="str">
        <f aca="false">IF($G98=0,IF(DY$11=$H98,"◆",""),IF(AND(DY$11&gt;=$H98,DY$11&lt;=$I98),1,""))</f>
        <v/>
      </c>
      <c r="DZ98" s="448" t="str">
        <f aca="false">IF($G98=0,IF(DZ$11=$H98,"◆",""),IF(AND(DZ$11&gt;=$H98,DZ$11&lt;=$I98),1,""))</f>
        <v/>
      </c>
      <c r="EA98" s="448" t="str">
        <f aca="false">IF($G98=0,IF(EA$11=$H98,"◆",""),IF(AND(EA$11&gt;=$H98,EA$11&lt;=$I98),1,""))</f>
        <v/>
      </c>
      <c r="EB98" s="448" t="str">
        <f aca="false">IF($G98=0,IF(EB$11=$H98,"◆",""),IF(AND(EB$11&gt;=$H98,EB$11&lt;=$I98),1,""))</f>
        <v/>
      </c>
      <c r="EC98" s="448" t="str">
        <f aca="false">IF($G98=0,IF(EC$11=$H98,"◆",""),IF(AND(EC$11&gt;=$H98,EC$11&lt;=$I98),1,""))</f>
        <v/>
      </c>
      <c r="ED98" s="448" t="str">
        <f aca="false">IF($G98=0,IF(ED$11=$H98,"◆",""),IF(AND(ED$11&gt;=$H98,ED$11&lt;=$I98),1,""))</f>
        <v/>
      </c>
    </row>
    <row r="99" customFormat="false" ht="15" hidden="false" customHeight="true" outlineLevel="0" collapsed="false">
      <c r="A99" s="441" t="s">
        <v>2638</v>
      </c>
      <c r="B99" s="297" t="s">
        <v>2639</v>
      </c>
      <c r="C99" s="442" t="s">
        <v>2640</v>
      </c>
      <c r="D99" s="443" t="s">
        <v>2436</v>
      </c>
      <c r="E99" s="354" t="n">
        <f aca="false">1</f>
        <v>1</v>
      </c>
      <c r="F99" s="352" t="n">
        <v>8</v>
      </c>
      <c r="G99" s="352" t="n">
        <v>8</v>
      </c>
      <c r="H99" s="367" t="n">
        <f aca="false">MAX(1,ROUND(($E99-1)*$D$5,0)+1+$F99)</f>
        <v>9</v>
      </c>
      <c r="I99" s="367" t="n">
        <f aca="false">MAX($H99,$H99+$G99-1)</f>
        <v>16</v>
      </c>
      <c r="J99" s="444" t="n">
        <f aca="false">$D$4+($H99-1)*7</f>
        <v>46356</v>
      </c>
      <c r="K99" s="444" t="n">
        <f aca="false">$D$4+$I99*7-1</f>
        <v>46411</v>
      </c>
      <c r="L99" s="445" t="n">
        <f aca="false">ROUNDUP($H99/$D$5,0)</f>
        <v>3</v>
      </c>
      <c r="M99" s="446"/>
      <c r="N99" s="447" t="n">
        <v>0</v>
      </c>
      <c r="O99" s="448" t="str">
        <f aca="false">IF($G99=0,IF(O$11=$H99,"◆",""),IF(AND(O$11&gt;=$H99,O$11&lt;=$I99),1,""))</f>
        <v/>
      </c>
      <c r="P99" s="448" t="str">
        <f aca="false">IF($G99=0,IF(P$11=$H99,"◆",""),IF(AND(P$11&gt;=$H99,P$11&lt;=$I99),1,""))</f>
        <v/>
      </c>
      <c r="Q99" s="448" t="str">
        <f aca="false">IF($G99=0,IF(Q$11=$H99,"◆",""),IF(AND(Q$11&gt;=$H99,Q$11&lt;=$I99),1,""))</f>
        <v/>
      </c>
      <c r="R99" s="448" t="str">
        <f aca="false">IF($G99=0,IF(R$11=$H99,"◆",""),IF(AND(R$11&gt;=$H99,R$11&lt;=$I99),1,""))</f>
        <v/>
      </c>
      <c r="S99" s="448" t="str">
        <f aca="false">IF($G99=0,IF(S$11=$H99,"◆",""),IF(AND(S$11&gt;=$H99,S$11&lt;=$I99),1,""))</f>
        <v/>
      </c>
      <c r="T99" s="448" t="str">
        <f aca="false">IF($G99=0,IF(T$11=$H99,"◆",""),IF(AND(T$11&gt;=$H99,T$11&lt;=$I99),1,""))</f>
        <v/>
      </c>
      <c r="U99" s="448" t="str">
        <f aca="false">IF($G99=0,IF(U$11=$H99,"◆",""),IF(AND(U$11&gt;=$H99,U$11&lt;=$I99),1,""))</f>
        <v/>
      </c>
      <c r="V99" s="448" t="str">
        <f aca="false">IF($G99=0,IF(V$11=$H99,"◆",""),IF(AND(V$11&gt;=$H99,V$11&lt;=$I99),1,""))</f>
        <v/>
      </c>
      <c r="W99" s="448" t="n">
        <f aca="false">IF($G99=0,IF(W$11=$H99,"◆",""),IF(AND(W$11&gt;=$H99,W$11&lt;=$I99),1,""))</f>
        <v>1</v>
      </c>
      <c r="X99" s="448" t="n">
        <f aca="false">IF($G99=0,IF(X$11=$H99,"◆",""),IF(AND(X$11&gt;=$H99,X$11&lt;=$I99),1,""))</f>
        <v>1</v>
      </c>
      <c r="Y99" s="448" t="n">
        <f aca="false">IF($G99=0,IF(Y$11=$H99,"◆",""),IF(AND(Y$11&gt;=$H99,Y$11&lt;=$I99),1,""))</f>
        <v>1</v>
      </c>
      <c r="Z99" s="448" t="n">
        <f aca="false">IF($G99=0,IF(Z$11=$H99,"◆",""),IF(AND(Z$11&gt;=$H99,Z$11&lt;=$I99),1,""))</f>
        <v>1</v>
      </c>
      <c r="AA99" s="448" t="n">
        <f aca="false">IF($G99=0,IF(AA$11=$H99,"◆",""),IF(AND(AA$11&gt;=$H99,AA$11&lt;=$I99),1,""))</f>
        <v>1</v>
      </c>
      <c r="AB99" s="448" t="n">
        <f aca="false">IF($G99=0,IF(AB$11=$H99,"◆",""),IF(AND(AB$11&gt;=$H99,AB$11&lt;=$I99),1,""))</f>
        <v>1</v>
      </c>
      <c r="AC99" s="448" t="n">
        <f aca="false">IF($G99=0,IF(AC$11=$H99,"◆",""),IF(AND(AC$11&gt;=$H99,AC$11&lt;=$I99),1,""))</f>
        <v>1</v>
      </c>
      <c r="AD99" s="448" t="n">
        <f aca="false">IF($G99=0,IF(AD$11=$H99,"◆",""),IF(AND(AD$11&gt;=$H99,AD$11&lt;=$I99),1,""))</f>
        <v>1</v>
      </c>
      <c r="AE99" s="448" t="str">
        <f aca="false">IF($G99=0,IF(AE$11=$H99,"◆",""),IF(AND(AE$11&gt;=$H99,AE$11&lt;=$I99),1,""))</f>
        <v/>
      </c>
      <c r="AF99" s="448" t="str">
        <f aca="false">IF($G99=0,IF(AF$11=$H99,"◆",""),IF(AND(AF$11&gt;=$H99,AF$11&lt;=$I99),1,""))</f>
        <v/>
      </c>
      <c r="AG99" s="448" t="str">
        <f aca="false">IF($G99=0,IF(AG$11=$H99,"◆",""),IF(AND(AG$11&gt;=$H99,AG$11&lt;=$I99),1,""))</f>
        <v/>
      </c>
      <c r="AH99" s="448" t="str">
        <f aca="false">IF($G99=0,IF(AH$11=$H99,"◆",""),IF(AND(AH$11&gt;=$H99,AH$11&lt;=$I99),1,""))</f>
        <v/>
      </c>
      <c r="AI99" s="448" t="str">
        <f aca="false">IF($G99=0,IF(AI$11=$H99,"◆",""),IF(AND(AI$11&gt;=$H99,AI$11&lt;=$I99),1,""))</f>
        <v/>
      </c>
      <c r="AJ99" s="448" t="str">
        <f aca="false">IF($G99=0,IF(AJ$11=$H99,"◆",""),IF(AND(AJ$11&gt;=$H99,AJ$11&lt;=$I99),1,""))</f>
        <v/>
      </c>
      <c r="AK99" s="448" t="str">
        <f aca="false">IF($G99=0,IF(AK$11=$H99,"◆",""),IF(AND(AK$11&gt;=$H99,AK$11&lt;=$I99),1,""))</f>
        <v/>
      </c>
      <c r="AL99" s="448" t="str">
        <f aca="false">IF($G99=0,IF(AL$11=$H99,"◆",""),IF(AND(AL$11&gt;=$H99,AL$11&lt;=$I99),1,""))</f>
        <v/>
      </c>
      <c r="AM99" s="448" t="str">
        <f aca="false">IF($G99=0,IF(AM$11=$H99,"◆",""),IF(AND(AM$11&gt;=$H99,AM$11&lt;=$I99),1,""))</f>
        <v/>
      </c>
      <c r="AN99" s="448" t="str">
        <f aca="false">IF($G99=0,IF(AN$11=$H99,"◆",""),IF(AND(AN$11&gt;=$H99,AN$11&lt;=$I99),1,""))</f>
        <v/>
      </c>
      <c r="AO99" s="448" t="str">
        <f aca="false">IF($G99=0,IF(AO$11=$H99,"◆",""),IF(AND(AO$11&gt;=$H99,AO$11&lt;=$I99),1,""))</f>
        <v/>
      </c>
      <c r="AP99" s="448" t="str">
        <f aca="false">IF($G99=0,IF(AP$11=$H99,"◆",""),IF(AND(AP$11&gt;=$H99,AP$11&lt;=$I99),1,""))</f>
        <v/>
      </c>
      <c r="AQ99" s="448" t="str">
        <f aca="false">IF($G99=0,IF(AQ$11=$H99,"◆",""),IF(AND(AQ$11&gt;=$H99,AQ$11&lt;=$I99),1,""))</f>
        <v/>
      </c>
      <c r="AR99" s="448" t="str">
        <f aca="false">IF($G99=0,IF(AR$11=$H99,"◆",""),IF(AND(AR$11&gt;=$H99,AR$11&lt;=$I99),1,""))</f>
        <v/>
      </c>
      <c r="AS99" s="448" t="str">
        <f aca="false">IF($G99=0,IF(AS$11=$H99,"◆",""),IF(AND(AS$11&gt;=$H99,AS$11&lt;=$I99),1,""))</f>
        <v/>
      </c>
      <c r="AT99" s="448" t="str">
        <f aca="false">IF($G99=0,IF(AT$11=$H99,"◆",""),IF(AND(AT$11&gt;=$H99,AT$11&lt;=$I99),1,""))</f>
        <v/>
      </c>
      <c r="AU99" s="448" t="str">
        <f aca="false">IF($G99=0,IF(AU$11=$H99,"◆",""),IF(AND(AU$11&gt;=$H99,AU$11&lt;=$I99),1,""))</f>
        <v/>
      </c>
      <c r="AV99" s="448" t="str">
        <f aca="false">IF($G99=0,IF(AV$11=$H99,"◆",""),IF(AND(AV$11&gt;=$H99,AV$11&lt;=$I99),1,""))</f>
        <v/>
      </c>
      <c r="AW99" s="448" t="str">
        <f aca="false">IF($G99=0,IF(AW$11=$H99,"◆",""),IF(AND(AW$11&gt;=$H99,AW$11&lt;=$I99),1,""))</f>
        <v/>
      </c>
      <c r="AX99" s="448" t="str">
        <f aca="false">IF($G99=0,IF(AX$11=$H99,"◆",""),IF(AND(AX$11&gt;=$H99,AX$11&lt;=$I99),1,""))</f>
        <v/>
      </c>
      <c r="AY99" s="448" t="str">
        <f aca="false">IF($G99=0,IF(AY$11=$H99,"◆",""),IF(AND(AY$11&gt;=$H99,AY$11&lt;=$I99),1,""))</f>
        <v/>
      </c>
      <c r="AZ99" s="448" t="str">
        <f aca="false">IF($G99=0,IF(AZ$11=$H99,"◆",""),IF(AND(AZ$11&gt;=$H99,AZ$11&lt;=$I99),1,""))</f>
        <v/>
      </c>
      <c r="BA99" s="448" t="str">
        <f aca="false">IF($G99=0,IF(BA$11=$H99,"◆",""),IF(AND(BA$11&gt;=$H99,BA$11&lt;=$I99),1,""))</f>
        <v/>
      </c>
      <c r="BB99" s="448" t="str">
        <f aca="false">IF($G99=0,IF(BB$11=$H99,"◆",""),IF(AND(BB$11&gt;=$H99,BB$11&lt;=$I99),1,""))</f>
        <v/>
      </c>
      <c r="BC99" s="448" t="str">
        <f aca="false">IF($G99=0,IF(BC$11=$H99,"◆",""),IF(AND(BC$11&gt;=$H99,BC$11&lt;=$I99),1,""))</f>
        <v/>
      </c>
      <c r="BD99" s="448" t="str">
        <f aca="false">IF($G99=0,IF(BD$11=$H99,"◆",""),IF(AND(BD$11&gt;=$H99,BD$11&lt;=$I99),1,""))</f>
        <v/>
      </c>
      <c r="BE99" s="448" t="str">
        <f aca="false">IF($G99=0,IF(BE$11=$H99,"◆",""),IF(AND(BE$11&gt;=$H99,BE$11&lt;=$I99),1,""))</f>
        <v/>
      </c>
      <c r="BF99" s="448" t="str">
        <f aca="false">IF($G99=0,IF(BF$11=$H99,"◆",""),IF(AND(BF$11&gt;=$H99,BF$11&lt;=$I99),1,""))</f>
        <v/>
      </c>
      <c r="BG99" s="448" t="str">
        <f aca="false">IF($G99=0,IF(BG$11=$H99,"◆",""),IF(AND(BG$11&gt;=$H99,BG$11&lt;=$I99),1,""))</f>
        <v/>
      </c>
      <c r="BH99" s="448" t="str">
        <f aca="false">IF($G99=0,IF(BH$11=$H99,"◆",""),IF(AND(BH$11&gt;=$H99,BH$11&lt;=$I99),1,""))</f>
        <v/>
      </c>
      <c r="BI99" s="448" t="str">
        <f aca="false">IF($G99=0,IF(BI$11=$H99,"◆",""),IF(AND(BI$11&gt;=$H99,BI$11&lt;=$I99),1,""))</f>
        <v/>
      </c>
      <c r="BJ99" s="448" t="str">
        <f aca="false">IF($G99=0,IF(BJ$11=$H99,"◆",""),IF(AND(BJ$11&gt;=$H99,BJ$11&lt;=$I99),1,""))</f>
        <v/>
      </c>
      <c r="BK99" s="448" t="str">
        <f aca="false">IF($G99=0,IF(BK$11=$H99,"◆",""),IF(AND(BK$11&gt;=$H99,BK$11&lt;=$I99),1,""))</f>
        <v/>
      </c>
      <c r="BL99" s="448" t="str">
        <f aca="false">IF($G99=0,IF(BL$11=$H99,"◆",""),IF(AND(BL$11&gt;=$H99,BL$11&lt;=$I99),1,""))</f>
        <v/>
      </c>
      <c r="BM99" s="448" t="str">
        <f aca="false">IF($G99=0,IF(BM$11=$H99,"◆",""),IF(AND(BM$11&gt;=$H99,BM$11&lt;=$I99),1,""))</f>
        <v/>
      </c>
      <c r="BN99" s="448" t="str">
        <f aca="false">IF($G99=0,IF(BN$11=$H99,"◆",""),IF(AND(BN$11&gt;=$H99,BN$11&lt;=$I99),1,""))</f>
        <v/>
      </c>
      <c r="BO99" s="448" t="str">
        <f aca="false">IF($G99=0,IF(BO$11=$H99,"◆",""),IF(AND(BO$11&gt;=$H99,BO$11&lt;=$I99),1,""))</f>
        <v/>
      </c>
      <c r="BP99" s="448" t="str">
        <f aca="false">IF($G99=0,IF(BP$11=$H99,"◆",""),IF(AND(BP$11&gt;=$H99,BP$11&lt;=$I99),1,""))</f>
        <v/>
      </c>
      <c r="BQ99" s="448" t="str">
        <f aca="false">IF($G99=0,IF(BQ$11=$H99,"◆",""),IF(AND(BQ$11&gt;=$H99,BQ$11&lt;=$I99),1,""))</f>
        <v/>
      </c>
      <c r="BR99" s="448" t="str">
        <f aca="false">IF($G99=0,IF(BR$11=$H99,"◆",""),IF(AND(BR$11&gt;=$H99,BR$11&lt;=$I99),1,""))</f>
        <v/>
      </c>
      <c r="BS99" s="448" t="str">
        <f aca="false">IF($G99=0,IF(BS$11=$H99,"◆",""),IF(AND(BS$11&gt;=$H99,BS$11&lt;=$I99),1,""))</f>
        <v/>
      </c>
      <c r="BT99" s="448" t="str">
        <f aca="false">IF($G99=0,IF(BT$11=$H99,"◆",""),IF(AND(BT$11&gt;=$H99,BT$11&lt;=$I99),1,""))</f>
        <v/>
      </c>
      <c r="BU99" s="448" t="str">
        <f aca="false">IF($G99=0,IF(BU$11=$H99,"◆",""),IF(AND(BU$11&gt;=$H99,BU$11&lt;=$I99),1,""))</f>
        <v/>
      </c>
      <c r="BV99" s="448" t="str">
        <f aca="false">IF($G99=0,IF(BV$11=$H99,"◆",""),IF(AND(BV$11&gt;=$H99,BV$11&lt;=$I99),1,""))</f>
        <v/>
      </c>
      <c r="BW99" s="448" t="str">
        <f aca="false">IF($G99=0,IF(BW$11=$H99,"◆",""),IF(AND(BW$11&gt;=$H99,BW$11&lt;=$I99),1,""))</f>
        <v/>
      </c>
      <c r="BX99" s="448" t="str">
        <f aca="false">IF($G99=0,IF(BX$11=$H99,"◆",""),IF(AND(BX$11&gt;=$H99,BX$11&lt;=$I99),1,""))</f>
        <v/>
      </c>
      <c r="BY99" s="448" t="str">
        <f aca="false">IF($G99=0,IF(BY$11=$H99,"◆",""),IF(AND(BY$11&gt;=$H99,BY$11&lt;=$I99),1,""))</f>
        <v/>
      </c>
      <c r="BZ99" s="448" t="str">
        <f aca="false">IF($G99=0,IF(BZ$11=$H99,"◆",""),IF(AND(BZ$11&gt;=$H99,BZ$11&lt;=$I99),1,""))</f>
        <v/>
      </c>
      <c r="CA99" s="448" t="str">
        <f aca="false">IF($G99=0,IF(CA$11=$H99,"◆",""),IF(AND(CA$11&gt;=$H99,CA$11&lt;=$I99),1,""))</f>
        <v/>
      </c>
      <c r="CB99" s="448" t="str">
        <f aca="false">IF($G99=0,IF(CB$11=$H99,"◆",""),IF(AND(CB$11&gt;=$H99,CB$11&lt;=$I99),1,""))</f>
        <v/>
      </c>
      <c r="CC99" s="448" t="str">
        <f aca="false">IF($G99=0,IF(CC$11=$H99,"◆",""),IF(AND(CC$11&gt;=$H99,CC$11&lt;=$I99),1,""))</f>
        <v/>
      </c>
      <c r="CD99" s="448" t="str">
        <f aca="false">IF($G99=0,IF(CD$11=$H99,"◆",""),IF(AND(CD$11&gt;=$H99,CD$11&lt;=$I99),1,""))</f>
        <v/>
      </c>
      <c r="CE99" s="448" t="str">
        <f aca="false">IF($G99=0,IF(CE$11=$H99,"◆",""),IF(AND(CE$11&gt;=$H99,CE$11&lt;=$I99),1,""))</f>
        <v/>
      </c>
      <c r="CF99" s="448" t="str">
        <f aca="false">IF($G99=0,IF(CF$11=$H99,"◆",""),IF(AND(CF$11&gt;=$H99,CF$11&lt;=$I99),1,""))</f>
        <v/>
      </c>
      <c r="CG99" s="448" t="str">
        <f aca="false">IF($G99=0,IF(CG$11=$H99,"◆",""),IF(AND(CG$11&gt;=$H99,CG$11&lt;=$I99),1,""))</f>
        <v/>
      </c>
      <c r="CH99" s="448" t="str">
        <f aca="false">IF($G99=0,IF(CH$11=$H99,"◆",""),IF(AND(CH$11&gt;=$H99,CH$11&lt;=$I99),1,""))</f>
        <v/>
      </c>
      <c r="CI99" s="448" t="str">
        <f aca="false">IF($G99=0,IF(CI$11=$H99,"◆",""),IF(AND(CI$11&gt;=$H99,CI$11&lt;=$I99),1,""))</f>
        <v/>
      </c>
      <c r="CJ99" s="448" t="str">
        <f aca="false">IF($G99=0,IF(CJ$11=$H99,"◆",""),IF(AND(CJ$11&gt;=$H99,CJ$11&lt;=$I99),1,""))</f>
        <v/>
      </c>
      <c r="CK99" s="448" t="str">
        <f aca="false">IF($G99=0,IF(CK$11=$H99,"◆",""),IF(AND(CK$11&gt;=$H99,CK$11&lt;=$I99),1,""))</f>
        <v/>
      </c>
      <c r="CL99" s="448" t="str">
        <f aca="false">IF($G99=0,IF(CL$11=$H99,"◆",""),IF(AND(CL$11&gt;=$H99,CL$11&lt;=$I99),1,""))</f>
        <v/>
      </c>
      <c r="CM99" s="448" t="str">
        <f aca="false">IF($G99=0,IF(CM$11=$H99,"◆",""),IF(AND(CM$11&gt;=$H99,CM$11&lt;=$I99),1,""))</f>
        <v/>
      </c>
      <c r="CN99" s="448" t="str">
        <f aca="false">IF($G99=0,IF(CN$11=$H99,"◆",""),IF(AND(CN$11&gt;=$H99,CN$11&lt;=$I99),1,""))</f>
        <v/>
      </c>
      <c r="CO99" s="448" t="str">
        <f aca="false">IF($G99=0,IF(CO$11=$H99,"◆",""),IF(AND(CO$11&gt;=$H99,CO$11&lt;=$I99),1,""))</f>
        <v/>
      </c>
      <c r="CP99" s="448" t="str">
        <f aca="false">IF($G99=0,IF(CP$11=$H99,"◆",""),IF(AND(CP$11&gt;=$H99,CP$11&lt;=$I99),1,""))</f>
        <v/>
      </c>
      <c r="CQ99" s="448" t="str">
        <f aca="false">IF($G99=0,IF(CQ$11=$H99,"◆",""),IF(AND(CQ$11&gt;=$H99,CQ$11&lt;=$I99),1,""))</f>
        <v/>
      </c>
      <c r="CR99" s="448" t="str">
        <f aca="false">IF($G99=0,IF(CR$11=$H99,"◆",""),IF(AND(CR$11&gt;=$H99,CR$11&lt;=$I99),1,""))</f>
        <v/>
      </c>
      <c r="CS99" s="448" t="str">
        <f aca="false">IF($G99=0,IF(CS$11=$H99,"◆",""),IF(AND(CS$11&gt;=$H99,CS$11&lt;=$I99),1,""))</f>
        <v/>
      </c>
      <c r="CT99" s="448" t="str">
        <f aca="false">IF($G99=0,IF(CT$11=$H99,"◆",""),IF(AND(CT$11&gt;=$H99,CT$11&lt;=$I99),1,""))</f>
        <v/>
      </c>
      <c r="CU99" s="448" t="str">
        <f aca="false">IF($G99=0,IF(CU$11=$H99,"◆",""),IF(AND(CU$11&gt;=$H99,CU$11&lt;=$I99),1,""))</f>
        <v/>
      </c>
      <c r="CV99" s="448" t="str">
        <f aca="false">IF($G99=0,IF(CV$11=$H99,"◆",""),IF(AND(CV$11&gt;=$H99,CV$11&lt;=$I99),1,""))</f>
        <v/>
      </c>
      <c r="CW99" s="448" t="str">
        <f aca="false">IF($G99=0,IF(CW$11=$H99,"◆",""),IF(AND(CW$11&gt;=$H99,CW$11&lt;=$I99),1,""))</f>
        <v/>
      </c>
      <c r="CX99" s="448" t="str">
        <f aca="false">IF($G99=0,IF(CX$11=$H99,"◆",""),IF(AND(CX$11&gt;=$H99,CX$11&lt;=$I99),1,""))</f>
        <v/>
      </c>
      <c r="CY99" s="448" t="str">
        <f aca="false">IF($G99=0,IF(CY$11=$H99,"◆",""),IF(AND(CY$11&gt;=$H99,CY$11&lt;=$I99),1,""))</f>
        <v/>
      </c>
      <c r="CZ99" s="448" t="str">
        <f aca="false">IF($G99=0,IF(CZ$11=$H99,"◆",""),IF(AND(CZ$11&gt;=$H99,CZ$11&lt;=$I99),1,""))</f>
        <v/>
      </c>
      <c r="DA99" s="448" t="str">
        <f aca="false">IF($G99=0,IF(DA$11=$H99,"◆",""),IF(AND(DA$11&gt;=$H99,DA$11&lt;=$I99),1,""))</f>
        <v/>
      </c>
      <c r="DB99" s="448" t="str">
        <f aca="false">IF($G99=0,IF(DB$11=$H99,"◆",""),IF(AND(DB$11&gt;=$H99,DB$11&lt;=$I99),1,""))</f>
        <v/>
      </c>
      <c r="DC99" s="448" t="str">
        <f aca="false">IF($G99=0,IF(DC$11=$H99,"◆",""),IF(AND(DC$11&gt;=$H99,DC$11&lt;=$I99),1,""))</f>
        <v/>
      </c>
      <c r="DD99" s="448" t="str">
        <f aca="false">IF($G99=0,IF(DD$11=$H99,"◆",""),IF(AND(DD$11&gt;=$H99,DD$11&lt;=$I99),1,""))</f>
        <v/>
      </c>
      <c r="DE99" s="448" t="str">
        <f aca="false">IF($G99=0,IF(DE$11=$H99,"◆",""),IF(AND(DE$11&gt;=$H99,DE$11&lt;=$I99),1,""))</f>
        <v/>
      </c>
      <c r="DF99" s="448" t="str">
        <f aca="false">IF($G99=0,IF(DF$11=$H99,"◆",""),IF(AND(DF$11&gt;=$H99,DF$11&lt;=$I99),1,""))</f>
        <v/>
      </c>
      <c r="DG99" s="448" t="str">
        <f aca="false">IF($G99=0,IF(DG$11=$H99,"◆",""),IF(AND(DG$11&gt;=$H99,DG$11&lt;=$I99),1,""))</f>
        <v/>
      </c>
      <c r="DH99" s="448" t="str">
        <f aca="false">IF($G99=0,IF(DH$11=$H99,"◆",""),IF(AND(DH$11&gt;=$H99,DH$11&lt;=$I99),1,""))</f>
        <v/>
      </c>
      <c r="DI99" s="448" t="str">
        <f aca="false">IF($G99=0,IF(DI$11=$H99,"◆",""),IF(AND(DI$11&gt;=$H99,DI$11&lt;=$I99),1,""))</f>
        <v/>
      </c>
      <c r="DJ99" s="448" t="str">
        <f aca="false">IF($G99=0,IF(DJ$11=$H99,"◆",""),IF(AND(DJ$11&gt;=$H99,DJ$11&lt;=$I99),1,""))</f>
        <v/>
      </c>
      <c r="DK99" s="448" t="str">
        <f aca="false">IF($G99=0,IF(DK$11=$H99,"◆",""),IF(AND(DK$11&gt;=$H99,DK$11&lt;=$I99),1,""))</f>
        <v/>
      </c>
      <c r="DL99" s="448" t="str">
        <f aca="false">IF($G99=0,IF(DL$11=$H99,"◆",""),IF(AND(DL$11&gt;=$H99,DL$11&lt;=$I99),1,""))</f>
        <v/>
      </c>
      <c r="DM99" s="448" t="str">
        <f aca="false">IF($G99=0,IF(DM$11=$H99,"◆",""),IF(AND(DM$11&gt;=$H99,DM$11&lt;=$I99),1,""))</f>
        <v/>
      </c>
      <c r="DN99" s="448" t="str">
        <f aca="false">IF($G99=0,IF(DN$11=$H99,"◆",""),IF(AND(DN$11&gt;=$H99,DN$11&lt;=$I99),1,""))</f>
        <v/>
      </c>
      <c r="DO99" s="448" t="str">
        <f aca="false">IF($G99=0,IF(DO$11=$H99,"◆",""),IF(AND(DO$11&gt;=$H99,DO$11&lt;=$I99),1,""))</f>
        <v/>
      </c>
      <c r="DP99" s="448" t="str">
        <f aca="false">IF($G99=0,IF(DP$11=$H99,"◆",""),IF(AND(DP$11&gt;=$H99,DP$11&lt;=$I99),1,""))</f>
        <v/>
      </c>
      <c r="DQ99" s="448" t="str">
        <f aca="false">IF($G99=0,IF(DQ$11=$H99,"◆",""),IF(AND(DQ$11&gt;=$H99,DQ$11&lt;=$I99),1,""))</f>
        <v/>
      </c>
      <c r="DR99" s="448" t="str">
        <f aca="false">IF($G99=0,IF(DR$11=$H99,"◆",""),IF(AND(DR$11&gt;=$H99,DR$11&lt;=$I99),1,""))</f>
        <v/>
      </c>
      <c r="DS99" s="448" t="str">
        <f aca="false">IF($G99=0,IF(DS$11=$H99,"◆",""),IF(AND(DS$11&gt;=$H99,DS$11&lt;=$I99),1,""))</f>
        <v/>
      </c>
      <c r="DT99" s="448" t="str">
        <f aca="false">IF($G99=0,IF(DT$11=$H99,"◆",""),IF(AND(DT$11&gt;=$H99,DT$11&lt;=$I99),1,""))</f>
        <v/>
      </c>
      <c r="DU99" s="448" t="str">
        <f aca="false">IF($G99=0,IF(DU$11=$H99,"◆",""),IF(AND(DU$11&gt;=$H99,DU$11&lt;=$I99),1,""))</f>
        <v/>
      </c>
      <c r="DV99" s="448" t="str">
        <f aca="false">IF($G99=0,IF(DV$11=$H99,"◆",""),IF(AND(DV$11&gt;=$H99,DV$11&lt;=$I99),1,""))</f>
        <v/>
      </c>
      <c r="DW99" s="448" t="str">
        <f aca="false">IF($G99=0,IF(DW$11=$H99,"◆",""),IF(AND(DW$11&gt;=$H99,DW$11&lt;=$I99),1,""))</f>
        <v/>
      </c>
      <c r="DX99" s="448" t="str">
        <f aca="false">IF($G99=0,IF(DX$11=$H99,"◆",""),IF(AND(DX$11&gt;=$H99,DX$11&lt;=$I99),1,""))</f>
        <v/>
      </c>
      <c r="DY99" s="448" t="str">
        <f aca="false">IF($G99=0,IF(DY$11=$H99,"◆",""),IF(AND(DY$11&gt;=$H99,DY$11&lt;=$I99),1,""))</f>
        <v/>
      </c>
      <c r="DZ99" s="448" t="str">
        <f aca="false">IF($G99=0,IF(DZ$11=$H99,"◆",""),IF(AND(DZ$11&gt;=$H99,DZ$11&lt;=$I99),1,""))</f>
        <v/>
      </c>
      <c r="EA99" s="448" t="str">
        <f aca="false">IF($G99=0,IF(EA$11=$H99,"◆",""),IF(AND(EA$11&gt;=$H99,EA$11&lt;=$I99),1,""))</f>
        <v/>
      </c>
      <c r="EB99" s="448" t="str">
        <f aca="false">IF($G99=0,IF(EB$11=$H99,"◆",""),IF(AND(EB$11&gt;=$H99,EB$11&lt;=$I99),1,""))</f>
        <v/>
      </c>
      <c r="EC99" s="448" t="str">
        <f aca="false">IF($G99=0,IF(EC$11=$H99,"◆",""),IF(AND(EC$11&gt;=$H99,EC$11&lt;=$I99),1,""))</f>
        <v/>
      </c>
      <c r="ED99" s="448" t="str">
        <f aca="false">IF($G99=0,IF(ED$11=$H99,"◆",""),IF(AND(ED$11&gt;=$H99,ED$11&lt;=$I99),1,""))</f>
        <v/>
      </c>
    </row>
    <row r="100" customFormat="false" ht="15" hidden="false" customHeight="true" outlineLevel="0" collapsed="false">
      <c r="A100" s="441" t="s">
        <v>2641</v>
      </c>
      <c r="B100" s="297" t="s">
        <v>2642</v>
      </c>
      <c r="C100" s="442" t="s">
        <v>2643</v>
      </c>
      <c r="D100" s="443" t="s">
        <v>2634</v>
      </c>
      <c r="E100" s="354" t="n">
        <f aca="false">FC_SUPUESTOS!$C$40</f>
        <v>10</v>
      </c>
      <c r="F100" s="352" t="n">
        <v>-18</v>
      </c>
      <c r="G100" s="352" t="n">
        <v>7</v>
      </c>
      <c r="H100" s="367" t="n">
        <f aca="false">MAX(1,ROUND(($E100-1)*$D$5,0)+1+$F100)</f>
        <v>22</v>
      </c>
      <c r="I100" s="367" t="n">
        <f aca="false">MAX($H100,$H100+$G100-1)</f>
        <v>28</v>
      </c>
      <c r="J100" s="444" t="n">
        <f aca="false">$D$4+($H100-1)*7</f>
        <v>46447</v>
      </c>
      <c r="K100" s="444" t="n">
        <f aca="false">$D$4+$I100*7-1</f>
        <v>46495</v>
      </c>
      <c r="L100" s="445" t="n">
        <f aca="false">ROUNDUP($H100/$D$5,0)</f>
        <v>6</v>
      </c>
      <c r="M100" s="446" t="s">
        <v>2453</v>
      </c>
      <c r="N100" s="447" t="n">
        <v>0</v>
      </c>
      <c r="O100" s="448" t="str">
        <f aca="false">IF($G100=0,IF(O$11=$H100,"◆",""),IF(AND(O$11&gt;=$H100,O$11&lt;=$I100),1,""))</f>
        <v/>
      </c>
      <c r="P100" s="448" t="str">
        <f aca="false">IF($G100=0,IF(P$11=$H100,"◆",""),IF(AND(P$11&gt;=$H100,P$11&lt;=$I100),1,""))</f>
        <v/>
      </c>
      <c r="Q100" s="448" t="str">
        <f aca="false">IF($G100=0,IF(Q$11=$H100,"◆",""),IF(AND(Q$11&gt;=$H100,Q$11&lt;=$I100),1,""))</f>
        <v/>
      </c>
      <c r="R100" s="448" t="str">
        <f aca="false">IF($G100=0,IF(R$11=$H100,"◆",""),IF(AND(R$11&gt;=$H100,R$11&lt;=$I100),1,""))</f>
        <v/>
      </c>
      <c r="S100" s="448" t="str">
        <f aca="false">IF($G100=0,IF(S$11=$H100,"◆",""),IF(AND(S$11&gt;=$H100,S$11&lt;=$I100),1,""))</f>
        <v/>
      </c>
      <c r="T100" s="448" t="str">
        <f aca="false">IF($G100=0,IF(T$11=$H100,"◆",""),IF(AND(T$11&gt;=$H100,T$11&lt;=$I100),1,""))</f>
        <v/>
      </c>
      <c r="U100" s="448" t="str">
        <f aca="false">IF($G100=0,IF(U$11=$H100,"◆",""),IF(AND(U$11&gt;=$H100,U$11&lt;=$I100),1,""))</f>
        <v/>
      </c>
      <c r="V100" s="448" t="str">
        <f aca="false">IF($G100=0,IF(V$11=$H100,"◆",""),IF(AND(V$11&gt;=$H100,V$11&lt;=$I100),1,""))</f>
        <v/>
      </c>
      <c r="W100" s="448" t="str">
        <f aca="false">IF($G100=0,IF(W$11=$H100,"◆",""),IF(AND(W$11&gt;=$H100,W$11&lt;=$I100),1,""))</f>
        <v/>
      </c>
      <c r="X100" s="448" t="str">
        <f aca="false">IF($G100=0,IF(X$11=$H100,"◆",""),IF(AND(X$11&gt;=$H100,X$11&lt;=$I100),1,""))</f>
        <v/>
      </c>
      <c r="Y100" s="448" t="str">
        <f aca="false">IF($G100=0,IF(Y$11=$H100,"◆",""),IF(AND(Y$11&gt;=$H100,Y$11&lt;=$I100),1,""))</f>
        <v/>
      </c>
      <c r="Z100" s="448" t="str">
        <f aca="false">IF($G100=0,IF(Z$11=$H100,"◆",""),IF(AND(Z$11&gt;=$H100,Z$11&lt;=$I100),1,""))</f>
        <v/>
      </c>
      <c r="AA100" s="448" t="str">
        <f aca="false">IF($G100=0,IF(AA$11=$H100,"◆",""),IF(AND(AA$11&gt;=$H100,AA$11&lt;=$I100),1,""))</f>
        <v/>
      </c>
      <c r="AB100" s="448" t="str">
        <f aca="false">IF($G100=0,IF(AB$11=$H100,"◆",""),IF(AND(AB$11&gt;=$H100,AB$11&lt;=$I100),1,""))</f>
        <v/>
      </c>
      <c r="AC100" s="448" t="str">
        <f aca="false">IF($G100=0,IF(AC$11=$H100,"◆",""),IF(AND(AC$11&gt;=$H100,AC$11&lt;=$I100),1,""))</f>
        <v/>
      </c>
      <c r="AD100" s="448" t="str">
        <f aca="false">IF($G100=0,IF(AD$11=$H100,"◆",""),IF(AND(AD$11&gt;=$H100,AD$11&lt;=$I100),1,""))</f>
        <v/>
      </c>
      <c r="AE100" s="448" t="str">
        <f aca="false">IF($G100=0,IF(AE$11=$H100,"◆",""),IF(AND(AE$11&gt;=$H100,AE$11&lt;=$I100),1,""))</f>
        <v/>
      </c>
      <c r="AF100" s="448" t="str">
        <f aca="false">IF($G100=0,IF(AF$11=$H100,"◆",""),IF(AND(AF$11&gt;=$H100,AF$11&lt;=$I100),1,""))</f>
        <v/>
      </c>
      <c r="AG100" s="448" t="str">
        <f aca="false">IF($G100=0,IF(AG$11=$H100,"◆",""),IF(AND(AG$11&gt;=$H100,AG$11&lt;=$I100),1,""))</f>
        <v/>
      </c>
      <c r="AH100" s="448" t="str">
        <f aca="false">IF($G100=0,IF(AH$11=$H100,"◆",""),IF(AND(AH$11&gt;=$H100,AH$11&lt;=$I100),1,""))</f>
        <v/>
      </c>
      <c r="AI100" s="448" t="str">
        <f aca="false">IF($G100=0,IF(AI$11=$H100,"◆",""),IF(AND(AI$11&gt;=$H100,AI$11&lt;=$I100),1,""))</f>
        <v/>
      </c>
      <c r="AJ100" s="448" t="n">
        <f aca="false">IF($G100=0,IF(AJ$11=$H100,"◆",""),IF(AND(AJ$11&gt;=$H100,AJ$11&lt;=$I100),1,""))</f>
        <v>1</v>
      </c>
      <c r="AK100" s="448" t="n">
        <f aca="false">IF($G100=0,IF(AK$11=$H100,"◆",""),IF(AND(AK$11&gt;=$H100,AK$11&lt;=$I100),1,""))</f>
        <v>1</v>
      </c>
      <c r="AL100" s="448" t="n">
        <f aca="false">IF($G100=0,IF(AL$11=$H100,"◆",""),IF(AND(AL$11&gt;=$H100,AL$11&lt;=$I100),1,""))</f>
        <v>1</v>
      </c>
      <c r="AM100" s="448" t="n">
        <f aca="false">IF($G100=0,IF(AM$11=$H100,"◆",""),IF(AND(AM$11&gt;=$H100,AM$11&lt;=$I100),1,""))</f>
        <v>1</v>
      </c>
      <c r="AN100" s="448" t="n">
        <f aca="false">IF($G100=0,IF(AN$11=$H100,"◆",""),IF(AND(AN$11&gt;=$H100,AN$11&lt;=$I100),1,""))</f>
        <v>1</v>
      </c>
      <c r="AO100" s="448" t="n">
        <f aca="false">IF($G100=0,IF(AO$11=$H100,"◆",""),IF(AND(AO$11&gt;=$H100,AO$11&lt;=$I100),1,""))</f>
        <v>1</v>
      </c>
      <c r="AP100" s="448" t="n">
        <f aca="false">IF($G100=0,IF(AP$11=$H100,"◆",""),IF(AND(AP$11&gt;=$H100,AP$11&lt;=$I100),1,""))</f>
        <v>1</v>
      </c>
      <c r="AQ100" s="448" t="str">
        <f aca="false">IF($G100=0,IF(AQ$11=$H100,"◆",""),IF(AND(AQ$11&gt;=$H100,AQ$11&lt;=$I100),1,""))</f>
        <v/>
      </c>
      <c r="AR100" s="448" t="str">
        <f aca="false">IF($G100=0,IF(AR$11=$H100,"◆",""),IF(AND(AR$11&gt;=$H100,AR$11&lt;=$I100),1,""))</f>
        <v/>
      </c>
      <c r="AS100" s="448" t="str">
        <f aca="false">IF($G100=0,IF(AS$11=$H100,"◆",""),IF(AND(AS$11&gt;=$H100,AS$11&lt;=$I100),1,""))</f>
        <v/>
      </c>
      <c r="AT100" s="448" t="str">
        <f aca="false">IF($G100=0,IF(AT$11=$H100,"◆",""),IF(AND(AT$11&gt;=$H100,AT$11&lt;=$I100),1,""))</f>
        <v/>
      </c>
      <c r="AU100" s="448" t="str">
        <f aca="false">IF($G100=0,IF(AU$11=$H100,"◆",""),IF(AND(AU$11&gt;=$H100,AU$11&lt;=$I100),1,""))</f>
        <v/>
      </c>
      <c r="AV100" s="448" t="str">
        <f aca="false">IF($G100=0,IF(AV$11=$H100,"◆",""),IF(AND(AV$11&gt;=$H100,AV$11&lt;=$I100),1,""))</f>
        <v/>
      </c>
      <c r="AW100" s="448" t="str">
        <f aca="false">IF($G100=0,IF(AW$11=$H100,"◆",""),IF(AND(AW$11&gt;=$H100,AW$11&lt;=$I100),1,""))</f>
        <v/>
      </c>
      <c r="AX100" s="448" t="str">
        <f aca="false">IF($G100=0,IF(AX$11=$H100,"◆",""),IF(AND(AX$11&gt;=$H100,AX$11&lt;=$I100),1,""))</f>
        <v/>
      </c>
      <c r="AY100" s="448" t="str">
        <f aca="false">IF($G100=0,IF(AY$11=$H100,"◆",""),IF(AND(AY$11&gt;=$H100,AY$11&lt;=$I100),1,""))</f>
        <v/>
      </c>
      <c r="AZ100" s="448" t="str">
        <f aca="false">IF($G100=0,IF(AZ$11=$H100,"◆",""),IF(AND(AZ$11&gt;=$H100,AZ$11&lt;=$I100),1,""))</f>
        <v/>
      </c>
      <c r="BA100" s="448" t="str">
        <f aca="false">IF($G100=0,IF(BA$11=$H100,"◆",""),IF(AND(BA$11&gt;=$H100,BA$11&lt;=$I100),1,""))</f>
        <v/>
      </c>
      <c r="BB100" s="448" t="str">
        <f aca="false">IF($G100=0,IF(BB$11=$H100,"◆",""),IF(AND(BB$11&gt;=$H100,BB$11&lt;=$I100),1,""))</f>
        <v/>
      </c>
      <c r="BC100" s="448" t="str">
        <f aca="false">IF($G100=0,IF(BC$11=$H100,"◆",""),IF(AND(BC$11&gt;=$H100,BC$11&lt;=$I100),1,""))</f>
        <v/>
      </c>
      <c r="BD100" s="448" t="str">
        <f aca="false">IF($G100=0,IF(BD$11=$H100,"◆",""),IF(AND(BD$11&gt;=$H100,BD$11&lt;=$I100),1,""))</f>
        <v/>
      </c>
      <c r="BE100" s="448" t="str">
        <f aca="false">IF($G100=0,IF(BE$11=$H100,"◆",""),IF(AND(BE$11&gt;=$H100,BE$11&lt;=$I100),1,""))</f>
        <v/>
      </c>
      <c r="BF100" s="448" t="str">
        <f aca="false">IF($G100=0,IF(BF$11=$H100,"◆",""),IF(AND(BF$11&gt;=$H100,BF$11&lt;=$I100),1,""))</f>
        <v/>
      </c>
      <c r="BG100" s="448" t="str">
        <f aca="false">IF($G100=0,IF(BG$11=$H100,"◆",""),IF(AND(BG$11&gt;=$H100,BG$11&lt;=$I100),1,""))</f>
        <v/>
      </c>
      <c r="BH100" s="448" t="str">
        <f aca="false">IF($G100=0,IF(BH$11=$H100,"◆",""),IF(AND(BH$11&gt;=$H100,BH$11&lt;=$I100),1,""))</f>
        <v/>
      </c>
      <c r="BI100" s="448" t="str">
        <f aca="false">IF($G100=0,IF(BI$11=$H100,"◆",""),IF(AND(BI$11&gt;=$H100,BI$11&lt;=$I100),1,""))</f>
        <v/>
      </c>
      <c r="BJ100" s="448" t="str">
        <f aca="false">IF($G100=0,IF(BJ$11=$H100,"◆",""),IF(AND(BJ$11&gt;=$H100,BJ$11&lt;=$I100),1,""))</f>
        <v/>
      </c>
      <c r="BK100" s="448" t="str">
        <f aca="false">IF($G100=0,IF(BK$11=$H100,"◆",""),IF(AND(BK$11&gt;=$H100,BK$11&lt;=$I100),1,""))</f>
        <v/>
      </c>
      <c r="BL100" s="448" t="str">
        <f aca="false">IF($G100=0,IF(BL$11=$H100,"◆",""),IF(AND(BL$11&gt;=$H100,BL$11&lt;=$I100),1,""))</f>
        <v/>
      </c>
      <c r="BM100" s="448" t="str">
        <f aca="false">IF($G100=0,IF(BM$11=$H100,"◆",""),IF(AND(BM$11&gt;=$H100,BM$11&lt;=$I100),1,""))</f>
        <v/>
      </c>
      <c r="BN100" s="448" t="str">
        <f aca="false">IF($G100=0,IF(BN$11=$H100,"◆",""),IF(AND(BN$11&gt;=$H100,BN$11&lt;=$I100),1,""))</f>
        <v/>
      </c>
      <c r="BO100" s="448" t="str">
        <f aca="false">IF($G100=0,IF(BO$11=$H100,"◆",""),IF(AND(BO$11&gt;=$H100,BO$11&lt;=$I100),1,""))</f>
        <v/>
      </c>
      <c r="BP100" s="448" t="str">
        <f aca="false">IF($G100=0,IF(BP$11=$H100,"◆",""),IF(AND(BP$11&gt;=$H100,BP$11&lt;=$I100),1,""))</f>
        <v/>
      </c>
      <c r="BQ100" s="448" t="str">
        <f aca="false">IF($G100=0,IF(BQ$11=$H100,"◆",""),IF(AND(BQ$11&gt;=$H100,BQ$11&lt;=$I100),1,""))</f>
        <v/>
      </c>
      <c r="BR100" s="448" t="str">
        <f aca="false">IF($G100=0,IF(BR$11=$H100,"◆",""),IF(AND(BR$11&gt;=$H100,BR$11&lt;=$I100),1,""))</f>
        <v/>
      </c>
      <c r="BS100" s="448" t="str">
        <f aca="false">IF($G100=0,IF(BS$11=$H100,"◆",""),IF(AND(BS$11&gt;=$H100,BS$11&lt;=$I100),1,""))</f>
        <v/>
      </c>
      <c r="BT100" s="448" t="str">
        <f aca="false">IF($G100=0,IF(BT$11=$H100,"◆",""),IF(AND(BT$11&gt;=$H100,BT$11&lt;=$I100),1,""))</f>
        <v/>
      </c>
      <c r="BU100" s="448" t="str">
        <f aca="false">IF($G100=0,IF(BU$11=$H100,"◆",""),IF(AND(BU$11&gt;=$H100,BU$11&lt;=$I100),1,""))</f>
        <v/>
      </c>
      <c r="BV100" s="448" t="str">
        <f aca="false">IF($G100=0,IF(BV$11=$H100,"◆",""),IF(AND(BV$11&gt;=$H100,BV$11&lt;=$I100),1,""))</f>
        <v/>
      </c>
      <c r="BW100" s="448" t="str">
        <f aca="false">IF($G100=0,IF(BW$11=$H100,"◆",""),IF(AND(BW$11&gt;=$H100,BW$11&lt;=$I100),1,""))</f>
        <v/>
      </c>
      <c r="BX100" s="448" t="str">
        <f aca="false">IF($G100=0,IF(BX$11=$H100,"◆",""),IF(AND(BX$11&gt;=$H100,BX$11&lt;=$I100),1,""))</f>
        <v/>
      </c>
      <c r="BY100" s="448" t="str">
        <f aca="false">IF($G100=0,IF(BY$11=$H100,"◆",""),IF(AND(BY$11&gt;=$H100,BY$11&lt;=$I100),1,""))</f>
        <v/>
      </c>
      <c r="BZ100" s="448" t="str">
        <f aca="false">IF($G100=0,IF(BZ$11=$H100,"◆",""),IF(AND(BZ$11&gt;=$H100,BZ$11&lt;=$I100),1,""))</f>
        <v/>
      </c>
      <c r="CA100" s="448" t="str">
        <f aca="false">IF($G100=0,IF(CA$11=$H100,"◆",""),IF(AND(CA$11&gt;=$H100,CA$11&lt;=$I100),1,""))</f>
        <v/>
      </c>
      <c r="CB100" s="448" t="str">
        <f aca="false">IF($G100=0,IF(CB$11=$H100,"◆",""),IF(AND(CB$11&gt;=$H100,CB$11&lt;=$I100),1,""))</f>
        <v/>
      </c>
      <c r="CC100" s="448" t="str">
        <f aca="false">IF($G100=0,IF(CC$11=$H100,"◆",""),IF(AND(CC$11&gt;=$H100,CC$11&lt;=$I100),1,""))</f>
        <v/>
      </c>
      <c r="CD100" s="448" t="str">
        <f aca="false">IF($G100=0,IF(CD$11=$H100,"◆",""),IF(AND(CD$11&gt;=$H100,CD$11&lt;=$I100),1,""))</f>
        <v/>
      </c>
      <c r="CE100" s="448" t="str">
        <f aca="false">IF($G100=0,IF(CE$11=$H100,"◆",""),IF(AND(CE$11&gt;=$H100,CE$11&lt;=$I100),1,""))</f>
        <v/>
      </c>
      <c r="CF100" s="448" t="str">
        <f aca="false">IF($G100=0,IF(CF$11=$H100,"◆",""),IF(AND(CF$11&gt;=$H100,CF$11&lt;=$I100),1,""))</f>
        <v/>
      </c>
      <c r="CG100" s="448" t="str">
        <f aca="false">IF($G100=0,IF(CG$11=$H100,"◆",""),IF(AND(CG$11&gt;=$H100,CG$11&lt;=$I100),1,""))</f>
        <v/>
      </c>
      <c r="CH100" s="448" t="str">
        <f aca="false">IF($G100=0,IF(CH$11=$H100,"◆",""),IF(AND(CH$11&gt;=$H100,CH$11&lt;=$I100),1,""))</f>
        <v/>
      </c>
      <c r="CI100" s="448" t="str">
        <f aca="false">IF($G100=0,IF(CI$11=$H100,"◆",""),IF(AND(CI$11&gt;=$H100,CI$11&lt;=$I100),1,""))</f>
        <v/>
      </c>
      <c r="CJ100" s="448" t="str">
        <f aca="false">IF($G100=0,IF(CJ$11=$H100,"◆",""),IF(AND(CJ$11&gt;=$H100,CJ$11&lt;=$I100),1,""))</f>
        <v/>
      </c>
      <c r="CK100" s="448" t="str">
        <f aca="false">IF($G100=0,IF(CK$11=$H100,"◆",""),IF(AND(CK$11&gt;=$H100,CK$11&lt;=$I100),1,""))</f>
        <v/>
      </c>
      <c r="CL100" s="448" t="str">
        <f aca="false">IF($G100=0,IF(CL$11=$H100,"◆",""),IF(AND(CL$11&gt;=$H100,CL$11&lt;=$I100),1,""))</f>
        <v/>
      </c>
      <c r="CM100" s="448" t="str">
        <f aca="false">IF($G100=0,IF(CM$11=$H100,"◆",""),IF(AND(CM$11&gt;=$H100,CM$11&lt;=$I100),1,""))</f>
        <v/>
      </c>
      <c r="CN100" s="448" t="str">
        <f aca="false">IF($G100=0,IF(CN$11=$H100,"◆",""),IF(AND(CN$11&gt;=$H100,CN$11&lt;=$I100),1,""))</f>
        <v/>
      </c>
      <c r="CO100" s="448" t="str">
        <f aca="false">IF($G100=0,IF(CO$11=$H100,"◆",""),IF(AND(CO$11&gt;=$H100,CO$11&lt;=$I100),1,""))</f>
        <v/>
      </c>
      <c r="CP100" s="448" t="str">
        <f aca="false">IF($G100=0,IF(CP$11=$H100,"◆",""),IF(AND(CP$11&gt;=$H100,CP$11&lt;=$I100),1,""))</f>
        <v/>
      </c>
      <c r="CQ100" s="448" t="str">
        <f aca="false">IF($G100=0,IF(CQ$11=$H100,"◆",""),IF(AND(CQ$11&gt;=$H100,CQ$11&lt;=$I100),1,""))</f>
        <v/>
      </c>
      <c r="CR100" s="448" t="str">
        <f aca="false">IF($G100=0,IF(CR$11=$H100,"◆",""),IF(AND(CR$11&gt;=$H100,CR$11&lt;=$I100),1,""))</f>
        <v/>
      </c>
      <c r="CS100" s="448" t="str">
        <f aca="false">IF($G100=0,IF(CS$11=$H100,"◆",""),IF(AND(CS$11&gt;=$H100,CS$11&lt;=$I100),1,""))</f>
        <v/>
      </c>
      <c r="CT100" s="448" t="str">
        <f aca="false">IF($G100=0,IF(CT$11=$H100,"◆",""),IF(AND(CT$11&gt;=$H100,CT$11&lt;=$I100),1,""))</f>
        <v/>
      </c>
      <c r="CU100" s="448" t="str">
        <f aca="false">IF($G100=0,IF(CU$11=$H100,"◆",""),IF(AND(CU$11&gt;=$H100,CU$11&lt;=$I100),1,""))</f>
        <v/>
      </c>
      <c r="CV100" s="448" t="str">
        <f aca="false">IF($G100=0,IF(CV$11=$H100,"◆",""),IF(AND(CV$11&gt;=$H100,CV$11&lt;=$I100),1,""))</f>
        <v/>
      </c>
      <c r="CW100" s="448" t="str">
        <f aca="false">IF($G100=0,IF(CW$11=$H100,"◆",""),IF(AND(CW$11&gt;=$H100,CW$11&lt;=$I100),1,""))</f>
        <v/>
      </c>
      <c r="CX100" s="448" t="str">
        <f aca="false">IF($G100=0,IF(CX$11=$H100,"◆",""),IF(AND(CX$11&gt;=$H100,CX$11&lt;=$I100),1,""))</f>
        <v/>
      </c>
      <c r="CY100" s="448" t="str">
        <f aca="false">IF($G100=0,IF(CY$11=$H100,"◆",""),IF(AND(CY$11&gt;=$H100,CY$11&lt;=$I100),1,""))</f>
        <v/>
      </c>
      <c r="CZ100" s="448" t="str">
        <f aca="false">IF($G100=0,IF(CZ$11=$H100,"◆",""),IF(AND(CZ$11&gt;=$H100,CZ$11&lt;=$I100),1,""))</f>
        <v/>
      </c>
      <c r="DA100" s="448" t="str">
        <f aca="false">IF($G100=0,IF(DA$11=$H100,"◆",""),IF(AND(DA$11&gt;=$H100,DA$11&lt;=$I100),1,""))</f>
        <v/>
      </c>
      <c r="DB100" s="448" t="str">
        <f aca="false">IF($G100=0,IF(DB$11=$H100,"◆",""),IF(AND(DB$11&gt;=$H100,DB$11&lt;=$I100),1,""))</f>
        <v/>
      </c>
      <c r="DC100" s="448" t="str">
        <f aca="false">IF($G100=0,IF(DC$11=$H100,"◆",""),IF(AND(DC$11&gt;=$H100,DC$11&lt;=$I100),1,""))</f>
        <v/>
      </c>
      <c r="DD100" s="448" t="str">
        <f aca="false">IF($G100=0,IF(DD$11=$H100,"◆",""),IF(AND(DD$11&gt;=$H100,DD$11&lt;=$I100),1,""))</f>
        <v/>
      </c>
      <c r="DE100" s="448" t="str">
        <f aca="false">IF($G100=0,IF(DE$11=$H100,"◆",""),IF(AND(DE$11&gt;=$H100,DE$11&lt;=$I100),1,""))</f>
        <v/>
      </c>
      <c r="DF100" s="448" t="str">
        <f aca="false">IF($G100=0,IF(DF$11=$H100,"◆",""),IF(AND(DF$11&gt;=$H100,DF$11&lt;=$I100),1,""))</f>
        <v/>
      </c>
      <c r="DG100" s="448" t="str">
        <f aca="false">IF($G100=0,IF(DG$11=$H100,"◆",""),IF(AND(DG$11&gt;=$H100,DG$11&lt;=$I100),1,""))</f>
        <v/>
      </c>
      <c r="DH100" s="448" t="str">
        <f aca="false">IF($G100=0,IF(DH$11=$H100,"◆",""),IF(AND(DH$11&gt;=$H100,DH$11&lt;=$I100),1,""))</f>
        <v/>
      </c>
      <c r="DI100" s="448" t="str">
        <f aca="false">IF($G100=0,IF(DI$11=$H100,"◆",""),IF(AND(DI$11&gt;=$H100,DI$11&lt;=$I100),1,""))</f>
        <v/>
      </c>
      <c r="DJ100" s="448" t="str">
        <f aca="false">IF($G100=0,IF(DJ$11=$H100,"◆",""),IF(AND(DJ$11&gt;=$H100,DJ$11&lt;=$I100),1,""))</f>
        <v/>
      </c>
      <c r="DK100" s="448" t="str">
        <f aca="false">IF($G100=0,IF(DK$11=$H100,"◆",""),IF(AND(DK$11&gt;=$H100,DK$11&lt;=$I100),1,""))</f>
        <v/>
      </c>
      <c r="DL100" s="448" t="str">
        <f aca="false">IF($G100=0,IF(DL$11=$H100,"◆",""),IF(AND(DL$11&gt;=$H100,DL$11&lt;=$I100),1,""))</f>
        <v/>
      </c>
      <c r="DM100" s="448" t="str">
        <f aca="false">IF($G100=0,IF(DM$11=$H100,"◆",""),IF(AND(DM$11&gt;=$H100,DM$11&lt;=$I100),1,""))</f>
        <v/>
      </c>
      <c r="DN100" s="448" t="str">
        <f aca="false">IF($G100=0,IF(DN$11=$H100,"◆",""),IF(AND(DN$11&gt;=$H100,DN$11&lt;=$I100),1,""))</f>
        <v/>
      </c>
      <c r="DO100" s="448" t="str">
        <f aca="false">IF($G100=0,IF(DO$11=$H100,"◆",""),IF(AND(DO$11&gt;=$H100,DO$11&lt;=$I100),1,""))</f>
        <v/>
      </c>
      <c r="DP100" s="448" t="str">
        <f aca="false">IF($G100=0,IF(DP$11=$H100,"◆",""),IF(AND(DP$11&gt;=$H100,DP$11&lt;=$I100),1,""))</f>
        <v/>
      </c>
      <c r="DQ100" s="448" t="str">
        <f aca="false">IF($G100=0,IF(DQ$11=$H100,"◆",""),IF(AND(DQ$11&gt;=$H100,DQ$11&lt;=$I100),1,""))</f>
        <v/>
      </c>
      <c r="DR100" s="448" t="str">
        <f aca="false">IF($G100=0,IF(DR$11=$H100,"◆",""),IF(AND(DR$11&gt;=$H100,DR$11&lt;=$I100),1,""))</f>
        <v/>
      </c>
      <c r="DS100" s="448" t="str">
        <f aca="false">IF($G100=0,IF(DS$11=$H100,"◆",""),IF(AND(DS$11&gt;=$H100,DS$11&lt;=$I100),1,""))</f>
        <v/>
      </c>
      <c r="DT100" s="448" t="str">
        <f aca="false">IF($G100=0,IF(DT$11=$H100,"◆",""),IF(AND(DT$11&gt;=$H100,DT$11&lt;=$I100),1,""))</f>
        <v/>
      </c>
      <c r="DU100" s="448" t="str">
        <f aca="false">IF($G100=0,IF(DU$11=$H100,"◆",""),IF(AND(DU$11&gt;=$H100,DU$11&lt;=$I100),1,""))</f>
        <v/>
      </c>
      <c r="DV100" s="448" t="str">
        <f aca="false">IF($G100=0,IF(DV$11=$H100,"◆",""),IF(AND(DV$11&gt;=$H100,DV$11&lt;=$I100),1,""))</f>
        <v/>
      </c>
      <c r="DW100" s="448" t="str">
        <f aca="false">IF($G100=0,IF(DW$11=$H100,"◆",""),IF(AND(DW$11&gt;=$H100,DW$11&lt;=$I100),1,""))</f>
        <v/>
      </c>
      <c r="DX100" s="448" t="str">
        <f aca="false">IF($G100=0,IF(DX$11=$H100,"◆",""),IF(AND(DX$11&gt;=$H100,DX$11&lt;=$I100),1,""))</f>
        <v/>
      </c>
      <c r="DY100" s="448" t="str">
        <f aca="false">IF($G100=0,IF(DY$11=$H100,"◆",""),IF(AND(DY$11&gt;=$H100,DY$11&lt;=$I100),1,""))</f>
        <v/>
      </c>
      <c r="DZ100" s="448" t="str">
        <f aca="false">IF($G100=0,IF(DZ$11=$H100,"◆",""),IF(AND(DZ$11&gt;=$H100,DZ$11&lt;=$I100),1,""))</f>
        <v/>
      </c>
      <c r="EA100" s="448" t="str">
        <f aca="false">IF($G100=0,IF(EA$11=$H100,"◆",""),IF(AND(EA$11&gt;=$H100,EA$11&lt;=$I100),1,""))</f>
        <v/>
      </c>
      <c r="EB100" s="448" t="str">
        <f aca="false">IF($G100=0,IF(EB$11=$H100,"◆",""),IF(AND(EB$11&gt;=$H100,EB$11&lt;=$I100),1,""))</f>
        <v/>
      </c>
      <c r="EC100" s="448" t="str">
        <f aca="false">IF($G100=0,IF(EC$11=$H100,"◆",""),IF(AND(EC$11&gt;=$H100,EC$11&lt;=$I100),1,""))</f>
        <v/>
      </c>
      <c r="ED100" s="448" t="str">
        <f aca="false">IF($G100=0,IF(ED$11=$H100,"◆",""),IF(AND(ED$11&gt;=$H100,ED$11&lt;=$I100),1,""))</f>
        <v/>
      </c>
    </row>
    <row r="101" customFormat="false" ht="15" hidden="false" customHeight="true" outlineLevel="0" collapsed="false">
      <c r="A101" s="441" t="s">
        <v>2644</v>
      </c>
      <c r="B101" s="297" t="s">
        <v>2645</v>
      </c>
      <c r="C101" s="442" t="s">
        <v>2646</v>
      </c>
      <c r="D101" s="443" t="s">
        <v>2436</v>
      </c>
      <c r="E101" s="354" t="n">
        <f aca="false">1</f>
        <v>1</v>
      </c>
      <c r="F101" s="352" t="n">
        <v>6</v>
      </c>
      <c r="G101" s="352" t="n">
        <v>8</v>
      </c>
      <c r="H101" s="367" t="n">
        <f aca="false">MAX(1,ROUND(($E101-1)*$D$5,0)+1+$F101)</f>
        <v>7</v>
      </c>
      <c r="I101" s="367" t="n">
        <f aca="false">MAX($H101,$H101+$G101-1)</f>
        <v>14</v>
      </c>
      <c r="J101" s="444" t="n">
        <f aca="false">$D$4+($H101-1)*7</f>
        <v>46342</v>
      </c>
      <c r="K101" s="444" t="n">
        <f aca="false">$D$4+$I101*7-1</f>
        <v>46397</v>
      </c>
      <c r="L101" s="445" t="n">
        <f aca="false">ROUNDUP($H101/$D$5,0)</f>
        <v>2</v>
      </c>
      <c r="M101" s="446"/>
      <c r="N101" s="447" t="n">
        <v>0</v>
      </c>
      <c r="O101" s="448" t="str">
        <f aca="false">IF($G101=0,IF(O$11=$H101,"◆",""),IF(AND(O$11&gt;=$H101,O$11&lt;=$I101),1,""))</f>
        <v/>
      </c>
      <c r="P101" s="448" t="str">
        <f aca="false">IF($G101=0,IF(P$11=$H101,"◆",""),IF(AND(P$11&gt;=$H101,P$11&lt;=$I101),1,""))</f>
        <v/>
      </c>
      <c r="Q101" s="448" t="str">
        <f aca="false">IF($G101=0,IF(Q$11=$H101,"◆",""),IF(AND(Q$11&gt;=$H101,Q$11&lt;=$I101),1,""))</f>
        <v/>
      </c>
      <c r="R101" s="448" t="str">
        <f aca="false">IF($G101=0,IF(R$11=$H101,"◆",""),IF(AND(R$11&gt;=$H101,R$11&lt;=$I101),1,""))</f>
        <v/>
      </c>
      <c r="S101" s="448" t="str">
        <f aca="false">IF($G101=0,IF(S$11=$H101,"◆",""),IF(AND(S$11&gt;=$H101,S$11&lt;=$I101),1,""))</f>
        <v/>
      </c>
      <c r="T101" s="448" t="str">
        <f aca="false">IF($G101=0,IF(T$11=$H101,"◆",""),IF(AND(T$11&gt;=$H101,T$11&lt;=$I101),1,""))</f>
        <v/>
      </c>
      <c r="U101" s="448" t="n">
        <f aca="false">IF($G101=0,IF(U$11=$H101,"◆",""),IF(AND(U$11&gt;=$H101,U$11&lt;=$I101),1,""))</f>
        <v>1</v>
      </c>
      <c r="V101" s="448" t="n">
        <f aca="false">IF($G101=0,IF(V$11=$H101,"◆",""),IF(AND(V$11&gt;=$H101,V$11&lt;=$I101),1,""))</f>
        <v>1</v>
      </c>
      <c r="W101" s="448" t="n">
        <f aca="false">IF($G101=0,IF(W$11=$H101,"◆",""),IF(AND(W$11&gt;=$H101,W$11&lt;=$I101),1,""))</f>
        <v>1</v>
      </c>
      <c r="X101" s="448" t="n">
        <f aca="false">IF($G101=0,IF(X$11=$H101,"◆",""),IF(AND(X$11&gt;=$H101,X$11&lt;=$I101),1,""))</f>
        <v>1</v>
      </c>
      <c r="Y101" s="448" t="n">
        <f aca="false">IF($G101=0,IF(Y$11=$H101,"◆",""),IF(AND(Y$11&gt;=$H101,Y$11&lt;=$I101),1,""))</f>
        <v>1</v>
      </c>
      <c r="Z101" s="448" t="n">
        <f aca="false">IF($G101=0,IF(Z$11=$H101,"◆",""),IF(AND(Z$11&gt;=$H101,Z$11&lt;=$I101),1,""))</f>
        <v>1</v>
      </c>
      <c r="AA101" s="448" t="n">
        <f aca="false">IF($G101=0,IF(AA$11=$H101,"◆",""),IF(AND(AA$11&gt;=$H101,AA$11&lt;=$I101),1,""))</f>
        <v>1</v>
      </c>
      <c r="AB101" s="448" t="n">
        <f aca="false">IF($G101=0,IF(AB$11=$H101,"◆",""),IF(AND(AB$11&gt;=$H101,AB$11&lt;=$I101),1,""))</f>
        <v>1</v>
      </c>
      <c r="AC101" s="448" t="str">
        <f aca="false">IF($G101=0,IF(AC$11=$H101,"◆",""),IF(AND(AC$11&gt;=$H101,AC$11&lt;=$I101),1,""))</f>
        <v/>
      </c>
      <c r="AD101" s="448" t="str">
        <f aca="false">IF($G101=0,IF(AD$11=$H101,"◆",""),IF(AND(AD$11&gt;=$H101,AD$11&lt;=$I101),1,""))</f>
        <v/>
      </c>
      <c r="AE101" s="448" t="str">
        <f aca="false">IF($G101=0,IF(AE$11=$H101,"◆",""),IF(AND(AE$11&gt;=$H101,AE$11&lt;=$I101),1,""))</f>
        <v/>
      </c>
      <c r="AF101" s="448" t="str">
        <f aca="false">IF($G101=0,IF(AF$11=$H101,"◆",""),IF(AND(AF$11&gt;=$H101,AF$11&lt;=$I101),1,""))</f>
        <v/>
      </c>
      <c r="AG101" s="448" t="str">
        <f aca="false">IF($G101=0,IF(AG$11=$H101,"◆",""),IF(AND(AG$11&gt;=$H101,AG$11&lt;=$I101),1,""))</f>
        <v/>
      </c>
      <c r="AH101" s="448" t="str">
        <f aca="false">IF($G101=0,IF(AH$11=$H101,"◆",""),IF(AND(AH$11&gt;=$H101,AH$11&lt;=$I101),1,""))</f>
        <v/>
      </c>
      <c r="AI101" s="448" t="str">
        <f aca="false">IF($G101=0,IF(AI$11=$H101,"◆",""),IF(AND(AI$11&gt;=$H101,AI$11&lt;=$I101),1,""))</f>
        <v/>
      </c>
      <c r="AJ101" s="448" t="str">
        <f aca="false">IF($G101=0,IF(AJ$11=$H101,"◆",""),IF(AND(AJ$11&gt;=$H101,AJ$11&lt;=$I101),1,""))</f>
        <v/>
      </c>
      <c r="AK101" s="448" t="str">
        <f aca="false">IF($G101=0,IF(AK$11=$H101,"◆",""),IF(AND(AK$11&gt;=$H101,AK$11&lt;=$I101),1,""))</f>
        <v/>
      </c>
      <c r="AL101" s="448" t="str">
        <f aca="false">IF($G101=0,IF(AL$11=$H101,"◆",""),IF(AND(AL$11&gt;=$H101,AL$11&lt;=$I101),1,""))</f>
        <v/>
      </c>
      <c r="AM101" s="448" t="str">
        <f aca="false">IF($G101=0,IF(AM$11=$H101,"◆",""),IF(AND(AM$11&gt;=$H101,AM$11&lt;=$I101),1,""))</f>
        <v/>
      </c>
      <c r="AN101" s="448" t="str">
        <f aca="false">IF($G101=0,IF(AN$11=$H101,"◆",""),IF(AND(AN$11&gt;=$H101,AN$11&lt;=$I101),1,""))</f>
        <v/>
      </c>
      <c r="AO101" s="448" t="str">
        <f aca="false">IF($G101=0,IF(AO$11=$H101,"◆",""),IF(AND(AO$11&gt;=$H101,AO$11&lt;=$I101),1,""))</f>
        <v/>
      </c>
      <c r="AP101" s="448" t="str">
        <f aca="false">IF($G101=0,IF(AP$11=$H101,"◆",""),IF(AND(AP$11&gt;=$H101,AP$11&lt;=$I101),1,""))</f>
        <v/>
      </c>
      <c r="AQ101" s="448" t="str">
        <f aca="false">IF($G101=0,IF(AQ$11=$H101,"◆",""),IF(AND(AQ$11&gt;=$H101,AQ$11&lt;=$I101),1,""))</f>
        <v/>
      </c>
      <c r="AR101" s="448" t="str">
        <f aca="false">IF($G101=0,IF(AR$11=$H101,"◆",""),IF(AND(AR$11&gt;=$H101,AR$11&lt;=$I101),1,""))</f>
        <v/>
      </c>
      <c r="AS101" s="448" t="str">
        <f aca="false">IF($G101=0,IF(AS$11=$H101,"◆",""),IF(AND(AS$11&gt;=$H101,AS$11&lt;=$I101),1,""))</f>
        <v/>
      </c>
      <c r="AT101" s="448" t="str">
        <f aca="false">IF($G101=0,IF(AT$11=$H101,"◆",""),IF(AND(AT$11&gt;=$H101,AT$11&lt;=$I101),1,""))</f>
        <v/>
      </c>
      <c r="AU101" s="448" t="str">
        <f aca="false">IF($G101=0,IF(AU$11=$H101,"◆",""),IF(AND(AU$11&gt;=$H101,AU$11&lt;=$I101),1,""))</f>
        <v/>
      </c>
      <c r="AV101" s="448" t="str">
        <f aca="false">IF($G101=0,IF(AV$11=$H101,"◆",""),IF(AND(AV$11&gt;=$H101,AV$11&lt;=$I101),1,""))</f>
        <v/>
      </c>
      <c r="AW101" s="448" t="str">
        <f aca="false">IF($G101=0,IF(AW$11=$H101,"◆",""),IF(AND(AW$11&gt;=$H101,AW$11&lt;=$I101),1,""))</f>
        <v/>
      </c>
      <c r="AX101" s="448" t="str">
        <f aca="false">IF($G101=0,IF(AX$11=$H101,"◆",""),IF(AND(AX$11&gt;=$H101,AX$11&lt;=$I101),1,""))</f>
        <v/>
      </c>
      <c r="AY101" s="448" t="str">
        <f aca="false">IF($G101=0,IF(AY$11=$H101,"◆",""),IF(AND(AY$11&gt;=$H101,AY$11&lt;=$I101),1,""))</f>
        <v/>
      </c>
      <c r="AZ101" s="448" t="str">
        <f aca="false">IF($G101=0,IF(AZ$11=$H101,"◆",""),IF(AND(AZ$11&gt;=$H101,AZ$11&lt;=$I101),1,""))</f>
        <v/>
      </c>
      <c r="BA101" s="448" t="str">
        <f aca="false">IF($G101=0,IF(BA$11=$H101,"◆",""),IF(AND(BA$11&gt;=$H101,BA$11&lt;=$I101),1,""))</f>
        <v/>
      </c>
      <c r="BB101" s="448" t="str">
        <f aca="false">IF($G101=0,IF(BB$11=$H101,"◆",""),IF(AND(BB$11&gt;=$H101,BB$11&lt;=$I101),1,""))</f>
        <v/>
      </c>
      <c r="BC101" s="448" t="str">
        <f aca="false">IF($G101=0,IF(BC$11=$H101,"◆",""),IF(AND(BC$11&gt;=$H101,BC$11&lt;=$I101),1,""))</f>
        <v/>
      </c>
      <c r="BD101" s="448" t="str">
        <f aca="false">IF($G101=0,IF(BD$11=$H101,"◆",""),IF(AND(BD$11&gt;=$H101,BD$11&lt;=$I101),1,""))</f>
        <v/>
      </c>
      <c r="BE101" s="448" t="str">
        <f aca="false">IF($G101=0,IF(BE$11=$H101,"◆",""),IF(AND(BE$11&gt;=$H101,BE$11&lt;=$I101),1,""))</f>
        <v/>
      </c>
      <c r="BF101" s="448" t="str">
        <f aca="false">IF($G101=0,IF(BF$11=$H101,"◆",""),IF(AND(BF$11&gt;=$H101,BF$11&lt;=$I101),1,""))</f>
        <v/>
      </c>
      <c r="BG101" s="448" t="str">
        <f aca="false">IF($G101=0,IF(BG$11=$H101,"◆",""),IF(AND(BG$11&gt;=$H101,BG$11&lt;=$I101),1,""))</f>
        <v/>
      </c>
      <c r="BH101" s="448" t="str">
        <f aca="false">IF($G101=0,IF(BH$11=$H101,"◆",""),IF(AND(BH$11&gt;=$H101,BH$11&lt;=$I101),1,""))</f>
        <v/>
      </c>
      <c r="BI101" s="448" t="str">
        <f aca="false">IF($G101=0,IF(BI$11=$H101,"◆",""),IF(AND(BI$11&gt;=$H101,BI$11&lt;=$I101),1,""))</f>
        <v/>
      </c>
      <c r="BJ101" s="448" t="str">
        <f aca="false">IF($G101=0,IF(BJ$11=$H101,"◆",""),IF(AND(BJ$11&gt;=$H101,BJ$11&lt;=$I101),1,""))</f>
        <v/>
      </c>
      <c r="BK101" s="448" t="str">
        <f aca="false">IF($G101=0,IF(BK$11=$H101,"◆",""),IF(AND(BK$11&gt;=$H101,BK$11&lt;=$I101),1,""))</f>
        <v/>
      </c>
      <c r="BL101" s="448" t="str">
        <f aca="false">IF($G101=0,IF(BL$11=$H101,"◆",""),IF(AND(BL$11&gt;=$H101,BL$11&lt;=$I101),1,""))</f>
        <v/>
      </c>
      <c r="BM101" s="448" t="str">
        <f aca="false">IF($G101=0,IF(BM$11=$H101,"◆",""),IF(AND(BM$11&gt;=$H101,BM$11&lt;=$I101),1,""))</f>
        <v/>
      </c>
      <c r="BN101" s="448" t="str">
        <f aca="false">IF($G101=0,IF(BN$11=$H101,"◆",""),IF(AND(BN$11&gt;=$H101,BN$11&lt;=$I101),1,""))</f>
        <v/>
      </c>
      <c r="BO101" s="448" t="str">
        <f aca="false">IF($G101=0,IF(BO$11=$H101,"◆",""),IF(AND(BO$11&gt;=$H101,BO$11&lt;=$I101),1,""))</f>
        <v/>
      </c>
      <c r="BP101" s="448" t="str">
        <f aca="false">IF($G101=0,IF(BP$11=$H101,"◆",""),IF(AND(BP$11&gt;=$H101,BP$11&lt;=$I101),1,""))</f>
        <v/>
      </c>
      <c r="BQ101" s="448" t="str">
        <f aca="false">IF($G101=0,IF(BQ$11=$H101,"◆",""),IF(AND(BQ$11&gt;=$H101,BQ$11&lt;=$I101),1,""))</f>
        <v/>
      </c>
      <c r="BR101" s="448" t="str">
        <f aca="false">IF($G101=0,IF(BR$11=$H101,"◆",""),IF(AND(BR$11&gt;=$H101,BR$11&lt;=$I101),1,""))</f>
        <v/>
      </c>
      <c r="BS101" s="448" t="str">
        <f aca="false">IF($G101=0,IF(BS$11=$H101,"◆",""),IF(AND(BS$11&gt;=$H101,BS$11&lt;=$I101),1,""))</f>
        <v/>
      </c>
      <c r="BT101" s="448" t="str">
        <f aca="false">IF($G101=0,IF(BT$11=$H101,"◆",""),IF(AND(BT$11&gt;=$H101,BT$11&lt;=$I101),1,""))</f>
        <v/>
      </c>
      <c r="BU101" s="448" t="str">
        <f aca="false">IF($G101=0,IF(BU$11=$H101,"◆",""),IF(AND(BU$11&gt;=$H101,BU$11&lt;=$I101),1,""))</f>
        <v/>
      </c>
      <c r="BV101" s="448" t="str">
        <f aca="false">IF($G101=0,IF(BV$11=$H101,"◆",""),IF(AND(BV$11&gt;=$H101,BV$11&lt;=$I101),1,""))</f>
        <v/>
      </c>
      <c r="BW101" s="448" t="str">
        <f aca="false">IF($G101=0,IF(BW$11=$H101,"◆",""),IF(AND(BW$11&gt;=$H101,BW$11&lt;=$I101),1,""))</f>
        <v/>
      </c>
      <c r="BX101" s="448" t="str">
        <f aca="false">IF($G101=0,IF(BX$11=$H101,"◆",""),IF(AND(BX$11&gt;=$H101,BX$11&lt;=$I101),1,""))</f>
        <v/>
      </c>
      <c r="BY101" s="448" t="str">
        <f aca="false">IF($G101=0,IF(BY$11=$H101,"◆",""),IF(AND(BY$11&gt;=$H101,BY$11&lt;=$I101),1,""))</f>
        <v/>
      </c>
      <c r="BZ101" s="448" t="str">
        <f aca="false">IF($G101=0,IF(BZ$11=$H101,"◆",""),IF(AND(BZ$11&gt;=$H101,BZ$11&lt;=$I101),1,""))</f>
        <v/>
      </c>
      <c r="CA101" s="448" t="str">
        <f aca="false">IF($G101=0,IF(CA$11=$H101,"◆",""),IF(AND(CA$11&gt;=$H101,CA$11&lt;=$I101),1,""))</f>
        <v/>
      </c>
      <c r="CB101" s="448" t="str">
        <f aca="false">IF($G101=0,IF(CB$11=$H101,"◆",""),IF(AND(CB$11&gt;=$H101,CB$11&lt;=$I101),1,""))</f>
        <v/>
      </c>
      <c r="CC101" s="448" t="str">
        <f aca="false">IF($G101=0,IF(CC$11=$H101,"◆",""),IF(AND(CC$11&gt;=$H101,CC$11&lt;=$I101),1,""))</f>
        <v/>
      </c>
      <c r="CD101" s="448" t="str">
        <f aca="false">IF($G101=0,IF(CD$11=$H101,"◆",""),IF(AND(CD$11&gt;=$H101,CD$11&lt;=$I101),1,""))</f>
        <v/>
      </c>
      <c r="CE101" s="448" t="str">
        <f aca="false">IF($G101=0,IF(CE$11=$H101,"◆",""),IF(AND(CE$11&gt;=$H101,CE$11&lt;=$I101),1,""))</f>
        <v/>
      </c>
      <c r="CF101" s="448" t="str">
        <f aca="false">IF($G101=0,IF(CF$11=$H101,"◆",""),IF(AND(CF$11&gt;=$H101,CF$11&lt;=$I101),1,""))</f>
        <v/>
      </c>
      <c r="CG101" s="448" t="str">
        <f aca="false">IF($G101=0,IF(CG$11=$H101,"◆",""),IF(AND(CG$11&gt;=$H101,CG$11&lt;=$I101),1,""))</f>
        <v/>
      </c>
      <c r="CH101" s="448" t="str">
        <f aca="false">IF($G101=0,IF(CH$11=$H101,"◆",""),IF(AND(CH$11&gt;=$H101,CH$11&lt;=$I101),1,""))</f>
        <v/>
      </c>
      <c r="CI101" s="448" t="str">
        <f aca="false">IF($G101=0,IF(CI$11=$H101,"◆",""),IF(AND(CI$11&gt;=$H101,CI$11&lt;=$I101),1,""))</f>
        <v/>
      </c>
      <c r="CJ101" s="448" t="str">
        <f aca="false">IF($G101=0,IF(CJ$11=$H101,"◆",""),IF(AND(CJ$11&gt;=$H101,CJ$11&lt;=$I101),1,""))</f>
        <v/>
      </c>
      <c r="CK101" s="448" t="str">
        <f aca="false">IF($G101=0,IF(CK$11=$H101,"◆",""),IF(AND(CK$11&gt;=$H101,CK$11&lt;=$I101),1,""))</f>
        <v/>
      </c>
      <c r="CL101" s="448" t="str">
        <f aca="false">IF($G101=0,IF(CL$11=$H101,"◆",""),IF(AND(CL$11&gt;=$H101,CL$11&lt;=$I101),1,""))</f>
        <v/>
      </c>
      <c r="CM101" s="448" t="str">
        <f aca="false">IF($G101=0,IF(CM$11=$H101,"◆",""),IF(AND(CM$11&gt;=$H101,CM$11&lt;=$I101),1,""))</f>
        <v/>
      </c>
      <c r="CN101" s="448" t="str">
        <f aca="false">IF($G101=0,IF(CN$11=$H101,"◆",""),IF(AND(CN$11&gt;=$H101,CN$11&lt;=$I101),1,""))</f>
        <v/>
      </c>
      <c r="CO101" s="448" t="str">
        <f aca="false">IF($G101=0,IF(CO$11=$H101,"◆",""),IF(AND(CO$11&gt;=$H101,CO$11&lt;=$I101),1,""))</f>
        <v/>
      </c>
      <c r="CP101" s="448" t="str">
        <f aca="false">IF($G101=0,IF(CP$11=$H101,"◆",""),IF(AND(CP$11&gt;=$H101,CP$11&lt;=$I101),1,""))</f>
        <v/>
      </c>
      <c r="CQ101" s="448" t="str">
        <f aca="false">IF($G101=0,IF(CQ$11=$H101,"◆",""),IF(AND(CQ$11&gt;=$H101,CQ$11&lt;=$I101),1,""))</f>
        <v/>
      </c>
      <c r="CR101" s="448" t="str">
        <f aca="false">IF($G101=0,IF(CR$11=$H101,"◆",""),IF(AND(CR$11&gt;=$H101,CR$11&lt;=$I101),1,""))</f>
        <v/>
      </c>
      <c r="CS101" s="448" t="str">
        <f aca="false">IF($G101=0,IF(CS$11=$H101,"◆",""),IF(AND(CS$11&gt;=$H101,CS$11&lt;=$I101),1,""))</f>
        <v/>
      </c>
      <c r="CT101" s="448" t="str">
        <f aca="false">IF($G101=0,IF(CT$11=$H101,"◆",""),IF(AND(CT$11&gt;=$H101,CT$11&lt;=$I101),1,""))</f>
        <v/>
      </c>
      <c r="CU101" s="448" t="str">
        <f aca="false">IF($G101=0,IF(CU$11=$H101,"◆",""),IF(AND(CU$11&gt;=$H101,CU$11&lt;=$I101),1,""))</f>
        <v/>
      </c>
      <c r="CV101" s="448" t="str">
        <f aca="false">IF($G101=0,IF(CV$11=$H101,"◆",""),IF(AND(CV$11&gt;=$H101,CV$11&lt;=$I101),1,""))</f>
        <v/>
      </c>
      <c r="CW101" s="448" t="str">
        <f aca="false">IF($G101=0,IF(CW$11=$H101,"◆",""),IF(AND(CW$11&gt;=$H101,CW$11&lt;=$I101),1,""))</f>
        <v/>
      </c>
      <c r="CX101" s="448" t="str">
        <f aca="false">IF($G101=0,IF(CX$11=$H101,"◆",""),IF(AND(CX$11&gt;=$H101,CX$11&lt;=$I101),1,""))</f>
        <v/>
      </c>
      <c r="CY101" s="448" t="str">
        <f aca="false">IF($G101=0,IF(CY$11=$H101,"◆",""),IF(AND(CY$11&gt;=$H101,CY$11&lt;=$I101),1,""))</f>
        <v/>
      </c>
      <c r="CZ101" s="448" t="str">
        <f aca="false">IF($G101=0,IF(CZ$11=$H101,"◆",""),IF(AND(CZ$11&gt;=$H101,CZ$11&lt;=$I101),1,""))</f>
        <v/>
      </c>
      <c r="DA101" s="448" t="str">
        <f aca="false">IF($G101=0,IF(DA$11=$H101,"◆",""),IF(AND(DA$11&gt;=$H101,DA$11&lt;=$I101),1,""))</f>
        <v/>
      </c>
      <c r="DB101" s="448" t="str">
        <f aca="false">IF($G101=0,IF(DB$11=$H101,"◆",""),IF(AND(DB$11&gt;=$H101,DB$11&lt;=$I101),1,""))</f>
        <v/>
      </c>
      <c r="DC101" s="448" t="str">
        <f aca="false">IF($G101=0,IF(DC$11=$H101,"◆",""),IF(AND(DC$11&gt;=$H101,DC$11&lt;=$I101),1,""))</f>
        <v/>
      </c>
      <c r="DD101" s="448" t="str">
        <f aca="false">IF($G101=0,IF(DD$11=$H101,"◆",""),IF(AND(DD$11&gt;=$H101,DD$11&lt;=$I101),1,""))</f>
        <v/>
      </c>
      <c r="DE101" s="448" t="str">
        <f aca="false">IF($G101=0,IF(DE$11=$H101,"◆",""),IF(AND(DE$11&gt;=$H101,DE$11&lt;=$I101),1,""))</f>
        <v/>
      </c>
      <c r="DF101" s="448" t="str">
        <f aca="false">IF($G101=0,IF(DF$11=$H101,"◆",""),IF(AND(DF$11&gt;=$H101,DF$11&lt;=$I101),1,""))</f>
        <v/>
      </c>
      <c r="DG101" s="448" t="str">
        <f aca="false">IF($G101=0,IF(DG$11=$H101,"◆",""),IF(AND(DG$11&gt;=$H101,DG$11&lt;=$I101),1,""))</f>
        <v/>
      </c>
      <c r="DH101" s="448" t="str">
        <f aca="false">IF($G101=0,IF(DH$11=$H101,"◆",""),IF(AND(DH$11&gt;=$H101,DH$11&lt;=$I101),1,""))</f>
        <v/>
      </c>
      <c r="DI101" s="448" t="str">
        <f aca="false">IF($G101=0,IF(DI$11=$H101,"◆",""),IF(AND(DI$11&gt;=$H101,DI$11&lt;=$I101),1,""))</f>
        <v/>
      </c>
      <c r="DJ101" s="448" t="str">
        <f aca="false">IF($G101=0,IF(DJ$11=$H101,"◆",""),IF(AND(DJ$11&gt;=$H101,DJ$11&lt;=$I101),1,""))</f>
        <v/>
      </c>
      <c r="DK101" s="448" t="str">
        <f aca="false">IF($G101=0,IF(DK$11=$H101,"◆",""),IF(AND(DK$11&gt;=$H101,DK$11&lt;=$I101),1,""))</f>
        <v/>
      </c>
      <c r="DL101" s="448" t="str">
        <f aca="false">IF($G101=0,IF(DL$11=$H101,"◆",""),IF(AND(DL$11&gt;=$H101,DL$11&lt;=$I101),1,""))</f>
        <v/>
      </c>
      <c r="DM101" s="448" t="str">
        <f aca="false">IF($G101=0,IF(DM$11=$H101,"◆",""),IF(AND(DM$11&gt;=$H101,DM$11&lt;=$I101),1,""))</f>
        <v/>
      </c>
      <c r="DN101" s="448" t="str">
        <f aca="false">IF($G101=0,IF(DN$11=$H101,"◆",""),IF(AND(DN$11&gt;=$H101,DN$11&lt;=$I101),1,""))</f>
        <v/>
      </c>
      <c r="DO101" s="448" t="str">
        <f aca="false">IF($G101=0,IF(DO$11=$H101,"◆",""),IF(AND(DO$11&gt;=$H101,DO$11&lt;=$I101),1,""))</f>
        <v/>
      </c>
      <c r="DP101" s="448" t="str">
        <f aca="false">IF($G101=0,IF(DP$11=$H101,"◆",""),IF(AND(DP$11&gt;=$H101,DP$11&lt;=$I101),1,""))</f>
        <v/>
      </c>
      <c r="DQ101" s="448" t="str">
        <f aca="false">IF($G101=0,IF(DQ$11=$H101,"◆",""),IF(AND(DQ$11&gt;=$H101,DQ$11&lt;=$I101),1,""))</f>
        <v/>
      </c>
      <c r="DR101" s="448" t="str">
        <f aca="false">IF($G101=0,IF(DR$11=$H101,"◆",""),IF(AND(DR$11&gt;=$H101,DR$11&lt;=$I101),1,""))</f>
        <v/>
      </c>
      <c r="DS101" s="448" t="str">
        <f aca="false">IF($G101=0,IF(DS$11=$H101,"◆",""),IF(AND(DS$11&gt;=$H101,DS$11&lt;=$I101),1,""))</f>
        <v/>
      </c>
      <c r="DT101" s="448" t="str">
        <f aca="false">IF($G101=0,IF(DT$11=$H101,"◆",""),IF(AND(DT$11&gt;=$H101,DT$11&lt;=$I101),1,""))</f>
        <v/>
      </c>
      <c r="DU101" s="448" t="str">
        <f aca="false">IF($G101=0,IF(DU$11=$H101,"◆",""),IF(AND(DU$11&gt;=$H101,DU$11&lt;=$I101),1,""))</f>
        <v/>
      </c>
      <c r="DV101" s="448" t="str">
        <f aca="false">IF($G101=0,IF(DV$11=$H101,"◆",""),IF(AND(DV$11&gt;=$H101,DV$11&lt;=$I101),1,""))</f>
        <v/>
      </c>
      <c r="DW101" s="448" t="str">
        <f aca="false">IF($G101=0,IF(DW$11=$H101,"◆",""),IF(AND(DW$11&gt;=$H101,DW$11&lt;=$I101),1,""))</f>
        <v/>
      </c>
      <c r="DX101" s="448" t="str">
        <f aca="false">IF($G101=0,IF(DX$11=$H101,"◆",""),IF(AND(DX$11&gt;=$H101,DX$11&lt;=$I101),1,""))</f>
        <v/>
      </c>
      <c r="DY101" s="448" t="str">
        <f aca="false">IF($G101=0,IF(DY$11=$H101,"◆",""),IF(AND(DY$11&gt;=$H101,DY$11&lt;=$I101),1,""))</f>
        <v/>
      </c>
      <c r="DZ101" s="448" t="str">
        <f aca="false">IF($G101=0,IF(DZ$11=$H101,"◆",""),IF(AND(DZ$11&gt;=$H101,DZ$11&lt;=$I101),1,""))</f>
        <v/>
      </c>
      <c r="EA101" s="448" t="str">
        <f aca="false">IF($G101=0,IF(EA$11=$H101,"◆",""),IF(AND(EA$11&gt;=$H101,EA$11&lt;=$I101),1,""))</f>
        <v/>
      </c>
      <c r="EB101" s="448" t="str">
        <f aca="false">IF($G101=0,IF(EB$11=$H101,"◆",""),IF(AND(EB$11&gt;=$H101,EB$11&lt;=$I101),1,""))</f>
        <v/>
      </c>
      <c r="EC101" s="448" t="str">
        <f aca="false">IF($G101=0,IF(EC$11=$H101,"◆",""),IF(AND(EC$11&gt;=$H101,EC$11&lt;=$I101),1,""))</f>
        <v/>
      </c>
      <c r="ED101" s="448" t="str">
        <f aca="false">IF($G101=0,IF(ED$11=$H101,"◆",""),IF(AND(ED$11&gt;=$H101,ED$11&lt;=$I101),1,""))</f>
        <v/>
      </c>
    </row>
    <row r="102" customFormat="false" ht="15" hidden="false" customHeight="true" outlineLevel="0" collapsed="false">
      <c r="A102" s="441" t="s">
        <v>2647</v>
      </c>
      <c r="B102" s="297" t="s">
        <v>2648</v>
      </c>
      <c r="C102" s="442" t="s">
        <v>2528</v>
      </c>
      <c r="D102" s="443" t="s">
        <v>2634</v>
      </c>
      <c r="E102" s="354" t="n">
        <f aca="false">FC_SUPUESTOS!$C$40</f>
        <v>10</v>
      </c>
      <c r="F102" s="352" t="n">
        <v>-14</v>
      </c>
      <c r="G102" s="352" t="n">
        <v>4</v>
      </c>
      <c r="H102" s="367" t="n">
        <f aca="false">MAX(1,ROUND(($E102-1)*$D$5,0)+1+$F102)</f>
        <v>26</v>
      </c>
      <c r="I102" s="367" t="n">
        <f aca="false">MAX($H102,$H102+$G102-1)</f>
        <v>29</v>
      </c>
      <c r="J102" s="444" t="n">
        <f aca="false">$D$4+($H102-1)*7</f>
        <v>46475</v>
      </c>
      <c r="K102" s="444" t="n">
        <f aca="false">$D$4+$I102*7-1</f>
        <v>46502</v>
      </c>
      <c r="L102" s="445" t="n">
        <f aca="false">ROUNDUP($H102/$D$5,0)</f>
        <v>6</v>
      </c>
      <c r="M102" s="446"/>
      <c r="N102" s="447" t="n">
        <v>0</v>
      </c>
      <c r="O102" s="448" t="str">
        <f aca="false">IF($G102=0,IF(O$11=$H102,"◆",""),IF(AND(O$11&gt;=$H102,O$11&lt;=$I102),1,""))</f>
        <v/>
      </c>
      <c r="P102" s="448" t="str">
        <f aca="false">IF($G102=0,IF(P$11=$H102,"◆",""),IF(AND(P$11&gt;=$H102,P$11&lt;=$I102),1,""))</f>
        <v/>
      </c>
      <c r="Q102" s="448" t="str">
        <f aca="false">IF($G102=0,IF(Q$11=$H102,"◆",""),IF(AND(Q$11&gt;=$H102,Q$11&lt;=$I102),1,""))</f>
        <v/>
      </c>
      <c r="R102" s="448" t="str">
        <f aca="false">IF($G102=0,IF(R$11=$H102,"◆",""),IF(AND(R$11&gt;=$H102,R$11&lt;=$I102),1,""))</f>
        <v/>
      </c>
      <c r="S102" s="448" t="str">
        <f aca="false">IF($G102=0,IF(S$11=$H102,"◆",""),IF(AND(S$11&gt;=$H102,S$11&lt;=$I102),1,""))</f>
        <v/>
      </c>
      <c r="T102" s="448" t="str">
        <f aca="false">IF($G102=0,IF(T$11=$H102,"◆",""),IF(AND(T$11&gt;=$H102,T$11&lt;=$I102),1,""))</f>
        <v/>
      </c>
      <c r="U102" s="448" t="str">
        <f aca="false">IF($G102=0,IF(U$11=$H102,"◆",""),IF(AND(U$11&gt;=$H102,U$11&lt;=$I102),1,""))</f>
        <v/>
      </c>
      <c r="V102" s="448" t="str">
        <f aca="false">IF($G102=0,IF(V$11=$H102,"◆",""),IF(AND(V$11&gt;=$H102,V$11&lt;=$I102),1,""))</f>
        <v/>
      </c>
      <c r="W102" s="448" t="str">
        <f aca="false">IF($G102=0,IF(W$11=$H102,"◆",""),IF(AND(W$11&gt;=$H102,W$11&lt;=$I102),1,""))</f>
        <v/>
      </c>
      <c r="X102" s="448" t="str">
        <f aca="false">IF($G102=0,IF(X$11=$H102,"◆",""),IF(AND(X$11&gt;=$H102,X$11&lt;=$I102),1,""))</f>
        <v/>
      </c>
      <c r="Y102" s="448" t="str">
        <f aca="false">IF($G102=0,IF(Y$11=$H102,"◆",""),IF(AND(Y$11&gt;=$H102,Y$11&lt;=$I102),1,""))</f>
        <v/>
      </c>
      <c r="Z102" s="448" t="str">
        <f aca="false">IF($G102=0,IF(Z$11=$H102,"◆",""),IF(AND(Z$11&gt;=$H102,Z$11&lt;=$I102),1,""))</f>
        <v/>
      </c>
      <c r="AA102" s="448" t="str">
        <f aca="false">IF($G102=0,IF(AA$11=$H102,"◆",""),IF(AND(AA$11&gt;=$H102,AA$11&lt;=$I102),1,""))</f>
        <v/>
      </c>
      <c r="AB102" s="448" t="str">
        <f aca="false">IF($G102=0,IF(AB$11=$H102,"◆",""),IF(AND(AB$11&gt;=$H102,AB$11&lt;=$I102),1,""))</f>
        <v/>
      </c>
      <c r="AC102" s="448" t="str">
        <f aca="false">IF($G102=0,IF(AC$11=$H102,"◆",""),IF(AND(AC$11&gt;=$H102,AC$11&lt;=$I102),1,""))</f>
        <v/>
      </c>
      <c r="AD102" s="448" t="str">
        <f aca="false">IF($G102=0,IF(AD$11=$H102,"◆",""),IF(AND(AD$11&gt;=$H102,AD$11&lt;=$I102),1,""))</f>
        <v/>
      </c>
      <c r="AE102" s="448" t="str">
        <f aca="false">IF($G102=0,IF(AE$11=$H102,"◆",""),IF(AND(AE$11&gt;=$H102,AE$11&lt;=$I102),1,""))</f>
        <v/>
      </c>
      <c r="AF102" s="448" t="str">
        <f aca="false">IF($G102=0,IF(AF$11=$H102,"◆",""),IF(AND(AF$11&gt;=$H102,AF$11&lt;=$I102),1,""))</f>
        <v/>
      </c>
      <c r="AG102" s="448" t="str">
        <f aca="false">IF($G102=0,IF(AG$11=$H102,"◆",""),IF(AND(AG$11&gt;=$H102,AG$11&lt;=$I102),1,""))</f>
        <v/>
      </c>
      <c r="AH102" s="448" t="str">
        <f aca="false">IF($G102=0,IF(AH$11=$H102,"◆",""),IF(AND(AH$11&gt;=$H102,AH$11&lt;=$I102),1,""))</f>
        <v/>
      </c>
      <c r="AI102" s="448" t="str">
        <f aca="false">IF($G102=0,IF(AI$11=$H102,"◆",""),IF(AND(AI$11&gt;=$H102,AI$11&lt;=$I102),1,""))</f>
        <v/>
      </c>
      <c r="AJ102" s="448" t="str">
        <f aca="false">IF($G102=0,IF(AJ$11=$H102,"◆",""),IF(AND(AJ$11&gt;=$H102,AJ$11&lt;=$I102),1,""))</f>
        <v/>
      </c>
      <c r="AK102" s="448" t="str">
        <f aca="false">IF($G102=0,IF(AK$11=$H102,"◆",""),IF(AND(AK$11&gt;=$H102,AK$11&lt;=$I102),1,""))</f>
        <v/>
      </c>
      <c r="AL102" s="448" t="str">
        <f aca="false">IF($G102=0,IF(AL$11=$H102,"◆",""),IF(AND(AL$11&gt;=$H102,AL$11&lt;=$I102),1,""))</f>
        <v/>
      </c>
      <c r="AM102" s="448" t="str">
        <f aca="false">IF($G102=0,IF(AM$11=$H102,"◆",""),IF(AND(AM$11&gt;=$H102,AM$11&lt;=$I102),1,""))</f>
        <v/>
      </c>
      <c r="AN102" s="448" t="n">
        <f aca="false">IF($G102=0,IF(AN$11=$H102,"◆",""),IF(AND(AN$11&gt;=$H102,AN$11&lt;=$I102),1,""))</f>
        <v>1</v>
      </c>
      <c r="AO102" s="448" t="n">
        <f aca="false">IF($G102=0,IF(AO$11=$H102,"◆",""),IF(AND(AO$11&gt;=$H102,AO$11&lt;=$I102),1,""))</f>
        <v>1</v>
      </c>
      <c r="AP102" s="448" t="n">
        <f aca="false">IF($G102=0,IF(AP$11=$H102,"◆",""),IF(AND(AP$11&gt;=$H102,AP$11&lt;=$I102),1,""))</f>
        <v>1</v>
      </c>
      <c r="AQ102" s="448" t="n">
        <f aca="false">IF($G102=0,IF(AQ$11=$H102,"◆",""),IF(AND(AQ$11&gt;=$H102,AQ$11&lt;=$I102),1,""))</f>
        <v>1</v>
      </c>
      <c r="AR102" s="448" t="str">
        <f aca="false">IF($G102=0,IF(AR$11=$H102,"◆",""),IF(AND(AR$11&gt;=$H102,AR$11&lt;=$I102),1,""))</f>
        <v/>
      </c>
      <c r="AS102" s="448" t="str">
        <f aca="false">IF($G102=0,IF(AS$11=$H102,"◆",""),IF(AND(AS$11&gt;=$H102,AS$11&lt;=$I102),1,""))</f>
        <v/>
      </c>
      <c r="AT102" s="448" t="str">
        <f aca="false">IF($G102=0,IF(AT$11=$H102,"◆",""),IF(AND(AT$11&gt;=$H102,AT$11&lt;=$I102),1,""))</f>
        <v/>
      </c>
      <c r="AU102" s="448" t="str">
        <f aca="false">IF($G102=0,IF(AU$11=$H102,"◆",""),IF(AND(AU$11&gt;=$H102,AU$11&lt;=$I102),1,""))</f>
        <v/>
      </c>
      <c r="AV102" s="448" t="str">
        <f aca="false">IF($G102=0,IF(AV$11=$H102,"◆",""),IF(AND(AV$11&gt;=$H102,AV$11&lt;=$I102),1,""))</f>
        <v/>
      </c>
      <c r="AW102" s="448" t="str">
        <f aca="false">IF($G102=0,IF(AW$11=$H102,"◆",""),IF(AND(AW$11&gt;=$H102,AW$11&lt;=$I102),1,""))</f>
        <v/>
      </c>
      <c r="AX102" s="448" t="str">
        <f aca="false">IF($G102=0,IF(AX$11=$H102,"◆",""),IF(AND(AX$11&gt;=$H102,AX$11&lt;=$I102),1,""))</f>
        <v/>
      </c>
      <c r="AY102" s="448" t="str">
        <f aca="false">IF($G102=0,IF(AY$11=$H102,"◆",""),IF(AND(AY$11&gt;=$H102,AY$11&lt;=$I102),1,""))</f>
        <v/>
      </c>
      <c r="AZ102" s="448" t="str">
        <f aca="false">IF($G102=0,IF(AZ$11=$H102,"◆",""),IF(AND(AZ$11&gt;=$H102,AZ$11&lt;=$I102),1,""))</f>
        <v/>
      </c>
      <c r="BA102" s="448" t="str">
        <f aca="false">IF($G102=0,IF(BA$11=$H102,"◆",""),IF(AND(BA$11&gt;=$H102,BA$11&lt;=$I102),1,""))</f>
        <v/>
      </c>
      <c r="BB102" s="448" t="str">
        <f aca="false">IF($G102=0,IF(BB$11=$H102,"◆",""),IF(AND(BB$11&gt;=$H102,BB$11&lt;=$I102),1,""))</f>
        <v/>
      </c>
      <c r="BC102" s="448" t="str">
        <f aca="false">IF($G102=0,IF(BC$11=$H102,"◆",""),IF(AND(BC$11&gt;=$H102,BC$11&lt;=$I102),1,""))</f>
        <v/>
      </c>
      <c r="BD102" s="448" t="str">
        <f aca="false">IF($G102=0,IF(BD$11=$H102,"◆",""),IF(AND(BD$11&gt;=$H102,BD$11&lt;=$I102),1,""))</f>
        <v/>
      </c>
      <c r="BE102" s="448" t="str">
        <f aca="false">IF($G102=0,IF(BE$11=$H102,"◆",""),IF(AND(BE$11&gt;=$H102,BE$11&lt;=$I102),1,""))</f>
        <v/>
      </c>
      <c r="BF102" s="448" t="str">
        <f aca="false">IF($G102=0,IF(BF$11=$H102,"◆",""),IF(AND(BF$11&gt;=$H102,BF$11&lt;=$I102),1,""))</f>
        <v/>
      </c>
      <c r="BG102" s="448" t="str">
        <f aca="false">IF($G102=0,IF(BG$11=$H102,"◆",""),IF(AND(BG$11&gt;=$H102,BG$11&lt;=$I102),1,""))</f>
        <v/>
      </c>
      <c r="BH102" s="448" t="str">
        <f aca="false">IF($G102=0,IF(BH$11=$H102,"◆",""),IF(AND(BH$11&gt;=$H102,BH$11&lt;=$I102),1,""))</f>
        <v/>
      </c>
      <c r="BI102" s="448" t="str">
        <f aca="false">IF($G102=0,IF(BI$11=$H102,"◆",""),IF(AND(BI$11&gt;=$H102,BI$11&lt;=$I102),1,""))</f>
        <v/>
      </c>
      <c r="BJ102" s="448" t="str">
        <f aca="false">IF($G102=0,IF(BJ$11=$H102,"◆",""),IF(AND(BJ$11&gt;=$H102,BJ$11&lt;=$I102),1,""))</f>
        <v/>
      </c>
      <c r="BK102" s="448" t="str">
        <f aca="false">IF($G102=0,IF(BK$11=$H102,"◆",""),IF(AND(BK$11&gt;=$H102,BK$11&lt;=$I102),1,""))</f>
        <v/>
      </c>
      <c r="BL102" s="448" t="str">
        <f aca="false">IF($G102=0,IF(BL$11=$H102,"◆",""),IF(AND(BL$11&gt;=$H102,BL$11&lt;=$I102),1,""))</f>
        <v/>
      </c>
      <c r="BM102" s="448" t="str">
        <f aca="false">IF($G102=0,IF(BM$11=$H102,"◆",""),IF(AND(BM$11&gt;=$H102,BM$11&lt;=$I102),1,""))</f>
        <v/>
      </c>
      <c r="BN102" s="448" t="str">
        <f aca="false">IF($G102=0,IF(BN$11=$H102,"◆",""),IF(AND(BN$11&gt;=$H102,BN$11&lt;=$I102),1,""))</f>
        <v/>
      </c>
      <c r="BO102" s="448" t="str">
        <f aca="false">IF($G102=0,IF(BO$11=$H102,"◆",""),IF(AND(BO$11&gt;=$H102,BO$11&lt;=$I102),1,""))</f>
        <v/>
      </c>
      <c r="BP102" s="448" t="str">
        <f aca="false">IF($G102=0,IF(BP$11=$H102,"◆",""),IF(AND(BP$11&gt;=$H102,BP$11&lt;=$I102),1,""))</f>
        <v/>
      </c>
      <c r="BQ102" s="448" t="str">
        <f aca="false">IF($G102=0,IF(BQ$11=$H102,"◆",""),IF(AND(BQ$11&gt;=$H102,BQ$11&lt;=$I102),1,""))</f>
        <v/>
      </c>
      <c r="BR102" s="448" t="str">
        <f aca="false">IF($G102=0,IF(BR$11=$H102,"◆",""),IF(AND(BR$11&gt;=$H102,BR$11&lt;=$I102),1,""))</f>
        <v/>
      </c>
      <c r="BS102" s="448" t="str">
        <f aca="false">IF($G102=0,IF(BS$11=$H102,"◆",""),IF(AND(BS$11&gt;=$H102,BS$11&lt;=$I102),1,""))</f>
        <v/>
      </c>
      <c r="BT102" s="448" t="str">
        <f aca="false">IF($G102=0,IF(BT$11=$H102,"◆",""),IF(AND(BT$11&gt;=$H102,BT$11&lt;=$I102),1,""))</f>
        <v/>
      </c>
      <c r="BU102" s="448" t="str">
        <f aca="false">IF($G102=0,IF(BU$11=$H102,"◆",""),IF(AND(BU$11&gt;=$H102,BU$11&lt;=$I102),1,""))</f>
        <v/>
      </c>
      <c r="BV102" s="448" t="str">
        <f aca="false">IF($G102=0,IF(BV$11=$H102,"◆",""),IF(AND(BV$11&gt;=$H102,BV$11&lt;=$I102),1,""))</f>
        <v/>
      </c>
      <c r="BW102" s="448" t="str">
        <f aca="false">IF($G102=0,IF(BW$11=$H102,"◆",""),IF(AND(BW$11&gt;=$H102,BW$11&lt;=$I102),1,""))</f>
        <v/>
      </c>
      <c r="BX102" s="448" t="str">
        <f aca="false">IF($G102=0,IF(BX$11=$H102,"◆",""),IF(AND(BX$11&gt;=$H102,BX$11&lt;=$I102),1,""))</f>
        <v/>
      </c>
      <c r="BY102" s="448" t="str">
        <f aca="false">IF($G102=0,IF(BY$11=$H102,"◆",""),IF(AND(BY$11&gt;=$H102,BY$11&lt;=$I102),1,""))</f>
        <v/>
      </c>
      <c r="BZ102" s="448" t="str">
        <f aca="false">IF($G102=0,IF(BZ$11=$H102,"◆",""),IF(AND(BZ$11&gt;=$H102,BZ$11&lt;=$I102),1,""))</f>
        <v/>
      </c>
      <c r="CA102" s="448" t="str">
        <f aca="false">IF($G102=0,IF(CA$11=$H102,"◆",""),IF(AND(CA$11&gt;=$H102,CA$11&lt;=$I102),1,""))</f>
        <v/>
      </c>
      <c r="CB102" s="448" t="str">
        <f aca="false">IF($G102=0,IF(CB$11=$H102,"◆",""),IF(AND(CB$11&gt;=$H102,CB$11&lt;=$I102),1,""))</f>
        <v/>
      </c>
      <c r="CC102" s="448" t="str">
        <f aca="false">IF($G102=0,IF(CC$11=$H102,"◆",""),IF(AND(CC$11&gt;=$H102,CC$11&lt;=$I102),1,""))</f>
        <v/>
      </c>
      <c r="CD102" s="448" t="str">
        <f aca="false">IF($G102=0,IF(CD$11=$H102,"◆",""),IF(AND(CD$11&gt;=$H102,CD$11&lt;=$I102),1,""))</f>
        <v/>
      </c>
      <c r="CE102" s="448" t="str">
        <f aca="false">IF($G102=0,IF(CE$11=$H102,"◆",""),IF(AND(CE$11&gt;=$H102,CE$11&lt;=$I102),1,""))</f>
        <v/>
      </c>
      <c r="CF102" s="448" t="str">
        <f aca="false">IF($G102=0,IF(CF$11=$H102,"◆",""),IF(AND(CF$11&gt;=$H102,CF$11&lt;=$I102),1,""))</f>
        <v/>
      </c>
      <c r="CG102" s="448" t="str">
        <f aca="false">IF($G102=0,IF(CG$11=$H102,"◆",""),IF(AND(CG$11&gt;=$H102,CG$11&lt;=$I102),1,""))</f>
        <v/>
      </c>
      <c r="CH102" s="448" t="str">
        <f aca="false">IF($G102=0,IF(CH$11=$H102,"◆",""),IF(AND(CH$11&gt;=$H102,CH$11&lt;=$I102),1,""))</f>
        <v/>
      </c>
      <c r="CI102" s="448" t="str">
        <f aca="false">IF($G102=0,IF(CI$11=$H102,"◆",""),IF(AND(CI$11&gt;=$H102,CI$11&lt;=$I102),1,""))</f>
        <v/>
      </c>
      <c r="CJ102" s="448" t="str">
        <f aca="false">IF($G102=0,IF(CJ$11=$H102,"◆",""),IF(AND(CJ$11&gt;=$H102,CJ$11&lt;=$I102),1,""))</f>
        <v/>
      </c>
      <c r="CK102" s="448" t="str">
        <f aca="false">IF($G102=0,IF(CK$11=$H102,"◆",""),IF(AND(CK$11&gt;=$H102,CK$11&lt;=$I102),1,""))</f>
        <v/>
      </c>
      <c r="CL102" s="448" t="str">
        <f aca="false">IF($G102=0,IF(CL$11=$H102,"◆",""),IF(AND(CL$11&gt;=$H102,CL$11&lt;=$I102),1,""))</f>
        <v/>
      </c>
      <c r="CM102" s="448" t="str">
        <f aca="false">IF($G102=0,IF(CM$11=$H102,"◆",""),IF(AND(CM$11&gt;=$H102,CM$11&lt;=$I102),1,""))</f>
        <v/>
      </c>
      <c r="CN102" s="448" t="str">
        <f aca="false">IF($G102=0,IF(CN$11=$H102,"◆",""),IF(AND(CN$11&gt;=$H102,CN$11&lt;=$I102),1,""))</f>
        <v/>
      </c>
      <c r="CO102" s="448" t="str">
        <f aca="false">IF($G102=0,IF(CO$11=$H102,"◆",""),IF(AND(CO$11&gt;=$H102,CO$11&lt;=$I102),1,""))</f>
        <v/>
      </c>
      <c r="CP102" s="448" t="str">
        <f aca="false">IF($G102=0,IF(CP$11=$H102,"◆",""),IF(AND(CP$11&gt;=$H102,CP$11&lt;=$I102),1,""))</f>
        <v/>
      </c>
      <c r="CQ102" s="448" t="str">
        <f aca="false">IF($G102=0,IF(CQ$11=$H102,"◆",""),IF(AND(CQ$11&gt;=$H102,CQ$11&lt;=$I102),1,""))</f>
        <v/>
      </c>
      <c r="CR102" s="448" t="str">
        <f aca="false">IF($G102=0,IF(CR$11=$H102,"◆",""),IF(AND(CR$11&gt;=$H102,CR$11&lt;=$I102),1,""))</f>
        <v/>
      </c>
      <c r="CS102" s="448" t="str">
        <f aca="false">IF($G102=0,IF(CS$11=$H102,"◆",""),IF(AND(CS$11&gt;=$H102,CS$11&lt;=$I102),1,""))</f>
        <v/>
      </c>
      <c r="CT102" s="448" t="str">
        <f aca="false">IF($G102=0,IF(CT$11=$H102,"◆",""),IF(AND(CT$11&gt;=$H102,CT$11&lt;=$I102),1,""))</f>
        <v/>
      </c>
      <c r="CU102" s="448" t="str">
        <f aca="false">IF($G102=0,IF(CU$11=$H102,"◆",""),IF(AND(CU$11&gt;=$H102,CU$11&lt;=$I102),1,""))</f>
        <v/>
      </c>
      <c r="CV102" s="448" t="str">
        <f aca="false">IF($G102=0,IF(CV$11=$H102,"◆",""),IF(AND(CV$11&gt;=$H102,CV$11&lt;=$I102),1,""))</f>
        <v/>
      </c>
      <c r="CW102" s="448" t="str">
        <f aca="false">IF($G102=0,IF(CW$11=$H102,"◆",""),IF(AND(CW$11&gt;=$H102,CW$11&lt;=$I102),1,""))</f>
        <v/>
      </c>
      <c r="CX102" s="448" t="str">
        <f aca="false">IF($G102=0,IF(CX$11=$H102,"◆",""),IF(AND(CX$11&gt;=$H102,CX$11&lt;=$I102),1,""))</f>
        <v/>
      </c>
      <c r="CY102" s="448" t="str">
        <f aca="false">IF($G102=0,IF(CY$11=$H102,"◆",""),IF(AND(CY$11&gt;=$H102,CY$11&lt;=$I102),1,""))</f>
        <v/>
      </c>
      <c r="CZ102" s="448" t="str">
        <f aca="false">IF($G102=0,IF(CZ$11=$H102,"◆",""),IF(AND(CZ$11&gt;=$H102,CZ$11&lt;=$I102),1,""))</f>
        <v/>
      </c>
      <c r="DA102" s="448" t="str">
        <f aca="false">IF($G102=0,IF(DA$11=$H102,"◆",""),IF(AND(DA$11&gt;=$H102,DA$11&lt;=$I102),1,""))</f>
        <v/>
      </c>
      <c r="DB102" s="448" t="str">
        <f aca="false">IF($G102=0,IF(DB$11=$H102,"◆",""),IF(AND(DB$11&gt;=$H102,DB$11&lt;=$I102),1,""))</f>
        <v/>
      </c>
      <c r="DC102" s="448" t="str">
        <f aca="false">IF($G102=0,IF(DC$11=$H102,"◆",""),IF(AND(DC$11&gt;=$H102,DC$11&lt;=$I102),1,""))</f>
        <v/>
      </c>
      <c r="DD102" s="448" t="str">
        <f aca="false">IF($G102=0,IF(DD$11=$H102,"◆",""),IF(AND(DD$11&gt;=$H102,DD$11&lt;=$I102),1,""))</f>
        <v/>
      </c>
      <c r="DE102" s="448" t="str">
        <f aca="false">IF($G102=0,IF(DE$11=$H102,"◆",""),IF(AND(DE$11&gt;=$H102,DE$11&lt;=$I102),1,""))</f>
        <v/>
      </c>
      <c r="DF102" s="448" t="str">
        <f aca="false">IF($G102=0,IF(DF$11=$H102,"◆",""),IF(AND(DF$11&gt;=$H102,DF$11&lt;=$I102),1,""))</f>
        <v/>
      </c>
      <c r="DG102" s="448" t="str">
        <f aca="false">IF($G102=0,IF(DG$11=$H102,"◆",""),IF(AND(DG$11&gt;=$H102,DG$11&lt;=$I102),1,""))</f>
        <v/>
      </c>
      <c r="DH102" s="448" t="str">
        <f aca="false">IF($G102=0,IF(DH$11=$H102,"◆",""),IF(AND(DH$11&gt;=$H102,DH$11&lt;=$I102),1,""))</f>
        <v/>
      </c>
      <c r="DI102" s="448" t="str">
        <f aca="false">IF($G102=0,IF(DI$11=$H102,"◆",""),IF(AND(DI$11&gt;=$H102,DI$11&lt;=$I102),1,""))</f>
        <v/>
      </c>
      <c r="DJ102" s="448" t="str">
        <f aca="false">IF($G102=0,IF(DJ$11=$H102,"◆",""),IF(AND(DJ$11&gt;=$H102,DJ$11&lt;=$I102),1,""))</f>
        <v/>
      </c>
      <c r="DK102" s="448" t="str">
        <f aca="false">IF($G102=0,IF(DK$11=$H102,"◆",""),IF(AND(DK$11&gt;=$H102,DK$11&lt;=$I102),1,""))</f>
        <v/>
      </c>
      <c r="DL102" s="448" t="str">
        <f aca="false">IF($G102=0,IF(DL$11=$H102,"◆",""),IF(AND(DL$11&gt;=$H102,DL$11&lt;=$I102),1,""))</f>
        <v/>
      </c>
      <c r="DM102" s="448" t="str">
        <f aca="false">IF($G102=0,IF(DM$11=$H102,"◆",""),IF(AND(DM$11&gt;=$H102,DM$11&lt;=$I102),1,""))</f>
        <v/>
      </c>
      <c r="DN102" s="448" t="str">
        <f aca="false">IF($G102=0,IF(DN$11=$H102,"◆",""),IF(AND(DN$11&gt;=$H102,DN$11&lt;=$I102),1,""))</f>
        <v/>
      </c>
      <c r="DO102" s="448" t="str">
        <f aca="false">IF($G102=0,IF(DO$11=$H102,"◆",""),IF(AND(DO$11&gt;=$H102,DO$11&lt;=$I102),1,""))</f>
        <v/>
      </c>
      <c r="DP102" s="448" t="str">
        <f aca="false">IF($G102=0,IF(DP$11=$H102,"◆",""),IF(AND(DP$11&gt;=$H102,DP$11&lt;=$I102),1,""))</f>
        <v/>
      </c>
      <c r="DQ102" s="448" t="str">
        <f aca="false">IF($G102=0,IF(DQ$11=$H102,"◆",""),IF(AND(DQ$11&gt;=$H102,DQ$11&lt;=$I102),1,""))</f>
        <v/>
      </c>
      <c r="DR102" s="448" t="str">
        <f aca="false">IF($G102=0,IF(DR$11=$H102,"◆",""),IF(AND(DR$11&gt;=$H102,DR$11&lt;=$I102),1,""))</f>
        <v/>
      </c>
      <c r="DS102" s="448" t="str">
        <f aca="false">IF($G102=0,IF(DS$11=$H102,"◆",""),IF(AND(DS$11&gt;=$H102,DS$11&lt;=$I102),1,""))</f>
        <v/>
      </c>
      <c r="DT102" s="448" t="str">
        <f aca="false">IF($G102=0,IF(DT$11=$H102,"◆",""),IF(AND(DT$11&gt;=$H102,DT$11&lt;=$I102),1,""))</f>
        <v/>
      </c>
      <c r="DU102" s="448" t="str">
        <f aca="false">IF($G102=0,IF(DU$11=$H102,"◆",""),IF(AND(DU$11&gt;=$H102,DU$11&lt;=$I102),1,""))</f>
        <v/>
      </c>
      <c r="DV102" s="448" t="str">
        <f aca="false">IF($G102=0,IF(DV$11=$H102,"◆",""),IF(AND(DV$11&gt;=$H102,DV$11&lt;=$I102),1,""))</f>
        <v/>
      </c>
      <c r="DW102" s="448" t="str">
        <f aca="false">IF($G102=0,IF(DW$11=$H102,"◆",""),IF(AND(DW$11&gt;=$H102,DW$11&lt;=$I102),1,""))</f>
        <v/>
      </c>
      <c r="DX102" s="448" t="str">
        <f aca="false">IF($G102=0,IF(DX$11=$H102,"◆",""),IF(AND(DX$11&gt;=$H102,DX$11&lt;=$I102),1,""))</f>
        <v/>
      </c>
      <c r="DY102" s="448" t="str">
        <f aca="false">IF($G102=0,IF(DY$11=$H102,"◆",""),IF(AND(DY$11&gt;=$H102,DY$11&lt;=$I102),1,""))</f>
        <v/>
      </c>
      <c r="DZ102" s="448" t="str">
        <f aca="false">IF($G102=0,IF(DZ$11=$H102,"◆",""),IF(AND(DZ$11&gt;=$H102,DZ$11&lt;=$I102),1,""))</f>
        <v/>
      </c>
      <c r="EA102" s="448" t="str">
        <f aca="false">IF($G102=0,IF(EA$11=$H102,"◆",""),IF(AND(EA$11&gt;=$H102,EA$11&lt;=$I102),1,""))</f>
        <v/>
      </c>
      <c r="EB102" s="448" t="str">
        <f aca="false">IF($G102=0,IF(EB$11=$H102,"◆",""),IF(AND(EB$11&gt;=$H102,EB$11&lt;=$I102),1,""))</f>
        <v/>
      </c>
      <c r="EC102" s="448" t="str">
        <f aca="false">IF($G102=0,IF(EC$11=$H102,"◆",""),IF(AND(EC$11&gt;=$H102,EC$11&lt;=$I102),1,""))</f>
        <v/>
      </c>
      <c r="ED102" s="448" t="str">
        <f aca="false">IF($G102=0,IF(ED$11=$H102,"◆",""),IF(AND(ED$11&gt;=$H102,ED$11&lt;=$I102),1,""))</f>
        <v/>
      </c>
    </row>
    <row r="103" customFormat="false" ht="15" hidden="false" customHeight="true" outlineLevel="0" collapsed="false">
      <c r="A103" s="441" t="s">
        <v>2649</v>
      </c>
      <c r="B103" s="297" t="s">
        <v>2650</v>
      </c>
      <c r="C103" s="442" t="s">
        <v>2531</v>
      </c>
      <c r="D103" s="443" t="s">
        <v>2634</v>
      </c>
      <c r="E103" s="354" t="n">
        <f aca="false">FC_SUPUESTOS!$C$40</f>
        <v>10</v>
      </c>
      <c r="F103" s="352" t="n">
        <v>-9</v>
      </c>
      <c r="G103" s="352" t="n">
        <v>8</v>
      </c>
      <c r="H103" s="367" t="n">
        <f aca="false">MAX(1,ROUND(($E103-1)*$D$5,0)+1+$F103)</f>
        <v>31</v>
      </c>
      <c r="I103" s="367" t="n">
        <f aca="false">MAX($H103,$H103+$G103-1)</f>
        <v>38</v>
      </c>
      <c r="J103" s="444" t="n">
        <f aca="false">$D$4+($H103-1)*7</f>
        <v>46510</v>
      </c>
      <c r="K103" s="444" t="n">
        <f aca="false">$D$4+$I103*7-1</f>
        <v>46565</v>
      </c>
      <c r="L103" s="445" t="n">
        <f aca="false">ROUNDUP($H103/$D$5,0)</f>
        <v>8</v>
      </c>
      <c r="M103" s="446" t="s">
        <v>2453</v>
      </c>
      <c r="N103" s="447" t="n">
        <v>0</v>
      </c>
      <c r="O103" s="448" t="str">
        <f aca="false">IF($G103=0,IF(O$11=$H103,"◆",""),IF(AND(O$11&gt;=$H103,O$11&lt;=$I103),1,""))</f>
        <v/>
      </c>
      <c r="P103" s="448" t="str">
        <f aca="false">IF($G103=0,IF(P$11=$H103,"◆",""),IF(AND(P$11&gt;=$H103,P$11&lt;=$I103),1,""))</f>
        <v/>
      </c>
      <c r="Q103" s="448" t="str">
        <f aca="false">IF($G103=0,IF(Q$11=$H103,"◆",""),IF(AND(Q$11&gt;=$H103,Q$11&lt;=$I103),1,""))</f>
        <v/>
      </c>
      <c r="R103" s="448" t="str">
        <f aca="false">IF($G103=0,IF(R$11=$H103,"◆",""),IF(AND(R$11&gt;=$H103,R$11&lt;=$I103),1,""))</f>
        <v/>
      </c>
      <c r="S103" s="448" t="str">
        <f aca="false">IF($G103=0,IF(S$11=$H103,"◆",""),IF(AND(S$11&gt;=$H103,S$11&lt;=$I103),1,""))</f>
        <v/>
      </c>
      <c r="T103" s="448" t="str">
        <f aca="false">IF($G103=0,IF(T$11=$H103,"◆",""),IF(AND(T$11&gt;=$H103,T$11&lt;=$I103),1,""))</f>
        <v/>
      </c>
      <c r="U103" s="448" t="str">
        <f aca="false">IF($G103=0,IF(U$11=$H103,"◆",""),IF(AND(U$11&gt;=$H103,U$11&lt;=$I103),1,""))</f>
        <v/>
      </c>
      <c r="V103" s="448" t="str">
        <f aca="false">IF($G103=0,IF(V$11=$H103,"◆",""),IF(AND(V$11&gt;=$H103,V$11&lt;=$I103),1,""))</f>
        <v/>
      </c>
      <c r="W103" s="448" t="str">
        <f aca="false">IF($G103=0,IF(W$11=$H103,"◆",""),IF(AND(W$11&gt;=$H103,W$11&lt;=$I103),1,""))</f>
        <v/>
      </c>
      <c r="X103" s="448" t="str">
        <f aca="false">IF($G103=0,IF(X$11=$H103,"◆",""),IF(AND(X$11&gt;=$H103,X$11&lt;=$I103),1,""))</f>
        <v/>
      </c>
      <c r="Y103" s="448" t="str">
        <f aca="false">IF($G103=0,IF(Y$11=$H103,"◆",""),IF(AND(Y$11&gt;=$H103,Y$11&lt;=$I103),1,""))</f>
        <v/>
      </c>
      <c r="Z103" s="448" t="str">
        <f aca="false">IF($G103=0,IF(Z$11=$H103,"◆",""),IF(AND(Z$11&gt;=$H103,Z$11&lt;=$I103),1,""))</f>
        <v/>
      </c>
      <c r="AA103" s="448" t="str">
        <f aca="false">IF($G103=0,IF(AA$11=$H103,"◆",""),IF(AND(AA$11&gt;=$H103,AA$11&lt;=$I103),1,""))</f>
        <v/>
      </c>
      <c r="AB103" s="448" t="str">
        <f aca="false">IF($G103=0,IF(AB$11=$H103,"◆",""),IF(AND(AB$11&gt;=$H103,AB$11&lt;=$I103),1,""))</f>
        <v/>
      </c>
      <c r="AC103" s="448" t="str">
        <f aca="false">IF($G103=0,IF(AC$11=$H103,"◆",""),IF(AND(AC$11&gt;=$H103,AC$11&lt;=$I103),1,""))</f>
        <v/>
      </c>
      <c r="AD103" s="448" t="str">
        <f aca="false">IF($G103=0,IF(AD$11=$H103,"◆",""),IF(AND(AD$11&gt;=$H103,AD$11&lt;=$I103),1,""))</f>
        <v/>
      </c>
      <c r="AE103" s="448" t="str">
        <f aca="false">IF($G103=0,IF(AE$11=$H103,"◆",""),IF(AND(AE$11&gt;=$H103,AE$11&lt;=$I103),1,""))</f>
        <v/>
      </c>
      <c r="AF103" s="448" t="str">
        <f aca="false">IF($G103=0,IF(AF$11=$H103,"◆",""),IF(AND(AF$11&gt;=$H103,AF$11&lt;=$I103),1,""))</f>
        <v/>
      </c>
      <c r="AG103" s="448" t="str">
        <f aca="false">IF($G103=0,IF(AG$11=$H103,"◆",""),IF(AND(AG$11&gt;=$H103,AG$11&lt;=$I103),1,""))</f>
        <v/>
      </c>
      <c r="AH103" s="448" t="str">
        <f aca="false">IF($G103=0,IF(AH$11=$H103,"◆",""),IF(AND(AH$11&gt;=$H103,AH$11&lt;=$I103),1,""))</f>
        <v/>
      </c>
      <c r="AI103" s="448" t="str">
        <f aca="false">IF($G103=0,IF(AI$11=$H103,"◆",""),IF(AND(AI$11&gt;=$H103,AI$11&lt;=$I103),1,""))</f>
        <v/>
      </c>
      <c r="AJ103" s="448" t="str">
        <f aca="false">IF($G103=0,IF(AJ$11=$H103,"◆",""),IF(AND(AJ$11&gt;=$H103,AJ$11&lt;=$I103),1,""))</f>
        <v/>
      </c>
      <c r="AK103" s="448" t="str">
        <f aca="false">IF($G103=0,IF(AK$11=$H103,"◆",""),IF(AND(AK$11&gt;=$H103,AK$11&lt;=$I103),1,""))</f>
        <v/>
      </c>
      <c r="AL103" s="448" t="str">
        <f aca="false">IF($G103=0,IF(AL$11=$H103,"◆",""),IF(AND(AL$11&gt;=$H103,AL$11&lt;=$I103),1,""))</f>
        <v/>
      </c>
      <c r="AM103" s="448" t="str">
        <f aca="false">IF($G103=0,IF(AM$11=$H103,"◆",""),IF(AND(AM$11&gt;=$H103,AM$11&lt;=$I103),1,""))</f>
        <v/>
      </c>
      <c r="AN103" s="448" t="str">
        <f aca="false">IF($G103=0,IF(AN$11=$H103,"◆",""),IF(AND(AN$11&gt;=$H103,AN$11&lt;=$I103),1,""))</f>
        <v/>
      </c>
      <c r="AO103" s="448" t="str">
        <f aca="false">IF($G103=0,IF(AO$11=$H103,"◆",""),IF(AND(AO$11&gt;=$H103,AO$11&lt;=$I103),1,""))</f>
        <v/>
      </c>
      <c r="AP103" s="448" t="str">
        <f aca="false">IF($G103=0,IF(AP$11=$H103,"◆",""),IF(AND(AP$11&gt;=$H103,AP$11&lt;=$I103),1,""))</f>
        <v/>
      </c>
      <c r="AQ103" s="448" t="str">
        <f aca="false">IF($G103=0,IF(AQ$11=$H103,"◆",""),IF(AND(AQ$11&gt;=$H103,AQ$11&lt;=$I103),1,""))</f>
        <v/>
      </c>
      <c r="AR103" s="448" t="str">
        <f aca="false">IF($G103=0,IF(AR$11=$H103,"◆",""),IF(AND(AR$11&gt;=$H103,AR$11&lt;=$I103),1,""))</f>
        <v/>
      </c>
      <c r="AS103" s="448" t="n">
        <f aca="false">IF($G103=0,IF(AS$11=$H103,"◆",""),IF(AND(AS$11&gt;=$H103,AS$11&lt;=$I103),1,""))</f>
        <v>1</v>
      </c>
      <c r="AT103" s="448" t="n">
        <f aca="false">IF($G103=0,IF(AT$11=$H103,"◆",""),IF(AND(AT$11&gt;=$H103,AT$11&lt;=$I103),1,""))</f>
        <v>1</v>
      </c>
      <c r="AU103" s="448" t="n">
        <f aca="false">IF($G103=0,IF(AU$11=$H103,"◆",""),IF(AND(AU$11&gt;=$H103,AU$11&lt;=$I103),1,""))</f>
        <v>1</v>
      </c>
      <c r="AV103" s="448" t="n">
        <f aca="false">IF($G103=0,IF(AV$11=$H103,"◆",""),IF(AND(AV$11&gt;=$H103,AV$11&lt;=$I103),1,""))</f>
        <v>1</v>
      </c>
      <c r="AW103" s="448" t="n">
        <f aca="false">IF($G103=0,IF(AW$11=$H103,"◆",""),IF(AND(AW$11&gt;=$H103,AW$11&lt;=$I103),1,""))</f>
        <v>1</v>
      </c>
      <c r="AX103" s="448" t="n">
        <f aca="false">IF($G103=0,IF(AX$11=$H103,"◆",""),IF(AND(AX$11&gt;=$H103,AX$11&lt;=$I103),1,""))</f>
        <v>1</v>
      </c>
      <c r="AY103" s="448" t="n">
        <f aca="false">IF($G103=0,IF(AY$11=$H103,"◆",""),IF(AND(AY$11&gt;=$H103,AY$11&lt;=$I103),1,""))</f>
        <v>1</v>
      </c>
      <c r="AZ103" s="448" t="n">
        <f aca="false">IF($G103=0,IF(AZ$11=$H103,"◆",""),IF(AND(AZ$11&gt;=$H103,AZ$11&lt;=$I103),1,""))</f>
        <v>1</v>
      </c>
      <c r="BA103" s="448" t="str">
        <f aca="false">IF($G103=0,IF(BA$11=$H103,"◆",""),IF(AND(BA$11&gt;=$H103,BA$11&lt;=$I103),1,""))</f>
        <v/>
      </c>
      <c r="BB103" s="448" t="str">
        <f aca="false">IF($G103=0,IF(BB$11=$H103,"◆",""),IF(AND(BB$11&gt;=$H103,BB$11&lt;=$I103),1,""))</f>
        <v/>
      </c>
      <c r="BC103" s="448" t="str">
        <f aca="false">IF($G103=0,IF(BC$11=$H103,"◆",""),IF(AND(BC$11&gt;=$H103,BC$11&lt;=$I103),1,""))</f>
        <v/>
      </c>
      <c r="BD103" s="448" t="str">
        <f aca="false">IF($G103=0,IF(BD$11=$H103,"◆",""),IF(AND(BD$11&gt;=$H103,BD$11&lt;=$I103),1,""))</f>
        <v/>
      </c>
      <c r="BE103" s="448" t="str">
        <f aca="false">IF($G103=0,IF(BE$11=$H103,"◆",""),IF(AND(BE$11&gt;=$H103,BE$11&lt;=$I103),1,""))</f>
        <v/>
      </c>
      <c r="BF103" s="448" t="str">
        <f aca="false">IF($G103=0,IF(BF$11=$H103,"◆",""),IF(AND(BF$11&gt;=$H103,BF$11&lt;=$I103),1,""))</f>
        <v/>
      </c>
      <c r="BG103" s="448" t="str">
        <f aca="false">IF($G103=0,IF(BG$11=$H103,"◆",""),IF(AND(BG$11&gt;=$H103,BG$11&lt;=$I103),1,""))</f>
        <v/>
      </c>
      <c r="BH103" s="448" t="str">
        <f aca="false">IF($G103=0,IF(BH$11=$H103,"◆",""),IF(AND(BH$11&gt;=$H103,BH$11&lt;=$I103),1,""))</f>
        <v/>
      </c>
      <c r="BI103" s="448" t="str">
        <f aca="false">IF($G103=0,IF(BI$11=$H103,"◆",""),IF(AND(BI$11&gt;=$H103,BI$11&lt;=$I103),1,""))</f>
        <v/>
      </c>
      <c r="BJ103" s="448" t="str">
        <f aca="false">IF($G103=0,IF(BJ$11=$H103,"◆",""),IF(AND(BJ$11&gt;=$H103,BJ$11&lt;=$I103),1,""))</f>
        <v/>
      </c>
      <c r="BK103" s="448" t="str">
        <f aca="false">IF($G103=0,IF(BK$11=$H103,"◆",""),IF(AND(BK$11&gt;=$H103,BK$11&lt;=$I103),1,""))</f>
        <v/>
      </c>
      <c r="BL103" s="448" t="str">
        <f aca="false">IF($G103=0,IF(BL$11=$H103,"◆",""),IF(AND(BL$11&gt;=$H103,BL$11&lt;=$I103),1,""))</f>
        <v/>
      </c>
      <c r="BM103" s="448" t="str">
        <f aca="false">IF($G103=0,IF(BM$11=$H103,"◆",""),IF(AND(BM$11&gt;=$H103,BM$11&lt;=$I103),1,""))</f>
        <v/>
      </c>
      <c r="BN103" s="448" t="str">
        <f aca="false">IF($G103=0,IF(BN$11=$H103,"◆",""),IF(AND(BN$11&gt;=$H103,BN$11&lt;=$I103),1,""))</f>
        <v/>
      </c>
      <c r="BO103" s="448" t="str">
        <f aca="false">IF($G103=0,IF(BO$11=$H103,"◆",""),IF(AND(BO$11&gt;=$H103,BO$11&lt;=$I103),1,""))</f>
        <v/>
      </c>
      <c r="BP103" s="448" t="str">
        <f aca="false">IF($G103=0,IF(BP$11=$H103,"◆",""),IF(AND(BP$11&gt;=$H103,BP$11&lt;=$I103),1,""))</f>
        <v/>
      </c>
      <c r="BQ103" s="448" t="str">
        <f aca="false">IF($G103=0,IF(BQ$11=$H103,"◆",""),IF(AND(BQ$11&gt;=$H103,BQ$11&lt;=$I103),1,""))</f>
        <v/>
      </c>
      <c r="BR103" s="448" t="str">
        <f aca="false">IF($G103=0,IF(BR$11=$H103,"◆",""),IF(AND(BR$11&gt;=$H103,BR$11&lt;=$I103),1,""))</f>
        <v/>
      </c>
      <c r="BS103" s="448" t="str">
        <f aca="false">IF($G103=0,IF(BS$11=$H103,"◆",""),IF(AND(BS$11&gt;=$H103,BS$11&lt;=$I103),1,""))</f>
        <v/>
      </c>
      <c r="BT103" s="448" t="str">
        <f aca="false">IF($G103=0,IF(BT$11=$H103,"◆",""),IF(AND(BT$11&gt;=$H103,BT$11&lt;=$I103),1,""))</f>
        <v/>
      </c>
      <c r="BU103" s="448" t="str">
        <f aca="false">IF($G103=0,IF(BU$11=$H103,"◆",""),IF(AND(BU$11&gt;=$H103,BU$11&lt;=$I103),1,""))</f>
        <v/>
      </c>
      <c r="BV103" s="448" t="str">
        <f aca="false">IF($G103=0,IF(BV$11=$H103,"◆",""),IF(AND(BV$11&gt;=$H103,BV$11&lt;=$I103),1,""))</f>
        <v/>
      </c>
      <c r="BW103" s="448" t="str">
        <f aca="false">IF($G103=0,IF(BW$11=$H103,"◆",""),IF(AND(BW$11&gt;=$H103,BW$11&lt;=$I103),1,""))</f>
        <v/>
      </c>
      <c r="BX103" s="448" t="str">
        <f aca="false">IF($G103=0,IF(BX$11=$H103,"◆",""),IF(AND(BX$11&gt;=$H103,BX$11&lt;=$I103),1,""))</f>
        <v/>
      </c>
      <c r="BY103" s="448" t="str">
        <f aca="false">IF($G103=0,IF(BY$11=$H103,"◆",""),IF(AND(BY$11&gt;=$H103,BY$11&lt;=$I103),1,""))</f>
        <v/>
      </c>
      <c r="BZ103" s="448" t="str">
        <f aca="false">IF($G103=0,IF(BZ$11=$H103,"◆",""),IF(AND(BZ$11&gt;=$H103,BZ$11&lt;=$I103),1,""))</f>
        <v/>
      </c>
      <c r="CA103" s="448" t="str">
        <f aca="false">IF($G103=0,IF(CA$11=$H103,"◆",""),IF(AND(CA$11&gt;=$H103,CA$11&lt;=$I103),1,""))</f>
        <v/>
      </c>
      <c r="CB103" s="448" t="str">
        <f aca="false">IF($G103=0,IF(CB$11=$H103,"◆",""),IF(AND(CB$11&gt;=$H103,CB$11&lt;=$I103),1,""))</f>
        <v/>
      </c>
      <c r="CC103" s="448" t="str">
        <f aca="false">IF($G103=0,IF(CC$11=$H103,"◆",""),IF(AND(CC$11&gt;=$H103,CC$11&lt;=$I103),1,""))</f>
        <v/>
      </c>
      <c r="CD103" s="448" t="str">
        <f aca="false">IF($G103=0,IF(CD$11=$H103,"◆",""),IF(AND(CD$11&gt;=$H103,CD$11&lt;=$I103),1,""))</f>
        <v/>
      </c>
      <c r="CE103" s="448" t="str">
        <f aca="false">IF($G103=0,IF(CE$11=$H103,"◆",""),IF(AND(CE$11&gt;=$H103,CE$11&lt;=$I103),1,""))</f>
        <v/>
      </c>
      <c r="CF103" s="448" t="str">
        <f aca="false">IF($G103=0,IF(CF$11=$H103,"◆",""),IF(AND(CF$11&gt;=$H103,CF$11&lt;=$I103),1,""))</f>
        <v/>
      </c>
      <c r="CG103" s="448" t="str">
        <f aca="false">IF($G103=0,IF(CG$11=$H103,"◆",""),IF(AND(CG$11&gt;=$H103,CG$11&lt;=$I103),1,""))</f>
        <v/>
      </c>
      <c r="CH103" s="448" t="str">
        <f aca="false">IF($G103=0,IF(CH$11=$H103,"◆",""),IF(AND(CH$11&gt;=$H103,CH$11&lt;=$I103),1,""))</f>
        <v/>
      </c>
      <c r="CI103" s="448" t="str">
        <f aca="false">IF($G103=0,IF(CI$11=$H103,"◆",""),IF(AND(CI$11&gt;=$H103,CI$11&lt;=$I103),1,""))</f>
        <v/>
      </c>
      <c r="CJ103" s="448" t="str">
        <f aca="false">IF($G103=0,IF(CJ$11=$H103,"◆",""),IF(AND(CJ$11&gt;=$H103,CJ$11&lt;=$I103),1,""))</f>
        <v/>
      </c>
      <c r="CK103" s="448" t="str">
        <f aca="false">IF($G103=0,IF(CK$11=$H103,"◆",""),IF(AND(CK$11&gt;=$H103,CK$11&lt;=$I103),1,""))</f>
        <v/>
      </c>
      <c r="CL103" s="448" t="str">
        <f aca="false">IF($G103=0,IF(CL$11=$H103,"◆",""),IF(AND(CL$11&gt;=$H103,CL$11&lt;=$I103),1,""))</f>
        <v/>
      </c>
      <c r="CM103" s="448" t="str">
        <f aca="false">IF($G103=0,IF(CM$11=$H103,"◆",""),IF(AND(CM$11&gt;=$H103,CM$11&lt;=$I103),1,""))</f>
        <v/>
      </c>
      <c r="CN103" s="448" t="str">
        <f aca="false">IF($G103=0,IF(CN$11=$H103,"◆",""),IF(AND(CN$11&gt;=$H103,CN$11&lt;=$I103),1,""))</f>
        <v/>
      </c>
      <c r="CO103" s="448" t="str">
        <f aca="false">IF($G103=0,IF(CO$11=$H103,"◆",""),IF(AND(CO$11&gt;=$H103,CO$11&lt;=$I103),1,""))</f>
        <v/>
      </c>
      <c r="CP103" s="448" t="str">
        <f aca="false">IF($G103=0,IF(CP$11=$H103,"◆",""),IF(AND(CP$11&gt;=$H103,CP$11&lt;=$I103),1,""))</f>
        <v/>
      </c>
      <c r="CQ103" s="448" t="str">
        <f aca="false">IF($G103=0,IF(CQ$11=$H103,"◆",""),IF(AND(CQ$11&gt;=$H103,CQ$11&lt;=$I103),1,""))</f>
        <v/>
      </c>
      <c r="CR103" s="448" t="str">
        <f aca="false">IF($G103=0,IF(CR$11=$H103,"◆",""),IF(AND(CR$11&gt;=$H103,CR$11&lt;=$I103),1,""))</f>
        <v/>
      </c>
      <c r="CS103" s="448" t="str">
        <f aca="false">IF($G103=0,IF(CS$11=$H103,"◆",""),IF(AND(CS$11&gt;=$H103,CS$11&lt;=$I103),1,""))</f>
        <v/>
      </c>
      <c r="CT103" s="448" t="str">
        <f aca="false">IF($G103=0,IF(CT$11=$H103,"◆",""),IF(AND(CT$11&gt;=$H103,CT$11&lt;=$I103),1,""))</f>
        <v/>
      </c>
      <c r="CU103" s="448" t="str">
        <f aca="false">IF($G103=0,IF(CU$11=$H103,"◆",""),IF(AND(CU$11&gt;=$H103,CU$11&lt;=$I103),1,""))</f>
        <v/>
      </c>
      <c r="CV103" s="448" t="str">
        <f aca="false">IF($G103=0,IF(CV$11=$H103,"◆",""),IF(AND(CV$11&gt;=$H103,CV$11&lt;=$I103),1,""))</f>
        <v/>
      </c>
      <c r="CW103" s="448" t="str">
        <f aca="false">IF($G103=0,IF(CW$11=$H103,"◆",""),IF(AND(CW$11&gt;=$H103,CW$11&lt;=$I103),1,""))</f>
        <v/>
      </c>
      <c r="CX103" s="448" t="str">
        <f aca="false">IF($G103=0,IF(CX$11=$H103,"◆",""),IF(AND(CX$11&gt;=$H103,CX$11&lt;=$I103),1,""))</f>
        <v/>
      </c>
      <c r="CY103" s="448" t="str">
        <f aca="false">IF($G103=0,IF(CY$11=$H103,"◆",""),IF(AND(CY$11&gt;=$H103,CY$11&lt;=$I103),1,""))</f>
        <v/>
      </c>
      <c r="CZ103" s="448" t="str">
        <f aca="false">IF($G103=0,IF(CZ$11=$H103,"◆",""),IF(AND(CZ$11&gt;=$H103,CZ$11&lt;=$I103),1,""))</f>
        <v/>
      </c>
      <c r="DA103" s="448" t="str">
        <f aca="false">IF($G103=0,IF(DA$11=$H103,"◆",""),IF(AND(DA$11&gt;=$H103,DA$11&lt;=$I103),1,""))</f>
        <v/>
      </c>
      <c r="DB103" s="448" t="str">
        <f aca="false">IF($G103=0,IF(DB$11=$H103,"◆",""),IF(AND(DB$11&gt;=$H103,DB$11&lt;=$I103),1,""))</f>
        <v/>
      </c>
      <c r="DC103" s="448" t="str">
        <f aca="false">IF($G103=0,IF(DC$11=$H103,"◆",""),IF(AND(DC$11&gt;=$H103,DC$11&lt;=$I103),1,""))</f>
        <v/>
      </c>
      <c r="DD103" s="448" t="str">
        <f aca="false">IF($G103=0,IF(DD$11=$H103,"◆",""),IF(AND(DD$11&gt;=$H103,DD$11&lt;=$I103),1,""))</f>
        <v/>
      </c>
      <c r="DE103" s="448" t="str">
        <f aca="false">IF($G103=0,IF(DE$11=$H103,"◆",""),IF(AND(DE$11&gt;=$H103,DE$11&lt;=$I103),1,""))</f>
        <v/>
      </c>
      <c r="DF103" s="448" t="str">
        <f aca="false">IF($G103=0,IF(DF$11=$H103,"◆",""),IF(AND(DF$11&gt;=$H103,DF$11&lt;=$I103),1,""))</f>
        <v/>
      </c>
      <c r="DG103" s="448" t="str">
        <f aca="false">IF($G103=0,IF(DG$11=$H103,"◆",""),IF(AND(DG$11&gt;=$H103,DG$11&lt;=$I103),1,""))</f>
        <v/>
      </c>
      <c r="DH103" s="448" t="str">
        <f aca="false">IF($G103=0,IF(DH$11=$H103,"◆",""),IF(AND(DH$11&gt;=$H103,DH$11&lt;=$I103),1,""))</f>
        <v/>
      </c>
      <c r="DI103" s="448" t="str">
        <f aca="false">IF($G103=0,IF(DI$11=$H103,"◆",""),IF(AND(DI$11&gt;=$H103,DI$11&lt;=$I103),1,""))</f>
        <v/>
      </c>
      <c r="DJ103" s="448" t="str">
        <f aca="false">IF($G103=0,IF(DJ$11=$H103,"◆",""),IF(AND(DJ$11&gt;=$H103,DJ$11&lt;=$I103),1,""))</f>
        <v/>
      </c>
      <c r="DK103" s="448" t="str">
        <f aca="false">IF($G103=0,IF(DK$11=$H103,"◆",""),IF(AND(DK$11&gt;=$H103,DK$11&lt;=$I103),1,""))</f>
        <v/>
      </c>
      <c r="DL103" s="448" t="str">
        <f aca="false">IF($G103=0,IF(DL$11=$H103,"◆",""),IF(AND(DL$11&gt;=$H103,DL$11&lt;=$I103),1,""))</f>
        <v/>
      </c>
      <c r="DM103" s="448" t="str">
        <f aca="false">IF($G103=0,IF(DM$11=$H103,"◆",""),IF(AND(DM$11&gt;=$H103,DM$11&lt;=$I103),1,""))</f>
        <v/>
      </c>
      <c r="DN103" s="448" t="str">
        <f aca="false">IF($G103=0,IF(DN$11=$H103,"◆",""),IF(AND(DN$11&gt;=$H103,DN$11&lt;=$I103),1,""))</f>
        <v/>
      </c>
      <c r="DO103" s="448" t="str">
        <f aca="false">IF($G103=0,IF(DO$11=$H103,"◆",""),IF(AND(DO$11&gt;=$H103,DO$11&lt;=$I103),1,""))</f>
        <v/>
      </c>
      <c r="DP103" s="448" t="str">
        <f aca="false">IF($G103=0,IF(DP$11=$H103,"◆",""),IF(AND(DP$11&gt;=$H103,DP$11&lt;=$I103),1,""))</f>
        <v/>
      </c>
      <c r="DQ103" s="448" t="str">
        <f aca="false">IF($G103=0,IF(DQ$11=$H103,"◆",""),IF(AND(DQ$11&gt;=$H103,DQ$11&lt;=$I103),1,""))</f>
        <v/>
      </c>
      <c r="DR103" s="448" t="str">
        <f aca="false">IF($G103=0,IF(DR$11=$H103,"◆",""),IF(AND(DR$11&gt;=$H103,DR$11&lt;=$I103),1,""))</f>
        <v/>
      </c>
      <c r="DS103" s="448" t="str">
        <f aca="false">IF($G103=0,IF(DS$11=$H103,"◆",""),IF(AND(DS$11&gt;=$H103,DS$11&lt;=$I103),1,""))</f>
        <v/>
      </c>
      <c r="DT103" s="448" t="str">
        <f aca="false">IF($G103=0,IF(DT$11=$H103,"◆",""),IF(AND(DT$11&gt;=$H103,DT$11&lt;=$I103),1,""))</f>
        <v/>
      </c>
      <c r="DU103" s="448" t="str">
        <f aca="false">IF($G103=0,IF(DU$11=$H103,"◆",""),IF(AND(DU$11&gt;=$H103,DU$11&lt;=$I103),1,""))</f>
        <v/>
      </c>
      <c r="DV103" s="448" t="str">
        <f aca="false">IF($G103=0,IF(DV$11=$H103,"◆",""),IF(AND(DV$11&gt;=$H103,DV$11&lt;=$I103),1,""))</f>
        <v/>
      </c>
      <c r="DW103" s="448" t="str">
        <f aca="false">IF($G103=0,IF(DW$11=$H103,"◆",""),IF(AND(DW$11&gt;=$H103,DW$11&lt;=$I103),1,""))</f>
        <v/>
      </c>
      <c r="DX103" s="448" t="str">
        <f aca="false">IF($G103=0,IF(DX$11=$H103,"◆",""),IF(AND(DX$11&gt;=$H103,DX$11&lt;=$I103),1,""))</f>
        <v/>
      </c>
      <c r="DY103" s="448" t="str">
        <f aca="false">IF($G103=0,IF(DY$11=$H103,"◆",""),IF(AND(DY$11&gt;=$H103,DY$11&lt;=$I103),1,""))</f>
        <v/>
      </c>
      <c r="DZ103" s="448" t="str">
        <f aca="false">IF($G103=0,IF(DZ$11=$H103,"◆",""),IF(AND(DZ$11&gt;=$H103,DZ$11&lt;=$I103),1,""))</f>
        <v/>
      </c>
      <c r="EA103" s="448" t="str">
        <f aca="false">IF($G103=0,IF(EA$11=$H103,"◆",""),IF(AND(EA$11&gt;=$H103,EA$11&lt;=$I103),1,""))</f>
        <v/>
      </c>
      <c r="EB103" s="448" t="str">
        <f aca="false">IF($G103=0,IF(EB$11=$H103,"◆",""),IF(AND(EB$11&gt;=$H103,EB$11&lt;=$I103),1,""))</f>
        <v/>
      </c>
      <c r="EC103" s="448" t="str">
        <f aca="false">IF($G103=0,IF(EC$11=$H103,"◆",""),IF(AND(EC$11&gt;=$H103,EC$11&lt;=$I103),1,""))</f>
        <v/>
      </c>
      <c r="ED103" s="448" t="str">
        <f aca="false">IF($G103=0,IF(ED$11=$H103,"◆",""),IF(AND(ED$11&gt;=$H103,ED$11&lt;=$I103),1,""))</f>
        <v/>
      </c>
    </row>
    <row r="104" customFormat="false" ht="15" hidden="false" customHeight="true" outlineLevel="0" collapsed="false">
      <c r="A104" s="441" t="s">
        <v>2651</v>
      </c>
      <c r="B104" s="297" t="s">
        <v>2652</v>
      </c>
      <c r="C104" s="442" t="s">
        <v>2452</v>
      </c>
      <c r="D104" s="443" t="s">
        <v>2634</v>
      </c>
      <c r="E104" s="354" t="n">
        <f aca="false">FC_SUPUESTOS!$C$40</f>
        <v>10</v>
      </c>
      <c r="F104" s="352" t="n">
        <v>-2</v>
      </c>
      <c r="G104" s="352" t="n">
        <v>2</v>
      </c>
      <c r="H104" s="367" t="n">
        <f aca="false">MAX(1,ROUND(($E104-1)*$D$5,0)+1+$F104)</f>
        <v>38</v>
      </c>
      <c r="I104" s="367" t="n">
        <f aca="false">MAX($H104,$H104+$G104-1)</f>
        <v>39</v>
      </c>
      <c r="J104" s="444" t="n">
        <f aca="false">$D$4+($H104-1)*7</f>
        <v>46559</v>
      </c>
      <c r="K104" s="444" t="n">
        <f aca="false">$D$4+$I104*7-1</f>
        <v>46572</v>
      </c>
      <c r="L104" s="445" t="n">
        <f aca="false">ROUNDUP($H104/$D$5,0)</f>
        <v>9</v>
      </c>
      <c r="M104" s="446" t="s">
        <v>2453</v>
      </c>
      <c r="N104" s="447" t="n">
        <v>0</v>
      </c>
      <c r="O104" s="448" t="str">
        <f aca="false">IF($G104=0,IF(O$11=$H104,"◆",""),IF(AND(O$11&gt;=$H104,O$11&lt;=$I104),1,""))</f>
        <v/>
      </c>
      <c r="P104" s="448" t="str">
        <f aca="false">IF($G104=0,IF(P$11=$H104,"◆",""),IF(AND(P$11&gt;=$H104,P$11&lt;=$I104),1,""))</f>
        <v/>
      </c>
      <c r="Q104" s="448" t="str">
        <f aca="false">IF($G104=0,IF(Q$11=$H104,"◆",""),IF(AND(Q$11&gt;=$H104,Q$11&lt;=$I104),1,""))</f>
        <v/>
      </c>
      <c r="R104" s="448" t="str">
        <f aca="false">IF($G104=0,IF(R$11=$H104,"◆",""),IF(AND(R$11&gt;=$H104,R$11&lt;=$I104),1,""))</f>
        <v/>
      </c>
      <c r="S104" s="448" t="str">
        <f aca="false">IF($G104=0,IF(S$11=$H104,"◆",""),IF(AND(S$11&gt;=$H104,S$11&lt;=$I104),1,""))</f>
        <v/>
      </c>
      <c r="T104" s="448" t="str">
        <f aca="false">IF($G104=0,IF(T$11=$H104,"◆",""),IF(AND(T$11&gt;=$H104,T$11&lt;=$I104),1,""))</f>
        <v/>
      </c>
      <c r="U104" s="448" t="str">
        <f aca="false">IF($G104=0,IF(U$11=$H104,"◆",""),IF(AND(U$11&gt;=$H104,U$11&lt;=$I104),1,""))</f>
        <v/>
      </c>
      <c r="V104" s="448" t="str">
        <f aca="false">IF($G104=0,IF(V$11=$H104,"◆",""),IF(AND(V$11&gt;=$H104,V$11&lt;=$I104),1,""))</f>
        <v/>
      </c>
      <c r="W104" s="448" t="str">
        <f aca="false">IF($G104=0,IF(W$11=$H104,"◆",""),IF(AND(W$11&gt;=$H104,W$11&lt;=$I104),1,""))</f>
        <v/>
      </c>
      <c r="X104" s="448" t="str">
        <f aca="false">IF($G104=0,IF(X$11=$H104,"◆",""),IF(AND(X$11&gt;=$H104,X$11&lt;=$I104),1,""))</f>
        <v/>
      </c>
      <c r="Y104" s="448" t="str">
        <f aca="false">IF($G104=0,IF(Y$11=$H104,"◆",""),IF(AND(Y$11&gt;=$H104,Y$11&lt;=$I104),1,""))</f>
        <v/>
      </c>
      <c r="Z104" s="448" t="str">
        <f aca="false">IF($G104=0,IF(Z$11=$H104,"◆",""),IF(AND(Z$11&gt;=$H104,Z$11&lt;=$I104),1,""))</f>
        <v/>
      </c>
      <c r="AA104" s="448" t="str">
        <f aca="false">IF($G104=0,IF(AA$11=$H104,"◆",""),IF(AND(AA$11&gt;=$H104,AA$11&lt;=$I104),1,""))</f>
        <v/>
      </c>
      <c r="AB104" s="448" t="str">
        <f aca="false">IF($G104=0,IF(AB$11=$H104,"◆",""),IF(AND(AB$11&gt;=$H104,AB$11&lt;=$I104),1,""))</f>
        <v/>
      </c>
      <c r="AC104" s="448" t="str">
        <f aca="false">IF($G104=0,IF(AC$11=$H104,"◆",""),IF(AND(AC$11&gt;=$H104,AC$11&lt;=$I104),1,""))</f>
        <v/>
      </c>
      <c r="AD104" s="448" t="str">
        <f aca="false">IF($G104=0,IF(AD$11=$H104,"◆",""),IF(AND(AD$11&gt;=$H104,AD$11&lt;=$I104),1,""))</f>
        <v/>
      </c>
      <c r="AE104" s="448" t="str">
        <f aca="false">IF($G104=0,IF(AE$11=$H104,"◆",""),IF(AND(AE$11&gt;=$H104,AE$11&lt;=$I104),1,""))</f>
        <v/>
      </c>
      <c r="AF104" s="448" t="str">
        <f aca="false">IF($G104=0,IF(AF$11=$H104,"◆",""),IF(AND(AF$11&gt;=$H104,AF$11&lt;=$I104),1,""))</f>
        <v/>
      </c>
      <c r="AG104" s="448" t="str">
        <f aca="false">IF($G104=0,IF(AG$11=$H104,"◆",""),IF(AND(AG$11&gt;=$H104,AG$11&lt;=$I104),1,""))</f>
        <v/>
      </c>
      <c r="AH104" s="448" t="str">
        <f aca="false">IF($G104=0,IF(AH$11=$H104,"◆",""),IF(AND(AH$11&gt;=$H104,AH$11&lt;=$I104),1,""))</f>
        <v/>
      </c>
      <c r="AI104" s="448" t="str">
        <f aca="false">IF($G104=0,IF(AI$11=$H104,"◆",""),IF(AND(AI$11&gt;=$H104,AI$11&lt;=$I104),1,""))</f>
        <v/>
      </c>
      <c r="AJ104" s="448" t="str">
        <f aca="false">IF($G104=0,IF(AJ$11=$H104,"◆",""),IF(AND(AJ$11&gt;=$H104,AJ$11&lt;=$I104),1,""))</f>
        <v/>
      </c>
      <c r="AK104" s="448" t="str">
        <f aca="false">IF($G104=0,IF(AK$11=$H104,"◆",""),IF(AND(AK$11&gt;=$H104,AK$11&lt;=$I104),1,""))</f>
        <v/>
      </c>
      <c r="AL104" s="448" t="str">
        <f aca="false">IF($G104=0,IF(AL$11=$H104,"◆",""),IF(AND(AL$11&gt;=$H104,AL$11&lt;=$I104),1,""))</f>
        <v/>
      </c>
      <c r="AM104" s="448" t="str">
        <f aca="false">IF($G104=0,IF(AM$11=$H104,"◆",""),IF(AND(AM$11&gt;=$H104,AM$11&lt;=$I104),1,""))</f>
        <v/>
      </c>
      <c r="AN104" s="448" t="str">
        <f aca="false">IF($G104=0,IF(AN$11=$H104,"◆",""),IF(AND(AN$11&gt;=$H104,AN$11&lt;=$I104),1,""))</f>
        <v/>
      </c>
      <c r="AO104" s="448" t="str">
        <f aca="false">IF($G104=0,IF(AO$11=$H104,"◆",""),IF(AND(AO$11&gt;=$H104,AO$11&lt;=$I104),1,""))</f>
        <v/>
      </c>
      <c r="AP104" s="448" t="str">
        <f aca="false">IF($G104=0,IF(AP$11=$H104,"◆",""),IF(AND(AP$11&gt;=$H104,AP$11&lt;=$I104),1,""))</f>
        <v/>
      </c>
      <c r="AQ104" s="448" t="str">
        <f aca="false">IF($G104=0,IF(AQ$11=$H104,"◆",""),IF(AND(AQ$11&gt;=$H104,AQ$11&lt;=$I104),1,""))</f>
        <v/>
      </c>
      <c r="AR104" s="448" t="str">
        <f aca="false">IF($G104=0,IF(AR$11=$H104,"◆",""),IF(AND(AR$11&gt;=$H104,AR$11&lt;=$I104),1,""))</f>
        <v/>
      </c>
      <c r="AS104" s="448" t="str">
        <f aca="false">IF($G104=0,IF(AS$11=$H104,"◆",""),IF(AND(AS$11&gt;=$H104,AS$11&lt;=$I104),1,""))</f>
        <v/>
      </c>
      <c r="AT104" s="448" t="str">
        <f aca="false">IF($G104=0,IF(AT$11=$H104,"◆",""),IF(AND(AT$11&gt;=$H104,AT$11&lt;=$I104),1,""))</f>
        <v/>
      </c>
      <c r="AU104" s="448" t="str">
        <f aca="false">IF($G104=0,IF(AU$11=$H104,"◆",""),IF(AND(AU$11&gt;=$H104,AU$11&lt;=$I104),1,""))</f>
        <v/>
      </c>
      <c r="AV104" s="448" t="str">
        <f aca="false">IF($G104=0,IF(AV$11=$H104,"◆",""),IF(AND(AV$11&gt;=$H104,AV$11&lt;=$I104),1,""))</f>
        <v/>
      </c>
      <c r="AW104" s="448" t="str">
        <f aca="false">IF($G104=0,IF(AW$11=$H104,"◆",""),IF(AND(AW$11&gt;=$H104,AW$11&lt;=$I104),1,""))</f>
        <v/>
      </c>
      <c r="AX104" s="448" t="str">
        <f aca="false">IF($G104=0,IF(AX$11=$H104,"◆",""),IF(AND(AX$11&gt;=$H104,AX$11&lt;=$I104),1,""))</f>
        <v/>
      </c>
      <c r="AY104" s="448" t="str">
        <f aca="false">IF($G104=0,IF(AY$11=$H104,"◆",""),IF(AND(AY$11&gt;=$H104,AY$11&lt;=$I104),1,""))</f>
        <v/>
      </c>
      <c r="AZ104" s="448" t="n">
        <f aca="false">IF($G104=0,IF(AZ$11=$H104,"◆",""),IF(AND(AZ$11&gt;=$H104,AZ$11&lt;=$I104),1,""))</f>
        <v>1</v>
      </c>
      <c r="BA104" s="448" t="n">
        <f aca="false">IF($G104=0,IF(BA$11=$H104,"◆",""),IF(AND(BA$11&gt;=$H104,BA$11&lt;=$I104),1,""))</f>
        <v>1</v>
      </c>
      <c r="BB104" s="448" t="str">
        <f aca="false">IF($G104=0,IF(BB$11=$H104,"◆",""),IF(AND(BB$11&gt;=$H104,BB$11&lt;=$I104),1,""))</f>
        <v/>
      </c>
      <c r="BC104" s="448" t="str">
        <f aca="false">IF($G104=0,IF(BC$11=$H104,"◆",""),IF(AND(BC$11&gt;=$H104,BC$11&lt;=$I104),1,""))</f>
        <v/>
      </c>
      <c r="BD104" s="448" t="str">
        <f aca="false">IF($G104=0,IF(BD$11=$H104,"◆",""),IF(AND(BD$11&gt;=$H104,BD$11&lt;=$I104),1,""))</f>
        <v/>
      </c>
      <c r="BE104" s="448" t="str">
        <f aca="false">IF($G104=0,IF(BE$11=$H104,"◆",""),IF(AND(BE$11&gt;=$H104,BE$11&lt;=$I104),1,""))</f>
        <v/>
      </c>
      <c r="BF104" s="448" t="str">
        <f aca="false">IF($G104=0,IF(BF$11=$H104,"◆",""),IF(AND(BF$11&gt;=$H104,BF$11&lt;=$I104),1,""))</f>
        <v/>
      </c>
      <c r="BG104" s="448" t="str">
        <f aca="false">IF($G104=0,IF(BG$11=$H104,"◆",""),IF(AND(BG$11&gt;=$H104,BG$11&lt;=$I104),1,""))</f>
        <v/>
      </c>
      <c r="BH104" s="448" t="str">
        <f aca="false">IF($G104=0,IF(BH$11=$H104,"◆",""),IF(AND(BH$11&gt;=$H104,BH$11&lt;=$I104),1,""))</f>
        <v/>
      </c>
      <c r="BI104" s="448" t="str">
        <f aca="false">IF($G104=0,IF(BI$11=$H104,"◆",""),IF(AND(BI$11&gt;=$H104,BI$11&lt;=$I104),1,""))</f>
        <v/>
      </c>
      <c r="BJ104" s="448" t="str">
        <f aca="false">IF($G104=0,IF(BJ$11=$H104,"◆",""),IF(AND(BJ$11&gt;=$H104,BJ$11&lt;=$I104),1,""))</f>
        <v/>
      </c>
      <c r="BK104" s="448" t="str">
        <f aca="false">IF($G104=0,IF(BK$11=$H104,"◆",""),IF(AND(BK$11&gt;=$H104,BK$11&lt;=$I104),1,""))</f>
        <v/>
      </c>
      <c r="BL104" s="448" t="str">
        <f aca="false">IF($G104=0,IF(BL$11=$H104,"◆",""),IF(AND(BL$11&gt;=$H104,BL$11&lt;=$I104),1,""))</f>
        <v/>
      </c>
      <c r="BM104" s="448" t="str">
        <f aca="false">IF($G104=0,IF(BM$11=$H104,"◆",""),IF(AND(BM$11&gt;=$H104,BM$11&lt;=$I104),1,""))</f>
        <v/>
      </c>
      <c r="BN104" s="448" t="str">
        <f aca="false">IF($G104=0,IF(BN$11=$H104,"◆",""),IF(AND(BN$11&gt;=$H104,BN$11&lt;=$I104),1,""))</f>
        <v/>
      </c>
      <c r="BO104" s="448" t="str">
        <f aca="false">IF($G104=0,IF(BO$11=$H104,"◆",""),IF(AND(BO$11&gt;=$H104,BO$11&lt;=$I104),1,""))</f>
        <v/>
      </c>
      <c r="BP104" s="448" t="str">
        <f aca="false">IF($G104=0,IF(BP$11=$H104,"◆",""),IF(AND(BP$11&gt;=$H104,BP$11&lt;=$I104),1,""))</f>
        <v/>
      </c>
      <c r="BQ104" s="448" t="str">
        <f aca="false">IF($G104=0,IF(BQ$11=$H104,"◆",""),IF(AND(BQ$11&gt;=$H104,BQ$11&lt;=$I104),1,""))</f>
        <v/>
      </c>
      <c r="BR104" s="448" t="str">
        <f aca="false">IF($G104=0,IF(BR$11=$H104,"◆",""),IF(AND(BR$11&gt;=$H104,BR$11&lt;=$I104),1,""))</f>
        <v/>
      </c>
      <c r="BS104" s="448" t="str">
        <f aca="false">IF($G104=0,IF(BS$11=$H104,"◆",""),IF(AND(BS$11&gt;=$H104,BS$11&lt;=$I104),1,""))</f>
        <v/>
      </c>
      <c r="BT104" s="448" t="str">
        <f aca="false">IF($G104=0,IF(BT$11=$H104,"◆",""),IF(AND(BT$11&gt;=$H104,BT$11&lt;=$I104),1,""))</f>
        <v/>
      </c>
      <c r="BU104" s="448" t="str">
        <f aca="false">IF($G104=0,IF(BU$11=$H104,"◆",""),IF(AND(BU$11&gt;=$H104,BU$11&lt;=$I104),1,""))</f>
        <v/>
      </c>
      <c r="BV104" s="448" t="str">
        <f aca="false">IF($G104=0,IF(BV$11=$H104,"◆",""),IF(AND(BV$11&gt;=$H104,BV$11&lt;=$I104),1,""))</f>
        <v/>
      </c>
      <c r="BW104" s="448" t="str">
        <f aca="false">IF($G104=0,IF(BW$11=$H104,"◆",""),IF(AND(BW$11&gt;=$H104,BW$11&lt;=$I104),1,""))</f>
        <v/>
      </c>
      <c r="BX104" s="448" t="str">
        <f aca="false">IF($G104=0,IF(BX$11=$H104,"◆",""),IF(AND(BX$11&gt;=$H104,BX$11&lt;=$I104),1,""))</f>
        <v/>
      </c>
      <c r="BY104" s="448" t="str">
        <f aca="false">IF($G104=0,IF(BY$11=$H104,"◆",""),IF(AND(BY$11&gt;=$H104,BY$11&lt;=$I104),1,""))</f>
        <v/>
      </c>
      <c r="BZ104" s="448" t="str">
        <f aca="false">IF($G104=0,IF(BZ$11=$H104,"◆",""),IF(AND(BZ$11&gt;=$H104,BZ$11&lt;=$I104),1,""))</f>
        <v/>
      </c>
      <c r="CA104" s="448" t="str">
        <f aca="false">IF($G104=0,IF(CA$11=$H104,"◆",""),IF(AND(CA$11&gt;=$H104,CA$11&lt;=$I104),1,""))</f>
        <v/>
      </c>
      <c r="CB104" s="448" t="str">
        <f aca="false">IF($G104=0,IF(CB$11=$H104,"◆",""),IF(AND(CB$11&gt;=$H104,CB$11&lt;=$I104),1,""))</f>
        <v/>
      </c>
      <c r="CC104" s="448" t="str">
        <f aca="false">IF($G104=0,IF(CC$11=$H104,"◆",""),IF(AND(CC$11&gt;=$H104,CC$11&lt;=$I104),1,""))</f>
        <v/>
      </c>
      <c r="CD104" s="448" t="str">
        <f aca="false">IF($G104=0,IF(CD$11=$H104,"◆",""),IF(AND(CD$11&gt;=$H104,CD$11&lt;=$I104),1,""))</f>
        <v/>
      </c>
      <c r="CE104" s="448" t="str">
        <f aca="false">IF($G104=0,IF(CE$11=$H104,"◆",""),IF(AND(CE$11&gt;=$H104,CE$11&lt;=$I104),1,""))</f>
        <v/>
      </c>
      <c r="CF104" s="448" t="str">
        <f aca="false">IF($G104=0,IF(CF$11=$H104,"◆",""),IF(AND(CF$11&gt;=$H104,CF$11&lt;=$I104),1,""))</f>
        <v/>
      </c>
      <c r="CG104" s="448" t="str">
        <f aca="false">IF($G104=0,IF(CG$11=$H104,"◆",""),IF(AND(CG$11&gt;=$H104,CG$11&lt;=$I104),1,""))</f>
        <v/>
      </c>
      <c r="CH104" s="448" t="str">
        <f aca="false">IF($G104=0,IF(CH$11=$H104,"◆",""),IF(AND(CH$11&gt;=$H104,CH$11&lt;=$I104),1,""))</f>
        <v/>
      </c>
      <c r="CI104" s="448" t="str">
        <f aca="false">IF($G104=0,IF(CI$11=$H104,"◆",""),IF(AND(CI$11&gt;=$H104,CI$11&lt;=$I104),1,""))</f>
        <v/>
      </c>
      <c r="CJ104" s="448" t="str">
        <f aca="false">IF($G104=0,IF(CJ$11=$H104,"◆",""),IF(AND(CJ$11&gt;=$H104,CJ$11&lt;=$I104),1,""))</f>
        <v/>
      </c>
      <c r="CK104" s="448" t="str">
        <f aca="false">IF($G104=0,IF(CK$11=$H104,"◆",""),IF(AND(CK$11&gt;=$H104,CK$11&lt;=$I104),1,""))</f>
        <v/>
      </c>
      <c r="CL104" s="448" t="str">
        <f aca="false">IF($G104=0,IF(CL$11=$H104,"◆",""),IF(AND(CL$11&gt;=$H104,CL$11&lt;=$I104),1,""))</f>
        <v/>
      </c>
      <c r="CM104" s="448" t="str">
        <f aca="false">IF($G104=0,IF(CM$11=$H104,"◆",""),IF(AND(CM$11&gt;=$H104,CM$11&lt;=$I104),1,""))</f>
        <v/>
      </c>
      <c r="CN104" s="448" t="str">
        <f aca="false">IF($G104=0,IF(CN$11=$H104,"◆",""),IF(AND(CN$11&gt;=$H104,CN$11&lt;=$I104),1,""))</f>
        <v/>
      </c>
      <c r="CO104" s="448" t="str">
        <f aca="false">IF($G104=0,IF(CO$11=$H104,"◆",""),IF(AND(CO$11&gt;=$H104,CO$11&lt;=$I104),1,""))</f>
        <v/>
      </c>
      <c r="CP104" s="448" t="str">
        <f aca="false">IF($G104=0,IF(CP$11=$H104,"◆",""),IF(AND(CP$11&gt;=$H104,CP$11&lt;=$I104),1,""))</f>
        <v/>
      </c>
      <c r="CQ104" s="448" t="str">
        <f aca="false">IF($G104=0,IF(CQ$11=$H104,"◆",""),IF(AND(CQ$11&gt;=$H104,CQ$11&lt;=$I104),1,""))</f>
        <v/>
      </c>
      <c r="CR104" s="448" t="str">
        <f aca="false">IF($G104=0,IF(CR$11=$H104,"◆",""),IF(AND(CR$11&gt;=$H104,CR$11&lt;=$I104),1,""))</f>
        <v/>
      </c>
      <c r="CS104" s="448" t="str">
        <f aca="false">IF($G104=0,IF(CS$11=$H104,"◆",""),IF(AND(CS$11&gt;=$H104,CS$11&lt;=$I104),1,""))</f>
        <v/>
      </c>
      <c r="CT104" s="448" t="str">
        <f aca="false">IF($G104=0,IF(CT$11=$H104,"◆",""),IF(AND(CT$11&gt;=$H104,CT$11&lt;=$I104),1,""))</f>
        <v/>
      </c>
      <c r="CU104" s="448" t="str">
        <f aca="false">IF($G104=0,IF(CU$11=$H104,"◆",""),IF(AND(CU$11&gt;=$H104,CU$11&lt;=$I104),1,""))</f>
        <v/>
      </c>
      <c r="CV104" s="448" t="str">
        <f aca="false">IF($G104=0,IF(CV$11=$H104,"◆",""),IF(AND(CV$11&gt;=$H104,CV$11&lt;=$I104),1,""))</f>
        <v/>
      </c>
      <c r="CW104" s="448" t="str">
        <f aca="false">IF($G104=0,IF(CW$11=$H104,"◆",""),IF(AND(CW$11&gt;=$H104,CW$11&lt;=$I104),1,""))</f>
        <v/>
      </c>
      <c r="CX104" s="448" t="str">
        <f aca="false">IF($G104=0,IF(CX$11=$H104,"◆",""),IF(AND(CX$11&gt;=$H104,CX$11&lt;=$I104),1,""))</f>
        <v/>
      </c>
      <c r="CY104" s="448" t="str">
        <f aca="false">IF($G104=0,IF(CY$11=$H104,"◆",""),IF(AND(CY$11&gt;=$H104,CY$11&lt;=$I104),1,""))</f>
        <v/>
      </c>
      <c r="CZ104" s="448" t="str">
        <f aca="false">IF($G104=0,IF(CZ$11=$H104,"◆",""),IF(AND(CZ$11&gt;=$H104,CZ$11&lt;=$I104),1,""))</f>
        <v/>
      </c>
      <c r="DA104" s="448" t="str">
        <f aca="false">IF($G104=0,IF(DA$11=$H104,"◆",""),IF(AND(DA$11&gt;=$H104,DA$11&lt;=$I104),1,""))</f>
        <v/>
      </c>
      <c r="DB104" s="448" t="str">
        <f aca="false">IF($G104=0,IF(DB$11=$H104,"◆",""),IF(AND(DB$11&gt;=$H104,DB$11&lt;=$I104),1,""))</f>
        <v/>
      </c>
      <c r="DC104" s="448" t="str">
        <f aca="false">IF($G104=0,IF(DC$11=$H104,"◆",""),IF(AND(DC$11&gt;=$H104,DC$11&lt;=$I104),1,""))</f>
        <v/>
      </c>
      <c r="DD104" s="448" t="str">
        <f aca="false">IF($G104=0,IF(DD$11=$H104,"◆",""),IF(AND(DD$11&gt;=$H104,DD$11&lt;=$I104),1,""))</f>
        <v/>
      </c>
      <c r="DE104" s="448" t="str">
        <f aca="false">IF($G104=0,IF(DE$11=$H104,"◆",""),IF(AND(DE$11&gt;=$H104,DE$11&lt;=$I104),1,""))</f>
        <v/>
      </c>
      <c r="DF104" s="448" t="str">
        <f aca="false">IF($G104=0,IF(DF$11=$H104,"◆",""),IF(AND(DF$11&gt;=$H104,DF$11&lt;=$I104),1,""))</f>
        <v/>
      </c>
      <c r="DG104" s="448" t="str">
        <f aca="false">IF($G104=0,IF(DG$11=$H104,"◆",""),IF(AND(DG$11&gt;=$H104,DG$11&lt;=$I104),1,""))</f>
        <v/>
      </c>
      <c r="DH104" s="448" t="str">
        <f aca="false">IF($G104=0,IF(DH$11=$H104,"◆",""),IF(AND(DH$11&gt;=$H104,DH$11&lt;=$I104),1,""))</f>
        <v/>
      </c>
      <c r="DI104" s="448" t="str">
        <f aca="false">IF($G104=0,IF(DI$11=$H104,"◆",""),IF(AND(DI$11&gt;=$H104,DI$11&lt;=$I104),1,""))</f>
        <v/>
      </c>
      <c r="DJ104" s="448" t="str">
        <f aca="false">IF($G104=0,IF(DJ$11=$H104,"◆",""),IF(AND(DJ$11&gt;=$H104,DJ$11&lt;=$I104),1,""))</f>
        <v/>
      </c>
      <c r="DK104" s="448" t="str">
        <f aca="false">IF($G104=0,IF(DK$11=$H104,"◆",""),IF(AND(DK$11&gt;=$H104,DK$11&lt;=$I104),1,""))</f>
        <v/>
      </c>
      <c r="DL104" s="448" t="str">
        <f aca="false">IF($G104=0,IF(DL$11=$H104,"◆",""),IF(AND(DL$11&gt;=$H104,DL$11&lt;=$I104),1,""))</f>
        <v/>
      </c>
      <c r="DM104" s="448" t="str">
        <f aca="false">IF($G104=0,IF(DM$11=$H104,"◆",""),IF(AND(DM$11&gt;=$H104,DM$11&lt;=$I104),1,""))</f>
        <v/>
      </c>
      <c r="DN104" s="448" t="str">
        <f aca="false">IF($G104=0,IF(DN$11=$H104,"◆",""),IF(AND(DN$11&gt;=$H104,DN$11&lt;=$I104),1,""))</f>
        <v/>
      </c>
      <c r="DO104" s="448" t="str">
        <f aca="false">IF($G104=0,IF(DO$11=$H104,"◆",""),IF(AND(DO$11&gt;=$H104,DO$11&lt;=$I104),1,""))</f>
        <v/>
      </c>
      <c r="DP104" s="448" t="str">
        <f aca="false">IF($G104=0,IF(DP$11=$H104,"◆",""),IF(AND(DP$11&gt;=$H104,DP$11&lt;=$I104),1,""))</f>
        <v/>
      </c>
      <c r="DQ104" s="448" t="str">
        <f aca="false">IF($G104=0,IF(DQ$11=$H104,"◆",""),IF(AND(DQ$11&gt;=$H104,DQ$11&lt;=$I104),1,""))</f>
        <v/>
      </c>
      <c r="DR104" s="448" t="str">
        <f aca="false">IF($G104=0,IF(DR$11=$H104,"◆",""),IF(AND(DR$11&gt;=$H104,DR$11&lt;=$I104),1,""))</f>
        <v/>
      </c>
      <c r="DS104" s="448" t="str">
        <f aca="false">IF($G104=0,IF(DS$11=$H104,"◆",""),IF(AND(DS$11&gt;=$H104,DS$11&lt;=$I104),1,""))</f>
        <v/>
      </c>
      <c r="DT104" s="448" t="str">
        <f aca="false">IF($G104=0,IF(DT$11=$H104,"◆",""),IF(AND(DT$11&gt;=$H104,DT$11&lt;=$I104),1,""))</f>
        <v/>
      </c>
      <c r="DU104" s="448" t="str">
        <f aca="false">IF($G104=0,IF(DU$11=$H104,"◆",""),IF(AND(DU$11&gt;=$H104,DU$11&lt;=$I104),1,""))</f>
        <v/>
      </c>
      <c r="DV104" s="448" t="str">
        <f aca="false">IF($G104=0,IF(DV$11=$H104,"◆",""),IF(AND(DV$11&gt;=$H104,DV$11&lt;=$I104),1,""))</f>
        <v/>
      </c>
      <c r="DW104" s="448" t="str">
        <f aca="false">IF($G104=0,IF(DW$11=$H104,"◆",""),IF(AND(DW$11&gt;=$H104,DW$11&lt;=$I104),1,""))</f>
        <v/>
      </c>
      <c r="DX104" s="448" t="str">
        <f aca="false">IF($G104=0,IF(DX$11=$H104,"◆",""),IF(AND(DX$11&gt;=$H104,DX$11&lt;=$I104),1,""))</f>
        <v/>
      </c>
      <c r="DY104" s="448" t="str">
        <f aca="false">IF($G104=0,IF(DY$11=$H104,"◆",""),IF(AND(DY$11&gt;=$H104,DY$11&lt;=$I104),1,""))</f>
        <v/>
      </c>
      <c r="DZ104" s="448" t="str">
        <f aca="false">IF($G104=0,IF(DZ$11=$H104,"◆",""),IF(AND(DZ$11&gt;=$H104,DZ$11&lt;=$I104),1,""))</f>
        <v/>
      </c>
      <c r="EA104" s="448" t="str">
        <f aca="false">IF($G104=0,IF(EA$11=$H104,"◆",""),IF(AND(EA$11&gt;=$H104,EA$11&lt;=$I104),1,""))</f>
        <v/>
      </c>
      <c r="EB104" s="448" t="str">
        <f aca="false">IF($G104=0,IF(EB$11=$H104,"◆",""),IF(AND(EB$11&gt;=$H104,EB$11&lt;=$I104),1,""))</f>
        <v/>
      </c>
      <c r="EC104" s="448" t="str">
        <f aca="false">IF($G104=0,IF(EC$11=$H104,"◆",""),IF(AND(EC$11&gt;=$H104,EC$11&lt;=$I104),1,""))</f>
        <v/>
      </c>
      <c r="ED104" s="448" t="str">
        <f aca="false">IF($G104=0,IF(ED$11=$H104,"◆",""),IF(AND(ED$11&gt;=$H104,ED$11&lt;=$I104),1,""))</f>
        <v/>
      </c>
    </row>
    <row r="105" customFormat="false" ht="15" hidden="false" customHeight="true" outlineLevel="0" collapsed="false">
      <c r="A105" s="441" t="s">
        <v>2653</v>
      </c>
      <c r="B105" s="297" t="s">
        <v>2654</v>
      </c>
      <c r="C105" s="442" t="s">
        <v>2643</v>
      </c>
      <c r="D105" s="443" t="s">
        <v>2634</v>
      </c>
      <c r="E105" s="354" t="n">
        <f aca="false">FC_SUPUESTOS!$C$40</f>
        <v>10</v>
      </c>
      <c r="F105" s="352" t="n">
        <v>-10</v>
      </c>
      <c r="G105" s="352" t="n">
        <v>14</v>
      </c>
      <c r="H105" s="367" t="n">
        <f aca="false">MAX(1,ROUND(($E105-1)*$D$5,0)+1+$F105)</f>
        <v>30</v>
      </c>
      <c r="I105" s="367" t="n">
        <f aca="false">MAX($H105,$H105+$G105-1)</f>
        <v>43</v>
      </c>
      <c r="J105" s="444" t="n">
        <f aca="false">$D$4+($H105-1)*7</f>
        <v>46503</v>
      </c>
      <c r="K105" s="444" t="n">
        <f aca="false">$D$4+$I105*7-1</f>
        <v>46600</v>
      </c>
      <c r="L105" s="445" t="n">
        <f aca="false">ROUNDUP($H105/$D$5,0)</f>
        <v>7</v>
      </c>
      <c r="M105" s="446"/>
      <c r="N105" s="447" t="n">
        <v>0</v>
      </c>
      <c r="O105" s="448" t="str">
        <f aca="false">IF($G105=0,IF(O$11=$H105,"◆",""),IF(AND(O$11&gt;=$H105,O$11&lt;=$I105),1,""))</f>
        <v/>
      </c>
      <c r="P105" s="448" t="str">
        <f aca="false">IF($G105=0,IF(P$11=$H105,"◆",""),IF(AND(P$11&gt;=$H105,P$11&lt;=$I105),1,""))</f>
        <v/>
      </c>
      <c r="Q105" s="448" t="str">
        <f aca="false">IF($G105=0,IF(Q$11=$H105,"◆",""),IF(AND(Q$11&gt;=$H105,Q$11&lt;=$I105),1,""))</f>
        <v/>
      </c>
      <c r="R105" s="448" t="str">
        <f aca="false">IF($G105=0,IF(R$11=$H105,"◆",""),IF(AND(R$11&gt;=$H105,R$11&lt;=$I105),1,""))</f>
        <v/>
      </c>
      <c r="S105" s="448" t="str">
        <f aca="false">IF($G105=0,IF(S$11=$H105,"◆",""),IF(AND(S$11&gt;=$H105,S$11&lt;=$I105),1,""))</f>
        <v/>
      </c>
      <c r="T105" s="448" t="str">
        <f aca="false">IF($G105=0,IF(T$11=$H105,"◆",""),IF(AND(T$11&gt;=$H105,T$11&lt;=$I105),1,""))</f>
        <v/>
      </c>
      <c r="U105" s="448" t="str">
        <f aca="false">IF($G105=0,IF(U$11=$H105,"◆",""),IF(AND(U$11&gt;=$H105,U$11&lt;=$I105),1,""))</f>
        <v/>
      </c>
      <c r="V105" s="448" t="str">
        <f aca="false">IF($G105=0,IF(V$11=$H105,"◆",""),IF(AND(V$11&gt;=$H105,V$11&lt;=$I105),1,""))</f>
        <v/>
      </c>
      <c r="W105" s="448" t="str">
        <f aca="false">IF($G105=0,IF(W$11=$H105,"◆",""),IF(AND(W$11&gt;=$H105,W$11&lt;=$I105),1,""))</f>
        <v/>
      </c>
      <c r="X105" s="448" t="str">
        <f aca="false">IF($G105=0,IF(X$11=$H105,"◆",""),IF(AND(X$11&gt;=$H105,X$11&lt;=$I105),1,""))</f>
        <v/>
      </c>
      <c r="Y105" s="448" t="str">
        <f aca="false">IF($G105=0,IF(Y$11=$H105,"◆",""),IF(AND(Y$11&gt;=$H105,Y$11&lt;=$I105),1,""))</f>
        <v/>
      </c>
      <c r="Z105" s="448" t="str">
        <f aca="false">IF($G105=0,IF(Z$11=$H105,"◆",""),IF(AND(Z$11&gt;=$H105,Z$11&lt;=$I105),1,""))</f>
        <v/>
      </c>
      <c r="AA105" s="448" t="str">
        <f aca="false">IF($G105=0,IF(AA$11=$H105,"◆",""),IF(AND(AA$11&gt;=$H105,AA$11&lt;=$I105),1,""))</f>
        <v/>
      </c>
      <c r="AB105" s="448" t="str">
        <f aca="false">IF($G105=0,IF(AB$11=$H105,"◆",""),IF(AND(AB$11&gt;=$H105,AB$11&lt;=$I105),1,""))</f>
        <v/>
      </c>
      <c r="AC105" s="448" t="str">
        <f aca="false">IF($G105=0,IF(AC$11=$H105,"◆",""),IF(AND(AC$11&gt;=$H105,AC$11&lt;=$I105),1,""))</f>
        <v/>
      </c>
      <c r="AD105" s="448" t="str">
        <f aca="false">IF($G105=0,IF(AD$11=$H105,"◆",""),IF(AND(AD$11&gt;=$H105,AD$11&lt;=$I105),1,""))</f>
        <v/>
      </c>
      <c r="AE105" s="448" t="str">
        <f aca="false">IF($G105=0,IF(AE$11=$H105,"◆",""),IF(AND(AE$11&gt;=$H105,AE$11&lt;=$I105),1,""))</f>
        <v/>
      </c>
      <c r="AF105" s="448" t="str">
        <f aca="false">IF($G105=0,IF(AF$11=$H105,"◆",""),IF(AND(AF$11&gt;=$H105,AF$11&lt;=$I105),1,""))</f>
        <v/>
      </c>
      <c r="AG105" s="448" t="str">
        <f aca="false">IF($G105=0,IF(AG$11=$H105,"◆",""),IF(AND(AG$11&gt;=$H105,AG$11&lt;=$I105),1,""))</f>
        <v/>
      </c>
      <c r="AH105" s="448" t="str">
        <f aca="false">IF($G105=0,IF(AH$11=$H105,"◆",""),IF(AND(AH$11&gt;=$H105,AH$11&lt;=$I105),1,""))</f>
        <v/>
      </c>
      <c r="AI105" s="448" t="str">
        <f aca="false">IF($G105=0,IF(AI$11=$H105,"◆",""),IF(AND(AI$11&gt;=$H105,AI$11&lt;=$I105),1,""))</f>
        <v/>
      </c>
      <c r="AJ105" s="448" t="str">
        <f aca="false">IF($G105=0,IF(AJ$11=$H105,"◆",""),IF(AND(AJ$11&gt;=$H105,AJ$11&lt;=$I105),1,""))</f>
        <v/>
      </c>
      <c r="AK105" s="448" t="str">
        <f aca="false">IF($G105=0,IF(AK$11=$H105,"◆",""),IF(AND(AK$11&gt;=$H105,AK$11&lt;=$I105),1,""))</f>
        <v/>
      </c>
      <c r="AL105" s="448" t="str">
        <f aca="false">IF($G105=0,IF(AL$11=$H105,"◆",""),IF(AND(AL$11&gt;=$H105,AL$11&lt;=$I105),1,""))</f>
        <v/>
      </c>
      <c r="AM105" s="448" t="str">
        <f aca="false">IF($G105=0,IF(AM$11=$H105,"◆",""),IF(AND(AM$11&gt;=$H105,AM$11&lt;=$I105),1,""))</f>
        <v/>
      </c>
      <c r="AN105" s="448" t="str">
        <f aca="false">IF($G105=0,IF(AN$11=$H105,"◆",""),IF(AND(AN$11&gt;=$H105,AN$11&lt;=$I105),1,""))</f>
        <v/>
      </c>
      <c r="AO105" s="448" t="str">
        <f aca="false">IF($G105=0,IF(AO$11=$H105,"◆",""),IF(AND(AO$11&gt;=$H105,AO$11&lt;=$I105),1,""))</f>
        <v/>
      </c>
      <c r="AP105" s="448" t="str">
        <f aca="false">IF($G105=0,IF(AP$11=$H105,"◆",""),IF(AND(AP$11&gt;=$H105,AP$11&lt;=$I105),1,""))</f>
        <v/>
      </c>
      <c r="AQ105" s="448" t="str">
        <f aca="false">IF($G105=0,IF(AQ$11=$H105,"◆",""),IF(AND(AQ$11&gt;=$H105,AQ$11&lt;=$I105),1,""))</f>
        <v/>
      </c>
      <c r="AR105" s="448" t="n">
        <f aca="false">IF($G105=0,IF(AR$11=$H105,"◆",""),IF(AND(AR$11&gt;=$H105,AR$11&lt;=$I105),1,""))</f>
        <v>1</v>
      </c>
      <c r="AS105" s="448" t="n">
        <f aca="false">IF($G105=0,IF(AS$11=$H105,"◆",""),IF(AND(AS$11&gt;=$H105,AS$11&lt;=$I105),1,""))</f>
        <v>1</v>
      </c>
      <c r="AT105" s="448" t="n">
        <f aca="false">IF($G105=0,IF(AT$11=$H105,"◆",""),IF(AND(AT$11&gt;=$H105,AT$11&lt;=$I105),1,""))</f>
        <v>1</v>
      </c>
      <c r="AU105" s="448" t="n">
        <f aca="false">IF($G105=0,IF(AU$11=$H105,"◆",""),IF(AND(AU$11&gt;=$H105,AU$11&lt;=$I105),1,""))</f>
        <v>1</v>
      </c>
      <c r="AV105" s="448" t="n">
        <f aca="false">IF($G105=0,IF(AV$11=$H105,"◆",""),IF(AND(AV$11&gt;=$H105,AV$11&lt;=$I105),1,""))</f>
        <v>1</v>
      </c>
      <c r="AW105" s="448" t="n">
        <f aca="false">IF($G105=0,IF(AW$11=$H105,"◆",""),IF(AND(AW$11&gt;=$H105,AW$11&lt;=$I105),1,""))</f>
        <v>1</v>
      </c>
      <c r="AX105" s="448" t="n">
        <f aca="false">IF($G105=0,IF(AX$11=$H105,"◆",""),IF(AND(AX$11&gt;=$H105,AX$11&lt;=$I105),1,""))</f>
        <v>1</v>
      </c>
      <c r="AY105" s="448" t="n">
        <f aca="false">IF($G105=0,IF(AY$11=$H105,"◆",""),IF(AND(AY$11&gt;=$H105,AY$11&lt;=$I105),1,""))</f>
        <v>1</v>
      </c>
      <c r="AZ105" s="448" t="n">
        <f aca="false">IF($G105=0,IF(AZ$11=$H105,"◆",""),IF(AND(AZ$11&gt;=$H105,AZ$11&lt;=$I105),1,""))</f>
        <v>1</v>
      </c>
      <c r="BA105" s="448" t="n">
        <f aca="false">IF($G105=0,IF(BA$11=$H105,"◆",""),IF(AND(BA$11&gt;=$H105,BA$11&lt;=$I105),1,""))</f>
        <v>1</v>
      </c>
      <c r="BB105" s="448" t="n">
        <f aca="false">IF($G105=0,IF(BB$11=$H105,"◆",""),IF(AND(BB$11&gt;=$H105,BB$11&lt;=$I105),1,""))</f>
        <v>1</v>
      </c>
      <c r="BC105" s="448" t="n">
        <f aca="false">IF($G105=0,IF(BC$11=$H105,"◆",""),IF(AND(BC$11&gt;=$H105,BC$11&lt;=$I105),1,""))</f>
        <v>1</v>
      </c>
      <c r="BD105" s="448" t="n">
        <f aca="false">IF($G105=0,IF(BD$11=$H105,"◆",""),IF(AND(BD$11&gt;=$H105,BD$11&lt;=$I105),1,""))</f>
        <v>1</v>
      </c>
      <c r="BE105" s="448" t="n">
        <f aca="false">IF($G105=0,IF(BE$11=$H105,"◆",""),IF(AND(BE$11&gt;=$H105,BE$11&lt;=$I105),1,""))</f>
        <v>1</v>
      </c>
      <c r="BF105" s="448" t="str">
        <f aca="false">IF($G105=0,IF(BF$11=$H105,"◆",""),IF(AND(BF$11&gt;=$H105,BF$11&lt;=$I105),1,""))</f>
        <v/>
      </c>
      <c r="BG105" s="448" t="str">
        <f aca="false">IF($G105=0,IF(BG$11=$H105,"◆",""),IF(AND(BG$11&gt;=$H105,BG$11&lt;=$I105),1,""))</f>
        <v/>
      </c>
      <c r="BH105" s="448" t="str">
        <f aca="false">IF($G105=0,IF(BH$11=$H105,"◆",""),IF(AND(BH$11&gt;=$H105,BH$11&lt;=$I105),1,""))</f>
        <v/>
      </c>
      <c r="BI105" s="448" t="str">
        <f aca="false">IF($G105=0,IF(BI$11=$H105,"◆",""),IF(AND(BI$11&gt;=$H105,BI$11&lt;=$I105),1,""))</f>
        <v/>
      </c>
      <c r="BJ105" s="448" t="str">
        <f aca="false">IF($G105=0,IF(BJ$11=$H105,"◆",""),IF(AND(BJ$11&gt;=$H105,BJ$11&lt;=$I105),1,""))</f>
        <v/>
      </c>
      <c r="BK105" s="448" t="str">
        <f aca="false">IF($G105=0,IF(BK$11=$H105,"◆",""),IF(AND(BK$11&gt;=$H105,BK$11&lt;=$I105),1,""))</f>
        <v/>
      </c>
      <c r="BL105" s="448" t="str">
        <f aca="false">IF($G105=0,IF(BL$11=$H105,"◆",""),IF(AND(BL$11&gt;=$H105,BL$11&lt;=$I105),1,""))</f>
        <v/>
      </c>
      <c r="BM105" s="448" t="str">
        <f aca="false">IF($G105=0,IF(BM$11=$H105,"◆",""),IF(AND(BM$11&gt;=$H105,BM$11&lt;=$I105),1,""))</f>
        <v/>
      </c>
      <c r="BN105" s="448" t="str">
        <f aca="false">IF($G105=0,IF(BN$11=$H105,"◆",""),IF(AND(BN$11&gt;=$H105,BN$11&lt;=$I105),1,""))</f>
        <v/>
      </c>
      <c r="BO105" s="448" t="str">
        <f aca="false">IF($G105=0,IF(BO$11=$H105,"◆",""),IF(AND(BO$11&gt;=$H105,BO$11&lt;=$I105),1,""))</f>
        <v/>
      </c>
      <c r="BP105" s="448" t="str">
        <f aca="false">IF($G105=0,IF(BP$11=$H105,"◆",""),IF(AND(BP$11&gt;=$H105,BP$11&lt;=$I105),1,""))</f>
        <v/>
      </c>
      <c r="BQ105" s="448" t="str">
        <f aca="false">IF($G105=0,IF(BQ$11=$H105,"◆",""),IF(AND(BQ$11&gt;=$H105,BQ$11&lt;=$I105),1,""))</f>
        <v/>
      </c>
      <c r="BR105" s="448" t="str">
        <f aca="false">IF($G105=0,IF(BR$11=$H105,"◆",""),IF(AND(BR$11&gt;=$H105,BR$11&lt;=$I105),1,""))</f>
        <v/>
      </c>
      <c r="BS105" s="448" t="str">
        <f aca="false">IF($G105=0,IF(BS$11=$H105,"◆",""),IF(AND(BS$11&gt;=$H105,BS$11&lt;=$I105),1,""))</f>
        <v/>
      </c>
      <c r="BT105" s="448" t="str">
        <f aca="false">IF($G105=0,IF(BT$11=$H105,"◆",""),IF(AND(BT$11&gt;=$H105,BT$11&lt;=$I105),1,""))</f>
        <v/>
      </c>
      <c r="BU105" s="448" t="str">
        <f aca="false">IF($G105=0,IF(BU$11=$H105,"◆",""),IF(AND(BU$11&gt;=$H105,BU$11&lt;=$I105),1,""))</f>
        <v/>
      </c>
      <c r="BV105" s="448" t="str">
        <f aca="false">IF($G105=0,IF(BV$11=$H105,"◆",""),IF(AND(BV$11&gt;=$H105,BV$11&lt;=$I105),1,""))</f>
        <v/>
      </c>
      <c r="BW105" s="448" t="str">
        <f aca="false">IF($G105=0,IF(BW$11=$H105,"◆",""),IF(AND(BW$11&gt;=$H105,BW$11&lt;=$I105),1,""))</f>
        <v/>
      </c>
      <c r="BX105" s="448" t="str">
        <f aca="false">IF($G105=0,IF(BX$11=$H105,"◆",""),IF(AND(BX$11&gt;=$H105,BX$11&lt;=$I105),1,""))</f>
        <v/>
      </c>
      <c r="BY105" s="448" t="str">
        <f aca="false">IF($G105=0,IF(BY$11=$H105,"◆",""),IF(AND(BY$11&gt;=$H105,BY$11&lt;=$I105),1,""))</f>
        <v/>
      </c>
      <c r="BZ105" s="448" t="str">
        <f aca="false">IF($G105=0,IF(BZ$11=$H105,"◆",""),IF(AND(BZ$11&gt;=$H105,BZ$11&lt;=$I105),1,""))</f>
        <v/>
      </c>
      <c r="CA105" s="448" t="str">
        <f aca="false">IF($G105=0,IF(CA$11=$H105,"◆",""),IF(AND(CA$11&gt;=$H105,CA$11&lt;=$I105),1,""))</f>
        <v/>
      </c>
      <c r="CB105" s="448" t="str">
        <f aca="false">IF($G105=0,IF(CB$11=$H105,"◆",""),IF(AND(CB$11&gt;=$H105,CB$11&lt;=$I105),1,""))</f>
        <v/>
      </c>
      <c r="CC105" s="448" t="str">
        <f aca="false">IF($G105=0,IF(CC$11=$H105,"◆",""),IF(AND(CC$11&gt;=$H105,CC$11&lt;=$I105),1,""))</f>
        <v/>
      </c>
      <c r="CD105" s="448" t="str">
        <f aca="false">IF($G105=0,IF(CD$11=$H105,"◆",""),IF(AND(CD$11&gt;=$H105,CD$11&lt;=$I105),1,""))</f>
        <v/>
      </c>
      <c r="CE105" s="448" t="str">
        <f aca="false">IF($G105=0,IF(CE$11=$H105,"◆",""),IF(AND(CE$11&gt;=$H105,CE$11&lt;=$I105),1,""))</f>
        <v/>
      </c>
      <c r="CF105" s="448" t="str">
        <f aca="false">IF($G105=0,IF(CF$11=$H105,"◆",""),IF(AND(CF$11&gt;=$H105,CF$11&lt;=$I105),1,""))</f>
        <v/>
      </c>
      <c r="CG105" s="448" t="str">
        <f aca="false">IF($G105=0,IF(CG$11=$H105,"◆",""),IF(AND(CG$11&gt;=$H105,CG$11&lt;=$I105),1,""))</f>
        <v/>
      </c>
      <c r="CH105" s="448" t="str">
        <f aca="false">IF($G105=0,IF(CH$11=$H105,"◆",""),IF(AND(CH$11&gt;=$H105,CH$11&lt;=$I105),1,""))</f>
        <v/>
      </c>
      <c r="CI105" s="448" t="str">
        <f aca="false">IF($G105=0,IF(CI$11=$H105,"◆",""),IF(AND(CI$11&gt;=$H105,CI$11&lt;=$I105),1,""))</f>
        <v/>
      </c>
      <c r="CJ105" s="448" t="str">
        <f aca="false">IF($G105=0,IF(CJ$11=$H105,"◆",""),IF(AND(CJ$11&gt;=$H105,CJ$11&lt;=$I105),1,""))</f>
        <v/>
      </c>
      <c r="CK105" s="448" t="str">
        <f aca="false">IF($G105=0,IF(CK$11=$H105,"◆",""),IF(AND(CK$11&gt;=$H105,CK$11&lt;=$I105),1,""))</f>
        <v/>
      </c>
      <c r="CL105" s="448" t="str">
        <f aca="false">IF($G105=0,IF(CL$11=$H105,"◆",""),IF(AND(CL$11&gt;=$H105,CL$11&lt;=$I105),1,""))</f>
        <v/>
      </c>
      <c r="CM105" s="448" t="str">
        <f aca="false">IF($G105=0,IF(CM$11=$H105,"◆",""),IF(AND(CM$11&gt;=$H105,CM$11&lt;=$I105),1,""))</f>
        <v/>
      </c>
      <c r="CN105" s="448" t="str">
        <f aca="false">IF($G105=0,IF(CN$11=$H105,"◆",""),IF(AND(CN$11&gt;=$H105,CN$11&lt;=$I105),1,""))</f>
        <v/>
      </c>
      <c r="CO105" s="448" t="str">
        <f aca="false">IF($G105=0,IF(CO$11=$H105,"◆",""),IF(AND(CO$11&gt;=$H105,CO$11&lt;=$I105),1,""))</f>
        <v/>
      </c>
      <c r="CP105" s="448" t="str">
        <f aca="false">IF($G105=0,IF(CP$11=$H105,"◆",""),IF(AND(CP$11&gt;=$H105,CP$11&lt;=$I105),1,""))</f>
        <v/>
      </c>
      <c r="CQ105" s="448" t="str">
        <f aca="false">IF($G105=0,IF(CQ$11=$H105,"◆",""),IF(AND(CQ$11&gt;=$H105,CQ$11&lt;=$I105),1,""))</f>
        <v/>
      </c>
      <c r="CR105" s="448" t="str">
        <f aca="false">IF($G105=0,IF(CR$11=$H105,"◆",""),IF(AND(CR$11&gt;=$H105,CR$11&lt;=$I105),1,""))</f>
        <v/>
      </c>
      <c r="CS105" s="448" t="str">
        <f aca="false">IF($G105=0,IF(CS$11=$H105,"◆",""),IF(AND(CS$11&gt;=$H105,CS$11&lt;=$I105),1,""))</f>
        <v/>
      </c>
      <c r="CT105" s="448" t="str">
        <f aca="false">IF($G105=0,IF(CT$11=$H105,"◆",""),IF(AND(CT$11&gt;=$H105,CT$11&lt;=$I105),1,""))</f>
        <v/>
      </c>
      <c r="CU105" s="448" t="str">
        <f aca="false">IF($G105=0,IF(CU$11=$H105,"◆",""),IF(AND(CU$11&gt;=$H105,CU$11&lt;=$I105),1,""))</f>
        <v/>
      </c>
      <c r="CV105" s="448" t="str">
        <f aca="false">IF($G105=0,IF(CV$11=$H105,"◆",""),IF(AND(CV$11&gt;=$H105,CV$11&lt;=$I105),1,""))</f>
        <v/>
      </c>
      <c r="CW105" s="448" t="str">
        <f aca="false">IF($G105=0,IF(CW$11=$H105,"◆",""),IF(AND(CW$11&gt;=$H105,CW$11&lt;=$I105),1,""))</f>
        <v/>
      </c>
      <c r="CX105" s="448" t="str">
        <f aca="false">IF($G105=0,IF(CX$11=$H105,"◆",""),IF(AND(CX$11&gt;=$H105,CX$11&lt;=$I105),1,""))</f>
        <v/>
      </c>
      <c r="CY105" s="448" t="str">
        <f aca="false">IF($G105=0,IF(CY$11=$H105,"◆",""),IF(AND(CY$11&gt;=$H105,CY$11&lt;=$I105),1,""))</f>
        <v/>
      </c>
      <c r="CZ105" s="448" t="str">
        <f aca="false">IF($G105=0,IF(CZ$11=$H105,"◆",""),IF(AND(CZ$11&gt;=$H105,CZ$11&lt;=$I105),1,""))</f>
        <v/>
      </c>
      <c r="DA105" s="448" t="str">
        <f aca="false">IF($G105=0,IF(DA$11=$H105,"◆",""),IF(AND(DA$11&gt;=$H105,DA$11&lt;=$I105),1,""))</f>
        <v/>
      </c>
      <c r="DB105" s="448" t="str">
        <f aca="false">IF($G105=0,IF(DB$11=$H105,"◆",""),IF(AND(DB$11&gt;=$H105,DB$11&lt;=$I105),1,""))</f>
        <v/>
      </c>
      <c r="DC105" s="448" t="str">
        <f aca="false">IF($G105=0,IF(DC$11=$H105,"◆",""),IF(AND(DC$11&gt;=$H105,DC$11&lt;=$I105),1,""))</f>
        <v/>
      </c>
      <c r="DD105" s="448" t="str">
        <f aca="false">IF($G105=0,IF(DD$11=$H105,"◆",""),IF(AND(DD$11&gt;=$H105,DD$11&lt;=$I105),1,""))</f>
        <v/>
      </c>
      <c r="DE105" s="448" t="str">
        <f aca="false">IF($G105=0,IF(DE$11=$H105,"◆",""),IF(AND(DE$11&gt;=$H105,DE$11&lt;=$I105),1,""))</f>
        <v/>
      </c>
      <c r="DF105" s="448" t="str">
        <f aca="false">IF($G105=0,IF(DF$11=$H105,"◆",""),IF(AND(DF$11&gt;=$H105,DF$11&lt;=$I105),1,""))</f>
        <v/>
      </c>
      <c r="DG105" s="448" t="str">
        <f aca="false">IF($G105=0,IF(DG$11=$H105,"◆",""),IF(AND(DG$11&gt;=$H105,DG$11&lt;=$I105),1,""))</f>
        <v/>
      </c>
      <c r="DH105" s="448" t="str">
        <f aca="false">IF($G105=0,IF(DH$11=$H105,"◆",""),IF(AND(DH$11&gt;=$H105,DH$11&lt;=$I105),1,""))</f>
        <v/>
      </c>
      <c r="DI105" s="448" t="str">
        <f aca="false">IF($G105=0,IF(DI$11=$H105,"◆",""),IF(AND(DI$11&gt;=$H105,DI$11&lt;=$I105),1,""))</f>
        <v/>
      </c>
      <c r="DJ105" s="448" t="str">
        <f aca="false">IF($G105=0,IF(DJ$11=$H105,"◆",""),IF(AND(DJ$11&gt;=$H105,DJ$11&lt;=$I105),1,""))</f>
        <v/>
      </c>
      <c r="DK105" s="448" t="str">
        <f aca="false">IF($G105=0,IF(DK$11=$H105,"◆",""),IF(AND(DK$11&gt;=$H105,DK$11&lt;=$I105),1,""))</f>
        <v/>
      </c>
      <c r="DL105" s="448" t="str">
        <f aca="false">IF($G105=0,IF(DL$11=$H105,"◆",""),IF(AND(DL$11&gt;=$H105,DL$11&lt;=$I105),1,""))</f>
        <v/>
      </c>
      <c r="DM105" s="448" t="str">
        <f aca="false">IF($G105=0,IF(DM$11=$H105,"◆",""),IF(AND(DM$11&gt;=$H105,DM$11&lt;=$I105),1,""))</f>
        <v/>
      </c>
      <c r="DN105" s="448" t="str">
        <f aca="false">IF($G105=0,IF(DN$11=$H105,"◆",""),IF(AND(DN$11&gt;=$H105,DN$11&lt;=$I105),1,""))</f>
        <v/>
      </c>
      <c r="DO105" s="448" t="str">
        <f aca="false">IF($G105=0,IF(DO$11=$H105,"◆",""),IF(AND(DO$11&gt;=$H105,DO$11&lt;=$I105),1,""))</f>
        <v/>
      </c>
      <c r="DP105" s="448" t="str">
        <f aca="false">IF($G105=0,IF(DP$11=$H105,"◆",""),IF(AND(DP$11&gt;=$H105,DP$11&lt;=$I105),1,""))</f>
        <v/>
      </c>
      <c r="DQ105" s="448" t="str">
        <f aca="false">IF($G105=0,IF(DQ$11=$H105,"◆",""),IF(AND(DQ$11&gt;=$H105,DQ$11&lt;=$I105),1,""))</f>
        <v/>
      </c>
      <c r="DR105" s="448" t="str">
        <f aca="false">IF($G105=0,IF(DR$11=$H105,"◆",""),IF(AND(DR$11&gt;=$H105,DR$11&lt;=$I105),1,""))</f>
        <v/>
      </c>
      <c r="DS105" s="448" t="str">
        <f aca="false">IF($G105=0,IF(DS$11=$H105,"◆",""),IF(AND(DS$11&gt;=$H105,DS$11&lt;=$I105),1,""))</f>
        <v/>
      </c>
      <c r="DT105" s="448" t="str">
        <f aca="false">IF($G105=0,IF(DT$11=$H105,"◆",""),IF(AND(DT$11&gt;=$H105,DT$11&lt;=$I105),1,""))</f>
        <v/>
      </c>
      <c r="DU105" s="448" t="str">
        <f aca="false">IF($G105=0,IF(DU$11=$H105,"◆",""),IF(AND(DU$11&gt;=$H105,DU$11&lt;=$I105),1,""))</f>
        <v/>
      </c>
      <c r="DV105" s="448" t="str">
        <f aca="false">IF($G105=0,IF(DV$11=$H105,"◆",""),IF(AND(DV$11&gt;=$H105,DV$11&lt;=$I105),1,""))</f>
        <v/>
      </c>
      <c r="DW105" s="448" t="str">
        <f aca="false">IF($G105=0,IF(DW$11=$H105,"◆",""),IF(AND(DW$11&gt;=$H105,DW$11&lt;=$I105),1,""))</f>
        <v/>
      </c>
      <c r="DX105" s="448" t="str">
        <f aca="false">IF($G105=0,IF(DX$11=$H105,"◆",""),IF(AND(DX$11&gt;=$H105,DX$11&lt;=$I105),1,""))</f>
        <v/>
      </c>
      <c r="DY105" s="448" t="str">
        <f aca="false">IF($G105=0,IF(DY$11=$H105,"◆",""),IF(AND(DY$11&gt;=$H105,DY$11&lt;=$I105),1,""))</f>
        <v/>
      </c>
      <c r="DZ105" s="448" t="str">
        <f aca="false">IF($G105=0,IF(DZ$11=$H105,"◆",""),IF(AND(DZ$11&gt;=$H105,DZ$11&lt;=$I105),1,""))</f>
        <v/>
      </c>
      <c r="EA105" s="448" t="str">
        <f aca="false">IF($G105=0,IF(EA$11=$H105,"◆",""),IF(AND(EA$11&gt;=$H105,EA$11&lt;=$I105),1,""))</f>
        <v/>
      </c>
      <c r="EB105" s="448" t="str">
        <f aca="false">IF($G105=0,IF(EB$11=$H105,"◆",""),IF(AND(EB$11&gt;=$H105,EB$11&lt;=$I105),1,""))</f>
        <v/>
      </c>
      <c r="EC105" s="448" t="str">
        <f aca="false">IF($G105=0,IF(EC$11=$H105,"◆",""),IF(AND(EC$11&gt;=$H105,EC$11&lt;=$I105),1,""))</f>
        <v/>
      </c>
      <c r="ED105" s="448" t="str">
        <f aca="false">IF($G105=0,IF(ED$11=$H105,"◆",""),IF(AND(ED$11&gt;=$H105,ED$11&lt;=$I105),1,""))</f>
        <v/>
      </c>
    </row>
    <row r="106" customFormat="false" ht="15" hidden="false" customHeight="true" outlineLevel="0" collapsed="false">
      <c r="A106" s="441" t="s">
        <v>2655</v>
      </c>
      <c r="B106" s="297" t="s">
        <v>2656</v>
      </c>
      <c r="C106" s="442" t="s">
        <v>2531</v>
      </c>
      <c r="D106" s="443" t="s">
        <v>2634</v>
      </c>
      <c r="E106" s="354" t="n">
        <f aca="false">FC_SUPUESTOS!$C$40</f>
        <v>10</v>
      </c>
      <c r="F106" s="352" t="n">
        <v>-4</v>
      </c>
      <c r="G106" s="352" t="n">
        <v>20</v>
      </c>
      <c r="H106" s="367" t="n">
        <f aca="false">MAX(1,ROUND(($E106-1)*$D$5,0)+1+$F106)</f>
        <v>36</v>
      </c>
      <c r="I106" s="367" t="n">
        <f aca="false">MAX($H106,$H106+$G106-1)</f>
        <v>55</v>
      </c>
      <c r="J106" s="444" t="n">
        <f aca="false">$D$4+($H106-1)*7</f>
        <v>46545</v>
      </c>
      <c r="K106" s="444" t="n">
        <f aca="false">$D$4+$I106*7-1</f>
        <v>46684</v>
      </c>
      <c r="L106" s="445" t="n">
        <f aca="false">ROUNDUP($H106/$D$5,0)</f>
        <v>9</v>
      </c>
      <c r="M106" s="446"/>
      <c r="N106" s="447" t="n">
        <v>0</v>
      </c>
      <c r="O106" s="448" t="str">
        <f aca="false">IF($G106=0,IF(O$11=$H106,"◆",""),IF(AND(O$11&gt;=$H106,O$11&lt;=$I106),1,""))</f>
        <v/>
      </c>
      <c r="P106" s="448" t="str">
        <f aca="false">IF($G106=0,IF(P$11=$H106,"◆",""),IF(AND(P$11&gt;=$H106,P$11&lt;=$I106),1,""))</f>
        <v/>
      </c>
      <c r="Q106" s="448" t="str">
        <f aca="false">IF($G106=0,IF(Q$11=$H106,"◆",""),IF(AND(Q$11&gt;=$H106,Q$11&lt;=$I106),1,""))</f>
        <v/>
      </c>
      <c r="R106" s="448" t="str">
        <f aca="false">IF($G106=0,IF(R$11=$H106,"◆",""),IF(AND(R$11&gt;=$H106,R$11&lt;=$I106),1,""))</f>
        <v/>
      </c>
      <c r="S106" s="448" t="str">
        <f aca="false">IF($G106=0,IF(S$11=$H106,"◆",""),IF(AND(S$11&gt;=$H106,S$11&lt;=$I106),1,""))</f>
        <v/>
      </c>
      <c r="T106" s="448" t="str">
        <f aca="false">IF($G106=0,IF(T$11=$H106,"◆",""),IF(AND(T$11&gt;=$H106,T$11&lt;=$I106),1,""))</f>
        <v/>
      </c>
      <c r="U106" s="448" t="str">
        <f aca="false">IF($G106=0,IF(U$11=$H106,"◆",""),IF(AND(U$11&gt;=$H106,U$11&lt;=$I106),1,""))</f>
        <v/>
      </c>
      <c r="V106" s="448" t="str">
        <f aca="false">IF($G106=0,IF(V$11=$H106,"◆",""),IF(AND(V$11&gt;=$H106,V$11&lt;=$I106),1,""))</f>
        <v/>
      </c>
      <c r="W106" s="448" t="str">
        <f aca="false">IF($G106=0,IF(W$11=$H106,"◆",""),IF(AND(W$11&gt;=$H106,W$11&lt;=$I106),1,""))</f>
        <v/>
      </c>
      <c r="X106" s="448" t="str">
        <f aca="false">IF($G106=0,IF(X$11=$H106,"◆",""),IF(AND(X$11&gt;=$H106,X$11&lt;=$I106),1,""))</f>
        <v/>
      </c>
      <c r="Y106" s="448" t="str">
        <f aca="false">IF($G106=0,IF(Y$11=$H106,"◆",""),IF(AND(Y$11&gt;=$H106,Y$11&lt;=$I106),1,""))</f>
        <v/>
      </c>
      <c r="Z106" s="448" t="str">
        <f aca="false">IF($G106=0,IF(Z$11=$H106,"◆",""),IF(AND(Z$11&gt;=$H106,Z$11&lt;=$I106),1,""))</f>
        <v/>
      </c>
      <c r="AA106" s="448" t="str">
        <f aca="false">IF($G106=0,IF(AA$11=$H106,"◆",""),IF(AND(AA$11&gt;=$H106,AA$11&lt;=$I106),1,""))</f>
        <v/>
      </c>
      <c r="AB106" s="448" t="str">
        <f aca="false">IF($G106=0,IF(AB$11=$H106,"◆",""),IF(AND(AB$11&gt;=$H106,AB$11&lt;=$I106),1,""))</f>
        <v/>
      </c>
      <c r="AC106" s="448" t="str">
        <f aca="false">IF($G106=0,IF(AC$11=$H106,"◆",""),IF(AND(AC$11&gt;=$H106,AC$11&lt;=$I106),1,""))</f>
        <v/>
      </c>
      <c r="AD106" s="448" t="str">
        <f aca="false">IF($G106=0,IF(AD$11=$H106,"◆",""),IF(AND(AD$11&gt;=$H106,AD$11&lt;=$I106),1,""))</f>
        <v/>
      </c>
      <c r="AE106" s="448" t="str">
        <f aca="false">IF($G106=0,IF(AE$11=$H106,"◆",""),IF(AND(AE$11&gt;=$H106,AE$11&lt;=$I106),1,""))</f>
        <v/>
      </c>
      <c r="AF106" s="448" t="str">
        <f aca="false">IF($G106=0,IF(AF$11=$H106,"◆",""),IF(AND(AF$11&gt;=$H106,AF$11&lt;=$I106),1,""))</f>
        <v/>
      </c>
      <c r="AG106" s="448" t="str">
        <f aca="false">IF($G106=0,IF(AG$11=$H106,"◆",""),IF(AND(AG$11&gt;=$H106,AG$11&lt;=$I106),1,""))</f>
        <v/>
      </c>
      <c r="AH106" s="448" t="str">
        <f aca="false">IF($G106=0,IF(AH$11=$H106,"◆",""),IF(AND(AH$11&gt;=$H106,AH$11&lt;=$I106),1,""))</f>
        <v/>
      </c>
      <c r="AI106" s="448" t="str">
        <f aca="false">IF($G106=0,IF(AI$11=$H106,"◆",""),IF(AND(AI$11&gt;=$H106,AI$11&lt;=$I106),1,""))</f>
        <v/>
      </c>
      <c r="AJ106" s="448" t="str">
        <f aca="false">IF($G106=0,IF(AJ$11=$H106,"◆",""),IF(AND(AJ$11&gt;=$H106,AJ$11&lt;=$I106),1,""))</f>
        <v/>
      </c>
      <c r="AK106" s="448" t="str">
        <f aca="false">IF($G106=0,IF(AK$11=$H106,"◆",""),IF(AND(AK$11&gt;=$H106,AK$11&lt;=$I106),1,""))</f>
        <v/>
      </c>
      <c r="AL106" s="448" t="str">
        <f aca="false">IF($G106=0,IF(AL$11=$H106,"◆",""),IF(AND(AL$11&gt;=$H106,AL$11&lt;=$I106),1,""))</f>
        <v/>
      </c>
      <c r="AM106" s="448" t="str">
        <f aca="false">IF($G106=0,IF(AM$11=$H106,"◆",""),IF(AND(AM$11&gt;=$H106,AM$11&lt;=$I106),1,""))</f>
        <v/>
      </c>
      <c r="AN106" s="448" t="str">
        <f aca="false">IF($G106=0,IF(AN$11=$H106,"◆",""),IF(AND(AN$11&gt;=$H106,AN$11&lt;=$I106),1,""))</f>
        <v/>
      </c>
      <c r="AO106" s="448" t="str">
        <f aca="false">IF($G106=0,IF(AO$11=$H106,"◆",""),IF(AND(AO$11&gt;=$H106,AO$11&lt;=$I106),1,""))</f>
        <v/>
      </c>
      <c r="AP106" s="448" t="str">
        <f aca="false">IF($G106=0,IF(AP$11=$H106,"◆",""),IF(AND(AP$11&gt;=$H106,AP$11&lt;=$I106),1,""))</f>
        <v/>
      </c>
      <c r="AQ106" s="448" t="str">
        <f aca="false">IF($G106=0,IF(AQ$11=$H106,"◆",""),IF(AND(AQ$11&gt;=$H106,AQ$11&lt;=$I106),1,""))</f>
        <v/>
      </c>
      <c r="AR106" s="448" t="str">
        <f aca="false">IF($G106=0,IF(AR$11=$H106,"◆",""),IF(AND(AR$11&gt;=$H106,AR$11&lt;=$I106),1,""))</f>
        <v/>
      </c>
      <c r="AS106" s="448" t="str">
        <f aca="false">IF($G106=0,IF(AS$11=$H106,"◆",""),IF(AND(AS$11&gt;=$H106,AS$11&lt;=$I106),1,""))</f>
        <v/>
      </c>
      <c r="AT106" s="448" t="str">
        <f aca="false">IF($G106=0,IF(AT$11=$H106,"◆",""),IF(AND(AT$11&gt;=$H106,AT$11&lt;=$I106),1,""))</f>
        <v/>
      </c>
      <c r="AU106" s="448" t="str">
        <f aca="false">IF($G106=0,IF(AU$11=$H106,"◆",""),IF(AND(AU$11&gt;=$H106,AU$11&lt;=$I106),1,""))</f>
        <v/>
      </c>
      <c r="AV106" s="448" t="str">
        <f aca="false">IF($G106=0,IF(AV$11=$H106,"◆",""),IF(AND(AV$11&gt;=$H106,AV$11&lt;=$I106),1,""))</f>
        <v/>
      </c>
      <c r="AW106" s="448" t="str">
        <f aca="false">IF($G106=0,IF(AW$11=$H106,"◆",""),IF(AND(AW$11&gt;=$H106,AW$11&lt;=$I106),1,""))</f>
        <v/>
      </c>
      <c r="AX106" s="448" t="n">
        <f aca="false">IF($G106=0,IF(AX$11=$H106,"◆",""),IF(AND(AX$11&gt;=$H106,AX$11&lt;=$I106),1,""))</f>
        <v>1</v>
      </c>
      <c r="AY106" s="448" t="n">
        <f aca="false">IF($G106=0,IF(AY$11=$H106,"◆",""),IF(AND(AY$11&gt;=$H106,AY$11&lt;=$I106),1,""))</f>
        <v>1</v>
      </c>
      <c r="AZ106" s="448" t="n">
        <f aca="false">IF($G106=0,IF(AZ$11=$H106,"◆",""),IF(AND(AZ$11&gt;=$H106,AZ$11&lt;=$I106),1,""))</f>
        <v>1</v>
      </c>
      <c r="BA106" s="448" t="n">
        <f aca="false">IF($G106=0,IF(BA$11=$H106,"◆",""),IF(AND(BA$11&gt;=$H106,BA$11&lt;=$I106),1,""))</f>
        <v>1</v>
      </c>
      <c r="BB106" s="448" t="n">
        <f aca="false">IF($G106=0,IF(BB$11=$H106,"◆",""),IF(AND(BB$11&gt;=$H106,BB$11&lt;=$I106),1,""))</f>
        <v>1</v>
      </c>
      <c r="BC106" s="448" t="n">
        <f aca="false">IF($G106=0,IF(BC$11=$H106,"◆",""),IF(AND(BC$11&gt;=$H106,BC$11&lt;=$I106),1,""))</f>
        <v>1</v>
      </c>
      <c r="BD106" s="448" t="n">
        <f aca="false">IF($G106=0,IF(BD$11=$H106,"◆",""),IF(AND(BD$11&gt;=$H106,BD$11&lt;=$I106),1,""))</f>
        <v>1</v>
      </c>
      <c r="BE106" s="448" t="n">
        <f aca="false">IF($G106=0,IF(BE$11=$H106,"◆",""),IF(AND(BE$11&gt;=$H106,BE$11&lt;=$I106),1,""))</f>
        <v>1</v>
      </c>
      <c r="BF106" s="448" t="n">
        <f aca="false">IF($G106=0,IF(BF$11=$H106,"◆",""),IF(AND(BF$11&gt;=$H106,BF$11&lt;=$I106),1,""))</f>
        <v>1</v>
      </c>
      <c r="BG106" s="448" t="n">
        <f aca="false">IF($G106=0,IF(BG$11=$H106,"◆",""),IF(AND(BG$11&gt;=$H106,BG$11&lt;=$I106),1,""))</f>
        <v>1</v>
      </c>
      <c r="BH106" s="448" t="n">
        <f aca="false">IF($G106=0,IF(BH$11=$H106,"◆",""),IF(AND(BH$11&gt;=$H106,BH$11&lt;=$I106),1,""))</f>
        <v>1</v>
      </c>
      <c r="BI106" s="448" t="n">
        <f aca="false">IF($G106=0,IF(BI$11=$H106,"◆",""),IF(AND(BI$11&gt;=$H106,BI$11&lt;=$I106),1,""))</f>
        <v>1</v>
      </c>
      <c r="BJ106" s="448" t="n">
        <f aca="false">IF($G106=0,IF(BJ$11=$H106,"◆",""),IF(AND(BJ$11&gt;=$H106,BJ$11&lt;=$I106),1,""))</f>
        <v>1</v>
      </c>
      <c r="BK106" s="448" t="n">
        <f aca="false">IF($G106=0,IF(BK$11=$H106,"◆",""),IF(AND(BK$11&gt;=$H106,BK$11&lt;=$I106),1,""))</f>
        <v>1</v>
      </c>
      <c r="BL106" s="448" t="n">
        <f aca="false">IF($G106=0,IF(BL$11=$H106,"◆",""),IF(AND(BL$11&gt;=$H106,BL$11&lt;=$I106),1,""))</f>
        <v>1</v>
      </c>
      <c r="BM106" s="448" t="n">
        <f aca="false">IF($G106=0,IF(BM$11=$H106,"◆",""),IF(AND(BM$11&gt;=$H106,BM$11&lt;=$I106),1,""))</f>
        <v>1</v>
      </c>
      <c r="BN106" s="448" t="n">
        <f aca="false">IF($G106=0,IF(BN$11=$H106,"◆",""),IF(AND(BN$11&gt;=$H106,BN$11&lt;=$I106),1,""))</f>
        <v>1</v>
      </c>
      <c r="BO106" s="448" t="n">
        <f aca="false">IF($G106=0,IF(BO$11=$H106,"◆",""),IF(AND(BO$11&gt;=$H106,BO$11&lt;=$I106),1,""))</f>
        <v>1</v>
      </c>
      <c r="BP106" s="448" t="n">
        <f aca="false">IF($G106=0,IF(BP$11=$H106,"◆",""),IF(AND(BP$11&gt;=$H106,BP$11&lt;=$I106),1,""))</f>
        <v>1</v>
      </c>
      <c r="BQ106" s="448" t="n">
        <f aca="false">IF($G106=0,IF(BQ$11=$H106,"◆",""),IF(AND(BQ$11&gt;=$H106,BQ$11&lt;=$I106),1,""))</f>
        <v>1</v>
      </c>
      <c r="BR106" s="448" t="str">
        <f aca="false">IF($G106=0,IF(BR$11=$H106,"◆",""),IF(AND(BR$11&gt;=$H106,BR$11&lt;=$I106),1,""))</f>
        <v/>
      </c>
      <c r="BS106" s="448" t="str">
        <f aca="false">IF($G106=0,IF(BS$11=$H106,"◆",""),IF(AND(BS$11&gt;=$H106,BS$11&lt;=$I106),1,""))</f>
        <v/>
      </c>
      <c r="BT106" s="448" t="str">
        <f aca="false">IF($G106=0,IF(BT$11=$H106,"◆",""),IF(AND(BT$11&gt;=$H106,BT$11&lt;=$I106),1,""))</f>
        <v/>
      </c>
      <c r="BU106" s="448" t="str">
        <f aca="false">IF($G106=0,IF(BU$11=$H106,"◆",""),IF(AND(BU$11&gt;=$H106,BU$11&lt;=$I106),1,""))</f>
        <v/>
      </c>
      <c r="BV106" s="448" t="str">
        <f aca="false">IF($G106=0,IF(BV$11=$H106,"◆",""),IF(AND(BV$11&gt;=$H106,BV$11&lt;=$I106),1,""))</f>
        <v/>
      </c>
      <c r="BW106" s="448" t="str">
        <f aca="false">IF($G106=0,IF(BW$11=$H106,"◆",""),IF(AND(BW$11&gt;=$H106,BW$11&lt;=$I106),1,""))</f>
        <v/>
      </c>
      <c r="BX106" s="448" t="str">
        <f aca="false">IF($G106=0,IF(BX$11=$H106,"◆",""),IF(AND(BX$11&gt;=$H106,BX$11&lt;=$I106),1,""))</f>
        <v/>
      </c>
      <c r="BY106" s="448" t="str">
        <f aca="false">IF($G106=0,IF(BY$11=$H106,"◆",""),IF(AND(BY$11&gt;=$H106,BY$11&lt;=$I106),1,""))</f>
        <v/>
      </c>
      <c r="BZ106" s="448" t="str">
        <f aca="false">IF($G106=0,IF(BZ$11=$H106,"◆",""),IF(AND(BZ$11&gt;=$H106,BZ$11&lt;=$I106),1,""))</f>
        <v/>
      </c>
      <c r="CA106" s="448" t="str">
        <f aca="false">IF($G106=0,IF(CA$11=$H106,"◆",""),IF(AND(CA$11&gt;=$H106,CA$11&lt;=$I106),1,""))</f>
        <v/>
      </c>
      <c r="CB106" s="448" t="str">
        <f aca="false">IF($G106=0,IF(CB$11=$H106,"◆",""),IF(AND(CB$11&gt;=$H106,CB$11&lt;=$I106),1,""))</f>
        <v/>
      </c>
      <c r="CC106" s="448" t="str">
        <f aca="false">IF($G106=0,IF(CC$11=$H106,"◆",""),IF(AND(CC$11&gt;=$H106,CC$11&lt;=$I106),1,""))</f>
        <v/>
      </c>
      <c r="CD106" s="448" t="str">
        <f aca="false">IF($G106=0,IF(CD$11=$H106,"◆",""),IF(AND(CD$11&gt;=$H106,CD$11&lt;=$I106),1,""))</f>
        <v/>
      </c>
      <c r="CE106" s="448" t="str">
        <f aca="false">IF($G106=0,IF(CE$11=$H106,"◆",""),IF(AND(CE$11&gt;=$H106,CE$11&lt;=$I106),1,""))</f>
        <v/>
      </c>
      <c r="CF106" s="448" t="str">
        <f aca="false">IF($G106=0,IF(CF$11=$H106,"◆",""),IF(AND(CF$11&gt;=$H106,CF$11&lt;=$I106),1,""))</f>
        <v/>
      </c>
      <c r="CG106" s="448" t="str">
        <f aca="false">IF($G106=0,IF(CG$11=$H106,"◆",""),IF(AND(CG$11&gt;=$H106,CG$11&lt;=$I106),1,""))</f>
        <v/>
      </c>
      <c r="CH106" s="448" t="str">
        <f aca="false">IF($G106=0,IF(CH$11=$H106,"◆",""),IF(AND(CH$11&gt;=$H106,CH$11&lt;=$I106),1,""))</f>
        <v/>
      </c>
      <c r="CI106" s="448" t="str">
        <f aca="false">IF($G106=0,IF(CI$11=$H106,"◆",""),IF(AND(CI$11&gt;=$H106,CI$11&lt;=$I106),1,""))</f>
        <v/>
      </c>
      <c r="CJ106" s="448" t="str">
        <f aca="false">IF($G106=0,IF(CJ$11=$H106,"◆",""),IF(AND(CJ$11&gt;=$H106,CJ$11&lt;=$I106),1,""))</f>
        <v/>
      </c>
      <c r="CK106" s="448" t="str">
        <f aca="false">IF($G106=0,IF(CK$11=$H106,"◆",""),IF(AND(CK$11&gt;=$H106,CK$11&lt;=$I106),1,""))</f>
        <v/>
      </c>
      <c r="CL106" s="448" t="str">
        <f aca="false">IF($G106=0,IF(CL$11=$H106,"◆",""),IF(AND(CL$11&gt;=$H106,CL$11&lt;=$I106),1,""))</f>
        <v/>
      </c>
      <c r="CM106" s="448" t="str">
        <f aca="false">IF($G106=0,IF(CM$11=$H106,"◆",""),IF(AND(CM$11&gt;=$H106,CM$11&lt;=$I106),1,""))</f>
        <v/>
      </c>
      <c r="CN106" s="448" t="str">
        <f aca="false">IF($G106=0,IF(CN$11=$H106,"◆",""),IF(AND(CN$11&gt;=$H106,CN$11&lt;=$I106),1,""))</f>
        <v/>
      </c>
      <c r="CO106" s="448" t="str">
        <f aca="false">IF($G106=0,IF(CO$11=$H106,"◆",""),IF(AND(CO$11&gt;=$H106,CO$11&lt;=$I106),1,""))</f>
        <v/>
      </c>
      <c r="CP106" s="448" t="str">
        <f aca="false">IF($G106=0,IF(CP$11=$H106,"◆",""),IF(AND(CP$11&gt;=$H106,CP$11&lt;=$I106),1,""))</f>
        <v/>
      </c>
      <c r="CQ106" s="448" t="str">
        <f aca="false">IF($G106=0,IF(CQ$11=$H106,"◆",""),IF(AND(CQ$11&gt;=$H106,CQ$11&lt;=$I106),1,""))</f>
        <v/>
      </c>
      <c r="CR106" s="448" t="str">
        <f aca="false">IF($G106=0,IF(CR$11=$H106,"◆",""),IF(AND(CR$11&gt;=$H106,CR$11&lt;=$I106),1,""))</f>
        <v/>
      </c>
      <c r="CS106" s="448" t="str">
        <f aca="false">IF($G106=0,IF(CS$11=$H106,"◆",""),IF(AND(CS$11&gt;=$H106,CS$11&lt;=$I106),1,""))</f>
        <v/>
      </c>
      <c r="CT106" s="448" t="str">
        <f aca="false">IF($G106=0,IF(CT$11=$H106,"◆",""),IF(AND(CT$11&gt;=$H106,CT$11&lt;=$I106),1,""))</f>
        <v/>
      </c>
      <c r="CU106" s="448" t="str">
        <f aca="false">IF($G106=0,IF(CU$11=$H106,"◆",""),IF(AND(CU$11&gt;=$H106,CU$11&lt;=$I106),1,""))</f>
        <v/>
      </c>
      <c r="CV106" s="448" t="str">
        <f aca="false">IF($G106=0,IF(CV$11=$H106,"◆",""),IF(AND(CV$11&gt;=$H106,CV$11&lt;=$I106),1,""))</f>
        <v/>
      </c>
      <c r="CW106" s="448" t="str">
        <f aca="false">IF($G106=0,IF(CW$11=$H106,"◆",""),IF(AND(CW$11&gt;=$H106,CW$11&lt;=$I106),1,""))</f>
        <v/>
      </c>
      <c r="CX106" s="448" t="str">
        <f aca="false">IF($G106=0,IF(CX$11=$H106,"◆",""),IF(AND(CX$11&gt;=$H106,CX$11&lt;=$I106),1,""))</f>
        <v/>
      </c>
      <c r="CY106" s="448" t="str">
        <f aca="false">IF($G106=0,IF(CY$11=$H106,"◆",""),IF(AND(CY$11&gt;=$H106,CY$11&lt;=$I106),1,""))</f>
        <v/>
      </c>
      <c r="CZ106" s="448" t="str">
        <f aca="false">IF($G106=0,IF(CZ$11=$H106,"◆",""),IF(AND(CZ$11&gt;=$H106,CZ$11&lt;=$I106),1,""))</f>
        <v/>
      </c>
      <c r="DA106" s="448" t="str">
        <f aca="false">IF($G106=0,IF(DA$11=$H106,"◆",""),IF(AND(DA$11&gt;=$H106,DA$11&lt;=$I106),1,""))</f>
        <v/>
      </c>
      <c r="DB106" s="448" t="str">
        <f aca="false">IF($G106=0,IF(DB$11=$H106,"◆",""),IF(AND(DB$11&gt;=$H106,DB$11&lt;=$I106),1,""))</f>
        <v/>
      </c>
      <c r="DC106" s="448" t="str">
        <f aca="false">IF($G106=0,IF(DC$11=$H106,"◆",""),IF(AND(DC$11&gt;=$H106,DC$11&lt;=$I106),1,""))</f>
        <v/>
      </c>
      <c r="DD106" s="448" t="str">
        <f aca="false">IF($G106=0,IF(DD$11=$H106,"◆",""),IF(AND(DD$11&gt;=$H106,DD$11&lt;=$I106),1,""))</f>
        <v/>
      </c>
      <c r="DE106" s="448" t="str">
        <f aca="false">IF($G106=0,IF(DE$11=$H106,"◆",""),IF(AND(DE$11&gt;=$H106,DE$11&lt;=$I106),1,""))</f>
        <v/>
      </c>
      <c r="DF106" s="448" t="str">
        <f aca="false">IF($G106=0,IF(DF$11=$H106,"◆",""),IF(AND(DF$11&gt;=$H106,DF$11&lt;=$I106),1,""))</f>
        <v/>
      </c>
      <c r="DG106" s="448" t="str">
        <f aca="false">IF($G106=0,IF(DG$11=$H106,"◆",""),IF(AND(DG$11&gt;=$H106,DG$11&lt;=$I106),1,""))</f>
        <v/>
      </c>
      <c r="DH106" s="448" t="str">
        <f aca="false">IF($G106=0,IF(DH$11=$H106,"◆",""),IF(AND(DH$11&gt;=$H106,DH$11&lt;=$I106),1,""))</f>
        <v/>
      </c>
      <c r="DI106" s="448" t="str">
        <f aca="false">IF($G106=0,IF(DI$11=$H106,"◆",""),IF(AND(DI$11&gt;=$H106,DI$11&lt;=$I106),1,""))</f>
        <v/>
      </c>
      <c r="DJ106" s="448" t="str">
        <f aca="false">IF($G106=0,IF(DJ$11=$H106,"◆",""),IF(AND(DJ$11&gt;=$H106,DJ$11&lt;=$I106),1,""))</f>
        <v/>
      </c>
      <c r="DK106" s="448" t="str">
        <f aca="false">IF($G106=0,IF(DK$11=$H106,"◆",""),IF(AND(DK$11&gt;=$H106,DK$11&lt;=$I106),1,""))</f>
        <v/>
      </c>
      <c r="DL106" s="448" t="str">
        <f aca="false">IF($G106=0,IF(DL$11=$H106,"◆",""),IF(AND(DL$11&gt;=$H106,DL$11&lt;=$I106),1,""))</f>
        <v/>
      </c>
      <c r="DM106" s="448" t="str">
        <f aca="false">IF($G106=0,IF(DM$11=$H106,"◆",""),IF(AND(DM$11&gt;=$H106,DM$11&lt;=$I106),1,""))</f>
        <v/>
      </c>
      <c r="DN106" s="448" t="str">
        <f aca="false">IF($G106=0,IF(DN$11=$H106,"◆",""),IF(AND(DN$11&gt;=$H106,DN$11&lt;=$I106),1,""))</f>
        <v/>
      </c>
      <c r="DO106" s="448" t="str">
        <f aca="false">IF($G106=0,IF(DO$11=$H106,"◆",""),IF(AND(DO$11&gt;=$H106,DO$11&lt;=$I106),1,""))</f>
        <v/>
      </c>
      <c r="DP106" s="448" t="str">
        <f aca="false">IF($G106=0,IF(DP$11=$H106,"◆",""),IF(AND(DP$11&gt;=$H106,DP$11&lt;=$I106),1,""))</f>
        <v/>
      </c>
      <c r="DQ106" s="448" t="str">
        <f aca="false">IF($G106=0,IF(DQ$11=$H106,"◆",""),IF(AND(DQ$11&gt;=$H106,DQ$11&lt;=$I106),1,""))</f>
        <v/>
      </c>
      <c r="DR106" s="448" t="str">
        <f aca="false">IF($G106=0,IF(DR$11=$H106,"◆",""),IF(AND(DR$11&gt;=$H106,DR$11&lt;=$I106),1,""))</f>
        <v/>
      </c>
      <c r="DS106" s="448" t="str">
        <f aca="false">IF($G106=0,IF(DS$11=$H106,"◆",""),IF(AND(DS$11&gt;=$H106,DS$11&lt;=$I106),1,""))</f>
        <v/>
      </c>
      <c r="DT106" s="448" t="str">
        <f aca="false">IF($G106=0,IF(DT$11=$H106,"◆",""),IF(AND(DT$11&gt;=$H106,DT$11&lt;=$I106),1,""))</f>
        <v/>
      </c>
      <c r="DU106" s="448" t="str">
        <f aca="false">IF($G106=0,IF(DU$11=$H106,"◆",""),IF(AND(DU$11&gt;=$H106,DU$11&lt;=$I106),1,""))</f>
        <v/>
      </c>
      <c r="DV106" s="448" t="str">
        <f aca="false">IF($G106=0,IF(DV$11=$H106,"◆",""),IF(AND(DV$11&gt;=$H106,DV$11&lt;=$I106),1,""))</f>
        <v/>
      </c>
      <c r="DW106" s="448" t="str">
        <f aca="false">IF($G106=0,IF(DW$11=$H106,"◆",""),IF(AND(DW$11&gt;=$H106,DW$11&lt;=$I106),1,""))</f>
        <v/>
      </c>
      <c r="DX106" s="448" t="str">
        <f aca="false">IF($G106=0,IF(DX$11=$H106,"◆",""),IF(AND(DX$11&gt;=$H106,DX$11&lt;=$I106),1,""))</f>
        <v/>
      </c>
      <c r="DY106" s="448" t="str">
        <f aca="false">IF($G106=0,IF(DY$11=$H106,"◆",""),IF(AND(DY$11&gt;=$H106,DY$11&lt;=$I106),1,""))</f>
        <v/>
      </c>
      <c r="DZ106" s="448" t="str">
        <f aca="false">IF($G106=0,IF(DZ$11=$H106,"◆",""),IF(AND(DZ$11&gt;=$H106,DZ$11&lt;=$I106),1,""))</f>
        <v/>
      </c>
      <c r="EA106" s="448" t="str">
        <f aca="false">IF($G106=0,IF(EA$11=$H106,"◆",""),IF(AND(EA$11&gt;=$H106,EA$11&lt;=$I106),1,""))</f>
        <v/>
      </c>
      <c r="EB106" s="448" t="str">
        <f aca="false">IF($G106=0,IF(EB$11=$H106,"◆",""),IF(AND(EB$11&gt;=$H106,EB$11&lt;=$I106),1,""))</f>
        <v/>
      </c>
      <c r="EC106" s="448" t="str">
        <f aca="false">IF($G106=0,IF(EC$11=$H106,"◆",""),IF(AND(EC$11&gt;=$H106,EC$11&lt;=$I106),1,""))</f>
        <v/>
      </c>
      <c r="ED106" s="448" t="str">
        <f aca="false">IF($G106=0,IF(ED$11=$H106,"◆",""),IF(AND(ED$11&gt;=$H106,ED$11&lt;=$I106),1,""))</f>
        <v/>
      </c>
    </row>
    <row r="107" customFormat="false" ht="15" hidden="false" customHeight="true" outlineLevel="0" collapsed="false">
      <c r="A107" s="441" t="s">
        <v>2657</v>
      </c>
      <c r="B107" s="297" t="s">
        <v>2658</v>
      </c>
      <c r="C107" s="442" t="s">
        <v>2659</v>
      </c>
      <c r="D107" s="443" t="s">
        <v>2634</v>
      </c>
      <c r="E107" s="354" t="n">
        <f aca="false">FC_SUPUESTOS!$C$40</f>
        <v>10</v>
      </c>
      <c r="F107" s="374" t="n">
        <f aca="false">-ROUND(FC_SUPUESTOS!$C$166*$D$5,0)</f>
        <v>-13</v>
      </c>
      <c r="G107" s="374" t="n">
        <f aca="false">ROUND(($D$7-$D$6+FC_SUPUESTOS!$C$166-FC_SUPUESTOS!$C$168)*$D$5,0)+8</f>
        <v>30</v>
      </c>
      <c r="H107" s="367" t="n">
        <f aca="false">MAX(1,ROUND(($E107-1)*$D$5,0)+1+$F107)</f>
        <v>27</v>
      </c>
      <c r="I107" s="367" t="n">
        <f aca="false">MAX($H107,$H107+$G107-1)</f>
        <v>56</v>
      </c>
      <c r="J107" s="444" t="n">
        <f aca="false">$D$4+($H107-1)*7</f>
        <v>46482</v>
      </c>
      <c r="K107" s="444" t="n">
        <f aca="false">$D$4+$I107*7-1</f>
        <v>46691</v>
      </c>
      <c r="L107" s="445" t="n">
        <f aca="false">ROUNDUP($H107/$D$5,0)</f>
        <v>7</v>
      </c>
      <c r="M107" s="446"/>
      <c r="N107" s="447" t="n">
        <v>0</v>
      </c>
      <c r="O107" s="448" t="str">
        <f aca="false">IF($G107=0,IF(O$11=$H107,"◆",""),IF(AND(O$11&gt;=$H107,O$11&lt;=$I107),1,""))</f>
        <v/>
      </c>
      <c r="P107" s="448" t="str">
        <f aca="false">IF($G107=0,IF(P$11=$H107,"◆",""),IF(AND(P$11&gt;=$H107,P$11&lt;=$I107),1,""))</f>
        <v/>
      </c>
      <c r="Q107" s="448" t="str">
        <f aca="false">IF($G107=0,IF(Q$11=$H107,"◆",""),IF(AND(Q$11&gt;=$H107,Q$11&lt;=$I107),1,""))</f>
        <v/>
      </c>
      <c r="R107" s="448" t="str">
        <f aca="false">IF($G107=0,IF(R$11=$H107,"◆",""),IF(AND(R$11&gt;=$H107,R$11&lt;=$I107),1,""))</f>
        <v/>
      </c>
      <c r="S107" s="448" t="str">
        <f aca="false">IF($G107=0,IF(S$11=$H107,"◆",""),IF(AND(S$11&gt;=$H107,S$11&lt;=$I107),1,""))</f>
        <v/>
      </c>
      <c r="T107" s="448" t="str">
        <f aca="false">IF($G107=0,IF(T$11=$H107,"◆",""),IF(AND(T$11&gt;=$H107,T$11&lt;=$I107),1,""))</f>
        <v/>
      </c>
      <c r="U107" s="448" t="str">
        <f aca="false">IF($G107=0,IF(U$11=$H107,"◆",""),IF(AND(U$11&gt;=$H107,U$11&lt;=$I107),1,""))</f>
        <v/>
      </c>
      <c r="V107" s="448" t="str">
        <f aca="false">IF($G107=0,IF(V$11=$H107,"◆",""),IF(AND(V$11&gt;=$H107,V$11&lt;=$I107),1,""))</f>
        <v/>
      </c>
      <c r="W107" s="448" t="str">
        <f aca="false">IF($G107=0,IF(W$11=$H107,"◆",""),IF(AND(W$11&gt;=$H107,W$11&lt;=$I107),1,""))</f>
        <v/>
      </c>
      <c r="X107" s="448" t="str">
        <f aca="false">IF($G107=0,IF(X$11=$H107,"◆",""),IF(AND(X$11&gt;=$H107,X$11&lt;=$I107),1,""))</f>
        <v/>
      </c>
      <c r="Y107" s="448" t="str">
        <f aca="false">IF($G107=0,IF(Y$11=$H107,"◆",""),IF(AND(Y$11&gt;=$H107,Y$11&lt;=$I107),1,""))</f>
        <v/>
      </c>
      <c r="Z107" s="448" t="str">
        <f aca="false">IF($G107=0,IF(Z$11=$H107,"◆",""),IF(AND(Z$11&gt;=$H107,Z$11&lt;=$I107),1,""))</f>
        <v/>
      </c>
      <c r="AA107" s="448" t="str">
        <f aca="false">IF($G107=0,IF(AA$11=$H107,"◆",""),IF(AND(AA$11&gt;=$H107,AA$11&lt;=$I107),1,""))</f>
        <v/>
      </c>
      <c r="AB107" s="448" t="str">
        <f aca="false">IF($G107=0,IF(AB$11=$H107,"◆",""),IF(AND(AB$11&gt;=$H107,AB$11&lt;=$I107),1,""))</f>
        <v/>
      </c>
      <c r="AC107" s="448" t="str">
        <f aca="false">IF($G107=0,IF(AC$11=$H107,"◆",""),IF(AND(AC$11&gt;=$H107,AC$11&lt;=$I107),1,""))</f>
        <v/>
      </c>
      <c r="AD107" s="448" t="str">
        <f aca="false">IF($G107=0,IF(AD$11=$H107,"◆",""),IF(AND(AD$11&gt;=$H107,AD$11&lt;=$I107),1,""))</f>
        <v/>
      </c>
      <c r="AE107" s="448" t="str">
        <f aca="false">IF($G107=0,IF(AE$11=$H107,"◆",""),IF(AND(AE$11&gt;=$H107,AE$11&lt;=$I107),1,""))</f>
        <v/>
      </c>
      <c r="AF107" s="448" t="str">
        <f aca="false">IF($G107=0,IF(AF$11=$H107,"◆",""),IF(AND(AF$11&gt;=$H107,AF$11&lt;=$I107),1,""))</f>
        <v/>
      </c>
      <c r="AG107" s="448" t="str">
        <f aca="false">IF($G107=0,IF(AG$11=$H107,"◆",""),IF(AND(AG$11&gt;=$H107,AG$11&lt;=$I107),1,""))</f>
        <v/>
      </c>
      <c r="AH107" s="448" t="str">
        <f aca="false">IF($G107=0,IF(AH$11=$H107,"◆",""),IF(AND(AH$11&gt;=$H107,AH$11&lt;=$I107),1,""))</f>
        <v/>
      </c>
      <c r="AI107" s="448" t="str">
        <f aca="false">IF($G107=0,IF(AI$11=$H107,"◆",""),IF(AND(AI$11&gt;=$H107,AI$11&lt;=$I107),1,""))</f>
        <v/>
      </c>
      <c r="AJ107" s="448" t="str">
        <f aca="false">IF($G107=0,IF(AJ$11=$H107,"◆",""),IF(AND(AJ$11&gt;=$H107,AJ$11&lt;=$I107),1,""))</f>
        <v/>
      </c>
      <c r="AK107" s="448" t="str">
        <f aca="false">IF($G107=0,IF(AK$11=$H107,"◆",""),IF(AND(AK$11&gt;=$H107,AK$11&lt;=$I107),1,""))</f>
        <v/>
      </c>
      <c r="AL107" s="448" t="str">
        <f aca="false">IF($G107=0,IF(AL$11=$H107,"◆",""),IF(AND(AL$11&gt;=$H107,AL$11&lt;=$I107),1,""))</f>
        <v/>
      </c>
      <c r="AM107" s="448" t="str">
        <f aca="false">IF($G107=0,IF(AM$11=$H107,"◆",""),IF(AND(AM$11&gt;=$H107,AM$11&lt;=$I107),1,""))</f>
        <v/>
      </c>
      <c r="AN107" s="448" t="str">
        <f aca="false">IF($G107=0,IF(AN$11=$H107,"◆",""),IF(AND(AN$11&gt;=$H107,AN$11&lt;=$I107),1,""))</f>
        <v/>
      </c>
      <c r="AO107" s="448" t="n">
        <f aca="false">IF($G107=0,IF(AO$11=$H107,"◆",""),IF(AND(AO$11&gt;=$H107,AO$11&lt;=$I107),1,""))</f>
        <v>1</v>
      </c>
      <c r="AP107" s="448" t="n">
        <f aca="false">IF($G107=0,IF(AP$11=$H107,"◆",""),IF(AND(AP$11&gt;=$H107,AP$11&lt;=$I107),1,""))</f>
        <v>1</v>
      </c>
      <c r="AQ107" s="448" t="n">
        <f aca="false">IF($G107=0,IF(AQ$11=$H107,"◆",""),IF(AND(AQ$11&gt;=$H107,AQ$11&lt;=$I107),1,""))</f>
        <v>1</v>
      </c>
      <c r="AR107" s="448" t="n">
        <f aca="false">IF($G107=0,IF(AR$11=$H107,"◆",""),IF(AND(AR$11&gt;=$H107,AR$11&lt;=$I107),1,""))</f>
        <v>1</v>
      </c>
      <c r="AS107" s="448" t="n">
        <f aca="false">IF($G107=0,IF(AS$11=$H107,"◆",""),IF(AND(AS$11&gt;=$H107,AS$11&lt;=$I107),1,""))</f>
        <v>1</v>
      </c>
      <c r="AT107" s="448" t="n">
        <f aca="false">IF($G107=0,IF(AT$11=$H107,"◆",""),IF(AND(AT$11&gt;=$H107,AT$11&lt;=$I107),1,""))</f>
        <v>1</v>
      </c>
      <c r="AU107" s="448" t="n">
        <f aca="false">IF($G107=0,IF(AU$11=$H107,"◆",""),IF(AND(AU$11&gt;=$H107,AU$11&lt;=$I107),1,""))</f>
        <v>1</v>
      </c>
      <c r="AV107" s="448" t="n">
        <f aca="false">IF($G107=0,IF(AV$11=$H107,"◆",""),IF(AND(AV$11&gt;=$H107,AV$11&lt;=$I107),1,""))</f>
        <v>1</v>
      </c>
      <c r="AW107" s="448" t="n">
        <f aca="false">IF($G107=0,IF(AW$11=$H107,"◆",""),IF(AND(AW$11&gt;=$H107,AW$11&lt;=$I107),1,""))</f>
        <v>1</v>
      </c>
      <c r="AX107" s="448" t="n">
        <f aca="false">IF($G107=0,IF(AX$11=$H107,"◆",""),IF(AND(AX$11&gt;=$H107,AX$11&lt;=$I107),1,""))</f>
        <v>1</v>
      </c>
      <c r="AY107" s="448" t="n">
        <f aca="false">IF($G107=0,IF(AY$11=$H107,"◆",""),IF(AND(AY$11&gt;=$H107,AY$11&lt;=$I107),1,""))</f>
        <v>1</v>
      </c>
      <c r="AZ107" s="448" t="n">
        <f aca="false">IF($G107=0,IF(AZ$11=$H107,"◆",""),IF(AND(AZ$11&gt;=$H107,AZ$11&lt;=$I107),1,""))</f>
        <v>1</v>
      </c>
      <c r="BA107" s="448" t="n">
        <f aca="false">IF($G107=0,IF(BA$11=$H107,"◆",""),IF(AND(BA$11&gt;=$H107,BA$11&lt;=$I107),1,""))</f>
        <v>1</v>
      </c>
      <c r="BB107" s="448" t="n">
        <f aca="false">IF($G107=0,IF(BB$11=$H107,"◆",""),IF(AND(BB$11&gt;=$H107,BB$11&lt;=$I107),1,""))</f>
        <v>1</v>
      </c>
      <c r="BC107" s="448" t="n">
        <f aca="false">IF($G107=0,IF(BC$11=$H107,"◆",""),IF(AND(BC$11&gt;=$H107,BC$11&lt;=$I107),1,""))</f>
        <v>1</v>
      </c>
      <c r="BD107" s="448" t="n">
        <f aca="false">IF($G107=0,IF(BD$11=$H107,"◆",""),IF(AND(BD$11&gt;=$H107,BD$11&lt;=$I107),1,""))</f>
        <v>1</v>
      </c>
      <c r="BE107" s="448" t="n">
        <f aca="false">IF($G107=0,IF(BE$11=$H107,"◆",""),IF(AND(BE$11&gt;=$H107,BE$11&lt;=$I107),1,""))</f>
        <v>1</v>
      </c>
      <c r="BF107" s="448" t="n">
        <f aca="false">IF($G107=0,IF(BF$11=$H107,"◆",""),IF(AND(BF$11&gt;=$H107,BF$11&lt;=$I107),1,""))</f>
        <v>1</v>
      </c>
      <c r="BG107" s="448" t="n">
        <f aca="false">IF($G107=0,IF(BG$11=$H107,"◆",""),IF(AND(BG$11&gt;=$H107,BG$11&lt;=$I107),1,""))</f>
        <v>1</v>
      </c>
      <c r="BH107" s="448" t="n">
        <f aca="false">IF($G107=0,IF(BH$11=$H107,"◆",""),IF(AND(BH$11&gt;=$H107,BH$11&lt;=$I107),1,""))</f>
        <v>1</v>
      </c>
      <c r="BI107" s="448" t="n">
        <f aca="false">IF($G107=0,IF(BI$11=$H107,"◆",""),IF(AND(BI$11&gt;=$H107,BI$11&lt;=$I107),1,""))</f>
        <v>1</v>
      </c>
      <c r="BJ107" s="448" t="n">
        <f aca="false">IF($G107=0,IF(BJ$11=$H107,"◆",""),IF(AND(BJ$11&gt;=$H107,BJ$11&lt;=$I107),1,""))</f>
        <v>1</v>
      </c>
      <c r="BK107" s="448" t="n">
        <f aca="false">IF($G107=0,IF(BK$11=$H107,"◆",""),IF(AND(BK$11&gt;=$H107,BK$11&lt;=$I107),1,""))</f>
        <v>1</v>
      </c>
      <c r="BL107" s="448" t="n">
        <f aca="false">IF($G107=0,IF(BL$11=$H107,"◆",""),IF(AND(BL$11&gt;=$H107,BL$11&lt;=$I107),1,""))</f>
        <v>1</v>
      </c>
      <c r="BM107" s="448" t="n">
        <f aca="false">IF($G107=0,IF(BM$11=$H107,"◆",""),IF(AND(BM$11&gt;=$H107,BM$11&lt;=$I107),1,""))</f>
        <v>1</v>
      </c>
      <c r="BN107" s="448" t="n">
        <f aca="false">IF($G107=0,IF(BN$11=$H107,"◆",""),IF(AND(BN$11&gt;=$H107,BN$11&lt;=$I107),1,""))</f>
        <v>1</v>
      </c>
      <c r="BO107" s="448" t="n">
        <f aca="false">IF($G107=0,IF(BO$11=$H107,"◆",""),IF(AND(BO$11&gt;=$H107,BO$11&lt;=$I107),1,""))</f>
        <v>1</v>
      </c>
      <c r="BP107" s="448" t="n">
        <f aca="false">IF($G107=0,IF(BP$11=$H107,"◆",""),IF(AND(BP$11&gt;=$H107,BP$11&lt;=$I107),1,""))</f>
        <v>1</v>
      </c>
      <c r="BQ107" s="448" t="n">
        <f aca="false">IF($G107=0,IF(BQ$11=$H107,"◆",""),IF(AND(BQ$11&gt;=$H107,BQ$11&lt;=$I107),1,""))</f>
        <v>1</v>
      </c>
      <c r="BR107" s="448" t="n">
        <f aca="false">IF($G107=0,IF(BR$11=$H107,"◆",""),IF(AND(BR$11&gt;=$H107,BR$11&lt;=$I107),1,""))</f>
        <v>1</v>
      </c>
      <c r="BS107" s="448" t="str">
        <f aca="false">IF($G107=0,IF(BS$11=$H107,"◆",""),IF(AND(BS$11&gt;=$H107,BS$11&lt;=$I107),1,""))</f>
        <v/>
      </c>
      <c r="BT107" s="448" t="str">
        <f aca="false">IF($G107=0,IF(BT$11=$H107,"◆",""),IF(AND(BT$11&gt;=$H107,BT$11&lt;=$I107),1,""))</f>
        <v/>
      </c>
      <c r="BU107" s="448" t="str">
        <f aca="false">IF($G107=0,IF(BU$11=$H107,"◆",""),IF(AND(BU$11&gt;=$H107,BU$11&lt;=$I107),1,""))</f>
        <v/>
      </c>
      <c r="BV107" s="448" t="str">
        <f aca="false">IF($G107=0,IF(BV$11=$H107,"◆",""),IF(AND(BV$11&gt;=$H107,BV$11&lt;=$I107),1,""))</f>
        <v/>
      </c>
      <c r="BW107" s="448" t="str">
        <f aca="false">IF($G107=0,IF(BW$11=$H107,"◆",""),IF(AND(BW$11&gt;=$H107,BW$11&lt;=$I107),1,""))</f>
        <v/>
      </c>
      <c r="BX107" s="448" t="str">
        <f aca="false">IF($G107=0,IF(BX$11=$H107,"◆",""),IF(AND(BX$11&gt;=$H107,BX$11&lt;=$I107),1,""))</f>
        <v/>
      </c>
      <c r="BY107" s="448" t="str">
        <f aca="false">IF($G107=0,IF(BY$11=$H107,"◆",""),IF(AND(BY$11&gt;=$H107,BY$11&lt;=$I107),1,""))</f>
        <v/>
      </c>
      <c r="BZ107" s="448" t="str">
        <f aca="false">IF($G107=0,IF(BZ$11=$H107,"◆",""),IF(AND(BZ$11&gt;=$H107,BZ$11&lt;=$I107),1,""))</f>
        <v/>
      </c>
      <c r="CA107" s="448" t="str">
        <f aca="false">IF($G107=0,IF(CA$11=$H107,"◆",""),IF(AND(CA$11&gt;=$H107,CA$11&lt;=$I107),1,""))</f>
        <v/>
      </c>
      <c r="CB107" s="448" t="str">
        <f aca="false">IF($G107=0,IF(CB$11=$H107,"◆",""),IF(AND(CB$11&gt;=$H107,CB$11&lt;=$I107),1,""))</f>
        <v/>
      </c>
      <c r="CC107" s="448" t="str">
        <f aca="false">IF($G107=0,IF(CC$11=$H107,"◆",""),IF(AND(CC$11&gt;=$H107,CC$11&lt;=$I107),1,""))</f>
        <v/>
      </c>
      <c r="CD107" s="448" t="str">
        <f aca="false">IF($G107=0,IF(CD$11=$H107,"◆",""),IF(AND(CD$11&gt;=$H107,CD$11&lt;=$I107),1,""))</f>
        <v/>
      </c>
      <c r="CE107" s="448" t="str">
        <f aca="false">IF($G107=0,IF(CE$11=$H107,"◆",""),IF(AND(CE$11&gt;=$H107,CE$11&lt;=$I107),1,""))</f>
        <v/>
      </c>
      <c r="CF107" s="448" t="str">
        <f aca="false">IF($G107=0,IF(CF$11=$H107,"◆",""),IF(AND(CF$11&gt;=$H107,CF$11&lt;=$I107),1,""))</f>
        <v/>
      </c>
      <c r="CG107" s="448" t="str">
        <f aca="false">IF($G107=0,IF(CG$11=$H107,"◆",""),IF(AND(CG$11&gt;=$H107,CG$11&lt;=$I107),1,""))</f>
        <v/>
      </c>
      <c r="CH107" s="448" t="str">
        <f aca="false">IF($G107=0,IF(CH$11=$H107,"◆",""),IF(AND(CH$11&gt;=$H107,CH$11&lt;=$I107),1,""))</f>
        <v/>
      </c>
      <c r="CI107" s="448" t="str">
        <f aca="false">IF($G107=0,IF(CI$11=$H107,"◆",""),IF(AND(CI$11&gt;=$H107,CI$11&lt;=$I107),1,""))</f>
        <v/>
      </c>
      <c r="CJ107" s="448" t="str">
        <f aca="false">IF($G107=0,IF(CJ$11=$H107,"◆",""),IF(AND(CJ$11&gt;=$H107,CJ$11&lt;=$I107),1,""))</f>
        <v/>
      </c>
      <c r="CK107" s="448" t="str">
        <f aca="false">IF($G107=0,IF(CK$11=$H107,"◆",""),IF(AND(CK$11&gt;=$H107,CK$11&lt;=$I107),1,""))</f>
        <v/>
      </c>
      <c r="CL107" s="448" t="str">
        <f aca="false">IF($G107=0,IF(CL$11=$H107,"◆",""),IF(AND(CL$11&gt;=$H107,CL$11&lt;=$I107),1,""))</f>
        <v/>
      </c>
      <c r="CM107" s="448" t="str">
        <f aca="false">IF($G107=0,IF(CM$11=$H107,"◆",""),IF(AND(CM$11&gt;=$H107,CM$11&lt;=$I107),1,""))</f>
        <v/>
      </c>
      <c r="CN107" s="448" t="str">
        <f aca="false">IF($G107=0,IF(CN$11=$H107,"◆",""),IF(AND(CN$11&gt;=$H107,CN$11&lt;=$I107),1,""))</f>
        <v/>
      </c>
      <c r="CO107" s="448" t="str">
        <f aca="false">IF($G107=0,IF(CO$11=$H107,"◆",""),IF(AND(CO$11&gt;=$H107,CO$11&lt;=$I107),1,""))</f>
        <v/>
      </c>
      <c r="CP107" s="448" t="str">
        <f aca="false">IF($G107=0,IF(CP$11=$H107,"◆",""),IF(AND(CP$11&gt;=$H107,CP$11&lt;=$I107),1,""))</f>
        <v/>
      </c>
      <c r="CQ107" s="448" t="str">
        <f aca="false">IF($G107=0,IF(CQ$11=$H107,"◆",""),IF(AND(CQ$11&gt;=$H107,CQ$11&lt;=$I107),1,""))</f>
        <v/>
      </c>
      <c r="CR107" s="448" t="str">
        <f aca="false">IF($G107=0,IF(CR$11=$H107,"◆",""),IF(AND(CR$11&gt;=$H107,CR$11&lt;=$I107),1,""))</f>
        <v/>
      </c>
      <c r="CS107" s="448" t="str">
        <f aca="false">IF($G107=0,IF(CS$11=$H107,"◆",""),IF(AND(CS$11&gt;=$H107,CS$11&lt;=$I107),1,""))</f>
        <v/>
      </c>
      <c r="CT107" s="448" t="str">
        <f aca="false">IF($G107=0,IF(CT$11=$H107,"◆",""),IF(AND(CT$11&gt;=$H107,CT$11&lt;=$I107),1,""))</f>
        <v/>
      </c>
      <c r="CU107" s="448" t="str">
        <f aca="false">IF($G107=0,IF(CU$11=$H107,"◆",""),IF(AND(CU$11&gt;=$H107,CU$11&lt;=$I107),1,""))</f>
        <v/>
      </c>
      <c r="CV107" s="448" t="str">
        <f aca="false">IF($G107=0,IF(CV$11=$H107,"◆",""),IF(AND(CV$11&gt;=$H107,CV$11&lt;=$I107),1,""))</f>
        <v/>
      </c>
      <c r="CW107" s="448" t="str">
        <f aca="false">IF($G107=0,IF(CW$11=$H107,"◆",""),IF(AND(CW$11&gt;=$H107,CW$11&lt;=$I107),1,""))</f>
        <v/>
      </c>
      <c r="CX107" s="448" t="str">
        <f aca="false">IF($G107=0,IF(CX$11=$H107,"◆",""),IF(AND(CX$11&gt;=$H107,CX$11&lt;=$I107),1,""))</f>
        <v/>
      </c>
      <c r="CY107" s="448" t="str">
        <f aca="false">IF($G107=0,IF(CY$11=$H107,"◆",""),IF(AND(CY$11&gt;=$H107,CY$11&lt;=$I107),1,""))</f>
        <v/>
      </c>
      <c r="CZ107" s="448" t="str">
        <f aca="false">IF($G107=0,IF(CZ$11=$H107,"◆",""),IF(AND(CZ$11&gt;=$H107,CZ$11&lt;=$I107),1,""))</f>
        <v/>
      </c>
      <c r="DA107" s="448" t="str">
        <f aca="false">IF($G107=0,IF(DA$11=$H107,"◆",""),IF(AND(DA$11&gt;=$H107,DA$11&lt;=$I107),1,""))</f>
        <v/>
      </c>
      <c r="DB107" s="448" t="str">
        <f aca="false">IF($G107=0,IF(DB$11=$H107,"◆",""),IF(AND(DB$11&gt;=$H107,DB$11&lt;=$I107),1,""))</f>
        <v/>
      </c>
      <c r="DC107" s="448" t="str">
        <f aca="false">IF($G107=0,IF(DC$11=$H107,"◆",""),IF(AND(DC$11&gt;=$H107,DC$11&lt;=$I107),1,""))</f>
        <v/>
      </c>
      <c r="DD107" s="448" t="str">
        <f aca="false">IF($G107=0,IF(DD$11=$H107,"◆",""),IF(AND(DD$11&gt;=$H107,DD$11&lt;=$I107),1,""))</f>
        <v/>
      </c>
      <c r="DE107" s="448" t="str">
        <f aca="false">IF($G107=0,IF(DE$11=$H107,"◆",""),IF(AND(DE$11&gt;=$H107,DE$11&lt;=$I107),1,""))</f>
        <v/>
      </c>
      <c r="DF107" s="448" t="str">
        <f aca="false">IF($G107=0,IF(DF$11=$H107,"◆",""),IF(AND(DF$11&gt;=$H107,DF$11&lt;=$I107),1,""))</f>
        <v/>
      </c>
      <c r="DG107" s="448" t="str">
        <f aca="false">IF($G107=0,IF(DG$11=$H107,"◆",""),IF(AND(DG$11&gt;=$H107,DG$11&lt;=$I107),1,""))</f>
        <v/>
      </c>
      <c r="DH107" s="448" t="str">
        <f aca="false">IF($G107=0,IF(DH$11=$H107,"◆",""),IF(AND(DH$11&gt;=$H107,DH$11&lt;=$I107),1,""))</f>
        <v/>
      </c>
      <c r="DI107" s="448" t="str">
        <f aca="false">IF($G107=0,IF(DI$11=$H107,"◆",""),IF(AND(DI$11&gt;=$H107,DI$11&lt;=$I107),1,""))</f>
        <v/>
      </c>
      <c r="DJ107" s="448" t="str">
        <f aca="false">IF($G107=0,IF(DJ$11=$H107,"◆",""),IF(AND(DJ$11&gt;=$H107,DJ$11&lt;=$I107),1,""))</f>
        <v/>
      </c>
      <c r="DK107" s="448" t="str">
        <f aca="false">IF($G107=0,IF(DK$11=$H107,"◆",""),IF(AND(DK$11&gt;=$H107,DK$11&lt;=$I107),1,""))</f>
        <v/>
      </c>
      <c r="DL107" s="448" t="str">
        <f aca="false">IF($G107=0,IF(DL$11=$H107,"◆",""),IF(AND(DL$11&gt;=$H107,DL$11&lt;=$I107),1,""))</f>
        <v/>
      </c>
      <c r="DM107" s="448" t="str">
        <f aca="false">IF($G107=0,IF(DM$11=$H107,"◆",""),IF(AND(DM$11&gt;=$H107,DM$11&lt;=$I107),1,""))</f>
        <v/>
      </c>
      <c r="DN107" s="448" t="str">
        <f aca="false">IF($G107=0,IF(DN$11=$H107,"◆",""),IF(AND(DN$11&gt;=$H107,DN$11&lt;=$I107),1,""))</f>
        <v/>
      </c>
      <c r="DO107" s="448" t="str">
        <f aca="false">IF($G107=0,IF(DO$11=$H107,"◆",""),IF(AND(DO$11&gt;=$H107,DO$11&lt;=$I107),1,""))</f>
        <v/>
      </c>
      <c r="DP107" s="448" t="str">
        <f aca="false">IF($G107=0,IF(DP$11=$H107,"◆",""),IF(AND(DP$11&gt;=$H107,DP$11&lt;=$I107),1,""))</f>
        <v/>
      </c>
      <c r="DQ107" s="448" t="str">
        <f aca="false">IF($G107=0,IF(DQ$11=$H107,"◆",""),IF(AND(DQ$11&gt;=$H107,DQ$11&lt;=$I107),1,""))</f>
        <v/>
      </c>
      <c r="DR107" s="448" t="str">
        <f aca="false">IF($G107=0,IF(DR$11=$H107,"◆",""),IF(AND(DR$11&gt;=$H107,DR$11&lt;=$I107),1,""))</f>
        <v/>
      </c>
      <c r="DS107" s="448" t="str">
        <f aca="false">IF($G107=0,IF(DS$11=$H107,"◆",""),IF(AND(DS$11&gt;=$H107,DS$11&lt;=$I107),1,""))</f>
        <v/>
      </c>
      <c r="DT107" s="448" t="str">
        <f aca="false">IF($G107=0,IF(DT$11=$H107,"◆",""),IF(AND(DT$11&gt;=$H107,DT$11&lt;=$I107),1,""))</f>
        <v/>
      </c>
      <c r="DU107" s="448" t="str">
        <f aca="false">IF($G107=0,IF(DU$11=$H107,"◆",""),IF(AND(DU$11&gt;=$H107,DU$11&lt;=$I107),1,""))</f>
        <v/>
      </c>
      <c r="DV107" s="448" t="str">
        <f aca="false">IF($G107=0,IF(DV$11=$H107,"◆",""),IF(AND(DV$11&gt;=$H107,DV$11&lt;=$I107),1,""))</f>
        <v/>
      </c>
      <c r="DW107" s="448" t="str">
        <f aca="false">IF($G107=0,IF(DW$11=$H107,"◆",""),IF(AND(DW$11&gt;=$H107,DW$11&lt;=$I107),1,""))</f>
        <v/>
      </c>
      <c r="DX107" s="448" t="str">
        <f aca="false">IF($G107=0,IF(DX$11=$H107,"◆",""),IF(AND(DX$11&gt;=$H107,DX$11&lt;=$I107),1,""))</f>
        <v/>
      </c>
      <c r="DY107" s="448" t="str">
        <f aca="false">IF($G107=0,IF(DY$11=$H107,"◆",""),IF(AND(DY$11&gt;=$H107,DY$11&lt;=$I107),1,""))</f>
        <v/>
      </c>
      <c r="DZ107" s="448" t="str">
        <f aca="false">IF($G107=0,IF(DZ$11=$H107,"◆",""),IF(AND(DZ$11&gt;=$H107,DZ$11&lt;=$I107),1,""))</f>
        <v/>
      </c>
      <c r="EA107" s="448" t="str">
        <f aca="false">IF($G107=0,IF(EA$11=$H107,"◆",""),IF(AND(EA$11&gt;=$H107,EA$11&lt;=$I107),1,""))</f>
        <v/>
      </c>
      <c r="EB107" s="448" t="str">
        <f aca="false">IF($G107=0,IF(EB$11=$H107,"◆",""),IF(AND(EB$11&gt;=$H107,EB$11&lt;=$I107),1,""))</f>
        <v/>
      </c>
      <c r="EC107" s="448" t="str">
        <f aca="false">IF($G107=0,IF(EC$11=$H107,"◆",""),IF(AND(EC$11&gt;=$H107,EC$11&lt;=$I107),1,""))</f>
        <v/>
      </c>
      <c r="ED107" s="448" t="str">
        <f aca="false">IF($G107=0,IF(ED$11=$H107,"◆",""),IF(AND(ED$11&gt;=$H107,ED$11&lt;=$I107),1,""))</f>
        <v/>
      </c>
    </row>
    <row r="108" customFormat="false" ht="15" hidden="false" customHeight="true" outlineLevel="0" collapsed="false">
      <c r="A108" s="472"/>
      <c r="B108" s="473" t="s">
        <v>2660</v>
      </c>
      <c r="C108" s="474"/>
      <c r="D108" s="474"/>
      <c r="E108" s="474"/>
      <c r="F108" s="474"/>
      <c r="G108" s="474"/>
      <c r="H108" s="474"/>
      <c r="I108" s="474"/>
      <c r="J108" s="474"/>
      <c r="K108" s="474"/>
      <c r="L108" s="474"/>
      <c r="M108" s="474"/>
      <c r="N108" s="474"/>
      <c r="O108" s="474"/>
      <c r="P108" s="474"/>
      <c r="Q108" s="474"/>
      <c r="R108" s="474"/>
      <c r="S108" s="474"/>
      <c r="T108" s="474"/>
      <c r="U108" s="474"/>
      <c r="V108" s="474"/>
      <c r="W108" s="474"/>
      <c r="X108" s="474"/>
      <c r="Y108" s="474"/>
      <c r="Z108" s="474"/>
      <c r="AA108" s="474"/>
      <c r="AB108" s="474"/>
      <c r="AC108" s="474"/>
      <c r="AD108" s="474"/>
      <c r="AE108" s="474"/>
      <c r="AF108" s="474"/>
      <c r="AG108" s="474"/>
      <c r="AH108" s="474"/>
      <c r="AI108" s="474"/>
      <c r="AJ108" s="474"/>
      <c r="AK108" s="474"/>
      <c r="AL108" s="474"/>
      <c r="AM108" s="474"/>
      <c r="AN108" s="474"/>
      <c r="AO108" s="474"/>
      <c r="AP108" s="474"/>
      <c r="AQ108" s="474"/>
      <c r="AR108" s="474"/>
      <c r="AS108" s="474"/>
      <c r="AT108" s="474"/>
      <c r="AU108" s="474"/>
      <c r="AV108" s="474"/>
      <c r="AW108" s="474"/>
      <c r="AX108" s="474"/>
      <c r="AY108" s="474"/>
      <c r="AZ108" s="474"/>
      <c r="BA108" s="474"/>
      <c r="BB108" s="474"/>
      <c r="BC108" s="474"/>
      <c r="BD108" s="474"/>
      <c r="BE108" s="474"/>
      <c r="BF108" s="474"/>
      <c r="BG108" s="474"/>
      <c r="BH108" s="474"/>
      <c r="BI108" s="474"/>
      <c r="BJ108" s="474"/>
      <c r="BK108" s="474"/>
      <c r="BL108" s="474"/>
      <c r="BM108" s="474"/>
      <c r="BN108" s="474"/>
      <c r="BO108" s="474"/>
      <c r="BP108" s="474"/>
      <c r="BQ108" s="474"/>
      <c r="BR108" s="474"/>
      <c r="BS108" s="474"/>
      <c r="BT108" s="474"/>
      <c r="BU108" s="474"/>
      <c r="BV108" s="474"/>
      <c r="BW108" s="474"/>
      <c r="BX108" s="474"/>
      <c r="BY108" s="474"/>
      <c r="BZ108" s="474"/>
      <c r="CA108" s="474"/>
      <c r="CB108" s="474"/>
      <c r="CC108" s="474"/>
      <c r="CD108" s="474"/>
      <c r="CE108" s="474"/>
      <c r="CF108" s="474"/>
      <c r="CG108" s="474"/>
      <c r="CH108" s="474"/>
      <c r="CI108" s="474"/>
      <c r="CJ108" s="474"/>
      <c r="CK108" s="474"/>
      <c r="CL108" s="474"/>
      <c r="CM108" s="474"/>
      <c r="CN108" s="474"/>
      <c r="CO108" s="474"/>
      <c r="CP108" s="474"/>
      <c r="CQ108" s="474"/>
      <c r="CR108" s="474"/>
      <c r="CS108" s="474"/>
      <c r="CT108" s="474"/>
      <c r="CU108" s="474"/>
      <c r="CV108" s="474"/>
      <c r="CW108" s="474"/>
      <c r="CX108" s="474"/>
      <c r="CY108" s="474"/>
      <c r="CZ108" s="474"/>
      <c r="DA108" s="474"/>
      <c r="DB108" s="474"/>
      <c r="DC108" s="474"/>
      <c r="DD108" s="474"/>
      <c r="DE108" s="474"/>
      <c r="DF108" s="474"/>
      <c r="DG108" s="474"/>
      <c r="DH108" s="474"/>
      <c r="DI108" s="474"/>
      <c r="DJ108" s="474"/>
      <c r="DK108" s="474"/>
      <c r="DL108" s="474"/>
      <c r="DM108" s="474"/>
      <c r="DN108" s="474"/>
      <c r="DO108" s="474"/>
      <c r="DP108" s="474"/>
      <c r="DQ108" s="474"/>
      <c r="DR108" s="474"/>
      <c r="DS108" s="474"/>
      <c r="DT108" s="474"/>
      <c r="DU108" s="474"/>
      <c r="DV108" s="474"/>
      <c r="DW108" s="474"/>
      <c r="DX108" s="474"/>
      <c r="DY108" s="474"/>
      <c r="DZ108" s="474"/>
      <c r="EA108" s="474"/>
      <c r="EB108" s="474"/>
      <c r="EC108" s="474"/>
      <c r="ED108" s="474"/>
    </row>
    <row r="109" customFormat="false" ht="15" hidden="false" customHeight="true" outlineLevel="0" collapsed="false">
      <c r="A109" s="441" t="s">
        <v>2661</v>
      </c>
      <c r="B109" s="297" t="s">
        <v>2662</v>
      </c>
      <c r="C109" s="442" t="s">
        <v>2480</v>
      </c>
      <c r="D109" s="443" t="s">
        <v>2634</v>
      </c>
      <c r="E109" s="354" t="n">
        <f aca="false">FC_SUPUESTOS!$C$40</f>
        <v>10</v>
      </c>
      <c r="F109" s="352" t="n">
        <v>-16</v>
      </c>
      <c r="G109" s="352" t="n">
        <v>10</v>
      </c>
      <c r="H109" s="367" t="n">
        <f aca="false">MAX(1,ROUND(($E109-1)*$D$5,0)+1+$F109)</f>
        <v>24</v>
      </c>
      <c r="I109" s="367" t="n">
        <f aca="false">MAX($H109,$H109+$G109-1)</f>
        <v>33</v>
      </c>
      <c r="J109" s="444" t="n">
        <f aca="false">$D$4+($H109-1)*7</f>
        <v>46461</v>
      </c>
      <c r="K109" s="444" t="n">
        <f aca="false">$D$4+$I109*7-1</f>
        <v>46530</v>
      </c>
      <c r="L109" s="445" t="n">
        <f aca="false">ROUNDUP($H109/$D$5,0)</f>
        <v>6</v>
      </c>
      <c r="M109" s="446" t="s">
        <v>2453</v>
      </c>
      <c r="N109" s="447" t="n">
        <v>0</v>
      </c>
      <c r="O109" s="448" t="str">
        <f aca="false">IF($G109=0,IF(O$11=$H109,"◆",""),IF(AND(O$11&gt;=$H109,O$11&lt;=$I109),1,""))</f>
        <v/>
      </c>
      <c r="P109" s="448" t="str">
        <f aca="false">IF($G109=0,IF(P$11=$H109,"◆",""),IF(AND(P$11&gt;=$H109,P$11&lt;=$I109),1,""))</f>
        <v/>
      </c>
      <c r="Q109" s="448" t="str">
        <f aca="false">IF($G109=0,IF(Q$11=$H109,"◆",""),IF(AND(Q$11&gt;=$H109,Q$11&lt;=$I109),1,""))</f>
        <v/>
      </c>
      <c r="R109" s="448" t="str">
        <f aca="false">IF($G109=0,IF(R$11=$H109,"◆",""),IF(AND(R$11&gt;=$H109,R$11&lt;=$I109),1,""))</f>
        <v/>
      </c>
      <c r="S109" s="448" t="str">
        <f aca="false">IF($G109=0,IF(S$11=$H109,"◆",""),IF(AND(S$11&gt;=$H109,S$11&lt;=$I109),1,""))</f>
        <v/>
      </c>
      <c r="T109" s="448" t="str">
        <f aca="false">IF($G109=0,IF(T$11=$H109,"◆",""),IF(AND(T$11&gt;=$H109,T$11&lt;=$I109),1,""))</f>
        <v/>
      </c>
      <c r="U109" s="448" t="str">
        <f aca="false">IF($G109=0,IF(U$11=$H109,"◆",""),IF(AND(U$11&gt;=$H109,U$11&lt;=$I109),1,""))</f>
        <v/>
      </c>
      <c r="V109" s="448" t="str">
        <f aca="false">IF($G109=0,IF(V$11=$H109,"◆",""),IF(AND(V$11&gt;=$H109,V$11&lt;=$I109),1,""))</f>
        <v/>
      </c>
      <c r="W109" s="448" t="str">
        <f aca="false">IF($G109=0,IF(W$11=$H109,"◆",""),IF(AND(W$11&gt;=$H109,W$11&lt;=$I109),1,""))</f>
        <v/>
      </c>
      <c r="X109" s="448" t="str">
        <f aca="false">IF($G109=0,IF(X$11=$H109,"◆",""),IF(AND(X$11&gt;=$H109,X$11&lt;=$I109),1,""))</f>
        <v/>
      </c>
      <c r="Y109" s="448" t="str">
        <f aca="false">IF($G109=0,IF(Y$11=$H109,"◆",""),IF(AND(Y$11&gt;=$H109,Y$11&lt;=$I109),1,""))</f>
        <v/>
      </c>
      <c r="Z109" s="448" t="str">
        <f aca="false">IF($G109=0,IF(Z$11=$H109,"◆",""),IF(AND(Z$11&gt;=$H109,Z$11&lt;=$I109),1,""))</f>
        <v/>
      </c>
      <c r="AA109" s="448" t="str">
        <f aca="false">IF($G109=0,IF(AA$11=$H109,"◆",""),IF(AND(AA$11&gt;=$H109,AA$11&lt;=$I109),1,""))</f>
        <v/>
      </c>
      <c r="AB109" s="448" t="str">
        <f aca="false">IF($G109=0,IF(AB$11=$H109,"◆",""),IF(AND(AB$11&gt;=$H109,AB$11&lt;=$I109),1,""))</f>
        <v/>
      </c>
      <c r="AC109" s="448" t="str">
        <f aca="false">IF($G109=0,IF(AC$11=$H109,"◆",""),IF(AND(AC$11&gt;=$H109,AC$11&lt;=$I109),1,""))</f>
        <v/>
      </c>
      <c r="AD109" s="448" t="str">
        <f aca="false">IF($G109=0,IF(AD$11=$H109,"◆",""),IF(AND(AD$11&gt;=$H109,AD$11&lt;=$I109),1,""))</f>
        <v/>
      </c>
      <c r="AE109" s="448" t="str">
        <f aca="false">IF($G109=0,IF(AE$11=$H109,"◆",""),IF(AND(AE$11&gt;=$H109,AE$11&lt;=$I109),1,""))</f>
        <v/>
      </c>
      <c r="AF109" s="448" t="str">
        <f aca="false">IF($G109=0,IF(AF$11=$H109,"◆",""),IF(AND(AF$11&gt;=$H109,AF$11&lt;=$I109),1,""))</f>
        <v/>
      </c>
      <c r="AG109" s="448" t="str">
        <f aca="false">IF($G109=0,IF(AG$11=$H109,"◆",""),IF(AND(AG$11&gt;=$H109,AG$11&lt;=$I109),1,""))</f>
        <v/>
      </c>
      <c r="AH109" s="448" t="str">
        <f aca="false">IF($G109=0,IF(AH$11=$H109,"◆",""),IF(AND(AH$11&gt;=$H109,AH$11&lt;=$I109),1,""))</f>
        <v/>
      </c>
      <c r="AI109" s="448" t="str">
        <f aca="false">IF($G109=0,IF(AI$11=$H109,"◆",""),IF(AND(AI$11&gt;=$H109,AI$11&lt;=$I109),1,""))</f>
        <v/>
      </c>
      <c r="AJ109" s="448" t="str">
        <f aca="false">IF($G109=0,IF(AJ$11=$H109,"◆",""),IF(AND(AJ$11&gt;=$H109,AJ$11&lt;=$I109),1,""))</f>
        <v/>
      </c>
      <c r="AK109" s="448" t="str">
        <f aca="false">IF($G109=0,IF(AK$11=$H109,"◆",""),IF(AND(AK$11&gt;=$H109,AK$11&lt;=$I109),1,""))</f>
        <v/>
      </c>
      <c r="AL109" s="448" t="n">
        <f aca="false">IF($G109=0,IF(AL$11=$H109,"◆",""),IF(AND(AL$11&gt;=$H109,AL$11&lt;=$I109),1,""))</f>
        <v>1</v>
      </c>
      <c r="AM109" s="448" t="n">
        <f aca="false">IF($G109=0,IF(AM$11=$H109,"◆",""),IF(AND(AM$11&gt;=$H109,AM$11&lt;=$I109),1,""))</f>
        <v>1</v>
      </c>
      <c r="AN109" s="448" t="n">
        <f aca="false">IF($G109=0,IF(AN$11=$H109,"◆",""),IF(AND(AN$11&gt;=$H109,AN$11&lt;=$I109),1,""))</f>
        <v>1</v>
      </c>
      <c r="AO109" s="448" t="n">
        <f aca="false">IF($G109=0,IF(AO$11=$H109,"◆",""),IF(AND(AO$11&gt;=$H109,AO$11&lt;=$I109),1,""))</f>
        <v>1</v>
      </c>
      <c r="AP109" s="448" t="n">
        <f aca="false">IF($G109=0,IF(AP$11=$H109,"◆",""),IF(AND(AP$11&gt;=$H109,AP$11&lt;=$I109),1,""))</f>
        <v>1</v>
      </c>
      <c r="AQ109" s="448" t="n">
        <f aca="false">IF($G109=0,IF(AQ$11=$H109,"◆",""),IF(AND(AQ$11&gt;=$H109,AQ$11&lt;=$I109),1,""))</f>
        <v>1</v>
      </c>
      <c r="AR109" s="448" t="n">
        <f aca="false">IF($G109=0,IF(AR$11=$H109,"◆",""),IF(AND(AR$11&gt;=$H109,AR$11&lt;=$I109),1,""))</f>
        <v>1</v>
      </c>
      <c r="AS109" s="448" t="n">
        <f aca="false">IF($G109=0,IF(AS$11=$H109,"◆",""),IF(AND(AS$11&gt;=$H109,AS$11&lt;=$I109),1,""))</f>
        <v>1</v>
      </c>
      <c r="AT109" s="448" t="n">
        <f aca="false">IF($G109=0,IF(AT$11=$H109,"◆",""),IF(AND(AT$11&gt;=$H109,AT$11&lt;=$I109),1,""))</f>
        <v>1</v>
      </c>
      <c r="AU109" s="448" t="n">
        <f aca="false">IF($G109=0,IF(AU$11=$H109,"◆",""),IF(AND(AU$11&gt;=$H109,AU$11&lt;=$I109),1,""))</f>
        <v>1</v>
      </c>
      <c r="AV109" s="448" t="str">
        <f aca="false">IF($G109=0,IF(AV$11=$H109,"◆",""),IF(AND(AV$11&gt;=$H109,AV$11&lt;=$I109),1,""))</f>
        <v/>
      </c>
      <c r="AW109" s="448" t="str">
        <f aca="false">IF($G109=0,IF(AW$11=$H109,"◆",""),IF(AND(AW$11&gt;=$H109,AW$11&lt;=$I109),1,""))</f>
        <v/>
      </c>
      <c r="AX109" s="448" t="str">
        <f aca="false">IF($G109=0,IF(AX$11=$H109,"◆",""),IF(AND(AX$11&gt;=$H109,AX$11&lt;=$I109),1,""))</f>
        <v/>
      </c>
      <c r="AY109" s="448" t="str">
        <f aca="false">IF($G109=0,IF(AY$11=$H109,"◆",""),IF(AND(AY$11&gt;=$H109,AY$11&lt;=$I109),1,""))</f>
        <v/>
      </c>
      <c r="AZ109" s="448" t="str">
        <f aca="false">IF($G109=0,IF(AZ$11=$H109,"◆",""),IF(AND(AZ$11&gt;=$H109,AZ$11&lt;=$I109),1,""))</f>
        <v/>
      </c>
      <c r="BA109" s="448" t="str">
        <f aca="false">IF($G109=0,IF(BA$11=$H109,"◆",""),IF(AND(BA$11&gt;=$H109,BA$11&lt;=$I109),1,""))</f>
        <v/>
      </c>
      <c r="BB109" s="448" t="str">
        <f aca="false">IF($G109=0,IF(BB$11=$H109,"◆",""),IF(AND(BB$11&gt;=$H109,BB$11&lt;=$I109),1,""))</f>
        <v/>
      </c>
      <c r="BC109" s="448" t="str">
        <f aca="false">IF($G109=0,IF(BC$11=$H109,"◆",""),IF(AND(BC$11&gt;=$H109,BC$11&lt;=$I109),1,""))</f>
        <v/>
      </c>
      <c r="BD109" s="448" t="str">
        <f aca="false">IF($G109=0,IF(BD$11=$H109,"◆",""),IF(AND(BD$11&gt;=$H109,BD$11&lt;=$I109),1,""))</f>
        <v/>
      </c>
      <c r="BE109" s="448" t="str">
        <f aca="false">IF($G109=0,IF(BE$11=$H109,"◆",""),IF(AND(BE$11&gt;=$H109,BE$11&lt;=$I109),1,""))</f>
        <v/>
      </c>
      <c r="BF109" s="448" t="str">
        <f aca="false">IF($G109=0,IF(BF$11=$H109,"◆",""),IF(AND(BF$11&gt;=$H109,BF$11&lt;=$I109),1,""))</f>
        <v/>
      </c>
      <c r="BG109" s="448" t="str">
        <f aca="false">IF($G109=0,IF(BG$11=$H109,"◆",""),IF(AND(BG$11&gt;=$H109,BG$11&lt;=$I109),1,""))</f>
        <v/>
      </c>
      <c r="BH109" s="448" t="str">
        <f aca="false">IF($G109=0,IF(BH$11=$H109,"◆",""),IF(AND(BH$11&gt;=$H109,BH$11&lt;=$I109),1,""))</f>
        <v/>
      </c>
      <c r="BI109" s="448" t="str">
        <f aca="false">IF($G109=0,IF(BI$11=$H109,"◆",""),IF(AND(BI$11&gt;=$H109,BI$11&lt;=$I109),1,""))</f>
        <v/>
      </c>
      <c r="BJ109" s="448" t="str">
        <f aca="false">IF($G109=0,IF(BJ$11=$H109,"◆",""),IF(AND(BJ$11&gt;=$H109,BJ$11&lt;=$I109),1,""))</f>
        <v/>
      </c>
      <c r="BK109" s="448" t="str">
        <f aca="false">IF($G109=0,IF(BK$11=$H109,"◆",""),IF(AND(BK$11&gt;=$H109,BK$11&lt;=$I109),1,""))</f>
        <v/>
      </c>
      <c r="BL109" s="448" t="str">
        <f aca="false">IF($G109=0,IF(BL$11=$H109,"◆",""),IF(AND(BL$11&gt;=$H109,BL$11&lt;=$I109),1,""))</f>
        <v/>
      </c>
      <c r="BM109" s="448" t="str">
        <f aca="false">IF($G109=0,IF(BM$11=$H109,"◆",""),IF(AND(BM$11&gt;=$H109,BM$11&lt;=$I109),1,""))</f>
        <v/>
      </c>
      <c r="BN109" s="448" t="str">
        <f aca="false">IF($G109=0,IF(BN$11=$H109,"◆",""),IF(AND(BN$11&gt;=$H109,BN$11&lt;=$I109),1,""))</f>
        <v/>
      </c>
      <c r="BO109" s="448" t="str">
        <f aca="false">IF($G109=0,IF(BO$11=$H109,"◆",""),IF(AND(BO$11&gt;=$H109,BO$11&lt;=$I109),1,""))</f>
        <v/>
      </c>
      <c r="BP109" s="448" t="str">
        <f aca="false">IF($G109=0,IF(BP$11=$H109,"◆",""),IF(AND(BP$11&gt;=$H109,BP$11&lt;=$I109),1,""))</f>
        <v/>
      </c>
      <c r="BQ109" s="448" t="str">
        <f aca="false">IF($G109=0,IF(BQ$11=$H109,"◆",""),IF(AND(BQ$11&gt;=$H109,BQ$11&lt;=$I109),1,""))</f>
        <v/>
      </c>
      <c r="BR109" s="448" t="str">
        <f aca="false">IF($G109=0,IF(BR$11=$H109,"◆",""),IF(AND(BR$11&gt;=$H109,BR$11&lt;=$I109),1,""))</f>
        <v/>
      </c>
      <c r="BS109" s="448" t="str">
        <f aca="false">IF($G109=0,IF(BS$11=$H109,"◆",""),IF(AND(BS$11&gt;=$H109,BS$11&lt;=$I109),1,""))</f>
        <v/>
      </c>
      <c r="BT109" s="448" t="str">
        <f aca="false">IF($G109=0,IF(BT$11=$H109,"◆",""),IF(AND(BT$11&gt;=$H109,BT$11&lt;=$I109),1,""))</f>
        <v/>
      </c>
      <c r="BU109" s="448" t="str">
        <f aca="false">IF($G109=0,IF(BU$11=$H109,"◆",""),IF(AND(BU$11&gt;=$H109,BU$11&lt;=$I109),1,""))</f>
        <v/>
      </c>
      <c r="BV109" s="448" t="str">
        <f aca="false">IF($G109=0,IF(BV$11=$H109,"◆",""),IF(AND(BV$11&gt;=$H109,BV$11&lt;=$I109),1,""))</f>
        <v/>
      </c>
      <c r="BW109" s="448" t="str">
        <f aca="false">IF($G109=0,IF(BW$11=$H109,"◆",""),IF(AND(BW$11&gt;=$H109,BW$11&lt;=$I109),1,""))</f>
        <v/>
      </c>
      <c r="BX109" s="448" t="str">
        <f aca="false">IF($G109=0,IF(BX$11=$H109,"◆",""),IF(AND(BX$11&gt;=$H109,BX$11&lt;=$I109),1,""))</f>
        <v/>
      </c>
      <c r="BY109" s="448" t="str">
        <f aca="false">IF($G109=0,IF(BY$11=$H109,"◆",""),IF(AND(BY$11&gt;=$H109,BY$11&lt;=$I109),1,""))</f>
        <v/>
      </c>
      <c r="BZ109" s="448" t="str">
        <f aca="false">IF($G109=0,IF(BZ$11=$H109,"◆",""),IF(AND(BZ$11&gt;=$H109,BZ$11&lt;=$I109),1,""))</f>
        <v/>
      </c>
      <c r="CA109" s="448" t="str">
        <f aca="false">IF($G109=0,IF(CA$11=$H109,"◆",""),IF(AND(CA$11&gt;=$H109,CA$11&lt;=$I109),1,""))</f>
        <v/>
      </c>
      <c r="CB109" s="448" t="str">
        <f aca="false">IF($G109=0,IF(CB$11=$H109,"◆",""),IF(AND(CB$11&gt;=$H109,CB$11&lt;=$I109),1,""))</f>
        <v/>
      </c>
      <c r="CC109" s="448" t="str">
        <f aca="false">IF($G109=0,IF(CC$11=$H109,"◆",""),IF(AND(CC$11&gt;=$H109,CC$11&lt;=$I109),1,""))</f>
        <v/>
      </c>
      <c r="CD109" s="448" t="str">
        <f aca="false">IF($G109=0,IF(CD$11=$H109,"◆",""),IF(AND(CD$11&gt;=$H109,CD$11&lt;=$I109),1,""))</f>
        <v/>
      </c>
      <c r="CE109" s="448" t="str">
        <f aca="false">IF($G109=0,IF(CE$11=$H109,"◆",""),IF(AND(CE$11&gt;=$H109,CE$11&lt;=$I109),1,""))</f>
        <v/>
      </c>
      <c r="CF109" s="448" t="str">
        <f aca="false">IF($G109=0,IF(CF$11=$H109,"◆",""),IF(AND(CF$11&gt;=$H109,CF$11&lt;=$I109),1,""))</f>
        <v/>
      </c>
      <c r="CG109" s="448" t="str">
        <f aca="false">IF($G109=0,IF(CG$11=$H109,"◆",""),IF(AND(CG$11&gt;=$H109,CG$11&lt;=$I109),1,""))</f>
        <v/>
      </c>
      <c r="CH109" s="448" t="str">
        <f aca="false">IF($G109=0,IF(CH$11=$H109,"◆",""),IF(AND(CH$11&gt;=$H109,CH$11&lt;=$I109),1,""))</f>
        <v/>
      </c>
      <c r="CI109" s="448" t="str">
        <f aca="false">IF($G109=0,IF(CI$11=$H109,"◆",""),IF(AND(CI$11&gt;=$H109,CI$11&lt;=$I109),1,""))</f>
        <v/>
      </c>
      <c r="CJ109" s="448" t="str">
        <f aca="false">IF($G109=0,IF(CJ$11=$H109,"◆",""),IF(AND(CJ$11&gt;=$H109,CJ$11&lt;=$I109),1,""))</f>
        <v/>
      </c>
      <c r="CK109" s="448" t="str">
        <f aca="false">IF($G109=0,IF(CK$11=$H109,"◆",""),IF(AND(CK$11&gt;=$H109,CK$11&lt;=$I109),1,""))</f>
        <v/>
      </c>
      <c r="CL109" s="448" t="str">
        <f aca="false">IF($G109=0,IF(CL$11=$H109,"◆",""),IF(AND(CL$11&gt;=$H109,CL$11&lt;=$I109),1,""))</f>
        <v/>
      </c>
      <c r="CM109" s="448" t="str">
        <f aca="false">IF($G109=0,IF(CM$11=$H109,"◆",""),IF(AND(CM$11&gt;=$H109,CM$11&lt;=$I109),1,""))</f>
        <v/>
      </c>
      <c r="CN109" s="448" t="str">
        <f aca="false">IF($G109=0,IF(CN$11=$H109,"◆",""),IF(AND(CN$11&gt;=$H109,CN$11&lt;=$I109),1,""))</f>
        <v/>
      </c>
      <c r="CO109" s="448" t="str">
        <f aca="false">IF($G109=0,IF(CO$11=$H109,"◆",""),IF(AND(CO$11&gt;=$H109,CO$11&lt;=$I109),1,""))</f>
        <v/>
      </c>
      <c r="CP109" s="448" t="str">
        <f aca="false">IF($G109=0,IF(CP$11=$H109,"◆",""),IF(AND(CP$11&gt;=$H109,CP$11&lt;=$I109),1,""))</f>
        <v/>
      </c>
      <c r="CQ109" s="448" t="str">
        <f aca="false">IF($G109=0,IF(CQ$11=$H109,"◆",""),IF(AND(CQ$11&gt;=$H109,CQ$11&lt;=$I109),1,""))</f>
        <v/>
      </c>
      <c r="CR109" s="448" t="str">
        <f aca="false">IF($G109=0,IF(CR$11=$H109,"◆",""),IF(AND(CR$11&gt;=$H109,CR$11&lt;=$I109),1,""))</f>
        <v/>
      </c>
      <c r="CS109" s="448" t="str">
        <f aca="false">IF($G109=0,IF(CS$11=$H109,"◆",""),IF(AND(CS$11&gt;=$H109,CS$11&lt;=$I109),1,""))</f>
        <v/>
      </c>
      <c r="CT109" s="448" t="str">
        <f aca="false">IF($G109=0,IF(CT$11=$H109,"◆",""),IF(AND(CT$11&gt;=$H109,CT$11&lt;=$I109),1,""))</f>
        <v/>
      </c>
      <c r="CU109" s="448" t="str">
        <f aca="false">IF($G109=0,IF(CU$11=$H109,"◆",""),IF(AND(CU$11&gt;=$H109,CU$11&lt;=$I109),1,""))</f>
        <v/>
      </c>
      <c r="CV109" s="448" t="str">
        <f aca="false">IF($G109=0,IF(CV$11=$H109,"◆",""),IF(AND(CV$11&gt;=$H109,CV$11&lt;=$I109),1,""))</f>
        <v/>
      </c>
      <c r="CW109" s="448" t="str">
        <f aca="false">IF($G109=0,IF(CW$11=$H109,"◆",""),IF(AND(CW$11&gt;=$H109,CW$11&lt;=$I109),1,""))</f>
        <v/>
      </c>
      <c r="CX109" s="448" t="str">
        <f aca="false">IF($G109=0,IF(CX$11=$H109,"◆",""),IF(AND(CX$11&gt;=$H109,CX$11&lt;=$I109),1,""))</f>
        <v/>
      </c>
      <c r="CY109" s="448" t="str">
        <f aca="false">IF($G109=0,IF(CY$11=$H109,"◆",""),IF(AND(CY$11&gt;=$H109,CY$11&lt;=$I109),1,""))</f>
        <v/>
      </c>
      <c r="CZ109" s="448" t="str">
        <f aca="false">IF($G109=0,IF(CZ$11=$H109,"◆",""),IF(AND(CZ$11&gt;=$H109,CZ$11&lt;=$I109),1,""))</f>
        <v/>
      </c>
      <c r="DA109" s="448" t="str">
        <f aca="false">IF($G109=0,IF(DA$11=$H109,"◆",""),IF(AND(DA$11&gt;=$H109,DA$11&lt;=$I109),1,""))</f>
        <v/>
      </c>
      <c r="DB109" s="448" t="str">
        <f aca="false">IF($G109=0,IF(DB$11=$H109,"◆",""),IF(AND(DB$11&gt;=$H109,DB$11&lt;=$I109),1,""))</f>
        <v/>
      </c>
      <c r="DC109" s="448" t="str">
        <f aca="false">IF($G109=0,IF(DC$11=$H109,"◆",""),IF(AND(DC$11&gt;=$H109,DC$11&lt;=$I109),1,""))</f>
        <v/>
      </c>
      <c r="DD109" s="448" t="str">
        <f aca="false">IF($G109=0,IF(DD$11=$H109,"◆",""),IF(AND(DD$11&gt;=$H109,DD$11&lt;=$I109),1,""))</f>
        <v/>
      </c>
      <c r="DE109" s="448" t="str">
        <f aca="false">IF($G109=0,IF(DE$11=$H109,"◆",""),IF(AND(DE$11&gt;=$H109,DE$11&lt;=$I109),1,""))</f>
        <v/>
      </c>
      <c r="DF109" s="448" t="str">
        <f aca="false">IF($G109=0,IF(DF$11=$H109,"◆",""),IF(AND(DF$11&gt;=$H109,DF$11&lt;=$I109),1,""))</f>
        <v/>
      </c>
      <c r="DG109" s="448" t="str">
        <f aca="false">IF($G109=0,IF(DG$11=$H109,"◆",""),IF(AND(DG$11&gt;=$H109,DG$11&lt;=$I109),1,""))</f>
        <v/>
      </c>
      <c r="DH109" s="448" t="str">
        <f aca="false">IF($G109=0,IF(DH$11=$H109,"◆",""),IF(AND(DH$11&gt;=$H109,DH$11&lt;=$I109),1,""))</f>
        <v/>
      </c>
      <c r="DI109" s="448" t="str">
        <f aca="false">IF($G109=0,IF(DI$11=$H109,"◆",""),IF(AND(DI$11&gt;=$H109,DI$11&lt;=$I109),1,""))</f>
        <v/>
      </c>
      <c r="DJ109" s="448" t="str">
        <f aca="false">IF($G109=0,IF(DJ$11=$H109,"◆",""),IF(AND(DJ$11&gt;=$H109,DJ$11&lt;=$I109),1,""))</f>
        <v/>
      </c>
      <c r="DK109" s="448" t="str">
        <f aca="false">IF($G109=0,IF(DK$11=$H109,"◆",""),IF(AND(DK$11&gt;=$H109,DK$11&lt;=$I109),1,""))</f>
        <v/>
      </c>
      <c r="DL109" s="448" t="str">
        <f aca="false">IF($G109=0,IF(DL$11=$H109,"◆",""),IF(AND(DL$11&gt;=$H109,DL$11&lt;=$I109),1,""))</f>
        <v/>
      </c>
      <c r="DM109" s="448" t="str">
        <f aca="false">IF($G109=0,IF(DM$11=$H109,"◆",""),IF(AND(DM$11&gt;=$H109,DM$11&lt;=$I109),1,""))</f>
        <v/>
      </c>
      <c r="DN109" s="448" t="str">
        <f aca="false">IF($G109=0,IF(DN$11=$H109,"◆",""),IF(AND(DN$11&gt;=$H109,DN$11&lt;=$I109),1,""))</f>
        <v/>
      </c>
      <c r="DO109" s="448" t="str">
        <f aca="false">IF($G109=0,IF(DO$11=$H109,"◆",""),IF(AND(DO$11&gt;=$H109,DO$11&lt;=$I109),1,""))</f>
        <v/>
      </c>
      <c r="DP109" s="448" t="str">
        <f aca="false">IF($G109=0,IF(DP$11=$H109,"◆",""),IF(AND(DP$11&gt;=$H109,DP$11&lt;=$I109),1,""))</f>
        <v/>
      </c>
      <c r="DQ109" s="448" t="str">
        <f aca="false">IF($G109=0,IF(DQ$11=$H109,"◆",""),IF(AND(DQ$11&gt;=$H109,DQ$11&lt;=$I109),1,""))</f>
        <v/>
      </c>
      <c r="DR109" s="448" t="str">
        <f aca="false">IF($G109=0,IF(DR$11=$H109,"◆",""),IF(AND(DR$11&gt;=$H109,DR$11&lt;=$I109),1,""))</f>
        <v/>
      </c>
      <c r="DS109" s="448" t="str">
        <f aca="false">IF($G109=0,IF(DS$11=$H109,"◆",""),IF(AND(DS$11&gt;=$H109,DS$11&lt;=$I109),1,""))</f>
        <v/>
      </c>
      <c r="DT109" s="448" t="str">
        <f aca="false">IF($G109=0,IF(DT$11=$H109,"◆",""),IF(AND(DT$11&gt;=$H109,DT$11&lt;=$I109),1,""))</f>
        <v/>
      </c>
      <c r="DU109" s="448" t="str">
        <f aca="false">IF($G109=0,IF(DU$11=$H109,"◆",""),IF(AND(DU$11&gt;=$H109,DU$11&lt;=$I109),1,""))</f>
        <v/>
      </c>
      <c r="DV109" s="448" t="str">
        <f aca="false">IF($G109=0,IF(DV$11=$H109,"◆",""),IF(AND(DV$11&gt;=$H109,DV$11&lt;=$I109),1,""))</f>
        <v/>
      </c>
      <c r="DW109" s="448" t="str">
        <f aca="false">IF($G109=0,IF(DW$11=$H109,"◆",""),IF(AND(DW$11&gt;=$H109,DW$11&lt;=$I109),1,""))</f>
        <v/>
      </c>
      <c r="DX109" s="448" t="str">
        <f aca="false">IF($G109=0,IF(DX$11=$H109,"◆",""),IF(AND(DX$11&gt;=$H109,DX$11&lt;=$I109),1,""))</f>
        <v/>
      </c>
      <c r="DY109" s="448" t="str">
        <f aca="false">IF($G109=0,IF(DY$11=$H109,"◆",""),IF(AND(DY$11&gt;=$H109,DY$11&lt;=$I109),1,""))</f>
        <v/>
      </c>
      <c r="DZ109" s="448" t="str">
        <f aca="false">IF($G109=0,IF(DZ$11=$H109,"◆",""),IF(AND(DZ$11&gt;=$H109,DZ$11&lt;=$I109),1,""))</f>
        <v/>
      </c>
      <c r="EA109" s="448" t="str">
        <f aca="false">IF($G109=0,IF(EA$11=$H109,"◆",""),IF(AND(EA$11&gt;=$H109,EA$11&lt;=$I109),1,""))</f>
        <v/>
      </c>
      <c r="EB109" s="448" t="str">
        <f aca="false">IF($G109=0,IF(EB$11=$H109,"◆",""),IF(AND(EB$11&gt;=$H109,EB$11&lt;=$I109),1,""))</f>
        <v/>
      </c>
      <c r="EC109" s="448" t="str">
        <f aca="false">IF($G109=0,IF(EC$11=$H109,"◆",""),IF(AND(EC$11&gt;=$H109,EC$11&lt;=$I109),1,""))</f>
        <v/>
      </c>
      <c r="ED109" s="448" t="str">
        <f aca="false">IF($G109=0,IF(ED$11=$H109,"◆",""),IF(AND(ED$11&gt;=$H109,ED$11&lt;=$I109),1,""))</f>
        <v/>
      </c>
    </row>
    <row r="110" customFormat="false" ht="15" hidden="false" customHeight="true" outlineLevel="0" collapsed="false">
      <c r="A110" s="441" t="s">
        <v>2663</v>
      </c>
      <c r="B110" s="297" t="s">
        <v>2664</v>
      </c>
      <c r="C110" s="442" t="s">
        <v>2480</v>
      </c>
      <c r="D110" s="443" t="s">
        <v>2634</v>
      </c>
      <c r="E110" s="354" t="n">
        <f aca="false">FC_SUPUESTOS!$C$40</f>
        <v>10</v>
      </c>
      <c r="F110" s="352" t="n">
        <v>-13</v>
      </c>
      <c r="G110" s="352" t="n">
        <v>12</v>
      </c>
      <c r="H110" s="367" t="n">
        <f aca="false">MAX(1,ROUND(($E110-1)*$D$5,0)+1+$F110)</f>
        <v>27</v>
      </c>
      <c r="I110" s="367" t="n">
        <f aca="false">MAX($H110,$H110+$G110-1)</f>
        <v>38</v>
      </c>
      <c r="J110" s="444" t="n">
        <f aca="false">$D$4+($H110-1)*7</f>
        <v>46482</v>
      </c>
      <c r="K110" s="444" t="n">
        <f aca="false">$D$4+$I110*7-1</f>
        <v>46565</v>
      </c>
      <c r="L110" s="445" t="n">
        <f aca="false">ROUNDUP($H110/$D$5,0)</f>
        <v>7</v>
      </c>
      <c r="M110" s="446" t="s">
        <v>2453</v>
      </c>
      <c r="N110" s="447" t="n">
        <v>0</v>
      </c>
      <c r="O110" s="448" t="str">
        <f aca="false">IF($G110=0,IF(O$11=$H110,"◆",""),IF(AND(O$11&gt;=$H110,O$11&lt;=$I110),1,""))</f>
        <v/>
      </c>
      <c r="P110" s="448" t="str">
        <f aca="false">IF($G110=0,IF(P$11=$H110,"◆",""),IF(AND(P$11&gt;=$H110,P$11&lt;=$I110),1,""))</f>
        <v/>
      </c>
      <c r="Q110" s="448" t="str">
        <f aca="false">IF($G110=0,IF(Q$11=$H110,"◆",""),IF(AND(Q$11&gt;=$H110,Q$11&lt;=$I110),1,""))</f>
        <v/>
      </c>
      <c r="R110" s="448" t="str">
        <f aca="false">IF($G110=0,IF(R$11=$H110,"◆",""),IF(AND(R$11&gt;=$H110,R$11&lt;=$I110),1,""))</f>
        <v/>
      </c>
      <c r="S110" s="448" t="str">
        <f aca="false">IF($G110=0,IF(S$11=$H110,"◆",""),IF(AND(S$11&gt;=$H110,S$11&lt;=$I110),1,""))</f>
        <v/>
      </c>
      <c r="T110" s="448" t="str">
        <f aca="false">IF($G110=0,IF(T$11=$H110,"◆",""),IF(AND(T$11&gt;=$H110,T$11&lt;=$I110),1,""))</f>
        <v/>
      </c>
      <c r="U110" s="448" t="str">
        <f aca="false">IF($G110=0,IF(U$11=$H110,"◆",""),IF(AND(U$11&gt;=$H110,U$11&lt;=$I110),1,""))</f>
        <v/>
      </c>
      <c r="V110" s="448" t="str">
        <f aca="false">IF($G110=0,IF(V$11=$H110,"◆",""),IF(AND(V$11&gt;=$H110,V$11&lt;=$I110),1,""))</f>
        <v/>
      </c>
      <c r="W110" s="448" t="str">
        <f aca="false">IF($G110=0,IF(W$11=$H110,"◆",""),IF(AND(W$11&gt;=$H110,W$11&lt;=$I110),1,""))</f>
        <v/>
      </c>
      <c r="X110" s="448" t="str">
        <f aca="false">IF($G110=0,IF(X$11=$H110,"◆",""),IF(AND(X$11&gt;=$H110,X$11&lt;=$I110),1,""))</f>
        <v/>
      </c>
      <c r="Y110" s="448" t="str">
        <f aca="false">IF($G110=0,IF(Y$11=$H110,"◆",""),IF(AND(Y$11&gt;=$H110,Y$11&lt;=$I110),1,""))</f>
        <v/>
      </c>
      <c r="Z110" s="448" t="str">
        <f aca="false">IF($G110=0,IF(Z$11=$H110,"◆",""),IF(AND(Z$11&gt;=$H110,Z$11&lt;=$I110),1,""))</f>
        <v/>
      </c>
      <c r="AA110" s="448" t="str">
        <f aca="false">IF($G110=0,IF(AA$11=$H110,"◆",""),IF(AND(AA$11&gt;=$H110,AA$11&lt;=$I110),1,""))</f>
        <v/>
      </c>
      <c r="AB110" s="448" t="str">
        <f aca="false">IF($G110=0,IF(AB$11=$H110,"◆",""),IF(AND(AB$11&gt;=$H110,AB$11&lt;=$I110),1,""))</f>
        <v/>
      </c>
      <c r="AC110" s="448" t="str">
        <f aca="false">IF($G110=0,IF(AC$11=$H110,"◆",""),IF(AND(AC$11&gt;=$H110,AC$11&lt;=$I110),1,""))</f>
        <v/>
      </c>
      <c r="AD110" s="448" t="str">
        <f aca="false">IF($G110=0,IF(AD$11=$H110,"◆",""),IF(AND(AD$11&gt;=$H110,AD$11&lt;=$I110),1,""))</f>
        <v/>
      </c>
      <c r="AE110" s="448" t="str">
        <f aca="false">IF($G110=0,IF(AE$11=$H110,"◆",""),IF(AND(AE$11&gt;=$H110,AE$11&lt;=$I110),1,""))</f>
        <v/>
      </c>
      <c r="AF110" s="448" t="str">
        <f aca="false">IF($G110=0,IF(AF$11=$H110,"◆",""),IF(AND(AF$11&gt;=$H110,AF$11&lt;=$I110),1,""))</f>
        <v/>
      </c>
      <c r="AG110" s="448" t="str">
        <f aca="false">IF($G110=0,IF(AG$11=$H110,"◆",""),IF(AND(AG$11&gt;=$H110,AG$11&lt;=$I110),1,""))</f>
        <v/>
      </c>
      <c r="AH110" s="448" t="str">
        <f aca="false">IF($G110=0,IF(AH$11=$H110,"◆",""),IF(AND(AH$11&gt;=$H110,AH$11&lt;=$I110),1,""))</f>
        <v/>
      </c>
      <c r="AI110" s="448" t="str">
        <f aca="false">IF($G110=0,IF(AI$11=$H110,"◆",""),IF(AND(AI$11&gt;=$H110,AI$11&lt;=$I110),1,""))</f>
        <v/>
      </c>
      <c r="AJ110" s="448" t="str">
        <f aca="false">IF($G110=0,IF(AJ$11=$H110,"◆",""),IF(AND(AJ$11&gt;=$H110,AJ$11&lt;=$I110),1,""))</f>
        <v/>
      </c>
      <c r="AK110" s="448" t="str">
        <f aca="false">IF($G110=0,IF(AK$11=$H110,"◆",""),IF(AND(AK$11&gt;=$H110,AK$11&lt;=$I110),1,""))</f>
        <v/>
      </c>
      <c r="AL110" s="448" t="str">
        <f aca="false">IF($G110=0,IF(AL$11=$H110,"◆",""),IF(AND(AL$11&gt;=$H110,AL$11&lt;=$I110),1,""))</f>
        <v/>
      </c>
      <c r="AM110" s="448" t="str">
        <f aca="false">IF($G110=0,IF(AM$11=$H110,"◆",""),IF(AND(AM$11&gt;=$H110,AM$11&lt;=$I110),1,""))</f>
        <v/>
      </c>
      <c r="AN110" s="448" t="str">
        <f aca="false">IF($G110=0,IF(AN$11=$H110,"◆",""),IF(AND(AN$11&gt;=$H110,AN$11&lt;=$I110),1,""))</f>
        <v/>
      </c>
      <c r="AO110" s="448" t="n">
        <f aca="false">IF($G110=0,IF(AO$11=$H110,"◆",""),IF(AND(AO$11&gt;=$H110,AO$11&lt;=$I110),1,""))</f>
        <v>1</v>
      </c>
      <c r="AP110" s="448" t="n">
        <f aca="false">IF($G110=0,IF(AP$11=$H110,"◆",""),IF(AND(AP$11&gt;=$H110,AP$11&lt;=$I110),1,""))</f>
        <v>1</v>
      </c>
      <c r="AQ110" s="448" t="n">
        <f aca="false">IF($G110=0,IF(AQ$11=$H110,"◆",""),IF(AND(AQ$11&gt;=$H110,AQ$11&lt;=$I110),1,""))</f>
        <v>1</v>
      </c>
      <c r="AR110" s="448" t="n">
        <f aca="false">IF($G110=0,IF(AR$11=$H110,"◆",""),IF(AND(AR$11&gt;=$H110,AR$11&lt;=$I110),1,""))</f>
        <v>1</v>
      </c>
      <c r="AS110" s="448" t="n">
        <f aca="false">IF($G110=0,IF(AS$11=$H110,"◆",""),IF(AND(AS$11&gt;=$H110,AS$11&lt;=$I110),1,""))</f>
        <v>1</v>
      </c>
      <c r="AT110" s="448" t="n">
        <f aca="false">IF($G110=0,IF(AT$11=$H110,"◆",""),IF(AND(AT$11&gt;=$H110,AT$11&lt;=$I110),1,""))</f>
        <v>1</v>
      </c>
      <c r="AU110" s="448" t="n">
        <f aca="false">IF($G110=0,IF(AU$11=$H110,"◆",""),IF(AND(AU$11&gt;=$H110,AU$11&lt;=$I110),1,""))</f>
        <v>1</v>
      </c>
      <c r="AV110" s="448" t="n">
        <f aca="false">IF($G110=0,IF(AV$11=$H110,"◆",""),IF(AND(AV$11&gt;=$H110,AV$11&lt;=$I110),1,""))</f>
        <v>1</v>
      </c>
      <c r="AW110" s="448" t="n">
        <f aca="false">IF($G110=0,IF(AW$11=$H110,"◆",""),IF(AND(AW$11&gt;=$H110,AW$11&lt;=$I110),1,""))</f>
        <v>1</v>
      </c>
      <c r="AX110" s="448" t="n">
        <f aca="false">IF($G110=0,IF(AX$11=$H110,"◆",""),IF(AND(AX$11&gt;=$H110,AX$11&lt;=$I110),1,""))</f>
        <v>1</v>
      </c>
      <c r="AY110" s="448" t="n">
        <f aca="false">IF($G110=0,IF(AY$11=$H110,"◆",""),IF(AND(AY$11&gt;=$H110,AY$11&lt;=$I110),1,""))</f>
        <v>1</v>
      </c>
      <c r="AZ110" s="448" t="n">
        <f aca="false">IF($G110=0,IF(AZ$11=$H110,"◆",""),IF(AND(AZ$11&gt;=$H110,AZ$11&lt;=$I110),1,""))</f>
        <v>1</v>
      </c>
      <c r="BA110" s="448" t="str">
        <f aca="false">IF($G110=0,IF(BA$11=$H110,"◆",""),IF(AND(BA$11&gt;=$H110,BA$11&lt;=$I110),1,""))</f>
        <v/>
      </c>
      <c r="BB110" s="448" t="str">
        <f aca="false">IF($G110=0,IF(BB$11=$H110,"◆",""),IF(AND(BB$11&gt;=$H110,BB$11&lt;=$I110),1,""))</f>
        <v/>
      </c>
      <c r="BC110" s="448" t="str">
        <f aca="false">IF($G110=0,IF(BC$11=$H110,"◆",""),IF(AND(BC$11&gt;=$H110,BC$11&lt;=$I110),1,""))</f>
        <v/>
      </c>
      <c r="BD110" s="448" t="str">
        <f aca="false">IF($G110=0,IF(BD$11=$H110,"◆",""),IF(AND(BD$11&gt;=$H110,BD$11&lt;=$I110),1,""))</f>
        <v/>
      </c>
      <c r="BE110" s="448" t="str">
        <f aca="false">IF($G110=0,IF(BE$11=$H110,"◆",""),IF(AND(BE$11&gt;=$H110,BE$11&lt;=$I110),1,""))</f>
        <v/>
      </c>
      <c r="BF110" s="448" t="str">
        <f aca="false">IF($G110=0,IF(BF$11=$H110,"◆",""),IF(AND(BF$11&gt;=$H110,BF$11&lt;=$I110),1,""))</f>
        <v/>
      </c>
      <c r="BG110" s="448" t="str">
        <f aca="false">IF($G110=0,IF(BG$11=$H110,"◆",""),IF(AND(BG$11&gt;=$H110,BG$11&lt;=$I110),1,""))</f>
        <v/>
      </c>
      <c r="BH110" s="448" t="str">
        <f aca="false">IF($G110=0,IF(BH$11=$H110,"◆",""),IF(AND(BH$11&gt;=$H110,BH$11&lt;=$I110),1,""))</f>
        <v/>
      </c>
      <c r="BI110" s="448" t="str">
        <f aca="false">IF($G110=0,IF(BI$11=$H110,"◆",""),IF(AND(BI$11&gt;=$H110,BI$11&lt;=$I110),1,""))</f>
        <v/>
      </c>
      <c r="BJ110" s="448" t="str">
        <f aca="false">IF($G110=0,IF(BJ$11=$H110,"◆",""),IF(AND(BJ$11&gt;=$H110,BJ$11&lt;=$I110),1,""))</f>
        <v/>
      </c>
      <c r="BK110" s="448" t="str">
        <f aca="false">IF($G110=0,IF(BK$11=$H110,"◆",""),IF(AND(BK$11&gt;=$H110,BK$11&lt;=$I110),1,""))</f>
        <v/>
      </c>
      <c r="BL110" s="448" t="str">
        <f aca="false">IF($G110=0,IF(BL$11=$H110,"◆",""),IF(AND(BL$11&gt;=$H110,BL$11&lt;=$I110),1,""))</f>
        <v/>
      </c>
      <c r="BM110" s="448" t="str">
        <f aca="false">IF($G110=0,IF(BM$11=$H110,"◆",""),IF(AND(BM$11&gt;=$H110,BM$11&lt;=$I110),1,""))</f>
        <v/>
      </c>
      <c r="BN110" s="448" t="str">
        <f aca="false">IF($G110=0,IF(BN$11=$H110,"◆",""),IF(AND(BN$11&gt;=$H110,BN$11&lt;=$I110),1,""))</f>
        <v/>
      </c>
      <c r="BO110" s="448" t="str">
        <f aca="false">IF($G110=0,IF(BO$11=$H110,"◆",""),IF(AND(BO$11&gt;=$H110,BO$11&lt;=$I110),1,""))</f>
        <v/>
      </c>
      <c r="BP110" s="448" t="str">
        <f aca="false">IF($G110=0,IF(BP$11=$H110,"◆",""),IF(AND(BP$11&gt;=$H110,BP$11&lt;=$I110),1,""))</f>
        <v/>
      </c>
      <c r="BQ110" s="448" t="str">
        <f aca="false">IF($G110=0,IF(BQ$11=$H110,"◆",""),IF(AND(BQ$11&gt;=$H110,BQ$11&lt;=$I110),1,""))</f>
        <v/>
      </c>
      <c r="BR110" s="448" t="str">
        <f aca="false">IF($G110=0,IF(BR$11=$H110,"◆",""),IF(AND(BR$11&gt;=$H110,BR$11&lt;=$I110),1,""))</f>
        <v/>
      </c>
      <c r="BS110" s="448" t="str">
        <f aca="false">IF($G110=0,IF(BS$11=$H110,"◆",""),IF(AND(BS$11&gt;=$H110,BS$11&lt;=$I110),1,""))</f>
        <v/>
      </c>
      <c r="BT110" s="448" t="str">
        <f aca="false">IF($G110=0,IF(BT$11=$H110,"◆",""),IF(AND(BT$11&gt;=$H110,BT$11&lt;=$I110),1,""))</f>
        <v/>
      </c>
      <c r="BU110" s="448" t="str">
        <f aca="false">IF($G110=0,IF(BU$11=$H110,"◆",""),IF(AND(BU$11&gt;=$H110,BU$11&lt;=$I110),1,""))</f>
        <v/>
      </c>
      <c r="BV110" s="448" t="str">
        <f aca="false">IF($G110=0,IF(BV$11=$H110,"◆",""),IF(AND(BV$11&gt;=$H110,BV$11&lt;=$I110),1,""))</f>
        <v/>
      </c>
      <c r="BW110" s="448" t="str">
        <f aca="false">IF($G110=0,IF(BW$11=$H110,"◆",""),IF(AND(BW$11&gt;=$H110,BW$11&lt;=$I110),1,""))</f>
        <v/>
      </c>
      <c r="BX110" s="448" t="str">
        <f aca="false">IF($G110=0,IF(BX$11=$H110,"◆",""),IF(AND(BX$11&gt;=$H110,BX$11&lt;=$I110),1,""))</f>
        <v/>
      </c>
      <c r="BY110" s="448" t="str">
        <f aca="false">IF($G110=0,IF(BY$11=$H110,"◆",""),IF(AND(BY$11&gt;=$H110,BY$11&lt;=$I110),1,""))</f>
        <v/>
      </c>
      <c r="BZ110" s="448" t="str">
        <f aca="false">IF($G110=0,IF(BZ$11=$H110,"◆",""),IF(AND(BZ$11&gt;=$H110,BZ$11&lt;=$I110),1,""))</f>
        <v/>
      </c>
      <c r="CA110" s="448" t="str">
        <f aca="false">IF($G110=0,IF(CA$11=$H110,"◆",""),IF(AND(CA$11&gt;=$H110,CA$11&lt;=$I110),1,""))</f>
        <v/>
      </c>
      <c r="CB110" s="448" t="str">
        <f aca="false">IF($G110=0,IF(CB$11=$H110,"◆",""),IF(AND(CB$11&gt;=$H110,CB$11&lt;=$I110),1,""))</f>
        <v/>
      </c>
      <c r="CC110" s="448" t="str">
        <f aca="false">IF($G110=0,IF(CC$11=$H110,"◆",""),IF(AND(CC$11&gt;=$H110,CC$11&lt;=$I110),1,""))</f>
        <v/>
      </c>
      <c r="CD110" s="448" t="str">
        <f aca="false">IF($G110=0,IF(CD$11=$H110,"◆",""),IF(AND(CD$11&gt;=$H110,CD$11&lt;=$I110),1,""))</f>
        <v/>
      </c>
      <c r="CE110" s="448" t="str">
        <f aca="false">IF($G110=0,IF(CE$11=$H110,"◆",""),IF(AND(CE$11&gt;=$H110,CE$11&lt;=$I110),1,""))</f>
        <v/>
      </c>
      <c r="CF110" s="448" t="str">
        <f aca="false">IF($G110=0,IF(CF$11=$H110,"◆",""),IF(AND(CF$11&gt;=$H110,CF$11&lt;=$I110),1,""))</f>
        <v/>
      </c>
      <c r="CG110" s="448" t="str">
        <f aca="false">IF($G110=0,IF(CG$11=$H110,"◆",""),IF(AND(CG$11&gt;=$H110,CG$11&lt;=$I110),1,""))</f>
        <v/>
      </c>
      <c r="CH110" s="448" t="str">
        <f aca="false">IF($G110=0,IF(CH$11=$H110,"◆",""),IF(AND(CH$11&gt;=$H110,CH$11&lt;=$I110),1,""))</f>
        <v/>
      </c>
      <c r="CI110" s="448" t="str">
        <f aca="false">IF($G110=0,IF(CI$11=$H110,"◆",""),IF(AND(CI$11&gt;=$H110,CI$11&lt;=$I110),1,""))</f>
        <v/>
      </c>
      <c r="CJ110" s="448" t="str">
        <f aca="false">IF($G110=0,IF(CJ$11=$H110,"◆",""),IF(AND(CJ$11&gt;=$H110,CJ$11&lt;=$I110),1,""))</f>
        <v/>
      </c>
      <c r="CK110" s="448" t="str">
        <f aca="false">IF($G110=0,IF(CK$11=$H110,"◆",""),IF(AND(CK$11&gt;=$H110,CK$11&lt;=$I110),1,""))</f>
        <v/>
      </c>
      <c r="CL110" s="448" t="str">
        <f aca="false">IF($G110=0,IF(CL$11=$H110,"◆",""),IF(AND(CL$11&gt;=$H110,CL$11&lt;=$I110),1,""))</f>
        <v/>
      </c>
      <c r="CM110" s="448" t="str">
        <f aca="false">IF($G110=0,IF(CM$11=$H110,"◆",""),IF(AND(CM$11&gt;=$H110,CM$11&lt;=$I110),1,""))</f>
        <v/>
      </c>
      <c r="CN110" s="448" t="str">
        <f aca="false">IF($G110=0,IF(CN$11=$H110,"◆",""),IF(AND(CN$11&gt;=$H110,CN$11&lt;=$I110),1,""))</f>
        <v/>
      </c>
      <c r="CO110" s="448" t="str">
        <f aca="false">IF($G110=0,IF(CO$11=$H110,"◆",""),IF(AND(CO$11&gt;=$H110,CO$11&lt;=$I110),1,""))</f>
        <v/>
      </c>
      <c r="CP110" s="448" t="str">
        <f aca="false">IF($G110=0,IF(CP$11=$H110,"◆",""),IF(AND(CP$11&gt;=$H110,CP$11&lt;=$I110),1,""))</f>
        <v/>
      </c>
      <c r="CQ110" s="448" t="str">
        <f aca="false">IF($G110=0,IF(CQ$11=$H110,"◆",""),IF(AND(CQ$11&gt;=$H110,CQ$11&lt;=$I110),1,""))</f>
        <v/>
      </c>
      <c r="CR110" s="448" t="str">
        <f aca="false">IF($G110=0,IF(CR$11=$H110,"◆",""),IF(AND(CR$11&gt;=$H110,CR$11&lt;=$I110),1,""))</f>
        <v/>
      </c>
      <c r="CS110" s="448" t="str">
        <f aca="false">IF($G110=0,IF(CS$11=$H110,"◆",""),IF(AND(CS$11&gt;=$H110,CS$11&lt;=$I110),1,""))</f>
        <v/>
      </c>
      <c r="CT110" s="448" t="str">
        <f aca="false">IF($G110=0,IF(CT$11=$H110,"◆",""),IF(AND(CT$11&gt;=$H110,CT$11&lt;=$I110),1,""))</f>
        <v/>
      </c>
      <c r="CU110" s="448" t="str">
        <f aca="false">IF($G110=0,IF(CU$11=$H110,"◆",""),IF(AND(CU$11&gt;=$H110,CU$11&lt;=$I110),1,""))</f>
        <v/>
      </c>
      <c r="CV110" s="448" t="str">
        <f aca="false">IF($G110=0,IF(CV$11=$H110,"◆",""),IF(AND(CV$11&gt;=$H110,CV$11&lt;=$I110),1,""))</f>
        <v/>
      </c>
      <c r="CW110" s="448" t="str">
        <f aca="false">IF($G110=0,IF(CW$11=$H110,"◆",""),IF(AND(CW$11&gt;=$H110,CW$11&lt;=$I110),1,""))</f>
        <v/>
      </c>
      <c r="CX110" s="448" t="str">
        <f aca="false">IF($G110=0,IF(CX$11=$H110,"◆",""),IF(AND(CX$11&gt;=$H110,CX$11&lt;=$I110),1,""))</f>
        <v/>
      </c>
      <c r="CY110" s="448" t="str">
        <f aca="false">IF($G110=0,IF(CY$11=$H110,"◆",""),IF(AND(CY$11&gt;=$H110,CY$11&lt;=$I110),1,""))</f>
        <v/>
      </c>
      <c r="CZ110" s="448" t="str">
        <f aca="false">IF($G110=0,IF(CZ$11=$H110,"◆",""),IF(AND(CZ$11&gt;=$H110,CZ$11&lt;=$I110),1,""))</f>
        <v/>
      </c>
      <c r="DA110" s="448" t="str">
        <f aca="false">IF($G110=0,IF(DA$11=$H110,"◆",""),IF(AND(DA$11&gt;=$H110,DA$11&lt;=$I110),1,""))</f>
        <v/>
      </c>
      <c r="DB110" s="448" t="str">
        <f aca="false">IF($G110=0,IF(DB$11=$H110,"◆",""),IF(AND(DB$11&gt;=$H110,DB$11&lt;=$I110),1,""))</f>
        <v/>
      </c>
      <c r="DC110" s="448" t="str">
        <f aca="false">IF($G110=0,IF(DC$11=$H110,"◆",""),IF(AND(DC$11&gt;=$H110,DC$11&lt;=$I110),1,""))</f>
        <v/>
      </c>
      <c r="DD110" s="448" t="str">
        <f aca="false">IF($G110=0,IF(DD$11=$H110,"◆",""),IF(AND(DD$11&gt;=$H110,DD$11&lt;=$I110),1,""))</f>
        <v/>
      </c>
      <c r="DE110" s="448" t="str">
        <f aca="false">IF($G110=0,IF(DE$11=$H110,"◆",""),IF(AND(DE$11&gt;=$H110,DE$11&lt;=$I110),1,""))</f>
        <v/>
      </c>
      <c r="DF110" s="448" t="str">
        <f aca="false">IF($G110=0,IF(DF$11=$H110,"◆",""),IF(AND(DF$11&gt;=$H110,DF$11&lt;=$I110),1,""))</f>
        <v/>
      </c>
      <c r="DG110" s="448" t="str">
        <f aca="false">IF($G110=0,IF(DG$11=$H110,"◆",""),IF(AND(DG$11&gt;=$H110,DG$11&lt;=$I110),1,""))</f>
        <v/>
      </c>
      <c r="DH110" s="448" t="str">
        <f aca="false">IF($G110=0,IF(DH$11=$H110,"◆",""),IF(AND(DH$11&gt;=$H110,DH$11&lt;=$I110),1,""))</f>
        <v/>
      </c>
      <c r="DI110" s="448" t="str">
        <f aca="false">IF($G110=0,IF(DI$11=$H110,"◆",""),IF(AND(DI$11&gt;=$H110,DI$11&lt;=$I110),1,""))</f>
        <v/>
      </c>
      <c r="DJ110" s="448" t="str">
        <f aca="false">IF($G110=0,IF(DJ$11=$H110,"◆",""),IF(AND(DJ$11&gt;=$H110,DJ$11&lt;=$I110),1,""))</f>
        <v/>
      </c>
      <c r="DK110" s="448" t="str">
        <f aca="false">IF($G110=0,IF(DK$11=$H110,"◆",""),IF(AND(DK$11&gt;=$H110,DK$11&lt;=$I110),1,""))</f>
        <v/>
      </c>
      <c r="DL110" s="448" t="str">
        <f aca="false">IF($G110=0,IF(DL$11=$H110,"◆",""),IF(AND(DL$11&gt;=$H110,DL$11&lt;=$I110),1,""))</f>
        <v/>
      </c>
      <c r="DM110" s="448" t="str">
        <f aca="false">IF($G110=0,IF(DM$11=$H110,"◆",""),IF(AND(DM$11&gt;=$H110,DM$11&lt;=$I110),1,""))</f>
        <v/>
      </c>
      <c r="DN110" s="448" t="str">
        <f aca="false">IF($G110=0,IF(DN$11=$H110,"◆",""),IF(AND(DN$11&gt;=$H110,DN$11&lt;=$I110),1,""))</f>
        <v/>
      </c>
      <c r="DO110" s="448" t="str">
        <f aca="false">IF($G110=0,IF(DO$11=$H110,"◆",""),IF(AND(DO$11&gt;=$H110,DO$11&lt;=$I110),1,""))</f>
        <v/>
      </c>
      <c r="DP110" s="448" t="str">
        <f aca="false">IF($G110=0,IF(DP$11=$H110,"◆",""),IF(AND(DP$11&gt;=$H110,DP$11&lt;=$I110),1,""))</f>
        <v/>
      </c>
      <c r="DQ110" s="448" t="str">
        <f aca="false">IF($G110=0,IF(DQ$11=$H110,"◆",""),IF(AND(DQ$11&gt;=$H110,DQ$11&lt;=$I110),1,""))</f>
        <v/>
      </c>
      <c r="DR110" s="448" t="str">
        <f aca="false">IF($G110=0,IF(DR$11=$H110,"◆",""),IF(AND(DR$11&gt;=$H110,DR$11&lt;=$I110),1,""))</f>
        <v/>
      </c>
      <c r="DS110" s="448" t="str">
        <f aca="false">IF($G110=0,IF(DS$11=$H110,"◆",""),IF(AND(DS$11&gt;=$H110,DS$11&lt;=$I110),1,""))</f>
        <v/>
      </c>
      <c r="DT110" s="448" t="str">
        <f aca="false">IF($G110=0,IF(DT$11=$H110,"◆",""),IF(AND(DT$11&gt;=$H110,DT$11&lt;=$I110),1,""))</f>
        <v/>
      </c>
      <c r="DU110" s="448" t="str">
        <f aca="false">IF($G110=0,IF(DU$11=$H110,"◆",""),IF(AND(DU$11&gt;=$H110,DU$11&lt;=$I110),1,""))</f>
        <v/>
      </c>
      <c r="DV110" s="448" t="str">
        <f aca="false">IF($G110=0,IF(DV$11=$H110,"◆",""),IF(AND(DV$11&gt;=$H110,DV$11&lt;=$I110),1,""))</f>
        <v/>
      </c>
      <c r="DW110" s="448" t="str">
        <f aca="false">IF($G110=0,IF(DW$11=$H110,"◆",""),IF(AND(DW$11&gt;=$H110,DW$11&lt;=$I110),1,""))</f>
        <v/>
      </c>
      <c r="DX110" s="448" t="str">
        <f aca="false">IF($G110=0,IF(DX$11=$H110,"◆",""),IF(AND(DX$11&gt;=$H110,DX$11&lt;=$I110),1,""))</f>
        <v/>
      </c>
      <c r="DY110" s="448" t="str">
        <f aca="false">IF($G110=0,IF(DY$11=$H110,"◆",""),IF(AND(DY$11&gt;=$H110,DY$11&lt;=$I110),1,""))</f>
        <v/>
      </c>
      <c r="DZ110" s="448" t="str">
        <f aca="false">IF($G110=0,IF(DZ$11=$H110,"◆",""),IF(AND(DZ$11&gt;=$H110,DZ$11&lt;=$I110),1,""))</f>
        <v/>
      </c>
      <c r="EA110" s="448" t="str">
        <f aca="false">IF($G110=0,IF(EA$11=$H110,"◆",""),IF(AND(EA$11&gt;=$H110,EA$11&lt;=$I110),1,""))</f>
        <v/>
      </c>
      <c r="EB110" s="448" t="str">
        <f aca="false">IF($G110=0,IF(EB$11=$H110,"◆",""),IF(AND(EB$11&gt;=$H110,EB$11&lt;=$I110),1,""))</f>
        <v/>
      </c>
      <c r="EC110" s="448" t="str">
        <f aca="false">IF($G110=0,IF(EC$11=$H110,"◆",""),IF(AND(EC$11&gt;=$H110,EC$11&lt;=$I110),1,""))</f>
        <v/>
      </c>
      <c r="ED110" s="448" t="str">
        <f aca="false">IF($G110=0,IF(ED$11=$H110,"◆",""),IF(AND(ED$11&gt;=$H110,ED$11&lt;=$I110),1,""))</f>
        <v/>
      </c>
    </row>
    <row r="111" customFormat="false" ht="15" hidden="false" customHeight="true" outlineLevel="0" collapsed="false">
      <c r="A111" s="441" t="s">
        <v>2665</v>
      </c>
      <c r="B111" s="297" t="s">
        <v>2666</v>
      </c>
      <c r="C111" s="442" t="s">
        <v>2480</v>
      </c>
      <c r="D111" s="443" t="s">
        <v>2634</v>
      </c>
      <c r="E111" s="354" t="n">
        <f aca="false">FC_SUPUESTOS!$C$40</f>
        <v>10</v>
      </c>
      <c r="F111" s="352" t="n">
        <v>-9</v>
      </c>
      <c r="G111" s="352" t="n">
        <v>10</v>
      </c>
      <c r="H111" s="367" t="n">
        <f aca="false">MAX(1,ROUND(($E111-1)*$D$5,0)+1+$F111)</f>
        <v>31</v>
      </c>
      <c r="I111" s="367" t="n">
        <f aca="false">MAX($H111,$H111+$G111-1)</f>
        <v>40</v>
      </c>
      <c r="J111" s="444" t="n">
        <f aca="false">$D$4+($H111-1)*7</f>
        <v>46510</v>
      </c>
      <c r="K111" s="444" t="n">
        <f aca="false">$D$4+$I111*7-1</f>
        <v>46579</v>
      </c>
      <c r="L111" s="445" t="n">
        <f aca="false">ROUNDUP($H111/$D$5,0)</f>
        <v>8</v>
      </c>
      <c r="M111" s="446"/>
      <c r="N111" s="447" t="n">
        <v>0</v>
      </c>
      <c r="O111" s="448" t="str">
        <f aca="false">IF($G111=0,IF(O$11=$H111,"◆",""),IF(AND(O$11&gt;=$H111,O$11&lt;=$I111),1,""))</f>
        <v/>
      </c>
      <c r="P111" s="448" t="str">
        <f aca="false">IF($G111=0,IF(P$11=$H111,"◆",""),IF(AND(P$11&gt;=$H111,P$11&lt;=$I111),1,""))</f>
        <v/>
      </c>
      <c r="Q111" s="448" t="str">
        <f aca="false">IF($G111=0,IF(Q$11=$H111,"◆",""),IF(AND(Q$11&gt;=$H111,Q$11&lt;=$I111),1,""))</f>
        <v/>
      </c>
      <c r="R111" s="448" t="str">
        <f aca="false">IF($G111=0,IF(R$11=$H111,"◆",""),IF(AND(R$11&gt;=$H111,R$11&lt;=$I111),1,""))</f>
        <v/>
      </c>
      <c r="S111" s="448" t="str">
        <f aca="false">IF($G111=0,IF(S$11=$H111,"◆",""),IF(AND(S$11&gt;=$H111,S$11&lt;=$I111),1,""))</f>
        <v/>
      </c>
      <c r="T111" s="448" t="str">
        <f aca="false">IF($G111=0,IF(T$11=$H111,"◆",""),IF(AND(T$11&gt;=$H111,T$11&lt;=$I111),1,""))</f>
        <v/>
      </c>
      <c r="U111" s="448" t="str">
        <f aca="false">IF($G111=0,IF(U$11=$H111,"◆",""),IF(AND(U$11&gt;=$H111,U$11&lt;=$I111),1,""))</f>
        <v/>
      </c>
      <c r="V111" s="448" t="str">
        <f aca="false">IF($G111=0,IF(V$11=$H111,"◆",""),IF(AND(V$11&gt;=$H111,V$11&lt;=$I111),1,""))</f>
        <v/>
      </c>
      <c r="W111" s="448" t="str">
        <f aca="false">IF($G111=0,IF(W$11=$H111,"◆",""),IF(AND(W$11&gt;=$H111,W$11&lt;=$I111),1,""))</f>
        <v/>
      </c>
      <c r="X111" s="448" t="str">
        <f aca="false">IF($G111=0,IF(X$11=$H111,"◆",""),IF(AND(X$11&gt;=$H111,X$11&lt;=$I111),1,""))</f>
        <v/>
      </c>
      <c r="Y111" s="448" t="str">
        <f aca="false">IF($G111=0,IF(Y$11=$H111,"◆",""),IF(AND(Y$11&gt;=$H111,Y$11&lt;=$I111),1,""))</f>
        <v/>
      </c>
      <c r="Z111" s="448" t="str">
        <f aca="false">IF($G111=0,IF(Z$11=$H111,"◆",""),IF(AND(Z$11&gt;=$H111,Z$11&lt;=$I111),1,""))</f>
        <v/>
      </c>
      <c r="AA111" s="448" t="str">
        <f aca="false">IF($G111=0,IF(AA$11=$H111,"◆",""),IF(AND(AA$11&gt;=$H111,AA$11&lt;=$I111),1,""))</f>
        <v/>
      </c>
      <c r="AB111" s="448" t="str">
        <f aca="false">IF($G111=0,IF(AB$11=$H111,"◆",""),IF(AND(AB$11&gt;=$H111,AB$11&lt;=$I111),1,""))</f>
        <v/>
      </c>
      <c r="AC111" s="448" t="str">
        <f aca="false">IF($G111=0,IF(AC$11=$H111,"◆",""),IF(AND(AC$11&gt;=$H111,AC$11&lt;=$I111),1,""))</f>
        <v/>
      </c>
      <c r="AD111" s="448" t="str">
        <f aca="false">IF($G111=0,IF(AD$11=$H111,"◆",""),IF(AND(AD$11&gt;=$H111,AD$11&lt;=$I111),1,""))</f>
        <v/>
      </c>
      <c r="AE111" s="448" t="str">
        <f aca="false">IF($G111=0,IF(AE$11=$H111,"◆",""),IF(AND(AE$11&gt;=$H111,AE$11&lt;=$I111),1,""))</f>
        <v/>
      </c>
      <c r="AF111" s="448" t="str">
        <f aca="false">IF($G111=0,IF(AF$11=$H111,"◆",""),IF(AND(AF$11&gt;=$H111,AF$11&lt;=$I111),1,""))</f>
        <v/>
      </c>
      <c r="AG111" s="448" t="str">
        <f aca="false">IF($G111=0,IF(AG$11=$H111,"◆",""),IF(AND(AG$11&gt;=$H111,AG$11&lt;=$I111),1,""))</f>
        <v/>
      </c>
      <c r="AH111" s="448" t="str">
        <f aca="false">IF($G111=0,IF(AH$11=$H111,"◆",""),IF(AND(AH$11&gt;=$H111,AH$11&lt;=$I111),1,""))</f>
        <v/>
      </c>
      <c r="AI111" s="448" t="str">
        <f aca="false">IF($G111=0,IF(AI$11=$H111,"◆",""),IF(AND(AI$11&gt;=$H111,AI$11&lt;=$I111),1,""))</f>
        <v/>
      </c>
      <c r="AJ111" s="448" t="str">
        <f aca="false">IF($G111=0,IF(AJ$11=$H111,"◆",""),IF(AND(AJ$11&gt;=$H111,AJ$11&lt;=$I111),1,""))</f>
        <v/>
      </c>
      <c r="AK111" s="448" t="str">
        <f aca="false">IF($G111=0,IF(AK$11=$H111,"◆",""),IF(AND(AK$11&gt;=$H111,AK$11&lt;=$I111),1,""))</f>
        <v/>
      </c>
      <c r="AL111" s="448" t="str">
        <f aca="false">IF($G111=0,IF(AL$11=$H111,"◆",""),IF(AND(AL$11&gt;=$H111,AL$11&lt;=$I111),1,""))</f>
        <v/>
      </c>
      <c r="AM111" s="448" t="str">
        <f aca="false">IF($G111=0,IF(AM$11=$H111,"◆",""),IF(AND(AM$11&gt;=$H111,AM$11&lt;=$I111),1,""))</f>
        <v/>
      </c>
      <c r="AN111" s="448" t="str">
        <f aca="false">IF($G111=0,IF(AN$11=$H111,"◆",""),IF(AND(AN$11&gt;=$H111,AN$11&lt;=$I111),1,""))</f>
        <v/>
      </c>
      <c r="AO111" s="448" t="str">
        <f aca="false">IF($G111=0,IF(AO$11=$H111,"◆",""),IF(AND(AO$11&gt;=$H111,AO$11&lt;=$I111),1,""))</f>
        <v/>
      </c>
      <c r="AP111" s="448" t="str">
        <f aca="false">IF($G111=0,IF(AP$11=$H111,"◆",""),IF(AND(AP$11&gt;=$H111,AP$11&lt;=$I111),1,""))</f>
        <v/>
      </c>
      <c r="AQ111" s="448" t="str">
        <f aca="false">IF($G111=0,IF(AQ$11=$H111,"◆",""),IF(AND(AQ$11&gt;=$H111,AQ$11&lt;=$I111),1,""))</f>
        <v/>
      </c>
      <c r="AR111" s="448" t="str">
        <f aca="false">IF($G111=0,IF(AR$11=$H111,"◆",""),IF(AND(AR$11&gt;=$H111,AR$11&lt;=$I111),1,""))</f>
        <v/>
      </c>
      <c r="AS111" s="448" t="n">
        <f aca="false">IF($G111=0,IF(AS$11=$H111,"◆",""),IF(AND(AS$11&gt;=$H111,AS$11&lt;=$I111),1,""))</f>
        <v>1</v>
      </c>
      <c r="AT111" s="448" t="n">
        <f aca="false">IF($G111=0,IF(AT$11=$H111,"◆",""),IF(AND(AT$11&gt;=$H111,AT$11&lt;=$I111),1,""))</f>
        <v>1</v>
      </c>
      <c r="AU111" s="448" t="n">
        <f aca="false">IF($G111=0,IF(AU$11=$H111,"◆",""),IF(AND(AU$11&gt;=$H111,AU$11&lt;=$I111),1,""))</f>
        <v>1</v>
      </c>
      <c r="AV111" s="448" t="n">
        <f aca="false">IF($G111=0,IF(AV$11=$H111,"◆",""),IF(AND(AV$11&gt;=$H111,AV$11&lt;=$I111),1,""))</f>
        <v>1</v>
      </c>
      <c r="AW111" s="448" t="n">
        <f aca="false">IF($G111=0,IF(AW$11=$H111,"◆",""),IF(AND(AW$11&gt;=$H111,AW$11&lt;=$I111),1,""))</f>
        <v>1</v>
      </c>
      <c r="AX111" s="448" t="n">
        <f aca="false">IF($G111=0,IF(AX$11=$H111,"◆",""),IF(AND(AX$11&gt;=$H111,AX$11&lt;=$I111),1,""))</f>
        <v>1</v>
      </c>
      <c r="AY111" s="448" t="n">
        <f aca="false">IF($G111=0,IF(AY$11=$H111,"◆",""),IF(AND(AY$11&gt;=$H111,AY$11&lt;=$I111),1,""))</f>
        <v>1</v>
      </c>
      <c r="AZ111" s="448" t="n">
        <f aca="false">IF($G111=0,IF(AZ$11=$H111,"◆",""),IF(AND(AZ$11&gt;=$H111,AZ$11&lt;=$I111),1,""))</f>
        <v>1</v>
      </c>
      <c r="BA111" s="448" t="n">
        <f aca="false">IF($G111=0,IF(BA$11=$H111,"◆",""),IF(AND(BA$11&gt;=$H111,BA$11&lt;=$I111),1,""))</f>
        <v>1</v>
      </c>
      <c r="BB111" s="448" t="n">
        <f aca="false">IF($G111=0,IF(BB$11=$H111,"◆",""),IF(AND(BB$11&gt;=$H111,BB$11&lt;=$I111),1,""))</f>
        <v>1</v>
      </c>
      <c r="BC111" s="448" t="str">
        <f aca="false">IF($G111=0,IF(BC$11=$H111,"◆",""),IF(AND(BC$11&gt;=$H111,BC$11&lt;=$I111),1,""))</f>
        <v/>
      </c>
      <c r="BD111" s="448" t="str">
        <f aca="false">IF($G111=0,IF(BD$11=$H111,"◆",""),IF(AND(BD$11&gt;=$H111,BD$11&lt;=$I111),1,""))</f>
        <v/>
      </c>
      <c r="BE111" s="448" t="str">
        <f aca="false">IF($G111=0,IF(BE$11=$H111,"◆",""),IF(AND(BE$11&gt;=$H111,BE$11&lt;=$I111),1,""))</f>
        <v/>
      </c>
      <c r="BF111" s="448" t="str">
        <f aca="false">IF($G111=0,IF(BF$11=$H111,"◆",""),IF(AND(BF$11&gt;=$H111,BF$11&lt;=$I111),1,""))</f>
        <v/>
      </c>
      <c r="BG111" s="448" t="str">
        <f aca="false">IF($G111=0,IF(BG$11=$H111,"◆",""),IF(AND(BG$11&gt;=$H111,BG$11&lt;=$I111),1,""))</f>
        <v/>
      </c>
      <c r="BH111" s="448" t="str">
        <f aca="false">IF($G111=0,IF(BH$11=$H111,"◆",""),IF(AND(BH$11&gt;=$H111,BH$11&lt;=$I111),1,""))</f>
        <v/>
      </c>
      <c r="BI111" s="448" t="str">
        <f aca="false">IF($G111=0,IF(BI$11=$H111,"◆",""),IF(AND(BI$11&gt;=$H111,BI$11&lt;=$I111),1,""))</f>
        <v/>
      </c>
      <c r="BJ111" s="448" t="str">
        <f aca="false">IF($G111=0,IF(BJ$11=$H111,"◆",""),IF(AND(BJ$11&gt;=$H111,BJ$11&lt;=$I111),1,""))</f>
        <v/>
      </c>
      <c r="BK111" s="448" t="str">
        <f aca="false">IF($G111=0,IF(BK$11=$H111,"◆",""),IF(AND(BK$11&gt;=$H111,BK$11&lt;=$I111),1,""))</f>
        <v/>
      </c>
      <c r="BL111" s="448" t="str">
        <f aca="false">IF($G111=0,IF(BL$11=$H111,"◆",""),IF(AND(BL$11&gt;=$H111,BL$11&lt;=$I111),1,""))</f>
        <v/>
      </c>
      <c r="BM111" s="448" t="str">
        <f aca="false">IF($G111=0,IF(BM$11=$H111,"◆",""),IF(AND(BM$11&gt;=$H111,BM$11&lt;=$I111),1,""))</f>
        <v/>
      </c>
      <c r="BN111" s="448" t="str">
        <f aca="false">IF($G111=0,IF(BN$11=$H111,"◆",""),IF(AND(BN$11&gt;=$H111,BN$11&lt;=$I111),1,""))</f>
        <v/>
      </c>
      <c r="BO111" s="448" t="str">
        <f aca="false">IF($G111=0,IF(BO$11=$H111,"◆",""),IF(AND(BO$11&gt;=$H111,BO$11&lt;=$I111),1,""))</f>
        <v/>
      </c>
      <c r="BP111" s="448" t="str">
        <f aca="false">IF($G111=0,IF(BP$11=$H111,"◆",""),IF(AND(BP$11&gt;=$H111,BP$11&lt;=$I111),1,""))</f>
        <v/>
      </c>
      <c r="BQ111" s="448" t="str">
        <f aca="false">IF($G111=0,IF(BQ$11=$H111,"◆",""),IF(AND(BQ$11&gt;=$H111,BQ$11&lt;=$I111),1,""))</f>
        <v/>
      </c>
      <c r="BR111" s="448" t="str">
        <f aca="false">IF($G111=0,IF(BR$11=$H111,"◆",""),IF(AND(BR$11&gt;=$H111,BR$11&lt;=$I111),1,""))</f>
        <v/>
      </c>
      <c r="BS111" s="448" t="str">
        <f aca="false">IF($G111=0,IF(BS$11=$H111,"◆",""),IF(AND(BS$11&gt;=$H111,BS$11&lt;=$I111),1,""))</f>
        <v/>
      </c>
      <c r="BT111" s="448" t="str">
        <f aca="false">IF($G111=0,IF(BT$11=$H111,"◆",""),IF(AND(BT$11&gt;=$H111,BT$11&lt;=$I111),1,""))</f>
        <v/>
      </c>
      <c r="BU111" s="448" t="str">
        <f aca="false">IF($G111=0,IF(BU$11=$H111,"◆",""),IF(AND(BU$11&gt;=$H111,BU$11&lt;=$I111),1,""))</f>
        <v/>
      </c>
      <c r="BV111" s="448" t="str">
        <f aca="false">IF($G111=0,IF(BV$11=$H111,"◆",""),IF(AND(BV$11&gt;=$H111,BV$11&lt;=$I111),1,""))</f>
        <v/>
      </c>
      <c r="BW111" s="448" t="str">
        <f aca="false">IF($G111=0,IF(BW$11=$H111,"◆",""),IF(AND(BW$11&gt;=$H111,BW$11&lt;=$I111),1,""))</f>
        <v/>
      </c>
      <c r="BX111" s="448" t="str">
        <f aca="false">IF($G111=0,IF(BX$11=$H111,"◆",""),IF(AND(BX$11&gt;=$H111,BX$11&lt;=$I111),1,""))</f>
        <v/>
      </c>
      <c r="BY111" s="448" t="str">
        <f aca="false">IF($G111=0,IF(BY$11=$H111,"◆",""),IF(AND(BY$11&gt;=$H111,BY$11&lt;=$I111),1,""))</f>
        <v/>
      </c>
      <c r="BZ111" s="448" t="str">
        <f aca="false">IF($G111=0,IF(BZ$11=$H111,"◆",""),IF(AND(BZ$11&gt;=$H111,BZ$11&lt;=$I111),1,""))</f>
        <v/>
      </c>
      <c r="CA111" s="448" t="str">
        <f aca="false">IF($G111=0,IF(CA$11=$H111,"◆",""),IF(AND(CA$11&gt;=$H111,CA$11&lt;=$I111),1,""))</f>
        <v/>
      </c>
      <c r="CB111" s="448" t="str">
        <f aca="false">IF($G111=0,IF(CB$11=$H111,"◆",""),IF(AND(CB$11&gt;=$H111,CB$11&lt;=$I111),1,""))</f>
        <v/>
      </c>
      <c r="CC111" s="448" t="str">
        <f aca="false">IF($G111=0,IF(CC$11=$H111,"◆",""),IF(AND(CC$11&gt;=$H111,CC$11&lt;=$I111),1,""))</f>
        <v/>
      </c>
      <c r="CD111" s="448" t="str">
        <f aca="false">IF($G111=0,IF(CD$11=$H111,"◆",""),IF(AND(CD$11&gt;=$H111,CD$11&lt;=$I111),1,""))</f>
        <v/>
      </c>
      <c r="CE111" s="448" t="str">
        <f aca="false">IF($G111=0,IF(CE$11=$H111,"◆",""),IF(AND(CE$11&gt;=$H111,CE$11&lt;=$I111),1,""))</f>
        <v/>
      </c>
      <c r="CF111" s="448" t="str">
        <f aca="false">IF($G111=0,IF(CF$11=$H111,"◆",""),IF(AND(CF$11&gt;=$H111,CF$11&lt;=$I111),1,""))</f>
        <v/>
      </c>
      <c r="CG111" s="448" t="str">
        <f aca="false">IF($G111=0,IF(CG$11=$H111,"◆",""),IF(AND(CG$11&gt;=$H111,CG$11&lt;=$I111),1,""))</f>
        <v/>
      </c>
      <c r="CH111" s="448" t="str">
        <f aca="false">IF($G111=0,IF(CH$11=$H111,"◆",""),IF(AND(CH$11&gt;=$H111,CH$11&lt;=$I111),1,""))</f>
        <v/>
      </c>
      <c r="CI111" s="448" t="str">
        <f aca="false">IF($G111=0,IF(CI$11=$H111,"◆",""),IF(AND(CI$11&gt;=$H111,CI$11&lt;=$I111),1,""))</f>
        <v/>
      </c>
      <c r="CJ111" s="448" t="str">
        <f aca="false">IF($G111=0,IF(CJ$11=$H111,"◆",""),IF(AND(CJ$11&gt;=$H111,CJ$11&lt;=$I111),1,""))</f>
        <v/>
      </c>
      <c r="CK111" s="448" t="str">
        <f aca="false">IF($G111=0,IF(CK$11=$H111,"◆",""),IF(AND(CK$11&gt;=$H111,CK$11&lt;=$I111),1,""))</f>
        <v/>
      </c>
      <c r="CL111" s="448" t="str">
        <f aca="false">IF($G111=0,IF(CL$11=$H111,"◆",""),IF(AND(CL$11&gt;=$H111,CL$11&lt;=$I111),1,""))</f>
        <v/>
      </c>
      <c r="CM111" s="448" t="str">
        <f aca="false">IF($G111=0,IF(CM$11=$H111,"◆",""),IF(AND(CM$11&gt;=$H111,CM$11&lt;=$I111),1,""))</f>
        <v/>
      </c>
      <c r="CN111" s="448" t="str">
        <f aca="false">IF($G111=0,IF(CN$11=$H111,"◆",""),IF(AND(CN$11&gt;=$H111,CN$11&lt;=$I111),1,""))</f>
        <v/>
      </c>
      <c r="CO111" s="448" t="str">
        <f aca="false">IF($G111=0,IF(CO$11=$H111,"◆",""),IF(AND(CO$11&gt;=$H111,CO$11&lt;=$I111),1,""))</f>
        <v/>
      </c>
      <c r="CP111" s="448" t="str">
        <f aca="false">IF($G111=0,IF(CP$11=$H111,"◆",""),IF(AND(CP$11&gt;=$H111,CP$11&lt;=$I111),1,""))</f>
        <v/>
      </c>
      <c r="CQ111" s="448" t="str">
        <f aca="false">IF($G111=0,IF(CQ$11=$H111,"◆",""),IF(AND(CQ$11&gt;=$H111,CQ$11&lt;=$I111),1,""))</f>
        <v/>
      </c>
      <c r="CR111" s="448" t="str">
        <f aca="false">IF($G111=0,IF(CR$11=$H111,"◆",""),IF(AND(CR$11&gt;=$H111,CR$11&lt;=$I111),1,""))</f>
        <v/>
      </c>
      <c r="CS111" s="448" t="str">
        <f aca="false">IF($G111=0,IF(CS$11=$H111,"◆",""),IF(AND(CS$11&gt;=$H111,CS$11&lt;=$I111),1,""))</f>
        <v/>
      </c>
      <c r="CT111" s="448" t="str">
        <f aca="false">IF($G111=0,IF(CT$11=$H111,"◆",""),IF(AND(CT$11&gt;=$H111,CT$11&lt;=$I111),1,""))</f>
        <v/>
      </c>
      <c r="CU111" s="448" t="str">
        <f aca="false">IF($G111=0,IF(CU$11=$H111,"◆",""),IF(AND(CU$11&gt;=$H111,CU$11&lt;=$I111),1,""))</f>
        <v/>
      </c>
      <c r="CV111" s="448" t="str">
        <f aca="false">IF($G111=0,IF(CV$11=$H111,"◆",""),IF(AND(CV$11&gt;=$H111,CV$11&lt;=$I111),1,""))</f>
        <v/>
      </c>
      <c r="CW111" s="448" t="str">
        <f aca="false">IF($G111=0,IF(CW$11=$H111,"◆",""),IF(AND(CW$11&gt;=$H111,CW$11&lt;=$I111),1,""))</f>
        <v/>
      </c>
      <c r="CX111" s="448" t="str">
        <f aca="false">IF($G111=0,IF(CX$11=$H111,"◆",""),IF(AND(CX$11&gt;=$H111,CX$11&lt;=$I111),1,""))</f>
        <v/>
      </c>
      <c r="CY111" s="448" t="str">
        <f aca="false">IF($G111=0,IF(CY$11=$H111,"◆",""),IF(AND(CY$11&gt;=$H111,CY$11&lt;=$I111),1,""))</f>
        <v/>
      </c>
      <c r="CZ111" s="448" t="str">
        <f aca="false">IF($G111=0,IF(CZ$11=$H111,"◆",""),IF(AND(CZ$11&gt;=$H111,CZ$11&lt;=$I111),1,""))</f>
        <v/>
      </c>
      <c r="DA111" s="448" t="str">
        <f aca="false">IF($G111=0,IF(DA$11=$H111,"◆",""),IF(AND(DA$11&gt;=$H111,DA$11&lt;=$I111),1,""))</f>
        <v/>
      </c>
      <c r="DB111" s="448" t="str">
        <f aca="false">IF($G111=0,IF(DB$11=$H111,"◆",""),IF(AND(DB$11&gt;=$H111,DB$11&lt;=$I111),1,""))</f>
        <v/>
      </c>
      <c r="DC111" s="448" t="str">
        <f aca="false">IF($G111=0,IF(DC$11=$H111,"◆",""),IF(AND(DC$11&gt;=$H111,DC$11&lt;=$I111),1,""))</f>
        <v/>
      </c>
      <c r="DD111" s="448" t="str">
        <f aca="false">IF($G111=0,IF(DD$11=$H111,"◆",""),IF(AND(DD$11&gt;=$H111,DD$11&lt;=$I111),1,""))</f>
        <v/>
      </c>
      <c r="DE111" s="448" t="str">
        <f aca="false">IF($G111=0,IF(DE$11=$H111,"◆",""),IF(AND(DE$11&gt;=$H111,DE$11&lt;=$I111),1,""))</f>
        <v/>
      </c>
      <c r="DF111" s="448" t="str">
        <f aca="false">IF($G111=0,IF(DF$11=$H111,"◆",""),IF(AND(DF$11&gt;=$H111,DF$11&lt;=$I111),1,""))</f>
        <v/>
      </c>
      <c r="DG111" s="448" t="str">
        <f aca="false">IF($G111=0,IF(DG$11=$H111,"◆",""),IF(AND(DG$11&gt;=$H111,DG$11&lt;=$I111),1,""))</f>
        <v/>
      </c>
      <c r="DH111" s="448" t="str">
        <f aca="false">IF($G111=0,IF(DH$11=$H111,"◆",""),IF(AND(DH$11&gt;=$H111,DH$11&lt;=$I111),1,""))</f>
        <v/>
      </c>
      <c r="DI111" s="448" t="str">
        <f aca="false">IF($G111=0,IF(DI$11=$H111,"◆",""),IF(AND(DI$11&gt;=$H111,DI$11&lt;=$I111),1,""))</f>
        <v/>
      </c>
      <c r="DJ111" s="448" t="str">
        <f aca="false">IF($G111=0,IF(DJ$11=$H111,"◆",""),IF(AND(DJ$11&gt;=$H111,DJ$11&lt;=$I111),1,""))</f>
        <v/>
      </c>
      <c r="DK111" s="448" t="str">
        <f aca="false">IF($G111=0,IF(DK$11=$H111,"◆",""),IF(AND(DK$11&gt;=$H111,DK$11&lt;=$I111),1,""))</f>
        <v/>
      </c>
      <c r="DL111" s="448" t="str">
        <f aca="false">IF($G111=0,IF(DL$11=$H111,"◆",""),IF(AND(DL$11&gt;=$H111,DL$11&lt;=$I111),1,""))</f>
        <v/>
      </c>
      <c r="DM111" s="448" t="str">
        <f aca="false">IF($G111=0,IF(DM$11=$H111,"◆",""),IF(AND(DM$11&gt;=$H111,DM$11&lt;=$I111),1,""))</f>
        <v/>
      </c>
      <c r="DN111" s="448" t="str">
        <f aca="false">IF($G111=0,IF(DN$11=$H111,"◆",""),IF(AND(DN$11&gt;=$H111,DN$11&lt;=$I111),1,""))</f>
        <v/>
      </c>
      <c r="DO111" s="448" t="str">
        <f aca="false">IF($G111=0,IF(DO$11=$H111,"◆",""),IF(AND(DO$11&gt;=$H111,DO$11&lt;=$I111),1,""))</f>
        <v/>
      </c>
      <c r="DP111" s="448" t="str">
        <f aca="false">IF($G111=0,IF(DP$11=$H111,"◆",""),IF(AND(DP$11&gt;=$H111,DP$11&lt;=$I111),1,""))</f>
        <v/>
      </c>
      <c r="DQ111" s="448" t="str">
        <f aca="false">IF($G111=0,IF(DQ$11=$H111,"◆",""),IF(AND(DQ$11&gt;=$H111,DQ$11&lt;=$I111),1,""))</f>
        <v/>
      </c>
      <c r="DR111" s="448" t="str">
        <f aca="false">IF($G111=0,IF(DR$11=$H111,"◆",""),IF(AND(DR$11&gt;=$H111,DR$11&lt;=$I111),1,""))</f>
        <v/>
      </c>
      <c r="DS111" s="448" t="str">
        <f aca="false">IF($G111=0,IF(DS$11=$H111,"◆",""),IF(AND(DS$11&gt;=$H111,DS$11&lt;=$I111),1,""))</f>
        <v/>
      </c>
      <c r="DT111" s="448" t="str">
        <f aca="false">IF($G111=0,IF(DT$11=$H111,"◆",""),IF(AND(DT$11&gt;=$H111,DT$11&lt;=$I111),1,""))</f>
        <v/>
      </c>
      <c r="DU111" s="448" t="str">
        <f aca="false">IF($G111=0,IF(DU$11=$H111,"◆",""),IF(AND(DU$11&gt;=$H111,DU$11&lt;=$I111),1,""))</f>
        <v/>
      </c>
      <c r="DV111" s="448" t="str">
        <f aca="false">IF($G111=0,IF(DV$11=$H111,"◆",""),IF(AND(DV$11&gt;=$H111,DV$11&lt;=$I111),1,""))</f>
        <v/>
      </c>
      <c r="DW111" s="448" t="str">
        <f aca="false">IF($G111=0,IF(DW$11=$H111,"◆",""),IF(AND(DW$11&gt;=$H111,DW$11&lt;=$I111),1,""))</f>
        <v/>
      </c>
      <c r="DX111" s="448" t="str">
        <f aca="false">IF($G111=0,IF(DX$11=$H111,"◆",""),IF(AND(DX$11&gt;=$H111,DX$11&lt;=$I111),1,""))</f>
        <v/>
      </c>
      <c r="DY111" s="448" t="str">
        <f aca="false">IF($G111=0,IF(DY$11=$H111,"◆",""),IF(AND(DY$11&gt;=$H111,DY$11&lt;=$I111),1,""))</f>
        <v/>
      </c>
      <c r="DZ111" s="448" t="str">
        <f aca="false">IF($G111=0,IF(DZ$11=$H111,"◆",""),IF(AND(DZ$11&gt;=$H111,DZ$11&lt;=$I111),1,""))</f>
        <v/>
      </c>
      <c r="EA111" s="448" t="str">
        <f aca="false">IF($G111=0,IF(EA$11=$H111,"◆",""),IF(AND(EA$11&gt;=$H111,EA$11&lt;=$I111),1,""))</f>
        <v/>
      </c>
      <c r="EB111" s="448" t="str">
        <f aca="false">IF($G111=0,IF(EB$11=$H111,"◆",""),IF(AND(EB$11&gt;=$H111,EB$11&lt;=$I111),1,""))</f>
        <v/>
      </c>
      <c r="EC111" s="448" t="str">
        <f aca="false">IF($G111=0,IF(EC$11=$H111,"◆",""),IF(AND(EC$11&gt;=$H111,EC$11&lt;=$I111),1,""))</f>
        <v/>
      </c>
      <c r="ED111" s="448" t="str">
        <f aca="false">IF($G111=0,IF(ED$11=$H111,"◆",""),IF(AND(ED$11&gt;=$H111,ED$11&lt;=$I111),1,""))</f>
        <v/>
      </c>
    </row>
    <row r="112" customFormat="false" ht="15" hidden="false" customHeight="true" outlineLevel="0" collapsed="false">
      <c r="A112" s="441" t="s">
        <v>2667</v>
      </c>
      <c r="B112" s="297" t="s">
        <v>2668</v>
      </c>
      <c r="C112" s="442" t="s">
        <v>2480</v>
      </c>
      <c r="D112" s="443" t="s">
        <v>2634</v>
      </c>
      <c r="E112" s="354" t="n">
        <f aca="false">FC_SUPUESTOS!$C$40</f>
        <v>10</v>
      </c>
      <c r="F112" s="352" t="n">
        <v>-9</v>
      </c>
      <c r="G112" s="352" t="n">
        <v>10</v>
      </c>
      <c r="H112" s="367" t="n">
        <f aca="false">MAX(1,ROUND(($E112-1)*$D$5,0)+1+$F112)</f>
        <v>31</v>
      </c>
      <c r="I112" s="367" t="n">
        <f aca="false">MAX($H112,$H112+$G112-1)</f>
        <v>40</v>
      </c>
      <c r="J112" s="444" t="n">
        <f aca="false">$D$4+($H112-1)*7</f>
        <v>46510</v>
      </c>
      <c r="K112" s="444" t="n">
        <f aca="false">$D$4+$I112*7-1</f>
        <v>46579</v>
      </c>
      <c r="L112" s="445" t="n">
        <f aca="false">ROUNDUP($H112/$D$5,0)</f>
        <v>8</v>
      </c>
      <c r="M112" s="446" t="s">
        <v>2453</v>
      </c>
      <c r="N112" s="447" t="n">
        <v>0</v>
      </c>
      <c r="O112" s="448" t="str">
        <f aca="false">IF($G112=0,IF(O$11=$H112,"◆",""),IF(AND(O$11&gt;=$H112,O$11&lt;=$I112),1,""))</f>
        <v/>
      </c>
      <c r="P112" s="448" t="str">
        <f aca="false">IF($G112=0,IF(P$11=$H112,"◆",""),IF(AND(P$11&gt;=$H112,P$11&lt;=$I112),1,""))</f>
        <v/>
      </c>
      <c r="Q112" s="448" t="str">
        <f aca="false">IF($G112=0,IF(Q$11=$H112,"◆",""),IF(AND(Q$11&gt;=$H112,Q$11&lt;=$I112),1,""))</f>
        <v/>
      </c>
      <c r="R112" s="448" t="str">
        <f aca="false">IF($G112=0,IF(R$11=$H112,"◆",""),IF(AND(R$11&gt;=$H112,R$11&lt;=$I112),1,""))</f>
        <v/>
      </c>
      <c r="S112" s="448" t="str">
        <f aca="false">IF($G112=0,IF(S$11=$H112,"◆",""),IF(AND(S$11&gt;=$H112,S$11&lt;=$I112),1,""))</f>
        <v/>
      </c>
      <c r="T112" s="448" t="str">
        <f aca="false">IF($G112=0,IF(T$11=$H112,"◆",""),IF(AND(T$11&gt;=$H112,T$11&lt;=$I112),1,""))</f>
        <v/>
      </c>
      <c r="U112" s="448" t="str">
        <f aca="false">IF($G112=0,IF(U$11=$H112,"◆",""),IF(AND(U$11&gt;=$H112,U$11&lt;=$I112),1,""))</f>
        <v/>
      </c>
      <c r="V112" s="448" t="str">
        <f aca="false">IF($G112=0,IF(V$11=$H112,"◆",""),IF(AND(V$11&gt;=$H112,V$11&lt;=$I112),1,""))</f>
        <v/>
      </c>
      <c r="W112" s="448" t="str">
        <f aca="false">IF($G112=0,IF(W$11=$H112,"◆",""),IF(AND(W$11&gt;=$H112,W$11&lt;=$I112),1,""))</f>
        <v/>
      </c>
      <c r="X112" s="448" t="str">
        <f aca="false">IF($G112=0,IF(X$11=$H112,"◆",""),IF(AND(X$11&gt;=$H112,X$11&lt;=$I112),1,""))</f>
        <v/>
      </c>
      <c r="Y112" s="448" t="str">
        <f aca="false">IF($G112=0,IF(Y$11=$H112,"◆",""),IF(AND(Y$11&gt;=$H112,Y$11&lt;=$I112),1,""))</f>
        <v/>
      </c>
      <c r="Z112" s="448" t="str">
        <f aca="false">IF($G112=0,IF(Z$11=$H112,"◆",""),IF(AND(Z$11&gt;=$H112,Z$11&lt;=$I112),1,""))</f>
        <v/>
      </c>
      <c r="AA112" s="448" t="str">
        <f aca="false">IF($G112=0,IF(AA$11=$H112,"◆",""),IF(AND(AA$11&gt;=$H112,AA$11&lt;=$I112),1,""))</f>
        <v/>
      </c>
      <c r="AB112" s="448" t="str">
        <f aca="false">IF($G112=0,IF(AB$11=$H112,"◆",""),IF(AND(AB$11&gt;=$H112,AB$11&lt;=$I112),1,""))</f>
        <v/>
      </c>
      <c r="AC112" s="448" t="str">
        <f aca="false">IF($G112=0,IF(AC$11=$H112,"◆",""),IF(AND(AC$11&gt;=$H112,AC$11&lt;=$I112),1,""))</f>
        <v/>
      </c>
      <c r="AD112" s="448" t="str">
        <f aca="false">IF($G112=0,IF(AD$11=$H112,"◆",""),IF(AND(AD$11&gt;=$H112,AD$11&lt;=$I112),1,""))</f>
        <v/>
      </c>
      <c r="AE112" s="448" t="str">
        <f aca="false">IF($G112=0,IF(AE$11=$H112,"◆",""),IF(AND(AE$11&gt;=$H112,AE$11&lt;=$I112),1,""))</f>
        <v/>
      </c>
      <c r="AF112" s="448" t="str">
        <f aca="false">IF($G112=0,IF(AF$11=$H112,"◆",""),IF(AND(AF$11&gt;=$H112,AF$11&lt;=$I112),1,""))</f>
        <v/>
      </c>
      <c r="AG112" s="448" t="str">
        <f aca="false">IF($G112=0,IF(AG$11=$H112,"◆",""),IF(AND(AG$11&gt;=$H112,AG$11&lt;=$I112),1,""))</f>
        <v/>
      </c>
      <c r="AH112" s="448" t="str">
        <f aca="false">IF($G112=0,IF(AH$11=$H112,"◆",""),IF(AND(AH$11&gt;=$H112,AH$11&lt;=$I112),1,""))</f>
        <v/>
      </c>
      <c r="AI112" s="448" t="str">
        <f aca="false">IF($G112=0,IF(AI$11=$H112,"◆",""),IF(AND(AI$11&gt;=$H112,AI$11&lt;=$I112),1,""))</f>
        <v/>
      </c>
      <c r="AJ112" s="448" t="str">
        <f aca="false">IF($G112=0,IF(AJ$11=$H112,"◆",""),IF(AND(AJ$11&gt;=$H112,AJ$11&lt;=$I112),1,""))</f>
        <v/>
      </c>
      <c r="AK112" s="448" t="str">
        <f aca="false">IF($G112=0,IF(AK$11=$H112,"◆",""),IF(AND(AK$11&gt;=$H112,AK$11&lt;=$I112),1,""))</f>
        <v/>
      </c>
      <c r="AL112" s="448" t="str">
        <f aca="false">IF($G112=0,IF(AL$11=$H112,"◆",""),IF(AND(AL$11&gt;=$H112,AL$11&lt;=$I112),1,""))</f>
        <v/>
      </c>
      <c r="AM112" s="448" t="str">
        <f aca="false">IF($G112=0,IF(AM$11=$H112,"◆",""),IF(AND(AM$11&gt;=$H112,AM$11&lt;=$I112),1,""))</f>
        <v/>
      </c>
      <c r="AN112" s="448" t="str">
        <f aca="false">IF($G112=0,IF(AN$11=$H112,"◆",""),IF(AND(AN$11&gt;=$H112,AN$11&lt;=$I112),1,""))</f>
        <v/>
      </c>
      <c r="AO112" s="448" t="str">
        <f aca="false">IF($G112=0,IF(AO$11=$H112,"◆",""),IF(AND(AO$11&gt;=$H112,AO$11&lt;=$I112),1,""))</f>
        <v/>
      </c>
      <c r="AP112" s="448" t="str">
        <f aca="false">IF($G112=0,IF(AP$11=$H112,"◆",""),IF(AND(AP$11&gt;=$H112,AP$11&lt;=$I112),1,""))</f>
        <v/>
      </c>
      <c r="AQ112" s="448" t="str">
        <f aca="false">IF($G112=0,IF(AQ$11=$H112,"◆",""),IF(AND(AQ$11&gt;=$H112,AQ$11&lt;=$I112),1,""))</f>
        <v/>
      </c>
      <c r="AR112" s="448" t="str">
        <f aca="false">IF($G112=0,IF(AR$11=$H112,"◆",""),IF(AND(AR$11&gt;=$H112,AR$11&lt;=$I112),1,""))</f>
        <v/>
      </c>
      <c r="AS112" s="448" t="n">
        <f aca="false">IF($G112=0,IF(AS$11=$H112,"◆",""),IF(AND(AS$11&gt;=$H112,AS$11&lt;=$I112),1,""))</f>
        <v>1</v>
      </c>
      <c r="AT112" s="448" t="n">
        <f aca="false">IF($G112=0,IF(AT$11=$H112,"◆",""),IF(AND(AT$11&gt;=$H112,AT$11&lt;=$I112),1,""))</f>
        <v>1</v>
      </c>
      <c r="AU112" s="448" t="n">
        <f aca="false">IF($G112=0,IF(AU$11=$H112,"◆",""),IF(AND(AU$11&gt;=$H112,AU$11&lt;=$I112),1,""))</f>
        <v>1</v>
      </c>
      <c r="AV112" s="448" t="n">
        <f aca="false">IF($G112=0,IF(AV$11=$H112,"◆",""),IF(AND(AV$11&gt;=$H112,AV$11&lt;=$I112),1,""))</f>
        <v>1</v>
      </c>
      <c r="AW112" s="448" t="n">
        <f aca="false">IF($G112=0,IF(AW$11=$H112,"◆",""),IF(AND(AW$11&gt;=$H112,AW$11&lt;=$I112),1,""))</f>
        <v>1</v>
      </c>
      <c r="AX112" s="448" t="n">
        <f aca="false">IF($G112=0,IF(AX$11=$H112,"◆",""),IF(AND(AX$11&gt;=$H112,AX$11&lt;=$I112),1,""))</f>
        <v>1</v>
      </c>
      <c r="AY112" s="448" t="n">
        <f aca="false">IF($G112=0,IF(AY$11=$H112,"◆",""),IF(AND(AY$11&gt;=$H112,AY$11&lt;=$I112),1,""))</f>
        <v>1</v>
      </c>
      <c r="AZ112" s="448" t="n">
        <f aca="false">IF($G112=0,IF(AZ$11=$H112,"◆",""),IF(AND(AZ$11&gt;=$H112,AZ$11&lt;=$I112),1,""))</f>
        <v>1</v>
      </c>
      <c r="BA112" s="448" t="n">
        <f aca="false">IF($G112=0,IF(BA$11=$H112,"◆",""),IF(AND(BA$11&gt;=$H112,BA$11&lt;=$I112),1,""))</f>
        <v>1</v>
      </c>
      <c r="BB112" s="448" t="n">
        <f aca="false">IF($G112=0,IF(BB$11=$H112,"◆",""),IF(AND(BB$11&gt;=$H112,BB$11&lt;=$I112),1,""))</f>
        <v>1</v>
      </c>
      <c r="BC112" s="448" t="str">
        <f aca="false">IF($G112=0,IF(BC$11=$H112,"◆",""),IF(AND(BC$11&gt;=$H112,BC$11&lt;=$I112),1,""))</f>
        <v/>
      </c>
      <c r="BD112" s="448" t="str">
        <f aca="false">IF($G112=0,IF(BD$11=$H112,"◆",""),IF(AND(BD$11&gt;=$H112,BD$11&lt;=$I112),1,""))</f>
        <v/>
      </c>
      <c r="BE112" s="448" t="str">
        <f aca="false">IF($G112=0,IF(BE$11=$H112,"◆",""),IF(AND(BE$11&gt;=$H112,BE$11&lt;=$I112),1,""))</f>
        <v/>
      </c>
      <c r="BF112" s="448" t="str">
        <f aca="false">IF($G112=0,IF(BF$11=$H112,"◆",""),IF(AND(BF$11&gt;=$H112,BF$11&lt;=$I112),1,""))</f>
        <v/>
      </c>
      <c r="BG112" s="448" t="str">
        <f aca="false">IF($G112=0,IF(BG$11=$H112,"◆",""),IF(AND(BG$11&gt;=$H112,BG$11&lt;=$I112),1,""))</f>
        <v/>
      </c>
      <c r="BH112" s="448" t="str">
        <f aca="false">IF($G112=0,IF(BH$11=$H112,"◆",""),IF(AND(BH$11&gt;=$H112,BH$11&lt;=$I112),1,""))</f>
        <v/>
      </c>
      <c r="BI112" s="448" t="str">
        <f aca="false">IF($G112=0,IF(BI$11=$H112,"◆",""),IF(AND(BI$11&gt;=$H112,BI$11&lt;=$I112),1,""))</f>
        <v/>
      </c>
      <c r="BJ112" s="448" t="str">
        <f aca="false">IF($G112=0,IF(BJ$11=$H112,"◆",""),IF(AND(BJ$11&gt;=$H112,BJ$11&lt;=$I112),1,""))</f>
        <v/>
      </c>
      <c r="BK112" s="448" t="str">
        <f aca="false">IF($G112=0,IF(BK$11=$H112,"◆",""),IF(AND(BK$11&gt;=$H112,BK$11&lt;=$I112),1,""))</f>
        <v/>
      </c>
      <c r="BL112" s="448" t="str">
        <f aca="false">IF($G112=0,IF(BL$11=$H112,"◆",""),IF(AND(BL$11&gt;=$H112,BL$11&lt;=$I112),1,""))</f>
        <v/>
      </c>
      <c r="BM112" s="448" t="str">
        <f aca="false">IF($G112=0,IF(BM$11=$H112,"◆",""),IF(AND(BM$11&gt;=$H112,BM$11&lt;=$I112),1,""))</f>
        <v/>
      </c>
      <c r="BN112" s="448" t="str">
        <f aca="false">IF($G112=0,IF(BN$11=$H112,"◆",""),IF(AND(BN$11&gt;=$H112,BN$11&lt;=$I112),1,""))</f>
        <v/>
      </c>
      <c r="BO112" s="448" t="str">
        <f aca="false">IF($G112=0,IF(BO$11=$H112,"◆",""),IF(AND(BO$11&gt;=$H112,BO$11&lt;=$I112),1,""))</f>
        <v/>
      </c>
      <c r="BP112" s="448" t="str">
        <f aca="false">IF($G112=0,IF(BP$11=$H112,"◆",""),IF(AND(BP$11&gt;=$H112,BP$11&lt;=$I112),1,""))</f>
        <v/>
      </c>
      <c r="BQ112" s="448" t="str">
        <f aca="false">IF($G112=0,IF(BQ$11=$H112,"◆",""),IF(AND(BQ$11&gt;=$H112,BQ$11&lt;=$I112),1,""))</f>
        <v/>
      </c>
      <c r="BR112" s="448" t="str">
        <f aca="false">IF($G112=0,IF(BR$11=$H112,"◆",""),IF(AND(BR$11&gt;=$H112,BR$11&lt;=$I112),1,""))</f>
        <v/>
      </c>
      <c r="BS112" s="448" t="str">
        <f aca="false">IF($G112=0,IF(BS$11=$H112,"◆",""),IF(AND(BS$11&gt;=$H112,BS$11&lt;=$I112),1,""))</f>
        <v/>
      </c>
      <c r="BT112" s="448" t="str">
        <f aca="false">IF($G112=0,IF(BT$11=$H112,"◆",""),IF(AND(BT$11&gt;=$H112,BT$11&lt;=$I112),1,""))</f>
        <v/>
      </c>
      <c r="BU112" s="448" t="str">
        <f aca="false">IF($G112=0,IF(BU$11=$H112,"◆",""),IF(AND(BU$11&gt;=$H112,BU$11&lt;=$I112),1,""))</f>
        <v/>
      </c>
      <c r="BV112" s="448" t="str">
        <f aca="false">IF($G112=0,IF(BV$11=$H112,"◆",""),IF(AND(BV$11&gt;=$H112,BV$11&lt;=$I112),1,""))</f>
        <v/>
      </c>
      <c r="BW112" s="448" t="str">
        <f aca="false">IF($G112=0,IF(BW$11=$H112,"◆",""),IF(AND(BW$11&gt;=$H112,BW$11&lt;=$I112),1,""))</f>
        <v/>
      </c>
      <c r="BX112" s="448" t="str">
        <f aca="false">IF($G112=0,IF(BX$11=$H112,"◆",""),IF(AND(BX$11&gt;=$H112,BX$11&lt;=$I112),1,""))</f>
        <v/>
      </c>
      <c r="BY112" s="448" t="str">
        <f aca="false">IF($G112=0,IF(BY$11=$H112,"◆",""),IF(AND(BY$11&gt;=$H112,BY$11&lt;=$I112),1,""))</f>
        <v/>
      </c>
      <c r="BZ112" s="448" t="str">
        <f aca="false">IF($G112=0,IF(BZ$11=$H112,"◆",""),IF(AND(BZ$11&gt;=$H112,BZ$11&lt;=$I112),1,""))</f>
        <v/>
      </c>
      <c r="CA112" s="448" t="str">
        <f aca="false">IF($G112=0,IF(CA$11=$H112,"◆",""),IF(AND(CA$11&gt;=$H112,CA$11&lt;=$I112),1,""))</f>
        <v/>
      </c>
      <c r="CB112" s="448" t="str">
        <f aca="false">IF($G112=0,IF(CB$11=$H112,"◆",""),IF(AND(CB$11&gt;=$H112,CB$11&lt;=$I112),1,""))</f>
        <v/>
      </c>
      <c r="CC112" s="448" t="str">
        <f aca="false">IF($G112=0,IF(CC$11=$H112,"◆",""),IF(AND(CC$11&gt;=$H112,CC$11&lt;=$I112),1,""))</f>
        <v/>
      </c>
      <c r="CD112" s="448" t="str">
        <f aca="false">IF($G112=0,IF(CD$11=$H112,"◆",""),IF(AND(CD$11&gt;=$H112,CD$11&lt;=$I112),1,""))</f>
        <v/>
      </c>
      <c r="CE112" s="448" t="str">
        <f aca="false">IF($G112=0,IF(CE$11=$H112,"◆",""),IF(AND(CE$11&gt;=$H112,CE$11&lt;=$I112),1,""))</f>
        <v/>
      </c>
      <c r="CF112" s="448" t="str">
        <f aca="false">IF($G112=0,IF(CF$11=$H112,"◆",""),IF(AND(CF$11&gt;=$H112,CF$11&lt;=$I112),1,""))</f>
        <v/>
      </c>
      <c r="CG112" s="448" t="str">
        <f aca="false">IF($G112=0,IF(CG$11=$H112,"◆",""),IF(AND(CG$11&gt;=$H112,CG$11&lt;=$I112),1,""))</f>
        <v/>
      </c>
      <c r="CH112" s="448" t="str">
        <f aca="false">IF($G112=0,IF(CH$11=$H112,"◆",""),IF(AND(CH$11&gt;=$H112,CH$11&lt;=$I112),1,""))</f>
        <v/>
      </c>
      <c r="CI112" s="448" t="str">
        <f aca="false">IF($G112=0,IF(CI$11=$H112,"◆",""),IF(AND(CI$11&gt;=$H112,CI$11&lt;=$I112),1,""))</f>
        <v/>
      </c>
      <c r="CJ112" s="448" t="str">
        <f aca="false">IF($G112=0,IF(CJ$11=$H112,"◆",""),IF(AND(CJ$11&gt;=$H112,CJ$11&lt;=$I112),1,""))</f>
        <v/>
      </c>
      <c r="CK112" s="448" t="str">
        <f aca="false">IF($G112=0,IF(CK$11=$H112,"◆",""),IF(AND(CK$11&gt;=$H112,CK$11&lt;=$I112),1,""))</f>
        <v/>
      </c>
      <c r="CL112" s="448" t="str">
        <f aca="false">IF($G112=0,IF(CL$11=$H112,"◆",""),IF(AND(CL$11&gt;=$H112,CL$11&lt;=$I112),1,""))</f>
        <v/>
      </c>
      <c r="CM112" s="448" t="str">
        <f aca="false">IF($G112=0,IF(CM$11=$H112,"◆",""),IF(AND(CM$11&gt;=$H112,CM$11&lt;=$I112),1,""))</f>
        <v/>
      </c>
      <c r="CN112" s="448" t="str">
        <f aca="false">IF($G112=0,IF(CN$11=$H112,"◆",""),IF(AND(CN$11&gt;=$H112,CN$11&lt;=$I112),1,""))</f>
        <v/>
      </c>
      <c r="CO112" s="448" t="str">
        <f aca="false">IF($G112=0,IF(CO$11=$H112,"◆",""),IF(AND(CO$11&gt;=$H112,CO$11&lt;=$I112),1,""))</f>
        <v/>
      </c>
      <c r="CP112" s="448" t="str">
        <f aca="false">IF($G112=0,IF(CP$11=$H112,"◆",""),IF(AND(CP$11&gt;=$H112,CP$11&lt;=$I112),1,""))</f>
        <v/>
      </c>
      <c r="CQ112" s="448" t="str">
        <f aca="false">IF($G112=0,IF(CQ$11=$H112,"◆",""),IF(AND(CQ$11&gt;=$H112,CQ$11&lt;=$I112),1,""))</f>
        <v/>
      </c>
      <c r="CR112" s="448" t="str">
        <f aca="false">IF($G112=0,IF(CR$11=$H112,"◆",""),IF(AND(CR$11&gt;=$H112,CR$11&lt;=$I112),1,""))</f>
        <v/>
      </c>
      <c r="CS112" s="448" t="str">
        <f aca="false">IF($G112=0,IF(CS$11=$H112,"◆",""),IF(AND(CS$11&gt;=$H112,CS$11&lt;=$I112),1,""))</f>
        <v/>
      </c>
      <c r="CT112" s="448" t="str">
        <f aca="false">IF($G112=0,IF(CT$11=$H112,"◆",""),IF(AND(CT$11&gt;=$H112,CT$11&lt;=$I112),1,""))</f>
        <v/>
      </c>
      <c r="CU112" s="448" t="str">
        <f aca="false">IF($G112=0,IF(CU$11=$H112,"◆",""),IF(AND(CU$11&gt;=$H112,CU$11&lt;=$I112),1,""))</f>
        <v/>
      </c>
      <c r="CV112" s="448" t="str">
        <f aca="false">IF($G112=0,IF(CV$11=$H112,"◆",""),IF(AND(CV$11&gt;=$H112,CV$11&lt;=$I112),1,""))</f>
        <v/>
      </c>
      <c r="CW112" s="448" t="str">
        <f aca="false">IF($G112=0,IF(CW$11=$H112,"◆",""),IF(AND(CW$11&gt;=$H112,CW$11&lt;=$I112),1,""))</f>
        <v/>
      </c>
      <c r="CX112" s="448" t="str">
        <f aca="false">IF($G112=0,IF(CX$11=$H112,"◆",""),IF(AND(CX$11&gt;=$H112,CX$11&lt;=$I112),1,""))</f>
        <v/>
      </c>
      <c r="CY112" s="448" t="str">
        <f aca="false">IF($G112=0,IF(CY$11=$H112,"◆",""),IF(AND(CY$11&gt;=$H112,CY$11&lt;=$I112),1,""))</f>
        <v/>
      </c>
      <c r="CZ112" s="448" t="str">
        <f aca="false">IF($G112=0,IF(CZ$11=$H112,"◆",""),IF(AND(CZ$11&gt;=$H112,CZ$11&lt;=$I112),1,""))</f>
        <v/>
      </c>
      <c r="DA112" s="448" t="str">
        <f aca="false">IF($G112=0,IF(DA$11=$H112,"◆",""),IF(AND(DA$11&gt;=$H112,DA$11&lt;=$I112),1,""))</f>
        <v/>
      </c>
      <c r="DB112" s="448" t="str">
        <f aca="false">IF($G112=0,IF(DB$11=$H112,"◆",""),IF(AND(DB$11&gt;=$H112,DB$11&lt;=$I112),1,""))</f>
        <v/>
      </c>
      <c r="DC112" s="448" t="str">
        <f aca="false">IF($G112=0,IF(DC$11=$H112,"◆",""),IF(AND(DC$11&gt;=$H112,DC$11&lt;=$I112),1,""))</f>
        <v/>
      </c>
      <c r="DD112" s="448" t="str">
        <f aca="false">IF($G112=0,IF(DD$11=$H112,"◆",""),IF(AND(DD$11&gt;=$H112,DD$11&lt;=$I112),1,""))</f>
        <v/>
      </c>
      <c r="DE112" s="448" t="str">
        <f aca="false">IF($G112=0,IF(DE$11=$H112,"◆",""),IF(AND(DE$11&gt;=$H112,DE$11&lt;=$I112),1,""))</f>
        <v/>
      </c>
      <c r="DF112" s="448" t="str">
        <f aca="false">IF($G112=0,IF(DF$11=$H112,"◆",""),IF(AND(DF$11&gt;=$H112,DF$11&lt;=$I112),1,""))</f>
        <v/>
      </c>
      <c r="DG112" s="448" t="str">
        <f aca="false">IF($G112=0,IF(DG$11=$H112,"◆",""),IF(AND(DG$11&gt;=$H112,DG$11&lt;=$I112),1,""))</f>
        <v/>
      </c>
      <c r="DH112" s="448" t="str">
        <f aca="false">IF($G112=0,IF(DH$11=$H112,"◆",""),IF(AND(DH$11&gt;=$H112,DH$11&lt;=$I112),1,""))</f>
        <v/>
      </c>
      <c r="DI112" s="448" t="str">
        <f aca="false">IF($G112=0,IF(DI$11=$H112,"◆",""),IF(AND(DI$11&gt;=$H112,DI$11&lt;=$I112),1,""))</f>
        <v/>
      </c>
      <c r="DJ112" s="448" t="str">
        <f aca="false">IF($G112=0,IF(DJ$11=$H112,"◆",""),IF(AND(DJ$11&gt;=$H112,DJ$11&lt;=$I112),1,""))</f>
        <v/>
      </c>
      <c r="DK112" s="448" t="str">
        <f aca="false">IF($G112=0,IF(DK$11=$H112,"◆",""),IF(AND(DK$11&gt;=$H112,DK$11&lt;=$I112),1,""))</f>
        <v/>
      </c>
      <c r="DL112" s="448" t="str">
        <f aca="false">IF($G112=0,IF(DL$11=$H112,"◆",""),IF(AND(DL$11&gt;=$H112,DL$11&lt;=$I112),1,""))</f>
        <v/>
      </c>
      <c r="DM112" s="448" t="str">
        <f aca="false">IF($G112=0,IF(DM$11=$H112,"◆",""),IF(AND(DM$11&gt;=$H112,DM$11&lt;=$I112),1,""))</f>
        <v/>
      </c>
      <c r="DN112" s="448" t="str">
        <f aca="false">IF($G112=0,IF(DN$11=$H112,"◆",""),IF(AND(DN$11&gt;=$H112,DN$11&lt;=$I112),1,""))</f>
        <v/>
      </c>
      <c r="DO112" s="448" t="str">
        <f aca="false">IF($G112=0,IF(DO$11=$H112,"◆",""),IF(AND(DO$11&gt;=$H112,DO$11&lt;=$I112),1,""))</f>
        <v/>
      </c>
      <c r="DP112" s="448" t="str">
        <f aca="false">IF($G112=0,IF(DP$11=$H112,"◆",""),IF(AND(DP$11&gt;=$H112,DP$11&lt;=$I112),1,""))</f>
        <v/>
      </c>
      <c r="DQ112" s="448" t="str">
        <f aca="false">IF($G112=0,IF(DQ$11=$H112,"◆",""),IF(AND(DQ$11&gt;=$H112,DQ$11&lt;=$I112),1,""))</f>
        <v/>
      </c>
      <c r="DR112" s="448" t="str">
        <f aca="false">IF($G112=0,IF(DR$11=$H112,"◆",""),IF(AND(DR$11&gt;=$H112,DR$11&lt;=$I112),1,""))</f>
        <v/>
      </c>
      <c r="DS112" s="448" t="str">
        <f aca="false">IF($G112=0,IF(DS$11=$H112,"◆",""),IF(AND(DS$11&gt;=$H112,DS$11&lt;=$I112),1,""))</f>
        <v/>
      </c>
      <c r="DT112" s="448" t="str">
        <f aca="false">IF($G112=0,IF(DT$11=$H112,"◆",""),IF(AND(DT$11&gt;=$H112,DT$11&lt;=$I112),1,""))</f>
        <v/>
      </c>
      <c r="DU112" s="448" t="str">
        <f aca="false">IF($G112=0,IF(DU$11=$H112,"◆",""),IF(AND(DU$11&gt;=$H112,DU$11&lt;=$I112),1,""))</f>
        <v/>
      </c>
      <c r="DV112" s="448" t="str">
        <f aca="false">IF($G112=0,IF(DV$11=$H112,"◆",""),IF(AND(DV$11&gt;=$H112,DV$11&lt;=$I112),1,""))</f>
        <v/>
      </c>
      <c r="DW112" s="448" t="str">
        <f aca="false">IF($G112=0,IF(DW$11=$H112,"◆",""),IF(AND(DW$11&gt;=$H112,DW$11&lt;=$I112),1,""))</f>
        <v/>
      </c>
      <c r="DX112" s="448" t="str">
        <f aca="false">IF($G112=0,IF(DX$11=$H112,"◆",""),IF(AND(DX$11&gt;=$H112,DX$11&lt;=$I112),1,""))</f>
        <v/>
      </c>
      <c r="DY112" s="448" t="str">
        <f aca="false">IF($G112=0,IF(DY$11=$H112,"◆",""),IF(AND(DY$11&gt;=$H112,DY$11&lt;=$I112),1,""))</f>
        <v/>
      </c>
      <c r="DZ112" s="448" t="str">
        <f aca="false">IF($G112=0,IF(DZ$11=$H112,"◆",""),IF(AND(DZ$11&gt;=$H112,DZ$11&lt;=$I112),1,""))</f>
        <v/>
      </c>
      <c r="EA112" s="448" t="str">
        <f aca="false">IF($G112=0,IF(EA$11=$H112,"◆",""),IF(AND(EA$11&gt;=$H112,EA$11&lt;=$I112),1,""))</f>
        <v/>
      </c>
      <c r="EB112" s="448" t="str">
        <f aca="false">IF($G112=0,IF(EB$11=$H112,"◆",""),IF(AND(EB$11&gt;=$H112,EB$11&lt;=$I112),1,""))</f>
        <v/>
      </c>
      <c r="EC112" s="448" t="str">
        <f aca="false">IF($G112=0,IF(EC$11=$H112,"◆",""),IF(AND(EC$11&gt;=$H112,EC$11&lt;=$I112),1,""))</f>
        <v/>
      </c>
      <c r="ED112" s="448" t="str">
        <f aca="false">IF($G112=0,IF(ED$11=$H112,"◆",""),IF(AND(ED$11&gt;=$H112,ED$11&lt;=$I112),1,""))</f>
        <v/>
      </c>
    </row>
    <row r="113" customFormat="false" ht="15" hidden="false" customHeight="true" outlineLevel="0" collapsed="false">
      <c r="A113" s="441" t="s">
        <v>2669</v>
      </c>
      <c r="B113" s="297" t="s">
        <v>2670</v>
      </c>
      <c r="C113" s="442" t="s">
        <v>2480</v>
      </c>
      <c r="D113" s="443" t="s">
        <v>2634</v>
      </c>
      <c r="E113" s="354" t="n">
        <f aca="false">FC_SUPUESTOS!$C$40</f>
        <v>10</v>
      </c>
      <c r="F113" s="352" t="n">
        <v>-8</v>
      </c>
      <c r="G113" s="352" t="n">
        <v>8</v>
      </c>
      <c r="H113" s="367" t="n">
        <f aca="false">MAX(1,ROUND(($E113-1)*$D$5,0)+1+$F113)</f>
        <v>32</v>
      </c>
      <c r="I113" s="367" t="n">
        <f aca="false">MAX($H113,$H113+$G113-1)</f>
        <v>39</v>
      </c>
      <c r="J113" s="444" t="n">
        <f aca="false">$D$4+($H113-1)*7</f>
        <v>46517</v>
      </c>
      <c r="K113" s="444" t="n">
        <f aca="false">$D$4+$I113*7-1</f>
        <v>46572</v>
      </c>
      <c r="L113" s="445" t="n">
        <f aca="false">ROUNDUP($H113/$D$5,0)</f>
        <v>8</v>
      </c>
      <c r="M113" s="446"/>
      <c r="N113" s="447" t="n">
        <v>0</v>
      </c>
      <c r="O113" s="448" t="str">
        <f aca="false">IF($G113=0,IF(O$11=$H113,"◆",""),IF(AND(O$11&gt;=$H113,O$11&lt;=$I113),1,""))</f>
        <v/>
      </c>
      <c r="P113" s="448" t="str">
        <f aca="false">IF($G113=0,IF(P$11=$H113,"◆",""),IF(AND(P$11&gt;=$H113,P$11&lt;=$I113),1,""))</f>
        <v/>
      </c>
      <c r="Q113" s="448" t="str">
        <f aca="false">IF($G113=0,IF(Q$11=$H113,"◆",""),IF(AND(Q$11&gt;=$H113,Q$11&lt;=$I113),1,""))</f>
        <v/>
      </c>
      <c r="R113" s="448" t="str">
        <f aca="false">IF($G113=0,IF(R$11=$H113,"◆",""),IF(AND(R$11&gt;=$H113,R$11&lt;=$I113),1,""))</f>
        <v/>
      </c>
      <c r="S113" s="448" t="str">
        <f aca="false">IF($G113=0,IF(S$11=$H113,"◆",""),IF(AND(S$11&gt;=$H113,S$11&lt;=$I113),1,""))</f>
        <v/>
      </c>
      <c r="T113" s="448" t="str">
        <f aca="false">IF($G113=0,IF(T$11=$H113,"◆",""),IF(AND(T$11&gt;=$H113,T$11&lt;=$I113),1,""))</f>
        <v/>
      </c>
      <c r="U113" s="448" t="str">
        <f aca="false">IF($G113=0,IF(U$11=$H113,"◆",""),IF(AND(U$11&gt;=$H113,U$11&lt;=$I113),1,""))</f>
        <v/>
      </c>
      <c r="V113" s="448" t="str">
        <f aca="false">IF($G113=0,IF(V$11=$H113,"◆",""),IF(AND(V$11&gt;=$H113,V$11&lt;=$I113),1,""))</f>
        <v/>
      </c>
      <c r="W113" s="448" t="str">
        <f aca="false">IF($G113=0,IF(W$11=$H113,"◆",""),IF(AND(W$11&gt;=$H113,W$11&lt;=$I113),1,""))</f>
        <v/>
      </c>
      <c r="X113" s="448" t="str">
        <f aca="false">IF($G113=0,IF(X$11=$H113,"◆",""),IF(AND(X$11&gt;=$H113,X$11&lt;=$I113),1,""))</f>
        <v/>
      </c>
      <c r="Y113" s="448" t="str">
        <f aca="false">IF($G113=0,IF(Y$11=$H113,"◆",""),IF(AND(Y$11&gt;=$H113,Y$11&lt;=$I113),1,""))</f>
        <v/>
      </c>
      <c r="Z113" s="448" t="str">
        <f aca="false">IF($G113=0,IF(Z$11=$H113,"◆",""),IF(AND(Z$11&gt;=$H113,Z$11&lt;=$I113),1,""))</f>
        <v/>
      </c>
      <c r="AA113" s="448" t="str">
        <f aca="false">IF($G113=0,IF(AA$11=$H113,"◆",""),IF(AND(AA$11&gt;=$H113,AA$11&lt;=$I113),1,""))</f>
        <v/>
      </c>
      <c r="AB113" s="448" t="str">
        <f aca="false">IF($G113=0,IF(AB$11=$H113,"◆",""),IF(AND(AB$11&gt;=$H113,AB$11&lt;=$I113),1,""))</f>
        <v/>
      </c>
      <c r="AC113" s="448" t="str">
        <f aca="false">IF($G113=0,IF(AC$11=$H113,"◆",""),IF(AND(AC$11&gt;=$H113,AC$11&lt;=$I113),1,""))</f>
        <v/>
      </c>
      <c r="AD113" s="448" t="str">
        <f aca="false">IF($G113=0,IF(AD$11=$H113,"◆",""),IF(AND(AD$11&gt;=$H113,AD$11&lt;=$I113),1,""))</f>
        <v/>
      </c>
      <c r="AE113" s="448" t="str">
        <f aca="false">IF($G113=0,IF(AE$11=$H113,"◆",""),IF(AND(AE$11&gt;=$H113,AE$11&lt;=$I113),1,""))</f>
        <v/>
      </c>
      <c r="AF113" s="448" t="str">
        <f aca="false">IF($G113=0,IF(AF$11=$H113,"◆",""),IF(AND(AF$11&gt;=$H113,AF$11&lt;=$I113),1,""))</f>
        <v/>
      </c>
      <c r="AG113" s="448" t="str">
        <f aca="false">IF($G113=0,IF(AG$11=$H113,"◆",""),IF(AND(AG$11&gt;=$H113,AG$11&lt;=$I113),1,""))</f>
        <v/>
      </c>
      <c r="AH113" s="448" t="str">
        <f aca="false">IF($G113=0,IF(AH$11=$H113,"◆",""),IF(AND(AH$11&gt;=$H113,AH$11&lt;=$I113),1,""))</f>
        <v/>
      </c>
      <c r="AI113" s="448" t="str">
        <f aca="false">IF($G113=0,IF(AI$11=$H113,"◆",""),IF(AND(AI$11&gt;=$H113,AI$11&lt;=$I113),1,""))</f>
        <v/>
      </c>
      <c r="AJ113" s="448" t="str">
        <f aca="false">IF($G113=0,IF(AJ$11=$H113,"◆",""),IF(AND(AJ$11&gt;=$H113,AJ$11&lt;=$I113),1,""))</f>
        <v/>
      </c>
      <c r="AK113" s="448" t="str">
        <f aca="false">IF($G113=0,IF(AK$11=$H113,"◆",""),IF(AND(AK$11&gt;=$H113,AK$11&lt;=$I113),1,""))</f>
        <v/>
      </c>
      <c r="AL113" s="448" t="str">
        <f aca="false">IF($G113=0,IF(AL$11=$H113,"◆",""),IF(AND(AL$11&gt;=$H113,AL$11&lt;=$I113),1,""))</f>
        <v/>
      </c>
      <c r="AM113" s="448" t="str">
        <f aca="false">IF($G113=0,IF(AM$11=$H113,"◆",""),IF(AND(AM$11&gt;=$H113,AM$11&lt;=$I113),1,""))</f>
        <v/>
      </c>
      <c r="AN113" s="448" t="str">
        <f aca="false">IF($G113=0,IF(AN$11=$H113,"◆",""),IF(AND(AN$11&gt;=$H113,AN$11&lt;=$I113),1,""))</f>
        <v/>
      </c>
      <c r="AO113" s="448" t="str">
        <f aca="false">IF($G113=0,IF(AO$11=$H113,"◆",""),IF(AND(AO$11&gt;=$H113,AO$11&lt;=$I113),1,""))</f>
        <v/>
      </c>
      <c r="AP113" s="448" t="str">
        <f aca="false">IF($G113=0,IF(AP$11=$H113,"◆",""),IF(AND(AP$11&gt;=$H113,AP$11&lt;=$I113),1,""))</f>
        <v/>
      </c>
      <c r="AQ113" s="448" t="str">
        <f aca="false">IF($G113=0,IF(AQ$11=$H113,"◆",""),IF(AND(AQ$11&gt;=$H113,AQ$11&lt;=$I113),1,""))</f>
        <v/>
      </c>
      <c r="AR113" s="448" t="str">
        <f aca="false">IF($G113=0,IF(AR$11=$H113,"◆",""),IF(AND(AR$11&gt;=$H113,AR$11&lt;=$I113),1,""))</f>
        <v/>
      </c>
      <c r="AS113" s="448" t="str">
        <f aca="false">IF($G113=0,IF(AS$11=$H113,"◆",""),IF(AND(AS$11&gt;=$H113,AS$11&lt;=$I113),1,""))</f>
        <v/>
      </c>
      <c r="AT113" s="448" t="n">
        <f aca="false">IF($G113=0,IF(AT$11=$H113,"◆",""),IF(AND(AT$11&gt;=$H113,AT$11&lt;=$I113),1,""))</f>
        <v>1</v>
      </c>
      <c r="AU113" s="448" t="n">
        <f aca="false">IF($G113=0,IF(AU$11=$H113,"◆",""),IF(AND(AU$11&gt;=$H113,AU$11&lt;=$I113),1,""))</f>
        <v>1</v>
      </c>
      <c r="AV113" s="448" t="n">
        <f aca="false">IF($G113=0,IF(AV$11=$H113,"◆",""),IF(AND(AV$11&gt;=$H113,AV$11&lt;=$I113),1,""))</f>
        <v>1</v>
      </c>
      <c r="AW113" s="448" t="n">
        <f aca="false">IF($G113=0,IF(AW$11=$H113,"◆",""),IF(AND(AW$11&gt;=$H113,AW$11&lt;=$I113),1,""))</f>
        <v>1</v>
      </c>
      <c r="AX113" s="448" t="n">
        <f aca="false">IF($G113=0,IF(AX$11=$H113,"◆",""),IF(AND(AX$11&gt;=$H113,AX$11&lt;=$I113),1,""))</f>
        <v>1</v>
      </c>
      <c r="AY113" s="448" t="n">
        <f aca="false">IF($G113=0,IF(AY$11=$H113,"◆",""),IF(AND(AY$11&gt;=$H113,AY$11&lt;=$I113),1,""))</f>
        <v>1</v>
      </c>
      <c r="AZ113" s="448" t="n">
        <f aca="false">IF($G113=0,IF(AZ$11=$H113,"◆",""),IF(AND(AZ$11&gt;=$H113,AZ$11&lt;=$I113),1,""))</f>
        <v>1</v>
      </c>
      <c r="BA113" s="448" t="n">
        <f aca="false">IF($G113=0,IF(BA$11=$H113,"◆",""),IF(AND(BA$11&gt;=$H113,BA$11&lt;=$I113),1,""))</f>
        <v>1</v>
      </c>
      <c r="BB113" s="448" t="str">
        <f aca="false">IF($G113=0,IF(BB$11=$H113,"◆",""),IF(AND(BB$11&gt;=$H113,BB$11&lt;=$I113),1,""))</f>
        <v/>
      </c>
      <c r="BC113" s="448" t="str">
        <f aca="false">IF($G113=0,IF(BC$11=$H113,"◆",""),IF(AND(BC$11&gt;=$H113,BC$11&lt;=$I113),1,""))</f>
        <v/>
      </c>
      <c r="BD113" s="448" t="str">
        <f aca="false">IF($G113=0,IF(BD$11=$H113,"◆",""),IF(AND(BD$11&gt;=$H113,BD$11&lt;=$I113),1,""))</f>
        <v/>
      </c>
      <c r="BE113" s="448" t="str">
        <f aca="false">IF($G113=0,IF(BE$11=$H113,"◆",""),IF(AND(BE$11&gt;=$H113,BE$11&lt;=$I113),1,""))</f>
        <v/>
      </c>
      <c r="BF113" s="448" t="str">
        <f aca="false">IF($G113=0,IF(BF$11=$H113,"◆",""),IF(AND(BF$11&gt;=$H113,BF$11&lt;=$I113),1,""))</f>
        <v/>
      </c>
      <c r="BG113" s="448" t="str">
        <f aca="false">IF($G113=0,IF(BG$11=$H113,"◆",""),IF(AND(BG$11&gt;=$H113,BG$11&lt;=$I113),1,""))</f>
        <v/>
      </c>
      <c r="BH113" s="448" t="str">
        <f aca="false">IF($G113=0,IF(BH$11=$H113,"◆",""),IF(AND(BH$11&gt;=$H113,BH$11&lt;=$I113),1,""))</f>
        <v/>
      </c>
      <c r="BI113" s="448" t="str">
        <f aca="false">IF($G113=0,IF(BI$11=$H113,"◆",""),IF(AND(BI$11&gt;=$H113,BI$11&lt;=$I113),1,""))</f>
        <v/>
      </c>
      <c r="BJ113" s="448" t="str">
        <f aca="false">IF($G113=0,IF(BJ$11=$H113,"◆",""),IF(AND(BJ$11&gt;=$H113,BJ$11&lt;=$I113),1,""))</f>
        <v/>
      </c>
      <c r="BK113" s="448" t="str">
        <f aca="false">IF($G113=0,IF(BK$11=$H113,"◆",""),IF(AND(BK$11&gt;=$H113,BK$11&lt;=$I113),1,""))</f>
        <v/>
      </c>
      <c r="BL113" s="448" t="str">
        <f aca="false">IF($G113=0,IF(BL$11=$H113,"◆",""),IF(AND(BL$11&gt;=$H113,BL$11&lt;=$I113),1,""))</f>
        <v/>
      </c>
      <c r="BM113" s="448" t="str">
        <f aca="false">IF($G113=0,IF(BM$11=$H113,"◆",""),IF(AND(BM$11&gt;=$H113,BM$11&lt;=$I113),1,""))</f>
        <v/>
      </c>
      <c r="BN113" s="448" t="str">
        <f aca="false">IF($G113=0,IF(BN$11=$H113,"◆",""),IF(AND(BN$11&gt;=$H113,BN$11&lt;=$I113),1,""))</f>
        <v/>
      </c>
      <c r="BO113" s="448" t="str">
        <f aca="false">IF($G113=0,IF(BO$11=$H113,"◆",""),IF(AND(BO$11&gt;=$H113,BO$11&lt;=$I113),1,""))</f>
        <v/>
      </c>
      <c r="BP113" s="448" t="str">
        <f aca="false">IF($G113=0,IF(BP$11=$H113,"◆",""),IF(AND(BP$11&gt;=$H113,BP$11&lt;=$I113),1,""))</f>
        <v/>
      </c>
      <c r="BQ113" s="448" t="str">
        <f aca="false">IF($G113=0,IF(BQ$11=$H113,"◆",""),IF(AND(BQ$11&gt;=$H113,BQ$11&lt;=$I113),1,""))</f>
        <v/>
      </c>
      <c r="BR113" s="448" t="str">
        <f aca="false">IF($G113=0,IF(BR$11=$H113,"◆",""),IF(AND(BR$11&gt;=$H113,BR$11&lt;=$I113),1,""))</f>
        <v/>
      </c>
      <c r="BS113" s="448" t="str">
        <f aca="false">IF($G113=0,IF(BS$11=$H113,"◆",""),IF(AND(BS$11&gt;=$H113,BS$11&lt;=$I113),1,""))</f>
        <v/>
      </c>
      <c r="BT113" s="448" t="str">
        <f aca="false">IF($G113=0,IF(BT$11=$H113,"◆",""),IF(AND(BT$11&gt;=$H113,BT$11&lt;=$I113),1,""))</f>
        <v/>
      </c>
      <c r="BU113" s="448" t="str">
        <f aca="false">IF($G113=0,IF(BU$11=$H113,"◆",""),IF(AND(BU$11&gt;=$H113,BU$11&lt;=$I113),1,""))</f>
        <v/>
      </c>
      <c r="BV113" s="448" t="str">
        <f aca="false">IF($G113=0,IF(BV$11=$H113,"◆",""),IF(AND(BV$11&gt;=$H113,BV$11&lt;=$I113),1,""))</f>
        <v/>
      </c>
      <c r="BW113" s="448" t="str">
        <f aca="false">IF($G113=0,IF(BW$11=$H113,"◆",""),IF(AND(BW$11&gt;=$H113,BW$11&lt;=$I113),1,""))</f>
        <v/>
      </c>
      <c r="BX113" s="448" t="str">
        <f aca="false">IF($G113=0,IF(BX$11=$H113,"◆",""),IF(AND(BX$11&gt;=$H113,BX$11&lt;=$I113),1,""))</f>
        <v/>
      </c>
      <c r="BY113" s="448" t="str">
        <f aca="false">IF($G113=0,IF(BY$11=$H113,"◆",""),IF(AND(BY$11&gt;=$H113,BY$11&lt;=$I113),1,""))</f>
        <v/>
      </c>
      <c r="BZ113" s="448" t="str">
        <f aca="false">IF($G113=0,IF(BZ$11=$H113,"◆",""),IF(AND(BZ$11&gt;=$H113,BZ$11&lt;=$I113),1,""))</f>
        <v/>
      </c>
      <c r="CA113" s="448" t="str">
        <f aca="false">IF($G113=0,IF(CA$11=$H113,"◆",""),IF(AND(CA$11&gt;=$H113,CA$11&lt;=$I113),1,""))</f>
        <v/>
      </c>
      <c r="CB113" s="448" t="str">
        <f aca="false">IF($G113=0,IF(CB$11=$H113,"◆",""),IF(AND(CB$11&gt;=$H113,CB$11&lt;=$I113),1,""))</f>
        <v/>
      </c>
      <c r="CC113" s="448" t="str">
        <f aca="false">IF($G113=0,IF(CC$11=$H113,"◆",""),IF(AND(CC$11&gt;=$H113,CC$11&lt;=$I113),1,""))</f>
        <v/>
      </c>
      <c r="CD113" s="448" t="str">
        <f aca="false">IF($G113=0,IF(CD$11=$H113,"◆",""),IF(AND(CD$11&gt;=$H113,CD$11&lt;=$I113),1,""))</f>
        <v/>
      </c>
      <c r="CE113" s="448" t="str">
        <f aca="false">IF($G113=0,IF(CE$11=$H113,"◆",""),IF(AND(CE$11&gt;=$H113,CE$11&lt;=$I113),1,""))</f>
        <v/>
      </c>
      <c r="CF113" s="448" t="str">
        <f aca="false">IF($G113=0,IF(CF$11=$H113,"◆",""),IF(AND(CF$11&gt;=$H113,CF$11&lt;=$I113),1,""))</f>
        <v/>
      </c>
      <c r="CG113" s="448" t="str">
        <f aca="false">IF($G113=0,IF(CG$11=$H113,"◆",""),IF(AND(CG$11&gt;=$H113,CG$11&lt;=$I113),1,""))</f>
        <v/>
      </c>
      <c r="CH113" s="448" t="str">
        <f aca="false">IF($G113=0,IF(CH$11=$H113,"◆",""),IF(AND(CH$11&gt;=$H113,CH$11&lt;=$I113),1,""))</f>
        <v/>
      </c>
      <c r="CI113" s="448" t="str">
        <f aca="false">IF($G113=0,IF(CI$11=$H113,"◆",""),IF(AND(CI$11&gt;=$H113,CI$11&lt;=$I113),1,""))</f>
        <v/>
      </c>
      <c r="CJ113" s="448" t="str">
        <f aca="false">IF($G113=0,IF(CJ$11=$H113,"◆",""),IF(AND(CJ$11&gt;=$H113,CJ$11&lt;=$I113),1,""))</f>
        <v/>
      </c>
      <c r="CK113" s="448" t="str">
        <f aca="false">IF($G113=0,IF(CK$11=$H113,"◆",""),IF(AND(CK$11&gt;=$H113,CK$11&lt;=$I113),1,""))</f>
        <v/>
      </c>
      <c r="CL113" s="448" t="str">
        <f aca="false">IF($G113=0,IF(CL$11=$H113,"◆",""),IF(AND(CL$11&gt;=$H113,CL$11&lt;=$I113),1,""))</f>
        <v/>
      </c>
      <c r="CM113" s="448" t="str">
        <f aca="false">IF($G113=0,IF(CM$11=$H113,"◆",""),IF(AND(CM$11&gt;=$H113,CM$11&lt;=$I113),1,""))</f>
        <v/>
      </c>
      <c r="CN113" s="448" t="str">
        <f aca="false">IF($G113=0,IF(CN$11=$H113,"◆",""),IF(AND(CN$11&gt;=$H113,CN$11&lt;=$I113),1,""))</f>
        <v/>
      </c>
      <c r="CO113" s="448" t="str">
        <f aca="false">IF($G113=0,IF(CO$11=$H113,"◆",""),IF(AND(CO$11&gt;=$H113,CO$11&lt;=$I113),1,""))</f>
        <v/>
      </c>
      <c r="CP113" s="448" t="str">
        <f aca="false">IF($G113=0,IF(CP$11=$H113,"◆",""),IF(AND(CP$11&gt;=$H113,CP$11&lt;=$I113),1,""))</f>
        <v/>
      </c>
      <c r="CQ113" s="448" t="str">
        <f aca="false">IF($G113=0,IF(CQ$11=$H113,"◆",""),IF(AND(CQ$11&gt;=$H113,CQ$11&lt;=$I113),1,""))</f>
        <v/>
      </c>
      <c r="CR113" s="448" t="str">
        <f aca="false">IF($G113=0,IF(CR$11=$H113,"◆",""),IF(AND(CR$11&gt;=$H113,CR$11&lt;=$I113),1,""))</f>
        <v/>
      </c>
      <c r="CS113" s="448" t="str">
        <f aca="false">IF($G113=0,IF(CS$11=$H113,"◆",""),IF(AND(CS$11&gt;=$H113,CS$11&lt;=$I113),1,""))</f>
        <v/>
      </c>
      <c r="CT113" s="448" t="str">
        <f aca="false">IF($G113=0,IF(CT$11=$H113,"◆",""),IF(AND(CT$11&gt;=$H113,CT$11&lt;=$I113),1,""))</f>
        <v/>
      </c>
      <c r="CU113" s="448" t="str">
        <f aca="false">IF($G113=0,IF(CU$11=$H113,"◆",""),IF(AND(CU$11&gt;=$H113,CU$11&lt;=$I113),1,""))</f>
        <v/>
      </c>
      <c r="CV113" s="448" t="str">
        <f aca="false">IF($G113=0,IF(CV$11=$H113,"◆",""),IF(AND(CV$11&gt;=$H113,CV$11&lt;=$I113),1,""))</f>
        <v/>
      </c>
      <c r="CW113" s="448" t="str">
        <f aca="false">IF($G113=0,IF(CW$11=$H113,"◆",""),IF(AND(CW$11&gt;=$H113,CW$11&lt;=$I113),1,""))</f>
        <v/>
      </c>
      <c r="CX113" s="448" t="str">
        <f aca="false">IF($G113=0,IF(CX$11=$H113,"◆",""),IF(AND(CX$11&gt;=$H113,CX$11&lt;=$I113),1,""))</f>
        <v/>
      </c>
      <c r="CY113" s="448" t="str">
        <f aca="false">IF($G113=0,IF(CY$11=$H113,"◆",""),IF(AND(CY$11&gt;=$H113,CY$11&lt;=$I113),1,""))</f>
        <v/>
      </c>
      <c r="CZ113" s="448" t="str">
        <f aca="false">IF($G113=0,IF(CZ$11=$H113,"◆",""),IF(AND(CZ$11&gt;=$H113,CZ$11&lt;=$I113),1,""))</f>
        <v/>
      </c>
      <c r="DA113" s="448" t="str">
        <f aca="false">IF($G113=0,IF(DA$11=$H113,"◆",""),IF(AND(DA$11&gt;=$H113,DA$11&lt;=$I113),1,""))</f>
        <v/>
      </c>
      <c r="DB113" s="448" t="str">
        <f aca="false">IF($G113=0,IF(DB$11=$H113,"◆",""),IF(AND(DB$11&gt;=$H113,DB$11&lt;=$I113),1,""))</f>
        <v/>
      </c>
      <c r="DC113" s="448" t="str">
        <f aca="false">IF($G113=0,IF(DC$11=$H113,"◆",""),IF(AND(DC$11&gt;=$H113,DC$11&lt;=$I113),1,""))</f>
        <v/>
      </c>
      <c r="DD113" s="448" t="str">
        <f aca="false">IF($G113=0,IF(DD$11=$H113,"◆",""),IF(AND(DD$11&gt;=$H113,DD$11&lt;=$I113),1,""))</f>
        <v/>
      </c>
      <c r="DE113" s="448" t="str">
        <f aca="false">IF($G113=0,IF(DE$11=$H113,"◆",""),IF(AND(DE$11&gt;=$H113,DE$11&lt;=$I113),1,""))</f>
        <v/>
      </c>
      <c r="DF113" s="448" t="str">
        <f aca="false">IF($G113=0,IF(DF$11=$H113,"◆",""),IF(AND(DF$11&gt;=$H113,DF$11&lt;=$I113),1,""))</f>
        <v/>
      </c>
      <c r="DG113" s="448" t="str">
        <f aca="false">IF($G113=0,IF(DG$11=$H113,"◆",""),IF(AND(DG$11&gt;=$H113,DG$11&lt;=$I113),1,""))</f>
        <v/>
      </c>
      <c r="DH113" s="448" t="str">
        <f aca="false">IF($G113=0,IF(DH$11=$H113,"◆",""),IF(AND(DH$11&gt;=$H113,DH$11&lt;=$I113),1,""))</f>
        <v/>
      </c>
      <c r="DI113" s="448" t="str">
        <f aca="false">IF($G113=0,IF(DI$11=$H113,"◆",""),IF(AND(DI$11&gt;=$H113,DI$11&lt;=$I113),1,""))</f>
        <v/>
      </c>
      <c r="DJ113" s="448" t="str">
        <f aca="false">IF($G113=0,IF(DJ$11=$H113,"◆",""),IF(AND(DJ$11&gt;=$H113,DJ$11&lt;=$I113),1,""))</f>
        <v/>
      </c>
      <c r="DK113" s="448" t="str">
        <f aca="false">IF($G113=0,IF(DK$11=$H113,"◆",""),IF(AND(DK$11&gt;=$H113,DK$11&lt;=$I113),1,""))</f>
        <v/>
      </c>
      <c r="DL113" s="448" t="str">
        <f aca="false">IF($G113=0,IF(DL$11=$H113,"◆",""),IF(AND(DL$11&gt;=$H113,DL$11&lt;=$I113),1,""))</f>
        <v/>
      </c>
      <c r="DM113" s="448" t="str">
        <f aca="false">IF($G113=0,IF(DM$11=$H113,"◆",""),IF(AND(DM$11&gt;=$H113,DM$11&lt;=$I113),1,""))</f>
        <v/>
      </c>
      <c r="DN113" s="448" t="str">
        <f aca="false">IF($G113=0,IF(DN$11=$H113,"◆",""),IF(AND(DN$11&gt;=$H113,DN$11&lt;=$I113),1,""))</f>
        <v/>
      </c>
      <c r="DO113" s="448" t="str">
        <f aca="false">IF($G113=0,IF(DO$11=$H113,"◆",""),IF(AND(DO$11&gt;=$H113,DO$11&lt;=$I113),1,""))</f>
        <v/>
      </c>
      <c r="DP113" s="448" t="str">
        <f aca="false">IF($G113=0,IF(DP$11=$H113,"◆",""),IF(AND(DP$11&gt;=$H113,DP$11&lt;=$I113),1,""))</f>
        <v/>
      </c>
      <c r="DQ113" s="448" t="str">
        <f aca="false">IF($G113=0,IF(DQ$11=$H113,"◆",""),IF(AND(DQ$11&gt;=$H113,DQ$11&lt;=$I113),1,""))</f>
        <v/>
      </c>
      <c r="DR113" s="448" t="str">
        <f aca="false">IF($G113=0,IF(DR$11=$H113,"◆",""),IF(AND(DR$11&gt;=$H113,DR$11&lt;=$I113),1,""))</f>
        <v/>
      </c>
      <c r="DS113" s="448" t="str">
        <f aca="false">IF($G113=0,IF(DS$11=$H113,"◆",""),IF(AND(DS$11&gt;=$H113,DS$11&lt;=$I113),1,""))</f>
        <v/>
      </c>
      <c r="DT113" s="448" t="str">
        <f aca="false">IF($G113=0,IF(DT$11=$H113,"◆",""),IF(AND(DT$11&gt;=$H113,DT$11&lt;=$I113),1,""))</f>
        <v/>
      </c>
      <c r="DU113" s="448" t="str">
        <f aca="false">IF($G113=0,IF(DU$11=$H113,"◆",""),IF(AND(DU$11&gt;=$H113,DU$11&lt;=$I113),1,""))</f>
        <v/>
      </c>
      <c r="DV113" s="448" t="str">
        <f aca="false">IF($G113=0,IF(DV$11=$H113,"◆",""),IF(AND(DV$11&gt;=$H113,DV$11&lt;=$I113),1,""))</f>
        <v/>
      </c>
      <c r="DW113" s="448" t="str">
        <f aca="false">IF($G113=0,IF(DW$11=$H113,"◆",""),IF(AND(DW$11&gt;=$H113,DW$11&lt;=$I113),1,""))</f>
        <v/>
      </c>
      <c r="DX113" s="448" t="str">
        <f aca="false">IF($G113=0,IF(DX$11=$H113,"◆",""),IF(AND(DX$11&gt;=$H113,DX$11&lt;=$I113),1,""))</f>
        <v/>
      </c>
      <c r="DY113" s="448" t="str">
        <f aca="false">IF($G113=0,IF(DY$11=$H113,"◆",""),IF(AND(DY$11&gt;=$H113,DY$11&lt;=$I113),1,""))</f>
        <v/>
      </c>
      <c r="DZ113" s="448" t="str">
        <f aca="false">IF($G113=0,IF(DZ$11=$H113,"◆",""),IF(AND(DZ$11&gt;=$H113,DZ$11&lt;=$I113),1,""))</f>
        <v/>
      </c>
      <c r="EA113" s="448" t="str">
        <f aca="false">IF($G113=0,IF(EA$11=$H113,"◆",""),IF(AND(EA$11&gt;=$H113,EA$11&lt;=$I113),1,""))</f>
        <v/>
      </c>
      <c r="EB113" s="448" t="str">
        <f aca="false">IF($G113=0,IF(EB$11=$H113,"◆",""),IF(AND(EB$11&gt;=$H113,EB$11&lt;=$I113),1,""))</f>
        <v/>
      </c>
      <c r="EC113" s="448" t="str">
        <f aca="false">IF($G113=0,IF(EC$11=$H113,"◆",""),IF(AND(EC$11&gt;=$H113,EC$11&lt;=$I113),1,""))</f>
        <v/>
      </c>
      <c r="ED113" s="448" t="str">
        <f aca="false">IF($G113=0,IF(ED$11=$H113,"◆",""),IF(AND(ED$11&gt;=$H113,ED$11&lt;=$I113),1,""))</f>
        <v/>
      </c>
    </row>
    <row r="114" customFormat="false" ht="15" hidden="false" customHeight="true" outlineLevel="0" collapsed="false">
      <c r="A114" s="441" t="s">
        <v>2671</v>
      </c>
      <c r="B114" s="297" t="s">
        <v>2672</v>
      </c>
      <c r="C114" s="442" t="s">
        <v>2518</v>
      </c>
      <c r="D114" s="443" t="s">
        <v>2634</v>
      </c>
      <c r="E114" s="354" t="n">
        <f aca="false">FC_SUPUESTOS!$C$40</f>
        <v>10</v>
      </c>
      <c r="F114" s="352" t="n">
        <v>-7</v>
      </c>
      <c r="G114" s="352" t="n">
        <v>8</v>
      </c>
      <c r="H114" s="367" t="n">
        <f aca="false">MAX(1,ROUND(($E114-1)*$D$5,0)+1+$F114)</f>
        <v>33</v>
      </c>
      <c r="I114" s="367" t="n">
        <f aca="false">MAX($H114,$H114+$G114-1)</f>
        <v>40</v>
      </c>
      <c r="J114" s="444" t="n">
        <f aca="false">$D$4+($H114-1)*7</f>
        <v>46524</v>
      </c>
      <c r="K114" s="444" t="n">
        <f aca="false">$D$4+$I114*7-1</f>
        <v>46579</v>
      </c>
      <c r="L114" s="445" t="n">
        <f aca="false">ROUNDUP($H114/$D$5,0)</f>
        <v>8</v>
      </c>
      <c r="M114" s="446"/>
      <c r="N114" s="447" t="n">
        <v>0</v>
      </c>
      <c r="O114" s="448" t="str">
        <f aca="false">IF($G114=0,IF(O$11=$H114,"◆",""),IF(AND(O$11&gt;=$H114,O$11&lt;=$I114),1,""))</f>
        <v/>
      </c>
      <c r="P114" s="448" t="str">
        <f aca="false">IF($G114=0,IF(P$11=$H114,"◆",""),IF(AND(P$11&gt;=$H114,P$11&lt;=$I114),1,""))</f>
        <v/>
      </c>
      <c r="Q114" s="448" t="str">
        <f aca="false">IF($G114=0,IF(Q$11=$H114,"◆",""),IF(AND(Q$11&gt;=$H114,Q$11&lt;=$I114),1,""))</f>
        <v/>
      </c>
      <c r="R114" s="448" t="str">
        <f aca="false">IF($G114=0,IF(R$11=$H114,"◆",""),IF(AND(R$11&gt;=$H114,R$11&lt;=$I114),1,""))</f>
        <v/>
      </c>
      <c r="S114" s="448" t="str">
        <f aca="false">IF($G114=0,IF(S$11=$H114,"◆",""),IF(AND(S$11&gt;=$H114,S$11&lt;=$I114),1,""))</f>
        <v/>
      </c>
      <c r="T114" s="448" t="str">
        <f aca="false">IF($G114=0,IF(T$11=$H114,"◆",""),IF(AND(T$11&gt;=$H114,T$11&lt;=$I114),1,""))</f>
        <v/>
      </c>
      <c r="U114" s="448" t="str">
        <f aca="false">IF($G114=0,IF(U$11=$H114,"◆",""),IF(AND(U$11&gt;=$H114,U$11&lt;=$I114),1,""))</f>
        <v/>
      </c>
      <c r="V114" s="448" t="str">
        <f aca="false">IF($G114=0,IF(V$11=$H114,"◆",""),IF(AND(V$11&gt;=$H114,V$11&lt;=$I114),1,""))</f>
        <v/>
      </c>
      <c r="W114" s="448" t="str">
        <f aca="false">IF($G114=0,IF(W$11=$H114,"◆",""),IF(AND(W$11&gt;=$H114,W$11&lt;=$I114),1,""))</f>
        <v/>
      </c>
      <c r="X114" s="448" t="str">
        <f aca="false">IF($G114=0,IF(X$11=$H114,"◆",""),IF(AND(X$11&gt;=$H114,X$11&lt;=$I114),1,""))</f>
        <v/>
      </c>
      <c r="Y114" s="448" t="str">
        <f aca="false">IF($G114=0,IF(Y$11=$H114,"◆",""),IF(AND(Y$11&gt;=$H114,Y$11&lt;=$I114),1,""))</f>
        <v/>
      </c>
      <c r="Z114" s="448" t="str">
        <f aca="false">IF($G114=0,IF(Z$11=$H114,"◆",""),IF(AND(Z$11&gt;=$H114,Z$11&lt;=$I114),1,""))</f>
        <v/>
      </c>
      <c r="AA114" s="448" t="str">
        <f aca="false">IF($G114=0,IF(AA$11=$H114,"◆",""),IF(AND(AA$11&gt;=$H114,AA$11&lt;=$I114),1,""))</f>
        <v/>
      </c>
      <c r="AB114" s="448" t="str">
        <f aca="false">IF($G114=0,IF(AB$11=$H114,"◆",""),IF(AND(AB$11&gt;=$H114,AB$11&lt;=$I114),1,""))</f>
        <v/>
      </c>
      <c r="AC114" s="448" t="str">
        <f aca="false">IF($G114=0,IF(AC$11=$H114,"◆",""),IF(AND(AC$11&gt;=$H114,AC$11&lt;=$I114),1,""))</f>
        <v/>
      </c>
      <c r="AD114" s="448" t="str">
        <f aca="false">IF($G114=0,IF(AD$11=$H114,"◆",""),IF(AND(AD$11&gt;=$H114,AD$11&lt;=$I114),1,""))</f>
        <v/>
      </c>
      <c r="AE114" s="448" t="str">
        <f aca="false">IF($G114=0,IF(AE$11=$H114,"◆",""),IF(AND(AE$11&gt;=$H114,AE$11&lt;=$I114),1,""))</f>
        <v/>
      </c>
      <c r="AF114" s="448" t="str">
        <f aca="false">IF($G114=0,IF(AF$11=$H114,"◆",""),IF(AND(AF$11&gt;=$H114,AF$11&lt;=$I114),1,""))</f>
        <v/>
      </c>
      <c r="AG114" s="448" t="str">
        <f aca="false">IF($G114=0,IF(AG$11=$H114,"◆",""),IF(AND(AG$11&gt;=$H114,AG$11&lt;=$I114),1,""))</f>
        <v/>
      </c>
      <c r="AH114" s="448" t="str">
        <f aca="false">IF($G114=0,IF(AH$11=$H114,"◆",""),IF(AND(AH$11&gt;=$H114,AH$11&lt;=$I114),1,""))</f>
        <v/>
      </c>
      <c r="AI114" s="448" t="str">
        <f aca="false">IF($G114=0,IF(AI$11=$H114,"◆",""),IF(AND(AI$11&gt;=$H114,AI$11&lt;=$I114),1,""))</f>
        <v/>
      </c>
      <c r="AJ114" s="448" t="str">
        <f aca="false">IF($G114=0,IF(AJ$11=$H114,"◆",""),IF(AND(AJ$11&gt;=$H114,AJ$11&lt;=$I114),1,""))</f>
        <v/>
      </c>
      <c r="AK114" s="448" t="str">
        <f aca="false">IF($G114=0,IF(AK$11=$H114,"◆",""),IF(AND(AK$11&gt;=$H114,AK$11&lt;=$I114),1,""))</f>
        <v/>
      </c>
      <c r="AL114" s="448" t="str">
        <f aca="false">IF($G114=0,IF(AL$11=$H114,"◆",""),IF(AND(AL$11&gt;=$H114,AL$11&lt;=$I114),1,""))</f>
        <v/>
      </c>
      <c r="AM114" s="448" t="str">
        <f aca="false">IF($G114=0,IF(AM$11=$H114,"◆",""),IF(AND(AM$11&gt;=$H114,AM$11&lt;=$I114),1,""))</f>
        <v/>
      </c>
      <c r="AN114" s="448" t="str">
        <f aca="false">IF($G114=0,IF(AN$11=$H114,"◆",""),IF(AND(AN$11&gt;=$H114,AN$11&lt;=$I114),1,""))</f>
        <v/>
      </c>
      <c r="AO114" s="448" t="str">
        <f aca="false">IF($G114=0,IF(AO$11=$H114,"◆",""),IF(AND(AO$11&gt;=$H114,AO$11&lt;=$I114),1,""))</f>
        <v/>
      </c>
      <c r="AP114" s="448" t="str">
        <f aca="false">IF($G114=0,IF(AP$11=$H114,"◆",""),IF(AND(AP$11&gt;=$H114,AP$11&lt;=$I114),1,""))</f>
        <v/>
      </c>
      <c r="AQ114" s="448" t="str">
        <f aca="false">IF($G114=0,IF(AQ$11=$H114,"◆",""),IF(AND(AQ$11&gt;=$H114,AQ$11&lt;=$I114),1,""))</f>
        <v/>
      </c>
      <c r="AR114" s="448" t="str">
        <f aca="false">IF($G114=0,IF(AR$11=$H114,"◆",""),IF(AND(AR$11&gt;=$H114,AR$11&lt;=$I114),1,""))</f>
        <v/>
      </c>
      <c r="AS114" s="448" t="str">
        <f aca="false">IF($G114=0,IF(AS$11=$H114,"◆",""),IF(AND(AS$11&gt;=$H114,AS$11&lt;=$I114),1,""))</f>
        <v/>
      </c>
      <c r="AT114" s="448" t="str">
        <f aca="false">IF($G114=0,IF(AT$11=$H114,"◆",""),IF(AND(AT$11&gt;=$H114,AT$11&lt;=$I114),1,""))</f>
        <v/>
      </c>
      <c r="AU114" s="448" t="n">
        <f aca="false">IF($G114=0,IF(AU$11=$H114,"◆",""),IF(AND(AU$11&gt;=$H114,AU$11&lt;=$I114),1,""))</f>
        <v>1</v>
      </c>
      <c r="AV114" s="448" t="n">
        <f aca="false">IF($G114=0,IF(AV$11=$H114,"◆",""),IF(AND(AV$11&gt;=$H114,AV$11&lt;=$I114),1,""))</f>
        <v>1</v>
      </c>
      <c r="AW114" s="448" t="n">
        <f aca="false">IF($G114=0,IF(AW$11=$H114,"◆",""),IF(AND(AW$11&gt;=$H114,AW$11&lt;=$I114),1,""))</f>
        <v>1</v>
      </c>
      <c r="AX114" s="448" t="n">
        <f aca="false">IF($G114=0,IF(AX$11=$H114,"◆",""),IF(AND(AX$11&gt;=$H114,AX$11&lt;=$I114),1,""))</f>
        <v>1</v>
      </c>
      <c r="AY114" s="448" t="n">
        <f aca="false">IF($G114=0,IF(AY$11=$H114,"◆",""),IF(AND(AY$11&gt;=$H114,AY$11&lt;=$I114),1,""))</f>
        <v>1</v>
      </c>
      <c r="AZ114" s="448" t="n">
        <f aca="false">IF($G114=0,IF(AZ$11=$H114,"◆",""),IF(AND(AZ$11&gt;=$H114,AZ$11&lt;=$I114),1,""))</f>
        <v>1</v>
      </c>
      <c r="BA114" s="448" t="n">
        <f aca="false">IF($G114=0,IF(BA$11=$H114,"◆",""),IF(AND(BA$11&gt;=$H114,BA$11&lt;=$I114),1,""))</f>
        <v>1</v>
      </c>
      <c r="BB114" s="448" t="n">
        <f aca="false">IF($G114=0,IF(BB$11=$H114,"◆",""),IF(AND(BB$11&gt;=$H114,BB$11&lt;=$I114),1,""))</f>
        <v>1</v>
      </c>
      <c r="BC114" s="448" t="str">
        <f aca="false">IF($G114=0,IF(BC$11=$H114,"◆",""),IF(AND(BC$11&gt;=$H114,BC$11&lt;=$I114),1,""))</f>
        <v/>
      </c>
      <c r="BD114" s="448" t="str">
        <f aca="false">IF($G114=0,IF(BD$11=$H114,"◆",""),IF(AND(BD$11&gt;=$H114,BD$11&lt;=$I114),1,""))</f>
        <v/>
      </c>
      <c r="BE114" s="448" t="str">
        <f aca="false">IF($G114=0,IF(BE$11=$H114,"◆",""),IF(AND(BE$11&gt;=$H114,BE$11&lt;=$I114),1,""))</f>
        <v/>
      </c>
      <c r="BF114" s="448" t="str">
        <f aca="false">IF($G114=0,IF(BF$11=$H114,"◆",""),IF(AND(BF$11&gt;=$H114,BF$11&lt;=$I114),1,""))</f>
        <v/>
      </c>
      <c r="BG114" s="448" t="str">
        <f aca="false">IF($G114=0,IF(BG$11=$H114,"◆",""),IF(AND(BG$11&gt;=$H114,BG$11&lt;=$I114),1,""))</f>
        <v/>
      </c>
      <c r="BH114" s="448" t="str">
        <f aca="false">IF($G114=0,IF(BH$11=$H114,"◆",""),IF(AND(BH$11&gt;=$H114,BH$11&lt;=$I114),1,""))</f>
        <v/>
      </c>
      <c r="BI114" s="448" t="str">
        <f aca="false">IF($G114=0,IF(BI$11=$H114,"◆",""),IF(AND(BI$11&gt;=$H114,BI$11&lt;=$I114),1,""))</f>
        <v/>
      </c>
      <c r="BJ114" s="448" t="str">
        <f aca="false">IF($G114=0,IF(BJ$11=$H114,"◆",""),IF(AND(BJ$11&gt;=$H114,BJ$11&lt;=$I114),1,""))</f>
        <v/>
      </c>
      <c r="BK114" s="448" t="str">
        <f aca="false">IF($G114=0,IF(BK$11=$H114,"◆",""),IF(AND(BK$11&gt;=$H114,BK$11&lt;=$I114),1,""))</f>
        <v/>
      </c>
      <c r="BL114" s="448" t="str">
        <f aca="false">IF($G114=0,IF(BL$11=$H114,"◆",""),IF(AND(BL$11&gt;=$H114,BL$11&lt;=$I114),1,""))</f>
        <v/>
      </c>
      <c r="BM114" s="448" t="str">
        <f aca="false">IF($G114=0,IF(BM$11=$H114,"◆",""),IF(AND(BM$11&gt;=$H114,BM$11&lt;=$I114),1,""))</f>
        <v/>
      </c>
      <c r="BN114" s="448" t="str">
        <f aca="false">IF($G114=0,IF(BN$11=$H114,"◆",""),IF(AND(BN$11&gt;=$H114,BN$11&lt;=$I114),1,""))</f>
        <v/>
      </c>
      <c r="BO114" s="448" t="str">
        <f aca="false">IF($G114=0,IF(BO$11=$H114,"◆",""),IF(AND(BO$11&gt;=$H114,BO$11&lt;=$I114),1,""))</f>
        <v/>
      </c>
      <c r="BP114" s="448" t="str">
        <f aca="false">IF($G114=0,IF(BP$11=$H114,"◆",""),IF(AND(BP$11&gt;=$H114,BP$11&lt;=$I114),1,""))</f>
        <v/>
      </c>
      <c r="BQ114" s="448" t="str">
        <f aca="false">IF($G114=0,IF(BQ$11=$H114,"◆",""),IF(AND(BQ$11&gt;=$H114,BQ$11&lt;=$I114),1,""))</f>
        <v/>
      </c>
      <c r="BR114" s="448" t="str">
        <f aca="false">IF($G114=0,IF(BR$11=$H114,"◆",""),IF(AND(BR$11&gt;=$H114,BR$11&lt;=$I114),1,""))</f>
        <v/>
      </c>
      <c r="BS114" s="448" t="str">
        <f aca="false">IF($G114=0,IF(BS$11=$H114,"◆",""),IF(AND(BS$11&gt;=$H114,BS$11&lt;=$I114),1,""))</f>
        <v/>
      </c>
      <c r="BT114" s="448" t="str">
        <f aca="false">IF($G114=0,IF(BT$11=$H114,"◆",""),IF(AND(BT$11&gt;=$H114,BT$11&lt;=$I114),1,""))</f>
        <v/>
      </c>
      <c r="BU114" s="448" t="str">
        <f aca="false">IF($G114=0,IF(BU$11=$H114,"◆",""),IF(AND(BU$11&gt;=$H114,BU$11&lt;=$I114),1,""))</f>
        <v/>
      </c>
      <c r="BV114" s="448" t="str">
        <f aca="false">IF($G114=0,IF(BV$11=$H114,"◆",""),IF(AND(BV$11&gt;=$H114,BV$11&lt;=$I114),1,""))</f>
        <v/>
      </c>
      <c r="BW114" s="448" t="str">
        <f aca="false">IF($G114=0,IF(BW$11=$H114,"◆",""),IF(AND(BW$11&gt;=$H114,BW$11&lt;=$I114),1,""))</f>
        <v/>
      </c>
      <c r="BX114" s="448" t="str">
        <f aca="false">IF($G114=0,IF(BX$11=$H114,"◆",""),IF(AND(BX$11&gt;=$H114,BX$11&lt;=$I114),1,""))</f>
        <v/>
      </c>
      <c r="BY114" s="448" t="str">
        <f aca="false">IF($G114=0,IF(BY$11=$H114,"◆",""),IF(AND(BY$11&gt;=$H114,BY$11&lt;=$I114),1,""))</f>
        <v/>
      </c>
      <c r="BZ114" s="448" t="str">
        <f aca="false">IF($G114=0,IF(BZ$11=$H114,"◆",""),IF(AND(BZ$11&gt;=$H114,BZ$11&lt;=$I114),1,""))</f>
        <v/>
      </c>
      <c r="CA114" s="448" t="str">
        <f aca="false">IF($G114=0,IF(CA$11=$H114,"◆",""),IF(AND(CA$11&gt;=$H114,CA$11&lt;=$I114),1,""))</f>
        <v/>
      </c>
      <c r="CB114" s="448" t="str">
        <f aca="false">IF($G114=0,IF(CB$11=$H114,"◆",""),IF(AND(CB$11&gt;=$H114,CB$11&lt;=$I114),1,""))</f>
        <v/>
      </c>
      <c r="CC114" s="448" t="str">
        <f aca="false">IF($G114=0,IF(CC$11=$H114,"◆",""),IF(AND(CC$11&gt;=$H114,CC$11&lt;=$I114),1,""))</f>
        <v/>
      </c>
      <c r="CD114" s="448" t="str">
        <f aca="false">IF($G114=0,IF(CD$11=$H114,"◆",""),IF(AND(CD$11&gt;=$H114,CD$11&lt;=$I114),1,""))</f>
        <v/>
      </c>
      <c r="CE114" s="448" t="str">
        <f aca="false">IF($G114=0,IF(CE$11=$H114,"◆",""),IF(AND(CE$11&gt;=$H114,CE$11&lt;=$I114),1,""))</f>
        <v/>
      </c>
      <c r="CF114" s="448" t="str">
        <f aca="false">IF($G114=0,IF(CF$11=$H114,"◆",""),IF(AND(CF$11&gt;=$H114,CF$11&lt;=$I114),1,""))</f>
        <v/>
      </c>
      <c r="CG114" s="448" t="str">
        <f aca="false">IF($G114=0,IF(CG$11=$H114,"◆",""),IF(AND(CG$11&gt;=$H114,CG$11&lt;=$I114),1,""))</f>
        <v/>
      </c>
      <c r="CH114" s="448" t="str">
        <f aca="false">IF($G114=0,IF(CH$11=$H114,"◆",""),IF(AND(CH$11&gt;=$H114,CH$11&lt;=$I114),1,""))</f>
        <v/>
      </c>
      <c r="CI114" s="448" t="str">
        <f aca="false">IF($G114=0,IF(CI$11=$H114,"◆",""),IF(AND(CI$11&gt;=$H114,CI$11&lt;=$I114),1,""))</f>
        <v/>
      </c>
      <c r="CJ114" s="448" t="str">
        <f aca="false">IF($G114=0,IF(CJ$11=$H114,"◆",""),IF(AND(CJ$11&gt;=$H114,CJ$11&lt;=$I114),1,""))</f>
        <v/>
      </c>
      <c r="CK114" s="448" t="str">
        <f aca="false">IF($G114=0,IF(CK$11=$H114,"◆",""),IF(AND(CK$11&gt;=$H114,CK$11&lt;=$I114),1,""))</f>
        <v/>
      </c>
      <c r="CL114" s="448" t="str">
        <f aca="false">IF($G114=0,IF(CL$11=$H114,"◆",""),IF(AND(CL$11&gt;=$H114,CL$11&lt;=$I114),1,""))</f>
        <v/>
      </c>
      <c r="CM114" s="448" t="str">
        <f aca="false">IF($G114=0,IF(CM$11=$H114,"◆",""),IF(AND(CM$11&gt;=$H114,CM$11&lt;=$I114),1,""))</f>
        <v/>
      </c>
      <c r="CN114" s="448" t="str">
        <f aca="false">IF($G114=0,IF(CN$11=$H114,"◆",""),IF(AND(CN$11&gt;=$H114,CN$11&lt;=$I114),1,""))</f>
        <v/>
      </c>
      <c r="CO114" s="448" t="str">
        <f aca="false">IF($G114=0,IF(CO$11=$H114,"◆",""),IF(AND(CO$11&gt;=$H114,CO$11&lt;=$I114),1,""))</f>
        <v/>
      </c>
      <c r="CP114" s="448" t="str">
        <f aca="false">IF($G114=0,IF(CP$11=$H114,"◆",""),IF(AND(CP$11&gt;=$H114,CP$11&lt;=$I114),1,""))</f>
        <v/>
      </c>
      <c r="CQ114" s="448" t="str">
        <f aca="false">IF($G114=0,IF(CQ$11=$H114,"◆",""),IF(AND(CQ$11&gt;=$H114,CQ$11&lt;=$I114),1,""))</f>
        <v/>
      </c>
      <c r="CR114" s="448" t="str">
        <f aca="false">IF($G114=0,IF(CR$11=$H114,"◆",""),IF(AND(CR$11&gt;=$H114,CR$11&lt;=$I114),1,""))</f>
        <v/>
      </c>
      <c r="CS114" s="448" t="str">
        <f aca="false">IF($G114=0,IF(CS$11=$H114,"◆",""),IF(AND(CS$11&gt;=$H114,CS$11&lt;=$I114),1,""))</f>
        <v/>
      </c>
      <c r="CT114" s="448" t="str">
        <f aca="false">IF($G114=0,IF(CT$11=$H114,"◆",""),IF(AND(CT$11&gt;=$H114,CT$11&lt;=$I114),1,""))</f>
        <v/>
      </c>
      <c r="CU114" s="448" t="str">
        <f aca="false">IF($G114=0,IF(CU$11=$H114,"◆",""),IF(AND(CU$11&gt;=$H114,CU$11&lt;=$I114),1,""))</f>
        <v/>
      </c>
      <c r="CV114" s="448" t="str">
        <f aca="false">IF($G114=0,IF(CV$11=$H114,"◆",""),IF(AND(CV$11&gt;=$H114,CV$11&lt;=$I114),1,""))</f>
        <v/>
      </c>
      <c r="CW114" s="448" t="str">
        <f aca="false">IF($G114=0,IF(CW$11=$H114,"◆",""),IF(AND(CW$11&gt;=$H114,CW$11&lt;=$I114),1,""))</f>
        <v/>
      </c>
      <c r="CX114" s="448" t="str">
        <f aca="false">IF($G114=0,IF(CX$11=$H114,"◆",""),IF(AND(CX$11&gt;=$H114,CX$11&lt;=$I114),1,""))</f>
        <v/>
      </c>
      <c r="CY114" s="448" t="str">
        <f aca="false">IF($G114=0,IF(CY$11=$H114,"◆",""),IF(AND(CY$11&gt;=$H114,CY$11&lt;=$I114),1,""))</f>
        <v/>
      </c>
      <c r="CZ114" s="448" t="str">
        <f aca="false">IF($G114=0,IF(CZ$11=$H114,"◆",""),IF(AND(CZ$11&gt;=$H114,CZ$11&lt;=$I114),1,""))</f>
        <v/>
      </c>
      <c r="DA114" s="448" t="str">
        <f aca="false">IF($G114=0,IF(DA$11=$H114,"◆",""),IF(AND(DA$11&gt;=$H114,DA$11&lt;=$I114),1,""))</f>
        <v/>
      </c>
      <c r="DB114" s="448" t="str">
        <f aca="false">IF($G114=0,IF(DB$11=$H114,"◆",""),IF(AND(DB$11&gt;=$H114,DB$11&lt;=$I114),1,""))</f>
        <v/>
      </c>
      <c r="DC114" s="448" t="str">
        <f aca="false">IF($G114=0,IF(DC$11=$H114,"◆",""),IF(AND(DC$11&gt;=$H114,DC$11&lt;=$I114),1,""))</f>
        <v/>
      </c>
      <c r="DD114" s="448" t="str">
        <f aca="false">IF($G114=0,IF(DD$11=$H114,"◆",""),IF(AND(DD$11&gt;=$H114,DD$11&lt;=$I114),1,""))</f>
        <v/>
      </c>
      <c r="DE114" s="448" t="str">
        <f aca="false">IF($G114=0,IF(DE$11=$H114,"◆",""),IF(AND(DE$11&gt;=$H114,DE$11&lt;=$I114),1,""))</f>
        <v/>
      </c>
      <c r="DF114" s="448" t="str">
        <f aca="false">IF($G114=0,IF(DF$11=$H114,"◆",""),IF(AND(DF$11&gt;=$H114,DF$11&lt;=$I114),1,""))</f>
        <v/>
      </c>
      <c r="DG114" s="448" t="str">
        <f aca="false">IF($G114=0,IF(DG$11=$H114,"◆",""),IF(AND(DG$11&gt;=$H114,DG$11&lt;=$I114),1,""))</f>
        <v/>
      </c>
      <c r="DH114" s="448" t="str">
        <f aca="false">IF($G114=0,IF(DH$11=$H114,"◆",""),IF(AND(DH$11&gt;=$H114,DH$11&lt;=$I114),1,""))</f>
        <v/>
      </c>
      <c r="DI114" s="448" t="str">
        <f aca="false">IF($G114=0,IF(DI$11=$H114,"◆",""),IF(AND(DI$11&gt;=$H114,DI$11&lt;=$I114),1,""))</f>
        <v/>
      </c>
      <c r="DJ114" s="448" t="str">
        <f aca="false">IF($G114=0,IF(DJ$11=$H114,"◆",""),IF(AND(DJ$11&gt;=$H114,DJ$11&lt;=$I114),1,""))</f>
        <v/>
      </c>
      <c r="DK114" s="448" t="str">
        <f aca="false">IF($G114=0,IF(DK$11=$H114,"◆",""),IF(AND(DK$11&gt;=$H114,DK$11&lt;=$I114),1,""))</f>
        <v/>
      </c>
      <c r="DL114" s="448" t="str">
        <f aca="false">IF($G114=0,IF(DL$11=$H114,"◆",""),IF(AND(DL$11&gt;=$H114,DL$11&lt;=$I114),1,""))</f>
        <v/>
      </c>
      <c r="DM114" s="448" t="str">
        <f aca="false">IF($G114=0,IF(DM$11=$H114,"◆",""),IF(AND(DM$11&gt;=$H114,DM$11&lt;=$I114),1,""))</f>
        <v/>
      </c>
      <c r="DN114" s="448" t="str">
        <f aca="false">IF($G114=0,IF(DN$11=$H114,"◆",""),IF(AND(DN$11&gt;=$H114,DN$11&lt;=$I114),1,""))</f>
        <v/>
      </c>
      <c r="DO114" s="448" t="str">
        <f aca="false">IF($G114=0,IF(DO$11=$H114,"◆",""),IF(AND(DO$11&gt;=$H114,DO$11&lt;=$I114),1,""))</f>
        <v/>
      </c>
      <c r="DP114" s="448" t="str">
        <f aca="false">IF($G114=0,IF(DP$11=$H114,"◆",""),IF(AND(DP$11&gt;=$H114,DP$11&lt;=$I114),1,""))</f>
        <v/>
      </c>
      <c r="DQ114" s="448" t="str">
        <f aca="false">IF($G114=0,IF(DQ$11=$H114,"◆",""),IF(AND(DQ$11&gt;=$H114,DQ$11&lt;=$I114),1,""))</f>
        <v/>
      </c>
      <c r="DR114" s="448" t="str">
        <f aca="false">IF($G114=0,IF(DR$11=$H114,"◆",""),IF(AND(DR$11&gt;=$H114,DR$11&lt;=$I114),1,""))</f>
        <v/>
      </c>
      <c r="DS114" s="448" t="str">
        <f aca="false">IF($G114=0,IF(DS$11=$H114,"◆",""),IF(AND(DS$11&gt;=$H114,DS$11&lt;=$I114),1,""))</f>
        <v/>
      </c>
      <c r="DT114" s="448" t="str">
        <f aca="false">IF($G114=0,IF(DT$11=$H114,"◆",""),IF(AND(DT$11&gt;=$H114,DT$11&lt;=$I114),1,""))</f>
        <v/>
      </c>
      <c r="DU114" s="448" t="str">
        <f aca="false">IF($G114=0,IF(DU$11=$H114,"◆",""),IF(AND(DU$11&gt;=$H114,DU$11&lt;=$I114),1,""))</f>
        <v/>
      </c>
      <c r="DV114" s="448" t="str">
        <f aca="false">IF($G114=0,IF(DV$11=$H114,"◆",""),IF(AND(DV$11&gt;=$H114,DV$11&lt;=$I114),1,""))</f>
        <v/>
      </c>
      <c r="DW114" s="448" t="str">
        <f aca="false">IF($G114=0,IF(DW$11=$H114,"◆",""),IF(AND(DW$11&gt;=$H114,DW$11&lt;=$I114),1,""))</f>
        <v/>
      </c>
      <c r="DX114" s="448" t="str">
        <f aca="false">IF($G114=0,IF(DX$11=$H114,"◆",""),IF(AND(DX$11&gt;=$H114,DX$11&lt;=$I114),1,""))</f>
        <v/>
      </c>
      <c r="DY114" s="448" t="str">
        <f aca="false">IF($G114=0,IF(DY$11=$H114,"◆",""),IF(AND(DY$11&gt;=$H114,DY$11&lt;=$I114),1,""))</f>
        <v/>
      </c>
      <c r="DZ114" s="448" t="str">
        <f aca="false">IF($G114=0,IF(DZ$11=$H114,"◆",""),IF(AND(DZ$11&gt;=$H114,DZ$11&lt;=$I114),1,""))</f>
        <v/>
      </c>
      <c r="EA114" s="448" t="str">
        <f aca="false">IF($G114=0,IF(EA$11=$H114,"◆",""),IF(AND(EA$11&gt;=$H114,EA$11&lt;=$I114),1,""))</f>
        <v/>
      </c>
      <c r="EB114" s="448" t="str">
        <f aca="false">IF($G114=0,IF(EB$11=$H114,"◆",""),IF(AND(EB$11&gt;=$H114,EB$11&lt;=$I114),1,""))</f>
        <v/>
      </c>
      <c r="EC114" s="448" t="str">
        <f aca="false">IF($G114=0,IF(EC$11=$H114,"◆",""),IF(AND(EC$11&gt;=$H114,EC$11&lt;=$I114),1,""))</f>
        <v/>
      </c>
      <c r="ED114" s="448" t="str">
        <f aca="false">IF($G114=0,IF(ED$11=$H114,"◆",""),IF(AND(ED$11&gt;=$H114,ED$11&lt;=$I114),1,""))</f>
        <v/>
      </c>
    </row>
    <row r="115" customFormat="false" ht="15" hidden="false" customHeight="true" outlineLevel="0" collapsed="false">
      <c r="A115" s="441" t="s">
        <v>2673</v>
      </c>
      <c r="B115" s="297" t="s">
        <v>2674</v>
      </c>
      <c r="C115" s="442" t="s">
        <v>2480</v>
      </c>
      <c r="D115" s="443" t="s">
        <v>2634</v>
      </c>
      <c r="E115" s="354" t="n">
        <f aca="false">FC_SUPUESTOS!$C$40</f>
        <v>10</v>
      </c>
      <c r="F115" s="352" t="n">
        <v>-7</v>
      </c>
      <c r="G115" s="352" t="n">
        <v>6</v>
      </c>
      <c r="H115" s="367" t="n">
        <f aca="false">MAX(1,ROUND(($E115-1)*$D$5,0)+1+$F115)</f>
        <v>33</v>
      </c>
      <c r="I115" s="367" t="n">
        <f aca="false">MAX($H115,$H115+$G115-1)</f>
        <v>38</v>
      </c>
      <c r="J115" s="444" t="n">
        <f aca="false">$D$4+($H115-1)*7</f>
        <v>46524</v>
      </c>
      <c r="K115" s="444" t="n">
        <f aca="false">$D$4+$I115*7-1</f>
        <v>46565</v>
      </c>
      <c r="L115" s="445" t="n">
        <f aca="false">ROUNDUP($H115/$D$5,0)</f>
        <v>8</v>
      </c>
      <c r="M115" s="446" t="s">
        <v>2453</v>
      </c>
      <c r="N115" s="447" t="n">
        <v>0</v>
      </c>
      <c r="O115" s="448" t="str">
        <f aca="false">IF($G115=0,IF(O$11=$H115,"◆",""),IF(AND(O$11&gt;=$H115,O$11&lt;=$I115),1,""))</f>
        <v/>
      </c>
      <c r="P115" s="448" t="str">
        <f aca="false">IF($G115=0,IF(P$11=$H115,"◆",""),IF(AND(P$11&gt;=$H115,P$11&lt;=$I115),1,""))</f>
        <v/>
      </c>
      <c r="Q115" s="448" t="str">
        <f aca="false">IF($G115=0,IF(Q$11=$H115,"◆",""),IF(AND(Q$11&gt;=$H115,Q$11&lt;=$I115),1,""))</f>
        <v/>
      </c>
      <c r="R115" s="448" t="str">
        <f aca="false">IF($G115=0,IF(R$11=$H115,"◆",""),IF(AND(R$11&gt;=$H115,R$11&lt;=$I115),1,""))</f>
        <v/>
      </c>
      <c r="S115" s="448" t="str">
        <f aca="false">IF($G115=0,IF(S$11=$H115,"◆",""),IF(AND(S$11&gt;=$H115,S$11&lt;=$I115),1,""))</f>
        <v/>
      </c>
      <c r="T115" s="448" t="str">
        <f aca="false">IF($G115=0,IF(T$11=$H115,"◆",""),IF(AND(T$11&gt;=$H115,T$11&lt;=$I115),1,""))</f>
        <v/>
      </c>
      <c r="U115" s="448" t="str">
        <f aca="false">IF($G115=0,IF(U$11=$H115,"◆",""),IF(AND(U$11&gt;=$H115,U$11&lt;=$I115),1,""))</f>
        <v/>
      </c>
      <c r="V115" s="448" t="str">
        <f aca="false">IF($G115=0,IF(V$11=$H115,"◆",""),IF(AND(V$11&gt;=$H115,V$11&lt;=$I115),1,""))</f>
        <v/>
      </c>
      <c r="W115" s="448" t="str">
        <f aca="false">IF($G115=0,IF(W$11=$H115,"◆",""),IF(AND(W$11&gt;=$H115,W$11&lt;=$I115),1,""))</f>
        <v/>
      </c>
      <c r="X115" s="448" t="str">
        <f aca="false">IF($G115=0,IF(X$11=$H115,"◆",""),IF(AND(X$11&gt;=$H115,X$11&lt;=$I115),1,""))</f>
        <v/>
      </c>
      <c r="Y115" s="448" t="str">
        <f aca="false">IF($G115=0,IF(Y$11=$H115,"◆",""),IF(AND(Y$11&gt;=$H115,Y$11&lt;=$I115),1,""))</f>
        <v/>
      </c>
      <c r="Z115" s="448" t="str">
        <f aca="false">IF($G115=0,IF(Z$11=$H115,"◆",""),IF(AND(Z$11&gt;=$H115,Z$11&lt;=$I115),1,""))</f>
        <v/>
      </c>
      <c r="AA115" s="448" t="str">
        <f aca="false">IF($G115=0,IF(AA$11=$H115,"◆",""),IF(AND(AA$11&gt;=$H115,AA$11&lt;=$I115),1,""))</f>
        <v/>
      </c>
      <c r="AB115" s="448" t="str">
        <f aca="false">IF($G115=0,IF(AB$11=$H115,"◆",""),IF(AND(AB$11&gt;=$H115,AB$11&lt;=$I115),1,""))</f>
        <v/>
      </c>
      <c r="AC115" s="448" t="str">
        <f aca="false">IF($G115=0,IF(AC$11=$H115,"◆",""),IF(AND(AC$11&gt;=$H115,AC$11&lt;=$I115),1,""))</f>
        <v/>
      </c>
      <c r="AD115" s="448" t="str">
        <f aca="false">IF($G115=0,IF(AD$11=$H115,"◆",""),IF(AND(AD$11&gt;=$H115,AD$11&lt;=$I115),1,""))</f>
        <v/>
      </c>
      <c r="AE115" s="448" t="str">
        <f aca="false">IF($G115=0,IF(AE$11=$H115,"◆",""),IF(AND(AE$11&gt;=$H115,AE$11&lt;=$I115),1,""))</f>
        <v/>
      </c>
      <c r="AF115" s="448" t="str">
        <f aca="false">IF($G115=0,IF(AF$11=$H115,"◆",""),IF(AND(AF$11&gt;=$H115,AF$11&lt;=$I115),1,""))</f>
        <v/>
      </c>
      <c r="AG115" s="448" t="str">
        <f aca="false">IF($G115=0,IF(AG$11=$H115,"◆",""),IF(AND(AG$11&gt;=$H115,AG$11&lt;=$I115),1,""))</f>
        <v/>
      </c>
      <c r="AH115" s="448" t="str">
        <f aca="false">IF($G115=0,IF(AH$11=$H115,"◆",""),IF(AND(AH$11&gt;=$H115,AH$11&lt;=$I115),1,""))</f>
        <v/>
      </c>
      <c r="AI115" s="448" t="str">
        <f aca="false">IF($G115=0,IF(AI$11=$H115,"◆",""),IF(AND(AI$11&gt;=$H115,AI$11&lt;=$I115),1,""))</f>
        <v/>
      </c>
      <c r="AJ115" s="448" t="str">
        <f aca="false">IF($G115=0,IF(AJ$11=$H115,"◆",""),IF(AND(AJ$11&gt;=$H115,AJ$11&lt;=$I115),1,""))</f>
        <v/>
      </c>
      <c r="AK115" s="448" t="str">
        <f aca="false">IF($G115=0,IF(AK$11=$H115,"◆",""),IF(AND(AK$11&gt;=$H115,AK$11&lt;=$I115),1,""))</f>
        <v/>
      </c>
      <c r="AL115" s="448" t="str">
        <f aca="false">IF($G115=0,IF(AL$11=$H115,"◆",""),IF(AND(AL$11&gt;=$H115,AL$11&lt;=$I115),1,""))</f>
        <v/>
      </c>
      <c r="AM115" s="448" t="str">
        <f aca="false">IF($G115=0,IF(AM$11=$H115,"◆",""),IF(AND(AM$11&gt;=$H115,AM$11&lt;=$I115),1,""))</f>
        <v/>
      </c>
      <c r="AN115" s="448" t="str">
        <f aca="false">IF($G115=0,IF(AN$11=$H115,"◆",""),IF(AND(AN$11&gt;=$H115,AN$11&lt;=$I115),1,""))</f>
        <v/>
      </c>
      <c r="AO115" s="448" t="str">
        <f aca="false">IF($G115=0,IF(AO$11=$H115,"◆",""),IF(AND(AO$11&gt;=$H115,AO$11&lt;=$I115),1,""))</f>
        <v/>
      </c>
      <c r="AP115" s="448" t="str">
        <f aca="false">IF($G115=0,IF(AP$11=$H115,"◆",""),IF(AND(AP$11&gt;=$H115,AP$11&lt;=$I115),1,""))</f>
        <v/>
      </c>
      <c r="AQ115" s="448" t="str">
        <f aca="false">IF($G115=0,IF(AQ$11=$H115,"◆",""),IF(AND(AQ$11&gt;=$H115,AQ$11&lt;=$I115),1,""))</f>
        <v/>
      </c>
      <c r="AR115" s="448" t="str">
        <f aca="false">IF($G115=0,IF(AR$11=$H115,"◆",""),IF(AND(AR$11&gt;=$H115,AR$11&lt;=$I115),1,""))</f>
        <v/>
      </c>
      <c r="AS115" s="448" t="str">
        <f aca="false">IF($G115=0,IF(AS$11=$H115,"◆",""),IF(AND(AS$11&gt;=$H115,AS$11&lt;=$I115),1,""))</f>
        <v/>
      </c>
      <c r="AT115" s="448" t="str">
        <f aca="false">IF($G115=0,IF(AT$11=$H115,"◆",""),IF(AND(AT$11&gt;=$H115,AT$11&lt;=$I115),1,""))</f>
        <v/>
      </c>
      <c r="AU115" s="448" t="n">
        <f aca="false">IF($G115=0,IF(AU$11=$H115,"◆",""),IF(AND(AU$11&gt;=$H115,AU$11&lt;=$I115),1,""))</f>
        <v>1</v>
      </c>
      <c r="AV115" s="448" t="n">
        <f aca="false">IF($G115=0,IF(AV$11=$H115,"◆",""),IF(AND(AV$11&gt;=$H115,AV$11&lt;=$I115),1,""))</f>
        <v>1</v>
      </c>
      <c r="AW115" s="448" t="n">
        <f aca="false">IF($G115=0,IF(AW$11=$H115,"◆",""),IF(AND(AW$11&gt;=$H115,AW$11&lt;=$I115),1,""))</f>
        <v>1</v>
      </c>
      <c r="AX115" s="448" t="n">
        <f aca="false">IF($G115=0,IF(AX$11=$H115,"◆",""),IF(AND(AX$11&gt;=$H115,AX$11&lt;=$I115),1,""))</f>
        <v>1</v>
      </c>
      <c r="AY115" s="448" t="n">
        <f aca="false">IF($G115=0,IF(AY$11=$H115,"◆",""),IF(AND(AY$11&gt;=$H115,AY$11&lt;=$I115),1,""))</f>
        <v>1</v>
      </c>
      <c r="AZ115" s="448" t="n">
        <f aca="false">IF($G115=0,IF(AZ$11=$H115,"◆",""),IF(AND(AZ$11&gt;=$H115,AZ$11&lt;=$I115),1,""))</f>
        <v>1</v>
      </c>
      <c r="BA115" s="448" t="str">
        <f aca="false">IF($G115=0,IF(BA$11=$H115,"◆",""),IF(AND(BA$11&gt;=$H115,BA$11&lt;=$I115),1,""))</f>
        <v/>
      </c>
      <c r="BB115" s="448" t="str">
        <f aca="false">IF($G115=0,IF(BB$11=$H115,"◆",""),IF(AND(BB$11&gt;=$H115,BB$11&lt;=$I115),1,""))</f>
        <v/>
      </c>
      <c r="BC115" s="448" t="str">
        <f aca="false">IF($G115=0,IF(BC$11=$H115,"◆",""),IF(AND(BC$11&gt;=$H115,BC$11&lt;=$I115),1,""))</f>
        <v/>
      </c>
      <c r="BD115" s="448" t="str">
        <f aca="false">IF($G115=0,IF(BD$11=$H115,"◆",""),IF(AND(BD$11&gt;=$H115,BD$11&lt;=$I115),1,""))</f>
        <v/>
      </c>
      <c r="BE115" s="448" t="str">
        <f aca="false">IF($G115=0,IF(BE$11=$H115,"◆",""),IF(AND(BE$11&gt;=$H115,BE$11&lt;=$I115),1,""))</f>
        <v/>
      </c>
      <c r="BF115" s="448" t="str">
        <f aca="false">IF($G115=0,IF(BF$11=$H115,"◆",""),IF(AND(BF$11&gt;=$H115,BF$11&lt;=$I115),1,""))</f>
        <v/>
      </c>
      <c r="BG115" s="448" t="str">
        <f aca="false">IF($G115=0,IF(BG$11=$H115,"◆",""),IF(AND(BG$11&gt;=$H115,BG$11&lt;=$I115),1,""))</f>
        <v/>
      </c>
      <c r="BH115" s="448" t="str">
        <f aca="false">IF($G115=0,IF(BH$11=$H115,"◆",""),IF(AND(BH$11&gt;=$H115,BH$11&lt;=$I115),1,""))</f>
        <v/>
      </c>
      <c r="BI115" s="448" t="str">
        <f aca="false">IF($G115=0,IF(BI$11=$H115,"◆",""),IF(AND(BI$11&gt;=$H115,BI$11&lt;=$I115),1,""))</f>
        <v/>
      </c>
      <c r="BJ115" s="448" t="str">
        <f aca="false">IF($G115=0,IF(BJ$11=$H115,"◆",""),IF(AND(BJ$11&gt;=$H115,BJ$11&lt;=$I115),1,""))</f>
        <v/>
      </c>
      <c r="BK115" s="448" t="str">
        <f aca="false">IF($G115=0,IF(BK$11=$H115,"◆",""),IF(AND(BK$11&gt;=$H115,BK$11&lt;=$I115),1,""))</f>
        <v/>
      </c>
      <c r="BL115" s="448" t="str">
        <f aca="false">IF($G115=0,IF(BL$11=$H115,"◆",""),IF(AND(BL$11&gt;=$H115,BL$11&lt;=$I115),1,""))</f>
        <v/>
      </c>
      <c r="BM115" s="448" t="str">
        <f aca="false">IF($G115=0,IF(BM$11=$H115,"◆",""),IF(AND(BM$11&gt;=$H115,BM$11&lt;=$I115),1,""))</f>
        <v/>
      </c>
      <c r="BN115" s="448" t="str">
        <f aca="false">IF($G115=0,IF(BN$11=$H115,"◆",""),IF(AND(BN$11&gt;=$H115,BN$11&lt;=$I115),1,""))</f>
        <v/>
      </c>
      <c r="BO115" s="448" t="str">
        <f aca="false">IF($G115=0,IF(BO$11=$H115,"◆",""),IF(AND(BO$11&gt;=$H115,BO$11&lt;=$I115),1,""))</f>
        <v/>
      </c>
      <c r="BP115" s="448" t="str">
        <f aca="false">IF($G115=0,IF(BP$11=$H115,"◆",""),IF(AND(BP$11&gt;=$H115,BP$11&lt;=$I115),1,""))</f>
        <v/>
      </c>
      <c r="BQ115" s="448" t="str">
        <f aca="false">IF($G115=0,IF(BQ$11=$H115,"◆",""),IF(AND(BQ$11&gt;=$H115,BQ$11&lt;=$I115),1,""))</f>
        <v/>
      </c>
      <c r="BR115" s="448" t="str">
        <f aca="false">IF($G115=0,IF(BR$11=$H115,"◆",""),IF(AND(BR$11&gt;=$H115,BR$11&lt;=$I115),1,""))</f>
        <v/>
      </c>
      <c r="BS115" s="448" t="str">
        <f aca="false">IF($G115=0,IF(BS$11=$H115,"◆",""),IF(AND(BS$11&gt;=$H115,BS$11&lt;=$I115),1,""))</f>
        <v/>
      </c>
      <c r="BT115" s="448" t="str">
        <f aca="false">IF($G115=0,IF(BT$11=$H115,"◆",""),IF(AND(BT$11&gt;=$H115,BT$11&lt;=$I115),1,""))</f>
        <v/>
      </c>
      <c r="BU115" s="448" t="str">
        <f aca="false">IF($G115=0,IF(BU$11=$H115,"◆",""),IF(AND(BU$11&gt;=$H115,BU$11&lt;=$I115),1,""))</f>
        <v/>
      </c>
      <c r="BV115" s="448" t="str">
        <f aca="false">IF($G115=0,IF(BV$11=$H115,"◆",""),IF(AND(BV$11&gt;=$H115,BV$11&lt;=$I115),1,""))</f>
        <v/>
      </c>
      <c r="BW115" s="448" t="str">
        <f aca="false">IF($G115=0,IF(BW$11=$H115,"◆",""),IF(AND(BW$11&gt;=$H115,BW$11&lt;=$I115),1,""))</f>
        <v/>
      </c>
      <c r="BX115" s="448" t="str">
        <f aca="false">IF($G115=0,IF(BX$11=$H115,"◆",""),IF(AND(BX$11&gt;=$H115,BX$11&lt;=$I115),1,""))</f>
        <v/>
      </c>
      <c r="BY115" s="448" t="str">
        <f aca="false">IF($G115=0,IF(BY$11=$H115,"◆",""),IF(AND(BY$11&gt;=$H115,BY$11&lt;=$I115),1,""))</f>
        <v/>
      </c>
      <c r="BZ115" s="448" t="str">
        <f aca="false">IF($G115=0,IF(BZ$11=$H115,"◆",""),IF(AND(BZ$11&gt;=$H115,BZ$11&lt;=$I115),1,""))</f>
        <v/>
      </c>
      <c r="CA115" s="448" t="str">
        <f aca="false">IF($G115=0,IF(CA$11=$H115,"◆",""),IF(AND(CA$11&gt;=$H115,CA$11&lt;=$I115),1,""))</f>
        <v/>
      </c>
      <c r="CB115" s="448" t="str">
        <f aca="false">IF($G115=0,IF(CB$11=$H115,"◆",""),IF(AND(CB$11&gt;=$H115,CB$11&lt;=$I115),1,""))</f>
        <v/>
      </c>
      <c r="CC115" s="448" t="str">
        <f aca="false">IF($G115=0,IF(CC$11=$H115,"◆",""),IF(AND(CC$11&gt;=$H115,CC$11&lt;=$I115),1,""))</f>
        <v/>
      </c>
      <c r="CD115" s="448" t="str">
        <f aca="false">IF($G115=0,IF(CD$11=$H115,"◆",""),IF(AND(CD$11&gt;=$H115,CD$11&lt;=$I115),1,""))</f>
        <v/>
      </c>
      <c r="CE115" s="448" t="str">
        <f aca="false">IF($G115=0,IF(CE$11=$H115,"◆",""),IF(AND(CE$11&gt;=$H115,CE$11&lt;=$I115),1,""))</f>
        <v/>
      </c>
      <c r="CF115" s="448" t="str">
        <f aca="false">IF($G115=0,IF(CF$11=$H115,"◆",""),IF(AND(CF$11&gt;=$H115,CF$11&lt;=$I115),1,""))</f>
        <v/>
      </c>
      <c r="CG115" s="448" t="str">
        <f aca="false">IF($G115=0,IF(CG$11=$H115,"◆",""),IF(AND(CG$11&gt;=$H115,CG$11&lt;=$I115),1,""))</f>
        <v/>
      </c>
      <c r="CH115" s="448" t="str">
        <f aca="false">IF($G115=0,IF(CH$11=$H115,"◆",""),IF(AND(CH$11&gt;=$H115,CH$11&lt;=$I115),1,""))</f>
        <v/>
      </c>
      <c r="CI115" s="448" t="str">
        <f aca="false">IF($G115=0,IF(CI$11=$H115,"◆",""),IF(AND(CI$11&gt;=$H115,CI$11&lt;=$I115),1,""))</f>
        <v/>
      </c>
      <c r="CJ115" s="448" t="str">
        <f aca="false">IF($G115=0,IF(CJ$11=$H115,"◆",""),IF(AND(CJ$11&gt;=$H115,CJ$11&lt;=$I115),1,""))</f>
        <v/>
      </c>
      <c r="CK115" s="448" t="str">
        <f aca="false">IF($G115=0,IF(CK$11=$H115,"◆",""),IF(AND(CK$11&gt;=$H115,CK$11&lt;=$I115),1,""))</f>
        <v/>
      </c>
      <c r="CL115" s="448" t="str">
        <f aca="false">IF($G115=0,IF(CL$11=$H115,"◆",""),IF(AND(CL$11&gt;=$H115,CL$11&lt;=$I115),1,""))</f>
        <v/>
      </c>
      <c r="CM115" s="448" t="str">
        <f aca="false">IF($G115=0,IF(CM$11=$H115,"◆",""),IF(AND(CM$11&gt;=$H115,CM$11&lt;=$I115),1,""))</f>
        <v/>
      </c>
      <c r="CN115" s="448" t="str">
        <f aca="false">IF($G115=0,IF(CN$11=$H115,"◆",""),IF(AND(CN$11&gt;=$H115,CN$11&lt;=$I115),1,""))</f>
        <v/>
      </c>
      <c r="CO115" s="448" t="str">
        <f aca="false">IF($G115=0,IF(CO$11=$H115,"◆",""),IF(AND(CO$11&gt;=$H115,CO$11&lt;=$I115),1,""))</f>
        <v/>
      </c>
      <c r="CP115" s="448" t="str">
        <f aca="false">IF($G115=0,IF(CP$11=$H115,"◆",""),IF(AND(CP$11&gt;=$H115,CP$11&lt;=$I115),1,""))</f>
        <v/>
      </c>
      <c r="CQ115" s="448" t="str">
        <f aca="false">IF($G115=0,IF(CQ$11=$H115,"◆",""),IF(AND(CQ$11&gt;=$H115,CQ$11&lt;=$I115),1,""))</f>
        <v/>
      </c>
      <c r="CR115" s="448" t="str">
        <f aca="false">IF($G115=0,IF(CR$11=$H115,"◆",""),IF(AND(CR$11&gt;=$H115,CR$11&lt;=$I115),1,""))</f>
        <v/>
      </c>
      <c r="CS115" s="448" t="str">
        <f aca="false">IF($G115=0,IF(CS$11=$H115,"◆",""),IF(AND(CS$11&gt;=$H115,CS$11&lt;=$I115),1,""))</f>
        <v/>
      </c>
      <c r="CT115" s="448" t="str">
        <f aca="false">IF($G115=0,IF(CT$11=$H115,"◆",""),IF(AND(CT$11&gt;=$H115,CT$11&lt;=$I115),1,""))</f>
        <v/>
      </c>
      <c r="CU115" s="448" t="str">
        <f aca="false">IF($G115=0,IF(CU$11=$H115,"◆",""),IF(AND(CU$11&gt;=$H115,CU$11&lt;=$I115),1,""))</f>
        <v/>
      </c>
      <c r="CV115" s="448" t="str">
        <f aca="false">IF($G115=0,IF(CV$11=$H115,"◆",""),IF(AND(CV$11&gt;=$H115,CV$11&lt;=$I115),1,""))</f>
        <v/>
      </c>
      <c r="CW115" s="448" t="str">
        <f aca="false">IF($G115=0,IF(CW$11=$H115,"◆",""),IF(AND(CW$11&gt;=$H115,CW$11&lt;=$I115),1,""))</f>
        <v/>
      </c>
      <c r="CX115" s="448" t="str">
        <f aca="false">IF($G115=0,IF(CX$11=$H115,"◆",""),IF(AND(CX$11&gt;=$H115,CX$11&lt;=$I115),1,""))</f>
        <v/>
      </c>
      <c r="CY115" s="448" t="str">
        <f aca="false">IF($G115=0,IF(CY$11=$H115,"◆",""),IF(AND(CY$11&gt;=$H115,CY$11&lt;=$I115),1,""))</f>
        <v/>
      </c>
      <c r="CZ115" s="448" t="str">
        <f aca="false">IF($G115=0,IF(CZ$11=$H115,"◆",""),IF(AND(CZ$11&gt;=$H115,CZ$11&lt;=$I115),1,""))</f>
        <v/>
      </c>
      <c r="DA115" s="448" t="str">
        <f aca="false">IF($G115=0,IF(DA$11=$H115,"◆",""),IF(AND(DA$11&gt;=$H115,DA$11&lt;=$I115),1,""))</f>
        <v/>
      </c>
      <c r="DB115" s="448" t="str">
        <f aca="false">IF($G115=0,IF(DB$11=$H115,"◆",""),IF(AND(DB$11&gt;=$H115,DB$11&lt;=$I115),1,""))</f>
        <v/>
      </c>
      <c r="DC115" s="448" t="str">
        <f aca="false">IF($G115=0,IF(DC$11=$H115,"◆",""),IF(AND(DC$11&gt;=$H115,DC$11&lt;=$I115),1,""))</f>
        <v/>
      </c>
      <c r="DD115" s="448" t="str">
        <f aca="false">IF($G115=0,IF(DD$11=$H115,"◆",""),IF(AND(DD$11&gt;=$H115,DD$11&lt;=$I115),1,""))</f>
        <v/>
      </c>
      <c r="DE115" s="448" t="str">
        <f aca="false">IF($G115=0,IF(DE$11=$H115,"◆",""),IF(AND(DE$11&gt;=$H115,DE$11&lt;=$I115),1,""))</f>
        <v/>
      </c>
      <c r="DF115" s="448" t="str">
        <f aca="false">IF($G115=0,IF(DF$11=$H115,"◆",""),IF(AND(DF$11&gt;=$H115,DF$11&lt;=$I115),1,""))</f>
        <v/>
      </c>
      <c r="DG115" s="448" t="str">
        <f aca="false">IF($G115=0,IF(DG$11=$H115,"◆",""),IF(AND(DG$11&gt;=$H115,DG$11&lt;=$I115),1,""))</f>
        <v/>
      </c>
      <c r="DH115" s="448" t="str">
        <f aca="false">IF($G115=0,IF(DH$11=$H115,"◆",""),IF(AND(DH$11&gt;=$H115,DH$11&lt;=$I115),1,""))</f>
        <v/>
      </c>
      <c r="DI115" s="448" t="str">
        <f aca="false">IF($G115=0,IF(DI$11=$H115,"◆",""),IF(AND(DI$11&gt;=$H115,DI$11&lt;=$I115),1,""))</f>
        <v/>
      </c>
      <c r="DJ115" s="448" t="str">
        <f aca="false">IF($G115=0,IF(DJ$11=$H115,"◆",""),IF(AND(DJ$11&gt;=$H115,DJ$11&lt;=$I115),1,""))</f>
        <v/>
      </c>
      <c r="DK115" s="448" t="str">
        <f aca="false">IF($G115=0,IF(DK$11=$H115,"◆",""),IF(AND(DK$11&gt;=$H115,DK$11&lt;=$I115),1,""))</f>
        <v/>
      </c>
      <c r="DL115" s="448" t="str">
        <f aca="false">IF($G115=0,IF(DL$11=$H115,"◆",""),IF(AND(DL$11&gt;=$H115,DL$11&lt;=$I115),1,""))</f>
        <v/>
      </c>
      <c r="DM115" s="448" t="str">
        <f aca="false">IF($G115=0,IF(DM$11=$H115,"◆",""),IF(AND(DM$11&gt;=$H115,DM$11&lt;=$I115),1,""))</f>
        <v/>
      </c>
      <c r="DN115" s="448" t="str">
        <f aca="false">IF($G115=0,IF(DN$11=$H115,"◆",""),IF(AND(DN$11&gt;=$H115,DN$11&lt;=$I115),1,""))</f>
        <v/>
      </c>
      <c r="DO115" s="448" t="str">
        <f aca="false">IF($G115=0,IF(DO$11=$H115,"◆",""),IF(AND(DO$11&gt;=$H115,DO$11&lt;=$I115),1,""))</f>
        <v/>
      </c>
      <c r="DP115" s="448" t="str">
        <f aca="false">IF($G115=0,IF(DP$11=$H115,"◆",""),IF(AND(DP$11&gt;=$H115,DP$11&lt;=$I115),1,""))</f>
        <v/>
      </c>
      <c r="DQ115" s="448" t="str">
        <f aca="false">IF($G115=0,IF(DQ$11=$H115,"◆",""),IF(AND(DQ$11&gt;=$H115,DQ$11&lt;=$I115),1,""))</f>
        <v/>
      </c>
      <c r="DR115" s="448" t="str">
        <f aca="false">IF($G115=0,IF(DR$11=$H115,"◆",""),IF(AND(DR$11&gt;=$H115,DR$11&lt;=$I115),1,""))</f>
        <v/>
      </c>
      <c r="DS115" s="448" t="str">
        <f aca="false">IF($G115=0,IF(DS$11=$H115,"◆",""),IF(AND(DS$11&gt;=$H115,DS$11&lt;=$I115),1,""))</f>
        <v/>
      </c>
      <c r="DT115" s="448" t="str">
        <f aca="false">IF($G115=0,IF(DT$11=$H115,"◆",""),IF(AND(DT$11&gt;=$H115,DT$11&lt;=$I115),1,""))</f>
        <v/>
      </c>
      <c r="DU115" s="448" t="str">
        <f aca="false">IF($G115=0,IF(DU$11=$H115,"◆",""),IF(AND(DU$11&gt;=$H115,DU$11&lt;=$I115),1,""))</f>
        <v/>
      </c>
      <c r="DV115" s="448" t="str">
        <f aca="false">IF($G115=0,IF(DV$11=$H115,"◆",""),IF(AND(DV$11&gt;=$H115,DV$11&lt;=$I115),1,""))</f>
        <v/>
      </c>
      <c r="DW115" s="448" t="str">
        <f aca="false">IF($G115=0,IF(DW$11=$H115,"◆",""),IF(AND(DW$11&gt;=$H115,DW$11&lt;=$I115),1,""))</f>
        <v/>
      </c>
      <c r="DX115" s="448" t="str">
        <f aca="false">IF($G115=0,IF(DX$11=$H115,"◆",""),IF(AND(DX$11&gt;=$H115,DX$11&lt;=$I115),1,""))</f>
        <v/>
      </c>
      <c r="DY115" s="448" t="str">
        <f aca="false">IF($G115=0,IF(DY$11=$H115,"◆",""),IF(AND(DY$11&gt;=$H115,DY$11&lt;=$I115),1,""))</f>
        <v/>
      </c>
      <c r="DZ115" s="448" t="str">
        <f aca="false">IF($G115=0,IF(DZ$11=$H115,"◆",""),IF(AND(DZ$11&gt;=$H115,DZ$11&lt;=$I115),1,""))</f>
        <v/>
      </c>
      <c r="EA115" s="448" t="str">
        <f aca="false">IF($G115=0,IF(EA$11=$H115,"◆",""),IF(AND(EA$11&gt;=$H115,EA$11&lt;=$I115),1,""))</f>
        <v/>
      </c>
      <c r="EB115" s="448" t="str">
        <f aca="false">IF($G115=0,IF(EB$11=$H115,"◆",""),IF(AND(EB$11&gt;=$H115,EB$11&lt;=$I115),1,""))</f>
        <v/>
      </c>
      <c r="EC115" s="448" t="str">
        <f aca="false">IF($G115=0,IF(EC$11=$H115,"◆",""),IF(AND(EC$11&gt;=$H115,EC$11&lt;=$I115),1,""))</f>
        <v/>
      </c>
      <c r="ED115" s="448" t="str">
        <f aca="false">IF($G115=0,IF(ED$11=$H115,"◆",""),IF(AND(ED$11&gt;=$H115,ED$11&lt;=$I115),1,""))</f>
        <v/>
      </c>
    </row>
    <row r="116" customFormat="false" ht="15" hidden="false" customHeight="true" outlineLevel="0" collapsed="false">
      <c r="A116" s="441" t="s">
        <v>2675</v>
      </c>
      <c r="B116" s="297" t="s">
        <v>2676</v>
      </c>
      <c r="C116" s="442" t="s">
        <v>2480</v>
      </c>
      <c r="D116" s="443" t="s">
        <v>2634</v>
      </c>
      <c r="E116" s="354" t="n">
        <f aca="false">FC_SUPUESTOS!$C$40</f>
        <v>10</v>
      </c>
      <c r="F116" s="352" t="n">
        <v>-7</v>
      </c>
      <c r="G116" s="352" t="n">
        <v>8</v>
      </c>
      <c r="H116" s="367" t="n">
        <f aca="false">MAX(1,ROUND(($E116-1)*$D$5,0)+1+$F116)</f>
        <v>33</v>
      </c>
      <c r="I116" s="367" t="n">
        <f aca="false">MAX($H116,$H116+$G116-1)</f>
        <v>40</v>
      </c>
      <c r="J116" s="444" t="n">
        <f aca="false">$D$4+($H116-1)*7</f>
        <v>46524</v>
      </c>
      <c r="K116" s="444" t="n">
        <f aca="false">$D$4+$I116*7-1</f>
        <v>46579</v>
      </c>
      <c r="L116" s="445" t="n">
        <f aca="false">ROUNDUP($H116/$D$5,0)</f>
        <v>8</v>
      </c>
      <c r="M116" s="446"/>
      <c r="N116" s="447" t="n">
        <v>0</v>
      </c>
      <c r="O116" s="448" t="str">
        <f aca="false">IF($G116=0,IF(O$11=$H116,"◆",""),IF(AND(O$11&gt;=$H116,O$11&lt;=$I116),1,""))</f>
        <v/>
      </c>
      <c r="P116" s="448" t="str">
        <f aca="false">IF($G116=0,IF(P$11=$H116,"◆",""),IF(AND(P$11&gt;=$H116,P$11&lt;=$I116),1,""))</f>
        <v/>
      </c>
      <c r="Q116" s="448" t="str">
        <f aca="false">IF($G116=0,IF(Q$11=$H116,"◆",""),IF(AND(Q$11&gt;=$H116,Q$11&lt;=$I116),1,""))</f>
        <v/>
      </c>
      <c r="R116" s="448" t="str">
        <f aca="false">IF($G116=0,IF(R$11=$H116,"◆",""),IF(AND(R$11&gt;=$H116,R$11&lt;=$I116),1,""))</f>
        <v/>
      </c>
      <c r="S116" s="448" t="str">
        <f aca="false">IF($G116=0,IF(S$11=$H116,"◆",""),IF(AND(S$11&gt;=$H116,S$11&lt;=$I116),1,""))</f>
        <v/>
      </c>
      <c r="T116" s="448" t="str">
        <f aca="false">IF($G116=0,IF(T$11=$H116,"◆",""),IF(AND(T$11&gt;=$H116,T$11&lt;=$I116),1,""))</f>
        <v/>
      </c>
      <c r="U116" s="448" t="str">
        <f aca="false">IF($G116=0,IF(U$11=$H116,"◆",""),IF(AND(U$11&gt;=$H116,U$11&lt;=$I116),1,""))</f>
        <v/>
      </c>
      <c r="V116" s="448" t="str">
        <f aca="false">IF($G116=0,IF(V$11=$H116,"◆",""),IF(AND(V$11&gt;=$H116,V$11&lt;=$I116),1,""))</f>
        <v/>
      </c>
      <c r="W116" s="448" t="str">
        <f aca="false">IF($G116=0,IF(W$11=$H116,"◆",""),IF(AND(W$11&gt;=$H116,W$11&lt;=$I116),1,""))</f>
        <v/>
      </c>
      <c r="X116" s="448" t="str">
        <f aca="false">IF($G116=0,IF(X$11=$H116,"◆",""),IF(AND(X$11&gt;=$H116,X$11&lt;=$I116),1,""))</f>
        <v/>
      </c>
      <c r="Y116" s="448" t="str">
        <f aca="false">IF($G116=0,IF(Y$11=$H116,"◆",""),IF(AND(Y$11&gt;=$H116,Y$11&lt;=$I116),1,""))</f>
        <v/>
      </c>
      <c r="Z116" s="448" t="str">
        <f aca="false">IF($G116=0,IF(Z$11=$H116,"◆",""),IF(AND(Z$11&gt;=$H116,Z$11&lt;=$I116),1,""))</f>
        <v/>
      </c>
      <c r="AA116" s="448" t="str">
        <f aca="false">IF($G116=0,IF(AA$11=$H116,"◆",""),IF(AND(AA$11&gt;=$H116,AA$11&lt;=$I116),1,""))</f>
        <v/>
      </c>
      <c r="AB116" s="448" t="str">
        <f aca="false">IF($G116=0,IF(AB$11=$H116,"◆",""),IF(AND(AB$11&gt;=$H116,AB$11&lt;=$I116),1,""))</f>
        <v/>
      </c>
      <c r="AC116" s="448" t="str">
        <f aca="false">IF($G116=0,IF(AC$11=$H116,"◆",""),IF(AND(AC$11&gt;=$H116,AC$11&lt;=$I116),1,""))</f>
        <v/>
      </c>
      <c r="AD116" s="448" t="str">
        <f aca="false">IF($G116=0,IF(AD$11=$H116,"◆",""),IF(AND(AD$11&gt;=$H116,AD$11&lt;=$I116),1,""))</f>
        <v/>
      </c>
      <c r="AE116" s="448" t="str">
        <f aca="false">IF($G116=0,IF(AE$11=$H116,"◆",""),IF(AND(AE$11&gt;=$H116,AE$11&lt;=$I116),1,""))</f>
        <v/>
      </c>
      <c r="AF116" s="448" t="str">
        <f aca="false">IF($G116=0,IF(AF$11=$H116,"◆",""),IF(AND(AF$11&gt;=$H116,AF$11&lt;=$I116),1,""))</f>
        <v/>
      </c>
      <c r="AG116" s="448" t="str">
        <f aca="false">IF($G116=0,IF(AG$11=$H116,"◆",""),IF(AND(AG$11&gt;=$H116,AG$11&lt;=$I116),1,""))</f>
        <v/>
      </c>
      <c r="AH116" s="448" t="str">
        <f aca="false">IF($G116=0,IF(AH$11=$H116,"◆",""),IF(AND(AH$11&gt;=$H116,AH$11&lt;=$I116),1,""))</f>
        <v/>
      </c>
      <c r="AI116" s="448" t="str">
        <f aca="false">IF($G116=0,IF(AI$11=$H116,"◆",""),IF(AND(AI$11&gt;=$H116,AI$11&lt;=$I116),1,""))</f>
        <v/>
      </c>
      <c r="AJ116" s="448" t="str">
        <f aca="false">IF($G116=0,IF(AJ$11=$H116,"◆",""),IF(AND(AJ$11&gt;=$H116,AJ$11&lt;=$I116),1,""))</f>
        <v/>
      </c>
      <c r="AK116" s="448" t="str">
        <f aca="false">IF($G116=0,IF(AK$11=$H116,"◆",""),IF(AND(AK$11&gt;=$H116,AK$11&lt;=$I116),1,""))</f>
        <v/>
      </c>
      <c r="AL116" s="448" t="str">
        <f aca="false">IF($G116=0,IF(AL$11=$H116,"◆",""),IF(AND(AL$11&gt;=$H116,AL$11&lt;=$I116),1,""))</f>
        <v/>
      </c>
      <c r="AM116" s="448" t="str">
        <f aca="false">IF($G116=0,IF(AM$11=$H116,"◆",""),IF(AND(AM$11&gt;=$H116,AM$11&lt;=$I116),1,""))</f>
        <v/>
      </c>
      <c r="AN116" s="448" t="str">
        <f aca="false">IF($G116=0,IF(AN$11=$H116,"◆",""),IF(AND(AN$11&gt;=$H116,AN$11&lt;=$I116),1,""))</f>
        <v/>
      </c>
      <c r="AO116" s="448" t="str">
        <f aca="false">IF($G116=0,IF(AO$11=$H116,"◆",""),IF(AND(AO$11&gt;=$H116,AO$11&lt;=$I116),1,""))</f>
        <v/>
      </c>
      <c r="AP116" s="448" t="str">
        <f aca="false">IF($G116=0,IF(AP$11=$H116,"◆",""),IF(AND(AP$11&gt;=$H116,AP$11&lt;=$I116),1,""))</f>
        <v/>
      </c>
      <c r="AQ116" s="448" t="str">
        <f aca="false">IF($G116=0,IF(AQ$11=$H116,"◆",""),IF(AND(AQ$11&gt;=$H116,AQ$11&lt;=$I116),1,""))</f>
        <v/>
      </c>
      <c r="AR116" s="448" t="str">
        <f aca="false">IF($G116=0,IF(AR$11=$H116,"◆",""),IF(AND(AR$11&gt;=$H116,AR$11&lt;=$I116),1,""))</f>
        <v/>
      </c>
      <c r="AS116" s="448" t="str">
        <f aca="false">IF($G116=0,IF(AS$11=$H116,"◆",""),IF(AND(AS$11&gt;=$H116,AS$11&lt;=$I116),1,""))</f>
        <v/>
      </c>
      <c r="AT116" s="448" t="str">
        <f aca="false">IF($G116=0,IF(AT$11=$H116,"◆",""),IF(AND(AT$11&gt;=$H116,AT$11&lt;=$I116),1,""))</f>
        <v/>
      </c>
      <c r="AU116" s="448" t="n">
        <f aca="false">IF($G116=0,IF(AU$11=$H116,"◆",""),IF(AND(AU$11&gt;=$H116,AU$11&lt;=$I116),1,""))</f>
        <v>1</v>
      </c>
      <c r="AV116" s="448" t="n">
        <f aca="false">IF($G116=0,IF(AV$11=$H116,"◆",""),IF(AND(AV$11&gt;=$H116,AV$11&lt;=$I116),1,""))</f>
        <v>1</v>
      </c>
      <c r="AW116" s="448" t="n">
        <f aca="false">IF($G116=0,IF(AW$11=$H116,"◆",""),IF(AND(AW$11&gt;=$H116,AW$11&lt;=$I116),1,""))</f>
        <v>1</v>
      </c>
      <c r="AX116" s="448" t="n">
        <f aca="false">IF($G116=0,IF(AX$11=$H116,"◆",""),IF(AND(AX$11&gt;=$H116,AX$11&lt;=$I116),1,""))</f>
        <v>1</v>
      </c>
      <c r="AY116" s="448" t="n">
        <f aca="false">IF($G116=0,IF(AY$11=$H116,"◆",""),IF(AND(AY$11&gt;=$H116,AY$11&lt;=$I116),1,""))</f>
        <v>1</v>
      </c>
      <c r="AZ116" s="448" t="n">
        <f aca="false">IF($G116=0,IF(AZ$11=$H116,"◆",""),IF(AND(AZ$11&gt;=$H116,AZ$11&lt;=$I116),1,""))</f>
        <v>1</v>
      </c>
      <c r="BA116" s="448" t="n">
        <f aca="false">IF($G116=0,IF(BA$11=$H116,"◆",""),IF(AND(BA$11&gt;=$H116,BA$11&lt;=$I116),1,""))</f>
        <v>1</v>
      </c>
      <c r="BB116" s="448" t="n">
        <f aca="false">IF($G116=0,IF(BB$11=$H116,"◆",""),IF(AND(BB$11&gt;=$H116,BB$11&lt;=$I116),1,""))</f>
        <v>1</v>
      </c>
      <c r="BC116" s="448" t="str">
        <f aca="false">IF($G116=0,IF(BC$11=$H116,"◆",""),IF(AND(BC$11&gt;=$H116,BC$11&lt;=$I116),1,""))</f>
        <v/>
      </c>
      <c r="BD116" s="448" t="str">
        <f aca="false">IF($G116=0,IF(BD$11=$H116,"◆",""),IF(AND(BD$11&gt;=$H116,BD$11&lt;=$I116),1,""))</f>
        <v/>
      </c>
      <c r="BE116" s="448" t="str">
        <f aca="false">IF($G116=0,IF(BE$11=$H116,"◆",""),IF(AND(BE$11&gt;=$H116,BE$11&lt;=$I116),1,""))</f>
        <v/>
      </c>
      <c r="BF116" s="448" t="str">
        <f aca="false">IF($G116=0,IF(BF$11=$H116,"◆",""),IF(AND(BF$11&gt;=$H116,BF$11&lt;=$I116),1,""))</f>
        <v/>
      </c>
      <c r="BG116" s="448" t="str">
        <f aca="false">IF($G116=0,IF(BG$11=$H116,"◆",""),IF(AND(BG$11&gt;=$H116,BG$11&lt;=$I116),1,""))</f>
        <v/>
      </c>
      <c r="BH116" s="448" t="str">
        <f aca="false">IF($G116=0,IF(BH$11=$H116,"◆",""),IF(AND(BH$11&gt;=$H116,BH$11&lt;=$I116),1,""))</f>
        <v/>
      </c>
      <c r="BI116" s="448" t="str">
        <f aca="false">IF($G116=0,IF(BI$11=$H116,"◆",""),IF(AND(BI$11&gt;=$H116,BI$11&lt;=$I116),1,""))</f>
        <v/>
      </c>
      <c r="BJ116" s="448" t="str">
        <f aca="false">IF($G116=0,IF(BJ$11=$H116,"◆",""),IF(AND(BJ$11&gt;=$H116,BJ$11&lt;=$I116),1,""))</f>
        <v/>
      </c>
      <c r="BK116" s="448" t="str">
        <f aca="false">IF($G116=0,IF(BK$11=$H116,"◆",""),IF(AND(BK$11&gt;=$H116,BK$11&lt;=$I116),1,""))</f>
        <v/>
      </c>
      <c r="BL116" s="448" t="str">
        <f aca="false">IF($G116=0,IF(BL$11=$H116,"◆",""),IF(AND(BL$11&gt;=$H116,BL$11&lt;=$I116),1,""))</f>
        <v/>
      </c>
      <c r="BM116" s="448" t="str">
        <f aca="false">IF($G116=0,IF(BM$11=$H116,"◆",""),IF(AND(BM$11&gt;=$H116,BM$11&lt;=$I116),1,""))</f>
        <v/>
      </c>
      <c r="BN116" s="448" t="str">
        <f aca="false">IF($G116=0,IF(BN$11=$H116,"◆",""),IF(AND(BN$11&gt;=$H116,BN$11&lt;=$I116),1,""))</f>
        <v/>
      </c>
      <c r="BO116" s="448" t="str">
        <f aca="false">IF($G116=0,IF(BO$11=$H116,"◆",""),IF(AND(BO$11&gt;=$H116,BO$11&lt;=$I116),1,""))</f>
        <v/>
      </c>
      <c r="BP116" s="448" t="str">
        <f aca="false">IF($G116=0,IF(BP$11=$H116,"◆",""),IF(AND(BP$11&gt;=$H116,BP$11&lt;=$I116),1,""))</f>
        <v/>
      </c>
      <c r="BQ116" s="448" t="str">
        <f aca="false">IF($G116=0,IF(BQ$11=$H116,"◆",""),IF(AND(BQ$11&gt;=$H116,BQ$11&lt;=$I116),1,""))</f>
        <v/>
      </c>
      <c r="BR116" s="448" t="str">
        <f aca="false">IF($G116=0,IF(BR$11=$H116,"◆",""),IF(AND(BR$11&gt;=$H116,BR$11&lt;=$I116),1,""))</f>
        <v/>
      </c>
      <c r="BS116" s="448" t="str">
        <f aca="false">IF($G116=0,IF(BS$11=$H116,"◆",""),IF(AND(BS$11&gt;=$H116,BS$11&lt;=$I116),1,""))</f>
        <v/>
      </c>
      <c r="BT116" s="448" t="str">
        <f aca="false">IF($G116=0,IF(BT$11=$H116,"◆",""),IF(AND(BT$11&gt;=$H116,BT$11&lt;=$I116),1,""))</f>
        <v/>
      </c>
      <c r="BU116" s="448" t="str">
        <f aca="false">IF($G116=0,IF(BU$11=$H116,"◆",""),IF(AND(BU$11&gt;=$H116,BU$11&lt;=$I116),1,""))</f>
        <v/>
      </c>
      <c r="BV116" s="448" t="str">
        <f aca="false">IF($G116=0,IF(BV$11=$H116,"◆",""),IF(AND(BV$11&gt;=$H116,BV$11&lt;=$I116),1,""))</f>
        <v/>
      </c>
      <c r="BW116" s="448" t="str">
        <f aca="false">IF($G116=0,IF(BW$11=$H116,"◆",""),IF(AND(BW$11&gt;=$H116,BW$11&lt;=$I116),1,""))</f>
        <v/>
      </c>
      <c r="BX116" s="448" t="str">
        <f aca="false">IF($G116=0,IF(BX$11=$H116,"◆",""),IF(AND(BX$11&gt;=$H116,BX$11&lt;=$I116),1,""))</f>
        <v/>
      </c>
      <c r="BY116" s="448" t="str">
        <f aca="false">IF($G116=0,IF(BY$11=$H116,"◆",""),IF(AND(BY$11&gt;=$H116,BY$11&lt;=$I116),1,""))</f>
        <v/>
      </c>
      <c r="BZ116" s="448" t="str">
        <f aca="false">IF($G116=0,IF(BZ$11=$H116,"◆",""),IF(AND(BZ$11&gt;=$H116,BZ$11&lt;=$I116),1,""))</f>
        <v/>
      </c>
      <c r="CA116" s="448" t="str">
        <f aca="false">IF($G116=0,IF(CA$11=$H116,"◆",""),IF(AND(CA$11&gt;=$H116,CA$11&lt;=$I116),1,""))</f>
        <v/>
      </c>
      <c r="CB116" s="448" t="str">
        <f aca="false">IF($G116=0,IF(CB$11=$H116,"◆",""),IF(AND(CB$11&gt;=$H116,CB$11&lt;=$I116),1,""))</f>
        <v/>
      </c>
      <c r="CC116" s="448" t="str">
        <f aca="false">IF($G116=0,IF(CC$11=$H116,"◆",""),IF(AND(CC$11&gt;=$H116,CC$11&lt;=$I116),1,""))</f>
        <v/>
      </c>
      <c r="CD116" s="448" t="str">
        <f aca="false">IF($G116=0,IF(CD$11=$H116,"◆",""),IF(AND(CD$11&gt;=$H116,CD$11&lt;=$I116),1,""))</f>
        <v/>
      </c>
      <c r="CE116" s="448" t="str">
        <f aca="false">IF($G116=0,IF(CE$11=$H116,"◆",""),IF(AND(CE$11&gt;=$H116,CE$11&lt;=$I116),1,""))</f>
        <v/>
      </c>
      <c r="CF116" s="448" t="str">
        <f aca="false">IF($G116=0,IF(CF$11=$H116,"◆",""),IF(AND(CF$11&gt;=$H116,CF$11&lt;=$I116),1,""))</f>
        <v/>
      </c>
      <c r="CG116" s="448" t="str">
        <f aca="false">IF($G116=0,IF(CG$11=$H116,"◆",""),IF(AND(CG$11&gt;=$H116,CG$11&lt;=$I116),1,""))</f>
        <v/>
      </c>
      <c r="CH116" s="448" t="str">
        <f aca="false">IF($G116=0,IF(CH$11=$H116,"◆",""),IF(AND(CH$11&gt;=$H116,CH$11&lt;=$I116),1,""))</f>
        <v/>
      </c>
      <c r="CI116" s="448" t="str">
        <f aca="false">IF($G116=0,IF(CI$11=$H116,"◆",""),IF(AND(CI$11&gt;=$H116,CI$11&lt;=$I116),1,""))</f>
        <v/>
      </c>
      <c r="CJ116" s="448" t="str">
        <f aca="false">IF($G116=0,IF(CJ$11=$H116,"◆",""),IF(AND(CJ$11&gt;=$H116,CJ$11&lt;=$I116),1,""))</f>
        <v/>
      </c>
      <c r="CK116" s="448" t="str">
        <f aca="false">IF($G116=0,IF(CK$11=$H116,"◆",""),IF(AND(CK$11&gt;=$H116,CK$11&lt;=$I116),1,""))</f>
        <v/>
      </c>
      <c r="CL116" s="448" t="str">
        <f aca="false">IF($G116=0,IF(CL$11=$H116,"◆",""),IF(AND(CL$11&gt;=$H116,CL$11&lt;=$I116),1,""))</f>
        <v/>
      </c>
      <c r="CM116" s="448" t="str">
        <f aca="false">IF($G116=0,IF(CM$11=$H116,"◆",""),IF(AND(CM$11&gt;=$H116,CM$11&lt;=$I116),1,""))</f>
        <v/>
      </c>
      <c r="CN116" s="448" t="str">
        <f aca="false">IF($G116=0,IF(CN$11=$H116,"◆",""),IF(AND(CN$11&gt;=$H116,CN$11&lt;=$I116),1,""))</f>
        <v/>
      </c>
      <c r="CO116" s="448" t="str">
        <f aca="false">IF($G116=0,IF(CO$11=$H116,"◆",""),IF(AND(CO$11&gt;=$H116,CO$11&lt;=$I116),1,""))</f>
        <v/>
      </c>
      <c r="CP116" s="448" t="str">
        <f aca="false">IF($G116=0,IF(CP$11=$H116,"◆",""),IF(AND(CP$11&gt;=$H116,CP$11&lt;=$I116),1,""))</f>
        <v/>
      </c>
      <c r="CQ116" s="448" t="str">
        <f aca="false">IF($G116=0,IF(CQ$11=$H116,"◆",""),IF(AND(CQ$11&gt;=$H116,CQ$11&lt;=$I116),1,""))</f>
        <v/>
      </c>
      <c r="CR116" s="448" t="str">
        <f aca="false">IF($G116=0,IF(CR$11=$H116,"◆",""),IF(AND(CR$11&gt;=$H116,CR$11&lt;=$I116),1,""))</f>
        <v/>
      </c>
      <c r="CS116" s="448" t="str">
        <f aca="false">IF($G116=0,IF(CS$11=$H116,"◆",""),IF(AND(CS$11&gt;=$H116,CS$11&lt;=$I116),1,""))</f>
        <v/>
      </c>
      <c r="CT116" s="448" t="str">
        <f aca="false">IF($G116=0,IF(CT$11=$H116,"◆",""),IF(AND(CT$11&gt;=$H116,CT$11&lt;=$I116),1,""))</f>
        <v/>
      </c>
      <c r="CU116" s="448" t="str">
        <f aca="false">IF($G116=0,IF(CU$11=$H116,"◆",""),IF(AND(CU$11&gt;=$H116,CU$11&lt;=$I116),1,""))</f>
        <v/>
      </c>
      <c r="CV116" s="448" t="str">
        <f aca="false">IF($G116=0,IF(CV$11=$H116,"◆",""),IF(AND(CV$11&gt;=$H116,CV$11&lt;=$I116),1,""))</f>
        <v/>
      </c>
      <c r="CW116" s="448" t="str">
        <f aca="false">IF($G116=0,IF(CW$11=$H116,"◆",""),IF(AND(CW$11&gt;=$H116,CW$11&lt;=$I116),1,""))</f>
        <v/>
      </c>
      <c r="CX116" s="448" t="str">
        <f aca="false">IF($G116=0,IF(CX$11=$H116,"◆",""),IF(AND(CX$11&gt;=$H116,CX$11&lt;=$I116),1,""))</f>
        <v/>
      </c>
      <c r="CY116" s="448" t="str">
        <f aca="false">IF($G116=0,IF(CY$11=$H116,"◆",""),IF(AND(CY$11&gt;=$H116,CY$11&lt;=$I116),1,""))</f>
        <v/>
      </c>
      <c r="CZ116" s="448" t="str">
        <f aca="false">IF($G116=0,IF(CZ$11=$H116,"◆",""),IF(AND(CZ$11&gt;=$H116,CZ$11&lt;=$I116),1,""))</f>
        <v/>
      </c>
      <c r="DA116" s="448" t="str">
        <f aca="false">IF($G116=0,IF(DA$11=$H116,"◆",""),IF(AND(DA$11&gt;=$H116,DA$11&lt;=$I116),1,""))</f>
        <v/>
      </c>
      <c r="DB116" s="448" t="str">
        <f aca="false">IF($G116=0,IF(DB$11=$H116,"◆",""),IF(AND(DB$11&gt;=$H116,DB$11&lt;=$I116),1,""))</f>
        <v/>
      </c>
      <c r="DC116" s="448" t="str">
        <f aca="false">IF($G116=0,IF(DC$11=$H116,"◆",""),IF(AND(DC$11&gt;=$H116,DC$11&lt;=$I116),1,""))</f>
        <v/>
      </c>
      <c r="DD116" s="448" t="str">
        <f aca="false">IF($G116=0,IF(DD$11=$H116,"◆",""),IF(AND(DD$11&gt;=$H116,DD$11&lt;=$I116),1,""))</f>
        <v/>
      </c>
      <c r="DE116" s="448" t="str">
        <f aca="false">IF($G116=0,IF(DE$11=$H116,"◆",""),IF(AND(DE$11&gt;=$H116,DE$11&lt;=$I116),1,""))</f>
        <v/>
      </c>
      <c r="DF116" s="448" t="str">
        <f aca="false">IF($G116=0,IF(DF$11=$H116,"◆",""),IF(AND(DF$11&gt;=$H116,DF$11&lt;=$I116),1,""))</f>
        <v/>
      </c>
      <c r="DG116" s="448" t="str">
        <f aca="false">IF($G116=0,IF(DG$11=$H116,"◆",""),IF(AND(DG$11&gt;=$H116,DG$11&lt;=$I116),1,""))</f>
        <v/>
      </c>
      <c r="DH116" s="448" t="str">
        <f aca="false">IF($G116=0,IF(DH$11=$H116,"◆",""),IF(AND(DH$11&gt;=$H116,DH$11&lt;=$I116),1,""))</f>
        <v/>
      </c>
      <c r="DI116" s="448" t="str">
        <f aca="false">IF($G116=0,IF(DI$11=$H116,"◆",""),IF(AND(DI$11&gt;=$H116,DI$11&lt;=$I116),1,""))</f>
        <v/>
      </c>
      <c r="DJ116" s="448" t="str">
        <f aca="false">IF($G116=0,IF(DJ$11=$H116,"◆",""),IF(AND(DJ$11&gt;=$H116,DJ$11&lt;=$I116),1,""))</f>
        <v/>
      </c>
      <c r="DK116" s="448" t="str">
        <f aca="false">IF($G116=0,IF(DK$11=$H116,"◆",""),IF(AND(DK$11&gt;=$H116,DK$11&lt;=$I116),1,""))</f>
        <v/>
      </c>
      <c r="DL116" s="448" t="str">
        <f aca="false">IF($G116=0,IF(DL$11=$H116,"◆",""),IF(AND(DL$11&gt;=$H116,DL$11&lt;=$I116),1,""))</f>
        <v/>
      </c>
      <c r="DM116" s="448" t="str">
        <f aca="false">IF($G116=0,IF(DM$11=$H116,"◆",""),IF(AND(DM$11&gt;=$H116,DM$11&lt;=$I116),1,""))</f>
        <v/>
      </c>
      <c r="DN116" s="448" t="str">
        <f aca="false">IF($G116=0,IF(DN$11=$H116,"◆",""),IF(AND(DN$11&gt;=$H116,DN$11&lt;=$I116),1,""))</f>
        <v/>
      </c>
      <c r="DO116" s="448" t="str">
        <f aca="false">IF($G116=0,IF(DO$11=$H116,"◆",""),IF(AND(DO$11&gt;=$H116,DO$11&lt;=$I116),1,""))</f>
        <v/>
      </c>
      <c r="DP116" s="448" t="str">
        <f aca="false">IF($G116=0,IF(DP$11=$H116,"◆",""),IF(AND(DP$11&gt;=$H116,DP$11&lt;=$I116),1,""))</f>
        <v/>
      </c>
      <c r="DQ116" s="448" t="str">
        <f aca="false">IF($G116=0,IF(DQ$11=$H116,"◆",""),IF(AND(DQ$11&gt;=$H116,DQ$11&lt;=$I116),1,""))</f>
        <v/>
      </c>
      <c r="DR116" s="448" t="str">
        <f aca="false">IF($G116=0,IF(DR$11=$H116,"◆",""),IF(AND(DR$11&gt;=$H116,DR$11&lt;=$I116),1,""))</f>
        <v/>
      </c>
      <c r="DS116" s="448" t="str">
        <f aca="false">IF($G116=0,IF(DS$11=$H116,"◆",""),IF(AND(DS$11&gt;=$H116,DS$11&lt;=$I116),1,""))</f>
        <v/>
      </c>
      <c r="DT116" s="448" t="str">
        <f aca="false">IF($G116=0,IF(DT$11=$H116,"◆",""),IF(AND(DT$11&gt;=$H116,DT$11&lt;=$I116),1,""))</f>
        <v/>
      </c>
      <c r="DU116" s="448" t="str">
        <f aca="false">IF($G116=0,IF(DU$11=$H116,"◆",""),IF(AND(DU$11&gt;=$H116,DU$11&lt;=$I116),1,""))</f>
        <v/>
      </c>
      <c r="DV116" s="448" t="str">
        <f aca="false">IF($G116=0,IF(DV$11=$H116,"◆",""),IF(AND(DV$11&gt;=$H116,DV$11&lt;=$I116),1,""))</f>
        <v/>
      </c>
      <c r="DW116" s="448" t="str">
        <f aca="false">IF($G116=0,IF(DW$11=$H116,"◆",""),IF(AND(DW$11&gt;=$H116,DW$11&lt;=$I116),1,""))</f>
        <v/>
      </c>
      <c r="DX116" s="448" t="str">
        <f aca="false">IF($G116=0,IF(DX$11=$H116,"◆",""),IF(AND(DX$11&gt;=$H116,DX$11&lt;=$I116),1,""))</f>
        <v/>
      </c>
      <c r="DY116" s="448" t="str">
        <f aca="false">IF($G116=0,IF(DY$11=$H116,"◆",""),IF(AND(DY$11&gt;=$H116,DY$11&lt;=$I116),1,""))</f>
        <v/>
      </c>
      <c r="DZ116" s="448" t="str">
        <f aca="false">IF($G116=0,IF(DZ$11=$H116,"◆",""),IF(AND(DZ$11&gt;=$H116,DZ$11&lt;=$I116),1,""))</f>
        <v/>
      </c>
      <c r="EA116" s="448" t="str">
        <f aca="false">IF($G116=0,IF(EA$11=$H116,"◆",""),IF(AND(EA$11&gt;=$H116,EA$11&lt;=$I116),1,""))</f>
        <v/>
      </c>
      <c r="EB116" s="448" t="str">
        <f aca="false">IF($G116=0,IF(EB$11=$H116,"◆",""),IF(AND(EB$11&gt;=$H116,EB$11&lt;=$I116),1,""))</f>
        <v/>
      </c>
      <c r="EC116" s="448" t="str">
        <f aca="false">IF($G116=0,IF(EC$11=$H116,"◆",""),IF(AND(EC$11&gt;=$H116,EC$11&lt;=$I116),1,""))</f>
        <v/>
      </c>
      <c r="ED116" s="448" t="str">
        <f aca="false">IF($G116=0,IF(ED$11=$H116,"◆",""),IF(AND(ED$11&gt;=$H116,ED$11&lt;=$I116),1,""))</f>
        <v/>
      </c>
    </row>
    <row r="117" customFormat="false" ht="15" hidden="false" customHeight="true" outlineLevel="0" collapsed="false">
      <c r="A117" s="441" t="s">
        <v>2677</v>
      </c>
      <c r="B117" s="297" t="s">
        <v>2678</v>
      </c>
      <c r="C117" s="442" t="s">
        <v>2679</v>
      </c>
      <c r="D117" s="443" t="s">
        <v>2634</v>
      </c>
      <c r="E117" s="354" t="n">
        <f aca="false">FC_SUPUESTOS!$C$40</f>
        <v>10</v>
      </c>
      <c r="F117" s="352" t="n">
        <v>-6</v>
      </c>
      <c r="G117" s="352" t="n">
        <v>6</v>
      </c>
      <c r="H117" s="367" t="n">
        <f aca="false">MAX(1,ROUND(($E117-1)*$D$5,0)+1+$F117)</f>
        <v>34</v>
      </c>
      <c r="I117" s="367" t="n">
        <f aca="false">MAX($H117,$H117+$G117-1)</f>
        <v>39</v>
      </c>
      <c r="J117" s="444" t="n">
        <f aca="false">$D$4+($H117-1)*7</f>
        <v>46531</v>
      </c>
      <c r="K117" s="444" t="n">
        <f aca="false">$D$4+$I117*7-1</f>
        <v>46572</v>
      </c>
      <c r="L117" s="445" t="n">
        <f aca="false">ROUNDUP($H117/$D$5,0)</f>
        <v>8</v>
      </c>
      <c r="M117" s="446"/>
      <c r="N117" s="447" t="n">
        <v>0</v>
      </c>
      <c r="O117" s="448" t="str">
        <f aca="false">IF($G117=0,IF(O$11=$H117,"◆",""),IF(AND(O$11&gt;=$H117,O$11&lt;=$I117),1,""))</f>
        <v/>
      </c>
      <c r="P117" s="448" t="str">
        <f aca="false">IF($G117=0,IF(P$11=$H117,"◆",""),IF(AND(P$11&gt;=$H117,P$11&lt;=$I117),1,""))</f>
        <v/>
      </c>
      <c r="Q117" s="448" t="str">
        <f aca="false">IF($G117=0,IF(Q$11=$H117,"◆",""),IF(AND(Q$11&gt;=$H117,Q$11&lt;=$I117),1,""))</f>
        <v/>
      </c>
      <c r="R117" s="448" t="str">
        <f aca="false">IF($G117=0,IF(R$11=$H117,"◆",""),IF(AND(R$11&gt;=$H117,R$11&lt;=$I117),1,""))</f>
        <v/>
      </c>
      <c r="S117" s="448" t="str">
        <f aca="false">IF($G117=0,IF(S$11=$H117,"◆",""),IF(AND(S$11&gt;=$H117,S$11&lt;=$I117),1,""))</f>
        <v/>
      </c>
      <c r="T117" s="448" t="str">
        <f aca="false">IF($G117=0,IF(T$11=$H117,"◆",""),IF(AND(T$11&gt;=$H117,T$11&lt;=$I117),1,""))</f>
        <v/>
      </c>
      <c r="U117" s="448" t="str">
        <f aca="false">IF($G117=0,IF(U$11=$H117,"◆",""),IF(AND(U$11&gt;=$H117,U$11&lt;=$I117),1,""))</f>
        <v/>
      </c>
      <c r="V117" s="448" t="str">
        <f aca="false">IF($G117=0,IF(V$11=$H117,"◆",""),IF(AND(V$11&gt;=$H117,V$11&lt;=$I117),1,""))</f>
        <v/>
      </c>
      <c r="W117" s="448" t="str">
        <f aca="false">IF($G117=0,IF(W$11=$H117,"◆",""),IF(AND(W$11&gt;=$H117,W$11&lt;=$I117),1,""))</f>
        <v/>
      </c>
      <c r="X117" s="448" t="str">
        <f aca="false">IF($G117=0,IF(X$11=$H117,"◆",""),IF(AND(X$11&gt;=$H117,X$11&lt;=$I117),1,""))</f>
        <v/>
      </c>
      <c r="Y117" s="448" t="str">
        <f aca="false">IF($G117=0,IF(Y$11=$H117,"◆",""),IF(AND(Y$11&gt;=$H117,Y$11&lt;=$I117),1,""))</f>
        <v/>
      </c>
      <c r="Z117" s="448" t="str">
        <f aca="false">IF($G117=0,IF(Z$11=$H117,"◆",""),IF(AND(Z$11&gt;=$H117,Z$11&lt;=$I117),1,""))</f>
        <v/>
      </c>
      <c r="AA117" s="448" t="str">
        <f aca="false">IF($G117=0,IF(AA$11=$H117,"◆",""),IF(AND(AA$11&gt;=$H117,AA$11&lt;=$I117),1,""))</f>
        <v/>
      </c>
      <c r="AB117" s="448" t="str">
        <f aca="false">IF($G117=0,IF(AB$11=$H117,"◆",""),IF(AND(AB$11&gt;=$H117,AB$11&lt;=$I117),1,""))</f>
        <v/>
      </c>
      <c r="AC117" s="448" t="str">
        <f aca="false">IF($G117=0,IF(AC$11=$H117,"◆",""),IF(AND(AC$11&gt;=$H117,AC$11&lt;=$I117),1,""))</f>
        <v/>
      </c>
      <c r="AD117" s="448" t="str">
        <f aca="false">IF($G117=0,IF(AD$11=$H117,"◆",""),IF(AND(AD$11&gt;=$H117,AD$11&lt;=$I117),1,""))</f>
        <v/>
      </c>
      <c r="AE117" s="448" t="str">
        <f aca="false">IF($G117=0,IF(AE$11=$H117,"◆",""),IF(AND(AE$11&gt;=$H117,AE$11&lt;=$I117),1,""))</f>
        <v/>
      </c>
      <c r="AF117" s="448" t="str">
        <f aca="false">IF($G117=0,IF(AF$11=$H117,"◆",""),IF(AND(AF$11&gt;=$H117,AF$11&lt;=$I117),1,""))</f>
        <v/>
      </c>
      <c r="AG117" s="448" t="str">
        <f aca="false">IF($G117=0,IF(AG$11=$H117,"◆",""),IF(AND(AG$11&gt;=$H117,AG$11&lt;=$I117),1,""))</f>
        <v/>
      </c>
      <c r="AH117" s="448" t="str">
        <f aca="false">IF($G117=0,IF(AH$11=$H117,"◆",""),IF(AND(AH$11&gt;=$H117,AH$11&lt;=$I117),1,""))</f>
        <v/>
      </c>
      <c r="AI117" s="448" t="str">
        <f aca="false">IF($G117=0,IF(AI$11=$H117,"◆",""),IF(AND(AI$11&gt;=$H117,AI$11&lt;=$I117),1,""))</f>
        <v/>
      </c>
      <c r="AJ117" s="448" t="str">
        <f aca="false">IF($G117=0,IF(AJ$11=$H117,"◆",""),IF(AND(AJ$11&gt;=$H117,AJ$11&lt;=$I117),1,""))</f>
        <v/>
      </c>
      <c r="AK117" s="448" t="str">
        <f aca="false">IF($G117=0,IF(AK$11=$H117,"◆",""),IF(AND(AK$11&gt;=$H117,AK$11&lt;=$I117),1,""))</f>
        <v/>
      </c>
      <c r="AL117" s="448" t="str">
        <f aca="false">IF($G117=0,IF(AL$11=$H117,"◆",""),IF(AND(AL$11&gt;=$H117,AL$11&lt;=$I117),1,""))</f>
        <v/>
      </c>
      <c r="AM117" s="448" t="str">
        <f aca="false">IF($G117=0,IF(AM$11=$H117,"◆",""),IF(AND(AM$11&gt;=$H117,AM$11&lt;=$I117),1,""))</f>
        <v/>
      </c>
      <c r="AN117" s="448" t="str">
        <f aca="false">IF($G117=0,IF(AN$11=$H117,"◆",""),IF(AND(AN$11&gt;=$H117,AN$11&lt;=$I117),1,""))</f>
        <v/>
      </c>
      <c r="AO117" s="448" t="str">
        <f aca="false">IF($G117=0,IF(AO$11=$H117,"◆",""),IF(AND(AO$11&gt;=$H117,AO$11&lt;=$I117),1,""))</f>
        <v/>
      </c>
      <c r="AP117" s="448" t="str">
        <f aca="false">IF($G117=0,IF(AP$11=$H117,"◆",""),IF(AND(AP$11&gt;=$H117,AP$11&lt;=$I117),1,""))</f>
        <v/>
      </c>
      <c r="AQ117" s="448" t="str">
        <f aca="false">IF($G117=0,IF(AQ$11=$H117,"◆",""),IF(AND(AQ$11&gt;=$H117,AQ$11&lt;=$I117),1,""))</f>
        <v/>
      </c>
      <c r="AR117" s="448" t="str">
        <f aca="false">IF($G117=0,IF(AR$11=$H117,"◆",""),IF(AND(AR$11&gt;=$H117,AR$11&lt;=$I117),1,""))</f>
        <v/>
      </c>
      <c r="AS117" s="448" t="str">
        <f aca="false">IF($G117=0,IF(AS$11=$H117,"◆",""),IF(AND(AS$11&gt;=$H117,AS$11&lt;=$I117),1,""))</f>
        <v/>
      </c>
      <c r="AT117" s="448" t="str">
        <f aca="false">IF($G117=0,IF(AT$11=$H117,"◆",""),IF(AND(AT$11&gt;=$H117,AT$11&lt;=$I117),1,""))</f>
        <v/>
      </c>
      <c r="AU117" s="448" t="str">
        <f aca="false">IF($G117=0,IF(AU$11=$H117,"◆",""),IF(AND(AU$11&gt;=$H117,AU$11&lt;=$I117),1,""))</f>
        <v/>
      </c>
      <c r="AV117" s="448" t="n">
        <f aca="false">IF($G117=0,IF(AV$11=$H117,"◆",""),IF(AND(AV$11&gt;=$H117,AV$11&lt;=$I117),1,""))</f>
        <v>1</v>
      </c>
      <c r="AW117" s="448" t="n">
        <f aca="false">IF($G117=0,IF(AW$11=$H117,"◆",""),IF(AND(AW$11&gt;=$H117,AW$11&lt;=$I117),1,""))</f>
        <v>1</v>
      </c>
      <c r="AX117" s="448" t="n">
        <f aca="false">IF($G117=0,IF(AX$11=$H117,"◆",""),IF(AND(AX$11&gt;=$H117,AX$11&lt;=$I117),1,""))</f>
        <v>1</v>
      </c>
      <c r="AY117" s="448" t="n">
        <f aca="false">IF($G117=0,IF(AY$11=$H117,"◆",""),IF(AND(AY$11&gt;=$H117,AY$11&lt;=$I117),1,""))</f>
        <v>1</v>
      </c>
      <c r="AZ117" s="448" t="n">
        <f aca="false">IF($G117=0,IF(AZ$11=$H117,"◆",""),IF(AND(AZ$11&gt;=$H117,AZ$11&lt;=$I117),1,""))</f>
        <v>1</v>
      </c>
      <c r="BA117" s="448" t="n">
        <f aca="false">IF($G117=0,IF(BA$11=$H117,"◆",""),IF(AND(BA$11&gt;=$H117,BA$11&lt;=$I117),1,""))</f>
        <v>1</v>
      </c>
      <c r="BB117" s="448" t="str">
        <f aca="false">IF($G117=0,IF(BB$11=$H117,"◆",""),IF(AND(BB$11&gt;=$H117,BB$11&lt;=$I117),1,""))</f>
        <v/>
      </c>
      <c r="BC117" s="448" t="str">
        <f aca="false">IF($G117=0,IF(BC$11=$H117,"◆",""),IF(AND(BC$11&gt;=$H117,BC$11&lt;=$I117),1,""))</f>
        <v/>
      </c>
      <c r="BD117" s="448" t="str">
        <f aca="false">IF($G117=0,IF(BD$11=$H117,"◆",""),IF(AND(BD$11&gt;=$H117,BD$11&lt;=$I117),1,""))</f>
        <v/>
      </c>
      <c r="BE117" s="448" t="str">
        <f aca="false">IF($G117=0,IF(BE$11=$H117,"◆",""),IF(AND(BE$11&gt;=$H117,BE$11&lt;=$I117),1,""))</f>
        <v/>
      </c>
      <c r="BF117" s="448" t="str">
        <f aca="false">IF($G117=0,IF(BF$11=$H117,"◆",""),IF(AND(BF$11&gt;=$H117,BF$11&lt;=$I117),1,""))</f>
        <v/>
      </c>
      <c r="BG117" s="448" t="str">
        <f aca="false">IF($G117=0,IF(BG$11=$H117,"◆",""),IF(AND(BG$11&gt;=$H117,BG$11&lt;=$I117),1,""))</f>
        <v/>
      </c>
      <c r="BH117" s="448" t="str">
        <f aca="false">IF($G117=0,IF(BH$11=$H117,"◆",""),IF(AND(BH$11&gt;=$H117,BH$11&lt;=$I117),1,""))</f>
        <v/>
      </c>
      <c r="BI117" s="448" t="str">
        <f aca="false">IF($G117=0,IF(BI$11=$H117,"◆",""),IF(AND(BI$11&gt;=$H117,BI$11&lt;=$I117),1,""))</f>
        <v/>
      </c>
      <c r="BJ117" s="448" t="str">
        <f aca="false">IF($G117=0,IF(BJ$11=$H117,"◆",""),IF(AND(BJ$11&gt;=$H117,BJ$11&lt;=$I117),1,""))</f>
        <v/>
      </c>
      <c r="BK117" s="448" t="str">
        <f aca="false">IF($G117=0,IF(BK$11=$H117,"◆",""),IF(AND(BK$11&gt;=$H117,BK$11&lt;=$I117),1,""))</f>
        <v/>
      </c>
      <c r="BL117" s="448" t="str">
        <f aca="false">IF($G117=0,IF(BL$11=$H117,"◆",""),IF(AND(BL$11&gt;=$H117,BL$11&lt;=$I117),1,""))</f>
        <v/>
      </c>
      <c r="BM117" s="448" t="str">
        <f aca="false">IF($G117=0,IF(BM$11=$H117,"◆",""),IF(AND(BM$11&gt;=$H117,BM$11&lt;=$I117),1,""))</f>
        <v/>
      </c>
      <c r="BN117" s="448" t="str">
        <f aca="false">IF($G117=0,IF(BN$11=$H117,"◆",""),IF(AND(BN$11&gt;=$H117,BN$11&lt;=$I117),1,""))</f>
        <v/>
      </c>
      <c r="BO117" s="448" t="str">
        <f aca="false">IF($G117=0,IF(BO$11=$H117,"◆",""),IF(AND(BO$11&gt;=$H117,BO$11&lt;=$I117),1,""))</f>
        <v/>
      </c>
      <c r="BP117" s="448" t="str">
        <f aca="false">IF($G117=0,IF(BP$11=$H117,"◆",""),IF(AND(BP$11&gt;=$H117,BP$11&lt;=$I117),1,""))</f>
        <v/>
      </c>
      <c r="BQ117" s="448" t="str">
        <f aca="false">IF($G117=0,IF(BQ$11=$H117,"◆",""),IF(AND(BQ$11&gt;=$H117,BQ$11&lt;=$I117),1,""))</f>
        <v/>
      </c>
      <c r="BR117" s="448" t="str">
        <f aca="false">IF($G117=0,IF(BR$11=$H117,"◆",""),IF(AND(BR$11&gt;=$H117,BR$11&lt;=$I117),1,""))</f>
        <v/>
      </c>
      <c r="BS117" s="448" t="str">
        <f aca="false">IF($G117=0,IF(BS$11=$H117,"◆",""),IF(AND(BS$11&gt;=$H117,BS$11&lt;=$I117),1,""))</f>
        <v/>
      </c>
      <c r="BT117" s="448" t="str">
        <f aca="false">IF($G117=0,IF(BT$11=$H117,"◆",""),IF(AND(BT$11&gt;=$H117,BT$11&lt;=$I117),1,""))</f>
        <v/>
      </c>
      <c r="BU117" s="448" t="str">
        <f aca="false">IF($G117=0,IF(BU$11=$H117,"◆",""),IF(AND(BU$11&gt;=$H117,BU$11&lt;=$I117),1,""))</f>
        <v/>
      </c>
      <c r="BV117" s="448" t="str">
        <f aca="false">IF($G117=0,IF(BV$11=$H117,"◆",""),IF(AND(BV$11&gt;=$H117,BV$11&lt;=$I117),1,""))</f>
        <v/>
      </c>
      <c r="BW117" s="448" t="str">
        <f aca="false">IF($G117=0,IF(BW$11=$H117,"◆",""),IF(AND(BW$11&gt;=$H117,BW$11&lt;=$I117),1,""))</f>
        <v/>
      </c>
      <c r="BX117" s="448" t="str">
        <f aca="false">IF($G117=0,IF(BX$11=$H117,"◆",""),IF(AND(BX$11&gt;=$H117,BX$11&lt;=$I117),1,""))</f>
        <v/>
      </c>
      <c r="BY117" s="448" t="str">
        <f aca="false">IF($G117=0,IF(BY$11=$H117,"◆",""),IF(AND(BY$11&gt;=$H117,BY$11&lt;=$I117),1,""))</f>
        <v/>
      </c>
      <c r="BZ117" s="448" t="str">
        <f aca="false">IF($G117=0,IF(BZ$11=$H117,"◆",""),IF(AND(BZ$11&gt;=$H117,BZ$11&lt;=$I117),1,""))</f>
        <v/>
      </c>
      <c r="CA117" s="448" t="str">
        <f aca="false">IF($G117=0,IF(CA$11=$H117,"◆",""),IF(AND(CA$11&gt;=$H117,CA$11&lt;=$I117),1,""))</f>
        <v/>
      </c>
      <c r="CB117" s="448" t="str">
        <f aca="false">IF($G117=0,IF(CB$11=$H117,"◆",""),IF(AND(CB$11&gt;=$H117,CB$11&lt;=$I117),1,""))</f>
        <v/>
      </c>
      <c r="CC117" s="448" t="str">
        <f aca="false">IF($G117=0,IF(CC$11=$H117,"◆",""),IF(AND(CC$11&gt;=$H117,CC$11&lt;=$I117),1,""))</f>
        <v/>
      </c>
      <c r="CD117" s="448" t="str">
        <f aca="false">IF($G117=0,IF(CD$11=$H117,"◆",""),IF(AND(CD$11&gt;=$H117,CD$11&lt;=$I117),1,""))</f>
        <v/>
      </c>
      <c r="CE117" s="448" t="str">
        <f aca="false">IF($G117=0,IF(CE$11=$H117,"◆",""),IF(AND(CE$11&gt;=$H117,CE$11&lt;=$I117),1,""))</f>
        <v/>
      </c>
      <c r="CF117" s="448" t="str">
        <f aca="false">IF($G117=0,IF(CF$11=$H117,"◆",""),IF(AND(CF$11&gt;=$H117,CF$11&lt;=$I117),1,""))</f>
        <v/>
      </c>
      <c r="CG117" s="448" t="str">
        <f aca="false">IF($G117=0,IF(CG$11=$H117,"◆",""),IF(AND(CG$11&gt;=$H117,CG$11&lt;=$I117),1,""))</f>
        <v/>
      </c>
      <c r="CH117" s="448" t="str">
        <f aca="false">IF($G117=0,IF(CH$11=$H117,"◆",""),IF(AND(CH$11&gt;=$H117,CH$11&lt;=$I117),1,""))</f>
        <v/>
      </c>
      <c r="CI117" s="448" t="str">
        <f aca="false">IF($G117=0,IF(CI$11=$H117,"◆",""),IF(AND(CI$11&gt;=$H117,CI$11&lt;=$I117),1,""))</f>
        <v/>
      </c>
      <c r="CJ117" s="448" t="str">
        <f aca="false">IF($G117=0,IF(CJ$11=$H117,"◆",""),IF(AND(CJ$11&gt;=$H117,CJ$11&lt;=$I117),1,""))</f>
        <v/>
      </c>
      <c r="CK117" s="448" t="str">
        <f aca="false">IF($G117=0,IF(CK$11=$H117,"◆",""),IF(AND(CK$11&gt;=$H117,CK$11&lt;=$I117),1,""))</f>
        <v/>
      </c>
      <c r="CL117" s="448" t="str">
        <f aca="false">IF($G117=0,IF(CL$11=$H117,"◆",""),IF(AND(CL$11&gt;=$H117,CL$11&lt;=$I117),1,""))</f>
        <v/>
      </c>
      <c r="CM117" s="448" t="str">
        <f aca="false">IF($G117=0,IF(CM$11=$H117,"◆",""),IF(AND(CM$11&gt;=$H117,CM$11&lt;=$I117),1,""))</f>
        <v/>
      </c>
      <c r="CN117" s="448" t="str">
        <f aca="false">IF($G117=0,IF(CN$11=$H117,"◆",""),IF(AND(CN$11&gt;=$H117,CN$11&lt;=$I117),1,""))</f>
        <v/>
      </c>
      <c r="CO117" s="448" t="str">
        <f aca="false">IF($G117=0,IF(CO$11=$H117,"◆",""),IF(AND(CO$11&gt;=$H117,CO$11&lt;=$I117),1,""))</f>
        <v/>
      </c>
      <c r="CP117" s="448" t="str">
        <f aca="false">IF($G117=0,IF(CP$11=$H117,"◆",""),IF(AND(CP$11&gt;=$H117,CP$11&lt;=$I117),1,""))</f>
        <v/>
      </c>
      <c r="CQ117" s="448" t="str">
        <f aca="false">IF($G117=0,IF(CQ$11=$H117,"◆",""),IF(AND(CQ$11&gt;=$H117,CQ$11&lt;=$I117),1,""))</f>
        <v/>
      </c>
      <c r="CR117" s="448" t="str">
        <f aca="false">IF($G117=0,IF(CR$11=$H117,"◆",""),IF(AND(CR$11&gt;=$H117,CR$11&lt;=$I117),1,""))</f>
        <v/>
      </c>
      <c r="CS117" s="448" t="str">
        <f aca="false">IF($G117=0,IF(CS$11=$H117,"◆",""),IF(AND(CS$11&gt;=$H117,CS$11&lt;=$I117),1,""))</f>
        <v/>
      </c>
      <c r="CT117" s="448" t="str">
        <f aca="false">IF($G117=0,IF(CT$11=$H117,"◆",""),IF(AND(CT$11&gt;=$H117,CT$11&lt;=$I117),1,""))</f>
        <v/>
      </c>
      <c r="CU117" s="448" t="str">
        <f aca="false">IF($G117=0,IF(CU$11=$H117,"◆",""),IF(AND(CU$11&gt;=$H117,CU$11&lt;=$I117),1,""))</f>
        <v/>
      </c>
      <c r="CV117" s="448" t="str">
        <f aca="false">IF($G117=0,IF(CV$11=$H117,"◆",""),IF(AND(CV$11&gt;=$H117,CV$11&lt;=$I117),1,""))</f>
        <v/>
      </c>
      <c r="CW117" s="448" t="str">
        <f aca="false">IF($G117=0,IF(CW$11=$H117,"◆",""),IF(AND(CW$11&gt;=$H117,CW$11&lt;=$I117),1,""))</f>
        <v/>
      </c>
      <c r="CX117" s="448" t="str">
        <f aca="false">IF($G117=0,IF(CX$11=$H117,"◆",""),IF(AND(CX$11&gt;=$H117,CX$11&lt;=$I117),1,""))</f>
        <v/>
      </c>
      <c r="CY117" s="448" t="str">
        <f aca="false">IF($G117=0,IF(CY$11=$H117,"◆",""),IF(AND(CY$11&gt;=$H117,CY$11&lt;=$I117),1,""))</f>
        <v/>
      </c>
      <c r="CZ117" s="448" t="str">
        <f aca="false">IF($G117=0,IF(CZ$11=$H117,"◆",""),IF(AND(CZ$11&gt;=$H117,CZ$11&lt;=$I117),1,""))</f>
        <v/>
      </c>
      <c r="DA117" s="448" t="str">
        <f aca="false">IF($G117=0,IF(DA$11=$H117,"◆",""),IF(AND(DA$11&gt;=$H117,DA$11&lt;=$I117),1,""))</f>
        <v/>
      </c>
      <c r="DB117" s="448" t="str">
        <f aca="false">IF($G117=0,IF(DB$11=$H117,"◆",""),IF(AND(DB$11&gt;=$H117,DB$11&lt;=$I117),1,""))</f>
        <v/>
      </c>
      <c r="DC117" s="448" t="str">
        <f aca="false">IF($G117=0,IF(DC$11=$H117,"◆",""),IF(AND(DC$11&gt;=$H117,DC$11&lt;=$I117),1,""))</f>
        <v/>
      </c>
      <c r="DD117" s="448" t="str">
        <f aca="false">IF($G117=0,IF(DD$11=$H117,"◆",""),IF(AND(DD$11&gt;=$H117,DD$11&lt;=$I117),1,""))</f>
        <v/>
      </c>
      <c r="DE117" s="448" t="str">
        <f aca="false">IF($G117=0,IF(DE$11=$H117,"◆",""),IF(AND(DE$11&gt;=$H117,DE$11&lt;=$I117),1,""))</f>
        <v/>
      </c>
      <c r="DF117" s="448" t="str">
        <f aca="false">IF($G117=0,IF(DF$11=$H117,"◆",""),IF(AND(DF$11&gt;=$H117,DF$11&lt;=$I117),1,""))</f>
        <v/>
      </c>
      <c r="DG117" s="448" t="str">
        <f aca="false">IF($G117=0,IF(DG$11=$H117,"◆",""),IF(AND(DG$11&gt;=$H117,DG$11&lt;=$I117),1,""))</f>
        <v/>
      </c>
      <c r="DH117" s="448" t="str">
        <f aca="false">IF($G117=0,IF(DH$11=$H117,"◆",""),IF(AND(DH$11&gt;=$H117,DH$11&lt;=$I117),1,""))</f>
        <v/>
      </c>
      <c r="DI117" s="448" t="str">
        <f aca="false">IF($G117=0,IF(DI$11=$H117,"◆",""),IF(AND(DI$11&gt;=$H117,DI$11&lt;=$I117),1,""))</f>
        <v/>
      </c>
      <c r="DJ117" s="448" t="str">
        <f aca="false">IF($G117=0,IF(DJ$11=$H117,"◆",""),IF(AND(DJ$11&gt;=$H117,DJ$11&lt;=$I117),1,""))</f>
        <v/>
      </c>
      <c r="DK117" s="448" t="str">
        <f aca="false">IF($G117=0,IF(DK$11=$H117,"◆",""),IF(AND(DK$11&gt;=$H117,DK$11&lt;=$I117),1,""))</f>
        <v/>
      </c>
      <c r="DL117" s="448" t="str">
        <f aca="false">IF($G117=0,IF(DL$11=$H117,"◆",""),IF(AND(DL$11&gt;=$H117,DL$11&lt;=$I117),1,""))</f>
        <v/>
      </c>
      <c r="DM117" s="448" t="str">
        <f aca="false">IF($G117=0,IF(DM$11=$H117,"◆",""),IF(AND(DM$11&gt;=$H117,DM$11&lt;=$I117),1,""))</f>
        <v/>
      </c>
      <c r="DN117" s="448" t="str">
        <f aca="false">IF($G117=0,IF(DN$11=$H117,"◆",""),IF(AND(DN$11&gt;=$H117,DN$11&lt;=$I117),1,""))</f>
        <v/>
      </c>
      <c r="DO117" s="448" t="str">
        <f aca="false">IF($G117=0,IF(DO$11=$H117,"◆",""),IF(AND(DO$11&gt;=$H117,DO$11&lt;=$I117),1,""))</f>
        <v/>
      </c>
      <c r="DP117" s="448" t="str">
        <f aca="false">IF($G117=0,IF(DP$11=$H117,"◆",""),IF(AND(DP$11&gt;=$H117,DP$11&lt;=$I117),1,""))</f>
        <v/>
      </c>
      <c r="DQ117" s="448" t="str">
        <f aca="false">IF($G117=0,IF(DQ$11=$H117,"◆",""),IF(AND(DQ$11&gt;=$H117,DQ$11&lt;=$I117),1,""))</f>
        <v/>
      </c>
      <c r="DR117" s="448" t="str">
        <f aca="false">IF($G117=0,IF(DR$11=$H117,"◆",""),IF(AND(DR$11&gt;=$H117,DR$11&lt;=$I117),1,""))</f>
        <v/>
      </c>
      <c r="DS117" s="448" t="str">
        <f aca="false">IF($G117=0,IF(DS$11=$H117,"◆",""),IF(AND(DS$11&gt;=$H117,DS$11&lt;=$I117),1,""))</f>
        <v/>
      </c>
      <c r="DT117" s="448" t="str">
        <f aca="false">IF($G117=0,IF(DT$11=$H117,"◆",""),IF(AND(DT$11&gt;=$H117,DT$11&lt;=$I117),1,""))</f>
        <v/>
      </c>
      <c r="DU117" s="448" t="str">
        <f aca="false">IF($G117=0,IF(DU$11=$H117,"◆",""),IF(AND(DU$11&gt;=$H117,DU$11&lt;=$I117),1,""))</f>
        <v/>
      </c>
      <c r="DV117" s="448" t="str">
        <f aca="false">IF($G117=0,IF(DV$11=$H117,"◆",""),IF(AND(DV$11&gt;=$H117,DV$11&lt;=$I117),1,""))</f>
        <v/>
      </c>
      <c r="DW117" s="448" t="str">
        <f aca="false">IF($G117=0,IF(DW$11=$H117,"◆",""),IF(AND(DW$11&gt;=$H117,DW$11&lt;=$I117),1,""))</f>
        <v/>
      </c>
      <c r="DX117" s="448" t="str">
        <f aca="false">IF($G117=0,IF(DX$11=$H117,"◆",""),IF(AND(DX$11&gt;=$H117,DX$11&lt;=$I117),1,""))</f>
        <v/>
      </c>
      <c r="DY117" s="448" t="str">
        <f aca="false">IF($G117=0,IF(DY$11=$H117,"◆",""),IF(AND(DY$11&gt;=$H117,DY$11&lt;=$I117),1,""))</f>
        <v/>
      </c>
      <c r="DZ117" s="448" t="str">
        <f aca="false">IF($G117=0,IF(DZ$11=$H117,"◆",""),IF(AND(DZ$11&gt;=$H117,DZ$11&lt;=$I117),1,""))</f>
        <v/>
      </c>
      <c r="EA117" s="448" t="str">
        <f aca="false">IF($G117=0,IF(EA$11=$H117,"◆",""),IF(AND(EA$11&gt;=$H117,EA$11&lt;=$I117),1,""))</f>
        <v/>
      </c>
      <c r="EB117" s="448" t="str">
        <f aca="false">IF($G117=0,IF(EB$11=$H117,"◆",""),IF(AND(EB$11&gt;=$H117,EB$11&lt;=$I117),1,""))</f>
        <v/>
      </c>
      <c r="EC117" s="448" t="str">
        <f aca="false">IF($G117=0,IF(EC$11=$H117,"◆",""),IF(AND(EC$11&gt;=$H117,EC$11&lt;=$I117),1,""))</f>
        <v/>
      </c>
      <c r="ED117" s="448" t="str">
        <f aca="false">IF($G117=0,IF(ED$11=$H117,"◆",""),IF(AND(ED$11&gt;=$H117,ED$11&lt;=$I117),1,""))</f>
        <v/>
      </c>
    </row>
    <row r="118" customFormat="false" ht="15" hidden="false" customHeight="true" outlineLevel="0" collapsed="false">
      <c r="A118" s="441" t="s">
        <v>2680</v>
      </c>
      <c r="B118" s="297" t="s">
        <v>2681</v>
      </c>
      <c r="C118" s="442" t="s">
        <v>2480</v>
      </c>
      <c r="D118" s="443" t="s">
        <v>2634</v>
      </c>
      <c r="E118" s="354" t="n">
        <f aca="false">FC_SUPUESTOS!$C$40</f>
        <v>10</v>
      </c>
      <c r="F118" s="352" t="n">
        <v>-5</v>
      </c>
      <c r="G118" s="352" t="n">
        <v>6</v>
      </c>
      <c r="H118" s="367" t="n">
        <f aca="false">MAX(1,ROUND(($E118-1)*$D$5,0)+1+$F118)</f>
        <v>35</v>
      </c>
      <c r="I118" s="367" t="n">
        <f aca="false">MAX($H118,$H118+$G118-1)</f>
        <v>40</v>
      </c>
      <c r="J118" s="444" t="n">
        <f aca="false">$D$4+($H118-1)*7</f>
        <v>46538</v>
      </c>
      <c r="K118" s="444" t="n">
        <f aca="false">$D$4+$I118*7-1</f>
        <v>46579</v>
      </c>
      <c r="L118" s="445" t="n">
        <f aca="false">ROUNDUP($H118/$D$5,0)</f>
        <v>9</v>
      </c>
      <c r="M118" s="446"/>
      <c r="N118" s="447" t="n">
        <v>0</v>
      </c>
      <c r="O118" s="448" t="str">
        <f aca="false">IF($G118=0,IF(O$11=$H118,"◆",""),IF(AND(O$11&gt;=$H118,O$11&lt;=$I118),1,""))</f>
        <v/>
      </c>
      <c r="P118" s="448" t="str">
        <f aca="false">IF($G118=0,IF(P$11=$H118,"◆",""),IF(AND(P$11&gt;=$H118,P$11&lt;=$I118),1,""))</f>
        <v/>
      </c>
      <c r="Q118" s="448" t="str">
        <f aca="false">IF($G118=0,IF(Q$11=$H118,"◆",""),IF(AND(Q$11&gt;=$H118,Q$11&lt;=$I118),1,""))</f>
        <v/>
      </c>
      <c r="R118" s="448" t="str">
        <f aca="false">IF($G118=0,IF(R$11=$H118,"◆",""),IF(AND(R$11&gt;=$H118,R$11&lt;=$I118),1,""))</f>
        <v/>
      </c>
      <c r="S118" s="448" t="str">
        <f aca="false">IF($G118=0,IF(S$11=$H118,"◆",""),IF(AND(S$11&gt;=$H118,S$11&lt;=$I118),1,""))</f>
        <v/>
      </c>
      <c r="T118" s="448" t="str">
        <f aca="false">IF($G118=0,IF(T$11=$H118,"◆",""),IF(AND(T$11&gt;=$H118,T$11&lt;=$I118),1,""))</f>
        <v/>
      </c>
      <c r="U118" s="448" t="str">
        <f aca="false">IF($G118=0,IF(U$11=$H118,"◆",""),IF(AND(U$11&gt;=$H118,U$11&lt;=$I118),1,""))</f>
        <v/>
      </c>
      <c r="V118" s="448" t="str">
        <f aca="false">IF($G118=0,IF(V$11=$H118,"◆",""),IF(AND(V$11&gt;=$H118,V$11&lt;=$I118),1,""))</f>
        <v/>
      </c>
      <c r="W118" s="448" t="str">
        <f aca="false">IF($G118=0,IF(W$11=$H118,"◆",""),IF(AND(W$11&gt;=$H118,W$11&lt;=$I118),1,""))</f>
        <v/>
      </c>
      <c r="X118" s="448" t="str">
        <f aca="false">IF($G118=0,IF(X$11=$H118,"◆",""),IF(AND(X$11&gt;=$H118,X$11&lt;=$I118),1,""))</f>
        <v/>
      </c>
      <c r="Y118" s="448" t="str">
        <f aca="false">IF($G118=0,IF(Y$11=$H118,"◆",""),IF(AND(Y$11&gt;=$H118,Y$11&lt;=$I118),1,""))</f>
        <v/>
      </c>
      <c r="Z118" s="448" t="str">
        <f aca="false">IF($G118=0,IF(Z$11=$H118,"◆",""),IF(AND(Z$11&gt;=$H118,Z$11&lt;=$I118),1,""))</f>
        <v/>
      </c>
      <c r="AA118" s="448" t="str">
        <f aca="false">IF($G118=0,IF(AA$11=$H118,"◆",""),IF(AND(AA$11&gt;=$H118,AA$11&lt;=$I118),1,""))</f>
        <v/>
      </c>
      <c r="AB118" s="448" t="str">
        <f aca="false">IF($G118=0,IF(AB$11=$H118,"◆",""),IF(AND(AB$11&gt;=$H118,AB$11&lt;=$I118),1,""))</f>
        <v/>
      </c>
      <c r="AC118" s="448" t="str">
        <f aca="false">IF($G118=0,IF(AC$11=$H118,"◆",""),IF(AND(AC$11&gt;=$H118,AC$11&lt;=$I118),1,""))</f>
        <v/>
      </c>
      <c r="AD118" s="448" t="str">
        <f aca="false">IF($G118=0,IF(AD$11=$H118,"◆",""),IF(AND(AD$11&gt;=$H118,AD$11&lt;=$I118),1,""))</f>
        <v/>
      </c>
      <c r="AE118" s="448" t="str">
        <f aca="false">IF($G118=0,IF(AE$11=$H118,"◆",""),IF(AND(AE$11&gt;=$H118,AE$11&lt;=$I118),1,""))</f>
        <v/>
      </c>
      <c r="AF118" s="448" t="str">
        <f aca="false">IF($G118=0,IF(AF$11=$H118,"◆",""),IF(AND(AF$11&gt;=$H118,AF$11&lt;=$I118),1,""))</f>
        <v/>
      </c>
      <c r="AG118" s="448" t="str">
        <f aca="false">IF($G118=0,IF(AG$11=$H118,"◆",""),IF(AND(AG$11&gt;=$H118,AG$11&lt;=$I118),1,""))</f>
        <v/>
      </c>
      <c r="AH118" s="448" t="str">
        <f aca="false">IF($G118=0,IF(AH$11=$H118,"◆",""),IF(AND(AH$11&gt;=$H118,AH$11&lt;=$I118),1,""))</f>
        <v/>
      </c>
      <c r="AI118" s="448" t="str">
        <f aca="false">IF($G118=0,IF(AI$11=$H118,"◆",""),IF(AND(AI$11&gt;=$H118,AI$11&lt;=$I118),1,""))</f>
        <v/>
      </c>
      <c r="AJ118" s="448" t="str">
        <f aca="false">IF($G118=0,IF(AJ$11=$H118,"◆",""),IF(AND(AJ$11&gt;=$H118,AJ$11&lt;=$I118),1,""))</f>
        <v/>
      </c>
      <c r="AK118" s="448" t="str">
        <f aca="false">IF($G118=0,IF(AK$11=$H118,"◆",""),IF(AND(AK$11&gt;=$H118,AK$11&lt;=$I118),1,""))</f>
        <v/>
      </c>
      <c r="AL118" s="448" t="str">
        <f aca="false">IF($G118=0,IF(AL$11=$H118,"◆",""),IF(AND(AL$11&gt;=$H118,AL$11&lt;=$I118),1,""))</f>
        <v/>
      </c>
      <c r="AM118" s="448" t="str">
        <f aca="false">IF($G118=0,IF(AM$11=$H118,"◆",""),IF(AND(AM$11&gt;=$H118,AM$11&lt;=$I118),1,""))</f>
        <v/>
      </c>
      <c r="AN118" s="448" t="str">
        <f aca="false">IF($G118=0,IF(AN$11=$H118,"◆",""),IF(AND(AN$11&gt;=$H118,AN$11&lt;=$I118),1,""))</f>
        <v/>
      </c>
      <c r="AO118" s="448" t="str">
        <f aca="false">IF($G118=0,IF(AO$11=$H118,"◆",""),IF(AND(AO$11&gt;=$H118,AO$11&lt;=$I118),1,""))</f>
        <v/>
      </c>
      <c r="AP118" s="448" t="str">
        <f aca="false">IF($G118=0,IF(AP$11=$H118,"◆",""),IF(AND(AP$11&gt;=$H118,AP$11&lt;=$I118),1,""))</f>
        <v/>
      </c>
      <c r="AQ118" s="448" t="str">
        <f aca="false">IF($G118=0,IF(AQ$11=$H118,"◆",""),IF(AND(AQ$11&gt;=$H118,AQ$11&lt;=$I118),1,""))</f>
        <v/>
      </c>
      <c r="AR118" s="448" t="str">
        <f aca="false">IF($G118=0,IF(AR$11=$H118,"◆",""),IF(AND(AR$11&gt;=$H118,AR$11&lt;=$I118),1,""))</f>
        <v/>
      </c>
      <c r="AS118" s="448" t="str">
        <f aca="false">IF($G118=0,IF(AS$11=$H118,"◆",""),IF(AND(AS$11&gt;=$H118,AS$11&lt;=$I118),1,""))</f>
        <v/>
      </c>
      <c r="AT118" s="448" t="str">
        <f aca="false">IF($G118=0,IF(AT$11=$H118,"◆",""),IF(AND(AT$11&gt;=$H118,AT$11&lt;=$I118),1,""))</f>
        <v/>
      </c>
      <c r="AU118" s="448" t="str">
        <f aca="false">IF($G118=0,IF(AU$11=$H118,"◆",""),IF(AND(AU$11&gt;=$H118,AU$11&lt;=$I118),1,""))</f>
        <v/>
      </c>
      <c r="AV118" s="448" t="str">
        <f aca="false">IF($G118=0,IF(AV$11=$H118,"◆",""),IF(AND(AV$11&gt;=$H118,AV$11&lt;=$I118),1,""))</f>
        <v/>
      </c>
      <c r="AW118" s="448" t="n">
        <f aca="false">IF($G118=0,IF(AW$11=$H118,"◆",""),IF(AND(AW$11&gt;=$H118,AW$11&lt;=$I118),1,""))</f>
        <v>1</v>
      </c>
      <c r="AX118" s="448" t="n">
        <f aca="false">IF($G118=0,IF(AX$11=$H118,"◆",""),IF(AND(AX$11&gt;=$H118,AX$11&lt;=$I118),1,""))</f>
        <v>1</v>
      </c>
      <c r="AY118" s="448" t="n">
        <f aca="false">IF($G118=0,IF(AY$11=$H118,"◆",""),IF(AND(AY$11&gt;=$H118,AY$11&lt;=$I118),1,""))</f>
        <v>1</v>
      </c>
      <c r="AZ118" s="448" t="n">
        <f aca="false">IF($G118=0,IF(AZ$11=$H118,"◆",""),IF(AND(AZ$11&gt;=$H118,AZ$11&lt;=$I118),1,""))</f>
        <v>1</v>
      </c>
      <c r="BA118" s="448" t="n">
        <f aca="false">IF($G118=0,IF(BA$11=$H118,"◆",""),IF(AND(BA$11&gt;=$H118,BA$11&lt;=$I118),1,""))</f>
        <v>1</v>
      </c>
      <c r="BB118" s="448" t="n">
        <f aca="false">IF($G118=0,IF(BB$11=$H118,"◆",""),IF(AND(BB$11&gt;=$H118,BB$11&lt;=$I118),1,""))</f>
        <v>1</v>
      </c>
      <c r="BC118" s="448" t="str">
        <f aca="false">IF($G118=0,IF(BC$11=$H118,"◆",""),IF(AND(BC$11&gt;=$H118,BC$11&lt;=$I118),1,""))</f>
        <v/>
      </c>
      <c r="BD118" s="448" t="str">
        <f aca="false">IF($G118=0,IF(BD$11=$H118,"◆",""),IF(AND(BD$11&gt;=$H118,BD$11&lt;=$I118),1,""))</f>
        <v/>
      </c>
      <c r="BE118" s="448" t="str">
        <f aca="false">IF($G118=0,IF(BE$11=$H118,"◆",""),IF(AND(BE$11&gt;=$H118,BE$11&lt;=$I118),1,""))</f>
        <v/>
      </c>
      <c r="BF118" s="448" t="str">
        <f aca="false">IF($G118=0,IF(BF$11=$H118,"◆",""),IF(AND(BF$11&gt;=$H118,BF$11&lt;=$I118),1,""))</f>
        <v/>
      </c>
      <c r="BG118" s="448" t="str">
        <f aca="false">IF($G118=0,IF(BG$11=$H118,"◆",""),IF(AND(BG$11&gt;=$H118,BG$11&lt;=$I118),1,""))</f>
        <v/>
      </c>
      <c r="BH118" s="448" t="str">
        <f aca="false">IF($G118=0,IF(BH$11=$H118,"◆",""),IF(AND(BH$11&gt;=$H118,BH$11&lt;=$I118),1,""))</f>
        <v/>
      </c>
      <c r="BI118" s="448" t="str">
        <f aca="false">IF($G118=0,IF(BI$11=$H118,"◆",""),IF(AND(BI$11&gt;=$H118,BI$11&lt;=$I118),1,""))</f>
        <v/>
      </c>
      <c r="BJ118" s="448" t="str">
        <f aca="false">IF($G118=0,IF(BJ$11=$H118,"◆",""),IF(AND(BJ$11&gt;=$H118,BJ$11&lt;=$I118),1,""))</f>
        <v/>
      </c>
      <c r="BK118" s="448" t="str">
        <f aca="false">IF($G118=0,IF(BK$11=$H118,"◆",""),IF(AND(BK$11&gt;=$H118,BK$11&lt;=$I118),1,""))</f>
        <v/>
      </c>
      <c r="BL118" s="448" t="str">
        <f aca="false">IF($G118=0,IF(BL$11=$H118,"◆",""),IF(AND(BL$11&gt;=$H118,BL$11&lt;=$I118),1,""))</f>
        <v/>
      </c>
      <c r="BM118" s="448" t="str">
        <f aca="false">IF($G118=0,IF(BM$11=$H118,"◆",""),IF(AND(BM$11&gt;=$H118,BM$11&lt;=$I118),1,""))</f>
        <v/>
      </c>
      <c r="BN118" s="448" t="str">
        <f aca="false">IF($G118=0,IF(BN$11=$H118,"◆",""),IF(AND(BN$11&gt;=$H118,BN$11&lt;=$I118),1,""))</f>
        <v/>
      </c>
      <c r="BO118" s="448" t="str">
        <f aca="false">IF($G118=0,IF(BO$11=$H118,"◆",""),IF(AND(BO$11&gt;=$H118,BO$11&lt;=$I118),1,""))</f>
        <v/>
      </c>
      <c r="BP118" s="448" t="str">
        <f aca="false">IF($G118=0,IF(BP$11=$H118,"◆",""),IF(AND(BP$11&gt;=$H118,BP$11&lt;=$I118),1,""))</f>
        <v/>
      </c>
      <c r="BQ118" s="448" t="str">
        <f aca="false">IF($G118=0,IF(BQ$11=$H118,"◆",""),IF(AND(BQ$11&gt;=$H118,BQ$11&lt;=$I118),1,""))</f>
        <v/>
      </c>
      <c r="BR118" s="448" t="str">
        <f aca="false">IF($G118=0,IF(BR$11=$H118,"◆",""),IF(AND(BR$11&gt;=$H118,BR$11&lt;=$I118),1,""))</f>
        <v/>
      </c>
      <c r="BS118" s="448" t="str">
        <f aca="false">IF($G118=0,IF(BS$11=$H118,"◆",""),IF(AND(BS$11&gt;=$H118,BS$11&lt;=$I118),1,""))</f>
        <v/>
      </c>
      <c r="BT118" s="448" t="str">
        <f aca="false">IF($G118=0,IF(BT$11=$H118,"◆",""),IF(AND(BT$11&gt;=$H118,BT$11&lt;=$I118),1,""))</f>
        <v/>
      </c>
      <c r="BU118" s="448" t="str">
        <f aca="false">IF($G118=0,IF(BU$11=$H118,"◆",""),IF(AND(BU$11&gt;=$H118,BU$11&lt;=$I118),1,""))</f>
        <v/>
      </c>
      <c r="BV118" s="448" t="str">
        <f aca="false">IF($G118=0,IF(BV$11=$H118,"◆",""),IF(AND(BV$11&gt;=$H118,BV$11&lt;=$I118),1,""))</f>
        <v/>
      </c>
      <c r="BW118" s="448" t="str">
        <f aca="false">IF($G118=0,IF(BW$11=$H118,"◆",""),IF(AND(BW$11&gt;=$H118,BW$11&lt;=$I118),1,""))</f>
        <v/>
      </c>
      <c r="BX118" s="448" t="str">
        <f aca="false">IF($G118=0,IF(BX$11=$H118,"◆",""),IF(AND(BX$11&gt;=$H118,BX$11&lt;=$I118),1,""))</f>
        <v/>
      </c>
      <c r="BY118" s="448" t="str">
        <f aca="false">IF($G118=0,IF(BY$11=$H118,"◆",""),IF(AND(BY$11&gt;=$H118,BY$11&lt;=$I118),1,""))</f>
        <v/>
      </c>
      <c r="BZ118" s="448" t="str">
        <f aca="false">IF($G118=0,IF(BZ$11=$H118,"◆",""),IF(AND(BZ$11&gt;=$H118,BZ$11&lt;=$I118),1,""))</f>
        <v/>
      </c>
      <c r="CA118" s="448" t="str">
        <f aca="false">IF($G118=0,IF(CA$11=$H118,"◆",""),IF(AND(CA$11&gt;=$H118,CA$11&lt;=$I118),1,""))</f>
        <v/>
      </c>
      <c r="CB118" s="448" t="str">
        <f aca="false">IF($G118=0,IF(CB$11=$H118,"◆",""),IF(AND(CB$11&gt;=$H118,CB$11&lt;=$I118),1,""))</f>
        <v/>
      </c>
      <c r="CC118" s="448" t="str">
        <f aca="false">IF($G118=0,IF(CC$11=$H118,"◆",""),IF(AND(CC$11&gt;=$H118,CC$11&lt;=$I118),1,""))</f>
        <v/>
      </c>
      <c r="CD118" s="448" t="str">
        <f aca="false">IF($G118=0,IF(CD$11=$H118,"◆",""),IF(AND(CD$11&gt;=$H118,CD$11&lt;=$I118),1,""))</f>
        <v/>
      </c>
      <c r="CE118" s="448" t="str">
        <f aca="false">IF($G118=0,IF(CE$11=$H118,"◆",""),IF(AND(CE$11&gt;=$H118,CE$11&lt;=$I118),1,""))</f>
        <v/>
      </c>
      <c r="CF118" s="448" t="str">
        <f aca="false">IF($G118=0,IF(CF$11=$H118,"◆",""),IF(AND(CF$11&gt;=$H118,CF$11&lt;=$I118),1,""))</f>
        <v/>
      </c>
      <c r="CG118" s="448" t="str">
        <f aca="false">IF($G118=0,IF(CG$11=$H118,"◆",""),IF(AND(CG$11&gt;=$H118,CG$11&lt;=$I118),1,""))</f>
        <v/>
      </c>
      <c r="CH118" s="448" t="str">
        <f aca="false">IF($G118=0,IF(CH$11=$H118,"◆",""),IF(AND(CH$11&gt;=$H118,CH$11&lt;=$I118),1,""))</f>
        <v/>
      </c>
      <c r="CI118" s="448" t="str">
        <f aca="false">IF($G118=0,IF(CI$11=$H118,"◆",""),IF(AND(CI$11&gt;=$H118,CI$11&lt;=$I118),1,""))</f>
        <v/>
      </c>
      <c r="CJ118" s="448" t="str">
        <f aca="false">IF($G118=0,IF(CJ$11=$H118,"◆",""),IF(AND(CJ$11&gt;=$H118,CJ$11&lt;=$I118),1,""))</f>
        <v/>
      </c>
      <c r="CK118" s="448" t="str">
        <f aca="false">IF($G118=0,IF(CK$11=$H118,"◆",""),IF(AND(CK$11&gt;=$H118,CK$11&lt;=$I118),1,""))</f>
        <v/>
      </c>
      <c r="CL118" s="448" t="str">
        <f aca="false">IF($G118=0,IF(CL$11=$H118,"◆",""),IF(AND(CL$11&gt;=$H118,CL$11&lt;=$I118),1,""))</f>
        <v/>
      </c>
      <c r="CM118" s="448" t="str">
        <f aca="false">IF($G118=0,IF(CM$11=$H118,"◆",""),IF(AND(CM$11&gt;=$H118,CM$11&lt;=$I118),1,""))</f>
        <v/>
      </c>
      <c r="CN118" s="448" t="str">
        <f aca="false">IF($G118=0,IF(CN$11=$H118,"◆",""),IF(AND(CN$11&gt;=$H118,CN$11&lt;=$I118),1,""))</f>
        <v/>
      </c>
      <c r="CO118" s="448" t="str">
        <f aca="false">IF($G118=0,IF(CO$11=$H118,"◆",""),IF(AND(CO$11&gt;=$H118,CO$11&lt;=$I118),1,""))</f>
        <v/>
      </c>
      <c r="CP118" s="448" t="str">
        <f aca="false">IF($G118=0,IF(CP$11=$H118,"◆",""),IF(AND(CP$11&gt;=$H118,CP$11&lt;=$I118),1,""))</f>
        <v/>
      </c>
      <c r="CQ118" s="448" t="str">
        <f aca="false">IF($G118=0,IF(CQ$11=$H118,"◆",""),IF(AND(CQ$11&gt;=$H118,CQ$11&lt;=$I118),1,""))</f>
        <v/>
      </c>
      <c r="CR118" s="448" t="str">
        <f aca="false">IF($G118=0,IF(CR$11=$H118,"◆",""),IF(AND(CR$11&gt;=$H118,CR$11&lt;=$I118),1,""))</f>
        <v/>
      </c>
      <c r="CS118" s="448" t="str">
        <f aca="false">IF($G118=0,IF(CS$11=$H118,"◆",""),IF(AND(CS$11&gt;=$H118,CS$11&lt;=$I118),1,""))</f>
        <v/>
      </c>
      <c r="CT118" s="448" t="str">
        <f aca="false">IF($G118=0,IF(CT$11=$H118,"◆",""),IF(AND(CT$11&gt;=$H118,CT$11&lt;=$I118),1,""))</f>
        <v/>
      </c>
      <c r="CU118" s="448" t="str">
        <f aca="false">IF($G118=0,IF(CU$11=$H118,"◆",""),IF(AND(CU$11&gt;=$H118,CU$11&lt;=$I118),1,""))</f>
        <v/>
      </c>
      <c r="CV118" s="448" t="str">
        <f aca="false">IF($G118=0,IF(CV$11=$H118,"◆",""),IF(AND(CV$11&gt;=$H118,CV$11&lt;=$I118),1,""))</f>
        <v/>
      </c>
      <c r="CW118" s="448" t="str">
        <f aca="false">IF($G118=0,IF(CW$11=$H118,"◆",""),IF(AND(CW$11&gt;=$H118,CW$11&lt;=$I118),1,""))</f>
        <v/>
      </c>
      <c r="CX118" s="448" t="str">
        <f aca="false">IF($G118=0,IF(CX$11=$H118,"◆",""),IF(AND(CX$11&gt;=$H118,CX$11&lt;=$I118),1,""))</f>
        <v/>
      </c>
      <c r="CY118" s="448" t="str">
        <f aca="false">IF($G118=0,IF(CY$11=$H118,"◆",""),IF(AND(CY$11&gt;=$H118,CY$11&lt;=$I118),1,""))</f>
        <v/>
      </c>
      <c r="CZ118" s="448" t="str">
        <f aca="false">IF($G118=0,IF(CZ$11=$H118,"◆",""),IF(AND(CZ$11&gt;=$H118,CZ$11&lt;=$I118),1,""))</f>
        <v/>
      </c>
      <c r="DA118" s="448" t="str">
        <f aca="false">IF($G118=0,IF(DA$11=$H118,"◆",""),IF(AND(DA$11&gt;=$H118,DA$11&lt;=$I118),1,""))</f>
        <v/>
      </c>
      <c r="DB118" s="448" t="str">
        <f aca="false">IF($G118=0,IF(DB$11=$H118,"◆",""),IF(AND(DB$11&gt;=$H118,DB$11&lt;=$I118),1,""))</f>
        <v/>
      </c>
      <c r="DC118" s="448" t="str">
        <f aca="false">IF($G118=0,IF(DC$11=$H118,"◆",""),IF(AND(DC$11&gt;=$H118,DC$11&lt;=$I118),1,""))</f>
        <v/>
      </c>
      <c r="DD118" s="448" t="str">
        <f aca="false">IF($G118=0,IF(DD$11=$H118,"◆",""),IF(AND(DD$11&gt;=$H118,DD$11&lt;=$I118),1,""))</f>
        <v/>
      </c>
      <c r="DE118" s="448" t="str">
        <f aca="false">IF($G118=0,IF(DE$11=$H118,"◆",""),IF(AND(DE$11&gt;=$H118,DE$11&lt;=$I118),1,""))</f>
        <v/>
      </c>
      <c r="DF118" s="448" t="str">
        <f aca="false">IF($G118=0,IF(DF$11=$H118,"◆",""),IF(AND(DF$11&gt;=$H118,DF$11&lt;=$I118),1,""))</f>
        <v/>
      </c>
      <c r="DG118" s="448" t="str">
        <f aca="false">IF($G118=0,IF(DG$11=$H118,"◆",""),IF(AND(DG$11&gt;=$H118,DG$11&lt;=$I118),1,""))</f>
        <v/>
      </c>
      <c r="DH118" s="448" t="str">
        <f aca="false">IF($G118=0,IF(DH$11=$H118,"◆",""),IF(AND(DH$11&gt;=$H118,DH$11&lt;=$I118),1,""))</f>
        <v/>
      </c>
      <c r="DI118" s="448" t="str">
        <f aca="false">IF($G118=0,IF(DI$11=$H118,"◆",""),IF(AND(DI$11&gt;=$H118,DI$11&lt;=$I118),1,""))</f>
        <v/>
      </c>
      <c r="DJ118" s="448" t="str">
        <f aca="false">IF($G118=0,IF(DJ$11=$H118,"◆",""),IF(AND(DJ$11&gt;=$H118,DJ$11&lt;=$I118),1,""))</f>
        <v/>
      </c>
      <c r="DK118" s="448" t="str">
        <f aca="false">IF($G118=0,IF(DK$11=$H118,"◆",""),IF(AND(DK$11&gt;=$H118,DK$11&lt;=$I118),1,""))</f>
        <v/>
      </c>
      <c r="DL118" s="448" t="str">
        <f aca="false">IF($G118=0,IF(DL$11=$H118,"◆",""),IF(AND(DL$11&gt;=$H118,DL$11&lt;=$I118),1,""))</f>
        <v/>
      </c>
      <c r="DM118" s="448" t="str">
        <f aca="false">IF($G118=0,IF(DM$11=$H118,"◆",""),IF(AND(DM$11&gt;=$H118,DM$11&lt;=$I118),1,""))</f>
        <v/>
      </c>
      <c r="DN118" s="448" t="str">
        <f aca="false">IF($G118=0,IF(DN$11=$H118,"◆",""),IF(AND(DN$11&gt;=$H118,DN$11&lt;=$I118),1,""))</f>
        <v/>
      </c>
      <c r="DO118" s="448" t="str">
        <f aca="false">IF($G118=0,IF(DO$11=$H118,"◆",""),IF(AND(DO$11&gt;=$H118,DO$11&lt;=$I118),1,""))</f>
        <v/>
      </c>
      <c r="DP118" s="448" t="str">
        <f aca="false">IF($G118=0,IF(DP$11=$H118,"◆",""),IF(AND(DP$11&gt;=$H118,DP$11&lt;=$I118),1,""))</f>
        <v/>
      </c>
      <c r="DQ118" s="448" t="str">
        <f aca="false">IF($G118=0,IF(DQ$11=$H118,"◆",""),IF(AND(DQ$11&gt;=$H118,DQ$11&lt;=$I118),1,""))</f>
        <v/>
      </c>
      <c r="DR118" s="448" t="str">
        <f aca="false">IF($G118=0,IF(DR$11=$H118,"◆",""),IF(AND(DR$11&gt;=$H118,DR$11&lt;=$I118),1,""))</f>
        <v/>
      </c>
      <c r="DS118" s="448" t="str">
        <f aca="false">IF($G118=0,IF(DS$11=$H118,"◆",""),IF(AND(DS$11&gt;=$H118,DS$11&lt;=$I118),1,""))</f>
        <v/>
      </c>
      <c r="DT118" s="448" t="str">
        <f aca="false">IF($G118=0,IF(DT$11=$H118,"◆",""),IF(AND(DT$11&gt;=$H118,DT$11&lt;=$I118),1,""))</f>
        <v/>
      </c>
      <c r="DU118" s="448" t="str">
        <f aca="false">IF($G118=0,IF(DU$11=$H118,"◆",""),IF(AND(DU$11&gt;=$H118,DU$11&lt;=$I118),1,""))</f>
        <v/>
      </c>
      <c r="DV118" s="448" t="str">
        <f aca="false">IF($G118=0,IF(DV$11=$H118,"◆",""),IF(AND(DV$11&gt;=$H118,DV$11&lt;=$I118),1,""))</f>
        <v/>
      </c>
      <c r="DW118" s="448" t="str">
        <f aca="false">IF($G118=0,IF(DW$11=$H118,"◆",""),IF(AND(DW$11&gt;=$H118,DW$11&lt;=$I118),1,""))</f>
        <v/>
      </c>
      <c r="DX118" s="448" t="str">
        <f aca="false">IF($G118=0,IF(DX$11=$H118,"◆",""),IF(AND(DX$11&gt;=$H118,DX$11&lt;=$I118),1,""))</f>
        <v/>
      </c>
      <c r="DY118" s="448" t="str">
        <f aca="false">IF($G118=0,IF(DY$11=$H118,"◆",""),IF(AND(DY$11&gt;=$H118,DY$11&lt;=$I118),1,""))</f>
        <v/>
      </c>
      <c r="DZ118" s="448" t="str">
        <f aca="false">IF($G118=0,IF(DZ$11=$H118,"◆",""),IF(AND(DZ$11&gt;=$H118,DZ$11&lt;=$I118),1,""))</f>
        <v/>
      </c>
      <c r="EA118" s="448" t="str">
        <f aca="false">IF($G118=0,IF(EA$11=$H118,"◆",""),IF(AND(EA$11&gt;=$H118,EA$11&lt;=$I118),1,""))</f>
        <v/>
      </c>
      <c r="EB118" s="448" t="str">
        <f aca="false">IF($G118=0,IF(EB$11=$H118,"◆",""),IF(AND(EB$11&gt;=$H118,EB$11&lt;=$I118),1,""))</f>
        <v/>
      </c>
      <c r="EC118" s="448" t="str">
        <f aca="false">IF($G118=0,IF(EC$11=$H118,"◆",""),IF(AND(EC$11&gt;=$H118,EC$11&lt;=$I118),1,""))</f>
        <v/>
      </c>
      <c r="ED118" s="448" t="str">
        <f aca="false">IF($G118=0,IF(ED$11=$H118,"◆",""),IF(AND(ED$11&gt;=$H118,ED$11&lt;=$I118),1,""))</f>
        <v/>
      </c>
    </row>
    <row r="119" customFormat="false" ht="15" hidden="false" customHeight="true" outlineLevel="0" collapsed="false">
      <c r="A119" s="450" t="s">
        <v>2682</v>
      </c>
      <c r="B119" s="421" t="s">
        <v>2683</v>
      </c>
      <c r="C119" s="442" t="s">
        <v>2480</v>
      </c>
      <c r="D119" s="443" t="s">
        <v>2634</v>
      </c>
      <c r="E119" s="354" t="n">
        <f aca="false">FC_SUPUESTOS!$C$40</f>
        <v>10</v>
      </c>
      <c r="F119" s="352" t="n">
        <v>-1</v>
      </c>
      <c r="G119" s="352" t="n">
        <v>0</v>
      </c>
      <c r="H119" s="358" t="n">
        <f aca="false">MAX(1,ROUND(($E119-1)*$D$5,0)+1+$F119)</f>
        <v>39</v>
      </c>
      <c r="I119" s="358" t="n">
        <f aca="false">MAX($H119,$H119+$G119-1)</f>
        <v>39</v>
      </c>
      <c r="J119" s="451" t="n">
        <f aca="false">$D$4+($H119-1)*7</f>
        <v>46566</v>
      </c>
      <c r="K119" s="451" t="n">
        <f aca="false">$D$4+$I119*7-1</f>
        <v>46572</v>
      </c>
      <c r="L119" s="445" t="n">
        <f aca="false">ROUNDUP($H119/$D$5,0)</f>
        <v>9</v>
      </c>
      <c r="M119" s="446" t="s">
        <v>2453</v>
      </c>
      <c r="N119" s="447" t="n">
        <v>0</v>
      </c>
      <c r="O119" s="448" t="str">
        <f aca="false">IF($G119=0,IF(O$11=$H119,"◆",""),IF(AND(O$11&gt;=$H119,O$11&lt;=$I119),1,""))</f>
        <v/>
      </c>
      <c r="P119" s="448" t="str">
        <f aca="false">IF($G119=0,IF(P$11=$H119,"◆",""),IF(AND(P$11&gt;=$H119,P$11&lt;=$I119),1,""))</f>
        <v/>
      </c>
      <c r="Q119" s="448" t="str">
        <f aca="false">IF($G119=0,IF(Q$11=$H119,"◆",""),IF(AND(Q$11&gt;=$H119,Q$11&lt;=$I119),1,""))</f>
        <v/>
      </c>
      <c r="R119" s="448" t="str">
        <f aca="false">IF($G119=0,IF(R$11=$H119,"◆",""),IF(AND(R$11&gt;=$H119,R$11&lt;=$I119),1,""))</f>
        <v/>
      </c>
      <c r="S119" s="448" t="str">
        <f aca="false">IF($G119=0,IF(S$11=$H119,"◆",""),IF(AND(S$11&gt;=$H119,S$11&lt;=$I119),1,""))</f>
        <v/>
      </c>
      <c r="T119" s="448" t="str">
        <f aca="false">IF($G119=0,IF(T$11=$H119,"◆",""),IF(AND(T$11&gt;=$H119,T$11&lt;=$I119),1,""))</f>
        <v/>
      </c>
      <c r="U119" s="448" t="str">
        <f aca="false">IF($G119=0,IF(U$11=$H119,"◆",""),IF(AND(U$11&gt;=$H119,U$11&lt;=$I119),1,""))</f>
        <v/>
      </c>
      <c r="V119" s="448" t="str">
        <f aca="false">IF($G119=0,IF(V$11=$H119,"◆",""),IF(AND(V$11&gt;=$H119,V$11&lt;=$I119),1,""))</f>
        <v/>
      </c>
      <c r="W119" s="448" t="str">
        <f aca="false">IF($G119=0,IF(W$11=$H119,"◆",""),IF(AND(W$11&gt;=$H119,W$11&lt;=$I119),1,""))</f>
        <v/>
      </c>
      <c r="X119" s="448" t="str">
        <f aca="false">IF($G119=0,IF(X$11=$H119,"◆",""),IF(AND(X$11&gt;=$H119,X$11&lt;=$I119),1,""))</f>
        <v/>
      </c>
      <c r="Y119" s="448" t="str">
        <f aca="false">IF($G119=0,IF(Y$11=$H119,"◆",""),IF(AND(Y$11&gt;=$H119,Y$11&lt;=$I119),1,""))</f>
        <v/>
      </c>
      <c r="Z119" s="448" t="str">
        <f aca="false">IF($G119=0,IF(Z$11=$H119,"◆",""),IF(AND(Z$11&gt;=$H119,Z$11&lt;=$I119),1,""))</f>
        <v/>
      </c>
      <c r="AA119" s="448" t="str">
        <f aca="false">IF($G119=0,IF(AA$11=$H119,"◆",""),IF(AND(AA$11&gt;=$H119,AA$11&lt;=$I119),1,""))</f>
        <v/>
      </c>
      <c r="AB119" s="448" t="str">
        <f aca="false">IF($G119=0,IF(AB$11=$H119,"◆",""),IF(AND(AB$11&gt;=$H119,AB$11&lt;=$I119),1,""))</f>
        <v/>
      </c>
      <c r="AC119" s="448" t="str">
        <f aca="false">IF($G119=0,IF(AC$11=$H119,"◆",""),IF(AND(AC$11&gt;=$H119,AC$11&lt;=$I119),1,""))</f>
        <v/>
      </c>
      <c r="AD119" s="448" t="str">
        <f aca="false">IF($G119=0,IF(AD$11=$H119,"◆",""),IF(AND(AD$11&gt;=$H119,AD$11&lt;=$I119),1,""))</f>
        <v/>
      </c>
      <c r="AE119" s="448" t="str">
        <f aca="false">IF($G119=0,IF(AE$11=$H119,"◆",""),IF(AND(AE$11&gt;=$H119,AE$11&lt;=$I119),1,""))</f>
        <v/>
      </c>
      <c r="AF119" s="448" t="str">
        <f aca="false">IF($G119=0,IF(AF$11=$H119,"◆",""),IF(AND(AF$11&gt;=$H119,AF$11&lt;=$I119),1,""))</f>
        <v/>
      </c>
      <c r="AG119" s="448" t="str">
        <f aca="false">IF($G119=0,IF(AG$11=$H119,"◆",""),IF(AND(AG$11&gt;=$H119,AG$11&lt;=$I119),1,""))</f>
        <v/>
      </c>
      <c r="AH119" s="448" t="str">
        <f aca="false">IF($G119=0,IF(AH$11=$H119,"◆",""),IF(AND(AH$11&gt;=$H119,AH$11&lt;=$I119),1,""))</f>
        <v/>
      </c>
      <c r="AI119" s="448" t="str">
        <f aca="false">IF($G119=0,IF(AI$11=$H119,"◆",""),IF(AND(AI$11&gt;=$H119,AI$11&lt;=$I119),1,""))</f>
        <v/>
      </c>
      <c r="AJ119" s="448" t="str">
        <f aca="false">IF($G119=0,IF(AJ$11=$H119,"◆",""),IF(AND(AJ$11&gt;=$H119,AJ$11&lt;=$I119),1,""))</f>
        <v/>
      </c>
      <c r="AK119" s="448" t="str">
        <f aca="false">IF($G119=0,IF(AK$11=$H119,"◆",""),IF(AND(AK$11&gt;=$H119,AK$11&lt;=$I119),1,""))</f>
        <v/>
      </c>
      <c r="AL119" s="448" t="str">
        <f aca="false">IF($G119=0,IF(AL$11=$H119,"◆",""),IF(AND(AL$11&gt;=$H119,AL$11&lt;=$I119),1,""))</f>
        <v/>
      </c>
      <c r="AM119" s="448" t="str">
        <f aca="false">IF($G119=0,IF(AM$11=$H119,"◆",""),IF(AND(AM$11&gt;=$H119,AM$11&lt;=$I119),1,""))</f>
        <v/>
      </c>
      <c r="AN119" s="448" t="str">
        <f aca="false">IF($G119=0,IF(AN$11=$H119,"◆",""),IF(AND(AN$11&gt;=$H119,AN$11&lt;=$I119),1,""))</f>
        <v/>
      </c>
      <c r="AO119" s="448" t="str">
        <f aca="false">IF($G119=0,IF(AO$11=$H119,"◆",""),IF(AND(AO$11&gt;=$H119,AO$11&lt;=$I119),1,""))</f>
        <v/>
      </c>
      <c r="AP119" s="448" t="str">
        <f aca="false">IF($G119=0,IF(AP$11=$H119,"◆",""),IF(AND(AP$11&gt;=$H119,AP$11&lt;=$I119),1,""))</f>
        <v/>
      </c>
      <c r="AQ119" s="448" t="str">
        <f aca="false">IF($G119=0,IF(AQ$11=$H119,"◆",""),IF(AND(AQ$11&gt;=$H119,AQ$11&lt;=$I119),1,""))</f>
        <v/>
      </c>
      <c r="AR119" s="448" t="str">
        <f aca="false">IF($G119=0,IF(AR$11=$H119,"◆",""),IF(AND(AR$11&gt;=$H119,AR$11&lt;=$I119),1,""))</f>
        <v/>
      </c>
      <c r="AS119" s="448" t="str">
        <f aca="false">IF($G119=0,IF(AS$11=$H119,"◆",""),IF(AND(AS$11&gt;=$H119,AS$11&lt;=$I119),1,""))</f>
        <v/>
      </c>
      <c r="AT119" s="448" t="str">
        <f aca="false">IF($G119=0,IF(AT$11=$H119,"◆",""),IF(AND(AT$11&gt;=$H119,AT$11&lt;=$I119),1,""))</f>
        <v/>
      </c>
      <c r="AU119" s="448" t="str">
        <f aca="false">IF($G119=0,IF(AU$11=$H119,"◆",""),IF(AND(AU$11&gt;=$H119,AU$11&lt;=$I119),1,""))</f>
        <v/>
      </c>
      <c r="AV119" s="448" t="str">
        <f aca="false">IF($G119=0,IF(AV$11=$H119,"◆",""),IF(AND(AV$11&gt;=$H119,AV$11&lt;=$I119),1,""))</f>
        <v/>
      </c>
      <c r="AW119" s="448" t="str">
        <f aca="false">IF($G119=0,IF(AW$11=$H119,"◆",""),IF(AND(AW$11&gt;=$H119,AW$11&lt;=$I119),1,""))</f>
        <v/>
      </c>
      <c r="AX119" s="448" t="str">
        <f aca="false">IF($G119=0,IF(AX$11=$H119,"◆",""),IF(AND(AX$11&gt;=$H119,AX$11&lt;=$I119),1,""))</f>
        <v/>
      </c>
      <c r="AY119" s="448" t="str">
        <f aca="false">IF($G119=0,IF(AY$11=$H119,"◆",""),IF(AND(AY$11&gt;=$H119,AY$11&lt;=$I119),1,""))</f>
        <v/>
      </c>
      <c r="AZ119" s="448" t="str">
        <f aca="false">IF($G119=0,IF(AZ$11=$H119,"◆",""),IF(AND(AZ$11&gt;=$H119,AZ$11&lt;=$I119),1,""))</f>
        <v/>
      </c>
      <c r="BA119" s="448" t="str">
        <f aca="false">IF($G119=0,IF(BA$11=$H119,"◆",""),IF(AND(BA$11&gt;=$H119,BA$11&lt;=$I119),1,""))</f>
        <v>◆</v>
      </c>
      <c r="BB119" s="448" t="str">
        <f aca="false">IF($G119=0,IF(BB$11=$H119,"◆",""),IF(AND(BB$11&gt;=$H119,BB$11&lt;=$I119),1,""))</f>
        <v/>
      </c>
      <c r="BC119" s="448" t="str">
        <f aca="false">IF($G119=0,IF(BC$11=$H119,"◆",""),IF(AND(BC$11&gt;=$H119,BC$11&lt;=$I119),1,""))</f>
        <v/>
      </c>
      <c r="BD119" s="448" t="str">
        <f aca="false">IF($G119=0,IF(BD$11=$H119,"◆",""),IF(AND(BD$11&gt;=$H119,BD$11&lt;=$I119),1,""))</f>
        <v/>
      </c>
      <c r="BE119" s="448" t="str">
        <f aca="false">IF($G119=0,IF(BE$11=$H119,"◆",""),IF(AND(BE$11&gt;=$H119,BE$11&lt;=$I119),1,""))</f>
        <v/>
      </c>
      <c r="BF119" s="448" t="str">
        <f aca="false">IF($G119=0,IF(BF$11=$H119,"◆",""),IF(AND(BF$11&gt;=$H119,BF$11&lt;=$I119),1,""))</f>
        <v/>
      </c>
      <c r="BG119" s="448" t="str">
        <f aca="false">IF($G119=0,IF(BG$11=$H119,"◆",""),IF(AND(BG$11&gt;=$H119,BG$11&lt;=$I119),1,""))</f>
        <v/>
      </c>
      <c r="BH119" s="448" t="str">
        <f aca="false">IF($G119=0,IF(BH$11=$H119,"◆",""),IF(AND(BH$11&gt;=$H119,BH$11&lt;=$I119),1,""))</f>
        <v/>
      </c>
      <c r="BI119" s="448" t="str">
        <f aca="false">IF($G119=0,IF(BI$11=$H119,"◆",""),IF(AND(BI$11&gt;=$H119,BI$11&lt;=$I119),1,""))</f>
        <v/>
      </c>
      <c r="BJ119" s="448" t="str">
        <f aca="false">IF($G119=0,IF(BJ$11=$H119,"◆",""),IF(AND(BJ$11&gt;=$H119,BJ$11&lt;=$I119),1,""))</f>
        <v/>
      </c>
      <c r="BK119" s="448" t="str">
        <f aca="false">IF($G119=0,IF(BK$11=$H119,"◆",""),IF(AND(BK$11&gt;=$H119,BK$11&lt;=$I119),1,""))</f>
        <v/>
      </c>
      <c r="BL119" s="448" t="str">
        <f aca="false">IF($G119=0,IF(BL$11=$H119,"◆",""),IF(AND(BL$11&gt;=$H119,BL$11&lt;=$I119),1,""))</f>
        <v/>
      </c>
      <c r="BM119" s="448" t="str">
        <f aca="false">IF($G119=0,IF(BM$11=$H119,"◆",""),IF(AND(BM$11&gt;=$H119,BM$11&lt;=$I119),1,""))</f>
        <v/>
      </c>
      <c r="BN119" s="448" t="str">
        <f aca="false">IF($G119=0,IF(BN$11=$H119,"◆",""),IF(AND(BN$11&gt;=$H119,BN$11&lt;=$I119),1,""))</f>
        <v/>
      </c>
      <c r="BO119" s="448" t="str">
        <f aca="false">IF($G119=0,IF(BO$11=$H119,"◆",""),IF(AND(BO$11&gt;=$H119,BO$11&lt;=$I119),1,""))</f>
        <v/>
      </c>
      <c r="BP119" s="448" t="str">
        <f aca="false">IF($G119=0,IF(BP$11=$H119,"◆",""),IF(AND(BP$11&gt;=$H119,BP$11&lt;=$I119),1,""))</f>
        <v/>
      </c>
      <c r="BQ119" s="448" t="str">
        <f aca="false">IF($G119=0,IF(BQ$11=$H119,"◆",""),IF(AND(BQ$11&gt;=$H119,BQ$11&lt;=$I119),1,""))</f>
        <v/>
      </c>
      <c r="BR119" s="448" t="str">
        <f aca="false">IF($G119=0,IF(BR$11=$H119,"◆",""),IF(AND(BR$11&gt;=$H119,BR$11&lt;=$I119),1,""))</f>
        <v/>
      </c>
      <c r="BS119" s="448" t="str">
        <f aca="false">IF($G119=0,IF(BS$11=$H119,"◆",""),IF(AND(BS$11&gt;=$H119,BS$11&lt;=$I119),1,""))</f>
        <v/>
      </c>
      <c r="BT119" s="448" t="str">
        <f aca="false">IF($G119=0,IF(BT$11=$H119,"◆",""),IF(AND(BT$11&gt;=$H119,BT$11&lt;=$I119),1,""))</f>
        <v/>
      </c>
      <c r="BU119" s="448" t="str">
        <f aca="false">IF($G119=0,IF(BU$11=$H119,"◆",""),IF(AND(BU$11&gt;=$H119,BU$11&lt;=$I119),1,""))</f>
        <v/>
      </c>
      <c r="BV119" s="448" t="str">
        <f aca="false">IF($G119=0,IF(BV$11=$H119,"◆",""),IF(AND(BV$11&gt;=$H119,BV$11&lt;=$I119),1,""))</f>
        <v/>
      </c>
      <c r="BW119" s="448" t="str">
        <f aca="false">IF($G119=0,IF(BW$11=$H119,"◆",""),IF(AND(BW$11&gt;=$H119,BW$11&lt;=$I119),1,""))</f>
        <v/>
      </c>
      <c r="BX119" s="448" t="str">
        <f aca="false">IF($G119=0,IF(BX$11=$H119,"◆",""),IF(AND(BX$11&gt;=$H119,BX$11&lt;=$I119),1,""))</f>
        <v/>
      </c>
      <c r="BY119" s="448" t="str">
        <f aca="false">IF($G119=0,IF(BY$11=$H119,"◆",""),IF(AND(BY$11&gt;=$H119,BY$11&lt;=$I119),1,""))</f>
        <v/>
      </c>
      <c r="BZ119" s="448" t="str">
        <f aca="false">IF($G119=0,IF(BZ$11=$H119,"◆",""),IF(AND(BZ$11&gt;=$H119,BZ$11&lt;=$I119),1,""))</f>
        <v/>
      </c>
      <c r="CA119" s="448" t="str">
        <f aca="false">IF($G119=0,IF(CA$11=$H119,"◆",""),IF(AND(CA$11&gt;=$H119,CA$11&lt;=$I119),1,""))</f>
        <v/>
      </c>
      <c r="CB119" s="448" t="str">
        <f aca="false">IF($G119=0,IF(CB$11=$H119,"◆",""),IF(AND(CB$11&gt;=$H119,CB$11&lt;=$I119),1,""))</f>
        <v/>
      </c>
      <c r="CC119" s="448" t="str">
        <f aca="false">IF($G119=0,IF(CC$11=$H119,"◆",""),IF(AND(CC$11&gt;=$H119,CC$11&lt;=$I119),1,""))</f>
        <v/>
      </c>
      <c r="CD119" s="448" t="str">
        <f aca="false">IF($G119=0,IF(CD$11=$H119,"◆",""),IF(AND(CD$11&gt;=$H119,CD$11&lt;=$I119),1,""))</f>
        <v/>
      </c>
      <c r="CE119" s="448" t="str">
        <f aca="false">IF($G119=0,IF(CE$11=$H119,"◆",""),IF(AND(CE$11&gt;=$H119,CE$11&lt;=$I119),1,""))</f>
        <v/>
      </c>
      <c r="CF119" s="448" t="str">
        <f aca="false">IF($G119=0,IF(CF$11=$H119,"◆",""),IF(AND(CF$11&gt;=$H119,CF$11&lt;=$I119),1,""))</f>
        <v/>
      </c>
      <c r="CG119" s="448" t="str">
        <f aca="false">IF($G119=0,IF(CG$11=$H119,"◆",""),IF(AND(CG$11&gt;=$H119,CG$11&lt;=$I119),1,""))</f>
        <v/>
      </c>
      <c r="CH119" s="448" t="str">
        <f aca="false">IF($G119=0,IF(CH$11=$H119,"◆",""),IF(AND(CH$11&gt;=$H119,CH$11&lt;=$I119),1,""))</f>
        <v/>
      </c>
      <c r="CI119" s="448" t="str">
        <f aca="false">IF($G119=0,IF(CI$11=$H119,"◆",""),IF(AND(CI$11&gt;=$H119,CI$11&lt;=$I119),1,""))</f>
        <v/>
      </c>
      <c r="CJ119" s="448" t="str">
        <f aca="false">IF($G119=0,IF(CJ$11=$H119,"◆",""),IF(AND(CJ$11&gt;=$H119,CJ$11&lt;=$I119),1,""))</f>
        <v/>
      </c>
      <c r="CK119" s="448" t="str">
        <f aca="false">IF($G119=0,IF(CK$11=$H119,"◆",""),IF(AND(CK$11&gt;=$H119,CK$11&lt;=$I119),1,""))</f>
        <v/>
      </c>
      <c r="CL119" s="448" t="str">
        <f aca="false">IF($G119=0,IF(CL$11=$H119,"◆",""),IF(AND(CL$11&gt;=$H119,CL$11&lt;=$I119),1,""))</f>
        <v/>
      </c>
      <c r="CM119" s="448" t="str">
        <f aca="false">IF($G119=0,IF(CM$11=$H119,"◆",""),IF(AND(CM$11&gt;=$H119,CM$11&lt;=$I119),1,""))</f>
        <v/>
      </c>
      <c r="CN119" s="448" t="str">
        <f aca="false">IF($G119=0,IF(CN$11=$H119,"◆",""),IF(AND(CN$11&gt;=$H119,CN$11&lt;=$I119),1,""))</f>
        <v/>
      </c>
      <c r="CO119" s="448" t="str">
        <f aca="false">IF($G119=0,IF(CO$11=$H119,"◆",""),IF(AND(CO$11&gt;=$H119,CO$11&lt;=$I119),1,""))</f>
        <v/>
      </c>
      <c r="CP119" s="448" t="str">
        <f aca="false">IF($G119=0,IF(CP$11=$H119,"◆",""),IF(AND(CP$11&gt;=$H119,CP$11&lt;=$I119),1,""))</f>
        <v/>
      </c>
      <c r="CQ119" s="448" t="str">
        <f aca="false">IF($G119=0,IF(CQ$11=$H119,"◆",""),IF(AND(CQ$11&gt;=$H119,CQ$11&lt;=$I119),1,""))</f>
        <v/>
      </c>
      <c r="CR119" s="448" t="str">
        <f aca="false">IF($G119=0,IF(CR$11=$H119,"◆",""),IF(AND(CR$11&gt;=$H119,CR$11&lt;=$I119),1,""))</f>
        <v/>
      </c>
      <c r="CS119" s="448" t="str">
        <f aca="false">IF($G119=0,IF(CS$11=$H119,"◆",""),IF(AND(CS$11&gt;=$H119,CS$11&lt;=$I119),1,""))</f>
        <v/>
      </c>
      <c r="CT119" s="448" t="str">
        <f aca="false">IF($G119=0,IF(CT$11=$H119,"◆",""),IF(AND(CT$11&gt;=$H119,CT$11&lt;=$I119),1,""))</f>
        <v/>
      </c>
      <c r="CU119" s="448" t="str">
        <f aca="false">IF($G119=0,IF(CU$11=$H119,"◆",""),IF(AND(CU$11&gt;=$H119,CU$11&lt;=$I119),1,""))</f>
        <v/>
      </c>
      <c r="CV119" s="448" t="str">
        <f aca="false">IF($G119=0,IF(CV$11=$H119,"◆",""),IF(AND(CV$11&gt;=$H119,CV$11&lt;=$I119),1,""))</f>
        <v/>
      </c>
      <c r="CW119" s="448" t="str">
        <f aca="false">IF($G119=0,IF(CW$11=$H119,"◆",""),IF(AND(CW$11&gt;=$H119,CW$11&lt;=$I119),1,""))</f>
        <v/>
      </c>
      <c r="CX119" s="448" t="str">
        <f aca="false">IF($G119=0,IF(CX$11=$H119,"◆",""),IF(AND(CX$11&gt;=$H119,CX$11&lt;=$I119),1,""))</f>
        <v/>
      </c>
      <c r="CY119" s="448" t="str">
        <f aca="false">IF($G119=0,IF(CY$11=$H119,"◆",""),IF(AND(CY$11&gt;=$H119,CY$11&lt;=$I119),1,""))</f>
        <v/>
      </c>
      <c r="CZ119" s="448" t="str">
        <f aca="false">IF($G119=0,IF(CZ$11=$H119,"◆",""),IF(AND(CZ$11&gt;=$H119,CZ$11&lt;=$I119),1,""))</f>
        <v/>
      </c>
      <c r="DA119" s="448" t="str">
        <f aca="false">IF($G119=0,IF(DA$11=$H119,"◆",""),IF(AND(DA$11&gt;=$H119,DA$11&lt;=$I119),1,""))</f>
        <v/>
      </c>
      <c r="DB119" s="448" t="str">
        <f aca="false">IF($G119=0,IF(DB$11=$H119,"◆",""),IF(AND(DB$11&gt;=$H119,DB$11&lt;=$I119),1,""))</f>
        <v/>
      </c>
      <c r="DC119" s="448" t="str">
        <f aca="false">IF($G119=0,IF(DC$11=$H119,"◆",""),IF(AND(DC$11&gt;=$H119,DC$11&lt;=$I119),1,""))</f>
        <v/>
      </c>
      <c r="DD119" s="448" t="str">
        <f aca="false">IF($G119=0,IF(DD$11=$H119,"◆",""),IF(AND(DD$11&gt;=$H119,DD$11&lt;=$I119),1,""))</f>
        <v/>
      </c>
      <c r="DE119" s="448" t="str">
        <f aca="false">IF($G119=0,IF(DE$11=$H119,"◆",""),IF(AND(DE$11&gt;=$H119,DE$11&lt;=$I119),1,""))</f>
        <v/>
      </c>
      <c r="DF119" s="448" t="str">
        <f aca="false">IF($G119=0,IF(DF$11=$H119,"◆",""),IF(AND(DF$11&gt;=$H119,DF$11&lt;=$I119),1,""))</f>
        <v/>
      </c>
      <c r="DG119" s="448" t="str">
        <f aca="false">IF($G119=0,IF(DG$11=$H119,"◆",""),IF(AND(DG$11&gt;=$H119,DG$11&lt;=$I119),1,""))</f>
        <v/>
      </c>
      <c r="DH119" s="448" t="str">
        <f aca="false">IF($G119=0,IF(DH$11=$H119,"◆",""),IF(AND(DH$11&gt;=$H119,DH$11&lt;=$I119),1,""))</f>
        <v/>
      </c>
      <c r="DI119" s="448" t="str">
        <f aca="false">IF($G119=0,IF(DI$11=$H119,"◆",""),IF(AND(DI$11&gt;=$H119,DI$11&lt;=$I119),1,""))</f>
        <v/>
      </c>
      <c r="DJ119" s="448" t="str">
        <f aca="false">IF($G119=0,IF(DJ$11=$H119,"◆",""),IF(AND(DJ$11&gt;=$H119,DJ$11&lt;=$I119),1,""))</f>
        <v/>
      </c>
      <c r="DK119" s="448" t="str">
        <f aca="false">IF($G119=0,IF(DK$11=$H119,"◆",""),IF(AND(DK$11&gt;=$H119,DK$11&lt;=$I119),1,""))</f>
        <v/>
      </c>
      <c r="DL119" s="448" t="str">
        <f aca="false">IF($G119=0,IF(DL$11=$H119,"◆",""),IF(AND(DL$11&gt;=$H119,DL$11&lt;=$I119),1,""))</f>
        <v/>
      </c>
      <c r="DM119" s="448" t="str">
        <f aca="false">IF($G119=0,IF(DM$11=$H119,"◆",""),IF(AND(DM$11&gt;=$H119,DM$11&lt;=$I119),1,""))</f>
        <v/>
      </c>
      <c r="DN119" s="448" t="str">
        <f aca="false">IF($G119=0,IF(DN$11=$H119,"◆",""),IF(AND(DN$11&gt;=$H119,DN$11&lt;=$I119),1,""))</f>
        <v/>
      </c>
      <c r="DO119" s="448" t="str">
        <f aca="false">IF($G119=0,IF(DO$11=$H119,"◆",""),IF(AND(DO$11&gt;=$H119,DO$11&lt;=$I119),1,""))</f>
        <v/>
      </c>
      <c r="DP119" s="448" t="str">
        <f aca="false">IF($G119=0,IF(DP$11=$H119,"◆",""),IF(AND(DP$11&gt;=$H119,DP$11&lt;=$I119),1,""))</f>
        <v/>
      </c>
      <c r="DQ119" s="448" t="str">
        <f aca="false">IF($G119=0,IF(DQ$11=$H119,"◆",""),IF(AND(DQ$11&gt;=$H119,DQ$11&lt;=$I119),1,""))</f>
        <v/>
      </c>
      <c r="DR119" s="448" t="str">
        <f aca="false">IF($G119=0,IF(DR$11=$H119,"◆",""),IF(AND(DR$11&gt;=$H119,DR$11&lt;=$I119),1,""))</f>
        <v/>
      </c>
      <c r="DS119" s="448" t="str">
        <f aca="false">IF($G119=0,IF(DS$11=$H119,"◆",""),IF(AND(DS$11&gt;=$H119,DS$11&lt;=$I119),1,""))</f>
        <v/>
      </c>
      <c r="DT119" s="448" t="str">
        <f aca="false">IF($G119=0,IF(DT$11=$H119,"◆",""),IF(AND(DT$11&gt;=$H119,DT$11&lt;=$I119),1,""))</f>
        <v/>
      </c>
      <c r="DU119" s="448" t="str">
        <f aca="false">IF($G119=0,IF(DU$11=$H119,"◆",""),IF(AND(DU$11&gt;=$H119,DU$11&lt;=$I119),1,""))</f>
        <v/>
      </c>
      <c r="DV119" s="448" t="str">
        <f aca="false">IF($G119=0,IF(DV$11=$H119,"◆",""),IF(AND(DV$11&gt;=$H119,DV$11&lt;=$I119),1,""))</f>
        <v/>
      </c>
      <c r="DW119" s="448" t="str">
        <f aca="false">IF($G119=0,IF(DW$11=$H119,"◆",""),IF(AND(DW$11&gt;=$H119,DW$11&lt;=$I119),1,""))</f>
        <v/>
      </c>
      <c r="DX119" s="448" t="str">
        <f aca="false">IF($G119=0,IF(DX$11=$H119,"◆",""),IF(AND(DX$11&gt;=$H119,DX$11&lt;=$I119),1,""))</f>
        <v/>
      </c>
      <c r="DY119" s="448" t="str">
        <f aca="false">IF($G119=0,IF(DY$11=$H119,"◆",""),IF(AND(DY$11&gt;=$H119,DY$11&lt;=$I119),1,""))</f>
        <v/>
      </c>
      <c r="DZ119" s="448" t="str">
        <f aca="false">IF($G119=0,IF(DZ$11=$H119,"◆",""),IF(AND(DZ$11&gt;=$H119,DZ$11&lt;=$I119),1,""))</f>
        <v/>
      </c>
      <c r="EA119" s="448" t="str">
        <f aca="false">IF($G119=0,IF(EA$11=$H119,"◆",""),IF(AND(EA$11&gt;=$H119,EA$11&lt;=$I119),1,""))</f>
        <v/>
      </c>
      <c r="EB119" s="448" t="str">
        <f aca="false">IF($G119=0,IF(EB$11=$H119,"◆",""),IF(AND(EB$11&gt;=$H119,EB$11&lt;=$I119),1,""))</f>
        <v/>
      </c>
      <c r="EC119" s="448" t="str">
        <f aca="false">IF($G119=0,IF(EC$11=$H119,"◆",""),IF(AND(EC$11&gt;=$H119,EC$11&lt;=$I119),1,""))</f>
        <v/>
      </c>
      <c r="ED119" s="448" t="str">
        <f aca="false">IF($G119=0,IF(ED$11=$H119,"◆",""),IF(AND(ED$11&gt;=$H119,ED$11&lt;=$I119),1,""))</f>
        <v/>
      </c>
    </row>
    <row r="120" customFormat="false" ht="15" hidden="false" customHeight="true" outlineLevel="0" collapsed="false">
      <c r="A120" s="441" t="s">
        <v>2684</v>
      </c>
      <c r="B120" s="297" t="s">
        <v>2685</v>
      </c>
      <c r="C120" s="442" t="s">
        <v>2480</v>
      </c>
      <c r="D120" s="443" t="s">
        <v>2634</v>
      </c>
      <c r="E120" s="354" t="n">
        <f aca="false">FC_SUPUESTOS!$C$40</f>
        <v>10</v>
      </c>
      <c r="F120" s="352" t="n">
        <v>0</v>
      </c>
      <c r="G120" s="352" t="n">
        <v>22</v>
      </c>
      <c r="H120" s="367" t="n">
        <f aca="false">MAX(1,ROUND(($E120-1)*$D$5,0)+1+$F120)</f>
        <v>40</v>
      </c>
      <c r="I120" s="367" t="n">
        <f aca="false">MAX($H120,$H120+$G120-1)</f>
        <v>61</v>
      </c>
      <c r="J120" s="444" t="n">
        <f aca="false">$D$4+($H120-1)*7</f>
        <v>46573</v>
      </c>
      <c r="K120" s="444" t="n">
        <f aca="false">$D$4+$I120*7-1</f>
        <v>46726</v>
      </c>
      <c r="L120" s="445" t="n">
        <f aca="false">ROUNDUP($H120/$D$5,0)</f>
        <v>10</v>
      </c>
      <c r="M120" s="446"/>
      <c r="N120" s="447" t="n">
        <v>0</v>
      </c>
      <c r="O120" s="448" t="str">
        <f aca="false">IF($G120=0,IF(O$11=$H120,"◆",""),IF(AND(O$11&gt;=$H120,O$11&lt;=$I120),1,""))</f>
        <v/>
      </c>
      <c r="P120" s="448" t="str">
        <f aca="false">IF($G120=0,IF(P$11=$H120,"◆",""),IF(AND(P$11&gt;=$H120,P$11&lt;=$I120),1,""))</f>
        <v/>
      </c>
      <c r="Q120" s="448" t="str">
        <f aca="false">IF($G120=0,IF(Q$11=$H120,"◆",""),IF(AND(Q$11&gt;=$H120,Q$11&lt;=$I120),1,""))</f>
        <v/>
      </c>
      <c r="R120" s="448" t="str">
        <f aca="false">IF($G120=0,IF(R$11=$H120,"◆",""),IF(AND(R$11&gt;=$H120,R$11&lt;=$I120),1,""))</f>
        <v/>
      </c>
      <c r="S120" s="448" t="str">
        <f aca="false">IF($G120=0,IF(S$11=$H120,"◆",""),IF(AND(S$11&gt;=$H120,S$11&lt;=$I120),1,""))</f>
        <v/>
      </c>
      <c r="T120" s="448" t="str">
        <f aca="false">IF($G120=0,IF(T$11=$H120,"◆",""),IF(AND(T$11&gt;=$H120,T$11&lt;=$I120),1,""))</f>
        <v/>
      </c>
      <c r="U120" s="448" t="str">
        <f aca="false">IF($G120=0,IF(U$11=$H120,"◆",""),IF(AND(U$11&gt;=$H120,U$11&lt;=$I120),1,""))</f>
        <v/>
      </c>
      <c r="V120" s="448" t="str">
        <f aca="false">IF($G120=0,IF(V$11=$H120,"◆",""),IF(AND(V$11&gt;=$H120,V$11&lt;=$I120),1,""))</f>
        <v/>
      </c>
      <c r="W120" s="448" t="str">
        <f aca="false">IF($G120=0,IF(W$11=$H120,"◆",""),IF(AND(W$11&gt;=$H120,W$11&lt;=$I120),1,""))</f>
        <v/>
      </c>
      <c r="X120" s="448" t="str">
        <f aca="false">IF($G120=0,IF(X$11=$H120,"◆",""),IF(AND(X$11&gt;=$H120,X$11&lt;=$I120),1,""))</f>
        <v/>
      </c>
      <c r="Y120" s="448" t="str">
        <f aca="false">IF($G120=0,IF(Y$11=$H120,"◆",""),IF(AND(Y$11&gt;=$H120,Y$11&lt;=$I120),1,""))</f>
        <v/>
      </c>
      <c r="Z120" s="448" t="str">
        <f aca="false">IF($G120=0,IF(Z$11=$H120,"◆",""),IF(AND(Z$11&gt;=$H120,Z$11&lt;=$I120),1,""))</f>
        <v/>
      </c>
      <c r="AA120" s="448" t="str">
        <f aca="false">IF($G120=0,IF(AA$11=$H120,"◆",""),IF(AND(AA$11&gt;=$H120,AA$11&lt;=$I120),1,""))</f>
        <v/>
      </c>
      <c r="AB120" s="448" t="str">
        <f aca="false">IF($G120=0,IF(AB$11=$H120,"◆",""),IF(AND(AB$11&gt;=$H120,AB$11&lt;=$I120),1,""))</f>
        <v/>
      </c>
      <c r="AC120" s="448" t="str">
        <f aca="false">IF($G120=0,IF(AC$11=$H120,"◆",""),IF(AND(AC$11&gt;=$H120,AC$11&lt;=$I120),1,""))</f>
        <v/>
      </c>
      <c r="AD120" s="448" t="str">
        <f aca="false">IF($G120=0,IF(AD$11=$H120,"◆",""),IF(AND(AD$11&gt;=$H120,AD$11&lt;=$I120),1,""))</f>
        <v/>
      </c>
      <c r="AE120" s="448" t="str">
        <f aca="false">IF($G120=0,IF(AE$11=$H120,"◆",""),IF(AND(AE$11&gt;=$H120,AE$11&lt;=$I120),1,""))</f>
        <v/>
      </c>
      <c r="AF120" s="448" t="str">
        <f aca="false">IF($G120=0,IF(AF$11=$H120,"◆",""),IF(AND(AF$11&gt;=$H120,AF$11&lt;=$I120),1,""))</f>
        <v/>
      </c>
      <c r="AG120" s="448" t="str">
        <f aca="false">IF($G120=0,IF(AG$11=$H120,"◆",""),IF(AND(AG$11&gt;=$H120,AG$11&lt;=$I120),1,""))</f>
        <v/>
      </c>
      <c r="AH120" s="448" t="str">
        <f aca="false">IF($G120=0,IF(AH$11=$H120,"◆",""),IF(AND(AH$11&gt;=$H120,AH$11&lt;=$I120),1,""))</f>
        <v/>
      </c>
      <c r="AI120" s="448" t="str">
        <f aca="false">IF($G120=0,IF(AI$11=$H120,"◆",""),IF(AND(AI$11&gt;=$H120,AI$11&lt;=$I120),1,""))</f>
        <v/>
      </c>
      <c r="AJ120" s="448" t="str">
        <f aca="false">IF($G120=0,IF(AJ$11=$H120,"◆",""),IF(AND(AJ$11&gt;=$H120,AJ$11&lt;=$I120),1,""))</f>
        <v/>
      </c>
      <c r="AK120" s="448" t="str">
        <f aca="false">IF($G120=0,IF(AK$11=$H120,"◆",""),IF(AND(AK$11&gt;=$H120,AK$11&lt;=$I120),1,""))</f>
        <v/>
      </c>
      <c r="AL120" s="448" t="str">
        <f aca="false">IF($G120=0,IF(AL$11=$H120,"◆",""),IF(AND(AL$11&gt;=$H120,AL$11&lt;=$I120),1,""))</f>
        <v/>
      </c>
      <c r="AM120" s="448" t="str">
        <f aca="false">IF($G120=0,IF(AM$11=$H120,"◆",""),IF(AND(AM$11&gt;=$H120,AM$11&lt;=$I120),1,""))</f>
        <v/>
      </c>
      <c r="AN120" s="448" t="str">
        <f aca="false">IF($G120=0,IF(AN$11=$H120,"◆",""),IF(AND(AN$11&gt;=$H120,AN$11&lt;=$I120),1,""))</f>
        <v/>
      </c>
      <c r="AO120" s="448" t="str">
        <f aca="false">IF($G120=0,IF(AO$11=$H120,"◆",""),IF(AND(AO$11&gt;=$H120,AO$11&lt;=$I120),1,""))</f>
        <v/>
      </c>
      <c r="AP120" s="448" t="str">
        <f aca="false">IF($G120=0,IF(AP$11=$H120,"◆",""),IF(AND(AP$11&gt;=$H120,AP$11&lt;=$I120),1,""))</f>
        <v/>
      </c>
      <c r="AQ120" s="448" t="str">
        <f aca="false">IF($G120=0,IF(AQ$11=$H120,"◆",""),IF(AND(AQ$11&gt;=$H120,AQ$11&lt;=$I120),1,""))</f>
        <v/>
      </c>
      <c r="AR120" s="448" t="str">
        <f aca="false">IF($G120=0,IF(AR$11=$H120,"◆",""),IF(AND(AR$11&gt;=$H120,AR$11&lt;=$I120),1,""))</f>
        <v/>
      </c>
      <c r="AS120" s="448" t="str">
        <f aca="false">IF($G120=0,IF(AS$11=$H120,"◆",""),IF(AND(AS$11&gt;=$H120,AS$11&lt;=$I120),1,""))</f>
        <v/>
      </c>
      <c r="AT120" s="448" t="str">
        <f aca="false">IF($G120=0,IF(AT$11=$H120,"◆",""),IF(AND(AT$11&gt;=$H120,AT$11&lt;=$I120),1,""))</f>
        <v/>
      </c>
      <c r="AU120" s="448" t="str">
        <f aca="false">IF($G120=0,IF(AU$11=$H120,"◆",""),IF(AND(AU$11&gt;=$H120,AU$11&lt;=$I120),1,""))</f>
        <v/>
      </c>
      <c r="AV120" s="448" t="str">
        <f aca="false">IF($G120=0,IF(AV$11=$H120,"◆",""),IF(AND(AV$11&gt;=$H120,AV$11&lt;=$I120),1,""))</f>
        <v/>
      </c>
      <c r="AW120" s="448" t="str">
        <f aca="false">IF($G120=0,IF(AW$11=$H120,"◆",""),IF(AND(AW$11&gt;=$H120,AW$11&lt;=$I120),1,""))</f>
        <v/>
      </c>
      <c r="AX120" s="448" t="str">
        <f aca="false">IF($G120=0,IF(AX$11=$H120,"◆",""),IF(AND(AX$11&gt;=$H120,AX$11&lt;=$I120),1,""))</f>
        <v/>
      </c>
      <c r="AY120" s="448" t="str">
        <f aca="false">IF($G120=0,IF(AY$11=$H120,"◆",""),IF(AND(AY$11&gt;=$H120,AY$11&lt;=$I120),1,""))</f>
        <v/>
      </c>
      <c r="AZ120" s="448" t="str">
        <f aca="false">IF($G120=0,IF(AZ$11=$H120,"◆",""),IF(AND(AZ$11&gt;=$H120,AZ$11&lt;=$I120),1,""))</f>
        <v/>
      </c>
      <c r="BA120" s="448" t="str">
        <f aca="false">IF($G120=0,IF(BA$11=$H120,"◆",""),IF(AND(BA$11&gt;=$H120,BA$11&lt;=$I120),1,""))</f>
        <v/>
      </c>
      <c r="BB120" s="448" t="n">
        <f aca="false">IF($G120=0,IF(BB$11=$H120,"◆",""),IF(AND(BB$11&gt;=$H120,BB$11&lt;=$I120),1,""))</f>
        <v>1</v>
      </c>
      <c r="BC120" s="448" t="n">
        <f aca="false">IF($G120=0,IF(BC$11=$H120,"◆",""),IF(AND(BC$11&gt;=$H120,BC$11&lt;=$I120),1,""))</f>
        <v>1</v>
      </c>
      <c r="BD120" s="448" t="n">
        <f aca="false">IF($G120=0,IF(BD$11=$H120,"◆",""),IF(AND(BD$11&gt;=$H120,BD$11&lt;=$I120),1,""))</f>
        <v>1</v>
      </c>
      <c r="BE120" s="448" t="n">
        <f aca="false">IF($G120=0,IF(BE$11=$H120,"◆",""),IF(AND(BE$11&gt;=$H120,BE$11&lt;=$I120),1,""))</f>
        <v>1</v>
      </c>
      <c r="BF120" s="448" t="n">
        <f aca="false">IF($G120=0,IF(BF$11=$H120,"◆",""),IF(AND(BF$11&gt;=$H120,BF$11&lt;=$I120),1,""))</f>
        <v>1</v>
      </c>
      <c r="BG120" s="448" t="n">
        <f aca="false">IF($G120=0,IF(BG$11=$H120,"◆",""),IF(AND(BG$11&gt;=$H120,BG$11&lt;=$I120),1,""))</f>
        <v>1</v>
      </c>
      <c r="BH120" s="448" t="n">
        <f aca="false">IF($G120=0,IF(BH$11=$H120,"◆",""),IF(AND(BH$11&gt;=$H120,BH$11&lt;=$I120),1,""))</f>
        <v>1</v>
      </c>
      <c r="BI120" s="448" t="n">
        <f aca="false">IF($G120=0,IF(BI$11=$H120,"◆",""),IF(AND(BI$11&gt;=$H120,BI$11&lt;=$I120),1,""))</f>
        <v>1</v>
      </c>
      <c r="BJ120" s="448" t="n">
        <f aca="false">IF($G120=0,IF(BJ$11=$H120,"◆",""),IF(AND(BJ$11&gt;=$H120,BJ$11&lt;=$I120),1,""))</f>
        <v>1</v>
      </c>
      <c r="BK120" s="448" t="n">
        <f aca="false">IF($G120=0,IF(BK$11=$H120,"◆",""),IF(AND(BK$11&gt;=$H120,BK$11&lt;=$I120),1,""))</f>
        <v>1</v>
      </c>
      <c r="BL120" s="448" t="n">
        <f aca="false">IF($G120=0,IF(BL$11=$H120,"◆",""),IF(AND(BL$11&gt;=$H120,BL$11&lt;=$I120),1,""))</f>
        <v>1</v>
      </c>
      <c r="BM120" s="448" t="n">
        <f aca="false">IF($G120=0,IF(BM$11=$H120,"◆",""),IF(AND(BM$11&gt;=$H120,BM$11&lt;=$I120),1,""))</f>
        <v>1</v>
      </c>
      <c r="BN120" s="448" t="n">
        <f aca="false">IF($G120=0,IF(BN$11=$H120,"◆",""),IF(AND(BN$11&gt;=$H120,BN$11&lt;=$I120),1,""))</f>
        <v>1</v>
      </c>
      <c r="BO120" s="448" t="n">
        <f aca="false">IF($G120=0,IF(BO$11=$H120,"◆",""),IF(AND(BO$11&gt;=$H120,BO$11&lt;=$I120),1,""))</f>
        <v>1</v>
      </c>
      <c r="BP120" s="448" t="n">
        <f aca="false">IF($G120=0,IF(BP$11=$H120,"◆",""),IF(AND(BP$11&gt;=$H120,BP$11&lt;=$I120),1,""))</f>
        <v>1</v>
      </c>
      <c r="BQ120" s="448" t="n">
        <f aca="false">IF($G120=0,IF(BQ$11=$H120,"◆",""),IF(AND(BQ$11&gt;=$H120,BQ$11&lt;=$I120),1,""))</f>
        <v>1</v>
      </c>
      <c r="BR120" s="448" t="n">
        <f aca="false">IF($G120=0,IF(BR$11=$H120,"◆",""),IF(AND(BR$11&gt;=$H120,BR$11&lt;=$I120),1,""))</f>
        <v>1</v>
      </c>
      <c r="BS120" s="448" t="n">
        <f aca="false">IF($G120=0,IF(BS$11=$H120,"◆",""),IF(AND(BS$11&gt;=$H120,BS$11&lt;=$I120),1,""))</f>
        <v>1</v>
      </c>
      <c r="BT120" s="448" t="n">
        <f aca="false">IF($G120=0,IF(BT$11=$H120,"◆",""),IF(AND(BT$11&gt;=$H120,BT$11&lt;=$I120),1,""))</f>
        <v>1</v>
      </c>
      <c r="BU120" s="448" t="n">
        <f aca="false">IF($G120=0,IF(BU$11=$H120,"◆",""),IF(AND(BU$11&gt;=$H120,BU$11&lt;=$I120),1,""))</f>
        <v>1</v>
      </c>
      <c r="BV120" s="448" t="n">
        <f aca="false">IF($G120=0,IF(BV$11=$H120,"◆",""),IF(AND(BV$11&gt;=$H120,BV$11&lt;=$I120),1,""))</f>
        <v>1</v>
      </c>
      <c r="BW120" s="448" t="n">
        <f aca="false">IF($G120=0,IF(BW$11=$H120,"◆",""),IF(AND(BW$11&gt;=$H120,BW$11&lt;=$I120),1,""))</f>
        <v>1</v>
      </c>
      <c r="BX120" s="448" t="str">
        <f aca="false">IF($G120=0,IF(BX$11=$H120,"◆",""),IF(AND(BX$11&gt;=$H120,BX$11&lt;=$I120),1,""))</f>
        <v/>
      </c>
      <c r="BY120" s="448" t="str">
        <f aca="false">IF($G120=0,IF(BY$11=$H120,"◆",""),IF(AND(BY$11&gt;=$H120,BY$11&lt;=$I120),1,""))</f>
        <v/>
      </c>
      <c r="BZ120" s="448" t="str">
        <f aca="false">IF($G120=0,IF(BZ$11=$H120,"◆",""),IF(AND(BZ$11&gt;=$H120,BZ$11&lt;=$I120),1,""))</f>
        <v/>
      </c>
      <c r="CA120" s="448" t="str">
        <f aca="false">IF($G120=0,IF(CA$11=$H120,"◆",""),IF(AND(CA$11&gt;=$H120,CA$11&lt;=$I120),1,""))</f>
        <v/>
      </c>
      <c r="CB120" s="448" t="str">
        <f aca="false">IF($G120=0,IF(CB$11=$H120,"◆",""),IF(AND(CB$11&gt;=$H120,CB$11&lt;=$I120),1,""))</f>
        <v/>
      </c>
      <c r="CC120" s="448" t="str">
        <f aca="false">IF($G120=0,IF(CC$11=$H120,"◆",""),IF(AND(CC$11&gt;=$H120,CC$11&lt;=$I120),1,""))</f>
        <v/>
      </c>
      <c r="CD120" s="448" t="str">
        <f aca="false">IF($G120=0,IF(CD$11=$H120,"◆",""),IF(AND(CD$11&gt;=$H120,CD$11&lt;=$I120),1,""))</f>
        <v/>
      </c>
      <c r="CE120" s="448" t="str">
        <f aca="false">IF($G120=0,IF(CE$11=$H120,"◆",""),IF(AND(CE$11&gt;=$H120,CE$11&lt;=$I120),1,""))</f>
        <v/>
      </c>
      <c r="CF120" s="448" t="str">
        <f aca="false">IF($G120=0,IF(CF$11=$H120,"◆",""),IF(AND(CF$11&gt;=$H120,CF$11&lt;=$I120),1,""))</f>
        <v/>
      </c>
      <c r="CG120" s="448" t="str">
        <f aca="false">IF($G120=0,IF(CG$11=$H120,"◆",""),IF(AND(CG$11&gt;=$H120,CG$11&lt;=$I120),1,""))</f>
        <v/>
      </c>
      <c r="CH120" s="448" t="str">
        <f aca="false">IF($G120=0,IF(CH$11=$H120,"◆",""),IF(AND(CH$11&gt;=$H120,CH$11&lt;=$I120),1,""))</f>
        <v/>
      </c>
      <c r="CI120" s="448" t="str">
        <f aca="false">IF($G120=0,IF(CI$11=$H120,"◆",""),IF(AND(CI$11&gt;=$H120,CI$11&lt;=$I120),1,""))</f>
        <v/>
      </c>
      <c r="CJ120" s="448" t="str">
        <f aca="false">IF($G120=0,IF(CJ$11=$H120,"◆",""),IF(AND(CJ$11&gt;=$H120,CJ$11&lt;=$I120),1,""))</f>
        <v/>
      </c>
      <c r="CK120" s="448" t="str">
        <f aca="false">IF($G120=0,IF(CK$11=$H120,"◆",""),IF(AND(CK$11&gt;=$H120,CK$11&lt;=$I120),1,""))</f>
        <v/>
      </c>
      <c r="CL120" s="448" t="str">
        <f aca="false">IF($G120=0,IF(CL$11=$H120,"◆",""),IF(AND(CL$11&gt;=$H120,CL$11&lt;=$I120),1,""))</f>
        <v/>
      </c>
      <c r="CM120" s="448" t="str">
        <f aca="false">IF($G120=0,IF(CM$11=$H120,"◆",""),IF(AND(CM$11&gt;=$H120,CM$11&lt;=$I120),1,""))</f>
        <v/>
      </c>
      <c r="CN120" s="448" t="str">
        <f aca="false">IF($G120=0,IF(CN$11=$H120,"◆",""),IF(AND(CN$11&gt;=$H120,CN$11&lt;=$I120),1,""))</f>
        <v/>
      </c>
      <c r="CO120" s="448" t="str">
        <f aca="false">IF($G120=0,IF(CO$11=$H120,"◆",""),IF(AND(CO$11&gt;=$H120,CO$11&lt;=$I120),1,""))</f>
        <v/>
      </c>
      <c r="CP120" s="448" t="str">
        <f aca="false">IF($G120=0,IF(CP$11=$H120,"◆",""),IF(AND(CP$11&gt;=$H120,CP$11&lt;=$I120),1,""))</f>
        <v/>
      </c>
      <c r="CQ120" s="448" t="str">
        <f aca="false">IF($G120=0,IF(CQ$11=$H120,"◆",""),IF(AND(CQ$11&gt;=$H120,CQ$11&lt;=$I120),1,""))</f>
        <v/>
      </c>
      <c r="CR120" s="448" t="str">
        <f aca="false">IF($G120=0,IF(CR$11=$H120,"◆",""),IF(AND(CR$11&gt;=$H120,CR$11&lt;=$I120),1,""))</f>
        <v/>
      </c>
      <c r="CS120" s="448" t="str">
        <f aca="false">IF($G120=0,IF(CS$11=$H120,"◆",""),IF(AND(CS$11&gt;=$H120,CS$11&lt;=$I120),1,""))</f>
        <v/>
      </c>
      <c r="CT120" s="448" t="str">
        <f aca="false">IF($G120=0,IF(CT$11=$H120,"◆",""),IF(AND(CT$11&gt;=$H120,CT$11&lt;=$I120),1,""))</f>
        <v/>
      </c>
      <c r="CU120" s="448" t="str">
        <f aca="false">IF($G120=0,IF(CU$11=$H120,"◆",""),IF(AND(CU$11&gt;=$H120,CU$11&lt;=$I120),1,""))</f>
        <v/>
      </c>
      <c r="CV120" s="448" t="str">
        <f aca="false">IF($G120=0,IF(CV$11=$H120,"◆",""),IF(AND(CV$11&gt;=$H120,CV$11&lt;=$I120),1,""))</f>
        <v/>
      </c>
      <c r="CW120" s="448" t="str">
        <f aca="false">IF($G120=0,IF(CW$11=$H120,"◆",""),IF(AND(CW$11&gt;=$H120,CW$11&lt;=$I120),1,""))</f>
        <v/>
      </c>
      <c r="CX120" s="448" t="str">
        <f aca="false">IF($G120=0,IF(CX$11=$H120,"◆",""),IF(AND(CX$11&gt;=$H120,CX$11&lt;=$I120),1,""))</f>
        <v/>
      </c>
      <c r="CY120" s="448" t="str">
        <f aca="false">IF($G120=0,IF(CY$11=$H120,"◆",""),IF(AND(CY$11&gt;=$H120,CY$11&lt;=$I120),1,""))</f>
        <v/>
      </c>
      <c r="CZ120" s="448" t="str">
        <f aca="false">IF($G120=0,IF(CZ$11=$H120,"◆",""),IF(AND(CZ$11&gt;=$H120,CZ$11&lt;=$I120),1,""))</f>
        <v/>
      </c>
      <c r="DA120" s="448" t="str">
        <f aca="false">IF($G120=0,IF(DA$11=$H120,"◆",""),IF(AND(DA$11&gt;=$H120,DA$11&lt;=$I120),1,""))</f>
        <v/>
      </c>
      <c r="DB120" s="448" t="str">
        <f aca="false">IF($G120=0,IF(DB$11=$H120,"◆",""),IF(AND(DB$11&gt;=$H120,DB$11&lt;=$I120),1,""))</f>
        <v/>
      </c>
      <c r="DC120" s="448" t="str">
        <f aca="false">IF($G120=0,IF(DC$11=$H120,"◆",""),IF(AND(DC$11&gt;=$H120,DC$11&lt;=$I120),1,""))</f>
        <v/>
      </c>
      <c r="DD120" s="448" t="str">
        <f aca="false">IF($G120=0,IF(DD$11=$H120,"◆",""),IF(AND(DD$11&gt;=$H120,DD$11&lt;=$I120),1,""))</f>
        <v/>
      </c>
      <c r="DE120" s="448" t="str">
        <f aca="false">IF($G120=0,IF(DE$11=$H120,"◆",""),IF(AND(DE$11&gt;=$H120,DE$11&lt;=$I120),1,""))</f>
        <v/>
      </c>
      <c r="DF120" s="448" t="str">
        <f aca="false">IF($G120=0,IF(DF$11=$H120,"◆",""),IF(AND(DF$11&gt;=$H120,DF$11&lt;=$I120),1,""))</f>
        <v/>
      </c>
      <c r="DG120" s="448" t="str">
        <f aca="false">IF($G120=0,IF(DG$11=$H120,"◆",""),IF(AND(DG$11&gt;=$H120,DG$11&lt;=$I120),1,""))</f>
        <v/>
      </c>
      <c r="DH120" s="448" t="str">
        <f aca="false">IF($G120=0,IF(DH$11=$H120,"◆",""),IF(AND(DH$11&gt;=$H120,DH$11&lt;=$I120),1,""))</f>
        <v/>
      </c>
      <c r="DI120" s="448" t="str">
        <f aca="false">IF($G120=0,IF(DI$11=$H120,"◆",""),IF(AND(DI$11&gt;=$H120,DI$11&lt;=$I120),1,""))</f>
        <v/>
      </c>
      <c r="DJ120" s="448" t="str">
        <f aca="false">IF($G120=0,IF(DJ$11=$H120,"◆",""),IF(AND(DJ$11&gt;=$H120,DJ$11&lt;=$I120),1,""))</f>
        <v/>
      </c>
      <c r="DK120" s="448" t="str">
        <f aca="false">IF($G120=0,IF(DK$11=$H120,"◆",""),IF(AND(DK$11&gt;=$H120,DK$11&lt;=$I120),1,""))</f>
        <v/>
      </c>
      <c r="DL120" s="448" t="str">
        <f aca="false">IF($G120=0,IF(DL$11=$H120,"◆",""),IF(AND(DL$11&gt;=$H120,DL$11&lt;=$I120),1,""))</f>
        <v/>
      </c>
      <c r="DM120" s="448" t="str">
        <f aca="false">IF($G120=0,IF(DM$11=$H120,"◆",""),IF(AND(DM$11&gt;=$H120,DM$11&lt;=$I120),1,""))</f>
        <v/>
      </c>
      <c r="DN120" s="448" t="str">
        <f aca="false">IF($G120=0,IF(DN$11=$H120,"◆",""),IF(AND(DN$11&gt;=$H120,DN$11&lt;=$I120),1,""))</f>
        <v/>
      </c>
      <c r="DO120" s="448" t="str">
        <f aca="false">IF($G120=0,IF(DO$11=$H120,"◆",""),IF(AND(DO$11&gt;=$H120,DO$11&lt;=$I120),1,""))</f>
        <v/>
      </c>
      <c r="DP120" s="448" t="str">
        <f aca="false">IF($G120=0,IF(DP$11=$H120,"◆",""),IF(AND(DP$11&gt;=$H120,DP$11&lt;=$I120),1,""))</f>
        <v/>
      </c>
      <c r="DQ120" s="448" t="str">
        <f aca="false">IF($G120=0,IF(DQ$11=$H120,"◆",""),IF(AND(DQ$11&gt;=$H120,DQ$11&lt;=$I120),1,""))</f>
        <v/>
      </c>
      <c r="DR120" s="448" t="str">
        <f aca="false">IF($G120=0,IF(DR$11=$H120,"◆",""),IF(AND(DR$11&gt;=$H120,DR$11&lt;=$I120),1,""))</f>
        <v/>
      </c>
      <c r="DS120" s="448" t="str">
        <f aca="false">IF($G120=0,IF(DS$11=$H120,"◆",""),IF(AND(DS$11&gt;=$H120,DS$11&lt;=$I120),1,""))</f>
        <v/>
      </c>
      <c r="DT120" s="448" t="str">
        <f aca="false">IF($G120=0,IF(DT$11=$H120,"◆",""),IF(AND(DT$11&gt;=$H120,DT$11&lt;=$I120),1,""))</f>
        <v/>
      </c>
      <c r="DU120" s="448" t="str">
        <f aca="false">IF($G120=0,IF(DU$11=$H120,"◆",""),IF(AND(DU$11&gt;=$H120,DU$11&lt;=$I120),1,""))</f>
        <v/>
      </c>
      <c r="DV120" s="448" t="str">
        <f aca="false">IF($G120=0,IF(DV$11=$H120,"◆",""),IF(AND(DV$11&gt;=$H120,DV$11&lt;=$I120),1,""))</f>
        <v/>
      </c>
      <c r="DW120" s="448" t="str">
        <f aca="false">IF($G120=0,IF(DW$11=$H120,"◆",""),IF(AND(DW$11&gt;=$H120,DW$11&lt;=$I120),1,""))</f>
        <v/>
      </c>
      <c r="DX120" s="448" t="str">
        <f aca="false">IF($G120=0,IF(DX$11=$H120,"◆",""),IF(AND(DX$11&gt;=$H120,DX$11&lt;=$I120),1,""))</f>
        <v/>
      </c>
      <c r="DY120" s="448" t="str">
        <f aca="false">IF($G120=0,IF(DY$11=$H120,"◆",""),IF(AND(DY$11&gt;=$H120,DY$11&lt;=$I120),1,""))</f>
        <v/>
      </c>
      <c r="DZ120" s="448" t="str">
        <f aca="false">IF($G120=0,IF(DZ$11=$H120,"◆",""),IF(AND(DZ$11&gt;=$H120,DZ$11&lt;=$I120),1,""))</f>
        <v/>
      </c>
      <c r="EA120" s="448" t="str">
        <f aca="false">IF($G120=0,IF(EA$11=$H120,"◆",""),IF(AND(EA$11&gt;=$H120,EA$11&lt;=$I120),1,""))</f>
        <v/>
      </c>
      <c r="EB120" s="448" t="str">
        <f aca="false">IF($G120=0,IF(EB$11=$H120,"◆",""),IF(AND(EB$11&gt;=$H120,EB$11&lt;=$I120),1,""))</f>
        <v/>
      </c>
      <c r="EC120" s="448" t="str">
        <f aca="false">IF($G120=0,IF(EC$11=$H120,"◆",""),IF(AND(EC$11&gt;=$H120,EC$11&lt;=$I120),1,""))</f>
        <v/>
      </c>
      <c r="ED120" s="448" t="str">
        <f aca="false">IF($G120=0,IF(ED$11=$H120,"◆",""),IF(AND(ED$11&gt;=$H120,ED$11&lt;=$I120),1,""))</f>
        <v/>
      </c>
    </row>
    <row r="121" customFormat="false" ht="15" hidden="false" customHeight="true" outlineLevel="0" collapsed="false">
      <c r="A121" s="475"/>
      <c r="B121" s="476" t="s">
        <v>2686</v>
      </c>
      <c r="C121" s="477"/>
      <c r="D121" s="477"/>
      <c r="E121" s="477"/>
      <c r="F121" s="477"/>
      <c r="G121" s="477"/>
      <c r="H121" s="477"/>
      <c r="I121" s="477"/>
      <c r="J121" s="477"/>
      <c r="K121" s="477"/>
      <c r="L121" s="477"/>
      <c r="M121" s="477"/>
      <c r="N121" s="477"/>
      <c r="O121" s="477"/>
      <c r="P121" s="477"/>
      <c r="Q121" s="477"/>
      <c r="R121" s="477"/>
      <c r="S121" s="477"/>
      <c r="T121" s="477"/>
      <c r="U121" s="477"/>
      <c r="V121" s="477"/>
      <c r="W121" s="477"/>
      <c r="X121" s="477"/>
      <c r="Y121" s="477"/>
      <c r="Z121" s="477"/>
      <c r="AA121" s="477"/>
      <c r="AB121" s="477"/>
      <c r="AC121" s="477"/>
      <c r="AD121" s="477"/>
      <c r="AE121" s="477"/>
      <c r="AF121" s="477"/>
      <c r="AG121" s="477"/>
      <c r="AH121" s="477"/>
      <c r="AI121" s="477"/>
      <c r="AJ121" s="477"/>
      <c r="AK121" s="477"/>
      <c r="AL121" s="477"/>
      <c r="AM121" s="477"/>
      <c r="AN121" s="477"/>
      <c r="AO121" s="477"/>
      <c r="AP121" s="477"/>
      <c r="AQ121" s="477"/>
      <c r="AR121" s="477"/>
      <c r="AS121" s="477"/>
      <c r="AT121" s="477"/>
      <c r="AU121" s="477"/>
      <c r="AV121" s="477"/>
      <c r="AW121" s="477"/>
      <c r="AX121" s="477"/>
      <c r="AY121" s="477"/>
      <c r="AZ121" s="477"/>
      <c r="BA121" s="477"/>
      <c r="BB121" s="477"/>
      <c r="BC121" s="477"/>
      <c r="BD121" s="477"/>
      <c r="BE121" s="477"/>
      <c r="BF121" s="477"/>
      <c r="BG121" s="477"/>
      <c r="BH121" s="477"/>
      <c r="BI121" s="477"/>
      <c r="BJ121" s="477"/>
      <c r="BK121" s="477"/>
      <c r="BL121" s="477"/>
      <c r="BM121" s="477"/>
      <c r="BN121" s="477"/>
      <c r="BO121" s="477"/>
      <c r="BP121" s="477"/>
      <c r="BQ121" s="477"/>
      <c r="BR121" s="477"/>
      <c r="BS121" s="477"/>
      <c r="BT121" s="477"/>
      <c r="BU121" s="477"/>
      <c r="BV121" s="477"/>
      <c r="BW121" s="477"/>
      <c r="BX121" s="477"/>
      <c r="BY121" s="477"/>
      <c r="BZ121" s="477"/>
      <c r="CA121" s="477"/>
      <c r="CB121" s="477"/>
      <c r="CC121" s="477"/>
      <c r="CD121" s="477"/>
      <c r="CE121" s="477"/>
      <c r="CF121" s="477"/>
      <c r="CG121" s="477"/>
      <c r="CH121" s="477"/>
      <c r="CI121" s="477"/>
      <c r="CJ121" s="477"/>
      <c r="CK121" s="477"/>
      <c r="CL121" s="477"/>
      <c r="CM121" s="477"/>
      <c r="CN121" s="477"/>
      <c r="CO121" s="477"/>
      <c r="CP121" s="477"/>
      <c r="CQ121" s="477"/>
      <c r="CR121" s="477"/>
      <c r="CS121" s="477"/>
      <c r="CT121" s="477"/>
      <c r="CU121" s="477"/>
      <c r="CV121" s="477"/>
      <c r="CW121" s="477"/>
      <c r="CX121" s="477"/>
      <c r="CY121" s="477"/>
      <c r="CZ121" s="477"/>
      <c r="DA121" s="477"/>
      <c r="DB121" s="477"/>
      <c r="DC121" s="477"/>
      <c r="DD121" s="477"/>
      <c r="DE121" s="477"/>
      <c r="DF121" s="477"/>
      <c r="DG121" s="477"/>
      <c r="DH121" s="477"/>
      <c r="DI121" s="477"/>
      <c r="DJ121" s="477"/>
      <c r="DK121" s="477"/>
      <c r="DL121" s="477"/>
      <c r="DM121" s="477"/>
      <c r="DN121" s="477"/>
      <c r="DO121" s="477"/>
      <c r="DP121" s="477"/>
      <c r="DQ121" s="477"/>
      <c r="DR121" s="477"/>
      <c r="DS121" s="477"/>
      <c r="DT121" s="477"/>
      <c r="DU121" s="477"/>
      <c r="DV121" s="477"/>
      <c r="DW121" s="477"/>
      <c r="DX121" s="477"/>
      <c r="DY121" s="477"/>
      <c r="DZ121" s="477"/>
      <c r="EA121" s="477"/>
      <c r="EB121" s="477"/>
      <c r="EC121" s="477"/>
      <c r="ED121" s="477"/>
    </row>
    <row r="122" customFormat="false" ht="15" hidden="false" customHeight="true" outlineLevel="0" collapsed="false">
      <c r="A122" s="441" t="s">
        <v>2687</v>
      </c>
      <c r="B122" s="297" t="s">
        <v>2688</v>
      </c>
      <c r="C122" s="442" t="s">
        <v>2439</v>
      </c>
      <c r="D122" s="443" t="s">
        <v>2436</v>
      </c>
      <c r="E122" s="354" t="n">
        <f aca="false">1</f>
        <v>1</v>
      </c>
      <c r="F122" s="352" t="n">
        <v>0</v>
      </c>
      <c r="G122" s="352" t="n">
        <v>9</v>
      </c>
      <c r="H122" s="367" t="n">
        <f aca="false">MAX(1,ROUND(($E122-1)*$D$5,0)+1+$F122)</f>
        <v>1</v>
      </c>
      <c r="I122" s="367" t="n">
        <f aca="false">MAX($H122,$H122+$G122-1)</f>
        <v>9</v>
      </c>
      <c r="J122" s="444" t="n">
        <f aca="false">$D$4+($H122-1)*7</f>
        <v>46300</v>
      </c>
      <c r="K122" s="444" t="n">
        <f aca="false">$D$4+$I122*7-1</f>
        <v>46362</v>
      </c>
      <c r="L122" s="445" t="n">
        <f aca="false">ROUNDUP($H122/$D$5,0)</f>
        <v>1</v>
      </c>
      <c r="M122" s="446"/>
      <c r="N122" s="447" t="n">
        <v>0</v>
      </c>
      <c r="O122" s="448" t="n">
        <f aca="false">IF($G122=0,IF(O$11=$H122,"◆",""),IF(AND(O$11&gt;=$H122,O$11&lt;=$I122),1,""))</f>
        <v>1</v>
      </c>
      <c r="P122" s="448" t="n">
        <f aca="false">IF($G122=0,IF(P$11=$H122,"◆",""),IF(AND(P$11&gt;=$H122,P$11&lt;=$I122),1,""))</f>
        <v>1</v>
      </c>
      <c r="Q122" s="448" t="n">
        <f aca="false">IF($G122=0,IF(Q$11=$H122,"◆",""),IF(AND(Q$11&gt;=$H122,Q$11&lt;=$I122),1,""))</f>
        <v>1</v>
      </c>
      <c r="R122" s="448" t="n">
        <f aca="false">IF($G122=0,IF(R$11=$H122,"◆",""),IF(AND(R$11&gt;=$H122,R$11&lt;=$I122),1,""))</f>
        <v>1</v>
      </c>
      <c r="S122" s="448" t="n">
        <f aca="false">IF($G122=0,IF(S$11=$H122,"◆",""),IF(AND(S$11&gt;=$H122,S$11&lt;=$I122),1,""))</f>
        <v>1</v>
      </c>
      <c r="T122" s="448" t="n">
        <f aca="false">IF($G122=0,IF(T$11=$H122,"◆",""),IF(AND(T$11&gt;=$H122,T$11&lt;=$I122),1,""))</f>
        <v>1</v>
      </c>
      <c r="U122" s="448" t="n">
        <f aca="false">IF($G122=0,IF(U$11=$H122,"◆",""),IF(AND(U$11&gt;=$H122,U$11&lt;=$I122),1,""))</f>
        <v>1</v>
      </c>
      <c r="V122" s="448" t="n">
        <f aca="false">IF($G122=0,IF(V$11=$H122,"◆",""),IF(AND(V$11&gt;=$H122,V$11&lt;=$I122),1,""))</f>
        <v>1</v>
      </c>
      <c r="W122" s="448" t="n">
        <f aca="false">IF($G122=0,IF(W$11=$H122,"◆",""),IF(AND(W$11&gt;=$H122,W$11&lt;=$I122),1,""))</f>
        <v>1</v>
      </c>
      <c r="X122" s="448" t="str">
        <f aca="false">IF($G122=0,IF(X$11=$H122,"◆",""),IF(AND(X$11&gt;=$H122,X$11&lt;=$I122),1,""))</f>
        <v/>
      </c>
      <c r="Y122" s="448" t="str">
        <f aca="false">IF($G122=0,IF(Y$11=$H122,"◆",""),IF(AND(Y$11&gt;=$H122,Y$11&lt;=$I122),1,""))</f>
        <v/>
      </c>
      <c r="Z122" s="448" t="str">
        <f aca="false">IF($G122=0,IF(Z$11=$H122,"◆",""),IF(AND(Z$11&gt;=$H122,Z$11&lt;=$I122),1,""))</f>
        <v/>
      </c>
      <c r="AA122" s="448" t="str">
        <f aca="false">IF($G122=0,IF(AA$11=$H122,"◆",""),IF(AND(AA$11&gt;=$H122,AA$11&lt;=$I122),1,""))</f>
        <v/>
      </c>
      <c r="AB122" s="448" t="str">
        <f aca="false">IF($G122=0,IF(AB$11=$H122,"◆",""),IF(AND(AB$11&gt;=$H122,AB$11&lt;=$I122),1,""))</f>
        <v/>
      </c>
      <c r="AC122" s="448" t="str">
        <f aca="false">IF($G122=0,IF(AC$11=$H122,"◆",""),IF(AND(AC$11&gt;=$H122,AC$11&lt;=$I122),1,""))</f>
        <v/>
      </c>
      <c r="AD122" s="448" t="str">
        <f aca="false">IF($G122=0,IF(AD$11=$H122,"◆",""),IF(AND(AD$11&gt;=$H122,AD$11&lt;=$I122),1,""))</f>
        <v/>
      </c>
      <c r="AE122" s="448" t="str">
        <f aca="false">IF($G122=0,IF(AE$11=$H122,"◆",""),IF(AND(AE$11&gt;=$H122,AE$11&lt;=$I122),1,""))</f>
        <v/>
      </c>
      <c r="AF122" s="448" t="str">
        <f aca="false">IF($G122=0,IF(AF$11=$H122,"◆",""),IF(AND(AF$11&gt;=$H122,AF$11&lt;=$I122),1,""))</f>
        <v/>
      </c>
      <c r="AG122" s="448" t="str">
        <f aca="false">IF($G122=0,IF(AG$11=$H122,"◆",""),IF(AND(AG$11&gt;=$H122,AG$11&lt;=$I122),1,""))</f>
        <v/>
      </c>
      <c r="AH122" s="448" t="str">
        <f aca="false">IF($G122=0,IF(AH$11=$H122,"◆",""),IF(AND(AH$11&gt;=$H122,AH$11&lt;=$I122),1,""))</f>
        <v/>
      </c>
      <c r="AI122" s="448" t="str">
        <f aca="false">IF($G122=0,IF(AI$11=$H122,"◆",""),IF(AND(AI$11&gt;=$H122,AI$11&lt;=$I122),1,""))</f>
        <v/>
      </c>
      <c r="AJ122" s="448" t="str">
        <f aca="false">IF($G122=0,IF(AJ$11=$H122,"◆",""),IF(AND(AJ$11&gt;=$H122,AJ$11&lt;=$I122),1,""))</f>
        <v/>
      </c>
      <c r="AK122" s="448" t="str">
        <f aca="false">IF($G122=0,IF(AK$11=$H122,"◆",""),IF(AND(AK$11&gt;=$H122,AK$11&lt;=$I122),1,""))</f>
        <v/>
      </c>
      <c r="AL122" s="448" t="str">
        <f aca="false">IF($G122=0,IF(AL$11=$H122,"◆",""),IF(AND(AL$11&gt;=$H122,AL$11&lt;=$I122),1,""))</f>
        <v/>
      </c>
      <c r="AM122" s="448" t="str">
        <f aca="false">IF($G122=0,IF(AM$11=$H122,"◆",""),IF(AND(AM$11&gt;=$H122,AM$11&lt;=$I122),1,""))</f>
        <v/>
      </c>
      <c r="AN122" s="448" t="str">
        <f aca="false">IF($G122=0,IF(AN$11=$H122,"◆",""),IF(AND(AN$11&gt;=$H122,AN$11&lt;=$I122),1,""))</f>
        <v/>
      </c>
      <c r="AO122" s="448" t="str">
        <f aca="false">IF($G122=0,IF(AO$11=$H122,"◆",""),IF(AND(AO$11&gt;=$H122,AO$11&lt;=$I122),1,""))</f>
        <v/>
      </c>
      <c r="AP122" s="448" t="str">
        <f aca="false">IF($G122=0,IF(AP$11=$H122,"◆",""),IF(AND(AP$11&gt;=$H122,AP$11&lt;=$I122),1,""))</f>
        <v/>
      </c>
      <c r="AQ122" s="448" t="str">
        <f aca="false">IF($G122=0,IF(AQ$11=$H122,"◆",""),IF(AND(AQ$11&gt;=$H122,AQ$11&lt;=$I122),1,""))</f>
        <v/>
      </c>
      <c r="AR122" s="448" t="str">
        <f aca="false">IF($G122=0,IF(AR$11=$H122,"◆",""),IF(AND(AR$11&gt;=$H122,AR$11&lt;=$I122),1,""))</f>
        <v/>
      </c>
      <c r="AS122" s="448" t="str">
        <f aca="false">IF($G122=0,IF(AS$11=$H122,"◆",""),IF(AND(AS$11&gt;=$H122,AS$11&lt;=$I122),1,""))</f>
        <v/>
      </c>
      <c r="AT122" s="448" t="str">
        <f aca="false">IF($G122=0,IF(AT$11=$H122,"◆",""),IF(AND(AT$11&gt;=$H122,AT$11&lt;=$I122),1,""))</f>
        <v/>
      </c>
      <c r="AU122" s="448" t="str">
        <f aca="false">IF($G122=0,IF(AU$11=$H122,"◆",""),IF(AND(AU$11&gt;=$H122,AU$11&lt;=$I122),1,""))</f>
        <v/>
      </c>
      <c r="AV122" s="448" t="str">
        <f aca="false">IF($G122=0,IF(AV$11=$H122,"◆",""),IF(AND(AV$11&gt;=$H122,AV$11&lt;=$I122),1,""))</f>
        <v/>
      </c>
      <c r="AW122" s="448" t="str">
        <f aca="false">IF($G122=0,IF(AW$11=$H122,"◆",""),IF(AND(AW$11&gt;=$H122,AW$11&lt;=$I122),1,""))</f>
        <v/>
      </c>
      <c r="AX122" s="448" t="str">
        <f aca="false">IF($G122=0,IF(AX$11=$H122,"◆",""),IF(AND(AX$11&gt;=$H122,AX$11&lt;=$I122),1,""))</f>
        <v/>
      </c>
      <c r="AY122" s="448" t="str">
        <f aca="false">IF($G122=0,IF(AY$11=$H122,"◆",""),IF(AND(AY$11&gt;=$H122,AY$11&lt;=$I122),1,""))</f>
        <v/>
      </c>
      <c r="AZ122" s="448" t="str">
        <f aca="false">IF($G122=0,IF(AZ$11=$H122,"◆",""),IF(AND(AZ$11&gt;=$H122,AZ$11&lt;=$I122),1,""))</f>
        <v/>
      </c>
      <c r="BA122" s="448" t="str">
        <f aca="false">IF($G122=0,IF(BA$11=$H122,"◆",""),IF(AND(BA$11&gt;=$H122,BA$11&lt;=$I122),1,""))</f>
        <v/>
      </c>
      <c r="BB122" s="448" t="str">
        <f aca="false">IF($G122=0,IF(BB$11=$H122,"◆",""),IF(AND(BB$11&gt;=$H122,BB$11&lt;=$I122),1,""))</f>
        <v/>
      </c>
      <c r="BC122" s="448" t="str">
        <f aca="false">IF($G122=0,IF(BC$11=$H122,"◆",""),IF(AND(BC$11&gt;=$H122,BC$11&lt;=$I122),1,""))</f>
        <v/>
      </c>
      <c r="BD122" s="448" t="str">
        <f aca="false">IF($G122=0,IF(BD$11=$H122,"◆",""),IF(AND(BD$11&gt;=$H122,BD$11&lt;=$I122),1,""))</f>
        <v/>
      </c>
      <c r="BE122" s="448" t="str">
        <f aca="false">IF($G122=0,IF(BE$11=$H122,"◆",""),IF(AND(BE$11&gt;=$H122,BE$11&lt;=$I122),1,""))</f>
        <v/>
      </c>
      <c r="BF122" s="448" t="str">
        <f aca="false">IF($G122=0,IF(BF$11=$H122,"◆",""),IF(AND(BF$11&gt;=$H122,BF$11&lt;=$I122),1,""))</f>
        <v/>
      </c>
      <c r="BG122" s="448" t="str">
        <f aca="false">IF($G122=0,IF(BG$11=$H122,"◆",""),IF(AND(BG$11&gt;=$H122,BG$11&lt;=$I122),1,""))</f>
        <v/>
      </c>
      <c r="BH122" s="448" t="str">
        <f aca="false">IF($G122=0,IF(BH$11=$H122,"◆",""),IF(AND(BH$11&gt;=$H122,BH$11&lt;=$I122),1,""))</f>
        <v/>
      </c>
      <c r="BI122" s="448" t="str">
        <f aca="false">IF($G122=0,IF(BI$11=$H122,"◆",""),IF(AND(BI$11&gt;=$H122,BI$11&lt;=$I122),1,""))</f>
        <v/>
      </c>
      <c r="BJ122" s="448" t="str">
        <f aca="false">IF($G122=0,IF(BJ$11=$H122,"◆",""),IF(AND(BJ$11&gt;=$H122,BJ$11&lt;=$I122),1,""))</f>
        <v/>
      </c>
      <c r="BK122" s="448" t="str">
        <f aca="false">IF($G122=0,IF(BK$11=$H122,"◆",""),IF(AND(BK$11&gt;=$H122,BK$11&lt;=$I122),1,""))</f>
        <v/>
      </c>
      <c r="BL122" s="448" t="str">
        <f aca="false">IF($G122=0,IF(BL$11=$H122,"◆",""),IF(AND(BL$11&gt;=$H122,BL$11&lt;=$I122),1,""))</f>
        <v/>
      </c>
      <c r="BM122" s="448" t="str">
        <f aca="false">IF($G122=0,IF(BM$11=$H122,"◆",""),IF(AND(BM$11&gt;=$H122,BM$11&lt;=$I122),1,""))</f>
        <v/>
      </c>
      <c r="BN122" s="448" t="str">
        <f aca="false">IF($G122=0,IF(BN$11=$H122,"◆",""),IF(AND(BN$11&gt;=$H122,BN$11&lt;=$I122),1,""))</f>
        <v/>
      </c>
      <c r="BO122" s="448" t="str">
        <f aca="false">IF($G122=0,IF(BO$11=$H122,"◆",""),IF(AND(BO$11&gt;=$H122,BO$11&lt;=$I122),1,""))</f>
        <v/>
      </c>
      <c r="BP122" s="448" t="str">
        <f aca="false">IF($G122=0,IF(BP$11=$H122,"◆",""),IF(AND(BP$11&gt;=$H122,BP$11&lt;=$I122),1,""))</f>
        <v/>
      </c>
      <c r="BQ122" s="448" t="str">
        <f aca="false">IF($G122=0,IF(BQ$11=$H122,"◆",""),IF(AND(BQ$11&gt;=$H122,BQ$11&lt;=$I122),1,""))</f>
        <v/>
      </c>
      <c r="BR122" s="448" t="str">
        <f aca="false">IF($G122=0,IF(BR$11=$H122,"◆",""),IF(AND(BR$11&gt;=$H122,BR$11&lt;=$I122),1,""))</f>
        <v/>
      </c>
      <c r="BS122" s="448" t="str">
        <f aca="false">IF($G122=0,IF(BS$11=$H122,"◆",""),IF(AND(BS$11&gt;=$H122,BS$11&lt;=$I122),1,""))</f>
        <v/>
      </c>
      <c r="BT122" s="448" t="str">
        <f aca="false">IF($G122=0,IF(BT$11=$H122,"◆",""),IF(AND(BT$11&gt;=$H122,BT$11&lt;=$I122),1,""))</f>
        <v/>
      </c>
      <c r="BU122" s="448" t="str">
        <f aca="false">IF($G122=0,IF(BU$11=$H122,"◆",""),IF(AND(BU$11&gt;=$H122,BU$11&lt;=$I122),1,""))</f>
        <v/>
      </c>
      <c r="BV122" s="448" t="str">
        <f aca="false">IF($G122=0,IF(BV$11=$H122,"◆",""),IF(AND(BV$11&gt;=$H122,BV$11&lt;=$I122),1,""))</f>
        <v/>
      </c>
      <c r="BW122" s="448" t="str">
        <f aca="false">IF($G122=0,IF(BW$11=$H122,"◆",""),IF(AND(BW$11&gt;=$H122,BW$11&lt;=$I122),1,""))</f>
        <v/>
      </c>
      <c r="BX122" s="448" t="str">
        <f aca="false">IF($G122=0,IF(BX$11=$H122,"◆",""),IF(AND(BX$11&gt;=$H122,BX$11&lt;=$I122),1,""))</f>
        <v/>
      </c>
      <c r="BY122" s="448" t="str">
        <f aca="false">IF($G122=0,IF(BY$11=$H122,"◆",""),IF(AND(BY$11&gt;=$H122,BY$11&lt;=$I122),1,""))</f>
        <v/>
      </c>
      <c r="BZ122" s="448" t="str">
        <f aca="false">IF($G122=0,IF(BZ$11=$H122,"◆",""),IF(AND(BZ$11&gt;=$H122,BZ$11&lt;=$I122),1,""))</f>
        <v/>
      </c>
      <c r="CA122" s="448" t="str">
        <f aca="false">IF($G122=0,IF(CA$11=$H122,"◆",""),IF(AND(CA$11&gt;=$H122,CA$11&lt;=$I122),1,""))</f>
        <v/>
      </c>
      <c r="CB122" s="448" t="str">
        <f aca="false">IF($G122=0,IF(CB$11=$H122,"◆",""),IF(AND(CB$11&gt;=$H122,CB$11&lt;=$I122),1,""))</f>
        <v/>
      </c>
      <c r="CC122" s="448" t="str">
        <f aca="false">IF($G122=0,IF(CC$11=$H122,"◆",""),IF(AND(CC$11&gt;=$H122,CC$11&lt;=$I122),1,""))</f>
        <v/>
      </c>
      <c r="CD122" s="448" t="str">
        <f aca="false">IF($G122=0,IF(CD$11=$H122,"◆",""),IF(AND(CD$11&gt;=$H122,CD$11&lt;=$I122),1,""))</f>
        <v/>
      </c>
      <c r="CE122" s="448" t="str">
        <f aca="false">IF($G122=0,IF(CE$11=$H122,"◆",""),IF(AND(CE$11&gt;=$H122,CE$11&lt;=$I122),1,""))</f>
        <v/>
      </c>
      <c r="CF122" s="448" t="str">
        <f aca="false">IF($G122=0,IF(CF$11=$H122,"◆",""),IF(AND(CF$11&gt;=$H122,CF$11&lt;=$I122),1,""))</f>
        <v/>
      </c>
      <c r="CG122" s="448" t="str">
        <f aca="false">IF($G122=0,IF(CG$11=$H122,"◆",""),IF(AND(CG$11&gt;=$H122,CG$11&lt;=$I122),1,""))</f>
        <v/>
      </c>
      <c r="CH122" s="448" t="str">
        <f aca="false">IF($G122=0,IF(CH$11=$H122,"◆",""),IF(AND(CH$11&gt;=$H122,CH$11&lt;=$I122),1,""))</f>
        <v/>
      </c>
      <c r="CI122" s="448" t="str">
        <f aca="false">IF($G122=0,IF(CI$11=$H122,"◆",""),IF(AND(CI$11&gt;=$H122,CI$11&lt;=$I122),1,""))</f>
        <v/>
      </c>
      <c r="CJ122" s="448" t="str">
        <f aca="false">IF($G122=0,IF(CJ$11=$H122,"◆",""),IF(AND(CJ$11&gt;=$H122,CJ$11&lt;=$I122),1,""))</f>
        <v/>
      </c>
      <c r="CK122" s="448" t="str">
        <f aca="false">IF($G122=0,IF(CK$11=$H122,"◆",""),IF(AND(CK$11&gt;=$H122,CK$11&lt;=$I122),1,""))</f>
        <v/>
      </c>
      <c r="CL122" s="448" t="str">
        <f aca="false">IF($G122=0,IF(CL$11=$H122,"◆",""),IF(AND(CL$11&gt;=$H122,CL$11&lt;=$I122),1,""))</f>
        <v/>
      </c>
      <c r="CM122" s="448" t="str">
        <f aca="false">IF($G122=0,IF(CM$11=$H122,"◆",""),IF(AND(CM$11&gt;=$H122,CM$11&lt;=$I122),1,""))</f>
        <v/>
      </c>
      <c r="CN122" s="448" t="str">
        <f aca="false">IF($G122=0,IF(CN$11=$H122,"◆",""),IF(AND(CN$11&gt;=$H122,CN$11&lt;=$I122),1,""))</f>
        <v/>
      </c>
      <c r="CO122" s="448" t="str">
        <f aca="false">IF($G122=0,IF(CO$11=$H122,"◆",""),IF(AND(CO$11&gt;=$H122,CO$11&lt;=$I122),1,""))</f>
        <v/>
      </c>
      <c r="CP122" s="448" t="str">
        <f aca="false">IF($G122=0,IF(CP$11=$H122,"◆",""),IF(AND(CP$11&gt;=$H122,CP$11&lt;=$I122),1,""))</f>
        <v/>
      </c>
      <c r="CQ122" s="448" t="str">
        <f aca="false">IF($G122=0,IF(CQ$11=$H122,"◆",""),IF(AND(CQ$11&gt;=$H122,CQ$11&lt;=$I122),1,""))</f>
        <v/>
      </c>
      <c r="CR122" s="448" t="str">
        <f aca="false">IF($G122=0,IF(CR$11=$H122,"◆",""),IF(AND(CR$11&gt;=$H122,CR$11&lt;=$I122),1,""))</f>
        <v/>
      </c>
      <c r="CS122" s="448" t="str">
        <f aca="false">IF($G122=0,IF(CS$11=$H122,"◆",""),IF(AND(CS$11&gt;=$H122,CS$11&lt;=$I122),1,""))</f>
        <v/>
      </c>
      <c r="CT122" s="448" t="str">
        <f aca="false">IF($G122=0,IF(CT$11=$H122,"◆",""),IF(AND(CT$11&gt;=$H122,CT$11&lt;=$I122),1,""))</f>
        <v/>
      </c>
      <c r="CU122" s="448" t="str">
        <f aca="false">IF($G122=0,IF(CU$11=$H122,"◆",""),IF(AND(CU$11&gt;=$H122,CU$11&lt;=$I122),1,""))</f>
        <v/>
      </c>
      <c r="CV122" s="448" t="str">
        <f aca="false">IF($G122=0,IF(CV$11=$H122,"◆",""),IF(AND(CV$11&gt;=$H122,CV$11&lt;=$I122),1,""))</f>
        <v/>
      </c>
      <c r="CW122" s="448" t="str">
        <f aca="false">IF($G122=0,IF(CW$11=$H122,"◆",""),IF(AND(CW$11&gt;=$H122,CW$11&lt;=$I122),1,""))</f>
        <v/>
      </c>
      <c r="CX122" s="448" t="str">
        <f aca="false">IF($G122=0,IF(CX$11=$H122,"◆",""),IF(AND(CX$11&gt;=$H122,CX$11&lt;=$I122),1,""))</f>
        <v/>
      </c>
      <c r="CY122" s="448" t="str">
        <f aca="false">IF($G122=0,IF(CY$11=$H122,"◆",""),IF(AND(CY$11&gt;=$H122,CY$11&lt;=$I122),1,""))</f>
        <v/>
      </c>
      <c r="CZ122" s="448" t="str">
        <f aca="false">IF($G122=0,IF(CZ$11=$H122,"◆",""),IF(AND(CZ$11&gt;=$H122,CZ$11&lt;=$I122),1,""))</f>
        <v/>
      </c>
      <c r="DA122" s="448" t="str">
        <f aca="false">IF($G122=0,IF(DA$11=$H122,"◆",""),IF(AND(DA$11&gt;=$H122,DA$11&lt;=$I122),1,""))</f>
        <v/>
      </c>
      <c r="DB122" s="448" t="str">
        <f aca="false">IF($G122=0,IF(DB$11=$H122,"◆",""),IF(AND(DB$11&gt;=$H122,DB$11&lt;=$I122),1,""))</f>
        <v/>
      </c>
      <c r="DC122" s="448" t="str">
        <f aca="false">IF($G122=0,IF(DC$11=$H122,"◆",""),IF(AND(DC$11&gt;=$H122,DC$11&lt;=$I122),1,""))</f>
        <v/>
      </c>
      <c r="DD122" s="448" t="str">
        <f aca="false">IF($G122=0,IF(DD$11=$H122,"◆",""),IF(AND(DD$11&gt;=$H122,DD$11&lt;=$I122),1,""))</f>
        <v/>
      </c>
      <c r="DE122" s="448" t="str">
        <f aca="false">IF($G122=0,IF(DE$11=$H122,"◆",""),IF(AND(DE$11&gt;=$H122,DE$11&lt;=$I122),1,""))</f>
        <v/>
      </c>
      <c r="DF122" s="448" t="str">
        <f aca="false">IF($G122=0,IF(DF$11=$H122,"◆",""),IF(AND(DF$11&gt;=$H122,DF$11&lt;=$I122),1,""))</f>
        <v/>
      </c>
      <c r="DG122" s="448" t="str">
        <f aca="false">IF($G122=0,IF(DG$11=$H122,"◆",""),IF(AND(DG$11&gt;=$H122,DG$11&lt;=$I122),1,""))</f>
        <v/>
      </c>
      <c r="DH122" s="448" t="str">
        <f aca="false">IF($G122=0,IF(DH$11=$H122,"◆",""),IF(AND(DH$11&gt;=$H122,DH$11&lt;=$I122),1,""))</f>
        <v/>
      </c>
      <c r="DI122" s="448" t="str">
        <f aca="false">IF($G122=0,IF(DI$11=$H122,"◆",""),IF(AND(DI$11&gt;=$H122,DI$11&lt;=$I122),1,""))</f>
        <v/>
      </c>
      <c r="DJ122" s="448" t="str">
        <f aca="false">IF($G122=0,IF(DJ$11=$H122,"◆",""),IF(AND(DJ$11&gt;=$H122,DJ$11&lt;=$I122),1,""))</f>
        <v/>
      </c>
      <c r="DK122" s="448" t="str">
        <f aca="false">IF($G122=0,IF(DK$11=$H122,"◆",""),IF(AND(DK$11&gt;=$H122,DK$11&lt;=$I122),1,""))</f>
        <v/>
      </c>
      <c r="DL122" s="448" t="str">
        <f aca="false">IF($G122=0,IF(DL$11=$H122,"◆",""),IF(AND(DL$11&gt;=$H122,DL$11&lt;=$I122),1,""))</f>
        <v/>
      </c>
      <c r="DM122" s="448" t="str">
        <f aca="false">IF($G122=0,IF(DM$11=$H122,"◆",""),IF(AND(DM$11&gt;=$H122,DM$11&lt;=$I122),1,""))</f>
        <v/>
      </c>
      <c r="DN122" s="448" t="str">
        <f aca="false">IF($G122=0,IF(DN$11=$H122,"◆",""),IF(AND(DN$11&gt;=$H122,DN$11&lt;=$I122),1,""))</f>
        <v/>
      </c>
      <c r="DO122" s="448" t="str">
        <f aca="false">IF($G122=0,IF(DO$11=$H122,"◆",""),IF(AND(DO$11&gt;=$H122,DO$11&lt;=$I122),1,""))</f>
        <v/>
      </c>
      <c r="DP122" s="448" t="str">
        <f aca="false">IF($G122=0,IF(DP$11=$H122,"◆",""),IF(AND(DP$11&gt;=$H122,DP$11&lt;=$I122),1,""))</f>
        <v/>
      </c>
      <c r="DQ122" s="448" t="str">
        <f aca="false">IF($G122=0,IF(DQ$11=$H122,"◆",""),IF(AND(DQ$11&gt;=$H122,DQ$11&lt;=$I122),1,""))</f>
        <v/>
      </c>
      <c r="DR122" s="448" t="str">
        <f aca="false">IF($G122=0,IF(DR$11=$H122,"◆",""),IF(AND(DR$11&gt;=$H122,DR$11&lt;=$I122),1,""))</f>
        <v/>
      </c>
      <c r="DS122" s="448" t="str">
        <f aca="false">IF($G122=0,IF(DS$11=$H122,"◆",""),IF(AND(DS$11&gt;=$H122,DS$11&lt;=$I122),1,""))</f>
        <v/>
      </c>
      <c r="DT122" s="448" t="str">
        <f aca="false">IF($G122=0,IF(DT$11=$H122,"◆",""),IF(AND(DT$11&gt;=$H122,DT$11&lt;=$I122),1,""))</f>
        <v/>
      </c>
      <c r="DU122" s="448" t="str">
        <f aca="false">IF($G122=0,IF(DU$11=$H122,"◆",""),IF(AND(DU$11&gt;=$H122,DU$11&lt;=$I122),1,""))</f>
        <v/>
      </c>
      <c r="DV122" s="448" t="str">
        <f aca="false">IF($G122=0,IF(DV$11=$H122,"◆",""),IF(AND(DV$11&gt;=$H122,DV$11&lt;=$I122),1,""))</f>
        <v/>
      </c>
      <c r="DW122" s="448" t="str">
        <f aca="false">IF($G122=0,IF(DW$11=$H122,"◆",""),IF(AND(DW$11&gt;=$H122,DW$11&lt;=$I122),1,""))</f>
        <v/>
      </c>
      <c r="DX122" s="448" t="str">
        <f aca="false">IF($G122=0,IF(DX$11=$H122,"◆",""),IF(AND(DX$11&gt;=$H122,DX$11&lt;=$I122),1,""))</f>
        <v/>
      </c>
      <c r="DY122" s="448" t="str">
        <f aca="false">IF($G122=0,IF(DY$11=$H122,"◆",""),IF(AND(DY$11&gt;=$H122,DY$11&lt;=$I122),1,""))</f>
        <v/>
      </c>
      <c r="DZ122" s="448" t="str">
        <f aca="false">IF($G122=0,IF(DZ$11=$H122,"◆",""),IF(AND(DZ$11&gt;=$H122,DZ$11&lt;=$I122),1,""))</f>
        <v/>
      </c>
      <c r="EA122" s="448" t="str">
        <f aca="false">IF($G122=0,IF(EA$11=$H122,"◆",""),IF(AND(EA$11&gt;=$H122,EA$11&lt;=$I122),1,""))</f>
        <v/>
      </c>
      <c r="EB122" s="448" t="str">
        <f aca="false">IF($G122=0,IF(EB$11=$H122,"◆",""),IF(AND(EB$11&gt;=$H122,EB$11&lt;=$I122),1,""))</f>
        <v/>
      </c>
      <c r="EC122" s="448" t="str">
        <f aca="false">IF($G122=0,IF(EC$11=$H122,"◆",""),IF(AND(EC$11&gt;=$H122,EC$11&lt;=$I122),1,""))</f>
        <v/>
      </c>
      <c r="ED122" s="448" t="str">
        <f aca="false">IF($G122=0,IF(ED$11=$H122,"◆",""),IF(AND(ED$11&gt;=$H122,ED$11&lt;=$I122),1,""))</f>
        <v/>
      </c>
    </row>
    <row r="123" customFormat="false" ht="15" hidden="false" customHeight="true" outlineLevel="0" collapsed="false">
      <c r="A123" s="441" t="s">
        <v>2689</v>
      </c>
      <c r="B123" s="297" t="s">
        <v>2690</v>
      </c>
      <c r="C123" s="442" t="s">
        <v>2691</v>
      </c>
      <c r="D123" s="443" t="s">
        <v>2436</v>
      </c>
      <c r="E123" s="354" t="n">
        <f aca="false">1</f>
        <v>1</v>
      </c>
      <c r="F123" s="352" t="n">
        <v>6</v>
      </c>
      <c r="G123" s="352" t="n">
        <v>22</v>
      </c>
      <c r="H123" s="367" t="n">
        <f aca="false">MAX(1,ROUND(($E123-1)*$D$5,0)+1+$F123)</f>
        <v>7</v>
      </c>
      <c r="I123" s="367" t="n">
        <f aca="false">MAX($H123,$H123+$G123-1)</f>
        <v>28</v>
      </c>
      <c r="J123" s="444" t="n">
        <f aca="false">$D$4+($H123-1)*7</f>
        <v>46342</v>
      </c>
      <c r="K123" s="444" t="n">
        <f aca="false">$D$4+$I123*7-1</f>
        <v>46495</v>
      </c>
      <c r="L123" s="445" t="n">
        <f aca="false">ROUNDUP($H123/$D$5,0)</f>
        <v>2</v>
      </c>
      <c r="M123" s="446"/>
      <c r="N123" s="447" t="n">
        <v>0</v>
      </c>
      <c r="O123" s="448" t="str">
        <f aca="false">IF($G123=0,IF(O$11=$H123,"◆",""),IF(AND(O$11&gt;=$H123,O$11&lt;=$I123),1,""))</f>
        <v/>
      </c>
      <c r="P123" s="448" t="str">
        <f aca="false">IF($G123=0,IF(P$11=$H123,"◆",""),IF(AND(P$11&gt;=$H123,P$11&lt;=$I123),1,""))</f>
        <v/>
      </c>
      <c r="Q123" s="448" t="str">
        <f aca="false">IF($G123=0,IF(Q$11=$H123,"◆",""),IF(AND(Q$11&gt;=$H123,Q$11&lt;=$I123),1,""))</f>
        <v/>
      </c>
      <c r="R123" s="448" t="str">
        <f aca="false">IF($G123=0,IF(R$11=$H123,"◆",""),IF(AND(R$11&gt;=$H123,R$11&lt;=$I123),1,""))</f>
        <v/>
      </c>
      <c r="S123" s="448" t="str">
        <f aca="false">IF($G123=0,IF(S$11=$H123,"◆",""),IF(AND(S$11&gt;=$H123,S$11&lt;=$I123),1,""))</f>
        <v/>
      </c>
      <c r="T123" s="448" t="str">
        <f aca="false">IF($G123=0,IF(T$11=$H123,"◆",""),IF(AND(T$11&gt;=$H123,T$11&lt;=$I123),1,""))</f>
        <v/>
      </c>
      <c r="U123" s="448" t="n">
        <f aca="false">IF($G123=0,IF(U$11=$H123,"◆",""),IF(AND(U$11&gt;=$H123,U$11&lt;=$I123),1,""))</f>
        <v>1</v>
      </c>
      <c r="V123" s="448" t="n">
        <f aca="false">IF($G123=0,IF(V$11=$H123,"◆",""),IF(AND(V$11&gt;=$H123,V$11&lt;=$I123),1,""))</f>
        <v>1</v>
      </c>
      <c r="W123" s="448" t="n">
        <f aca="false">IF($G123=0,IF(W$11=$H123,"◆",""),IF(AND(W$11&gt;=$H123,W$11&lt;=$I123),1,""))</f>
        <v>1</v>
      </c>
      <c r="X123" s="448" t="n">
        <f aca="false">IF($G123=0,IF(X$11=$H123,"◆",""),IF(AND(X$11&gt;=$H123,X$11&lt;=$I123),1,""))</f>
        <v>1</v>
      </c>
      <c r="Y123" s="448" t="n">
        <f aca="false">IF($G123=0,IF(Y$11=$H123,"◆",""),IF(AND(Y$11&gt;=$H123,Y$11&lt;=$I123),1,""))</f>
        <v>1</v>
      </c>
      <c r="Z123" s="448" t="n">
        <f aca="false">IF($G123=0,IF(Z$11=$H123,"◆",""),IF(AND(Z$11&gt;=$H123,Z$11&lt;=$I123),1,""))</f>
        <v>1</v>
      </c>
      <c r="AA123" s="448" t="n">
        <f aca="false">IF($G123=0,IF(AA$11=$H123,"◆",""),IF(AND(AA$11&gt;=$H123,AA$11&lt;=$I123),1,""))</f>
        <v>1</v>
      </c>
      <c r="AB123" s="448" t="n">
        <f aca="false">IF($G123=0,IF(AB$11=$H123,"◆",""),IF(AND(AB$11&gt;=$H123,AB$11&lt;=$I123),1,""))</f>
        <v>1</v>
      </c>
      <c r="AC123" s="448" t="n">
        <f aca="false">IF($G123=0,IF(AC$11=$H123,"◆",""),IF(AND(AC$11&gt;=$H123,AC$11&lt;=$I123),1,""))</f>
        <v>1</v>
      </c>
      <c r="AD123" s="448" t="n">
        <f aca="false">IF($G123=0,IF(AD$11=$H123,"◆",""),IF(AND(AD$11&gt;=$H123,AD$11&lt;=$I123),1,""))</f>
        <v>1</v>
      </c>
      <c r="AE123" s="448" t="n">
        <f aca="false">IF($G123=0,IF(AE$11=$H123,"◆",""),IF(AND(AE$11&gt;=$H123,AE$11&lt;=$I123),1,""))</f>
        <v>1</v>
      </c>
      <c r="AF123" s="448" t="n">
        <f aca="false">IF($G123=0,IF(AF$11=$H123,"◆",""),IF(AND(AF$11&gt;=$H123,AF$11&lt;=$I123),1,""))</f>
        <v>1</v>
      </c>
      <c r="AG123" s="448" t="n">
        <f aca="false">IF($G123=0,IF(AG$11=$H123,"◆",""),IF(AND(AG$11&gt;=$H123,AG$11&lt;=$I123),1,""))</f>
        <v>1</v>
      </c>
      <c r="AH123" s="448" t="n">
        <f aca="false">IF($G123=0,IF(AH$11=$H123,"◆",""),IF(AND(AH$11&gt;=$H123,AH$11&lt;=$I123),1,""))</f>
        <v>1</v>
      </c>
      <c r="AI123" s="448" t="n">
        <f aca="false">IF($G123=0,IF(AI$11=$H123,"◆",""),IF(AND(AI$11&gt;=$H123,AI$11&lt;=$I123),1,""))</f>
        <v>1</v>
      </c>
      <c r="AJ123" s="448" t="n">
        <f aca="false">IF($G123=0,IF(AJ$11=$H123,"◆",""),IF(AND(AJ$11&gt;=$H123,AJ$11&lt;=$I123),1,""))</f>
        <v>1</v>
      </c>
      <c r="AK123" s="448" t="n">
        <f aca="false">IF($G123=0,IF(AK$11=$H123,"◆",""),IF(AND(AK$11&gt;=$H123,AK$11&lt;=$I123),1,""))</f>
        <v>1</v>
      </c>
      <c r="AL123" s="448" t="n">
        <f aca="false">IF($G123=0,IF(AL$11=$H123,"◆",""),IF(AND(AL$11&gt;=$H123,AL$11&lt;=$I123),1,""))</f>
        <v>1</v>
      </c>
      <c r="AM123" s="448" t="n">
        <f aca="false">IF($G123=0,IF(AM$11=$H123,"◆",""),IF(AND(AM$11&gt;=$H123,AM$11&lt;=$I123),1,""))</f>
        <v>1</v>
      </c>
      <c r="AN123" s="448" t="n">
        <f aca="false">IF($G123=0,IF(AN$11=$H123,"◆",""),IF(AND(AN$11&gt;=$H123,AN$11&lt;=$I123),1,""))</f>
        <v>1</v>
      </c>
      <c r="AO123" s="448" t="n">
        <f aca="false">IF($G123=0,IF(AO$11=$H123,"◆",""),IF(AND(AO$11&gt;=$H123,AO$11&lt;=$I123),1,""))</f>
        <v>1</v>
      </c>
      <c r="AP123" s="448" t="n">
        <f aca="false">IF($G123=0,IF(AP$11=$H123,"◆",""),IF(AND(AP$11&gt;=$H123,AP$11&lt;=$I123),1,""))</f>
        <v>1</v>
      </c>
      <c r="AQ123" s="448" t="str">
        <f aca="false">IF($G123=0,IF(AQ$11=$H123,"◆",""),IF(AND(AQ$11&gt;=$H123,AQ$11&lt;=$I123),1,""))</f>
        <v/>
      </c>
      <c r="AR123" s="448" t="str">
        <f aca="false">IF($G123=0,IF(AR$11=$H123,"◆",""),IF(AND(AR$11&gt;=$H123,AR$11&lt;=$I123),1,""))</f>
        <v/>
      </c>
      <c r="AS123" s="448" t="str">
        <f aca="false">IF($G123=0,IF(AS$11=$H123,"◆",""),IF(AND(AS$11&gt;=$H123,AS$11&lt;=$I123),1,""))</f>
        <v/>
      </c>
      <c r="AT123" s="448" t="str">
        <f aca="false">IF($G123=0,IF(AT$11=$H123,"◆",""),IF(AND(AT$11&gt;=$H123,AT$11&lt;=$I123),1,""))</f>
        <v/>
      </c>
      <c r="AU123" s="448" t="str">
        <f aca="false">IF($G123=0,IF(AU$11=$H123,"◆",""),IF(AND(AU$11&gt;=$H123,AU$11&lt;=$I123),1,""))</f>
        <v/>
      </c>
      <c r="AV123" s="448" t="str">
        <f aca="false">IF($G123=0,IF(AV$11=$H123,"◆",""),IF(AND(AV$11&gt;=$H123,AV$11&lt;=$I123),1,""))</f>
        <v/>
      </c>
      <c r="AW123" s="448" t="str">
        <f aca="false">IF($G123=0,IF(AW$11=$H123,"◆",""),IF(AND(AW$11&gt;=$H123,AW$11&lt;=$I123),1,""))</f>
        <v/>
      </c>
      <c r="AX123" s="448" t="str">
        <f aca="false">IF($G123=0,IF(AX$11=$H123,"◆",""),IF(AND(AX$11&gt;=$H123,AX$11&lt;=$I123),1,""))</f>
        <v/>
      </c>
      <c r="AY123" s="448" t="str">
        <f aca="false">IF($G123=0,IF(AY$11=$H123,"◆",""),IF(AND(AY$11&gt;=$H123,AY$11&lt;=$I123),1,""))</f>
        <v/>
      </c>
      <c r="AZ123" s="448" t="str">
        <f aca="false">IF($G123=0,IF(AZ$11=$H123,"◆",""),IF(AND(AZ$11&gt;=$H123,AZ$11&lt;=$I123),1,""))</f>
        <v/>
      </c>
      <c r="BA123" s="448" t="str">
        <f aca="false">IF($G123=0,IF(BA$11=$H123,"◆",""),IF(AND(BA$11&gt;=$H123,BA$11&lt;=$I123),1,""))</f>
        <v/>
      </c>
      <c r="BB123" s="448" t="str">
        <f aca="false">IF($G123=0,IF(BB$11=$H123,"◆",""),IF(AND(BB$11&gt;=$H123,BB$11&lt;=$I123),1,""))</f>
        <v/>
      </c>
      <c r="BC123" s="448" t="str">
        <f aca="false">IF($G123=0,IF(BC$11=$H123,"◆",""),IF(AND(BC$11&gt;=$H123,BC$11&lt;=$I123),1,""))</f>
        <v/>
      </c>
      <c r="BD123" s="448" t="str">
        <f aca="false">IF($G123=0,IF(BD$11=$H123,"◆",""),IF(AND(BD$11&gt;=$H123,BD$11&lt;=$I123),1,""))</f>
        <v/>
      </c>
      <c r="BE123" s="448" t="str">
        <f aca="false">IF($G123=0,IF(BE$11=$H123,"◆",""),IF(AND(BE$11&gt;=$H123,BE$11&lt;=$I123),1,""))</f>
        <v/>
      </c>
      <c r="BF123" s="448" t="str">
        <f aca="false">IF($G123=0,IF(BF$11=$H123,"◆",""),IF(AND(BF$11&gt;=$H123,BF$11&lt;=$I123),1,""))</f>
        <v/>
      </c>
      <c r="BG123" s="448" t="str">
        <f aca="false">IF($G123=0,IF(BG$11=$H123,"◆",""),IF(AND(BG$11&gt;=$H123,BG$11&lt;=$I123),1,""))</f>
        <v/>
      </c>
      <c r="BH123" s="448" t="str">
        <f aca="false">IF($G123=0,IF(BH$11=$H123,"◆",""),IF(AND(BH$11&gt;=$H123,BH$11&lt;=$I123),1,""))</f>
        <v/>
      </c>
      <c r="BI123" s="448" t="str">
        <f aca="false">IF($G123=0,IF(BI$11=$H123,"◆",""),IF(AND(BI$11&gt;=$H123,BI$11&lt;=$I123),1,""))</f>
        <v/>
      </c>
      <c r="BJ123" s="448" t="str">
        <f aca="false">IF($G123=0,IF(BJ$11=$H123,"◆",""),IF(AND(BJ$11&gt;=$H123,BJ$11&lt;=$I123),1,""))</f>
        <v/>
      </c>
      <c r="BK123" s="448" t="str">
        <f aca="false">IF($G123=0,IF(BK$11=$H123,"◆",""),IF(AND(BK$11&gt;=$H123,BK$11&lt;=$I123),1,""))</f>
        <v/>
      </c>
      <c r="BL123" s="448" t="str">
        <f aca="false">IF($G123=0,IF(BL$11=$H123,"◆",""),IF(AND(BL$11&gt;=$H123,BL$11&lt;=$I123),1,""))</f>
        <v/>
      </c>
      <c r="BM123" s="448" t="str">
        <f aca="false">IF($G123=0,IF(BM$11=$H123,"◆",""),IF(AND(BM$11&gt;=$H123,BM$11&lt;=$I123),1,""))</f>
        <v/>
      </c>
      <c r="BN123" s="448" t="str">
        <f aca="false">IF($G123=0,IF(BN$11=$H123,"◆",""),IF(AND(BN$11&gt;=$H123,BN$11&lt;=$I123),1,""))</f>
        <v/>
      </c>
      <c r="BO123" s="448" t="str">
        <f aca="false">IF($G123=0,IF(BO$11=$H123,"◆",""),IF(AND(BO$11&gt;=$H123,BO$11&lt;=$I123),1,""))</f>
        <v/>
      </c>
      <c r="BP123" s="448" t="str">
        <f aca="false">IF($G123=0,IF(BP$11=$H123,"◆",""),IF(AND(BP$11&gt;=$H123,BP$11&lt;=$I123),1,""))</f>
        <v/>
      </c>
      <c r="BQ123" s="448" t="str">
        <f aca="false">IF($G123=0,IF(BQ$11=$H123,"◆",""),IF(AND(BQ$11&gt;=$H123,BQ$11&lt;=$I123),1,""))</f>
        <v/>
      </c>
      <c r="BR123" s="448" t="str">
        <f aca="false">IF($G123=0,IF(BR$11=$H123,"◆",""),IF(AND(BR$11&gt;=$H123,BR$11&lt;=$I123),1,""))</f>
        <v/>
      </c>
      <c r="BS123" s="448" t="str">
        <f aca="false">IF($G123=0,IF(BS$11=$H123,"◆",""),IF(AND(BS$11&gt;=$H123,BS$11&lt;=$I123),1,""))</f>
        <v/>
      </c>
      <c r="BT123" s="448" t="str">
        <f aca="false">IF($G123=0,IF(BT$11=$H123,"◆",""),IF(AND(BT$11&gt;=$H123,BT$11&lt;=$I123),1,""))</f>
        <v/>
      </c>
      <c r="BU123" s="448" t="str">
        <f aca="false">IF($G123=0,IF(BU$11=$H123,"◆",""),IF(AND(BU$11&gt;=$H123,BU$11&lt;=$I123),1,""))</f>
        <v/>
      </c>
      <c r="BV123" s="448" t="str">
        <f aca="false">IF($G123=0,IF(BV$11=$H123,"◆",""),IF(AND(BV$11&gt;=$H123,BV$11&lt;=$I123),1,""))</f>
        <v/>
      </c>
      <c r="BW123" s="448" t="str">
        <f aca="false">IF($G123=0,IF(BW$11=$H123,"◆",""),IF(AND(BW$11&gt;=$H123,BW$11&lt;=$I123),1,""))</f>
        <v/>
      </c>
      <c r="BX123" s="448" t="str">
        <f aca="false">IF($G123=0,IF(BX$11=$H123,"◆",""),IF(AND(BX$11&gt;=$H123,BX$11&lt;=$I123),1,""))</f>
        <v/>
      </c>
      <c r="BY123" s="448" t="str">
        <f aca="false">IF($G123=0,IF(BY$11=$H123,"◆",""),IF(AND(BY$11&gt;=$H123,BY$11&lt;=$I123),1,""))</f>
        <v/>
      </c>
      <c r="BZ123" s="448" t="str">
        <f aca="false">IF($G123=0,IF(BZ$11=$H123,"◆",""),IF(AND(BZ$11&gt;=$H123,BZ$11&lt;=$I123),1,""))</f>
        <v/>
      </c>
      <c r="CA123" s="448" t="str">
        <f aca="false">IF($G123=0,IF(CA$11=$H123,"◆",""),IF(AND(CA$11&gt;=$H123,CA$11&lt;=$I123),1,""))</f>
        <v/>
      </c>
      <c r="CB123" s="448" t="str">
        <f aca="false">IF($G123=0,IF(CB$11=$H123,"◆",""),IF(AND(CB$11&gt;=$H123,CB$11&lt;=$I123),1,""))</f>
        <v/>
      </c>
      <c r="CC123" s="448" t="str">
        <f aca="false">IF($G123=0,IF(CC$11=$H123,"◆",""),IF(AND(CC$11&gt;=$H123,CC$11&lt;=$I123),1,""))</f>
        <v/>
      </c>
      <c r="CD123" s="448" t="str">
        <f aca="false">IF($G123=0,IF(CD$11=$H123,"◆",""),IF(AND(CD$11&gt;=$H123,CD$11&lt;=$I123),1,""))</f>
        <v/>
      </c>
      <c r="CE123" s="448" t="str">
        <f aca="false">IF($G123=0,IF(CE$11=$H123,"◆",""),IF(AND(CE$11&gt;=$H123,CE$11&lt;=$I123),1,""))</f>
        <v/>
      </c>
      <c r="CF123" s="448" t="str">
        <f aca="false">IF($G123=0,IF(CF$11=$H123,"◆",""),IF(AND(CF$11&gt;=$H123,CF$11&lt;=$I123),1,""))</f>
        <v/>
      </c>
      <c r="CG123" s="448" t="str">
        <f aca="false">IF($G123=0,IF(CG$11=$H123,"◆",""),IF(AND(CG$11&gt;=$H123,CG$11&lt;=$I123),1,""))</f>
        <v/>
      </c>
      <c r="CH123" s="448" t="str">
        <f aca="false">IF($G123=0,IF(CH$11=$H123,"◆",""),IF(AND(CH$11&gt;=$H123,CH$11&lt;=$I123),1,""))</f>
        <v/>
      </c>
      <c r="CI123" s="448" t="str">
        <f aca="false">IF($G123=0,IF(CI$11=$H123,"◆",""),IF(AND(CI$11&gt;=$H123,CI$11&lt;=$I123),1,""))</f>
        <v/>
      </c>
      <c r="CJ123" s="448" t="str">
        <f aca="false">IF($G123=0,IF(CJ$11=$H123,"◆",""),IF(AND(CJ$11&gt;=$H123,CJ$11&lt;=$I123),1,""))</f>
        <v/>
      </c>
      <c r="CK123" s="448" t="str">
        <f aca="false">IF($G123=0,IF(CK$11=$H123,"◆",""),IF(AND(CK$11&gt;=$H123,CK$11&lt;=$I123),1,""))</f>
        <v/>
      </c>
      <c r="CL123" s="448" t="str">
        <f aca="false">IF($G123=0,IF(CL$11=$H123,"◆",""),IF(AND(CL$11&gt;=$H123,CL$11&lt;=$I123),1,""))</f>
        <v/>
      </c>
      <c r="CM123" s="448" t="str">
        <f aca="false">IF($G123=0,IF(CM$11=$H123,"◆",""),IF(AND(CM$11&gt;=$H123,CM$11&lt;=$I123),1,""))</f>
        <v/>
      </c>
      <c r="CN123" s="448" t="str">
        <f aca="false">IF($G123=0,IF(CN$11=$H123,"◆",""),IF(AND(CN$11&gt;=$H123,CN$11&lt;=$I123),1,""))</f>
        <v/>
      </c>
      <c r="CO123" s="448" t="str">
        <f aca="false">IF($G123=0,IF(CO$11=$H123,"◆",""),IF(AND(CO$11&gt;=$H123,CO$11&lt;=$I123),1,""))</f>
        <v/>
      </c>
      <c r="CP123" s="448" t="str">
        <f aca="false">IF($G123=0,IF(CP$11=$H123,"◆",""),IF(AND(CP$11&gt;=$H123,CP$11&lt;=$I123),1,""))</f>
        <v/>
      </c>
      <c r="CQ123" s="448" t="str">
        <f aca="false">IF($G123=0,IF(CQ$11=$H123,"◆",""),IF(AND(CQ$11&gt;=$H123,CQ$11&lt;=$I123),1,""))</f>
        <v/>
      </c>
      <c r="CR123" s="448" t="str">
        <f aca="false">IF($G123=0,IF(CR$11=$H123,"◆",""),IF(AND(CR$11&gt;=$H123,CR$11&lt;=$I123),1,""))</f>
        <v/>
      </c>
      <c r="CS123" s="448" t="str">
        <f aca="false">IF($G123=0,IF(CS$11=$H123,"◆",""),IF(AND(CS$11&gt;=$H123,CS$11&lt;=$I123),1,""))</f>
        <v/>
      </c>
      <c r="CT123" s="448" t="str">
        <f aca="false">IF($G123=0,IF(CT$11=$H123,"◆",""),IF(AND(CT$11&gt;=$H123,CT$11&lt;=$I123),1,""))</f>
        <v/>
      </c>
      <c r="CU123" s="448" t="str">
        <f aca="false">IF($G123=0,IF(CU$11=$H123,"◆",""),IF(AND(CU$11&gt;=$H123,CU$11&lt;=$I123),1,""))</f>
        <v/>
      </c>
      <c r="CV123" s="448" t="str">
        <f aca="false">IF($G123=0,IF(CV$11=$H123,"◆",""),IF(AND(CV$11&gt;=$H123,CV$11&lt;=$I123),1,""))</f>
        <v/>
      </c>
      <c r="CW123" s="448" t="str">
        <f aca="false">IF($G123=0,IF(CW$11=$H123,"◆",""),IF(AND(CW$11&gt;=$H123,CW$11&lt;=$I123),1,""))</f>
        <v/>
      </c>
      <c r="CX123" s="448" t="str">
        <f aca="false">IF($G123=0,IF(CX$11=$H123,"◆",""),IF(AND(CX$11&gt;=$H123,CX$11&lt;=$I123),1,""))</f>
        <v/>
      </c>
      <c r="CY123" s="448" t="str">
        <f aca="false">IF($G123=0,IF(CY$11=$H123,"◆",""),IF(AND(CY$11&gt;=$H123,CY$11&lt;=$I123),1,""))</f>
        <v/>
      </c>
      <c r="CZ123" s="448" t="str">
        <f aca="false">IF($G123=0,IF(CZ$11=$H123,"◆",""),IF(AND(CZ$11&gt;=$H123,CZ$11&lt;=$I123),1,""))</f>
        <v/>
      </c>
      <c r="DA123" s="448" t="str">
        <f aca="false">IF($G123=0,IF(DA$11=$H123,"◆",""),IF(AND(DA$11&gt;=$H123,DA$11&lt;=$I123),1,""))</f>
        <v/>
      </c>
      <c r="DB123" s="448" t="str">
        <f aca="false">IF($G123=0,IF(DB$11=$H123,"◆",""),IF(AND(DB$11&gt;=$H123,DB$11&lt;=$I123),1,""))</f>
        <v/>
      </c>
      <c r="DC123" s="448" t="str">
        <f aca="false">IF($G123=0,IF(DC$11=$H123,"◆",""),IF(AND(DC$11&gt;=$H123,DC$11&lt;=$I123),1,""))</f>
        <v/>
      </c>
      <c r="DD123" s="448" t="str">
        <f aca="false">IF($G123=0,IF(DD$11=$H123,"◆",""),IF(AND(DD$11&gt;=$H123,DD$11&lt;=$I123),1,""))</f>
        <v/>
      </c>
      <c r="DE123" s="448" t="str">
        <f aca="false">IF($G123=0,IF(DE$11=$H123,"◆",""),IF(AND(DE$11&gt;=$H123,DE$11&lt;=$I123),1,""))</f>
        <v/>
      </c>
      <c r="DF123" s="448" t="str">
        <f aca="false">IF($G123=0,IF(DF$11=$H123,"◆",""),IF(AND(DF$11&gt;=$H123,DF$11&lt;=$I123),1,""))</f>
        <v/>
      </c>
      <c r="DG123" s="448" t="str">
        <f aca="false">IF($G123=0,IF(DG$11=$H123,"◆",""),IF(AND(DG$11&gt;=$H123,DG$11&lt;=$I123),1,""))</f>
        <v/>
      </c>
      <c r="DH123" s="448" t="str">
        <f aca="false">IF($G123=0,IF(DH$11=$H123,"◆",""),IF(AND(DH$11&gt;=$H123,DH$11&lt;=$I123),1,""))</f>
        <v/>
      </c>
      <c r="DI123" s="448" t="str">
        <f aca="false">IF($G123=0,IF(DI$11=$H123,"◆",""),IF(AND(DI$11&gt;=$H123,DI$11&lt;=$I123),1,""))</f>
        <v/>
      </c>
      <c r="DJ123" s="448" t="str">
        <f aca="false">IF($G123=0,IF(DJ$11=$H123,"◆",""),IF(AND(DJ$11&gt;=$H123,DJ$11&lt;=$I123),1,""))</f>
        <v/>
      </c>
      <c r="DK123" s="448" t="str">
        <f aca="false">IF($G123=0,IF(DK$11=$H123,"◆",""),IF(AND(DK$11&gt;=$H123,DK$11&lt;=$I123),1,""))</f>
        <v/>
      </c>
      <c r="DL123" s="448" t="str">
        <f aca="false">IF($G123=0,IF(DL$11=$H123,"◆",""),IF(AND(DL$11&gt;=$H123,DL$11&lt;=$I123),1,""))</f>
        <v/>
      </c>
      <c r="DM123" s="448" t="str">
        <f aca="false">IF($G123=0,IF(DM$11=$H123,"◆",""),IF(AND(DM$11&gt;=$H123,DM$11&lt;=$I123),1,""))</f>
        <v/>
      </c>
      <c r="DN123" s="448" t="str">
        <f aca="false">IF($G123=0,IF(DN$11=$H123,"◆",""),IF(AND(DN$11&gt;=$H123,DN$11&lt;=$I123),1,""))</f>
        <v/>
      </c>
      <c r="DO123" s="448" t="str">
        <f aca="false">IF($G123=0,IF(DO$11=$H123,"◆",""),IF(AND(DO$11&gt;=$H123,DO$11&lt;=$I123),1,""))</f>
        <v/>
      </c>
      <c r="DP123" s="448" t="str">
        <f aca="false">IF($G123=0,IF(DP$11=$H123,"◆",""),IF(AND(DP$11&gt;=$H123,DP$11&lt;=$I123),1,""))</f>
        <v/>
      </c>
      <c r="DQ123" s="448" t="str">
        <f aca="false">IF($G123=0,IF(DQ$11=$H123,"◆",""),IF(AND(DQ$11&gt;=$H123,DQ$11&lt;=$I123),1,""))</f>
        <v/>
      </c>
      <c r="DR123" s="448" t="str">
        <f aca="false">IF($G123=0,IF(DR$11=$H123,"◆",""),IF(AND(DR$11&gt;=$H123,DR$11&lt;=$I123),1,""))</f>
        <v/>
      </c>
      <c r="DS123" s="448" t="str">
        <f aca="false">IF($G123=0,IF(DS$11=$H123,"◆",""),IF(AND(DS$11&gt;=$H123,DS$11&lt;=$I123),1,""))</f>
        <v/>
      </c>
      <c r="DT123" s="448" t="str">
        <f aca="false">IF($G123=0,IF(DT$11=$H123,"◆",""),IF(AND(DT$11&gt;=$H123,DT$11&lt;=$I123),1,""))</f>
        <v/>
      </c>
      <c r="DU123" s="448" t="str">
        <f aca="false">IF($G123=0,IF(DU$11=$H123,"◆",""),IF(AND(DU$11&gt;=$H123,DU$11&lt;=$I123),1,""))</f>
        <v/>
      </c>
      <c r="DV123" s="448" t="str">
        <f aca="false">IF($G123=0,IF(DV$11=$H123,"◆",""),IF(AND(DV$11&gt;=$H123,DV$11&lt;=$I123),1,""))</f>
        <v/>
      </c>
      <c r="DW123" s="448" t="str">
        <f aca="false">IF($G123=0,IF(DW$11=$H123,"◆",""),IF(AND(DW$11&gt;=$H123,DW$11&lt;=$I123),1,""))</f>
        <v/>
      </c>
      <c r="DX123" s="448" t="str">
        <f aca="false">IF($G123=0,IF(DX$11=$H123,"◆",""),IF(AND(DX$11&gt;=$H123,DX$11&lt;=$I123),1,""))</f>
        <v/>
      </c>
      <c r="DY123" s="448" t="str">
        <f aca="false">IF($G123=0,IF(DY$11=$H123,"◆",""),IF(AND(DY$11&gt;=$H123,DY$11&lt;=$I123),1,""))</f>
        <v/>
      </c>
      <c r="DZ123" s="448" t="str">
        <f aca="false">IF($G123=0,IF(DZ$11=$H123,"◆",""),IF(AND(DZ$11&gt;=$H123,DZ$11&lt;=$I123),1,""))</f>
        <v/>
      </c>
      <c r="EA123" s="448" t="str">
        <f aca="false">IF($G123=0,IF(EA$11=$H123,"◆",""),IF(AND(EA$11&gt;=$H123,EA$11&lt;=$I123),1,""))</f>
        <v/>
      </c>
      <c r="EB123" s="448" t="str">
        <f aca="false">IF($G123=0,IF(EB$11=$H123,"◆",""),IF(AND(EB$11&gt;=$H123,EB$11&lt;=$I123),1,""))</f>
        <v/>
      </c>
      <c r="EC123" s="448" t="str">
        <f aca="false">IF($G123=0,IF(EC$11=$H123,"◆",""),IF(AND(EC$11&gt;=$H123,EC$11&lt;=$I123),1,""))</f>
        <v/>
      </c>
      <c r="ED123" s="448" t="str">
        <f aca="false">IF($G123=0,IF(ED$11=$H123,"◆",""),IF(AND(ED$11&gt;=$H123,ED$11&lt;=$I123),1,""))</f>
        <v/>
      </c>
    </row>
    <row r="124" customFormat="false" ht="15" hidden="false" customHeight="true" outlineLevel="0" collapsed="false">
      <c r="A124" s="441" t="s">
        <v>2692</v>
      </c>
      <c r="B124" s="297" t="s">
        <v>2693</v>
      </c>
      <c r="C124" s="442" t="s">
        <v>2439</v>
      </c>
      <c r="D124" s="443" t="s">
        <v>2436</v>
      </c>
      <c r="E124" s="354" t="n">
        <f aca="false">1</f>
        <v>1</v>
      </c>
      <c r="F124" s="352" t="n">
        <v>6</v>
      </c>
      <c r="G124" s="352" t="n">
        <v>8</v>
      </c>
      <c r="H124" s="367" t="n">
        <f aca="false">MAX(1,ROUND(($E124-1)*$D$5,0)+1+$F124)</f>
        <v>7</v>
      </c>
      <c r="I124" s="367" t="n">
        <f aca="false">MAX($H124,$H124+$G124-1)</f>
        <v>14</v>
      </c>
      <c r="J124" s="444" t="n">
        <f aca="false">$D$4+($H124-1)*7</f>
        <v>46342</v>
      </c>
      <c r="K124" s="444" t="n">
        <f aca="false">$D$4+$I124*7-1</f>
        <v>46397</v>
      </c>
      <c r="L124" s="445" t="n">
        <f aca="false">ROUNDUP($H124/$D$5,0)</f>
        <v>2</v>
      </c>
      <c r="M124" s="446"/>
      <c r="N124" s="447" t="n">
        <v>0</v>
      </c>
      <c r="O124" s="448" t="str">
        <f aca="false">IF($G124=0,IF(O$11=$H124,"◆",""),IF(AND(O$11&gt;=$H124,O$11&lt;=$I124),1,""))</f>
        <v/>
      </c>
      <c r="P124" s="448" t="str">
        <f aca="false">IF($G124=0,IF(P$11=$H124,"◆",""),IF(AND(P$11&gt;=$H124,P$11&lt;=$I124),1,""))</f>
        <v/>
      </c>
      <c r="Q124" s="448" t="str">
        <f aca="false">IF($G124=0,IF(Q$11=$H124,"◆",""),IF(AND(Q$11&gt;=$H124,Q$11&lt;=$I124),1,""))</f>
        <v/>
      </c>
      <c r="R124" s="448" t="str">
        <f aca="false">IF($G124=0,IF(R$11=$H124,"◆",""),IF(AND(R$11&gt;=$H124,R$11&lt;=$I124),1,""))</f>
        <v/>
      </c>
      <c r="S124" s="448" t="str">
        <f aca="false">IF($G124=0,IF(S$11=$H124,"◆",""),IF(AND(S$11&gt;=$H124,S$11&lt;=$I124),1,""))</f>
        <v/>
      </c>
      <c r="T124" s="448" t="str">
        <f aca="false">IF($G124=0,IF(T$11=$H124,"◆",""),IF(AND(T$11&gt;=$H124,T$11&lt;=$I124),1,""))</f>
        <v/>
      </c>
      <c r="U124" s="448" t="n">
        <f aca="false">IF($G124=0,IF(U$11=$H124,"◆",""),IF(AND(U$11&gt;=$H124,U$11&lt;=$I124),1,""))</f>
        <v>1</v>
      </c>
      <c r="V124" s="448" t="n">
        <f aca="false">IF($G124=0,IF(V$11=$H124,"◆",""),IF(AND(V$11&gt;=$H124,V$11&lt;=$I124),1,""))</f>
        <v>1</v>
      </c>
      <c r="W124" s="448" t="n">
        <f aca="false">IF($G124=0,IF(W$11=$H124,"◆",""),IF(AND(W$11&gt;=$H124,W$11&lt;=$I124),1,""))</f>
        <v>1</v>
      </c>
      <c r="X124" s="448" t="n">
        <f aca="false">IF($G124=0,IF(X$11=$H124,"◆",""),IF(AND(X$11&gt;=$H124,X$11&lt;=$I124),1,""))</f>
        <v>1</v>
      </c>
      <c r="Y124" s="448" t="n">
        <f aca="false">IF($G124=0,IF(Y$11=$H124,"◆",""),IF(AND(Y$11&gt;=$H124,Y$11&lt;=$I124),1,""))</f>
        <v>1</v>
      </c>
      <c r="Z124" s="448" t="n">
        <f aca="false">IF($G124=0,IF(Z$11=$H124,"◆",""),IF(AND(Z$11&gt;=$H124,Z$11&lt;=$I124),1,""))</f>
        <v>1</v>
      </c>
      <c r="AA124" s="448" t="n">
        <f aca="false">IF($G124=0,IF(AA$11=$H124,"◆",""),IF(AND(AA$11&gt;=$H124,AA$11&lt;=$I124),1,""))</f>
        <v>1</v>
      </c>
      <c r="AB124" s="448" t="n">
        <f aca="false">IF($G124=0,IF(AB$11=$H124,"◆",""),IF(AND(AB$11&gt;=$H124,AB$11&lt;=$I124),1,""))</f>
        <v>1</v>
      </c>
      <c r="AC124" s="448" t="str">
        <f aca="false">IF($G124=0,IF(AC$11=$H124,"◆",""),IF(AND(AC$11&gt;=$H124,AC$11&lt;=$I124),1,""))</f>
        <v/>
      </c>
      <c r="AD124" s="448" t="str">
        <f aca="false">IF($G124=0,IF(AD$11=$H124,"◆",""),IF(AND(AD$11&gt;=$H124,AD$11&lt;=$I124),1,""))</f>
        <v/>
      </c>
      <c r="AE124" s="448" t="str">
        <f aca="false">IF($G124=0,IF(AE$11=$H124,"◆",""),IF(AND(AE$11&gt;=$H124,AE$11&lt;=$I124),1,""))</f>
        <v/>
      </c>
      <c r="AF124" s="448" t="str">
        <f aca="false">IF($G124=0,IF(AF$11=$H124,"◆",""),IF(AND(AF$11&gt;=$H124,AF$11&lt;=$I124),1,""))</f>
        <v/>
      </c>
      <c r="AG124" s="448" t="str">
        <f aca="false">IF($G124=0,IF(AG$11=$H124,"◆",""),IF(AND(AG$11&gt;=$H124,AG$11&lt;=$I124),1,""))</f>
        <v/>
      </c>
      <c r="AH124" s="448" t="str">
        <f aca="false">IF($G124=0,IF(AH$11=$H124,"◆",""),IF(AND(AH$11&gt;=$H124,AH$11&lt;=$I124),1,""))</f>
        <v/>
      </c>
      <c r="AI124" s="448" t="str">
        <f aca="false">IF($G124=0,IF(AI$11=$H124,"◆",""),IF(AND(AI$11&gt;=$H124,AI$11&lt;=$I124),1,""))</f>
        <v/>
      </c>
      <c r="AJ124" s="448" t="str">
        <f aca="false">IF($G124=0,IF(AJ$11=$H124,"◆",""),IF(AND(AJ$11&gt;=$H124,AJ$11&lt;=$I124),1,""))</f>
        <v/>
      </c>
      <c r="AK124" s="448" t="str">
        <f aca="false">IF($G124=0,IF(AK$11=$H124,"◆",""),IF(AND(AK$11&gt;=$H124,AK$11&lt;=$I124),1,""))</f>
        <v/>
      </c>
      <c r="AL124" s="448" t="str">
        <f aca="false">IF($G124=0,IF(AL$11=$H124,"◆",""),IF(AND(AL$11&gt;=$H124,AL$11&lt;=$I124),1,""))</f>
        <v/>
      </c>
      <c r="AM124" s="448" t="str">
        <f aca="false">IF($G124=0,IF(AM$11=$H124,"◆",""),IF(AND(AM$11&gt;=$H124,AM$11&lt;=$I124),1,""))</f>
        <v/>
      </c>
      <c r="AN124" s="448" t="str">
        <f aca="false">IF($G124=0,IF(AN$11=$H124,"◆",""),IF(AND(AN$11&gt;=$H124,AN$11&lt;=$I124),1,""))</f>
        <v/>
      </c>
      <c r="AO124" s="448" t="str">
        <f aca="false">IF($G124=0,IF(AO$11=$H124,"◆",""),IF(AND(AO$11&gt;=$H124,AO$11&lt;=$I124),1,""))</f>
        <v/>
      </c>
      <c r="AP124" s="448" t="str">
        <f aca="false">IF($G124=0,IF(AP$11=$H124,"◆",""),IF(AND(AP$11&gt;=$H124,AP$11&lt;=$I124),1,""))</f>
        <v/>
      </c>
      <c r="AQ124" s="448" t="str">
        <f aca="false">IF($G124=0,IF(AQ$11=$H124,"◆",""),IF(AND(AQ$11&gt;=$H124,AQ$11&lt;=$I124),1,""))</f>
        <v/>
      </c>
      <c r="AR124" s="448" t="str">
        <f aca="false">IF($G124=0,IF(AR$11=$H124,"◆",""),IF(AND(AR$11&gt;=$H124,AR$11&lt;=$I124),1,""))</f>
        <v/>
      </c>
      <c r="AS124" s="448" t="str">
        <f aca="false">IF($G124=0,IF(AS$11=$H124,"◆",""),IF(AND(AS$11&gt;=$H124,AS$11&lt;=$I124),1,""))</f>
        <v/>
      </c>
      <c r="AT124" s="448" t="str">
        <f aca="false">IF($G124=0,IF(AT$11=$H124,"◆",""),IF(AND(AT$11&gt;=$H124,AT$11&lt;=$I124),1,""))</f>
        <v/>
      </c>
      <c r="AU124" s="448" t="str">
        <f aca="false">IF($G124=0,IF(AU$11=$H124,"◆",""),IF(AND(AU$11&gt;=$H124,AU$11&lt;=$I124),1,""))</f>
        <v/>
      </c>
      <c r="AV124" s="448" t="str">
        <f aca="false">IF($G124=0,IF(AV$11=$H124,"◆",""),IF(AND(AV$11&gt;=$H124,AV$11&lt;=$I124),1,""))</f>
        <v/>
      </c>
      <c r="AW124" s="448" t="str">
        <f aca="false">IF($G124=0,IF(AW$11=$H124,"◆",""),IF(AND(AW$11&gt;=$H124,AW$11&lt;=$I124),1,""))</f>
        <v/>
      </c>
      <c r="AX124" s="448" t="str">
        <f aca="false">IF($G124=0,IF(AX$11=$H124,"◆",""),IF(AND(AX$11&gt;=$H124,AX$11&lt;=$I124),1,""))</f>
        <v/>
      </c>
      <c r="AY124" s="448" t="str">
        <f aca="false">IF($G124=0,IF(AY$11=$H124,"◆",""),IF(AND(AY$11&gt;=$H124,AY$11&lt;=$I124),1,""))</f>
        <v/>
      </c>
      <c r="AZ124" s="448" t="str">
        <f aca="false">IF($G124=0,IF(AZ$11=$H124,"◆",""),IF(AND(AZ$11&gt;=$H124,AZ$11&lt;=$I124),1,""))</f>
        <v/>
      </c>
      <c r="BA124" s="448" t="str">
        <f aca="false">IF($G124=0,IF(BA$11=$H124,"◆",""),IF(AND(BA$11&gt;=$H124,BA$11&lt;=$I124),1,""))</f>
        <v/>
      </c>
      <c r="BB124" s="448" t="str">
        <f aca="false">IF($G124=0,IF(BB$11=$H124,"◆",""),IF(AND(BB$11&gt;=$H124,BB$11&lt;=$I124),1,""))</f>
        <v/>
      </c>
      <c r="BC124" s="448" t="str">
        <f aca="false">IF($G124=0,IF(BC$11=$H124,"◆",""),IF(AND(BC$11&gt;=$H124,BC$11&lt;=$I124),1,""))</f>
        <v/>
      </c>
      <c r="BD124" s="448" t="str">
        <f aca="false">IF($G124=0,IF(BD$11=$H124,"◆",""),IF(AND(BD$11&gt;=$H124,BD$11&lt;=$I124),1,""))</f>
        <v/>
      </c>
      <c r="BE124" s="448" t="str">
        <f aca="false">IF($G124=0,IF(BE$11=$H124,"◆",""),IF(AND(BE$11&gt;=$H124,BE$11&lt;=$I124),1,""))</f>
        <v/>
      </c>
      <c r="BF124" s="448" t="str">
        <f aca="false">IF($G124=0,IF(BF$11=$H124,"◆",""),IF(AND(BF$11&gt;=$H124,BF$11&lt;=$I124),1,""))</f>
        <v/>
      </c>
      <c r="BG124" s="448" t="str">
        <f aca="false">IF($G124=0,IF(BG$11=$H124,"◆",""),IF(AND(BG$11&gt;=$H124,BG$11&lt;=$I124),1,""))</f>
        <v/>
      </c>
      <c r="BH124" s="448" t="str">
        <f aca="false">IF($G124=0,IF(BH$11=$H124,"◆",""),IF(AND(BH$11&gt;=$H124,BH$11&lt;=$I124),1,""))</f>
        <v/>
      </c>
      <c r="BI124" s="448" t="str">
        <f aca="false">IF($G124=0,IF(BI$11=$H124,"◆",""),IF(AND(BI$11&gt;=$H124,BI$11&lt;=$I124),1,""))</f>
        <v/>
      </c>
      <c r="BJ124" s="448" t="str">
        <f aca="false">IF($G124=0,IF(BJ$11=$H124,"◆",""),IF(AND(BJ$11&gt;=$H124,BJ$11&lt;=$I124),1,""))</f>
        <v/>
      </c>
      <c r="BK124" s="448" t="str">
        <f aca="false">IF($G124=0,IF(BK$11=$H124,"◆",""),IF(AND(BK$11&gt;=$H124,BK$11&lt;=$I124),1,""))</f>
        <v/>
      </c>
      <c r="BL124" s="448" t="str">
        <f aca="false">IF($G124=0,IF(BL$11=$H124,"◆",""),IF(AND(BL$11&gt;=$H124,BL$11&lt;=$I124),1,""))</f>
        <v/>
      </c>
      <c r="BM124" s="448" t="str">
        <f aca="false">IF($G124=0,IF(BM$11=$H124,"◆",""),IF(AND(BM$11&gt;=$H124,BM$11&lt;=$I124),1,""))</f>
        <v/>
      </c>
      <c r="BN124" s="448" t="str">
        <f aca="false">IF($G124=0,IF(BN$11=$H124,"◆",""),IF(AND(BN$11&gt;=$H124,BN$11&lt;=$I124),1,""))</f>
        <v/>
      </c>
      <c r="BO124" s="448" t="str">
        <f aca="false">IF($G124=0,IF(BO$11=$H124,"◆",""),IF(AND(BO$11&gt;=$H124,BO$11&lt;=$I124),1,""))</f>
        <v/>
      </c>
      <c r="BP124" s="448" t="str">
        <f aca="false">IF($G124=0,IF(BP$11=$H124,"◆",""),IF(AND(BP$11&gt;=$H124,BP$11&lt;=$I124),1,""))</f>
        <v/>
      </c>
      <c r="BQ124" s="448" t="str">
        <f aca="false">IF($G124=0,IF(BQ$11=$H124,"◆",""),IF(AND(BQ$11&gt;=$H124,BQ$11&lt;=$I124),1,""))</f>
        <v/>
      </c>
      <c r="BR124" s="448" t="str">
        <f aca="false">IF($G124=0,IF(BR$11=$H124,"◆",""),IF(AND(BR$11&gt;=$H124,BR$11&lt;=$I124),1,""))</f>
        <v/>
      </c>
      <c r="BS124" s="448" t="str">
        <f aca="false">IF($G124=0,IF(BS$11=$H124,"◆",""),IF(AND(BS$11&gt;=$H124,BS$11&lt;=$I124),1,""))</f>
        <v/>
      </c>
      <c r="BT124" s="448" t="str">
        <f aca="false">IF($G124=0,IF(BT$11=$H124,"◆",""),IF(AND(BT$11&gt;=$H124,BT$11&lt;=$I124),1,""))</f>
        <v/>
      </c>
      <c r="BU124" s="448" t="str">
        <f aca="false">IF($G124=0,IF(BU$11=$H124,"◆",""),IF(AND(BU$11&gt;=$H124,BU$11&lt;=$I124),1,""))</f>
        <v/>
      </c>
      <c r="BV124" s="448" t="str">
        <f aca="false">IF($G124=0,IF(BV$11=$H124,"◆",""),IF(AND(BV$11&gt;=$H124,BV$11&lt;=$I124),1,""))</f>
        <v/>
      </c>
      <c r="BW124" s="448" t="str">
        <f aca="false">IF($G124=0,IF(BW$11=$H124,"◆",""),IF(AND(BW$11&gt;=$H124,BW$11&lt;=$I124),1,""))</f>
        <v/>
      </c>
      <c r="BX124" s="448" t="str">
        <f aca="false">IF($G124=0,IF(BX$11=$H124,"◆",""),IF(AND(BX$11&gt;=$H124,BX$11&lt;=$I124),1,""))</f>
        <v/>
      </c>
      <c r="BY124" s="448" t="str">
        <f aca="false">IF($G124=0,IF(BY$11=$H124,"◆",""),IF(AND(BY$11&gt;=$H124,BY$11&lt;=$I124),1,""))</f>
        <v/>
      </c>
      <c r="BZ124" s="448" t="str">
        <f aca="false">IF($G124=0,IF(BZ$11=$H124,"◆",""),IF(AND(BZ$11&gt;=$H124,BZ$11&lt;=$I124),1,""))</f>
        <v/>
      </c>
      <c r="CA124" s="448" t="str">
        <f aca="false">IF($G124=0,IF(CA$11=$H124,"◆",""),IF(AND(CA$11&gt;=$H124,CA$11&lt;=$I124),1,""))</f>
        <v/>
      </c>
      <c r="CB124" s="448" t="str">
        <f aca="false">IF($G124=0,IF(CB$11=$H124,"◆",""),IF(AND(CB$11&gt;=$H124,CB$11&lt;=$I124),1,""))</f>
        <v/>
      </c>
      <c r="CC124" s="448" t="str">
        <f aca="false">IF($G124=0,IF(CC$11=$H124,"◆",""),IF(AND(CC$11&gt;=$H124,CC$11&lt;=$I124),1,""))</f>
        <v/>
      </c>
      <c r="CD124" s="448" t="str">
        <f aca="false">IF($G124=0,IF(CD$11=$H124,"◆",""),IF(AND(CD$11&gt;=$H124,CD$11&lt;=$I124),1,""))</f>
        <v/>
      </c>
      <c r="CE124" s="448" t="str">
        <f aca="false">IF($G124=0,IF(CE$11=$H124,"◆",""),IF(AND(CE$11&gt;=$H124,CE$11&lt;=$I124),1,""))</f>
        <v/>
      </c>
      <c r="CF124" s="448" t="str">
        <f aca="false">IF($G124=0,IF(CF$11=$H124,"◆",""),IF(AND(CF$11&gt;=$H124,CF$11&lt;=$I124),1,""))</f>
        <v/>
      </c>
      <c r="CG124" s="448" t="str">
        <f aca="false">IF($G124=0,IF(CG$11=$H124,"◆",""),IF(AND(CG$11&gt;=$H124,CG$11&lt;=$I124),1,""))</f>
        <v/>
      </c>
      <c r="CH124" s="448" t="str">
        <f aca="false">IF($G124=0,IF(CH$11=$H124,"◆",""),IF(AND(CH$11&gt;=$H124,CH$11&lt;=$I124),1,""))</f>
        <v/>
      </c>
      <c r="CI124" s="448" t="str">
        <f aca="false">IF($G124=0,IF(CI$11=$H124,"◆",""),IF(AND(CI$11&gt;=$H124,CI$11&lt;=$I124),1,""))</f>
        <v/>
      </c>
      <c r="CJ124" s="448" t="str">
        <f aca="false">IF($G124=0,IF(CJ$11=$H124,"◆",""),IF(AND(CJ$11&gt;=$H124,CJ$11&lt;=$I124),1,""))</f>
        <v/>
      </c>
      <c r="CK124" s="448" t="str">
        <f aca="false">IF($G124=0,IF(CK$11=$H124,"◆",""),IF(AND(CK$11&gt;=$H124,CK$11&lt;=$I124),1,""))</f>
        <v/>
      </c>
      <c r="CL124" s="448" t="str">
        <f aca="false">IF($G124=0,IF(CL$11=$H124,"◆",""),IF(AND(CL$11&gt;=$H124,CL$11&lt;=$I124),1,""))</f>
        <v/>
      </c>
      <c r="CM124" s="448" t="str">
        <f aca="false">IF($G124=0,IF(CM$11=$H124,"◆",""),IF(AND(CM$11&gt;=$H124,CM$11&lt;=$I124),1,""))</f>
        <v/>
      </c>
      <c r="CN124" s="448" t="str">
        <f aca="false">IF($G124=0,IF(CN$11=$H124,"◆",""),IF(AND(CN$11&gt;=$H124,CN$11&lt;=$I124),1,""))</f>
        <v/>
      </c>
      <c r="CO124" s="448" t="str">
        <f aca="false">IF($G124=0,IF(CO$11=$H124,"◆",""),IF(AND(CO$11&gt;=$H124,CO$11&lt;=$I124),1,""))</f>
        <v/>
      </c>
      <c r="CP124" s="448" t="str">
        <f aca="false">IF($G124=0,IF(CP$11=$H124,"◆",""),IF(AND(CP$11&gt;=$H124,CP$11&lt;=$I124),1,""))</f>
        <v/>
      </c>
      <c r="CQ124" s="448" t="str">
        <f aca="false">IF($G124=0,IF(CQ$11=$H124,"◆",""),IF(AND(CQ$11&gt;=$H124,CQ$11&lt;=$I124),1,""))</f>
        <v/>
      </c>
      <c r="CR124" s="448" t="str">
        <f aca="false">IF($G124=0,IF(CR$11=$H124,"◆",""),IF(AND(CR$11&gt;=$H124,CR$11&lt;=$I124),1,""))</f>
        <v/>
      </c>
      <c r="CS124" s="448" t="str">
        <f aca="false">IF($G124=0,IF(CS$11=$H124,"◆",""),IF(AND(CS$11&gt;=$H124,CS$11&lt;=$I124),1,""))</f>
        <v/>
      </c>
      <c r="CT124" s="448" t="str">
        <f aca="false">IF($G124=0,IF(CT$11=$H124,"◆",""),IF(AND(CT$11&gt;=$H124,CT$11&lt;=$I124),1,""))</f>
        <v/>
      </c>
      <c r="CU124" s="448" t="str">
        <f aca="false">IF($G124=0,IF(CU$11=$H124,"◆",""),IF(AND(CU$11&gt;=$H124,CU$11&lt;=$I124),1,""))</f>
        <v/>
      </c>
      <c r="CV124" s="448" t="str">
        <f aca="false">IF($G124=0,IF(CV$11=$H124,"◆",""),IF(AND(CV$11&gt;=$H124,CV$11&lt;=$I124),1,""))</f>
        <v/>
      </c>
      <c r="CW124" s="448" t="str">
        <f aca="false">IF($G124=0,IF(CW$11=$H124,"◆",""),IF(AND(CW$11&gt;=$H124,CW$11&lt;=$I124),1,""))</f>
        <v/>
      </c>
      <c r="CX124" s="448" t="str">
        <f aca="false">IF($G124=0,IF(CX$11=$H124,"◆",""),IF(AND(CX$11&gt;=$H124,CX$11&lt;=$I124),1,""))</f>
        <v/>
      </c>
      <c r="CY124" s="448" t="str">
        <f aca="false">IF($G124=0,IF(CY$11=$H124,"◆",""),IF(AND(CY$11&gt;=$H124,CY$11&lt;=$I124),1,""))</f>
        <v/>
      </c>
      <c r="CZ124" s="448" t="str">
        <f aca="false">IF($G124=0,IF(CZ$11=$H124,"◆",""),IF(AND(CZ$11&gt;=$H124,CZ$11&lt;=$I124),1,""))</f>
        <v/>
      </c>
      <c r="DA124" s="448" t="str">
        <f aca="false">IF($G124=0,IF(DA$11=$H124,"◆",""),IF(AND(DA$11&gt;=$H124,DA$11&lt;=$I124),1,""))</f>
        <v/>
      </c>
      <c r="DB124" s="448" t="str">
        <f aca="false">IF($G124=0,IF(DB$11=$H124,"◆",""),IF(AND(DB$11&gt;=$H124,DB$11&lt;=$I124),1,""))</f>
        <v/>
      </c>
      <c r="DC124" s="448" t="str">
        <f aca="false">IF($G124=0,IF(DC$11=$H124,"◆",""),IF(AND(DC$11&gt;=$H124,DC$11&lt;=$I124),1,""))</f>
        <v/>
      </c>
      <c r="DD124" s="448" t="str">
        <f aca="false">IF($G124=0,IF(DD$11=$H124,"◆",""),IF(AND(DD$11&gt;=$H124,DD$11&lt;=$I124),1,""))</f>
        <v/>
      </c>
      <c r="DE124" s="448" t="str">
        <f aca="false">IF($G124=0,IF(DE$11=$H124,"◆",""),IF(AND(DE$11&gt;=$H124,DE$11&lt;=$I124),1,""))</f>
        <v/>
      </c>
      <c r="DF124" s="448" t="str">
        <f aca="false">IF($G124=0,IF(DF$11=$H124,"◆",""),IF(AND(DF$11&gt;=$H124,DF$11&lt;=$I124),1,""))</f>
        <v/>
      </c>
      <c r="DG124" s="448" t="str">
        <f aca="false">IF($G124=0,IF(DG$11=$H124,"◆",""),IF(AND(DG$11&gt;=$H124,DG$11&lt;=$I124),1,""))</f>
        <v/>
      </c>
      <c r="DH124" s="448" t="str">
        <f aca="false">IF($G124=0,IF(DH$11=$H124,"◆",""),IF(AND(DH$11&gt;=$H124,DH$11&lt;=$I124),1,""))</f>
        <v/>
      </c>
      <c r="DI124" s="448" t="str">
        <f aca="false">IF($G124=0,IF(DI$11=$H124,"◆",""),IF(AND(DI$11&gt;=$H124,DI$11&lt;=$I124),1,""))</f>
        <v/>
      </c>
      <c r="DJ124" s="448" t="str">
        <f aca="false">IF($G124=0,IF(DJ$11=$H124,"◆",""),IF(AND(DJ$11&gt;=$H124,DJ$11&lt;=$I124),1,""))</f>
        <v/>
      </c>
      <c r="DK124" s="448" t="str">
        <f aca="false">IF($G124=0,IF(DK$11=$H124,"◆",""),IF(AND(DK$11&gt;=$H124,DK$11&lt;=$I124),1,""))</f>
        <v/>
      </c>
      <c r="DL124" s="448" t="str">
        <f aca="false">IF($G124=0,IF(DL$11=$H124,"◆",""),IF(AND(DL$11&gt;=$H124,DL$11&lt;=$I124),1,""))</f>
        <v/>
      </c>
      <c r="DM124" s="448" t="str">
        <f aca="false">IF($G124=0,IF(DM$11=$H124,"◆",""),IF(AND(DM$11&gt;=$H124,DM$11&lt;=$I124),1,""))</f>
        <v/>
      </c>
      <c r="DN124" s="448" t="str">
        <f aca="false">IF($G124=0,IF(DN$11=$H124,"◆",""),IF(AND(DN$11&gt;=$H124,DN$11&lt;=$I124),1,""))</f>
        <v/>
      </c>
      <c r="DO124" s="448" t="str">
        <f aca="false">IF($G124=0,IF(DO$11=$H124,"◆",""),IF(AND(DO$11&gt;=$H124,DO$11&lt;=$I124),1,""))</f>
        <v/>
      </c>
      <c r="DP124" s="448" t="str">
        <f aca="false">IF($G124=0,IF(DP$11=$H124,"◆",""),IF(AND(DP$11&gt;=$H124,DP$11&lt;=$I124),1,""))</f>
        <v/>
      </c>
      <c r="DQ124" s="448" t="str">
        <f aca="false">IF($G124=0,IF(DQ$11=$H124,"◆",""),IF(AND(DQ$11&gt;=$H124,DQ$11&lt;=$I124),1,""))</f>
        <v/>
      </c>
      <c r="DR124" s="448" t="str">
        <f aca="false">IF($G124=0,IF(DR$11=$H124,"◆",""),IF(AND(DR$11&gt;=$H124,DR$11&lt;=$I124),1,""))</f>
        <v/>
      </c>
      <c r="DS124" s="448" t="str">
        <f aca="false">IF($G124=0,IF(DS$11=$H124,"◆",""),IF(AND(DS$11&gt;=$H124,DS$11&lt;=$I124),1,""))</f>
        <v/>
      </c>
      <c r="DT124" s="448" t="str">
        <f aca="false">IF($G124=0,IF(DT$11=$H124,"◆",""),IF(AND(DT$11&gt;=$H124,DT$11&lt;=$I124),1,""))</f>
        <v/>
      </c>
      <c r="DU124" s="448" t="str">
        <f aca="false">IF($G124=0,IF(DU$11=$H124,"◆",""),IF(AND(DU$11&gt;=$H124,DU$11&lt;=$I124),1,""))</f>
        <v/>
      </c>
      <c r="DV124" s="448" t="str">
        <f aca="false">IF($G124=0,IF(DV$11=$H124,"◆",""),IF(AND(DV$11&gt;=$H124,DV$11&lt;=$I124),1,""))</f>
        <v/>
      </c>
      <c r="DW124" s="448" t="str">
        <f aca="false">IF($G124=0,IF(DW$11=$H124,"◆",""),IF(AND(DW$11&gt;=$H124,DW$11&lt;=$I124),1,""))</f>
        <v/>
      </c>
      <c r="DX124" s="448" t="str">
        <f aca="false">IF($G124=0,IF(DX$11=$H124,"◆",""),IF(AND(DX$11&gt;=$H124,DX$11&lt;=$I124),1,""))</f>
        <v/>
      </c>
      <c r="DY124" s="448" t="str">
        <f aca="false">IF($G124=0,IF(DY$11=$H124,"◆",""),IF(AND(DY$11&gt;=$H124,DY$11&lt;=$I124),1,""))</f>
        <v/>
      </c>
      <c r="DZ124" s="448" t="str">
        <f aca="false">IF($G124=0,IF(DZ$11=$H124,"◆",""),IF(AND(DZ$11&gt;=$H124,DZ$11&lt;=$I124),1,""))</f>
        <v/>
      </c>
      <c r="EA124" s="448" t="str">
        <f aca="false">IF($G124=0,IF(EA$11=$H124,"◆",""),IF(AND(EA$11&gt;=$H124,EA$11&lt;=$I124),1,""))</f>
        <v/>
      </c>
      <c r="EB124" s="448" t="str">
        <f aca="false">IF($G124=0,IF(EB$11=$H124,"◆",""),IF(AND(EB$11&gt;=$H124,EB$11&lt;=$I124),1,""))</f>
        <v/>
      </c>
      <c r="EC124" s="448" t="str">
        <f aca="false">IF($G124=0,IF(EC$11=$H124,"◆",""),IF(AND(EC$11&gt;=$H124,EC$11&lt;=$I124),1,""))</f>
        <v/>
      </c>
      <c r="ED124" s="448" t="str">
        <f aca="false">IF($G124=0,IF(ED$11=$H124,"◆",""),IF(AND(ED$11&gt;=$H124,ED$11&lt;=$I124),1,""))</f>
        <v/>
      </c>
    </row>
    <row r="125" customFormat="false" ht="15" hidden="false" customHeight="true" outlineLevel="0" collapsed="false">
      <c r="A125" s="441" t="s">
        <v>2694</v>
      </c>
      <c r="B125" s="297" t="s">
        <v>2695</v>
      </c>
      <c r="C125" s="442" t="s">
        <v>2439</v>
      </c>
      <c r="D125" s="443" t="s">
        <v>2436</v>
      </c>
      <c r="E125" s="354" t="n">
        <f aca="false">1</f>
        <v>1</v>
      </c>
      <c r="F125" s="352" t="n">
        <v>10</v>
      </c>
      <c r="G125" s="352" t="n">
        <v>8</v>
      </c>
      <c r="H125" s="367" t="n">
        <f aca="false">MAX(1,ROUND(($E125-1)*$D$5,0)+1+$F125)</f>
        <v>11</v>
      </c>
      <c r="I125" s="367" t="n">
        <f aca="false">MAX($H125,$H125+$G125-1)</f>
        <v>18</v>
      </c>
      <c r="J125" s="444" t="n">
        <f aca="false">$D$4+($H125-1)*7</f>
        <v>46370</v>
      </c>
      <c r="K125" s="444" t="n">
        <f aca="false">$D$4+$I125*7-1</f>
        <v>46425</v>
      </c>
      <c r="L125" s="445" t="n">
        <f aca="false">ROUNDUP($H125/$D$5,0)</f>
        <v>3</v>
      </c>
      <c r="M125" s="446"/>
      <c r="N125" s="447" t="n">
        <v>0</v>
      </c>
      <c r="O125" s="448" t="str">
        <f aca="false">IF($G125=0,IF(O$11=$H125,"◆",""),IF(AND(O$11&gt;=$H125,O$11&lt;=$I125),1,""))</f>
        <v/>
      </c>
      <c r="P125" s="448" t="str">
        <f aca="false">IF($G125=0,IF(P$11=$H125,"◆",""),IF(AND(P$11&gt;=$H125,P$11&lt;=$I125),1,""))</f>
        <v/>
      </c>
      <c r="Q125" s="448" t="str">
        <f aca="false">IF($G125=0,IF(Q$11=$H125,"◆",""),IF(AND(Q$11&gt;=$H125,Q$11&lt;=$I125),1,""))</f>
        <v/>
      </c>
      <c r="R125" s="448" t="str">
        <f aca="false">IF($G125=0,IF(R$11=$H125,"◆",""),IF(AND(R$11&gt;=$H125,R$11&lt;=$I125),1,""))</f>
        <v/>
      </c>
      <c r="S125" s="448" t="str">
        <f aca="false">IF($G125=0,IF(S$11=$H125,"◆",""),IF(AND(S$11&gt;=$H125,S$11&lt;=$I125),1,""))</f>
        <v/>
      </c>
      <c r="T125" s="448" t="str">
        <f aca="false">IF($G125=0,IF(T$11=$H125,"◆",""),IF(AND(T$11&gt;=$H125,T$11&lt;=$I125),1,""))</f>
        <v/>
      </c>
      <c r="U125" s="448" t="str">
        <f aca="false">IF($G125=0,IF(U$11=$H125,"◆",""),IF(AND(U$11&gt;=$H125,U$11&lt;=$I125),1,""))</f>
        <v/>
      </c>
      <c r="V125" s="448" t="str">
        <f aca="false">IF($G125=0,IF(V$11=$H125,"◆",""),IF(AND(V$11&gt;=$H125,V$11&lt;=$I125),1,""))</f>
        <v/>
      </c>
      <c r="W125" s="448" t="str">
        <f aca="false">IF($G125=0,IF(W$11=$H125,"◆",""),IF(AND(W$11&gt;=$H125,W$11&lt;=$I125),1,""))</f>
        <v/>
      </c>
      <c r="X125" s="448" t="str">
        <f aca="false">IF($G125=0,IF(X$11=$H125,"◆",""),IF(AND(X$11&gt;=$H125,X$11&lt;=$I125),1,""))</f>
        <v/>
      </c>
      <c r="Y125" s="448" t="n">
        <f aca="false">IF($G125=0,IF(Y$11=$H125,"◆",""),IF(AND(Y$11&gt;=$H125,Y$11&lt;=$I125),1,""))</f>
        <v>1</v>
      </c>
      <c r="Z125" s="448" t="n">
        <f aca="false">IF($G125=0,IF(Z$11=$H125,"◆",""),IF(AND(Z$11&gt;=$H125,Z$11&lt;=$I125),1,""))</f>
        <v>1</v>
      </c>
      <c r="AA125" s="448" t="n">
        <f aca="false">IF($G125=0,IF(AA$11=$H125,"◆",""),IF(AND(AA$11&gt;=$H125,AA$11&lt;=$I125),1,""))</f>
        <v>1</v>
      </c>
      <c r="AB125" s="448" t="n">
        <f aca="false">IF($G125=0,IF(AB$11=$H125,"◆",""),IF(AND(AB$11&gt;=$H125,AB$11&lt;=$I125),1,""))</f>
        <v>1</v>
      </c>
      <c r="AC125" s="448" t="n">
        <f aca="false">IF($G125=0,IF(AC$11=$H125,"◆",""),IF(AND(AC$11&gt;=$H125,AC$11&lt;=$I125),1,""))</f>
        <v>1</v>
      </c>
      <c r="AD125" s="448" t="n">
        <f aca="false">IF($G125=0,IF(AD$11=$H125,"◆",""),IF(AND(AD$11&gt;=$H125,AD$11&lt;=$I125),1,""))</f>
        <v>1</v>
      </c>
      <c r="AE125" s="448" t="n">
        <f aca="false">IF($G125=0,IF(AE$11=$H125,"◆",""),IF(AND(AE$11&gt;=$H125,AE$11&lt;=$I125),1,""))</f>
        <v>1</v>
      </c>
      <c r="AF125" s="448" t="n">
        <f aca="false">IF($G125=0,IF(AF$11=$H125,"◆",""),IF(AND(AF$11&gt;=$H125,AF$11&lt;=$I125),1,""))</f>
        <v>1</v>
      </c>
      <c r="AG125" s="448" t="str">
        <f aca="false">IF($G125=0,IF(AG$11=$H125,"◆",""),IF(AND(AG$11&gt;=$H125,AG$11&lt;=$I125),1,""))</f>
        <v/>
      </c>
      <c r="AH125" s="448" t="str">
        <f aca="false">IF($G125=0,IF(AH$11=$H125,"◆",""),IF(AND(AH$11&gt;=$H125,AH$11&lt;=$I125),1,""))</f>
        <v/>
      </c>
      <c r="AI125" s="448" t="str">
        <f aca="false">IF($G125=0,IF(AI$11=$H125,"◆",""),IF(AND(AI$11&gt;=$H125,AI$11&lt;=$I125),1,""))</f>
        <v/>
      </c>
      <c r="AJ125" s="448" t="str">
        <f aca="false">IF($G125=0,IF(AJ$11=$H125,"◆",""),IF(AND(AJ$11&gt;=$H125,AJ$11&lt;=$I125),1,""))</f>
        <v/>
      </c>
      <c r="AK125" s="448" t="str">
        <f aca="false">IF($G125=0,IF(AK$11=$H125,"◆",""),IF(AND(AK$11&gt;=$H125,AK$11&lt;=$I125),1,""))</f>
        <v/>
      </c>
      <c r="AL125" s="448" t="str">
        <f aca="false">IF($G125=0,IF(AL$11=$H125,"◆",""),IF(AND(AL$11&gt;=$H125,AL$11&lt;=$I125),1,""))</f>
        <v/>
      </c>
      <c r="AM125" s="448" t="str">
        <f aca="false">IF($G125=0,IF(AM$11=$H125,"◆",""),IF(AND(AM$11&gt;=$H125,AM$11&lt;=$I125),1,""))</f>
        <v/>
      </c>
      <c r="AN125" s="448" t="str">
        <f aca="false">IF($G125=0,IF(AN$11=$H125,"◆",""),IF(AND(AN$11&gt;=$H125,AN$11&lt;=$I125),1,""))</f>
        <v/>
      </c>
      <c r="AO125" s="448" t="str">
        <f aca="false">IF($G125=0,IF(AO$11=$H125,"◆",""),IF(AND(AO$11&gt;=$H125,AO$11&lt;=$I125),1,""))</f>
        <v/>
      </c>
      <c r="AP125" s="448" t="str">
        <f aca="false">IF($G125=0,IF(AP$11=$H125,"◆",""),IF(AND(AP$11&gt;=$H125,AP$11&lt;=$I125),1,""))</f>
        <v/>
      </c>
      <c r="AQ125" s="448" t="str">
        <f aca="false">IF($G125=0,IF(AQ$11=$H125,"◆",""),IF(AND(AQ$11&gt;=$H125,AQ$11&lt;=$I125),1,""))</f>
        <v/>
      </c>
      <c r="AR125" s="448" t="str">
        <f aca="false">IF($G125=0,IF(AR$11=$H125,"◆",""),IF(AND(AR$11&gt;=$H125,AR$11&lt;=$I125),1,""))</f>
        <v/>
      </c>
      <c r="AS125" s="448" t="str">
        <f aca="false">IF($G125=0,IF(AS$11=$H125,"◆",""),IF(AND(AS$11&gt;=$H125,AS$11&lt;=$I125),1,""))</f>
        <v/>
      </c>
      <c r="AT125" s="448" t="str">
        <f aca="false">IF($G125=0,IF(AT$11=$H125,"◆",""),IF(AND(AT$11&gt;=$H125,AT$11&lt;=$I125),1,""))</f>
        <v/>
      </c>
      <c r="AU125" s="448" t="str">
        <f aca="false">IF($G125=0,IF(AU$11=$H125,"◆",""),IF(AND(AU$11&gt;=$H125,AU$11&lt;=$I125),1,""))</f>
        <v/>
      </c>
      <c r="AV125" s="448" t="str">
        <f aca="false">IF($G125=0,IF(AV$11=$H125,"◆",""),IF(AND(AV$11&gt;=$H125,AV$11&lt;=$I125),1,""))</f>
        <v/>
      </c>
      <c r="AW125" s="448" t="str">
        <f aca="false">IF($G125=0,IF(AW$11=$H125,"◆",""),IF(AND(AW$11&gt;=$H125,AW$11&lt;=$I125),1,""))</f>
        <v/>
      </c>
      <c r="AX125" s="448" t="str">
        <f aca="false">IF($G125=0,IF(AX$11=$H125,"◆",""),IF(AND(AX$11&gt;=$H125,AX$11&lt;=$I125),1,""))</f>
        <v/>
      </c>
      <c r="AY125" s="448" t="str">
        <f aca="false">IF($G125=0,IF(AY$11=$H125,"◆",""),IF(AND(AY$11&gt;=$H125,AY$11&lt;=$I125),1,""))</f>
        <v/>
      </c>
      <c r="AZ125" s="448" t="str">
        <f aca="false">IF($G125=0,IF(AZ$11=$H125,"◆",""),IF(AND(AZ$11&gt;=$H125,AZ$11&lt;=$I125),1,""))</f>
        <v/>
      </c>
      <c r="BA125" s="448" t="str">
        <f aca="false">IF($G125=0,IF(BA$11=$H125,"◆",""),IF(AND(BA$11&gt;=$H125,BA$11&lt;=$I125),1,""))</f>
        <v/>
      </c>
      <c r="BB125" s="448" t="str">
        <f aca="false">IF($G125=0,IF(BB$11=$H125,"◆",""),IF(AND(BB$11&gt;=$H125,BB$11&lt;=$I125),1,""))</f>
        <v/>
      </c>
      <c r="BC125" s="448" t="str">
        <f aca="false">IF($G125=0,IF(BC$11=$H125,"◆",""),IF(AND(BC$11&gt;=$H125,BC$11&lt;=$I125),1,""))</f>
        <v/>
      </c>
      <c r="BD125" s="448" t="str">
        <f aca="false">IF($G125=0,IF(BD$11=$H125,"◆",""),IF(AND(BD$11&gt;=$H125,BD$11&lt;=$I125),1,""))</f>
        <v/>
      </c>
      <c r="BE125" s="448" t="str">
        <f aca="false">IF($G125=0,IF(BE$11=$H125,"◆",""),IF(AND(BE$11&gt;=$H125,BE$11&lt;=$I125),1,""))</f>
        <v/>
      </c>
      <c r="BF125" s="448" t="str">
        <f aca="false">IF($G125=0,IF(BF$11=$H125,"◆",""),IF(AND(BF$11&gt;=$H125,BF$11&lt;=$I125),1,""))</f>
        <v/>
      </c>
      <c r="BG125" s="448" t="str">
        <f aca="false">IF($G125=0,IF(BG$11=$H125,"◆",""),IF(AND(BG$11&gt;=$H125,BG$11&lt;=$I125),1,""))</f>
        <v/>
      </c>
      <c r="BH125" s="448" t="str">
        <f aca="false">IF($G125=0,IF(BH$11=$H125,"◆",""),IF(AND(BH$11&gt;=$H125,BH$11&lt;=$I125),1,""))</f>
        <v/>
      </c>
      <c r="BI125" s="448" t="str">
        <f aca="false">IF($G125=0,IF(BI$11=$H125,"◆",""),IF(AND(BI$11&gt;=$H125,BI$11&lt;=$I125),1,""))</f>
        <v/>
      </c>
      <c r="BJ125" s="448" t="str">
        <f aca="false">IF($G125=0,IF(BJ$11=$H125,"◆",""),IF(AND(BJ$11&gt;=$H125,BJ$11&lt;=$I125),1,""))</f>
        <v/>
      </c>
      <c r="BK125" s="448" t="str">
        <f aca="false">IF($G125=0,IF(BK$11=$H125,"◆",""),IF(AND(BK$11&gt;=$H125,BK$11&lt;=$I125),1,""))</f>
        <v/>
      </c>
      <c r="BL125" s="448" t="str">
        <f aca="false">IF($G125=0,IF(BL$11=$H125,"◆",""),IF(AND(BL$11&gt;=$H125,BL$11&lt;=$I125),1,""))</f>
        <v/>
      </c>
      <c r="BM125" s="448" t="str">
        <f aca="false">IF($G125=0,IF(BM$11=$H125,"◆",""),IF(AND(BM$11&gt;=$H125,BM$11&lt;=$I125),1,""))</f>
        <v/>
      </c>
      <c r="BN125" s="448" t="str">
        <f aca="false">IF($G125=0,IF(BN$11=$H125,"◆",""),IF(AND(BN$11&gt;=$H125,BN$11&lt;=$I125),1,""))</f>
        <v/>
      </c>
      <c r="BO125" s="448" t="str">
        <f aca="false">IF($G125=0,IF(BO$11=$H125,"◆",""),IF(AND(BO$11&gt;=$H125,BO$11&lt;=$I125),1,""))</f>
        <v/>
      </c>
      <c r="BP125" s="448" t="str">
        <f aca="false">IF($G125=0,IF(BP$11=$H125,"◆",""),IF(AND(BP$11&gt;=$H125,BP$11&lt;=$I125),1,""))</f>
        <v/>
      </c>
      <c r="BQ125" s="448" t="str">
        <f aca="false">IF($G125=0,IF(BQ$11=$H125,"◆",""),IF(AND(BQ$11&gt;=$H125,BQ$11&lt;=$I125),1,""))</f>
        <v/>
      </c>
      <c r="BR125" s="448" t="str">
        <f aca="false">IF($G125=0,IF(BR$11=$H125,"◆",""),IF(AND(BR$11&gt;=$H125,BR$11&lt;=$I125),1,""))</f>
        <v/>
      </c>
      <c r="BS125" s="448" t="str">
        <f aca="false">IF($G125=0,IF(BS$11=$H125,"◆",""),IF(AND(BS$11&gt;=$H125,BS$11&lt;=$I125),1,""))</f>
        <v/>
      </c>
      <c r="BT125" s="448" t="str">
        <f aca="false">IF($G125=0,IF(BT$11=$H125,"◆",""),IF(AND(BT$11&gt;=$H125,BT$11&lt;=$I125),1,""))</f>
        <v/>
      </c>
      <c r="BU125" s="448" t="str">
        <f aca="false">IF($G125=0,IF(BU$11=$H125,"◆",""),IF(AND(BU$11&gt;=$H125,BU$11&lt;=$I125),1,""))</f>
        <v/>
      </c>
      <c r="BV125" s="448" t="str">
        <f aca="false">IF($G125=0,IF(BV$11=$H125,"◆",""),IF(AND(BV$11&gt;=$H125,BV$11&lt;=$I125),1,""))</f>
        <v/>
      </c>
      <c r="BW125" s="448" t="str">
        <f aca="false">IF($G125=0,IF(BW$11=$H125,"◆",""),IF(AND(BW$11&gt;=$H125,BW$11&lt;=$I125),1,""))</f>
        <v/>
      </c>
      <c r="BX125" s="448" t="str">
        <f aca="false">IF($G125=0,IF(BX$11=$H125,"◆",""),IF(AND(BX$11&gt;=$H125,BX$11&lt;=$I125),1,""))</f>
        <v/>
      </c>
      <c r="BY125" s="448" t="str">
        <f aca="false">IF($G125=0,IF(BY$11=$H125,"◆",""),IF(AND(BY$11&gt;=$H125,BY$11&lt;=$I125),1,""))</f>
        <v/>
      </c>
      <c r="BZ125" s="448" t="str">
        <f aca="false">IF($G125=0,IF(BZ$11=$H125,"◆",""),IF(AND(BZ$11&gt;=$H125,BZ$11&lt;=$I125),1,""))</f>
        <v/>
      </c>
      <c r="CA125" s="448" t="str">
        <f aca="false">IF($G125=0,IF(CA$11=$H125,"◆",""),IF(AND(CA$11&gt;=$H125,CA$11&lt;=$I125),1,""))</f>
        <v/>
      </c>
      <c r="CB125" s="448" t="str">
        <f aca="false">IF($G125=0,IF(CB$11=$H125,"◆",""),IF(AND(CB$11&gt;=$H125,CB$11&lt;=$I125),1,""))</f>
        <v/>
      </c>
      <c r="CC125" s="448" t="str">
        <f aca="false">IF($G125=0,IF(CC$11=$H125,"◆",""),IF(AND(CC$11&gt;=$H125,CC$11&lt;=$I125),1,""))</f>
        <v/>
      </c>
      <c r="CD125" s="448" t="str">
        <f aca="false">IF($G125=0,IF(CD$11=$H125,"◆",""),IF(AND(CD$11&gt;=$H125,CD$11&lt;=$I125),1,""))</f>
        <v/>
      </c>
      <c r="CE125" s="448" t="str">
        <f aca="false">IF($G125=0,IF(CE$11=$H125,"◆",""),IF(AND(CE$11&gt;=$H125,CE$11&lt;=$I125),1,""))</f>
        <v/>
      </c>
      <c r="CF125" s="448" t="str">
        <f aca="false">IF($G125=0,IF(CF$11=$H125,"◆",""),IF(AND(CF$11&gt;=$H125,CF$11&lt;=$I125),1,""))</f>
        <v/>
      </c>
      <c r="CG125" s="448" t="str">
        <f aca="false">IF($G125=0,IF(CG$11=$H125,"◆",""),IF(AND(CG$11&gt;=$H125,CG$11&lt;=$I125),1,""))</f>
        <v/>
      </c>
      <c r="CH125" s="448" t="str">
        <f aca="false">IF($G125=0,IF(CH$11=$H125,"◆",""),IF(AND(CH$11&gt;=$H125,CH$11&lt;=$I125),1,""))</f>
        <v/>
      </c>
      <c r="CI125" s="448" t="str">
        <f aca="false">IF($G125=0,IF(CI$11=$H125,"◆",""),IF(AND(CI$11&gt;=$H125,CI$11&lt;=$I125),1,""))</f>
        <v/>
      </c>
      <c r="CJ125" s="448" t="str">
        <f aca="false">IF($G125=0,IF(CJ$11=$H125,"◆",""),IF(AND(CJ$11&gt;=$H125,CJ$11&lt;=$I125),1,""))</f>
        <v/>
      </c>
      <c r="CK125" s="448" t="str">
        <f aca="false">IF($G125=0,IF(CK$11=$H125,"◆",""),IF(AND(CK$11&gt;=$H125,CK$11&lt;=$I125),1,""))</f>
        <v/>
      </c>
      <c r="CL125" s="448" t="str">
        <f aca="false">IF($G125=0,IF(CL$11=$H125,"◆",""),IF(AND(CL$11&gt;=$H125,CL$11&lt;=$I125),1,""))</f>
        <v/>
      </c>
      <c r="CM125" s="448" t="str">
        <f aca="false">IF($G125=0,IF(CM$11=$H125,"◆",""),IF(AND(CM$11&gt;=$H125,CM$11&lt;=$I125),1,""))</f>
        <v/>
      </c>
      <c r="CN125" s="448" t="str">
        <f aca="false">IF($G125=0,IF(CN$11=$H125,"◆",""),IF(AND(CN$11&gt;=$H125,CN$11&lt;=$I125),1,""))</f>
        <v/>
      </c>
      <c r="CO125" s="448" t="str">
        <f aca="false">IF($G125=0,IF(CO$11=$H125,"◆",""),IF(AND(CO$11&gt;=$H125,CO$11&lt;=$I125),1,""))</f>
        <v/>
      </c>
      <c r="CP125" s="448" t="str">
        <f aca="false">IF($G125=0,IF(CP$11=$H125,"◆",""),IF(AND(CP$11&gt;=$H125,CP$11&lt;=$I125),1,""))</f>
        <v/>
      </c>
      <c r="CQ125" s="448" t="str">
        <f aca="false">IF($G125=0,IF(CQ$11=$H125,"◆",""),IF(AND(CQ$11&gt;=$H125,CQ$11&lt;=$I125),1,""))</f>
        <v/>
      </c>
      <c r="CR125" s="448" t="str">
        <f aca="false">IF($G125=0,IF(CR$11=$H125,"◆",""),IF(AND(CR$11&gt;=$H125,CR$11&lt;=$I125),1,""))</f>
        <v/>
      </c>
      <c r="CS125" s="448" t="str">
        <f aca="false">IF($G125=0,IF(CS$11=$H125,"◆",""),IF(AND(CS$11&gt;=$H125,CS$11&lt;=$I125),1,""))</f>
        <v/>
      </c>
      <c r="CT125" s="448" t="str">
        <f aca="false">IF($G125=0,IF(CT$11=$H125,"◆",""),IF(AND(CT$11&gt;=$H125,CT$11&lt;=$I125),1,""))</f>
        <v/>
      </c>
      <c r="CU125" s="448" t="str">
        <f aca="false">IF($G125=0,IF(CU$11=$H125,"◆",""),IF(AND(CU$11&gt;=$H125,CU$11&lt;=$I125),1,""))</f>
        <v/>
      </c>
      <c r="CV125" s="448" t="str">
        <f aca="false">IF($G125=0,IF(CV$11=$H125,"◆",""),IF(AND(CV$11&gt;=$H125,CV$11&lt;=$I125),1,""))</f>
        <v/>
      </c>
      <c r="CW125" s="448" t="str">
        <f aca="false">IF($G125=0,IF(CW$11=$H125,"◆",""),IF(AND(CW$11&gt;=$H125,CW$11&lt;=$I125),1,""))</f>
        <v/>
      </c>
      <c r="CX125" s="448" t="str">
        <f aca="false">IF($G125=0,IF(CX$11=$H125,"◆",""),IF(AND(CX$11&gt;=$H125,CX$11&lt;=$I125),1,""))</f>
        <v/>
      </c>
      <c r="CY125" s="448" t="str">
        <f aca="false">IF($G125=0,IF(CY$11=$H125,"◆",""),IF(AND(CY$11&gt;=$H125,CY$11&lt;=$I125),1,""))</f>
        <v/>
      </c>
      <c r="CZ125" s="448" t="str">
        <f aca="false">IF($G125=0,IF(CZ$11=$H125,"◆",""),IF(AND(CZ$11&gt;=$H125,CZ$11&lt;=$I125),1,""))</f>
        <v/>
      </c>
      <c r="DA125" s="448" t="str">
        <f aca="false">IF($G125=0,IF(DA$11=$H125,"◆",""),IF(AND(DA$11&gt;=$H125,DA$11&lt;=$I125),1,""))</f>
        <v/>
      </c>
      <c r="DB125" s="448" t="str">
        <f aca="false">IF($G125=0,IF(DB$11=$H125,"◆",""),IF(AND(DB$11&gt;=$H125,DB$11&lt;=$I125),1,""))</f>
        <v/>
      </c>
      <c r="DC125" s="448" t="str">
        <f aca="false">IF($G125=0,IF(DC$11=$H125,"◆",""),IF(AND(DC$11&gt;=$H125,DC$11&lt;=$I125),1,""))</f>
        <v/>
      </c>
      <c r="DD125" s="448" t="str">
        <f aca="false">IF($G125=0,IF(DD$11=$H125,"◆",""),IF(AND(DD$11&gt;=$H125,DD$11&lt;=$I125),1,""))</f>
        <v/>
      </c>
      <c r="DE125" s="448" t="str">
        <f aca="false">IF($G125=0,IF(DE$11=$H125,"◆",""),IF(AND(DE$11&gt;=$H125,DE$11&lt;=$I125),1,""))</f>
        <v/>
      </c>
      <c r="DF125" s="448" t="str">
        <f aca="false">IF($G125=0,IF(DF$11=$H125,"◆",""),IF(AND(DF$11&gt;=$H125,DF$11&lt;=$I125),1,""))</f>
        <v/>
      </c>
      <c r="DG125" s="448" t="str">
        <f aca="false">IF($G125=0,IF(DG$11=$H125,"◆",""),IF(AND(DG$11&gt;=$H125,DG$11&lt;=$I125),1,""))</f>
        <v/>
      </c>
      <c r="DH125" s="448" t="str">
        <f aca="false">IF($G125=0,IF(DH$11=$H125,"◆",""),IF(AND(DH$11&gt;=$H125,DH$11&lt;=$I125),1,""))</f>
        <v/>
      </c>
      <c r="DI125" s="448" t="str">
        <f aca="false">IF($G125=0,IF(DI$11=$H125,"◆",""),IF(AND(DI$11&gt;=$H125,DI$11&lt;=$I125),1,""))</f>
        <v/>
      </c>
      <c r="DJ125" s="448" t="str">
        <f aca="false">IF($G125=0,IF(DJ$11=$H125,"◆",""),IF(AND(DJ$11&gt;=$H125,DJ$11&lt;=$I125),1,""))</f>
        <v/>
      </c>
      <c r="DK125" s="448" t="str">
        <f aca="false">IF($G125=0,IF(DK$11=$H125,"◆",""),IF(AND(DK$11&gt;=$H125,DK$11&lt;=$I125),1,""))</f>
        <v/>
      </c>
      <c r="DL125" s="448" t="str">
        <f aca="false">IF($G125=0,IF(DL$11=$H125,"◆",""),IF(AND(DL$11&gt;=$H125,DL$11&lt;=$I125),1,""))</f>
        <v/>
      </c>
      <c r="DM125" s="448" t="str">
        <f aca="false">IF($G125=0,IF(DM$11=$H125,"◆",""),IF(AND(DM$11&gt;=$H125,DM$11&lt;=$I125),1,""))</f>
        <v/>
      </c>
      <c r="DN125" s="448" t="str">
        <f aca="false">IF($G125=0,IF(DN$11=$H125,"◆",""),IF(AND(DN$11&gt;=$H125,DN$11&lt;=$I125),1,""))</f>
        <v/>
      </c>
      <c r="DO125" s="448" t="str">
        <f aca="false">IF($G125=0,IF(DO$11=$H125,"◆",""),IF(AND(DO$11&gt;=$H125,DO$11&lt;=$I125),1,""))</f>
        <v/>
      </c>
      <c r="DP125" s="448" t="str">
        <f aca="false">IF($G125=0,IF(DP$11=$H125,"◆",""),IF(AND(DP$11&gt;=$H125,DP$11&lt;=$I125),1,""))</f>
        <v/>
      </c>
      <c r="DQ125" s="448" t="str">
        <f aca="false">IF($G125=0,IF(DQ$11=$H125,"◆",""),IF(AND(DQ$11&gt;=$H125,DQ$11&lt;=$I125),1,""))</f>
        <v/>
      </c>
      <c r="DR125" s="448" t="str">
        <f aca="false">IF($G125=0,IF(DR$11=$H125,"◆",""),IF(AND(DR$11&gt;=$H125,DR$11&lt;=$I125),1,""))</f>
        <v/>
      </c>
      <c r="DS125" s="448" t="str">
        <f aca="false">IF($G125=0,IF(DS$11=$H125,"◆",""),IF(AND(DS$11&gt;=$H125,DS$11&lt;=$I125),1,""))</f>
        <v/>
      </c>
      <c r="DT125" s="448" t="str">
        <f aca="false">IF($G125=0,IF(DT$11=$H125,"◆",""),IF(AND(DT$11&gt;=$H125,DT$11&lt;=$I125),1,""))</f>
        <v/>
      </c>
      <c r="DU125" s="448" t="str">
        <f aca="false">IF($G125=0,IF(DU$11=$H125,"◆",""),IF(AND(DU$11&gt;=$H125,DU$11&lt;=$I125),1,""))</f>
        <v/>
      </c>
      <c r="DV125" s="448" t="str">
        <f aca="false">IF($G125=0,IF(DV$11=$H125,"◆",""),IF(AND(DV$11&gt;=$H125,DV$11&lt;=$I125),1,""))</f>
        <v/>
      </c>
      <c r="DW125" s="448" t="str">
        <f aca="false">IF($G125=0,IF(DW$11=$H125,"◆",""),IF(AND(DW$11&gt;=$H125,DW$11&lt;=$I125),1,""))</f>
        <v/>
      </c>
      <c r="DX125" s="448" t="str">
        <f aca="false">IF($G125=0,IF(DX$11=$H125,"◆",""),IF(AND(DX$11&gt;=$H125,DX$11&lt;=$I125),1,""))</f>
        <v/>
      </c>
      <c r="DY125" s="448" t="str">
        <f aca="false">IF($G125=0,IF(DY$11=$H125,"◆",""),IF(AND(DY$11&gt;=$H125,DY$11&lt;=$I125),1,""))</f>
        <v/>
      </c>
      <c r="DZ125" s="448" t="str">
        <f aca="false">IF($G125=0,IF(DZ$11=$H125,"◆",""),IF(AND(DZ$11&gt;=$H125,DZ$11&lt;=$I125),1,""))</f>
        <v/>
      </c>
      <c r="EA125" s="448" t="str">
        <f aca="false">IF($G125=0,IF(EA$11=$H125,"◆",""),IF(AND(EA$11&gt;=$H125,EA$11&lt;=$I125),1,""))</f>
        <v/>
      </c>
      <c r="EB125" s="448" t="str">
        <f aca="false">IF($G125=0,IF(EB$11=$H125,"◆",""),IF(AND(EB$11&gt;=$H125,EB$11&lt;=$I125),1,""))</f>
        <v/>
      </c>
      <c r="EC125" s="448" t="str">
        <f aca="false">IF($G125=0,IF(EC$11=$H125,"◆",""),IF(AND(EC$11&gt;=$H125,EC$11&lt;=$I125),1,""))</f>
        <v/>
      </c>
      <c r="ED125" s="448" t="str">
        <f aca="false">IF($G125=0,IF(ED$11=$H125,"◆",""),IF(AND(ED$11&gt;=$H125,ED$11&lt;=$I125),1,""))</f>
        <v/>
      </c>
    </row>
    <row r="126" customFormat="false" ht="15" hidden="false" customHeight="true" outlineLevel="0" collapsed="false">
      <c r="A126" s="441" t="s">
        <v>2696</v>
      </c>
      <c r="B126" s="297" t="s">
        <v>2697</v>
      </c>
      <c r="C126" s="442" t="s">
        <v>2439</v>
      </c>
      <c r="D126" s="443" t="s">
        <v>2436</v>
      </c>
      <c r="E126" s="354" t="n">
        <f aca="false">1</f>
        <v>1</v>
      </c>
      <c r="F126" s="352" t="n">
        <v>12</v>
      </c>
      <c r="G126" s="352" t="n">
        <v>8</v>
      </c>
      <c r="H126" s="367" t="n">
        <f aca="false">MAX(1,ROUND(($E126-1)*$D$5,0)+1+$F126)</f>
        <v>13</v>
      </c>
      <c r="I126" s="367" t="n">
        <f aca="false">MAX($H126,$H126+$G126-1)</f>
        <v>20</v>
      </c>
      <c r="J126" s="444" t="n">
        <f aca="false">$D$4+($H126-1)*7</f>
        <v>46384</v>
      </c>
      <c r="K126" s="444" t="n">
        <f aca="false">$D$4+$I126*7-1</f>
        <v>46439</v>
      </c>
      <c r="L126" s="445" t="n">
        <f aca="false">ROUNDUP($H126/$D$5,0)</f>
        <v>3</v>
      </c>
      <c r="M126" s="446"/>
      <c r="N126" s="447" t="n">
        <v>0</v>
      </c>
      <c r="O126" s="448" t="str">
        <f aca="false">IF($G126=0,IF(O$11=$H126,"◆",""),IF(AND(O$11&gt;=$H126,O$11&lt;=$I126),1,""))</f>
        <v/>
      </c>
      <c r="P126" s="448" t="str">
        <f aca="false">IF($G126=0,IF(P$11=$H126,"◆",""),IF(AND(P$11&gt;=$H126,P$11&lt;=$I126),1,""))</f>
        <v/>
      </c>
      <c r="Q126" s="448" t="str">
        <f aca="false">IF($G126=0,IF(Q$11=$H126,"◆",""),IF(AND(Q$11&gt;=$H126,Q$11&lt;=$I126),1,""))</f>
        <v/>
      </c>
      <c r="R126" s="448" t="str">
        <f aca="false">IF($G126=0,IF(R$11=$H126,"◆",""),IF(AND(R$11&gt;=$H126,R$11&lt;=$I126),1,""))</f>
        <v/>
      </c>
      <c r="S126" s="448" t="str">
        <f aca="false">IF($G126=0,IF(S$11=$H126,"◆",""),IF(AND(S$11&gt;=$H126,S$11&lt;=$I126),1,""))</f>
        <v/>
      </c>
      <c r="T126" s="448" t="str">
        <f aca="false">IF($G126=0,IF(T$11=$H126,"◆",""),IF(AND(T$11&gt;=$H126,T$11&lt;=$I126),1,""))</f>
        <v/>
      </c>
      <c r="U126" s="448" t="str">
        <f aca="false">IF($G126=0,IF(U$11=$H126,"◆",""),IF(AND(U$11&gt;=$H126,U$11&lt;=$I126),1,""))</f>
        <v/>
      </c>
      <c r="V126" s="448" t="str">
        <f aca="false">IF($G126=0,IF(V$11=$H126,"◆",""),IF(AND(V$11&gt;=$H126,V$11&lt;=$I126),1,""))</f>
        <v/>
      </c>
      <c r="W126" s="448" t="str">
        <f aca="false">IF($G126=0,IF(W$11=$H126,"◆",""),IF(AND(W$11&gt;=$H126,W$11&lt;=$I126),1,""))</f>
        <v/>
      </c>
      <c r="X126" s="448" t="str">
        <f aca="false">IF($G126=0,IF(X$11=$H126,"◆",""),IF(AND(X$11&gt;=$H126,X$11&lt;=$I126),1,""))</f>
        <v/>
      </c>
      <c r="Y126" s="448" t="str">
        <f aca="false">IF($G126=0,IF(Y$11=$H126,"◆",""),IF(AND(Y$11&gt;=$H126,Y$11&lt;=$I126),1,""))</f>
        <v/>
      </c>
      <c r="Z126" s="448" t="str">
        <f aca="false">IF($G126=0,IF(Z$11=$H126,"◆",""),IF(AND(Z$11&gt;=$H126,Z$11&lt;=$I126),1,""))</f>
        <v/>
      </c>
      <c r="AA126" s="448" t="n">
        <f aca="false">IF($G126=0,IF(AA$11=$H126,"◆",""),IF(AND(AA$11&gt;=$H126,AA$11&lt;=$I126),1,""))</f>
        <v>1</v>
      </c>
      <c r="AB126" s="448" t="n">
        <f aca="false">IF($G126=0,IF(AB$11=$H126,"◆",""),IF(AND(AB$11&gt;=$H126,AB$11&lt;=$I126),1,""))</f>
        <v>1</v>
      </c>
      <c r="AC126" s="448" t="n">
        <f aca="false">IF($G126=0,IF(AC$11=$H126,"◆",""),IF(AND(AC$11&gt;=$H126,AC$11&lt;=$I126),1,""))</f>
        <v>1</v>
      </c>
      <c r="AD126" s="448" t="n">
        <f aca="false">IF($G126=0,IF(AD$11=$H126,"◆",""),IF(AND(AD$11&gt;=$H126,AD$11&lt;=$I126),1,""))</f>
        <v>1</v>
      </c>
      <c r="AE126" s="448" t="n">
        <f aca="false">IF($G126=0,IF(AE$11=$H126,"◆",""),IF(AND(AE$11&gt;=$H126,AE$11&lt;=$I126),1,""))</f>
        <v>1</v>
      </c>
      <c r="AF126" s="448" t="n">
        <f aca="false">IF($G126=0,IF(AF$11=$H126,"◆",""),IF(AND(AF$11&gt;=$H126,AF$11&lt;=$I126),1,""))</f>
        <v>1</v>
      </c>
      <c r="AG126" s="448" t="n">
        <f aca="false">IF($G126=0,IF(AG$11=$H126,"◆",""),IF(AND(AG$11&gt;=$H126,AG$11&lt;=$I126),1,""))</f>
        <v>1</v>
      </c>
      <c r="AH126" s="448" t="n">
        <f aca="false">IF($G126=0,IF(AH$11=$H126,"◆",""),IF(AND(AH$11&gt;=$H126,AH$11&lt;=$I126),1,""))</f>
        <v>1</v>
      </c>
      <c r="AI126" s="448" t="str">
        <f aca="false">IF($G126=0,IF(AI$11=$H126,"◆",""),IF(AND(AI$11&gt;=$H126,AI$11&lt;=$I126),1,""))</f>
        <v/>
      </c>
      <c r="AJ126" s="448" t="str">
        <f aca="false">IF($G126=0,IF(AJ$11=$H126,"◆",""),IF(AND(AJ$11&gt;=$H126,AJ$11&lt;=$I126),1,""))</f>
        <v/>
      </c>
      <c r="AK126" s="448" t="str">
        <f aca="false">IF($G126=0,IF(AK$11=$H126,"◆",""),IF(AND(AK$11&gt;=$H126,AK$11&lt;=$I126),1,""))</f>
        <v/>
      </c>
      <c r="AL126" s="448" t="str">
        <f aca="false">IF($G126=0,IF(AL$11=$H126,"◆",""),IF(AND(AL$11&gt;=$H126,AL$11&lt;=$I126),1,""))</f>
        <v/>
      </c>
      <c r="AM126" s="448" t="str">
        <f aca="false">IF($G126=0,IF(AM$11=$H126,"◆",""),IF(AND(AM$11&gt;=$H126,AM$11&lt;=$I126),1,""))</f>
        <v/>
      </c>
      <c r="AN126" s="448" t="str">
        <f aca="false">IF($G126=0,IF(AN$11=$H126,"◆",""),IF(AND(AN$11&gt;=$H126,AN$11&lt;=$I126),1,""))</f>
        <v/>
      </c>
      <c r="AO126" s="448" t="str">
        <f aca="false">IF($G126=0,IF(AO$11=$H126,"◆",""),IF(AND(AO$11&gt;=$H126,AO$11&lt;=$I126),1,""))</f>
        <v/>
      </c>
      <c r="AP126" s="448" t="str">
        <f aca="false">IF($G126=0,IF(AP$11=$H126,"◆",""),IF(AND(AP$11&gt;=$H126,AP$11&lt;=$I126),1,""))</f>
        <v/>
      </c>
      <c r="AQ126" s="448" t="str">
        <f aca="false">IF($G126=0,IF(AQ$11=$H126,"◆",""),IF(AND(AQ$11&gt;=$H126,AQ$11&lt;=$I126),1,""))</f>
        <v/>
      </c>
      <c r="AR126" s="448" t="str">
        <f aca="false">IF($G126=0,IF(AR$11=$H126,"◆",""),IF(AND(AR$11&gt;=$H126,AR$11&lt;=$I126),1,""))</f>
        <v/>
      </c>
      <c r="AS126" s="448" t="str">
        <f aca="false">IF($G126=0,IF(AS$11=$H126,"◆",""),IF(AND(AS$11&gt;=$H126,AS$11&lt;=$I126),1,""))</f>
        <v/>
      </c>
      <c r="AT126" s="448" t="str">
        <f aca="false">IF($G126=0,IF(AT$11=$H126,"◆",""),IF(AND(AT$11&gt;=$H126,AT$11&lt;=$I126),1,""))</f>
        <v/>
      </c>
      <c r="AU126" s="448" t="str">
        <f aca="false">IF($G126=0,IF(AU$11=$H126,"◆",""),IF(AND(AU$11&gt;=$H126,AU$11&lt;=$I126),1,""))</f>
        <v/>
      </c>
      <c r="AV126" s="448" t="str">
        <f aca="false">IF($G126=0,IF(AV$11=$H126,"◆",""),IF(AND(AV$11&gt;=$H126,AV$11&lt;=$I126),1,""))</f>
        <v/>
      </c>
      <c r="AW126" s="448" t="str">
        <f aca="false">IF($G126=0,IF(AW$11=$H126,"◆",""),IF(AND(AW$11&gt;=$H126,AW$11&lt;=$I126),1,""))</f>
        <v/>
      </c>
      <c r="AX126" s="448" t="str">
        <f aca="false">IF($G126=0,IF(AX$11=$H126,"◆",""),IF(AND(AX$11&gt;=$H126,AX$11&lt;=$I126),1,""))</f>
        <v/>
      </c>
      <c r="AY126" s="448" t="str">
        <f aca="false">IF($G126=0,IF(AY$11=$H126,"◆",""),IF(AND(AY$11&gt;=$H126,AY$11&lt;=$I126),1,""))</f>
        <v/>
      </c>
      <c r="AZ126" s="448" t="str">
        <f aca="false">IF($G126=0,IF(AZ$11=$H126,"◆",""),IF(AND(AZ$11&gt;=$H126,AZ$11&lt;=$I126),1,""))</f>
        <v/>
      </c>
      <c r="BA126" s="448" t="str">
        <f aca="false">IF($G126=0,IF(BA$11=$H126,"◆",""),IF(AND(BA$11&gt;=$H126,BA$11&lt;=$I126),1,""))</f>
        <v/>
      </c>
      <c r="BB126" s="448" t="str">
        <f aca="false">IF($G126=0,IF(BB$11=$H126,"◆",""),IF(AND(BB$11&gt;=$H126,BB$11&lt;=$I126),1,""))</f>
        <v/>
      </c>
      <c r="BC126" s="448" t="str">
        <f aca="false">IF($G126=0,IF(BC$11=$H126,"◆",""),IF(AND(BC$11&gt;=$H126,BC$11&lt;=$I126),1,""))</f>
        <v/>
      </c>
      <c r="BD126" s="448" t="str">
        <f aca="false">IF($G126=0,IF(BD$11=$H126,"◆",""),IF(AND(BD$11&gt;=$H126,BD$11&lt;=$I126),1,""))</f>
        <v/>
      </c>
      <c r="BE126" s="448" t="str">
        <f aca="false">IF($G126=0,IF(BE$11=$H126,"◆",""),IF(AND(BE$11&gt;=$H126,BE$11&lt;=$I126),1,""))</f>
        <v/>
      </c>
      <c r="BF126" s="448" t="str">
        <f aca="false">IF($G126=0,IF(BF$11=$H126,"◆",""),IF(AND(BF$11&gt;=$H126,BF$11&lt;=$I126),1,""))</f>
        <v/>
      </c>
      <c r="BG126" s="448" t="str">
        <f aca="false">IF($G126=0,IF(BG$11=$H126,"◆",""),IF(AND(BG$11&gt;=$H126,BG$11&lt;=$I126),1,""))</f>
        <v/>
      </c>
      <c r="BH126" s="448" t="str">
        <f aca="false">IF($G126=0,IF(BH$11=$H126,"◆",""),IF(AND(BH$11&gt;=$H126,BH$11&lt;=$I126),1,""))</f>
        <v/>
      </c>
      <c r="BI126" s="448" t="str">
        <f aca="false">IF($G126=0,IF(BI$11=$H126,"◆",""),IF(AND(BI$11&gt;=$H126,BI$11&lt;=$I126),1,""))</f>
        <v/>
      </c>
      <c r="BJ126" s="448" t="str">
        <f aca="false">IF($G126=0,IF(BJ$11=$H126,"◆",""),IF(AND(BJ$11&gt;=$H126,BJ$11&lt;=$I126),1,""))</f>
        <v/>
      </c>
      <c r="BK126" s="448" t="str">
        <f aca="false">IF($G126=0,IF(BK$11=$H126,"◆",""),IF(AND(BK$11&gt;=$H126,BK$11&lt;=$I126),1,""))</f>
        <v/>
      </c>
      <c r="BL126" s="448" t="str">
        <f aca="false">IF($G126=0,IF(BL$11=$H126,"◆",""),IF(AND(BL$11&gt;=$H126,BL$11&lt;=$I126),1,""))</f>
        <v/>
      </c>
      <c r="BM126" s="448" t="str">
        <f aca="false">IF($G126=0,IF(BM$11=$H126,"◆",""),IF(AND(BM$11&gt;=$H126,BM$11&lt;=$I126),1,""))</f>
        <v/>
      </c>
      <c r="BN126" s="448" t="str">
        <f aca="false">IF($G126=0,IF(BN$11=$H126,"◆",""),IF(AND(BN$11&gt;=$H126,BN$11&lt;=$I126),1,""))</f>
        <v/>
      </c>
      <c r="BO126" s="448" t="str">
        <f aca="false">IF($G126=0,IF(BO$11=$H126,"◆",""),IF(AND(BO$11&gt;=$H126,BO$11&lt;=$I126),1,""))</f>
        <v/>
      </c>
      <c r="BP126" s="448" t="str">
        <f aca="false">IF($G126=0,IF(BP$11=$H126,"◆",""),IF(AND(BP$11&gt;=$H126,BP$11&lt;=$I126),1,""))</f>
        <v/>
      </c>
      <c r="BQ126" s="448" t="str">
        <f aca="false">IF($G126=0,IF(BQ$11=$H126,"◆",""),IF(AND(BQ$11&gt;=$H126,BQ$11&lt;=$I126),1,""))</f>
        <v/>
      </c>
      <c r="BR126" s="448" t="str">
        <f aca="false">IF($G126=0,IF(BR$11=$H126,"◆",""),IF(AND(BR$11&gt;=$H126,BR$11&lt;=$I126),1,""))</f>
        <v/>
      </c>
      <c r="BS126" s="448" t="str">
        <f aca="false">IF($G126=0,IF(BS$11=$H126,"◆",""),IF(AND(BS$11&gt;=$H126,BS$11&lt;=$I126),1,""))</f>
        <v/>
      </c>
      <c r="BT126" s="448" t="str">
        <f aca="false">IF($G126=0,IF(BT$11=$H126,"◆",""),IF(AND(BT$11&gt;=$H126,BT$11&lt;=$I126),1,""))</f>
        <v/>
      </c>
      <c r="BU126" s="448" t="str">
        <f aca="false">IF($G126=0,IF(BU$11=$H126,"◆",""),IF(AND(BU$11&gt;=$H126,BU$11&lt;=$I126),1,""))</f>
        <v/>
      </c>
      <c r="BV126" s="448" t="str">
        <f aca="false">IF($G126=0,IF(BV$11=$H126,"◆",""),IF(AND(BV$11&gt;=$H126,BV$11&lt;=$I126),1,""))</f>
        <v/>
      </c>
      <c r="BW126" s="448" t="str">
        <f aca="false">IF($G126=0,IF(BW$11=$H126,"◆",""),IF(AND(BW$11&gt;=$H126,BW$11&lt;=$I126),1,""))</f>
        <v/>
      </c>
      <c r="BX126" s="448" t="str">
        <f aca="false">IF($G126=0,IF(BX$11=$H126,"◆",""),IF(AND(BX$11&gt;=$H126,BX$11&lt;=$I126),1,""))</f>
        <v/>
      </c>
      <c r="BY126" s="448" t="str">
        <f aca="false">IF($G126=0,IF(BY$11=$H126,"◆",""),IF(AND(BY$11&gt;=$H126,BY$11&lt;=$I126),1,""))</f>
        <v/>
      </c>
      <c r="BZ126" s="448" t="str">
        <f aca="false">IF($G126=0,IF(BZ$11=$H126,"◆",""),IF(AND(BZ$11&gt;=$H126,BZ$11&lt;=$I126),1,""))</f>
        <v/>
      </c>
      <c r="CA126" s="448" t="str">
        <f aca="false">IF($G126=0,IF(CA$11=$H126,"◆",""),IF(AND(CA$11&gt;=$H126,CA$11&lt;=$I126),1,""))</f>
        <v/>
      </c>
      <c r="CB126" s="448" t="str">
        <f aca="false">IF($G126=0,IF(CB$11=$H126,"◆",""),IF(AND(CB$11&gt;=$H126,CB$11&lt;=$I126),1,""))</f>
        <v/>
      </c>
      <c r="CC126" s="448" t="str">
        <f aca="false">IF($G126=0,IF(CC$11=$H126,"◆",""),IF(AND(CC$11&gt;=$H126,CC$11&lt;=$I126),1,""))</f>
        <v/>
      </c>
      <c r="CD126" s="448" t="str">
        <f aca="false">IF($G126=0,IF(CD$11=$H126,"◆",""),IF(AND(CD$11&gt;=$H126,CD$11&lt;=$I126),1,""))</f>
        <v/>
      </c>
      <c r="CE126" s="448" t="str">
        <f aca="false">IF($G126=0,IF(CE$11=$H126,"◆",""),IF(AND(CE$11&gt;=$H126,CE$11&lt;=$I126),1,""))</f>
        <v/>
      </c>
      <c r="CF126" s="448" t="str">
        <f aca="false">IF($G126=0,IF(CF$11=$H126,"◆",""),IF(AND(CF$11&gt;=$H126,CF$11&lt;=$I126),1,""))</f>
        <v/>
      </c>
      <c r="CG126" s="448" t="str">
        <f aca="false">IF($G126=0,IF(CG$11=$H126,"◆",""),IF(AND(CG$11&gt;=$H126,CG$11&lt;=$I126),1,""))</f>
        <v/>
      </c>
      <c r="CH126" s="448" t="str">
        <f aca="false">IF($G126=0,IF(CH$11=$H126,"◆",""),IF(AND(CH$11&gt;=$H126,CH$11&lt;=$I126),1,""))</f>
        <v/>
      </c>
      <c r="CI126" s="448" t="str">
        <f aca="false">IF($G126=0,IF(CI$11=$H126,"◆",""),IF(AND(CI$11&gt;=$H126,CI$11&lt;=$I126),1,""))</f>
        <v/>
      </c>
      <c r="CJ126" s="448" t="str">
        <f aca="false">IF($G126=0,IF(CJ$11=$H126,"◆",""),IF(AND(CJ$11&gt;=$H126,CJ$11&lt;=$I126),1,""))</f>
        <v/>
      </c>
      <c r="CK126" s="448" t="str">
        <f aca="false">IF($G126=0,IF(CK$11=$H126,"◆",""),IF(AND(CK$11&gt;=$H126,CK$11&lt;=$I126),1,""))</f>
        <v/>
      </c>
      <c r="CL126" s="448" t="str">
        <f aca="false">IF($G126=0,IF(CL$11=$H126,"◆",""),IF(AND(CL$11&gt;=$H126,CL$11&lt;=$I126),1,""))</f>
        <v/>
      </c>
      <c r="CM126" s="448" t="str">
        <f aca="false">IF($G126=0,IF(CM$11=$H126,"◆",""),IF(AND(CM$11&gt;=$H126,CM$11&lt;=$I126),1,""))</f>
        <v/>
      </c>
      <c r="CN126" s="448" t="str">
        <f aca="false">IF($G126=0,IF(CN$11=$H126,"◆",""),IF(AND(CN$11&gt;=$H126,CN$11&lt;=$I126),1,""))</f>
        <v/>
      </c>
      <c r="CO126" s="448" t="str">
        <f aca="false">IF($G126=0,IF(CO$11=$H126,"◆",""),IF(AND(CO$11&gt;=$H126,CO$11&lt;=$I126),1,""))</f>
        <v/>
      </c>
      <c r="CP126" s="448" t="str">
        <f aca="false">IF($G126=0,IF(CP$11=$H126,"◆",""),IF(AND(CP$11&gt;=$H126,CP$11&lt;=$I126),1,""))</f>
        <v/>
      </c>
      <c r="CQ126" s="448" t="str">
        <f aca="false">IF($G126=0,IF(CQ$11=$H126,"◆",""),IF(AND(CQ$11&gt;=$H126,CQ$11&lt;=$I126),1,""))</f>
        <v/>
      </c>
      <c r="CR126" s="448" t="str">
        <f aca="false">IF($G126=0,IF(CR$11=$H126,"◆",""),IF(AND(CR$11&gt;=$H126,CR$11&lt;=$I126),1,""))</f>
        <v/>
      </c>
      <c r="CS126" s="448" t="str">
        <f aca="false">IF($G126=0,IF(CS$11=$H126,"◆",""),IF(AND(CS$11&gt;=$H126,CS$11&lt;=$I126),1,""))</f>
        <v/>
      </c>
      <c r="CT126" s="448" t="str">
        <f aca="false">IF($G126=0,IF(CT$11=$H126,"◆",""),IF(AND(CT$11&gt;=$H126,CT$11&lt;=$I126),1,""))</f>
        <v/>
      </c>
      <c r="CU126" s="448" t="str">
        <f aca="false">IF($G126=0,IF(CU$11=$H126,"◆",""),IF(AND(CU$11&gt;=$H126,CU$11&lt;=$I126),1,""))</f>
        <v/>
      </c>
      <c r="CV126" s="448" t="str">
        <f aca="false">IF($G126=0,IF(CV$11=$H126,"◆",""),IF(AND(CV$11&gt;=$H126,CV$11&lt;=$I126),1,""))</f>
        <v/>
      </c>
      <c r="CW126" s="448" t="str">
        <f aca="false">IF($G126=0,IF(CW$11=$H126,"◆",""),IF(AND(CW$11&gt;=$H126,CW$11&lt;=$I126),1,""))</f>
        <v/>
      </c>
      <c r="CX126" s="448" t="str">
        <f aca="false">IF($G126=0,IF(CX$11=$H126,"◆",""),IF(AND(CX$11&gt;=$H126,CX$11&lt;=$I126),1,""))</f>
        <v/>
      </c>
      <c r="CY126" s="448" t="str">
        <f aca="false">IF($G126=0,IF(CY$11=$H126,"◆",""),IF(AND(CY$11&gt;=$H126,CY$11&lt;=$I126),1,""))</f>
        <v/>
      </c>
      <c r="CZ126" s="448" t="str">
        <f aca="false">IF($G126=0,IF(CZ$11=$H126,"◆",""),IF(AND(CZ$11&gt;=$H126,CZ$11&lt;=$I126),1,""))</f>
        <v/>
      </c>
      <c r="DA126" s="448" t="str">
        <f aca="false">IF($G126=0,IF(DA$11=$H126,"◆",""),IF(AND(DA$11&gt;=$H126,DA$11&lt;=$I126),1,""))</f>
        <v/>
      </c>
      <c r="DB126" s="448" t="str">
        <f aca="false">IF($G126=0,IF(DB$11=$H126,"◆",""),IF(AND(DB$11&gt;=$H126,DB$11&lt;=$I126),1,""))</f>
        <v/>
      </c>
      <c r="DC126" s="448" t="str">
        <f aca="false">IF($G126=0,IF(DC$11=$H126,"◆",""),IF(AND(DC$11&gt;=$H126,DC$11&lt;=$I126),1,""))</f>
        <v/>
      </c>
      <c r="DD126" s="448" t="str">
        <f aca="false">IF($G126=0,IF(DD$11=$H126,"◆",""),IF(AND(DD$11&gt;=$H126,DD$11&lt;=$I126),1,""))</f>
        <v/>
      </c>
      <c r="DE126" s="448" t="str">
        <f aca="false">IF($G126=0,IF(DE$11=$H126,"◆",""),IF(AND(DE$11&gt;=$H126,DE$11&lt;=$I126),1,""))</f>
        <v/>
      </c>
      <c r="DF126" s="448" t="str">
        <f aca="false">IF($G126=0,IF(DF$11=$H126,"◆",""),IF(AND(DF$11&gt;=$H126,DF$11&lt;=$I126),1,""))</f>
        <v/>
      </c>
      <c r="DG126" s="448" t="str">
        <f aca="false">IF($G126=0,IF(DG$11=$H126,"◆",""),IF(AND(DG$11&gt;=$H126,DG$11&lt;=$I126),1,""))</f>
        <v/>
      </c>
      <c r="DH126" s="448" t="str">
        <f aca="false">IF($G126=0,IF(DH$11=$H126,"◆",""),IF(AND(DH$11&gt;=$H126,DH$11&lt;=$I126),1,""))</f>
        <v/>
      </c>
      <c r="DI126" s="448" t="str">
        <f aca="false">IF($G126=0,IF(DI$11=$H126,"◆",""),IF(AND(DI$11&gt;=$H126,DI$11&lt;=$I126),1,""))</f>
        <v/>
      </c>
      <c r="DJ126" s="448" t="str">
        <f aca="false">IF($G126=0,IF(DJ$11=$H126,"◆",""),IF(AND(DJ$11&gt;=$H126,DJ$11&lt;=$I126),1,""))</f>
        <v/>
      </c>
      <c r="DK126" s="448" t="str">
        <f aca="false">IF($G126=0,IF(DK$11=$H126,"◆",""),IF(AND(DK$11&gt;=$H126,DK$11&lt;=$I126),1,""))</f>
        <v/>
      </c>
      <c r="DL126" s="448" t="str">
        <f aca="false">IF($G126=0,IF(DL$11=$H126,"◆",""),IF(AND(DL$11&gt;=$H126,DL$11&lt;=$I126),1,""))</f>
        <v/>
      </c>
      <c r="DM126" s="448" t="str">
        <f aca="false">IF($G126=0,IF(DM$11=$H126,"◆",""),IF(AND(DM$11&gt;=$H126,DM$11&lt;=$I126),1,""))</f>
        <v/>
      </c>
      <c r="DN126" s="448" t="str">
        <f aca="false">IF($G126=0,IF(DN$11=$H126,"◆",""),IF(AND(DN$11&gt;=$H126,DN$11&lt;=$I126),1,""))</f>
        <v/>
      </c>
      <c r="DO126" s="448" t="str">
        <f aca="false">IF($G126=0,IF(DO$11=$H126,"◆",""),IF(AND(DO$11&gt;=$H126,DO$11&lt;=$I126),1,""))</f>
        <v/>
      </c>
      <c r="DP126" s="448" t="str">
        <f aca="false">IF($G126=0,IF(DP$11=$H126,"◆",""),IF(AND(DP$11&gt;=$H126,DP$11&lt;=$I126),1,""))</f>
        <v/>
      </c>
      <c r="DQ126" s="448" t="str">
        <f aca="false">IF($G126=0,IF(DQ$11=$H126,"◆",""),IF(AND(DQ$11&gt;=$H126,DQ$11&lt;=$I126),1,""))</f>
        <v/>
      </c>
      <c r="DR126" s="448" t="str">
        <f aca="false">IF($G126=0,IF(DR$11=$H126,"◆",""),IF(AND(DR$11&gt;=$H126,DR$11&lt;=$I126),1,""))</f>
        <v/>
      </c>
      <c r="DS126" s="448" t="str">
        <f aca="false">IF($G126=0,IF(DS$11=$H126,"◆",""),IF(AND(DS$11&gt;=$H126,DS$11&lt;=$I126),1,""))</f>
        <v/>
      </c>
      <c r="DT126" s="448" t="str">
        <f aca="false">IF($G126=0,IF(DT$11=$H126,"◆",""),IF(AND(DT$11&gt;=$H126,DT$11&lt;=$I126),1,""))</f>
        <v/>
      </c>
      <c r="DU126" s="448" t="str">
        <f aca="false">IF($G126=0,IF(DU$11=$H126,"◆",""),IF(AND(DU$11&gt;=$H126,DU$11&lt;=$I126),1,""))</f>
        <v/>
      </c>
      <c r="DV126" s="448" t="str">
        <f aca="false">IF($G126=0,IF(DV$11=$H126,"◆",""),IF(AND(DV$11&gt;=$H126,DV$11&lt;=$I126),1,""))</f>
        <v/>
      </c>
      <c r="DW126" s="448" t="str">
        <f aca="false">IF($G126=0,IF(DW$11=$H126,"◆",""),IF(AND(DW$11&gt;=$H126,DW$11&lt;=$I126),1,""))</f>
        <v/>
      </c>
      <c r="DX126" s="448" t="str">
        <f aca="false">IF($G126=0,IF(DX$11=$H126,"◆",""),IF(AND(DX$11&gt;=$H126,DX$11&lt;=$I126),1,""))</f>
        <v/>
      </c>
      <c r="DY126" s="448" t="str">
        <f aca="false">IF($G126=0,IF(DY$11=$H126,"◆",""),IF(AND(DY$11&gt;=$H126,DY$11&lt;=$I126),1,""))</f>
        <v/>
      </c>
      <c r="DZ126" s="448" t="str">
        <f aca="false">IF($G126=0,IF(DZ$11=$H126,"◆",""),IF(AND(DZ$11&gt;=$H126,DZ$11&lt;=$I126),1,""))</f>
        <v/>
      </c>
      <c r="EA126" s="448" t="str">
        <f aca="false">IF($G126=0,IF(EA$11=$H126,"◆",""),IF(AND(EA$11&gt;=$H126,EA$11&lt;=$I126),1,""))</f>
        <v/>
      </c>
      <c r="EB126" s="448" t="str">
        <f aca="false">IF($G126=0,IF(EB$11=$H126,"◆",""),IF(AND(EB$11&gt;=$H126,EB$11&lt;=$I126),1,""))</f>
        <v/>
      </c>
      <c r="EC126" s="448" t="str">
        <f aca="false">IF($G126=0,IF(EC$11=$H126,"◆",""),IF(AND(EC$11&gt;=$H126,EC$11&lt;=$I126),1,""))</f>
        <v/>
      </c>
      <c r="ED126" s="448" t="str">
        <f aca="false">IF($G126=0,IF(ED$11=$H126,"◆",""),IF(AND(ED$11&gt;=$H126,ED$11&lt;=$I126),1,""))</f>
        <v/>
      </c>
    </row>
    <row r="127" customFormat="false" ht="15" hidden="false" customHeight="true" outlineLevel="0" collapsed="false">
      <c r="A127" s="441" t="s">
        <v>2698</v>
      </c>
      <c r="B127" s="297" t="s">
        <v>2699</v>
      </c>
      <c r="C127" s="442" t="s">
        <v>2439</v>
      </c>
      <c r="D127" s="443" t="s">
        <v>2634</v>
      </c>
      <c r="E127" s="354" t="n">
        <f aca="false">FC_SUPUESTOS!$C$40</f>
        <v>10</v>
      </c>
      <c r="F127" s="352" t="n">
        <v>-16</v>
      </c>
      <c r="G127" s="352" t="n">
        <v>8</v>
      </c>
      <c r="H127" s="367" t="n">
        <f aca="false">MAX(1,ROUND(($E127-1)*$D$5,0)+1+$F127)</f>
        <v>24</v>
      </c>
      <c r="I127" s="367" t="n">
        <f aca="false">MAX($H127,$H127+$G127-1)</f>
        <v>31</v>
      </c>
      <c r="J127" s="444" t="n">
        <f aca="false">$D$4+($H127-1)*7</f>
        <v>46461</v>
      </c>
      <c r="K127" s="444" t="n">
        <f aca="false">$D$4+$I127*7-1</f>
        <v>46516</v>
      </c>
      <c r="L127" s="445" t="n">
        <f aca="false">ROUNDUP($H127/$D$5,0)</f>
        <v>6</v>
      </c>
      <c r="M127" s="446"/>
      <c r="N127" s="447" t="n">
        <v>0</v>
      </c>
      <c r="O127" s="448" t="str">
        <f aca="false">IF($G127=0,IF(O$11=$H127,"◆",""),IF(AND(O$11&gt;=$H127,O$11&lt;=$I127),1,""))</f>
        <v/>
      </c>
      <c r="P127" s="448" t="str">
        <f aca="false">IF($G127=0,IF(P$11=$H127,"◆",""),IF(AND(P$11&gt;=$H127,P$11&lt;=$I127),1,""))</f>
        <v/>
      </c>
      <c r="Q127" s="448" t="str">
        <f aca="false">IF($G127=0,IF(Q$11=$H127,"◆",""),IF(AND(Q$11&gt;=$H127,Q$11&lt;=$I127),1,""))</f>
        <v/>
      </c>
      <c r="R127" s="448" t="str">
        <f aca="false">IF($G127=0,IF(R$11=$H127,"◆",""),IF(AND(R$11&gt;=$H127,R$11&lt;=$I127),1,""))</f>
        <v/>
      </c>
      <c r="S127" s="448" t="str">
        <f aca="false">IF($G127=0,IF(S$11=$H127,"◆",""),IF(AND(S$11&gt;=$H127,S$11&lt;=$I127),1,""))</f>
        <v/>
      </c>
      <c r="T127" s="448" t="str">
        <f aca="false">IF($G127=0,IF(T$11=$H127,"◆",""),IF(AND(T$11&gt;=$H127,T$11&lt;=$I127),1,""))</f>
        <v/>
      </c>
      <c r="U127" s="448" t="str">
        <f aca="false">IF($G127=0,IF(U$11=$H127,"◆",""),IF(AND(U$11&gt;=$H127,U$11&lt;=$I127),1,""))</f>
        <v/>
      </c>
      <c r="V127" s="448" t="str">
        <f aca="false">IF($G127=0,IF(V$11=$H127,"◆",""),IF(AND(V$11&gt;=$H127,V$11&lt;=$I127),1,""))</f>
        <v/>
      </c>
      <c r="W127" s="448" t="str">
        <f aca="false">IF($G127=0,IF(W$11=$H127,"◆",""),IF(AND(W$11&gt;=$H127,W$11&lt;=$I127),1,""))</f>
        <v/>
      </c>
      <c r="X127" s="448" t="str">
        <f aca="false">IF($G127=0,IF(X$11=$H127,"◆",""),IF(AND(X$11&gt;=$H127,X$11&lt;=$I127),1,""))</f>
        <v/>
      </c>
      <c r="Y127" s="448" t="str">
        <f aca="false">IF($G127=0,IF(Y$11=$H127,"◆",""),IF(AND(Y$11&gt;=$H127,Y$11&lt;=$I127),1,""))</f>
        <v/>
      </c>
      <c r="Z127" s="448" t="str">
        <f aca="false">IF($G127=0,IF(Z$11=$H127,"◆",""),IF(AND(Z$11&gt;=$H127,Z$11&lt;=$I127),1,""))</f>
        <v/>
      </c>
      <c r="AA127" s="448" t="str">
        <f aca="false">IF($G127=0,IF(AA$11=$H127,"◆",""),IF(AND(AA$11&gt;=$H127,AA$11&lt;=$I127),1,""))</f>
        <v/>
      </c>
      <c r="AB127" s="448" t="str">
        <f aca="false">IF($G127=0,IF(AB$11=$H127,"◆",""),IF(AND(AB$11&gt;=$H127,AB$11&lt;=$I127),1,""))</f>
        <v/>
      </c>
      <c r="AC127" s="448" t="str">
        <f aca="false">IF($G127=0,IF(AC$11=$H127,"◆",""),IF(AND(AC$11&gt;=$H127,AC$11&lt;=$I127),1,""))</f>
        <v/>
      </c>
      <c r="AD127" s="448" t="str">
        <f aca="false">IF($G127=0,IF(AD$11=$H127,"◆",""),IF(AND(AD$11&gt;=$H127,AD$11&lt;=$I127),1,""))</f>
        <v/>
      </c>
      <c r="AE127" s="448" t="str">
        <f aca="false">IF($G127=0,IF(AE$11=$H127,"◆",""),IF(AND(AE$11&gt;=$H127,AE$11&lt;=$I127),1,""))</f>
        <v/>
      </c>
      <c r="AF127" s="448" t="str">
        <f aca="false">IF($G127=0,IF(AF$11=$H127,"◆",""),IF(AND(AF$11&gt;=$H127,AF$11&lt;=$I127),1,""))</f>
        <v/>
      </c>
      <c r="AG127" s="448" t="str">
        <f aca="false">IF($G127=0,IF(AG$11=$H127,"◆",""),IF(AND(AG$11&gt;=$H127,AG$11&lt;=$I127),1,""))</f>
        <v/>
      </c>
      <c r="AH127" s="448" t="str">
        <f aca="false">IF($G127=0,IF(AH$11=$H127,"◆",""),IF(AND(AH$11&gt;=$H127,AH$11&lt;=$I127),1,""))</f>
        <v/>
      </c>
      <c r="AI127" s="448" t="str">
        <f aca="false">IF($G127=0,IF(AI$11=$H127,"◆",""),IF(AND(AI$11&gt;=$H127,AI$11&lt;=$I127),1,""))</f>
        <v/>
      </c>
      <c r="AJ127" s="448" t="str">
        <f aca="false">IF($G127=0,IF(AJ$11=$H127,"◆",""),IF(AND(AJ$11&gt;=$H127,AJ$11&lt;=$I127),1,""))</f>
        <v/>
      </c>
      <c r="AK127" s="448" t="str">
        <f aca="false">IF($G127=0,IF(AK$11=$H127,"◆",""),IF(AND(AK$11&gt;=$H127,AK$11&lt;=$I127),1,""))</f>
        <v/>
      </c>
      <c r="AL127" s="448" t="n">
        <f aca="false">IF($G127=0,IF(AL$11=$H127,"◆",""),IF(AND(AL$11&gt;=$H127,AL$11&lt;=$I127),1,""))</f>
        <v>1</v>
      </c>
      <c r="AM127" s="448" t="n">
        <f aca="false">IF($G127=0,IF(AM$11=$H127,"◆",""),IF(AND(AM$11&gt;=$H127,AM$11&lt;=$I127),1,""))</f>
        <v>1</v>
      </c>
      <c r="AN127" s="448" t="n">
        <f aca="false">IF($G127=0,IF(AN$11=$H127,"◆",""),IF(AND(AN$11&gt;=$H127,AN$11&lt;=$I127),1,""))</f>
        <v>1</v>
      </c>
      <c r="AO127" s="448" t="n">
        <f aca="false">IF($G127=0,IF(AO$11=$H127,"◆",""),IF(AND(AO$11&gt;=$H127,AO$11&lt;=$I127),1,""))</f>
        <v>1</v>
      </c>
      <c r="AP127" s="448" t="n">
        <f aca="false">IF($G127=0,IF(AP$11=$H127,"◆",""),IF(AND(AP$11&gt;=$H127,AP$11&lt;=$I127),1,""))</f>
        <v>1</v>
      </c>
      <c r="AQ127" s="448" t="n">
        <f aca="false">IF($G127=0,IF(AQ$11=$H127,"◆",""),IF(AND(AQ$11&gt;=$H127,AQ$11&lt;=$I127),1,""))</f>
        <v>1</v>
      </c>
      <c r="AR127" s="448" t="n">
        <f aca="false">IF($G127=0,IF(AR$11=$H127,"◆",""),IF(AND(AR$11&gt;=$H127,AR$11&lt;=$I127),1,""))</f>
        <v>1</v>
      </c>
      <c r="AS127" s="448" t="n">
        <f aca="false">IF($G127=0,IF(AS$11=$H127,"◆",""),IF(AND(AS$11&gt;=$H127,AS$11&lt;=$I127),1,""))</f>
        <v>1</v>
      </c>
      <c r="AT127" s="448" t="str">
        <f aca="false">IF($G127=0,IF(AT$11=$H127,"◆",""),IF(AND(AT$11&gt;=$H127,AT$11&lt;=$I127),1,""))</f>
        <v/>
      </c>
      <c r="AU127" s="448" t="str">
        <f aca="false">IF($G127=0,IF(AU$11=$H127,"◆",""),IF(AND(AU$11&gt;=$H127,AU$11&lt;=$I127),1,""))</f>
        <v/>
      </c>
      <c r="AV127" s="448" t="str">
        <f aca="false">IF($G127=0,IF(AV$11=$H127,"◆",""),IF(AND(AV$11&gt;=$H127,AV$11&lt;=$I127),1,""))</f>
        <v/>
      </c>
      <c r="AW127" s="448" t="str">
        <f aca="false">IF($G127=0,IF(AW$11=$H127,"◆",""),IF(AND(AW$11&gt;=$H127,AW$11&lt;=$I127),1,""))</f>
        <v/>
      </c>
      <c r="AX127" s="448" t="str">
        <f aca="false">IF($G127=0,IF(AX$11=$H127,"◆",""),IF(AND(AX$11&gt;=$H127,AX$11&lt;=$I127),1,""))</f>
        <v/>
      </c>
      <c r="AY127" s="448" t="str">
        <f aca="false">IF($G127=0,IF(AY$11=$H127,"◆",""),IF(AND(AY$11&gt;=$H127,AY$11&lt;=$I127),1,""))</f>
        <v/>
      </c>
      <c r="AZ127" s="448" t="str">
        <f aca="false">IF($G127=0,IF(AZ$11=$H127,"◆",""),IF(AND(AZ$11&gt;=$H127,AZ$11&lt;=$I127),1,""))</f>
        <v/>
      </c>
      <c r="BA127" s="448" t="str">
        <f aca="false">IF($G127=0,IF(BA$11=$H127,"◆",""),IF(AND(BA$11&gt;=$H127,BA$11&lt;=$I127),1,""))</f>
        <v/>
      </c>
      <c r="BB127" s="448" t="str">
        <f aca="false">IF($G127=0,IF(BB$11=$H127,"◆",""),IF(AND(BB$11&gt;=$H127,BB$11&lt;=$I127),1,""))</f>
        <v/>
      </c>
      <c r="BC127" s="448" t="str">
        <f aca="false">IF($G127=0,IF(BC$11=$H127,"◆",""),IF(AND(BC$11&gt;=$H127,BC$11&lt;=$I127),1,""))</f>
        <v/>
      </c>
      <c r="BD127" s="448" t="str">
        <f aca="false">IF($G127=0,IF(BD$11=$H127,"◆",""),IF(AND(BD$11&gt;=$H127,BD$11&lt;=$I127),1,""))</f>
        <v/>
      </c>
      <c r="BE127" s="448" t="str">
        <f aca="false">IF($G127=0,IF(BE$11=$H127,"◆",""),IF(AND(BE$11&gt;=$H127,BE$11&lt;=$I127),1,""))</f>
        <v/>
      </c>
      <c r="BF127" s="448" t="str">
        <f aca="false">IF($G127=0,IF(BF$11=$H127,"◆",""),IF(AND(BF$11&gt;=$H127,BF$11&lt;=$I127),1,""))</f>
        <v/>
      </c>
      <c r="BG127" s="448" t="str">
        <f aca="false">IF($G127=0,IF(BG$11=$H127,"◆",""),IF(AND(BG$11&gt;=$H127,BG$11&lt;=$I127),1,""))</f>
        <v/>
      </c>
      <c r="BH127" s="448" t="str">
        <f aca="false">IF($G127=0,IF(BH$11=$H127,"◆",""),IF(AND(BH$11&gt;=$H127,BH$11&lt;=$I127),1,""))</f>
        <v/>
      </c>
      <c r="BI127" s="448" t="str">
        <f aca="false">IF($G127=0,IF(BI$11=$H127,"◆",""),IF(AND(BI$11&gt;=$H127,BI$11&lt;=$I127),1,""))</f>
        <v/>
      </c>
      <c r="BJ127" s="448" t="str">
        <f aca="false">IF($G127=0,IF(BJ$11=$H127,"◆",""),IF(AND(BJ$11&gt;=$H127,BJ$11&lt;=$I127),1,""))</f>
        <v/>
      </c>
      <c r="BK127" s="448" t="str">
        <f aca="false">IF($G127=0,IF(BK$11=$H127,"◆",""),IF(AND(BK$11&gt;=$H127,BK$11&lt;=$I127),1,""))</f>
        <v/>
      </c>
      <c r="BL127" s="448" t="str">
        <f aca="false">IF($G127=0,IF(BL$11=$H127,"◆",""),IF(AND(BL$11&gt;=$H127,BL$11&lt;=$I127),1,""))</f>
        <v/>
      </c>
      <c r="BM127" s="448" t="str">
        <f aca="false">IF($G127=0,IF(BM$11=$H127,"◆",""),IF(AND(BM$11&gt;=$H127,BM$11&lt;=$I127),1,""))</f>
        <v/>
      </c>
      <c r="BN127" s="448" t="str">
        <f aca="false">IF($G127=0,IF(BN$11=$H127,"◆",""),IF(AND(BN$11&gt;=$H127,BN$11&lt;=$I127),1,""))</f>
        <v/>
      </c>
      <c r="BO127" s="448" t="str">
        <f aca="false">IF($G127=0,IF(BO$11=$H127,"◆",""),IF(AND(BO$11&gt;=$H127,BO$11&lt;=$I127),1,""))</f>
        <v/>
      </c>
      <c r="BP127" s="448" t="str">
        <f aca="false">IF($G127=0,IF(BP$11=$H127,"◆",""),IF(AND(BP$11&gt;=$H127,BP$11&lt;=$I127),1,""))</f>
        <v/>
      </c>
      <c r="BQ127" s="448" t="str">
        <f aca="false">IF($G127=0,IF(BQ$11=$H127,"◆",""),IF(AND(BQ$11&gt;=$H127,BQ$11&lt;=$I127),1,""))</f>
        <v/>
      </c>
      <c r="BR127" s="448" t="str">
        <f aca="false">IF($G127=0,IF(BR$11=$H127,"◆",""),IF(AND(BR$11&gt;=$H127,BR$11&lt;=$I127),1,""))</f>
        <v/>
      </c>
      <c r="BS127" s="448" t="str">
        <f aca="false">IF($G127=0,IF(BS$11=$H127,"◆",""),IF(AND(BS$11&gt;=$H127,BS$11&lt;=$I127),1,""))</f>
        <v/>
      </c>
      <c r="BT127" s="448" t="str">
        <f aca="false">IF($G127=0,IF(BT$11=$H127,"◆",""),IF(AND(BT$11&gt;=$H127,BT$11&lt;=$I127),1,""))</f>
        <v/>
      </c>
      <c r="BU127" s="448" t="str">
        <f aca="false">IF($G127=0,IF(BU$11=$H127,"◆",""),IF(AND(BU$11&gt;=$H127,BU$11&lt;=$I127),1,""))</f>
        <v/>
      </c>
      <c r="BV127" s="448" t="str">
        <f aca="false">IF($G127=0,IF(BV$11=$H127,"◆",""),IF(AND(BV$11&gt;=$H127,BV$11&lt;=$I127),1,""))</f>
        <v/>
      </c>
      <c r="BW127" s="448" t="str">
        <f aca="false">IF($G127=0,IF(BW$11=$H127,"◆",""),IF(AND(BW$11&gt;=$H127,BW$11&lt;=$I127),1,""))</f>
        <v/>
      </c>
      <c r="BX127" s="448" t="str">
        <f aca="false">IF($G127=0,IF(BX$11=$H127,"◆",""),IF(AND(BX$11&gt;=$H127,BX$11&lt;=$I127),1,""))</f>
        <v/>
      </c>
      <c r="BY127" s="448" t="str">
        <f aca="false">IF($G127=0,IF(BY$11=$H127,"◆",""),IF(AND(BY$11&gt;=$H127,BY$11&lt;=$I127),1,""))</f>
        <v/>
      </c>
      <c r="BZ127" s="448" t="str">
        <f aca="false">IF($G127=0,IF(BZ$11=$H127,"◆",""),IF(AND(BZ$11&gt;=$H127,BZ$11&lt;=$I127),1,""))</f>
        <v/>
      </c>
      <c r="CA127" s="448" t="str">
        <f aca="false">IF($G127=0,IF(CA$11=$H127,"◆",""),IF(AND(CA$11&gt;=$H127,CA$11&lt;=$I127),1,""))</f>
        <v/>
      </c>
      <c r="CB127" s="448" t="str">
        <f aca="false">IF($G127=0,IF(CB$11=$H127,"◆",""),IF(AND(CB$11&gt;=$H127,CB$11&lt;=$I127),1,""))</f>
        <v/>
      </c>
      <c r="CC127" s="448" t="str">
        <f aca="false">IF($G127=0,IF(CC$11=$H127,"◆",""),IF(AND(CC$11&gt;=$H127,CC$11&lt;=$I127),1,""))</f>
        <v/>
      </c>
      <c r="CD127" s="448" t="str">
        <f aca="false">IF($G127=0,IF(CD$11=$H127,"◆",""),IF(AND(CD$11&gt;=$H127,CD$11&lt;=$I127),1,""))</f>
        <v/>
      </c>
      <c r="CE127" s="448" t="str">
        <f aca="false">IF($G127=0,IF(CE$11=$H127,"◆",""),IF(AND(CE$11&gt;=$H127,CE$11&lt;=$I127),1,""))</f>
        <v/>
      </c>
      <c r="CF127" s="448" t="str">
        <f aca="false">IF($G127=0,IF(CF$11=$H127,"◆",""),IF(AND(CF$11&gt;=$H127,CF$11&lt;=$I127),1,""))</f>
        <v/>
      </c>
      <c r="CG127" s="448" t="str">
        <f aca="false">IF($G127=0,IF(CG$11=$H127,"◆",""),IF(AND(CG$11&gt;=$H127,CG$11&lt;=$I127),1,""))</f>
        <v/>
      </c>
      <c r="CH127" s="448" t="str">
        <f aca="false">IF($G127=0,IF(CH$11=$H127,"◆",""),IF(AND(CH$11&gt;=$H127,CH$11&lt;=$I127),1,""))</f>
        <v/>
      </c>
      <c r="CI127" s="448" t="str">
        <f aca="false">IF($G127=0,IF(CI$11=$H127,"◆",""),IF(AND(CI$11&gt;=$H127,CI$11&lt;=$I127),1,""))</f>
        <v/>
      </c>
      <c r="CJ127" s="448" t="str">
        <f aca="false">IF($G127=0,IF(CJ$11=$H127,"◆",""),IF(AND(CJ$11&gt;=$H127,CJ$11&lt;=$I127),1,""))</f>
        <v/>
      </c>
      <c r="CK127" s="448" t="str">
        <f aca="false">IF($G127=0,IF(CK$11=$H127,"◆",""),IF(AND(CK$11&gt;=$H127,CK$11&lt;=$I127),1,""))</f>
        <v/>
      </c>
      <c r="CL127" s="448" t="str">
        <f aca="false">IF($G127=0,IF(CL$11=$H127,"◆",""),IF(AND(CL$11&gt;=$H127,CL$11&lt;=$I127),1,""))</f>
        <v/>
      </c>
      <c r="CM127" s="448" t="str">
        <f aca="false">IF($G127=0,IF(CM$11=$H127,"◆",""),IF(AND(CM$11&gt;=$H127,CM$11&lt;=$I127),1,""))</f>
        <v/>
      </c>
      <c r="CN127" s="448" t="str">
        <f aca="false">IF($G127=0,IF(CN$11=$H127,"◆",""),IF(AND(CN$11&gt;=$H127,CN$11&lt;=$I127),1,""))</f>
        <v/>
      </c>
      <c r="CO127" s="448" t="str">
        <f aca="false">IF($G127=0,IF(CO$11=$H127,"◆",""),IF(AND(CO$11&gt;=$H127,CO$11&lt;=$I127),1,""))</f>
        <v/>
      </c>
      <c r="CP127" s="448" t="str">
        <f aca="false">IF($G127=0,IF(CP$11=$H127,"◆",""),IF(AND(CP$11&gt;=$H127,CP$11&lt;=$I127),1,""))</f>
        <v/>
      </c>
      <c r="CQ127" s="448" t="str">
        <f aca="false">IF($G127=0,IF(CQ$11=$H127,"◆",""),IF(AND(CQ$11&gt;=$H127,CQ$11&lt;=$I127),1,""))</f>
        <v/>
      </c>
      <c r="CR127" s="448" t="str">
        <f aca="false">IF($G127=0,IF(CR$11=$H127,"◆",""),IF(AND(CR$11&gt;=$H127,CR$11&lt;=$I127),1,""))</f>
        <v/>
      </c>
      <c r="CS127" s="448" t="str">
        <f aca="false">IF($G127=0,IF(CS$11=$H127,"◆",""),IF(AND(CS$11&gt;=$H127,CS$11&lt;=$I127),1,""))</f>
        <v/>
      </c>
      <c r="CT127" s="448" t="str">
        <f aca="false">IF($G127=0,IF(CT$11=$H127,"◆",""),IF(AND(CT$11&gt;=$H127,CT$11&lt;=$I127),1,""))</f>
        <v/>
      </c>
      <c r="CU127" s="448" t="str">
        <f aca="false">IF($G127=0,IF(CU$11=$H127,"◆",""),IF(AND(CU$11&gt;=$H127,CU$11&lt;=$I127),1,""))</f>
        <v/>
      </c>
      <c r="CV127" s="448" t="str">
        <f aca="false">IF($G127=0,IF(CV$11=$H127,"◆",""),IF(AND(CV$11&gt;=$H127,CV$11&lt;=$I127),1,""))</f>
        <v/>
      </c>
      <c r="CW127" s="448" t="str">
        <f aca="false">IF($G127=0,IF(CW$11=$H127,"◆",""),IF(AND(CW$11&gt;=$H127,CW$11&lt;=$I127),1,""))</f>
        <v/>
      </c>
      <c r="CX127" s="448" t="str">
        <f aca="false">IF($G127=0,IF(CX$11=$H127,"◆",""),IF(AND(CX$11&gt;=$H127,CX$11&lt;=$I127),1,""))</f>
        <v/>
      </c>
      <c r="CY127" s="448" t="str">
        <f aca="false">IF($G127=0,IF(CY$11=$H127,"◆",""),IF(AND(CY$11&gt;=$H127,CY$11&lt;=$I127),1,""))</f>
        <v/>
      </c>
      <c r="CZ127" s="448" t="str">
        <f aca="false">IF($G127=0,IF(CZ$11=$H127,"◆",""),IF(AND(CZ$11&gt;=$H127,CZ$11&lt;=$I127),1,""))</f>
        <v/>
      </c>
      <c r="DA127" s="448" t="str">
        <f aca="false">IF($G127=0,IF(DA$11=$H127,"◆",""),IF(AND(DA$11&gt;=$H127,DA$11&lt;=$I127),1,""))</f>
        <v/>
      </c>
      <c r="DB127" s="448" t="str">
        <f aca="false">IF($G127=0,IF(DB$11=$H127,"◆",""),IF(AND(DB$11&gt;=$H127,DB$11&lt;=$I127),1,""))</f>
        <v/>
      </c>
      <c r="DC127" s="448" t="str">
        <f aca="false">IF($G127=0,IF(DC$11=$H127,"◆",""),IF(AND(DC$11&gt;=$H127,DC$11&lt;=$I127),1,""))</f>
        <v/>
      </c>
      <c r="DD127" s="448" t="str">
        <f aca="false">IF($G127=0,IF(DD$11=$H127,"◆",""),IF(AND(DD$11&gt;=$H127,DD$11&lt;=$I127),1,""))</f>
        <v/>
      </c>
      <c r="DE127" s="448" t="str">
        <f aca="false">IF($G127=0,IF(DE$11=$H127,"◆",""),IF(AND(DE$11&gt;=$H127,DE$11&lt;=$I127),1,""))</f>
        <v/>
      </c>
      <c r="DF127" s="448" t="str">
        <f aca="false">IF($G127=0,IF(DF$11=$H127,"◆",""),IF(AND(DF$11&gt;=$H127,DF$11&lt;=$I127),1,""))</f>
        <v/>
      </c>
      <c r="DG127" s="448" t="str">
        <f aca="false">IF($G127=0,IF(DG$11=$H127,"◆",""),IF(AND(DG$11&gt;=$H127,DG$11&lt;=$I127),1,""))</f>
        <v/>
      </c>
      <c r="DH127" s="448" t="str">
        <f aca="false">IF($G127=0,IF(DH$11=$H127,"◆",""),IF(AND(DH$11&gt;=$H127,DH$11&lt;=$I127),1,""))</f>
        <v/>
      </c>
      <c r="DI127" s="448" t="str">
        <f aca="false">IF($G127=0,IF(DI$11=$H127,"◆",""),IF(AND(DI$11&gt;=$H127,DI$11&lt;=$I127),1,""))</f>
        <v/>
      </c>
      <c r="DJ127" s="448" t="str">
        <f aca="false">IF($G127=0,IF(DJ$11=$H127,"◆",""),IF(AND(DJ$11&gt;=$H127,DJ$11&lt;=$I127),1,""))</f>
        <v/>
      </c>
      <c r="DK127" s="448" t="str">
        <f aca="false">IF($G127=0,IF(DK$11=$H127,"◆",""),IF(AND(DK$11&gt;=$H127,DK$11&lt;=$I127),1,""))</f>
        <v/>
      </c>
      <c r="DL127" s="448" t="str">
        <f aca="false">IF($G127=0,IF(DL$11=$H127,"◆",""),IF(AND(DL$11&gt;=$H127,DL$11&lt;=$I127),1,""))</f>
        <v/>
      </c>
      <c r="DM127" s="448" t="str">
        <f aca="false">IF($G127=0,IF(DM$11=$H127,"◆",""),IF(AND(DM$11&gt;=$H127,DM$11&lt;=$I127),1,""))</f>
        <v/>
      </c>
      <c r="DN127" s="448" t="str">
        <f aca="false">IF($G127=0,IF(DN$11=$H127,"◆",""),IF(AND(DN$11&gt;=$H127,DN$11&lt;=$I127),1,""))</f>
        <v/>
      </c>
      <c r="DO127" s="448" t="str">
        <f aca="false">IF($G127=0,IF(DO$11=$H127,"◆",""),IF(AND(DO$11&gt;=$H127,DO$11&lt;=$I127),1,""))</f>
        <v/>
      </c>
      <c r="DP127" s="448" t="str">
        <f aca="false">IF($G127=0,IF(DP$11=$H127,"◆",""),IF(AND(DP$11&gt;=$H127,DP$11&lt;=$I127),1,""))</f>
        <v/>
      </c>
      <c r="DQ127" s="448" t="str">
        <f aca="false">IF($G127=0,IF(DQ$11=$H127,"◆",""),IF(AND(DQ$11&gt;=$H127,DQ$11&lt;=$I127),1,""))</f>
        <v/>
      </c>
      <c r="DR127" s="448" t="str">
        <f aca="false">IF($G127=0,IF(DR$11=$H127,"◆",""),IF(AND(DR$11&gt;=$H127,DR$11&lt;=$I127),1,""))</f>
        <v/>
      </c>
      <c r="DS127" s="448" t="str">
        <f aca="false">IF($G127=0,IF(DS$11=$H127,"◆",""),IF(AND(DS$11&gt;=$H127,DS$11&lt;=$I127),1,""))</f>
        <v/>
      </c>
      <c r="DT127" s="448" t="str">
        <f aca="false">IF($G127=0,IF(DT$11=$H127,"◆",""),IF(AND(DT$11&gt;=$H127,DT$11&lt;=$I127),1,""))</f>
        <v/>
      </c>
      <c r="DU127" s="448" t="str">
        <f aca="false">IF($G127=0,IF(DU$11=$H127,"◆",""),IF(AND(DU$11&gt;=$H127,DU$11&lt;=$I127),1,""))</f>
        <v/>
      </c>
      <c r="DV127" s="448" t="str">
        <f aca="false">IF($G127=0,IF(DV$11=$H127,"◆",""),IF(AND(DV$11&gt;=$H127,DV$11&lt;=$I127),1,""))</f>
        <v/>
      </c>
      <c r="DW127" s="448" t="str">
        <f aca="false">IF($G127=0,IF(DW$11=$H127,"◆",""),IF(AND(DW$11&gt;=$H127,DW$11&lt;=$I127),1,""))</f>
        <v/>
      </c>
      <c r="DX127" s="448" t="str">
        <f aca="false">IF($G127=0,IF(DX$11=$H127,"◆",""),IF(AND(DX$11&gt;=$H127,DX$11&lt;=$I127),1,""))</f>
        <v/>
      </c>
      <c r="DY127" s="448" t="str">
        <f aca="false">IF($G127=0,IF(DY$11=$H127,"◆",""),IF(AND(DY$11&gt;=$H127,DY$11&lt;=$I127),1,""))</f>
        <v/>
      </c>
      <c r="DZ127" s="448" t="str">
        <f aca="false">IF($G127=0,IF(DZ$11=$H127,"◆",""),IF(AND(DZ$11&gt;=$H127,DZ$11&lt;=$I127),1,""))</f>
        <v/>
      </c>
      <c r="EA127" s="448" t="str">
        <f aca="false">IF($G127=0,IF(EA$11=$H127,"◆",""),IF(AND(EA$11&gt;=$H127,EA$11&lt;=$I127),1,""))</f>
        <v/>
      </c>
      <c r="EB127" s="448" t="str">
        <f aca="false">IF($G127=0,IF(EB$11=$H127,"◆",""),IF(AND(EB$11&gt;=$H127,EB$11&lt;=$I127),1,""))</f>
        <v/>
      </c>
      <c r="EC127" s="448" t="str">
        <f aca="false">IF($G127=0,IF(EC$11=$H127,"◆",""),IF(AND(EC$11&gt;=$H127,EC$11&lt;=$I127),1,""))</f>
        <v/>
      </c>
      <c r="ED127" s="448" t="str">
        <f aca="false">IF($G127=0,IF(ED$11=$H127,"◆",""),IF(AND(ED$11&gt;=$H127,ED$11&lt;=$I127),1,""))</f>
        <v/>
      </c>
    </row>
    <row r="128" customFormat="false" ht="15" hidden="false" customHeight="true" outlineLevel="0" collapsed="false">
      <c r="A128" s="441" t="s">
        <v>2700</v>
      </c>
      <c r="B128" s="297" t="s">
        <v>2701</v>
      </c>
      <c r="C128" s="442" t="s">
        <v>2702</v>
      </c>
      <c r="D128" s="443" t="s">
        <v>2436</v>
      </c>
      <c r="E128" s="354" t="n">
        <f aca="false">1</f>
        <v>1</v>
      </c>
      <c r="F128" s="352" t="n">
        <v>14</v>
      </c>
      <c r="G128" s="352" t="n">
        <v>18</v>
      </c>
      <c r="H128" s="367" t="n">
        <f aca="false">MAX(1,ROUND(($E128-1)*$D$5,0)+1+$F128)</f>
        <v>15</v>
      </c>
      <c r="I128" s="367" t="n">
        <f aca="false">MAX($H128,$H128+$G128-1)</f>
        <v>32</v>
      </c>
      <c r="J128" s="444" t="n">
        <f aca="false">$D$4+($H128-1)*7</f>
        <v>46398</v>
      </c>
      <c r="K128" s="444" t="n">
        <f aca="false">$D$4+$I128*7-1</f>
        <v>46523</v>
      </c>
      <c r="L128" s="445" t="n">
        <f aca="false">ROUNDUP($H128/$D$5,0)</f>
        <v>4</v>
      </c>
      <c r="M128" s="446"/>
      <c r="N128" s="447" t="n">
        <v>0</v>
      </c>
      <c r="O128" s="448" t="str">
        <f aca="false">IF($G128=0,IF(O$11=$H128,"◆",""),IF(AND(O$11&gt;=$H128,O$11&lt;=$I128),1,""))</f>
        <v/>
      </c>
      <c r="P128" s="448" t="str">
        <f aca="false">IF($G128=0,IF(P$11=$H128,"◆",""),IF(AND(P$11&gt;=$H128,P$11&lt;=$I128),1,""))</f>
        <v/>
      </c>
      <c r="Q128" s="448" t="str">
        <f aca="false">IF($G128=0,IF(Q$11=$H128,"◆",""),IF(AND(Q$11&gt;=$H128,Q$11&lt;=$I128),1,""))</f>
        <v/>
      </c>
      <c r="R128" s="448" t="str">
        <f aca="false">IF($G128=0,IF(R$11=$H128,"◆",""),IF(AND(R$11&gt;=$H128,R$11&lt;=$I128),1,""))</f>
        <v/>
      </c>
      <c r="S128" s="448" t="str">
        <f aca="false">IF($G128=0,IF(S$11=$H128,"◆",""),IF(AND(S$11&gt;=$H128,S$11&lt;=$I128),1,""))</f>
        <v/>
      </c>
      <c r="T128" s="448" t="str">
        <f aca="false">IF($G128=0,IF(T$11=$H128,"◆",""),IF(AND(T$11&gt;=$H128,T$11&lt;=$I128),1,""))</f>
        <v/>
      </c>
      <c r="U128" s="448" t="str">
        <f aca="false">IF($G128=0,IF(U$11=$H128,"◆",""),IF(AND(U$11&gt;=$H128,U$11&lt;=$I128),1,""))</f>
        <v/>
      </c>
      <c r="V128" s="448" t="str">
        <f aca="false">IF($G128=0,IF(V$11=$H128,"◆",""),IF(AND(V$11&gt;=$H128,V$11&lt;=$I128),1,""))</f>
        <v/>
      </c>
      <c r="W128" s="448" t="str">
        <f aca="false">IF($G128=0,IF(W$11=$H128,"◆",""),IF(AND(W$11&gt;=$H128,W$11&lt;=$I128),1,""))</f>
        <v/>
      </c>
      <c r="X128" s="448" t="str">
        <f aca="false">IF($G128=0,IF(X$11=$H128,"◆",""),IF(AND(X$11&gt;=$H128,X$11&lt;=$I128),1,""))</f>
        <v/>
      </c>
      <c r="Y128" s="448" t="str">
        <f aca="false">IF($G128=0,IF(Y$11=$H128,"◆",""),IF(AND(Y$11&gt;=$H128,Y$11&lt;=$I128),1,""))</f>
        <v/>
      </c>
      <c r="Z128" s="448" t="str">
        <f aca="false">IF($G128=0,IF(Z$11=$H128,"◆",""),IF(AND(Z$11&gt;=$H128,Z$11&lt;=$I128),1,""))</f>
        <v/>
      </c>
      <c r="AA128" s="448" t="str">
        <f aca="false">IF($G128=0,IF(AA$11=$H128,"◆",""),IF(AND(AA$11&gt;=$H128,AA$11&lt;=$I128),1,""))</f>
        <v/>
      </c>
      <c r="AB128" s="448" t="str">
        <f aca="false">IF($G128=0,IF(AB$11=$H128,"◆",""),IF(AND(AB$11&gt;=$H128,AB$11&lt;=$I128),1,""))</f>
        <v/>
      </c>
      <c r="AC128" s="448" t="n">
        <f aca="false">IF($G128=0,IF(AC$11=$H128,"◆",""),IF(AND(AC$11&gt;=$H128,AC$11&lt;=$I128),1,""))</f>
        <v>1</v>
      </c>
      <c r="AD128" s="448" t="n">
        <f aca="false">IF($G128=0,IF(AD$11=$H128,"◆",""),IF(AND(AD$11&gt;=$H128,AD$11&lt;=$I128),1,""))</f>
        <v>1</v>
      </c>
      <c r="AE128" s="448" t="n">
        <f aca="false">IF($G128=0,IF(AE$11=$H128,"◆",""),IF(AND(AE$11&gt;=$H128,AE$11&lt;=$I128),1,""))</f>
        <v>1</v>
      </c>
      <c r="AF128" s="448" t="n">
        <f aca="false">IF($G128=0,IF(AF$11=$H128,"◆",""),IF(AND(AF$11&gt;=$H128,AF$11&lt;=$I128),1,""))</f>
        <v>1</v>
      </c>
      <c r="AG128" s="448" t="n">
        <f aca="false">IF($G128=0,IF(AG$11=$H128,"◆",""),IF(AND(AG$11&gt;=$H128,AG$11&lt;=$I128),1,""))</f>
        <v>1</v>
      </c>
      <c r="AH128" s="448" t="n">
        <f aca="false">IF($G128=0,IF(AH$11=$H128,"◆",""),IF(AND(AH$11&gt;=$H128,AH$11&lt;=$I128),1,""))</f>
        <v>1</v>
      </c>
      <c r="AI128" s="448" t="n">
        <f aca="false">IF($G128=0,IF(AI$11=$H128,"◆",""),IF(AND(AI$11&gt;=$H128,AI$11&lt;=$I128),1,""))</f>
        <v>1</v>
      </c>
      <c r="AJ128" s="448" t="n">
        <f aca="false">IF($G128=0,IF(AJ$11=$H128,"◆",""),IF(AND(AJ$11&gt;=$H128,AJ$11&lt;=$I128),1,""))</f>
        <v>1</v>
      </c>
      <c r="AK128" s="448" t="n">
        <f aca="false">IF($G128=0,IF(AK$11=$H128,"◆",""),IF(AND(AK$11&gt;=$H128,AK$11&lt;=$I128),1,""))</f>
        <v>1</v>
      </c>
      <c r="AL128" s="448" t="n">
        <f aca="false">IF($G128=0,IF(AL$11=$H128,"◆",""),IF(AND(AL$11&gt;=$H128,AL$11&lt;=$I128),1,""))</f>
        <v>1</v>
      </c>
      <c r="AM128" s="448" t="n">
        <f aca="false">IF($G128=0,IF(AM$11=$H128,"◆",""),IF(AND(AM$11&gt;=$H128,AM$11&lt;=$I128),1,""))</f>
        <v>1</v>
      </c>
      <c r="AN128" s="448" t="n">
        <f aca="false">IF($G128=0,IF(AN$11=$H128,"◆",""),IF(AND(AN$11&gt;=$H128,AN$11&lt;=$I128),1,""))</f>
        <v>1</v>
      </c>
      <c r="AO128" s="448" t="n">
        <f aca="false">IF($G128=0,IF(AO$11=$H128,"◆",""),IF(AND(AO$11&gt;=$H128,AO$11&lt;=$I128),1,""))</f>
        <v>1</v>
      </c>
      <c r="AP128" s="448" t="n">
        <f aca="false">IF($G128=0,IF(AP$11=$H128,"◆",""),IF(AND(AP$11&gt;=$H128,AP$11&lt;=$I128),1,""))</f>
        <v>1</v>
      </c>
      <c r="AQ128" s="448" t="n">
        <f aca="false">IF($G128=0,IF(AQ$11=$H128,"◆",""),IF(AND(AQ$11&gt;=$H128,AQ$11&lt;=$I128),1,""))</f>
        <v>1</v>
      </c>
      <c r="AR128" s="448" t="n">
        <f aca="false">IF($G128=0,IF(AR$11=$H128,"◆",""),IF(AND(AR$11&gt;=$H128,AR$11&lt;=$I128),1,""))</f>
        <v>1</v>
      </c>
      <c r="AS128" s="448" t="n">
        <f aca="false">IF($G128=0,IF(AS$11=$H128,"◆",""),IF(AND(AS$11&gt;=$H128,AS$11&lt;=$I128),1,""))</f>
        <v>1</v>
      </c>
      <c r="AT128" s="448" t="n">
        <f aca="false">IF($G128=0,IF(AT$11=$H128,"◆",""),IF(AND(AT$11&gt;=$H128,AT$11&lt;=$I128),1,""))</f>
        <v>1</v>
      </c>
      <c r="AU128" s="448" t="str">
        <f aca="false">IF($G128=0,IF(AU$11=$H128,"◆",""),IF(AND(AU$11&gt;=$H128,AU$11&lt;=$I128),1,""))</f>
        <v/>
      </c>
      <c r="AV128" s="448" t="str">
        <f aca="false">IF($G128=0,IF(AV$11=$H128,"◆",""),IF(AND(AV$11&gt;=$H128,AV$11&lt;=$I128),1,""))</f>
        <v/>
      </c>
      <c r="AW128" s="448" t="str">
        <f aca="false">IF($G128=0,IF(AW$11=$H128,"◆",""),IF(AND(AW$11&gt;=$H128,AW$11&lt;=$I128),1,""))</f>
        <v/>
      </c>
      <c r="AX128" s="448" t="str">
        <f aca="false">IF($G128=0,IF(AX$11=$H128,"◆",""),IF(AND(AX$11&gt;=$H128,AX$11&lt;=$I128),1,""))</f>
        <v/>
      </c>
      <c r="AY128" s="448" t="str">
        <f aca="false">IF($G128=0,IF(AY$11=$H128,"◆",""),IF(AND(AY$11&gt;=$H128,AY$11&lt;=$I128),1,""))</f>
        <v/>
      </c>
      <c r="AZ128" s="448" t="str">
        <f aca="false">IF($G128=0,IF(AZ$11=$H128,"◆",""),IF(AND(AZ$11&gt;=$H128,AZ$11&lt;=$I128),1,""))</f>
        <v/>
      </c>
      <c r="BA128" s="448" t="str">
        <f aca="false">IF($G128=0,IF(BA$11=$H128,"◆",""),IF(AND(BA$11&gt;=$H128,BA$11&lt;=$I128),1,""))</f>
        <v/>
      </c>
      <c r="BB128" s="448" t="str">
        <f aca="false">IF($G128=0,IF(BB$11=$H128,"◆",""),IF(AND(BB$11&gt;=$H128,BB$11&lt;=$I128),1,""))</f>
        <v/>
      </c>
      <c r="BC128" s="448" t="str">
        <f aca="false">IF($G128=0,IF(BC$11=$H128,"◆",""),IF(AND(BC$11&gt;=$H128,BC$11&lt;=$I128),1,""))</f>
        <v/>
      </c>
      <c r="BD128" s="448" t="str">
        <f aca="false">IF($G128=0,IF(BD$11=$H128,"◆",""),IF(AND(BD$11&gt;=$H128,BD$11&lt;=$I128),1,""))</f>
        <v/>
      </c>
      <c r="BE128" s="448" t="str">
        <f aca="false">IF($G128=0,IF(BE$11=$H128,"◆",""),IF(AND(BE$11&gt;=$H128,BE$11&lt;=$I128),1,""))</f>
        <v/>
      </c>
      <c r="BF128" s="448" t="str">
        <f aca="false">IF($G128=0,IF(BF$11=$H128,"◆",""),IF(AND(BF$11&gt;=$H128,BF$11&lt;=$I128),1,""))</f>
        <v/>
      </c>
      <c r="BG128" s="448" t="str">
        <f aca="false">IF($G128=0,IF(BG$11=$H128,"◆",""),IF(AND(BG$11&gt;=$H128,BG$11&lt;=$I128),1,""))</f>
        <v/>
      </c>
      <c r="BH128" s="448" t="str">
        <f aca="false">IF($G128=0,IF(BH$11=$H128,"◆",""),IF(AND(BH$11&gt;=$H128,BH$11&lt;=$I128),1,""))</f>
        <v/>
      </c>
      <c r="BI128" s="448" t="str">
        <f aca="false">IF($G128=0,IF(BI$11=$H128,"◆",""),IF(AND(BI$11&gt;=$H128,BI$11&lt;=$I128),1,""))</f>
        <v/>
      </c>
      <c r="BJ128" s="448" t="str">
        <f aca="false">IF($G128=0,IF(BJ$11=$H128,"◆",""),IF(AND(BJ$11&gt;=$H128,BJ$11&lt;=$I128),1,""))</f>
        <v/>
      </c>
      <c r="BK128" s="448" t="str">
        <f aca="false">IF($G128=0,IF(BK$11=$H128,"◆",""),IF(AND(BK$11&gt;=$H128,BK$11&lt;=$I128),1,""))</f>
        <v/>
      </c>
      <c r="BL128" s="448" t="str">
        <f aca="false">IF($G128=0,IF(BL$11=$H128,"◆",""),IF(AND(BL$11&gt;=$H128,BL$11&lt;=$I128),1,""))</f>
        <v/>
      </c>
      <c r="BM128" s="448" t="str">
        <f aca="false">IF($G128=0,IF(BM$11=$H128,"◆",""),IF(AND(BM$11&gt;=$H128,BM$11&lt;=$I128),1,""))</f>
        <v/>
      </c>
      <c r="BN128" s="448" t="str">
        <f aca="false">IF($G128=0,IF(BN$11=$H128,"◆",""),IF(AND(BN$11&gt;=$H128,BN$11&lt;=$I128),1,""))</f>
        <v/>
      </c>
      <c r="BO128" s="448" t="str">
        <f aca="false">IF($G128=0,IF(BO$11=$H128,"◆",""),IF(AND(BO$11&gt;=$H128,BO$11&lt;=$I128),1,""))</f>
        <v/>
      </c>
      <c r="BP128" s="448" t="str">
        <f aca="false">IF($G128=0,IF(BP$11=$H128,"◆",""),IF(AND(BP$11&gt;=$H128,BP$11&lt;=$I128),1,""))</f>
        <v/>
      </c>
      <c r="BQ128" s="448" t="str">
        <f aca="false">IF($G128=0,IF(BQ$11=$H128,"◆",""),IF(AND(BQ$11&gt;=$H128,BQ$11&lt;=$I128),1,""))</f>
        <v/>
      </c>
      <c r="BR128" s="448" t="str">
        <f aca="false">IF($G128=0,IF(BR$11=$H128,"◆",""),IF(AND(BR$11&gt;=$H128,BR$11&lt;=$I128),1,""))</f>
        <v/>
      </c>
      <c r="BS128" s="448" t="str">
        <f aca="false">IF($G128=0,IF(BS$11=$H128,"◆",""),IF(AND(BS$11&gt;=$H128,BS$11&lt;=$I128),1,""))</f>
        <v/>
      </c>
      <c r="BT128" s="448" t="str">
        <f aca="false">IF($G128=0,IF(BT$11=$H128,"◆",""),IF(AND(BT$11&gt;=$H128,BT$11&lt;=$I128),1,""))</f>
        <v/>
      </c>
      <c r="BU128" s="448" t="str">
        <f aca="false">IF($G128=0,IF(BU$11=$H128,"◆",""),IF(AND(BU$11&gt;=$H128,BU$11&lt;=$I128),1,""))</f>
        <v/>
      </c>
      <c r="BV128" s="448" t="str">
        <f aca="false">IF($G128=0,IF(BV$11=$H128,"◆",""),IF(AND(BV$11&gt;=$H128,BV$11&lt;=$I128),1,""))</f>
        <v/>
      </c>
      <c r="BW128" s="448" t="str">
        <f aca="false">IF($G128=0,IF(BW$11=$H128,"◆",""),IF(AND(BW$11&gt;=$H128,BW$11&lt;=$I128),1,""))</f>
        <v/>
      </c>
      <c r="BX128" s="448" t="str">
        <f aca="false">IF($G128=0,IF(BX$11=$H128,"◆",""),IF(AND(BX$11&gt;=$H128,BX$11&lt;=$I128),1,""))</f>
        <v/>
      </c>
      <c r="BY128" s="448" t="str">
        <f aca="false">IF($G128=0,IF(BY$11=$H128,"◆",""),IF(AND(BY$11&gt;=$H128,BY$11&lt;=$I128),1,""))</f>
        <v/>
      </c>
      <c r="BZ128" s="448" t="str">
        <f aca="false">IF($G128=0,IF(BZ$11=$H128,"◆",""),IF(AND(BZ$11&gt;=$H128,BZ$11&lt;=$I128),1,""))</f>
        <v/>
      </c>
      <c r="CA128" s="448" t="str">
        <f aca="false">IF($G128=0,IF(CA$11=$H128,"◆",""),IF(AND(CA$11&gt;=$H128,CA$11&lt;=$I128),1,""))</f>
        <v/>
      </c>
      <c r="CB128" s="448" t="str">
        <f aca="false">IF($G128=0,IF(CB$11=$H128,"◆",""),IF(AND(CB$11&gt;=$H128,CB$11&lt;=$I128),1,""))</f>
        <v/>
      </c>
      <c r="CC128" s="448" t="str">
        <f aca="false">IF($G128=0,IF(CC$11=$H128,"◆",""),IF(AND(CC$11&gt;=$H128,CC$11&lt;=$I128),1,""))</f>
        <v/>
      </c>
      <c r="CD128" s="448" t="str">
        <f aca="false">IF($G128=0,IF(CD$11=$H128,"◆",""),IF(AND(CD$11&gt;=$H128,CD$11&lt;=$I128),1,""))</f>
        <v/>
      </c>
      <c r="CE128" s="448" t="str">
        <f aca="false">IF($G128=0,IF(CE$11=$H128,"◆",""),IF(AND(CE$11&gt;=$H128,CE$11&lt;=$I128),1,""))</f>
        <v/>
      </c>
      <c r="CF128" s="448" t="str">
        <f aca="false">IF($G128=0,IF(CF$11=$H128,"◆",""),IF(AND(CF$11&gt;=$H128,CF$11&lt;=$I128),1,""))</f>
        <v/>
      </c>
      <c r="CG128" s="448" t="str">
        <f aca="false">IF($G128=0,IF(CG$11=$H128,"◆",""),IF(AND(CG$11&gt;=$H128,CG$11&lt;=$I128),1,""))</f>
        <v/>
      </c>
      <c r="CH128" s="448" t="str">
        <f aca="false">IF($G128=0,IF(CH$11=$H128,"◆",""),IF(AND(CH$11&gt;=$H128,CH$11&lt;=$I128),1,""))</f>
        <v/>
      </c>
      <c r="CI128" s="448" t="str">
        <f aca="false">IF($G128=0,IF(CI$11=$H128,"◆",""),IF(AND(CI$11&gt;=$H128,CI$11&lt;=$I128),1,""))</f>
        <v/>
      </c>
      <c r="CJ128" s="448" t="str">
        <f aca="false">IF($G128=0,IF(CJ$11=$H128,"◆",""),IF(AND(CJ$11&gt;=$H128,CJ$11&lt;=$I128),1,""))</f>
        <v/>
      </c>
      <c r="CK128" s="448" t="str">
        <f aca="false">IF($G128=0,IF(CK$11=$H128,"◆",""),IF(AND(CK$11&gt;=$H128,CK$11&lt;=$I128),1,""))</f>
        <v/>
      </c>
      <c r="CL128" s="448" t="str">
        <f aca="false">IF($G128=0,IF(CL$11=$H128,"◆",""),IF(AND(CL$11&gt;=$H128,CL$11&lt;=$I128),1,""))</f>
        <v/>
      </c>
      <c r="CM128" s="448" t="str">
        <f aca="false">IF($G128=0,IF(CM$11=$H128,"◆",""),IF(AND(CM$11&gt;=$H128,CM$11&lt;=$I128),1,""))</f>
        <v/>
      </c>
      <c r="CN128" s="448" t="str">
        <f aca="false">IF($G128=0,IF(CN$11=$H128,"◆",""),IF(AND(CN$11&gt;=$H128,CN$11&lt;=$I128),1,""))</f>
        <v/>
      </c>
      <c r="CO128" s="448" t="str">
        <f aca="false">IF($G128=0,IF(CO$11=$H128,"◆",""),IF(AND(CO$11&gt;=$H128,CO$11&lt;=$I128),1,""))</f>
        <v/>
      </c>
      <c r="CP128" s="448" t="str">
        <f aca="false">IF($G128=0,IF(CP$11=$H128,"◆",""),IF(AND(CP$11&gt;=$H128,CP$11&lt;=$I128),1,""))</f>
        <v/>
      </c>
      <c r="CQ128" s="448" t="str">
        <f aca="false">IF($G128=0,IF(CQ$11=$H128,"◆",""),IF(AND(CQ$11&gt;=$H128,CQ$11&lt;=$I128),1,""))</f>
        <v/>
      </c>
      <c r="CR128" s="448" t="str">
        <f aca="false">IF($G128=0,IF(CR$11=$H128,"◆",""),IF(AND(CR$11&gt;=$H128,CR$11&lt;=$I128),1,""))</f>
        <v/>
      </c>
      <c r="CS128" s="448" t="str">
        <f aca="false">IF($G128=0,IF(CS$11=$H128,"◆",""),IF(AND(CS$11&gt;=$H128,CS$11&lt;=$I128),1,""))</f>
        <v/>
      </c>
      <c r="CT128" s="448" t="str">
        <f aca="false">IF($G128=0,IF(CT$11=$H128,"◆",""),IF(AND(CT$11&gt;=$H128,CT$11&lt;=$I128),1,""))</f>
        <v/>
      </c>
      <c r="CU128" s="448" t="str">
        <f aca="false">IF($G128=0,IF(CU$11=$H128,"◆",""),IF(AND(CU$11&gt;=$H128,CU$11&lt;=$I128),1,""))</f>
        <v/>
      </c>
      <c r="CV128" s="448" t="str">
        <f aca="false">IF($G128=0,IF(CV$11=$H128,"◆",""),IF(AND(CV$11&gt;=$H128,CV$11&lt;=$I128),1,""))</f>
        <v/>
      </c>
      <c r="CW128" s="448" t="str">
        <f aca="false">IF($G128=0,IF(CW$11=$H128,"◆",""),IF(AND(CW$11&gt;=$H128,CW$11&lt;=$I128),1,""))</f>
        <v/>
      </c>
      <c r="CX128" s="448" t="str">
        <f aca="false">IF($G128=0,IF(CX$11=$H128,"◆",""),IF(AND(CX$11&gt;=$H128,CX$11&lt;=$I128),1,""))</f>
        <v/>
      </c>
      <c r="CY128" s="448" t="str">
        <f aca="false">IF($G128=0,IF(CY$11=$H128,"◆",""),IF(AND(CY$11&gt;=$H128,CY$11&lt;=$I128),1,""))</f>
        <v/>
      </c>
      <c r="CZ128" s="448" t="str">
        <f aca="false">IF($G128=0,IF(CZ$11=$H128,"◆",""),IF(AND(CZ$11&gt;=$H128,CZ$11&lt;=$I128),1,""))</f>
        <v/>
      </c>
      <c r="DA128" s="448" t="str">
        <f aca="false">IF($G128=0,IF(DA$11=$H128,"◆",""),IF(AND(DA$11&gt;=$H128,DA$11&lt;=$I128),1,""))</f>
        <v/>
      </c>
      <c r="DB128" s="448" t="str">
        <f aca="false">IF($G128=0,IF(DB$11=$H128,"◆",""),IF(AND(DB$11&gt;=$H128,DB$11&lt;=$I128),1,""))</f>
        <v/>
      </c>
      <c r="DC128" s="448" t="str">
        <f aca="false">IF($G128=0,IF(DC$11=$H128,"◆",""),IF(AND(DC$11&gt;=$H128,DC$11&lt;=$I128),1,""))</f>
        <v/>
      </c>
      <c r="DD128" s="448" t="str">
        <f aca="false">IF($G128=0,IF(DD$11=$H128,"◆",""),IF(AND(DD$11&gt;=$H128,DD$11&lt;=$I128),1,""))</f>
        <v/>
      </c>
      <c r="DE128" s="448" t="str">
        <f aca="false">IF($G128=0,IF(DE$11=$H128,"◆",""),IF(AND(DE$11&gt;=$H128,DE$11&lt;=$I128),1,""))</f>
        <v/>
      </c>
      <c r="DF128" s="448" t="str">
        <f aca="false">IF($G128=0,IF(DF$11=$H128,"◆",""),IF(AND(DF$11&gt;=$H128,DF$11&lt;=$I128),1,""))</f>
        <v/>
      </c>
      <c r="DG128" s="448" t="str">
        <f aca="false">IF($G128=0,IF(DG$11=$H128,"◆",""),IF(AND(DG$11&gt;=$H128,DG$11&lt;=$I128),1,""))</f>
        <v/>
      </c>
      <c r="DH128" s="448" t="str">
        <f aca="false">IF($G128=0,IF(DH$11=$H128,"◆",""),IF(AND(DH$11&gt;=$H128,DH$11&lt;=$I128),1,""))</f>
        <v/>
      </c>
      <c r="DI128" s="448" t="str">
        <f aca="false">IF($G128=0,IF(DI$11=$H128,"◆",""),IF(AND(DI$11&gt;=$H128,DI$11&lt;=$I128),1,""))</f>
        <v/>
      </c>
      <c r="DJ128" s="448" t="str">
        <f aca="false">IF($G128=0,IF(DJ$11=$H128,"◆",""),IF(AND(DJ$11&gt;=$H128,DJ$11&lt;=$I128),1,""))</f>
        <v/>
      </c>
      <c r="DK128" s="448" t="str">
        <f aca="false">IF($G128=0,IF(DK$11=$H128,"◆",""),IF(AND(DK$11&gt;=$H128,DK$11&lt;=$I128),1,""))</f>
        <v/>
      </c>
      <c r="DL128" s="448" t="str">
        <f aca="false">IF($G128=0,IF(DL$11=$H128,"◆",""),IF(AND(DL$11&gt;=$H128,DL$11&lt;=$I128),1,""))</f>
        <v/>
      </c>
      <c r="DM128" s="448" t="str">
        <f aca="false">IF($G128=0,IF(DM$11=$H128,"◆",""),IF(AND(DM$11&gt;=$H128,DM$11&lt;=$I128),1,""))</f>
        <v/>
      </c>
      <c r="DN128" s="448" t="str">
        <f aca="false">IF($G128=0,IF(DN$11=$H128,"◆",""),IF(AND(DN$11&gt;=$H128,DN$11&lt;=$I128),1,""))</f>
        <v/>
      </c>
      <c r="DO128" s="448" t="str">
        <f aca="false">IF($G128=0,IF(DO$11=$H128,"◆",""),IF(AND(DO$11&gt;=$H128,DO$11&lt;=$I128),1,""))</f>
        <v/>
      </c>
      <c r="DP128" s="448" t="str">
        <f aca="false">IF($G128=0,IF(DP$11=$H128,"◆",""),IF(AND(DP$11&gt;=$H128,DP$11&lt;=$I128),1,""))</f>
        <v/>
      </c>
      <c r="DQ128" s="448" t="str">
        <f aca="false">IF($G128=0,IF(DQ$11=$H128,"◆",""),IF(AND(DQ$11&gt;=$H128,DQ$11&lt;=$I128),1,""))</f>
        <v/>
      </c>
      <c r="DR128" s="448" t="str">
        <f aca="false">IF($G128=0,IF(DR$11=$H128,"◆",""),IF(AND(DR$11&gt;=$H128,DR$11&lt;=$I128),1,""))</f>
        <v/>
      </c>
      <c r="DS128" s="448" t="str">
        <f aca="false">IF($G128=0,IF(DS$11=$H128,"◆",""),IF(AND(DS$11&gt;=$H128,DS$11&lt;=$I128),1,""))</f>
        <v/>
      </c>
      <c r="DT128" s="448" t="str">
        <f aca="false">IF($G128=0,IF(DT$11=$H128,"◆",""),IF(AND(DT$11&gt;=$H128,DT$11&lt;=$I128),1,""))</f>
        <v/>
      </c>
      <c r="DU128" s="448" t="str">
        <f aca="false">IF($G128=0,IF(DU$11=$H128,"◆",""),IF(AND(DU$11&gt;=$H128,DU$11&lt;=$I128),1,""))</f>
        <v/>
      </c>
      <c r="DV128" s="448" t="str">
        <f aca="false">IF($G128=0,IF(DV$11=$H128,"◆",""),IF(AND(DV$11&gt;=$H128,DV$11&lt;=$I128),1,""))</f>
        <v/>
      </c>
      <c r="DW128" s="448" t="str">
        <f aca="false">IF($G128=0,IF(DW$11=$H128,"◆",""),IF(AND(DW$11&gt;=$H128,DW$11&lt;=$I128),1,""))</f>
        <v/>
      </c>
      <c r="DX128" s="448" t="str">
        <f aca="false">IF($G128=0,IF(DX$11=$H128,"◆",""),IF(AND(DX$11&gt;=$H128,DX$11&lt;=$I128),1,""))</f>
        <v/>
      </c>
      <c r="DY128" s="448" t="str">
        <f aca="false">IF($G128=0,IF(DY$11=$H128,"◆",""),IF(AND(DY$11&gt;=$H128,DY$11&lt;=$I128),1,""))</f>
        <v/>
      </c>
      <c r="DZ128" s="448" t="str">
        <f aca="false">IF($G128=0,IF(DZ$11=$H128,"◆",""),IF(AND(DZ$11&gt;=$H128,DZ$11&lt;=$I128),1,""))</f>
        <v/>
      </c>
      <c r="EA128" s="448" t="str">
        <f aca="false">IF($G128=0,IF(EA$11=$H128,"◆",""),IF(AND(EA$11&gt;=$H128,EA$11&lt;=$I128),1,""))</f>
        <v/>
      </c>
      <c r="EB128" s="448" t="str">
        <f aca="false">IF($G128=0,IF(EB$11=$H128,"◆",""),IF(AND(EB$11&gt;=$H128,EB$11&lt;=$I128),1,""))</f>
        <v/>
      </c>
      <c r="EC128" s="448" t="str">
        <f aca="false">IF($G128=0,IF(EC$11=$H128,"◆",""),IF(AND(EC$11&gt;=$H128,EC$11&lt;=$I128),1,""))</f>
        <v/>
      </c>
      <c r="ED128" s="448" t="str">
        <f aca="false">IF($G128=0,IF(ED$11=$H128,"◆",""),IF(AND(ED$11&gt;=$H128,ED$11&lt;=$I128),1,""))</f>
        <v/>
      </c>
    </row>
    <row r="129" customFormat="false" ht="15" hidden="false" customHeight="true" outlineLevel="0" collapsed="false">
      <c r="A129" s="441" t="s">
        <v>2703</v>
      </c>
      <c r="B129" s="297" t="s">
        <v>2704</v>
      </c>
      <c r="C129" s="442" t="s">
        <v>2435</v>
      </c>
      <c r="D129" s="443" t="s">
        <v>2634</v>
      </c>
      <c r="E129" s="354" t="n">
        <f aca="false">FC_SUPUESTOS!$C$40</f>
        <v>10</v>
      </c>
      <c r="F129" s="352" t="n">
        <v>-10</v>
      </c>
      <c r="G129" s="352" t="n">
        <v>8</v>
      </c>
      <c r="H129" s="367" t="n">
        <f aca="false">MAX(1,ROUND(($E129-1)*$D$5,0)+1+$F129)</f>
        <v>30</v>
      </c>
      <c r="I129" s="367" t="n">
        <f aca="false">MAX($H129,$H129+$G129-1)</f>
        <v>37</v>
      </c>
      <c r="J129" s="444" t="n">
        <f aca="false">$D$4+($H129-1)*7</f>
        <v>46503</v>
      </c>
      <c r="K129" s="444" t="n">
        <f aca="false">$D$4+$I129*7-1</f>
        <v>46558</v>
      </c>
      <c r="L129" s="445" t="n">
        <f aca="false">ROUNDUP($H129/$D$5,0)</f>
        <v>7</v>
      </c>
      <c r="M129" s="446"/>
      <c r="N129" s="447" t="n">
        <v>0</v>
      </c>
      <c r="O129" s="448" t="str">
        <f aca="false">IF($G129=0,IF(O$11=$H129,"◆",""),IF(AND(O$11&gt;=$H129,O$11&lt;=$I129),1,""))</f>
        <v/>
      </c>
      <c r="P129" s="448" t="str">
        <f aca="false">IF($G129=0,IF(P$11=$H129,"◆",""),IF(AND(P$11&gt;=$H129,P$11&lt;=$I129),1,""))</f>
        <v/>
      </c>
      <c r="Q129" s="448" t="str">
        <f aca="false">IF($G129=0,IF(Q$11=$H129,"◆",""),IF(AND(Q$11&gt;=$H129,Q$11&lt;=$I129),1,""))</f>
        <v/>
      </c>
      <c r="R129" s="448" t="str">
        <f aca="false">IF($G129=0,IF(R$11=$H129,"◆",""),IF(AND(R$11&gt;=$H129,R$11&lt;=$I129),1,""))</f>
        <v/>
      </c>
      <c r="S129" s="448" t="str">
        <f aca="false">IF($G129=0,IF(S$11=$H129,"◆",""),IF(AND(S$11&gt;=$H129,S$11&lt;=$I129),1,""))</f>
        <v/>
      </c>
      <c r="T129" s="448" t="str">
        <f aca="false">IF($G129=0,IF(T$11=$H129,"◆",""),IF(AND(T$11&gt;=$H129,T$11&lt;=$I129),1,""))</f>
        <v/>
      </c>
      <c r="U129" s="448" t="str">
        <f aca="false">IF($G129=0,IF(U$11=$H129,"◆",""),IF(AND(U$11&gt;=$H129,U$11&lt;=$I129),1,""))</f>
        <v/>
      </c>
      <c r="V129" s="448" t="str">
        <f aca="false">IF($G129=0,IF(V$11=$H129,"◆",""),IF(AND(V$11&gt;=$H129,V$11&lt;=$I129),1,""))</f>
        <v/>
      </c>
      <c r="W129" s="448" t="str">
        <f aca="false">IF($G129=0,IF(W$11=$H129,"◆",""),IF(AND(W$11&gt;=$H129,W$11&lt;=$I129),1,""))</f>
        <v/>
      </c>
      <c r="X129" s="448" t="str">
        <f aca="false">IF($G129=0,IF(X$11=$H129,"◆",""),IF(AND(X$11&gt;=$H129,X$11&lt;=$I129),1,""))</f>
        <v/>
      </c>
      <c r="Y129" s="448" t="str">
        <f aca="false">IF($G129=0,IF(Y$11=$H129,"◆",""),IF(AND(Y$11&gt;=$H129,Y$11&lt;=$I129),1,""))</f>
        <v/>
      </c>
      <c r="Z129" s="448" t="str">
        <f aca="false">IF($G129=0,IF(Z$11=$H129,"◆",""),IF(AND(Z$11&gt;=$H129,Z$11&lt;=$I129),1,""))</f>
        <v/>
      </c>
      <c r="AA129" s="448" t="str">
        <f aca="false">IF($G129=0,IF(AA$11=$H129,"◆",""),IF(AND(AA$11&gt;=$H129,AA$11&lt;=$I129),1,""))</f>
        <v/>
      </c>
      <c r="AB129" s="448" t="str">
        <f aca="false">IF($G129=0,IF(AB$11=$H129,"◆",""),IF(AND(AB$11&gt;=$H129,AB$11&lt;=$I129),1,""))</f>
        <v/>
      </c>
      <c r="AC129" s="448" t="str">
        <f aca="false">IF($G129=0,IF(AC$11=$H129,"◆",""),IF(AND(AC$11&gt;=$H129,AC$11&lt;=$I129),1,""))</f>
        <v/>
      </c>
      <c r="AD129" s="448" t="str">
        <f aca="false">IF($G129=0,IF(AD$11=$H129,"◆",""),IF(AND(AD$11&gt;=$H129,AD$11&lt;=$I129),1,""))</f>
        <v/>
      </c>
      <c r="AE129" s="448" t="str">
        <f aca="false">IF($G129=0,IF(AE$11=$H129,"◆",""),IF(AND(AE$11&gt;=$H129,AE$11&lt;=$I129),1,""))</f>
        <v/>
      </c>
      <c r="AF129" s="448" t="str">
        <f aca="false">IF($G129=0,IF(AF$11=$H129,"◆",""),IF(AND(AF$11&gt;=$H129,AF$11&lt;=$I129),1,""))</f>
        <v/>
      </c>
      <c r="AG129" s="448" t="str">
        <f aca="false">IF($G129=0,IF(AG$11=$H129,"◆",""),IF(AND(AG$11&gt;=$H129,AG$11&lt;=$I129),1,""))</f>
        <v/>
      </c>
      <c r="AH129" s="448" t="str">
        <f aca="false">IF($G129=0,IF(AH$11=$H129,"◆",""),IF(AND(AH$11&gt;=$H129,AH$11&lt;=$I129),1,""))</f>
        <v/>
      </c>
      <c r="AI129" s="448" t="str">
        <f aca="false">IF($G129=0,IF(AI$11=$H129,"◆",""),IF(AND(AI$11&gt;=$H129,AI$11&lt;=$I129),1,""))</f>
        <v/>
      </c>
      <c r="AJ129" s="448" t="str">
        <f aca="false">IF($G129=0,IF(AJ$11=$H129,"◆",""),IF(AND(AJ$11&gt;=$H129,AJ$11&lt;=$I129),1,""))</f>
        <v/>
      </c>
      <c r="AK129" s="448" t="str">
        <f aca="false">IF($G129=0,IF(AK$11=$H129,"◆",""),IF(AND(AK$11&gt;=$H129,AK$11&lt;=$I129),1,""))</f>
        <v/>
      </c>
      <c r="AL129" s="448" t="str">
        <f aca="false">IF($G129=0,IF(AL$11=$H129,"◆",""),IF(AND(AL$11&gt;=$H129,AL$11&lt;=$I129),1,""))</f>
        <v/>
      </c>
      <c r="AM129" s="448" t="str">
        <f aca="false">IF($G129=0,IF(AM$11=$H129,"◆",""),IF(AND(AM$11&gt;=$H129,AM$11&lt;=$I129),1,""))</f>
        <v/>
      </c>
      <c r="AN129" s="448" t="str">
        <f aca="false">IF($G129=0,IF(AN$11=$H129,"◆",""),IF(AND(AN$11&gt;=$H129,AN$11&lt;=$I129),1,""))</f>
        <v/>
      </c>
      <c r="AO129" s="448" t="str">
        <f aca="false">IF($G129=0,IF(AO$11=$H129,"◆",""),IF(AND(AO$11&gt;=$H129,AO$11&lt;=$I129),1,""))</f>
        <v/>
      </c>
      <c r="AP129" s="448" t="str">
        <f aca="false">IF($G129=0,IF(AP$11=$H129,"◆",""),IF(AND(AP$11&gt;=$H129,AP$11&lt;=$I129),1,""))</f>
        <v/>
      </c>
      <c r="AQ129" s="448" t="str">
        <f aca="false">IF($G129=0,IF(AQ$11=$H129,"◆",""),IF(AND(AQ$11&gt;=$H129,AQ$11&lt;=$I129),1,""))</f>
        <v/>
      </c>
      <c r="AR129" s="448" t="n">
        <f aca="false">IF($G129=0,IF(AR$11=$H129,"◆",""),IF(AND(AR$11&gt;=$H129,AR$11&lt;=$I129),1,""))</f>
        <v>1</v>
      </c>
      <c r="AS129" s="448" t="n">
        <f aca="false">IF($G129=0,IF(AS$11=$H129,"◆",""),IF(AND(AS$11&gt;=$H129,AS$11&lt;=$I129),1,""))</f>
        <v>1</v>
      </c>
      <c r="AT129" s="448" t="n">
        <f aca="false">IF($G129=0,IF(AT$11=$H129,"◆",""),IF(AND(AT$11&gt;=$H129,AT$11&lt;=$I129),1,""))</f>
        <v>1</v>
      </c>
      <c r="AU129" s="448" t="n">
        <f aca="false">IF($G129=0,IF(AU$11=$H129,"◆",""),IF(AND(AU$11&gt;=$H129,AU$11&lt;=$I129),1,""))</f>
        <v>1</v>
      </c>
      <c r="AV129" s="448" t="n">
        <f aca="false">IF($G129=0,IF(AV$11=$H129,"◆",""),IF(AND(AV$11&gt;=$H129,AV$11&lt;=$I129),1,""))</f>
        <v>1</v>
      </c>
      <c r="AW129" s="448" t="n">
        <f aca="false">IF($G129=0,IF(AW$11=$H129,"◆",""),IF(AND(AW$11&gt;=$H129,AW$11&lt;=$I129),1,""))</f>
        <v>1</v>
      </c>
      <c r="AX129" s="448" t="n">
        <f aca="false">IF($G129=0,IF(AX$11=$H129,"◆",""),IF(AND(AX$11&gt;=$H129,AX$11&lt;=$I129),1,""))</f>
        <v>1</v>
      </c>
      <c r="AY129" s="448" t="n">
        <f aca="false">IF($G129=0,IF(AY$11=$H129,"◆",""),IF(AND(AY$11&gt;=$H129,AY$11&lt;=$I129),1,""))</f>
        <v>1</v>
      </c>
      <c r="AZ129" s="448" t="str">
        <f aca="false">IF($G129=0,IF(AZ$11=$H129,"◆",""),IF(AND(AZ$11&gt;=$H129,AZ$11&lt;=$I129),1,""))</f>
        <v/>
      </c>
      <c r="BA129" s="448" t="str">
        <f aca="false">IF($G129=0,IF(BA$11=$H129,"◆",""),IF(AND(BA$11&gt;=$H129,BA$11&lt;=$I129),1,""))</f>
        <v/>
      </c>
      <c r="BB129" s="448" t="str">
        <f aca="false">IF($G129=0,IF(BB$11=$H129,"◆",""),IF(AND(BB$11&gt;=$H129,BB$11&lt;=$I129),1,""))</f>
        <v/>
      </c>
      <c r="BC129" s="448" t="str">
        <f aca="false">IF($G129=0,IF(BC$11=$H129,"◆",""),IF(AND(BC$11&gt;=$H129,BC$11&lt;=$I129),1,""))</f>
        <v/>
      </c>
      <c r="BD129" s="448" t="str">
        <f aca="false">IF($G129=0,IF(BD$11=$H129,"◆",""),IF(AND(BD$11&gt;=$H129,BD$11&lt;=$I129),1,""))</f>
        <v/>
      </c>
      <c r="BE129" s="448" t="str">
        <f aca="false">IF($G129=0,IF(BE$11=$H129,"◆",""),IF(AND(BE$11&gt;=$H129,BE$11&lt;=$I129),1,""))</f>
        <v/>
      </c>
      <c r="BF129" s="448" t="str">
        <f aca="false">IF($G129=0,IF(BF$11=$H129,"◆",""),IF(AND(BF$11&gt;=$H129,BF$11&lt;=$I129),1,""))</f>
        <v/>
      </c>
      <c r="BG129" s="448" t="str">
        <f aca="false">IF($G129=0,IF(BG$11=$H129,"◆",""),IF(AND(BG$11&gt;=$H129,BG$11&lt;=$I129),1,""))</f>
        <v/>
      </c>
      <c r="BH129" s="448" t="str">
        <f aca="false">IF($G129=0,IF(BH$11=$H129,"◆",""),IF(AND(BH$11&gt;=$H129,BH$11&lt;=$I129),1,""))</f>
        <v/>
      </c>
      <c r="BI129" s="448" t="str">
        <f aca="false">IF($G129=0,IF(BI$11=$H129,"◆",""),IF(AND(BI$11&gt;=$H129,BI$11&lt;=$I129),1,""))</f>
        <v/>
      </c>
      <c r="BJ129" s="448" t="str">
        <f aca="false">IF($G129=0,IF(BJ$11=$H129,"◆",""),IF(AND(BJ$11&gt;=$H129,BJ$11&lt;=$I129),1,""))</f>
        <v/>
      </c>
      <c r="BK129" s="448" t="str">
        <f aca="false">IF($G129=0,IF(BK$11=$H129,"◆",""),IF(AND(BK$11&gt;=$H129,BK$11&lt;=$I129),1,""))</f>
        <v/>
      </c>
      <c r="BL129" s="448" t="str">
        <f aca="false">IF($G129=0,IF(BL$11=$H129,"◆",""),IF(AND(BL$11&gt;=$H129,BL$11&lt;=$I129),1,""))</f>
        <v/>
      </c>
      <c r="BM129" s="448" t="str">
        <f aca="false">IF($G129=0,IF(BM$11=$H129,"◆",""),IF(AND(BM$11&gt;=$H129,BM$11&lt;=$I129),1,""))</f>
        <v/>
      </c>
      <c r="BN129" s="448" t="str">
        <f aca="false">IF($G129=0,IF(BN$11=$H129,"◆",""),IF(AND(BN$11&gt;=$H129,BN$11&lt;=$I129),1,""))</f>
        <v/>
      </c>
      <c r="BO129" s="448" t="str">
        <f aca="false">IF($G129=0,IF(BO$11=$H129,"◆",""),IF(AND(BO$11&gt;=$H129,BO$11&lt;=$I129),1,""))</f>
        <v/>
      </c>
      <c r="BP129" s="448" t="str">
        <f aca="false">IF($G129=0,IF(BP$11=$H129,"◆",""),IF(AND(BP$11&gt;=$H129,BP$11&lt;=$I129),1,""))</f>
        <v/>
      </c>
      <c r="BQ129" s="448" t="str">
        <f aca="false">IF($G129=0,IF(BQ$11=$H129,"◆",""),IF(AND(BQ$11&gt;=$H129,BQ$11&lt;=$I129),1,""))</f>
        <v/>
      </c>
      <c r="BR129" s="448" t="str">
        <f aca="false">IF($G129=0,IF(BR$11=$H129,"◆",""),IF(AND(BR$11&gt;=$H129,BR$11&lt;=$I129),1,""))</f>
        <v/>
      </c>
      <c r="BS129" s="448" t="str">
        <f aca="false">IF($G129=0,IF(BS$11=$H129,"◆",""),IF(AND(BS$11&gt;=$H129,BS$11&lt;=$I129),1,""))</f>
        <v/>
      </c>
      <c r="BT129" s="448" t="str">
        <f aca="false">IF($G129=0,IF(BT$11=$H129,"◆",""),IF(AND(BT$11&gt;=$H129,BT$11&lt;=$I129),1,""))</f>
        <v/>
      </c>
      <c r="BU129" s="448" t="str">
        <f aca="false">IF($G129=0,IF(BU$11=$H129,"◆",""),IF(AND(BU$11&gt;=$H129,BU$11&lt;=$I129),1,""))</f>
        <v/>
      </c>
      <c r="BV129" s="448" t="str">
        <f aca="false">IF($G129=0,IF(BV$11=$H129,"◆",""),IF(AND(BV$11&gt;=$H129,BV$11&lt;=$I129),1,""))</f>
        <v/>
      </c>
      <c r="BW129" s="448" t="str">
        <f aca="false">IF($G129=0,IF(BW$11=$H129,"◆",""),IF(AND(BW$11&gt;=$H129,BW$11&lt;=$I129),1,""))</f>
        <v/>
      </c>
      <c r="BX129" s="448" t="str">
        <f aca="false">IF($G129=0,IF(BX$11=$H129,"◆",""),IF(AND(BX$11&gt;=$H129,BX$11&lt;=$I129),1,""))</f>
        <v/>
      </c>
      <c r="BY129" s="448" t="str">
        <f aca="false">IF($G129=0,IF(BY$11=$H129,"◆",""),IF(AND(BY$11&gt;=$H129,BY$11&lt;=$I129),1,""))</f>
        <v/>
      </c>
      <c r="BZ129" s="448" t="str">
        <f aca="false">IF($G129=0,IF(BZ$11=$H129,"◆",""),IF(AND(BZ$11&gt;=$H129,BZ$11&lt;=$I129),1,""))</f>
        <v/>
      </c>
      <c r="CA129" s="448" t="str">
        <f aca="false">IF($G129=0,IF(CA$11=$H129,"◆",""),IF(AND(CA$11&gt;=$H129,CA$11&lt;=$I129),1,""))</f>
        <v/>
      </c>
      <c r="CB129" s="448" t="str">
        <f aca="false">IF($G129=0,IF(CB$11=$H129,"◆",""),IF(AND(CB$11&gt;=$H129,CB$11&lt;=$I129),1,""))</f>
        <v/>
      </c>
      <c r="CC129" s="448" t="str">
        <f aca="false">IF($G129=0,IF(CC$11=$H129,"◆",""),IF(AND(CC$11&gt;=$H129,CC$11&lt;=$I129),1,""))</f>
        <v/>
      </c>
      <c r="CD129" s="448" t="str">
        <f aca="false">IF($G129=0,IF(CD$11=$H129,"◆",""),IF(AND(CD$11&gt;=$H129,CD$11&lt;=$I129),1,""))</f>
        <v/>
      </c>
      <c r="CE129" s="448" t="str">
        <f aca="false">IF($G129=0,IF(CE$11=$H129,"◆",""),IF(AND(CE$11&gt;=$H129,CE$11&lt;=$I129),1,""))</f>
        <v/>
      </c>
      <c r="CF129" s="448" t="str">
        <f aca="false">IF($G129=0,IF(CF$11=$H129,"◆",""),IF(AND(CF$11&gt;=$H129,CF$11&lt;=$I129),1,""))</f>
        <v/>
      </c>
      <c r="CG129" s="448" t="str">
        <f aca="false">IF($G129=0,IF(CG$11=$H129,"◆",""),IF(AND(CG$11&gt;=$H129,CG$11&lt;=$I129),1,""))</f>
        <v/>
      </c>
      <c r="CH129" s="448" t="str">
        <f aca="false">IF($G129=0,IF(CH$11=$H129,"◆",""),IF(AND(CH$11&gt;=$H129,CH$11&lt;=$I129),1,""))</f>
        <v/>
      </c>
      <c r="CI129" s="448" t="str">
        <f aca="false">IF($G129=0,IF(CI$11=$H129,"◆",""),IF(AND(CI$11&gt;=$H129,CI$11&lt;=$I129),1,""))</f>
        <v/>
      </c>
      <c r="CJ129" s="448" t="str">
        <f aca="false">IF($G129=0,IF(CJ$11=$H129,"◆",""),IF(AND(CJ$11&gt;=$H129,CJ$11&lt;=$I129),1,""))</f>
        <v/>
      </c>
      <c r="CK129" s="448" t="str">
        <f aca="false">IF($G129=0,IF(CK$11=$H129,"◆",""),IF(AND(CK$11&gt;=$H129,CK$11&lt;=$I129),1,""))</f>
        <v/>
      </c>
      <c r="CL129" s="448" t="str">
        <f aca="false">IF($G129=0,IF(CL$11=$H129,"◆",""),IF(AND(CL$11&gt;=$H129,CL$11&lt;=$I129),1,""))</f>
        <v/>
      </c>
      <c r="CM129" s="448" t="str">
        <f aca="false">IF($G129=0,IF(CM$11=$H129,"◆",""),IF(AND(CM$11&gt;=$H129,CM$11&lt;=$I129),1,""))</f>
        <v/>
      </c>
      <c r="CN129" s="448" t="str">
        <f aca="false">IF($G129=0,IF(CN$11=$H129,"◆",""),IF(AND(CN$11&gt;=$H129,CN$11&lt;=$I129),1,""))</f>
        <v/>
      </c>
      <c r="CO129" s="448" t="str">
        <f aca="false">IF($G129=0,IF(CO$11=$H129,"◆",""),IF(AND(CO$11&gt;=$H129,CO$11&lt;=$I129),1,""))</f>
        <v/>
      </c>
      <c r="CP129" s="448" t="str">
        <f aca="false">IF($G129=0,IF(CP$11=$H129,"◆",""),IF(AND(CP$11&gt;=$H129,CP$11&lt;=$I129),1,""))</f>
        <v/>
      </c>
      <c r="CQ129" s="448" t="str">
        <f aca="false">IF($G129=0,IF(CQ$11=$H129,"◆",""),IF(AND(CQ$11&gt;=$H129,CQ$11&lt;=$I129),1,""))</f>
        <v/>
      </c>
      <c r="CR129" s="448" t="str">
        <f aca="false">IF($G129=0,IF(CR$11=$H129,"◆",""),IF(AND(CR$11&gt;=$H129,CR$11&lt;=$I129),1,""))</f>
        <v/>
      </c>
      <c r="CS129" s="448" t="str">
        <f aca="false">IF($G129=0,IF(CS$11=$H129,"◆",""),IF(AND(CS$11&gt;=$H129,CS$11&lt;=$I129),1,""))</f>
        <v/>
      </c>
      <c r="CT129" s="448" t="str">
        <f aca="false">IF($G129=0,IF(CT$11=$H129,"◆",""),IF(AND(CT$11&gt;=$H129,CT$11&lt;=$I129),1,""))</f>
        <v/>
      </c>
      <c r="CU129" s="448" t="str">
        <f aca="false">IF($G129=0,IF(CU$11=$H129,"◆",""),IF(AND(CU$11&gt;=$H129,CU$11&lt;=$I129),1,""))</f>
        <v/>
      </c>
      <c r="CV129" s="448" t="str">
        <f aca="false">IF($G129=0,IF(CV$11=$H129,"◆",""),IF(AND(CV$11&gt;=$H129,CV$11&lt;=$I129),1,""))</f>
        <v/>
      </c>
      <c r="CW129" s="448" t="str">
        <f aca="false">IF($G129=0,IF(CW$11=$H129,"◆",""),IF(AND(CW$11&gt;=$H129,CW$11&lt;=$I129),1,""))</f>
        <v/>
      </c>
      <c r="CX129" s="448" t="str">
        <f aca="false">IF($G129=0,IF(CX$11=$H129,"◆",""),IF(AND(CX$11&gt;=$H129,CX$11&lt;=$I129),1,""))</f>
        <v/>
      </c>
      <c r="CY129" s="448" t="str">
        <f aca="false">IF($G129=0,IF(CY$11=$H129,"◆",""),IF(AND(CY$11&gt;=$H129,CY$11&lt;=$I129),1,""))</f>
        <v/>
      </c>
      <c r="CZ129" s="448" t="str">
        <f aca="false">IF($G129=0,IF(CZ$11=$H129,"◆",""),IF(AND(CZ$11&gt;=$H129,CZ$11&lt;=$I129),1,""))</f>
        <v/>
      </c>
      <c r="DA129" s="448" t="str">
        <f aca="false">IF($G129=0,IF(DA$11=$H129,"◆",""),IF(AND(DA$11&gt;=$H129,DA$11&lt;=$I129),1,""))</f>
        <v/>
      </c>
      <c r="DB129" s="448" t="str">
        <f aca="false">IF($G129=0,IF(DB$11=$H129,"◆",""),IF(AND(DB$11&gt;=$H129,DB$11&lt;=$I129),1,""))</f>
        <v/>
      </c>
      <c r="DC129" s="448" t="str">
        <f aca="false">IF($G129=0,IF(DC$11=$H129,"◆",""),IF(AND(DC$11&gt;=$H129,DC$11&lt;=$I129),1,""))</f>
        <v/>
      </c>
      <c r="DD129" s="448" t="str">
        <f aca="false">IF($G129=0,IF(DD$11=$H129,"◆",""),IF(AND(DD$11&gt;=$H129,DD$11&lt;=$I129),1,""))</f>
        <v/>
      </c>
      <c r="DE129" s="448" t="str">
        <f aca="false">IF($G129=0,IF(DE$11=$H129,"◆",""),IF(AND(DE$11&gt;=$H129,DE$11&lt;=$I129),1,""))</f>
        <v/>
      </c>
      <c r="DF129" s="448" t="str">
        <f aca="false">IF($G129=0,IF(DF$11=$H129,"◆",""),IF(AND(DF$11&gt;=$H129,DF$11&lt;=$I129),1,""))</f>
        <v/>
      </c>
      <c r="DG129" s="448" t="str">
        <f aca="false">IF($G129=0,IF(DG$11=$H129,"◆",""),IF(AND(DG$11&gt;=$H129,DG$11&lt;=$I129),1,""))</f>
        <v/>
      </c>
      <c r="DH129" s="448" t="str">
        <f aca="false">IF($G129=0,IF(DH$11=$H129,"◆",""),IF(AND(DH$11&gt;=$H129,DH$11&lt;=$I129),1,""))</f>
        <v/>
      </c>
      <c r="DI129" s="448" t="str">
        <f aca="false">IF($G129=0,IF(DI$11=$H129,"◆",""),IF(AND(DI$11&gt;=$H129,DI$11&lt;=$I129),1,""))</f>
        <v/>
      </c>
      <c r="DJ129" s="448" t="str">
        <f aca="false">IF($G129=0,IF(DJ$11=$H129,"◆",""),IF(AND(DJ$11&gt;=$H129,DJ$11&lt;=$I129),1,""))</f>
        <v/>
      </c>
      <c r="DK129" s="448" t="str">
        <f aca="false">IF($G129=0,IF(DK$11=$H129,"◆",""),IF(AND(DK$11&gt;=$H129,DK$11&lt;=$I129),1,""))</f>
        <v/>
      </c>
      <c r="DL129" s="448" t="str">
        <f aca="false">IF($G129=0,IF(DL$11=$H129,"◆",""),IF(AND(DL$11&gt;=$H129,DL$11&lt;=$I129),1,""))</f>
        <v/>
      </c>
      <c r="DM129" s="448" t="str">
        <f aca="false">IF($G129=0,IF(DM$11=$H129,"◆",""),IF(AND(DM$11&gt;=$H129,DM$11&lt;=$I129),1,""))</f>
        <v/>
      </c>
      <c r="DN129" s="448" t="str">
        <f aca="false">IF($G129=0,IF(DN$11=$H129,"◆",""),IF(AND(DN$11&gt;=$H129,DN$11&lt;=$I129),1,""))</f>
        <v/>
      </c>
      <c r="DO129" s="448" t="str">
        <f aca="false">IF($G129=0,IF(DO$11=$H129,"◆",""),IF(AND(DO$11&gt;=$H129,DO$11&lt;=$I129),1,""))</f>
        <v/>
      </c>
      <c r="DP129" s="448" t="str">
        <f aca="false">IF($G129=0,IF(DP$11=$H129,"◆",""),IF(AND(DP$11&gt;=$H129,DP$11&lt;=$I129),1,""))</f>
        <v/>
      </c>
      <c r="DQ129" s="448" t="str">
        <f aca="false">IF($G129=0,IF(DQ$11=$H129,"◆",""),IF(AND(DQ$11&gt;=$H129,DQ$11&lt;=$I129),1,""))</f>
        <v/>
      </c>
      <c r="DR129" s="448" t="str">
        <f aca="false">IF($G129=0,IF(DR$11=$H129,"◆",""),IF(AND(DR$11&gt;=$H129,DR$11&lt;=$I129),1,""))</f>
        <v/>
      </c>
      <c r="DS129" s="448" t="str">
        <f aca="false">IF($G129=0,IF(DS$11=$H129,"◆",""),IF(AND(DS$11&gt;=$H129,DS$11&lt;=$I129),1,""))</f>
        <v/>
      </c>
      <c r="DT129" s="448" t="str">
        <f aca="false">IF($G129=0,IF(DT$11=$H129,"◆",""),IF(AND(DT$11&gt;=$H129,DT$11&lt;=$I129),1,""))</f>
        <v/>
      </c>
      <c r="DU129" s="448" t="str">
        <f aca="false">IF($G129=0,IF(DU$11=$H129,"◆",""),IF(AND(DU$11&gt;=$H129,DU$11&lt;=$I129),1,""))</f>
        <v/>
      </c>
      <c r="DV129" s="448" t="str">
        <f aca="false">IF($G129=0,IF(DV$11=$H129,"◆",""),IF(AND(DV$11&gt;=$H129,DV$11&lt;=$I129),1,""))</f>
        <v/>
      </c>
      <c r="DW129" s="448" t="str">
        <f aca="false">IF($G129=0,IF(DW$11=$H129,"◆",""),IF(AND(DW$11&gt;=$H129,DW$11&lt;=$I129),1,""))</f>
        <v/>
      </c>
      <c r="DX129" s="448" t="str">
        <f aca="false">IF($G129=0,IF(DX$11=$H129,"◆",""),IF(AND(DX$11&gt;=$H129,DX$11&lt;=$I129),1,""))</f>
        <v/>
      </c>
      <c r="DY129" s="448" t="str">
        <f aca="false">IF($G129=0,IF(DY$11=$H129,"◆",""),IF(AND(DY$11&gt;=$H129,DY$11&lt;=$I129),1,""))</f>
        <v/>
      </c>
      <c r="DZ129" s="448" t="str">
        <f aca="false">IF($G129=0,IF(DZ$11=$H129,"◆",""),IF(AND(DZ$11&gt;=$H129,DZ$11&lt;=$I129),1,""))</f>
        <v/>
      </c>
      <c r="EA129" s="448" t="str">
        <f aca="false">IF($G129=0,IF(EA$11=$H129,"◆",""),IF(AND(EA$11&gt;=$H129,EA$11&lt;=$I129),1,""))</f>
        <v/>
      </c>
      <c r="EB129" s="448" t="str">
        <f aca="false">IF($G129=0,IF(EB$11=$H129,"◆",""),IF(AND(EB$11&gt;=$H129,EB$11&lt;=$I129),1,""))</f>
        <v/>
      </c>
      <c r="EC129" s="448" t="str">
        <f aca="false">IF($G129=0,IF(EC$11=$H129,"◆",""),IF(AND(EC$11&gt;=$H129,EC$11&lt;=$I129),1,""))</f>
        <v/>
      </c>
      <c r="ED129" s="448" t="str">
        <f aca="false">IF($G129=0,IF(ED$11=$H129,"◆",""),IF(AND(ED$11&gt;=$H129,ED$11&lt;=$I129),1,""))</f>
        <v/>
      </c>
    </row>
    <row r="130" customFormat="false" ht="15" hidden="false" customHeight="true" outlineLevel="0" collapsed="false">
      <c r="A130" s="441" t="s">
        <v>2705</v>
      </c>
      <c r="B130" s="297" t="s">
        <v>2706</v>
      </c>
      <c r="C130" s="442" t="s">
        <v>2435</v>
      </c>
      <c r="D130" s="443" t="s">
        <v>2634</v>
      </c>
      <c r="E130" s="354" t="n">
        <f aca="false">FC_SUPUESTOS!$C$40</f>
        <v>10</v>
      </c>
      <c r="F130" s="352" t="n">
        <v>-2</v>
      </c>
      <c r="G130" s="352" t="n">
        <v>24</v>
      </c>
      <c r="H130" s="367" t="n">
        <f aca="false">MAX(1,ROUND(($E130-1)*$D$5,0)+1+$F130)</f>
        <v>38</v>
      </c>
      <c r="I130" s="367" t="n">
        <f aca="false">MAX($H130,$H130+$G130-1)</f>
        <v>61</v>
      </c>
      <c r="J130" s="444" t="n">
        <f aca="false">$D$4+($H130-1)*7</f>
        <v>46559</v>
      </c>
      <c r="K130" s="444" t="n">
        <f aca="false">$D$4+$I130*7-1</f>
        <v>46726</v>
      </c>
      <c r="L130" s="445" t="n">
        <f aca="false">ROUNDUP($H130/$D$5,0)</f>
        <v>9</v>
      </c>
      <c r="M130" s="446"/>
      <c r="N130" s="447" t="n">
        <v>0</v>
      </c>
      <c r="O130" s="448" t="str">
        <f aca="false">IF($G130=0,IF(O$11=$H130,"◆",""),IF(AND(O$11&gt;=$H130,O$11&lt;=$I130),1,""))</f>
        <v/>
      </c>
      <c r="P130" s="448" t="str">
        <f aca="false">IF($G130=0,IF(P$11=$H130,"◆",""),IF(AND(P$11&gt;=$H130,P$11&lt;=$I130),1,""))</f>
        <v/>
      </c>
      <c r="Q130" s="448" t="str">
        <f aca="false">IF($G130=0,IF(Q$11=$H130,"◆",""),IF(AND(Q$11&gt;=$H130,Q$11&lt;=$I130),1,""))</f>
        <v/>
      </c>
      <c r="R130" s="448" t="str">
        <f aca="false">IF($G130=0,IF(R$11=$H130,"◆",""),IF(AND(R$11&gt;=$H130,R$11&lt;=$I130),1,""))</f>
        <v/>
      </c>
      <c r="S130" s="448" t="str">
        <f aca="false">IF($G130=0,IF(S$11=$H130,"◆",""),IF(AND(S$11&gt;=$H130,S$11&lt;=$I130),1,""))</f>
        <v/>
      </c>
      <c r="T130" s="448" t="str">
        <f aca="false">IF($G130=0,IF(T$11=$H130,"◆",""),IF(AND(T$11&gt;=$H130,T$11&lt;=$I130),1,""))</f>
        <v/>
      </c>
      <c r="U130" s="448" t="str">
        <f aca="false">IF($G130=0,IF(U$11=$H130,"◆",""),IF(AND(U$11&gt;=$H130,U$11&lt;=$I130),1,""))</f>
        <v/>
      </c>
      <c r="V130" s="448" t="str">
        <f aca="false">IF($G130=0,IF(V$11=$H130,"◆",""),IF(AND(V$11&gt;=$H130,V$11&lt;=$I130),1,""))</f>
        <v/>
      </c>
      <c r="W130" s="448" t="str">
        <f aca="false">IF($G130=0,IF(W$11=$H130,"◆",""),IF(AND(W$11&gt;=$H130,W$11&lt;=$I130),1,""))</f>
        <v/>
      </c>
      <c r="X130" s="448" t="str">
        <f aca="false">IF($G130=0,IF(X$11=$H130,"◆",""),IF(AND(X$11&gt;=$H130,X$11&lt;=$I130),1,""))</f>
        <v/>
      </c>
      <c r="Y130" s="448" t="str">
        <f aca="false">IF($G130=0,IF(Y$11=$H130,"◆",""),IF(AND(Y$11&gt;=$H130,Y$11&lt;=$I130),1,""))</f>
        <v/>
      </c>
      <c r="Z130" s="448" t="str">
        <f aca="false">IF($G130=0,IF(Z$11=$H130,"◆",""),IF(AND(Z$11&gt;=$H130,Z$11&lt;=$I130),1,""))</f>
        <v/>
      </c>
      <c r="AA130" s="448" t="str">
        <f aca="false">IF($G130=0,IF(AA$11=$H130,"◆",""),IF(AND(AA$11&gt;=$H130,AA$11&lt;=$I130),1,""))</f>
        <v/>
      </c>
      <c r="AB130" s="448" t="str">
        <f aca="false">IF($G130=0,IF(AB$11=$H130,"◆",""),IF(AND(AB$11&gt;=$H130,AB$11&lt;=$I130),1,""))</f>
        <v/>
      </c>
      <c r="AC130" s="448" t="str">
        <f aca="false">IF($G130=0,IF(AC$11=$H130,"◆",""),IF(AND(AC$11&gt;=$H130,AC$11&lt;=$I130),1,""))</f>
        <v/>
      </c>
      <c r="AD130" s="448" t="str">
        <f aca="false">IF($G130=0,IF(AD$11=$H130,"◆",""),IF(AND(AD$11&gt;=$H130,AD$11&lt;=$I130),1,""))</f>
        <v/>
      </c>
      <c r="AE130" s="448" t="str">
        <f aca="false">IF($G130=0,IF(AE$11=$H130,"◆",""),IF(AND(AE$11&gt;=$H130,AE$11&lt;=$I130),1,""))</f>
        <v/>
      </c>
      <c r="AF130" s="448" t="str">
        <f aca="false">IF($G130=0,IF(AF$11=$H130,"◆",""),IF(AND(AF$11&gt;=$H130,AF$11&lt;=$I130),1,""))</f>
        <v/>
      </c>
      <c r="AG130" s="448" t="str">
        <f aca="false">IF($G130=0,IF(AG$11=$H130,"◆",""),IF(AND(AG$11&gt;=$H130,AG$11&lt;=$I130),1,""))</f>
        <v/>
      </c>
      <c r="AH130" s="448" t="str">
        <f aca="false">IF($G130=0,IF(AH$11=$H130,"◆",""),IF(AND(AH$11&gt;=$H130,AH$11&lt;=$I130),1,""))</f>
        <v/>
      </c>
      <c r="AI130" s="448" t="str">
        <f aca="false">IF($G130=0,IF(AI$11=$H130,"◆",""),IF(AND(AI$11&gt;=$H130,AI$11&lt;=$I130),1,""))</f>
        <v/>
      </c>
      <c r="AJ130" s="448" t="str">
        <f aca="false">IF($G130=0,IF(AJ$11=$H130,"◆",""),IF(AND(AJ$11&gt;=$H130,AJ$11&lt;=$I130),1,""))</f>
        <v/>
      </c>
      <c r="AK130" s="448" t="str">
        <f aca="false">IF($G130=0,IF(AK$11=$H130,"◆",""),IF(AND(AK$11&gt;=$H130,AK$11&lt;=$I130),1,""))</f>
        <v/>
      </c>
      <c r="AL130" s="448" t="str">
        <f aca="false">IF($G130=0,IF(AL$11=$H130,"◆",""),IF(AND(AL$11&gt;=$H130,AL$11&lt;=$I130),1,""))</f>
        <v/>
      </c>
      <c r="AM130" s="448" t="str">
        <f aca="false">IF($G130=0,IF(AM$11=$H130,"◆",""),IF(AND(AM$11&gt;=$H130,AM$11&lt;=$I130),1,""))</f>
        <v/>
      </c>
      <c r="AN130" s="448" t="str">
        <f aca="false">IF($G130=0,IF(AN$11=$H130,"◆",""),IF(AND(AN$11&gt;=$H130,AN$11&lt;=$I130),1,""))</f>
        <v/>
      </c>
      <c r="AO130" s="448" t="str">
        <f aca="false">IF($G130=0,IF(AO$11=$H130,"◆",""),IF(AND(AO$11&gt;=$H130,AO$11&lt;=$I130),1,""))</f>
        <v/>
      </c>
      <c r="AP130" s="448" t="str">
        <f aca="false">IF($G130=0,IF(AP$11=$H130,"◆",""),IF(AND(AP$11&gt;=$H130,AP$11&lt;=$I130),1,""))</f>
        <v/>
      </c>
      <c r="AQ130" s="448" t="str">
        <f aca="false">IF($G130=0,IF(AQ$11=$H130,"◆",""),IF(AND(AQ$11&gt;=$H130,AQ$11&lt;=$I130),1,""))</f>
        <v/>
      </c>
      <c r="AR130" s="448" t="str">
        <f aca="false">IF($G130=0,IF(AR$11=$H130,"◆",""),IF(AND(AR$11&gt;=$H130,AR$11&lt;=$I130),1,""))</f>
        <v/>
      </c>
      <c r="AS130" s="448" t="str">
        <f aca="false">IF($G130=0,IF(AS$11=$H130,"◆",""),IF(AND(AS$11&gt;=$H130,AS$11&lt;=$I130),1,""))</f>
        <v/>
      </c>
      <c r="AT130" s="448" t="str">
        <f aca="false">IF($G130=0,IF(AT$11=$H130,"◆",""),IF(AND(AT$11&gt;=$H130,AT$11&lt;=$I130),1,""))</f>
        <v/>
      </c>
      <c r="AU130" s="448" t="str">
        <f aca="false">IF($G130=0,IF(AU$11=$H130,"◆",""),IF(AND(AU$11&gt;=$H130,AU$11&lt;=$I130),1,""))</f>
        <v/>
      </c>
      <c r="AV130" s="448" t="str">
        <f aca="false">IF($G130=0,IF(AV$11=$H130,"◆",""),IF(AND(AV$11&gt;=$H130,AV$11&lt;=$I130),1,""))</f>
        <v/>
      </c>
      <c r="AW130" s="448" t="str">
        <f aca="false">IF($G130=0,IF(AW$11=$H130,"◆",""),IF(AND(AW$11&gt;=$H130,AW$11&lt;=$I130),1,""))</f>
        <v/>
      </c>
      <c r="AX130" s="448" t="str">
        <f aca="false">IF($G130=0,IF(AX$11=$H130,"◆",""),IF(AND(AX$11&gt;=$H130,AX$11&lt;=$I130),1,""))</f>
        <v/>
      </c>
      <c r="AY130" s="448" t="str">
        <f aca="false">IF($G130=0,IF(AY$11=$H130,"◆",""),IF(AND(AY$11&gt;=$H130,AY$11&lt;=$I130),1,""))</f>
        <v/>
      </c>
      <c r="AZ130" s="448" t="n">
        <f aca="false">IF($G130=0,IF(AZ$11=$H130,"◆",""),IF(AND(AZ$11&gt;=$H130,AZ$11&lt;=$I130),1,""))</f>
        <v>1</v>
      </c>
      <c r="BA130" s="448" t="n">
        <f aca="false">IF($G130=0,IF(BA$11=$H130,"◆",""),IF(AND(BA$11&gt;=$H130,BA$11&lt;=$I130),1,""))</f>
        <v>1</v>
      </c>
      <c r="BB130" s="448" t="n">
        <f aca="false">IF($G130=0,IF(BB$11=$H130,"◆",""),IF(AND(BB$11&gt;=$H130,BB$11&lt;=$I130),1,""))</f>
        <v>1</v>
      </c>
      <c r="BC130" s="448" t="n">
        <f aca="false">IF($G130=0,IF(BC$11=$H130,"◆",""),IF(AND(BC$11&gt;=$H130,BC$11&lt;=$I130),1,""))</f>
        <v>1</v>
      </c>
      <c r="BD130" s="448" t="n">
        <f aca="false">IF($G130=0,IF(BD$11=$H130,"◆",""),IF(AND(BD$11&gt;=$H130,BD$11&lt;=$I130),1,""))</f>
        <v>1</v>
      </c>
      <c r="BE130" s="448" t="n">
        <f aca="false">IF($G130=0,IF(BE$11=$H130,"◆",""),IF(AND(BE$11&gt;=$H130,BE$11&lt;=$I130),1,""))</f>
        <v>1</v>
      </c>
      <c r="BF130" s="448" t="n">
        <f aca="false">IF($G130=0,IF(BF$11=$H130,"◆",""),IF(AND(BF$11&gt;=$H130,BF$11&lt;=$I130),1,""))</f>
        <v>1</v>
      </c>
      <c r="BG130" s="448" t="n">
        <f aca="false">IF($G130=0,IF(BG$11=$H130,"◆",""),IF(AND(BG$11&gt;=$H130,BG$11&lt;=$I130),1,""))</f>
        <v>1</v>
      </c>
      <c r="BH130" s="448" t="n">
        <f aca="false">IF($G130=0,IF(BH$11=$H130,"◆",""),IF(AND(BH$11&gt;=$H130,BH$11&lt;=$I130),1,""))</f>
        <v>1</v>
      </c>
      <c r="BI130" s="448" t="n">
        <f aca="false">IF($G130=0,IF(BI$11=$H130,"◆",""),IF(AND(BI$11&gt;=$H130,BI$11&lt;=$I130),1,""))</f>
        <v>1</v>
      </c>
      <c r="BJ130" s="448" t="n">
        <f aca="false">IF($G130=0,IF(BJ$11=$H130,"◆",""),IF(AND(BJ$11&gt;=$H130,BJ$11&lt;=$I130),1,""))</f>
        <v>1</v>
      </c>
      <c r="BK130" s="448" t="n">
        <f aca="false">IF($G130=0,IF(BK$11=$H130,"◆",""),IF(AND(BK$11&gt;=$H130,BK$11&lt;=$I130),1,""))</f>
        <v>1</v>
      </c>
      <c r="BL130" s="448" t="n">
        <f aca="false">IF($G130=0,IF(BL$11=$H130,"◆",""),IF(AND(BL$11&gt;=$H130,BL$11&lt;=$I130),1,""))</f>
        <v>1</v>
      </c>
      <c r="BM130" s="448" t="n">
        <f aca="false">IF($G130=0,IF(BM$11=$H130,"◆",""),IF(AND(BM$11&gt;=$H130,BM$11&lt;=$I130),1,""))</f>
        <v>1</v>
      </c>
      <c r="BN130" s="448" t="n">
        <f aca="false">IF($G130=0,IF(BN$11=$H130,"◆",""),IF(AND(BN$11&gt;=$H130,BN$11&lt;=$I130),1,""))</f>
        <v>1</v>
      </c>
      <c r="BO130" s="448" t="n">
        <f aca="false">IF($G130=0,IF(BO$11=$H130,"◆",""),IF(AND(BO$11&gt;=$H130,BO$11&lt;=$I130),1,""))</f>
        <v>1</v>
      </c>
      <c r="BP130" s="448" t="n">
        <f aca="false">IF($G130=0,IF(BP$11=$H130,"◆",""),IF(AND(BP$11&gt;=$H130,BP$11&lt;=$I130),1,""))</f>
        <v>1</v>
      </c>
      <c r="BQ130" s="448" t="n">
        <f aca="false">IF($G130=0,IF(BQ$11=$H130,"◆",""),IF(AND(BQ$11&gt;=$H130,BQ$11&lt;=$I130),1,""))</f>
        <v>1</v>
      </c>
      <c r="BR130" s="448" t="n">
        <f aca="false">IF($G130=0,IF(BR$11=$H130,"◆",""),IF(AND(BR$11&gt;=$H130,BR$11&lt;=$I130),1,""))</f>
        <v>1</v>
      </c>
      <c r="BS130" s="448" t="n">
        <f aca="false">IF($G130=0,IF(BS$11=$H130,"◆",""),IF(AND(BS$11&gt;=$H130,BS$11&lt;=$I130),1,""))</f>
        <v>1</v>
      </c>
      <c r="BT130" s="448" t="n">
        <f aca="false">IF($G130=0,IF(BT$11=$H130,"◆",""),IF(AND(BT$11&gt;=$H130,BT$11&lt;=$I130),1,""))</f>
        <v>1</v>
      </c>
      <c r="BU130" s="448" t="n">
        <f aca="false">IF($G130=0,IF(BU$11=$H130,"◆",""),IF(AND(BU$11&gt;=$H130,BU$11&lt;=$I130),1,""))</f>
        <v>1</v>
      </c>
      <c r="BV130" s="448" t="n">
        <f aca="false">IF($G130=0,IF(BV$11=$H130,"◆",""),IF(AND(BV$11&gt;=$H130,BV$11&lt;=$I130),1,""))</f>
        <v>1</v>
      </c>
      <c r="BW130" s="448" t="n">
        <f aca="false">IF($G130=0,IF(BW$11=$H130,"◆",""),IF(AND(BW$11&gt;=$H130,BW$11&lt;=$I130),1,""))</f>
        <v>1</v>
      </c>
      <c r="BX130" s="448" t="str">
        <f aca="false">IF($G130=0,IF(BX$11=$H130,"◆",""),IF(AND(BX$11&gt;=$H130,BX$11&lt;=$I130),1,""))</f>
        <v/>
      </c>
      <c r="BY130" s="448" t="str">
        <f aca="false">IF($G130=0,IF(BY$11=$H130,"◆",""),IF(AND(BY$11&gt;=$H130,BY$11&lt;=$I130),1,""))</f>
        <v/>
      </c>
      <c r="BZ130" s="448" t="str">
        <f aca="false">IF($G130=0,IF(BZ$11=$H130,"◆",""),IF(AND(BZ$11&gt;=$H130,BZ$11&lt;=$I130),1,""))</f>
        <v/>
      </c>
      <c r="CA130" s="448" t="str">
        <f aca="false">IF($G130=0,IF(CA$11=$H130,"◆",""),IF(AND(CA$11&gt;=$H130,CA$11&lt;=$I130),1,""))</f>
        <v/>
      </c>
      <c r="CB130" s="448" t="str">
        <f aca="false">IF($G130=0,IF(CB$11=$H130,"◆",""),IF(AND(CB$11&gt;=$H130,CB$11&lt;=$I130),1,""))</f>
        <v/>
      </c>
      <c r="CC130" s="448" t="str">
        <f aca="false">IF($G130=0,IF(CC$11=$H130,"◆",""),IF(AND(CC$11&gt;=$H130,CC$11&lt;=$I130),1,""))</f>
        <v/>
      </c>
      <c r="CD130" s="448" t="str">
        <f aca="false">IF($G130=0,IF(CD$11=$H130,"◆",""),IF(AND(CD$11&gt;=$H130,CD$11&lt;=$I130),1,""))</f>
        <v/>
      </c>
      <c r="CE130" s="448" t="str">
        <f aca="false">IF($G130=0,IF(CE$11=$H130,"◆",""),IF(AND(CE$11&gt;=$H130,CE$11&lt;=$I130),1,""))</f>
        <v/>
      </c>
      <c r="CF130" s="448" t="str">
        <f aca="false">IF($G130=0,IF(CF$11=$H130,"◆",""),IF(AND(CF$11&gt;=$H130,CF$11&lt;=$I130),1,""))</f>
        <v/>
      </c>
      <c r="CG130" s="448" t="str">
        <f aca="false">IF($G130=0,IF(CG$11=$H130,"◆",""),IF(AND(CG$11&gt;=$H130,CG$11&lt;=$I130),1,""))</f>
        <v/>
      </c>
      <c r="CH130" s="448" t="str">
        <f aca="false">IF($G130=0,IF(CH$11=$H130,"◆",""),IF(AND(CH$11&gt;=$H130,CH$11&lt;=$I130),1,""))</f>
        <v/>
      </c>
      <c r="CI130" s="448" t="str">
        <f aca="false">IF($G130=0,IF(CI$11=$H130,"◆",""),IF(AND(CI$11&gt;=$H130,CI$11&lt;=$I130),1,""))</f>
        <v/>
      </c>
      <c r="CJ130" s="448" t="str">
        <f aca="false">IF($G130=0,IF(CJ$11=$H130,"◆",""),IF(AND(CJ$11&gt;=$H130,CJ$11&lt;=$I130),1,""))</f>
        <v/>
      </c>
      <c r="CK130" s="448" t="str">
        <f aca="false">IF($G130=0,IF(CK$11=$H130,"◆",""),IF(AND(CK$11&gt;=$H130,CK$11&lt;=$I130),1,""))</f>
        <v/>
      </c>
      <c r="CL130" s="448" t="str">
        <f aca="false">IF($G130=0,IF(CL$11=$H130,"◆",""),IF(AND(CL$11&gt;=$H130,CL$11&lt;=$I130),1,""))</f>
        <v/>
      </c>
      <c r="CM130" s="448" t="str">
        <f aca="false">IF($G130=0,IF(CM$11=$H130,"◆",""),IF(AND(CM$11&gt;=$H130,CM$11&lt;=$I130),1,""))</f>
        <v/>
      </c>
      <c r="CN130" s="448" t="str">
        <f aca="false">IF($G130=0,IF(CN$11=$H130,"◆",""),IF(AND(CN$11&gt;=$H130,CN$11&lt;=$I130),1,""))</f>
        <v/>
      </c>
      <c r="CO130" s="448" t="str">
        <f aca="false">IF($G130=0,IF(CO$11=$H130,"◆",""),IF(AND(CO$11&gt;=$H130,CO$11&lt;=$I130),1,""))</f>
        <v/>
      </c>
      <c r="CP130" s="448" t="str">
        <f aca="false">IF($G130=0,IF(CP$11=$H130,"◆",""),IF(AND(CP$11&gt;=$H130,CP$11&lt;=$I130),1,""))</f>
        <v/>
      </c>
      <c r="CQ130" s="448" t="str">
        <f aca="false">IF($G130=0,IF(CQ$11=$H130,"◆",""),IF(AND(CQ$11&gt;=$H130,CQ$11&lt;=$I130),1,""))</f>
        <v/>
      </c>
      <c r="CR130" s="448" t="str">
        <f aca="false">IF($G130=0,IF(CR$11=$H130,"◆",""),IF(AND(CR$11&gt;=$H130,CR$11&lt;=$I130),1,""))</f>
        <v/>
      </c>
      <c r="CS130" s="448" t="str">
        <f aca="false">IF($G130=0,IF(CS$11=$H130,"◆",""),IF(AND(CS$11&gt;=$H130,CS$11&lt;=$I130),1,""))</f>
        <v/>
      </c>
      <c r="CT130" s="448" t="str">
        <f aca="false">IF($G130=0,IF(CT$11=$H130,"◆",""),IF(AND(CT$11&gt;=$H130,CT$11&lt;=$I130),1,""))</f>
        <v/>
      </c>
      <c r="CU130" s="448" t="str">
        <f aca="false">IF($G130=0,IF(CU$11=$H130,"◆",""),IF(AND(CU$11&gt;=$H130,CU$11&lt;=$I130),1,""))</f>
        <v/>
      </c>
      <c r="CV130" s="448" t="str">
        <f aca="false">IF($G130=0,IF(CV$11=$H130,"◆",""),IF(AND(CV$11&gt;=$H130,CV$11&lt;=$I130),1,""))</f>
        <v/>
      </c>
      <c r="CW130" s="448" t="str">
        <f aca="false">IF($G130=0,IF(CW$11=$H130,"◆",""),IF(AND(CW$11&gt;=$H130,CW$11&lt;=$I130),1,""))</f>
        <v/>
      </c>
      <c r="CX130" s="448" t="str">
        <f aca="false">IF($G130=0,IF(CX$11=$H130,"◆",""),IF(AND(CX$11&gt;=$H130,CX$11&lt;=$I130),1,""))</f>
        <v/>
      </c>
      <c r="CY130" s="448" t="str">
        <f aca="false">IF($G130=0,IF(CY$11=$H130,"◆",""),IF(AND(CY$11&gt;=$H130,CY$11&lt;=$I130),1,""))</f>
        <v/>
      </c>
      <c r="CZ130" s="448" t="str">
        <f aca="false">IF($G130=0,IF(CZ$11=$H130,"◆",""),IF(AND(CZ$11&gt;=$H130,CZ$11&lt;=$I130),1,""))</f>
        <v/>
      </c>
      <c r="DA130" s="448" t="str">
        <f aca="false">IF($G130=0,IF(DA$11=$H130,"◆",""),IF(AND(DA$11&gt;=$H130,DA$11&lt;=$I130),1,""))</f>
        <v/>
      </c>
      <c r="DB130" s="448" t="str">
        <f aca="false">IF($G130=0,IF(DB$11=$H130,"◆",""),IF(AND(DB$11&gt;=$H130,DB$11&lt;=$I130),1,""))</f>
        <v/>
      </c>
      <c r="DC130" s="448" t="str">
        <f aca="false">IF($G130=0,IF(DC$11=$H130,"◆",""),IF(AND(DC$11&gt;=$H130,DC$11&lt;=$I130),1,""))</f>
        <v/>
      </c>
      <c r="DD130" s="448" t="str">
        <f aca="false">IF($G130=0,IF(DD$11=$H130,"◆",""),IF(AND(DD$11&gt;=$H130,DD$11&lt;=$I130),1,""))</f>
        <v/>
      </c>
      <c r="DE130" s="448" t="str">
        <f aca="false">IF($G130=0,IF(DE$11=$H130,"◆",""),IF(AND(DE$11&gt;=$H130,DE$11&lt;=$I130),1,""))</f>
        <v/>
      </c>
      <c r="DF130" s="448" t="str">
        <f aca="false">IF($G130=0,IF(DF$11=$H130,"◆",""),IF(AND(DF$11&gt;=$H130,DF$11&lt;=$I130),1,""))</f>
        <v/>
      </c>
      <c r="DG130" s="448" t="str">
        <f aca="false">IF($G130=0,IF(DG$11=$H130,"◆",""),IF(AND(DG$11&gt;=$H130,DG$11&lt;=$I130),1,""))</f>
        <v/>
      </c>
      <c r="DH130" s="448" t="str">
        <f aca="false">IF($G130=0,IF(DH$11=$H130,"◆",""),IF(AND(DH$11&gt;=$H130,DH$11&lt;=$I130),1,""))</f>
        <v/>
      </c>
      <c r="DI130" s="448" t="str">
        <f aca="false">IF($G130=0,IF(DI$11=$H130,"◆",""),IF(AND(DI$11&gt;=$H130,DI$11&lt;=$I130),1,""))</f>
        <v/>
      </c>
      <c r="DJ130" s="448" t="str">
        <f aca="false">IF($G130=0,IF(DJ$11=$H130,"◆",""),IF(AND(DJ$11&gt;=$H130,DJ$11&lt;=$I130),1,""))</f>
        <v/>
      </c>
      <c r="DK130" s="448" t="str">
        <f aca="false">IF($G130=0,IF(DK$11=$H130,"◆",""),IF(AND(DK$11&gt;=$H130,DK$11&lt;=$I130),1,""))</f>
        <v/>
      </c>
      <c r="DL130" s="448" t="str">
        <f aca="false">IF($G130=0,IF(DL$11=$H130,"◆",""),IF(AND(DL$11&gt;=$H130,DL$11&lt;=$I130),1,""))</f>
        <v/>
      </c>
      <c r="DM130" s="448" t="str">
        <f aca="false">IF($G130=0,IF(DM$11=$H130,"◆",""),IF(AND(DM$11&gt;=$H130,DM$11&lt;=$I130),1,""))</f>
        <v/>
      </c>
      <c r="DN130" s="448" t="str">
        <f aca="false">IF($G130=0,IF(DN$11=$H130,"◆",""),IF(AND(DN$11&gt;=$H130,DN$11&lt;=$I130),1,""))</f>
        <v/>
      </c>
      <c r="DO130" s="448" t="str">
        <f aca="false">IF($G130=0,IF(DO$11=$H130,"◆",""),IF(AND(DO$11&gt;=$H130,DO$11&lt;=$I130),1,""))</f>
        <v/>
      </c>
      <c r="DP130" s="448" t="str">
        <f aca="false">IF($G130=0,IF(DP$11=$H130,"◆",""),IF(AND(DP$11&gt;=$H130,DP$11&lt;=$I130),1,""))</f>
        <v/>
      </c>
      <c r="DQ130" s="448" t="str">
        <f aca="false">IF($G130=0,IF(DQ$11=$H130,"◆",""),IF(AND(DQ$11&gt;=$H130,DQ$11&lt;=$I130),1,""))</f>
        <v/>
      </c>
      <c r="DR130" s="448" t="str">
        <f aca="false">IF($G130=0,IF(DR$11=$H130,"◆",""),IF(AND(DR$11&gt;=$H130,DR$11&lt;=$I130),1,""))</f>
        <v/>
      </c>
      <c r="DS130" s="448" t="str">
        <f aca="false">IF($G130=0,IF(DS$11=$H130,"◆",""),IF(AND(DS$11&gt;=$H130,DS$11&lt;=$I130),1,""))</f>
        <v/>
      </c>
      <c r="DT130" s="448" t="str">
        <f aca="false">IF($G130=0,IF(DT$11=$H130,"◆",""),IF(AND(DT$11&gt;=$H130,DT$11&lt;=$I130),1,""))</f>
        <v/>
      </c>
      <c r="DU130" s="448" t="str">
        <f aca="false">IF($G130=0,IF(DU$11=$H130,"◆",""),IF(AND(DU$11&gt;=$H130,DU$11&lt;=$I130),1,""))</f>
        <v/>
      </c>
      <c r="DV130" s="448" t="str">
        <f aca="false">IF($G130=0,IF(DV$11=$H130,"◆",""),IF(AND(DV$11&gt;=$H130,DV$11&lt;=$I130),1,""))</f>
        <v/>
      </c>
      <c r="DW130" s="448" t="str">
        <f aca="false">IF($G130=0,IF(DW$11=$H130,"◆",""),IF(AND(DW$11&gt;=$H130,DW$11&lt;=$I130),1,""))</f>
        <v/>
      </c>
      <c r="DX130" s="448" t="str">
        <f aca="false">IF($G130=0,IF(DX$11=$H130,"◆",""),IF(AND(DX$11&gt;=$H130,DX$11&lt;=$I130),1,""))</f>
        <v/>
      </c>
      <c r="DY130" s="448" t="str">
        <f aca="false">IF($G130=0,IF(DY$11=$H130,"◆",""),IF(AND(DY$11&gt;=$H130,DY$11&lt;=$I130),1,""))</f>
        <v/>
      </c>
      <c r="DZ130" s="448" t="str">
        <f aca="false">IF($G130=0,IF(DZ$11=$H130,"◆",""),IF(AND(DZ$11&gt;=$H130,DZ$11&lt;=$I130),1,""))</f>
        <v/>
      </c>
      <c r="EA130" s="448" t="str">
        <f aca="false">IF($G130=0,IF(EA$11=$H130,"◆",""),IF(AND(EA$11&gt;=$H130,EA$11&lt;=$I130),1,""))</f>
        <v/>
      </c>
      <c r="EB130" s="448" t="str">
        <f aca="false">IF($G130=0,IF(EB$11=$H130,"◆",""),IF(AND(EB$11&gt;=$H130,EB$11&lt;=$I130),1,""))</f>
        <v/>
      </c>
      <c r="EC130" s="448" t="str">
        <f aca="false">IF($G130=0,IF(EC$11=$H130,"◆",""),IF(AND(EC$11&gt;=$H130,EC$11&lt;=$I130),1,""))</f>
        <v/>
      </c>
      <c r="ED130" s="448" t="str">
        <f aca="false">IF($G130=0,IF(ED$11=$H130,"◆",""),IF(AND(ED$11&gt;=$H130,ED$11&lt;=$I130),1,""))</f>
        <v/>
      </c>
    </row>
    <row r="131" customFormat="false" ht="15" hidden="false" customHeight="true" outlineLevel="0" collapsed="false">
      <c r="A131" s="441" t="s">
        <v>2707</v>
      </c>
      <c r="B131" s="297" t="s">
        <v>2708</v>
      </c>
      <c r="C131" s="442" t="s">
        <v>2439</v>
      </c>
      <c r="D131" s="443" t="s">
        <v>2634</v>
      </c>
      <c r="E131" s="354" t="n">
        <f aca="false">FC_SUPUESTOS!$C$40</f>
        <v>10</v>
      </c>
      <c r="F131" s="352" t="n">
        <v>4</v>
      </c>
      <c r="G131" s="352" t="n">
        <v>20</v>
      </c>
      <c r="H131" s="367" t="n">
        <f aca="false">MAX(1,ROUND(($E131-1)*$D$5,0)+1+$F131)</f>
        <v>44</v>
      </c>
      <c r="I131" s="367" t="n">
        <f aca="false">MAX($H131,$H131+$G131-1)</f>
        <v>63</v>
      </c>
      <c r="J131" s="444" t="n">
        <f aca="false">$D$4+($H131-1)*7</f>
        <v>46601</v>
      </c>
      <c r="K131" s="444" t="n">
        <f aca="false">$D$4+$I131*7-1</f>
        <v>46740</v>
      </c>
      <c r="L131" s="445" t="n">
        <f aca="false">ROUNDUP($H131/$D$5,0)</f>
        <v>11</v>
      </c>
      <c r="M131" s="446"/>
      <c r="N131" s="447" t="n">
        <v>0</v>
      </c>
      <c r="O131" s="448" t="str">
        <f aca="false">IF($G131=0,IF(O$11=$H131,"◆",""),IF(AND(O$11&gt;=$H131,O$11&lt;=$I131),1,""))</f>
        <v/>
      </c>
      <c r="P131" s="448" t="str">
        <f aca="false">IF($G131=0,IF(P$11=$H131,"◆",""),IF(AND(P$11&gt;=$H131,P$11&lt;=$I131),1,""))</f>
        <v/>
      </c>
      <c r="Q131" s="448" t="str">
        <f aca="false">IF($G131=0,IF(Q$11=$H131,"◆",""),IF(AND(Q$11&gt;=$H131,Q$11&lt;=$I131),1,""))</f>
        <v/>
      </c>
      <c r="R131" s="448" t="str">
        <f aca="false">IF($G131=0,IF(R$11=$H131,"◆",""),IF(AND(R$11&gt;=$H131,R$11&lt;=$I131),1,""))</f>
        <v/>
      </c>
      <c r="S131" s="448" t="str">
        <f aca="false">IF($G131=0,IF(S$11=$H131,"◆",""),IF(AND(S$11&gt;=$H131,S$11&lt;=$I131),1,""))</f>
        <v/>
      </c>
      <c r="T131" s="448" t="str">
        <f aca="false">IF($G131=0,IF(T$11=$H131,"◆",""),IF(AND(T$11&gt;=$H131,T$11&lt;=$I131),1,""))</f>
        <v/>
      </c>
      <c r="U131" s="448" t="str">
        <f aca="false">IF($G131=0,IF(U$11=$H131,"◆",""),IF(AND(U$11&gt;=$H131,U$11&lt;=$I131),1,""))</f>
        <v/>
      </c>
      <c r="V131" s="448" t="str">
        <f aca="false">IF($G131=0,IF(V$11=$H131,"◆",""),IF(AND(V$11&gt;=$H131,V$11&lt;=$I131),1,""))</f>
        <v/>
      </c>
      <c r="W131" s="448" t="str">
        <f aca="false">IF($G131=0,IF(W$11=$H131,"◆",""),IF(AND(W$11&gt;=$H131,W$11&lt;=$I131),1,""))</f>
        <v/>
      </c>
      <c r="X131" s="448" t="str">
        <f aca="false">IF($G131=0,IF(X$11=$H131,"◆",""),IF(AND(X$11&gt;=$H131,X$11&lt;=$I131),1,""))</f>
        <v/>
      </c>
      <c r="Y131" s="448" t="str">
        <f aca="false">IF($G131=0,IF(Y$11=$H131,"◆",""),IF(AND(Y$11&gt;=$H131,Y$11&lt;=$I131),1,""))</f>
        <v/>
      </c>
      <c r="Z131" s="448" t="str">
        <f aca="false">IF($G131=0,IF(Z$11=$H131,"◆",""),IF(AND(Z$11&gt;=$H131,Z$11&lt;=$I131),1,""))</f>
        <v/>
      </c>
      <c r="AA131" s="448" t="str">
        <f aca="false">IF($G131=0,IF(AA$11=$H131,"◆",""),IF(AND(AA$11&gt;=$H131,AA$11&lt;=$I131),1,""))</f>
        <v/>
      </c>
      <c r="AB131" s="448" t="str">
        <f aca="false">IF($G131=0,IF(AB$11=$H131,"◆",""),IF(AND(AB$11&gt;=$H131,AB$11&lt;=$I131),1,""))</f>
        <v/>
      </c>
      <c r="AC131" s="448" t="str">
        <f aca="false">IF($G131=0,IF(AC$11=$H131,"◆",""),IF(AND(AC$11&gt;=$H131,AC$11&lt;=$I131),1,""))</f>
        <v/>
      </c>
      <c r="AD131" s="448" t="str">
        <f aca="false">IF($G131=0,IF(AD$11=$H131,"◆",""),IF(AND(AD$11&gt;=$H131,AD$11&lt;=$I131),1,""))</f>
        <v/>
      </c>
      <c r="AE131" s="448" t="str">
        <f aca="false">IF($G131=0,IF(AE$11=$H131,"◆",""),IF(AND(AE$11&gt;=$H131,AE$11&lt;=$I131),1,""))</f>
        <v/>
      </c>
      <c r="AF131" s="448" t="str">
        <f aca="false">IF($G131=0,IF(AF$11=$H131,"◆",""),IF(AND(AF$11&gt;=$H131,AF$11&lt;=$I131),1,""))</f>
        <v/>
      </c>
      <c r="AG131" s="448" t="str">
        <f aca="false">IF($G131=0,IF(AG$11=$H131,"◆",""),IF(AND(AG$11&gt;=$H131,AG$11&lt;=$I131),1,""))</f>
        <v/>
      </c>
      <c r="AH131" s="448" t="str">
        <f aca="false">IF($G131=0,IF(AH$11=$H131,"◆",""),IF(AND(AH$11&gt;=$H131,AH$11&lt;=$I131),1,""))</f>
        <v/>
      </c>
      <c r="AI131" s="448" t="str">
        <f aca="false">IF($G131=0,IF(AI$11=$H131,"◆",""),IF(AND(AI$11&gt;=$H131,AI$11&lt;=$I131),1,""))</f>
        <v/>
      </c>
      <c r="AJ131" s="448" t="str">
        <f aca="false">IF($G131=0,IF(AJ$11=$H131,"◆",""),IF(AND(AJ$11&gt;=$H131,AJ$11&lt;=$I131),1,""))</f>
        <v/>
      </c>
      <c r="AK131" s="448" t="str">
        <f aca="false">IF($G131=0,IF(AK$11=$H131,"◆",""),IF(AND(AK$11&gt;=$H131,AK$11&lt;=$I131),1,""))</f>
        <v/>
      </c>
      <c r="AL131" s="448" t="str">
        <f aca="false">IF($G131=0,IF(AL$11=$H131,"◆",""),IF(AND(AL$11&gt;=$H131,AL$11&lt;=$I131),1,""))</f>
        <v/>
      </c>
      <c r="AM131" s="448" t="str">
        <f aca="false">IF($G131=0,IF(AM$11=$H131,"◆",""),IF(AND(AM$11&gt;=$H131,AM$11&lt;=$I131),1,""))</f>
        <v/>
      </c>
      <c r="AN131" s="448" t="str">
        <f aca="false">IF($G131=0,IF(AN$11=$H131,"◆",""),IF(AND(AN$11&gt;=$H131,AN$11&lt;=$I131),1,""))</f>
        <v/>
      </c>
      <c r="AO131" s="448" t="str">
        <f aca="false">IF($G131=0,IF(AO$11=$H131,"◆",""),IF(AND(AO$11&gt;=$H131,AO$11&lt;=$I131),1,""))</f>
        <v/>
      </c>
      <c r="AP131" s="448" t="str">
        <f aca="false">IF($G131=0,IF(AP$11=$H131,"◆",""),IF(AND(AP$11&gt;=$H131,AP$11&lt;=$I131),1,""))</f>
        <v/>
      </c>
      <c r="AQ131" s="448" t="str">
        <f aca="false">IF($G131=0,IF(AQ$11=$H131,"◆",""),IF(AND(AQ$11&gt;=$H131,AQ$11&lt;=$I131),1,""))</f>
        <v/>
      </c>
      <c r="AR131" s="448" t="str">
        <f aca="false">IF($G131=0,IF(AR$11=$H131,"◆",""),IF(AND(AR$11&gt;=$H131,AR$11&lt;=$I131),1,""))</f>
        <v/>
      </c>
      <c r="AS131" s="448" t="str">
        <f aca="false">IF($G131=0,IF(AS$11=$H131,"◆",""),IF(AND(AS$11&gt;=$H131,AS$11&lt;=$I131),1,""))</f>
        <v/>
      </c>
      <c r="AT131" s="448" t="str">
        <f aca="false">IF($G131=0,IF(AT$11=$H131,"◆",""),IF(AND(AT$11&gt;=$H131,AT$11&lt;=$I131),1,""))</f>
        <v/>
      </c>
      <c r="AU131" s="448" t="str">
        <f aca="false">IF($G131=0,IF(AU$11=$H131,"◆",""),IF(AND(AU$11&gt;=$H131,AU$11&lt;=$I131),1,""))</f>
        <v/>
      </c>
      <c r="AV131" s="448" t="str">
        <f aca="false">IF($G131=0,IF(AV$11=$H131,"◆",""),IF(AND(AV$11&gt;=$H131,AV$11&lt;=$I131),1,""))</f>
        <v/>
      </c>
      <c r="AW131" s="448" t="str">
        <f aca="false">IF($G131=0,IF(AW$11=$H131,"◆",""),IF(AND(AW$11&gt;=$H131,AW$11&lt;=$I131),1,""))</f>
        <v/>
      </c>
      <c r="AX131" s="448" t="str">
        <f aca="false">IF($G131=0,IF(AX$11=$H131,"◆",""),IF(AND(AX$11&gt;=$H131,AX$11&lt;=$I131),1,""))</f>
        <v/>
      </c>
      <c r="AY131" s="448" t="str">
        <f aca="false">IF($G131=0,IF(AY$11=$H131,"◆",""),IF(AND(AY$11&gt;=$H131,AY$11&lt;=$I131),1,""))</f>
        <v/>
      </c>
      <c r="AZ131" s="448" t="str">
        <f aca="false">IF($G131=0,IF(AZ$11=$H131,"◆",""),IF(AND(AZ$11&gt;=$H131,AZ$11&lt;=$I131),1,""))</f>
        <v/>
      </c>
      <c r="BA131" s="448" t="str">
        <f aca="false">IF($G131=0,IF(BA$11=$H131,"◆",""),IF(AND(BA$11&gt;=$H131,BA$11&lt;=$I131),1,""))</f>
        <v/>
      </c>
      <c r="BB131" s="448" t="str">
        <f aca="false">IF($G131=0,IF(BB$11=$H131,"◆",""),IF(AND(BB$11&gt;=$H131,BB$11&lt;=$I131),1,""))</f>
        <v/>
      </c>
      <c r="BC131" s="448" t="str">
        <f aca="false">IF($G131=0,IF(BC$11=$H131,"◆",""),IF(AND(BC$11&gt;=$H131,BC$11&lt;=$I131),1,""))</f>
        <v/>
      </c>
      <c r="BD131" s="448" t="str">
        <f aca="false">IF($G131=0,IF(BD$11=$H131,"◆",""),IF(AND(BD$11&gt;=$H131,BD$11&lt;=$I131),1,""))</f>
        <v/>
      </c>
      <c r="BE131" s="448" t="str">
        <f aca="false">IF($G131=0,IF(BE$11=$H131,"◆",""),IF(AND(BE$11&gt;=$H131,BE$11&lt;=$I131),1,""))</f>
        <v/>
      </c>
      <c r="BF131" s="448" t="n">
        <f aca="false">IF($G131=0,IF(BF$11=$H131,"◆",""),IF(AND(BF$11&gt;=$H131,BF$11&lt;=$I131),1,""))</f>
        <v>1</v>
      </c>
      <c r="BG131" s="448" t="n">
        <f aca="false">IF($G131=0,IF(BG$11=$H131,"◆",""),IF(AND(BG$11&gt;=$H131,BG$11&lt;=$I131),1,""))</f>
        <v>1</v>
      </c>
      <c r="BH131" s="448" t="n">
        <f aca="false">IF($G131=0,IF(BH$11=$H131,"◆",""),IF(AND(BH$11&gt;=$H131,BH$11&lt;=$I131),1,""))</f>
        <v>1</v>
      </c>
      <c r="BI131" s="448" t="n">
        <f aca="false">IF($G131=0,IF(BI$11=$H131,"◆",""),IF(AND(BI$11&gt;=$H131,BI$11&lt;=$I131),1,""))</f>
        <v>1</v>
      </c>
      <c r="BJ131" s="448" t="n">
        <f aca="false">IF($G131=0,IF(BJ$11=$H131,"◆",""),IF(AND(BJ$11&gt;=$H131,BJ$11&lt;=$I131),1,""))</f>
        <v>1</v>
      </c>
      <c r="BK131" s="448" t="n">
        <f aca="false">IF($G131=0,IF(BK$11=$H131,"◆",""),IF(AND(BK$11&gt;=$H131,BK$11&lt;=$I131),1,""))</f>
        <v>1</v>
      </c>
      <c r="BL131" s="448" t="n">
        <f aca="false">IF($G131=0,IF(BL$11=$H131,"◆",""),IF(AND(BL$11&gt;=$H131,BL$11&lt;=$I131),1,""))</f>
        <v>1</v>
      </c>
      <c r="BM131" s="448" t="n">
        <f aca="false">IF($G131=0,IF(BM$11=$H131,"◆",""),IF(AND(BM$11&gt;=$H131,BM$11&lt;=$I131),1,""))</f>
        <v>1</v>
      </c>
      <c r="BN131" s="448" t="n">
        <f aca="false">IF($G131=0,IF(BN$11=$H131,"◆",""),IF(AND(BN$11&gt;=$H131,BN$11&lt;=$I131),1,""))</f>
        <v>1</v>
      </c>
      <c r="BO131" s="448" t="n">
        <f aca="false">IF($G131=0,IF(BO$11=$H131,"◆",""),IF(AND(BO$11&gt;=$H131,BO$11&lt;=$I131),1,""))</f>
        <v>1</v>
      </c>
      <c r="BP131" s="448" t="n">
        <f aca="false">IF($G131=0,IF(BP$11=$H131,"◆",""),IF(AND(BP$11&gt;=$H131,BP$11&lt;=$I131),1,""))</f>
        <v>1</v>
      </c>
      <c r="BQ131" s="448" t="n">
        <f aca="false">IF($G131=0,IF(BQ$11=$H131,"◆",""),IF(AND(BQ$11&gt;=$H131,BQ$11&lt;=$I131),1,""))</f>
        <v>1</v>
      </c>
      <c r="BR131" s="448" t="n">
        <f aca="false">IF($G131=0,IF(BR$11=$H131,"◆",""),IF(AND(BR$11&gt;=$H131,BR$11&lt;=$I131),1,""))</f>
        <v>1</v>
      </c>
      <c r="BS131" s="448" t="n">
        <f aca="false">IF($G131=0,IF(BS$11=$H131,"◆",""),IF(AND(BS$11&gt;=$H131,BS$11&lt;=$I131),1,""))</f>
        <v>1</v>
      </c>
      <c r="BT131" s="448" t="n">
        <f aca="false">IF($G131=0,IF(BT$11=$H131,"◆",""),IF(AND(BT$11&gt;=$H131,BT$11&lt;=$I131),1,""))</f>
        <v>1</v>
      </c>
      <c r="BU131" s="448" t="n">
        <f aca="false">IF($G131=0,IF(BU$11=$H131,"◆",""),IF(AND(BU$11&gt;=$H131,BU$11&lt;=$I131),1,""))</f>
        <v>1</v>
      </c>
      <c r="BV131" s="448" t="n">
        <f aca="false">IF($G131=0,IF(BV$11=$H131,"◆",""),IF(AND(BV$11&gt;=$H131,BV$11&lt;=$I131),1,""))</f>
        <v>1</v>
      </c>
      <c r="BW131" s="448" t="n">
        <f aca="false">IF($G131=0,IF(BW$11=$H131,"◆",""),IF(AND(BW$11&gt;=$H131,BW$11&lt;=$I131),1,""))</f>
        <v>1</v>
      </c>
      <c r="BX131" s="448" t="n">
        <f aca="false">IF($G131=0,IF(BX$11=$H131,"◆",""),IF(AND(BX$11&gt;=$H131,BX$11&lt;=$I131),1,""))</f>
        <v>1</v>
      </c>
      <c r="BY131" s="448" t="n">
        <f aca="false">IF($G131=0,IF(BY$11=$H131,"◆",""),IF(AND(BY$11&gt;=$H131,BY$11&lt;=$I131),1,""))</f>
        <v>1</v>
      </c>
      <c r="BZ131" s="448" t="str">
        <f aca="false">IF($G131=0,IF(BZ$11=$H131,"◆",""),IF(AND(BZ$11&gt;=$H131,BZ$11&lt;=$I131),1,""))</f>
        <v/>
      </c>
      <c r="CA131" s="448" t="str">
        <f aca="false">IF($G131=0,IF(CA$11=$H131,"◆",""),IF(AND(CA$11&gt;=$H131,CA$11&lt;=$I131),1,""))</f>
        <v/>
      </c>
      <c r="CB131" s="448" t="str">
        <f aca="false">IF($G131=0,IF(CB$11=$H131,"◆",""),IF(AND(CB$11&gt;=$H131,CB$11&lt;=$I131),1,""))</f>
        <v/>
      </c>
      <c r="CC131" s="448" t="str">
        <f aca="false">IF($G131=0,IF(CC$11=$H131,"◆",""),IF(AND(CC$11&gt;=$H131,CC$11&lt;=$I131),1,""))</f>
        <v/>
      </c>
      <c r="CD131" s="448" t="str">
        <f aca="false">IF($G131=0,IF(CD$11=$H131,"◆",""),IF(AND(CD$11&gt;=$H131,CD$11&lt;=$I131),1,""))</f>
        <v/>
      </c>
      <c r="CE131" s="448" t="str">
        <f aca="false">IF($G131=0,IF(CE$11=$H131,"◆",""),IF(AND(CE$11&gt;=$H131,CE$11&lt;=$I131),1,""))</f>
        <v/>
      </c>
      <c r="CF131" s="448" t="str">
        <f aca="false">IF($G131=0,IF(CF$11=$H131,"◆",""),IF(AND(CF$11&gt;=$H131,CF$11&lt;=$I131),1,""))</f>
        <v/>
      </c>
      <c r="CG131" s="448" t="str">
        <f aca="false">IF($G131=0,IF(CG$11=$H131,"◆",""),IF(AND(CG$11&gt;=$H131,CG$11&lt;=$I131),1,""))</f>
        <v/>
      </c>
      <c r="CH131" s="448" t="str">
        <f aca="false">IF($G131=0,IF(CH$11=$H131,"◆",""),IF(AND(CH$11&gt;=$H131,CH$11&lt;=$I131),1,""))</f>
        <v/>
      </c>
      <c r="CI131" s="448" t="str">
        <f aca="false">IF($G131=0,IF(CI$11=$H131,"◆",""),IF(AND(CI$11&gt;=$H131,CI$11&lt;=$I131),1,""))</f>
        <v/>
      </c>
      <c r="CJ131" s="448" t="str">
        <f aca="false">IF($G131=0,IF(CJ$11=$H131,"◆",""),IF(AND(CJ$11&gt;=$H131,CJ$11&lt;=$I131),1,""))</f>
        <v/>
      </c>
      <c r="CK131" s="448" t="str">
        <f aca="false">IF($G131=0,IF(CK$11=$H131,"◆",""),IF(AND(CK$11&gt;=$H131,CK$11&lt;=$I131),1,""))</f>
        <v/>
      </c>
      <c r="CL131" s="448" t="str">
        <f aca="false">IF($G131=0,IF(CL$11=$H131,"◆",""),IF(AND(CL$11&gt;=$H131,CL$11&lt;=$I131),1,""))</f>
        <v/>
      </c>
      <c r="CM131" s="448" t="str">
        <f aca="false">IF($G131=0,IF(CM$11=$H131,"◆",""),IF(AND(CM$11&gt;=$H131,CM$11&lt;=$I131),1,""))</f>
        <v/>
      </c>
      <c r="CN131" s="448" t="str">
        <f aca="false">IF($G131=0,IF(CN$11=$H131,"◆",""),IF(AND(CN$11&gt;=$H131,CN$11&lt;=$I131),1,""))</f>
        <v/>
      </c>
      <c r="CO131" s="448" t="str">
        <f aca="false">IF($G131=0,IF(CO$11=$H131,"◆",""),IF(AND(CO$11&gt;=$H131,CO$11&lt;=$I131),1,""))</f>
        <v/>
      </c>
      <c r="CP131" s="448" t="str">
        <f aca="false">IF($G131=0,IF(CP$11=$H131,"◆",""),IF(AND(CP$11&gt;=$H131,CP$11&lt;=$I131),1,""))</f>
        <v/>
      </c>
      <c r="CQ131" s="448" t="str">
        <f aca="false">IF($G131=0,IF(CQ$11=$H131,"◆",""),IF(AND(CQ$11&gt;=$H131,CQ$11&lt;=$I131),1,""))</f>
        <v/>
      </c>
      <c r="CR131" s="448" t="str">
        <f aca="false">IF($G131=0,IF(CR$11=$H131,"◆",""),IF(AND(CR$11&gt;=$H131,CR$11&lt;=$I131),1,""))</f>
        <v/>
      </c>
      <c r="CS131" s="448" t="str">
        <f aca="false">IF($G131=0,IF(CS$11=$H131,"◆",""),IF(AND(CS$11&gt;=$H131,CS$11&lt;=$I131),1,""))</f>
        <v/>
      </c>
      <c r="CT131" s="448" t="str">
        <f aca="false">IF($G131=0,IF(CT$11=$H131,"◆",""),IF(AND(CT$11&gt;=$H131,CT$11&lt;=$I131),1,""))</f>
        <v/>
      </c>
      <c r="CU131" s="448" t="str">
        <f aca="false">IF($G131=0,IF(CU$11=$H131,"◆",""),IF(AND(CU$11&gt;=$H131,CU$11&lt;=$I131),1,""))</f>
        <v/>
      </c>
      <c r="CV131" s="448" t="str">
        <f aca="false">IF($G131=0,IF(CV$11=$H131,"◆",""),IF(AND(CV$11&gt;=$H131,CV$11&lt;=$I131),1,""))</f>
        <v/>
      </c>
      <c r="CW131" s="448" t="str">
        <f aca="false">IF($G131=0,IF(CW$11=$H131,"◆",""),IF(AND(CW$11&gt;=$H131,CW$11&lt;=$I131),1,""))</f>
        <v/>
      </c>
      <c r="CX131" s="448" t="str">
        <f aca="false">IF($G131=0,IF(CX$11=$H131,"◆",""),IF(AND(CX$11&gt;=$H131,CX$11&lt;=$I131),1,""))</f>
        <v/>
      </c>
      <c r="CY131" s="448" t="str">
        <f aca="false">IF($G131=0,IF(CY$11=$H131,"◆",""),IF(AND(CY$11&gt;=$H131,CY$11&lt;=$I131),1,""))</f>
        <v/>
      </c>
      <c r="CZ131" s="448" t="str">
        <f aca="false">IF($G131=0,IF(CZ$11=$H131,"◆",""),IF(AND(CZ$11&gt;=$H131,CZ$11&lt;=$I131),1,""))</f>
        <v/>
      </c>
      <c r="DA131" s="448" t="str">
        <f aca="false">IF($G131=0,IF(DA$11=$H131,"◆",""),IF(AND(DA$11&gt;=$H131,DA$11&lt;=$I131),1,""))</f>
        <v/>
      </c>
      <c r="DB131" s="448" t="str">
        <f aca="false">IF($G131=0,IF(DB$11=$H131,"◆",""),IF(AND(DB$11&gt;=$H131,DB$11&lt;=$I131),1,""))</f>
        <v/>
      </c>
      <c r="DC131" s="448" t="str">
        <f aca="false">IF($G131=0,IF(DC$11=$H131,"◆",""),IF(AND(DC$11&gt;=$H131,DC$11&lt;=$I131),1,""))</f>
        <v/>
      </c>
      <c r="DD131" s="448" t="str">
        <f aca="false">IF($G131=0,IF(DD$11=$H131,"◆",""),IF(AND(DD$11&gt;=$H131,DD$11&lt;=$I131),1,""))</f>
        <v/>
      </c>
      <c r="DE131" s="448" t="str">
        <f aca="false">IF($G131=0,IF(DE$11=$H131,"◆",""),IF(AND(DE$11&gt;=$H131,DE$11&lt;=$I131),1,""))</f>
        <v/>
      </c>
      <c r="DF131" s="448" t="str">
        <f aca="false">IF($G131=0,IF(DF$11=$H131,"◆",""),IF(AND(DF$11&gt;=$H131,DF$11&lt;=$I131),1,""))</f>
        <v/>
      </c>
      <c r="DG131" s="448" t="str">
        <f aca="false">IF($G131=0,IF(DG$11=$H131,"◆",""),IF(AND(DG$11&gt;=$H131,DG$11&lt;=$I131),1,""))</f>
        <v/>
      </c>
      <c r="DH131" s="448" t="str">
        <f aca="false">IF($G131=0,IF(DH$11=$H131,"◆",""),IF(AND(DH$11&gt;=$H131,DH$11&lt;=$I131),1,""))</f>
        <v/>
      </c>
      <c r="DI131" s="448" t="str">
        <f aca="false">IF($G131=0,IF(DI$11=$H131,"◆",""),IF(AND(DI$11&gt;=$H131,DI$11&lt;=$I131),1,""))</f>
        <v/>
      </c>
      <c r="DJ131" s="448" t="str">
        <f aca="false">IF($G131=0,IF(DJ$11=$H131,"◆",""),IF(AND(DJ$11&gt;=$H131,DJ$11&lt;=$I131),1,""))</f>
        <v/>
      </c>
      <c r="DK131" s="448" t="str">
        <f aca="false">IF($G131=0,IF(DK$11=$H131,"◆",""),IF(AND(DK$11&gt;=$H131,DK$11&lt;=$I131),1,""))</f>
        <v/>
      </c>
      <c r="DL131" s="448" t="str">
        <f aca="false">IF($G131=0,IF(DL$11=$H131,"◆",""),IF(AND(DL$11&gt;=$H131,DL$11&lt;=$I131),1,""))</f>
        <v/>
      </c>
      <c r="DM131" s="448" t="str">
        <f aca="false">IF($G131=0,IF(DM$11=$H131,"◆",""),IF(AND(DM$11&gt;=$H131,DM$11&lt;=$I131),1,""))</f>
        <v/>
      </c>
      <c r="DN131" s="448" t="str">
        <f aca="false">IF($G131=0,IF(DN$11=$H131,"◆",""),IF(AND(DN$11&gt;=$H131,DN$11&lt;=$I131),1,""))</f>
        <v/>
      </c>
      <c r="DO131" s="448" t="str">
        <f aca="false">IF($G131=0,IF(DO$11=$H131,"◆",""),IF(AND(DO$11&gt;=$H131,DO$11&lt;=$I131),1,""))</f>
        <v/>
      </c>
      <c r="DP131" s="448" t="str">
        <f aca="false">IF($G131=0,IF(DP$11=$H131,"◆",""),IF(AND(DP$11&gt;=$H131,DP$11&lt;=$I131),1,""))</f>
        <v/>
      </c>
      <c r="DQ131" s="448" t="str">
        <f aca="false">IF($G131=0,IF(DQ$11=$H131,"◆",""),IF(AND(DQ$11&gt;=$H131,DQ$11&lt;=$I131),1,""))</f>
        <v/>
      </c>
      <c r="DR131" s="448" t="str">
        <f aca="false">IF($G131=0,IF(DR$11=$H131,"◆",""),IF(AND(DR$11&gt;=$H131,DR$11&lt;=$I131),1,""))</f>
        <v/>
      </c>
      <c r="DS131" s="448" t="str">
        <f aca="false">IF($G131=0,IF(DS$11=$H131,"◆",""),IF(AND(DS$11&gt;=$H131,DS$11&lt;=$I131),1,""))</f>
        <v/>
      </c>
      <c r="DT131" s="448" t="str">
        <f aca="false">IF($G131=0,IF(DT$11=$H131,"◆",""),IF(AND(DT$11&gt;=$H131,DT$11&lt;=$I131),1,""))</f>
        <v/>
      </c>
      <c r="DU131" s="448" t="str">
        <f aca="false">IF($G131=0,IF(DU$11=$H131,"◆",""),IF(AND(DU$11&gt;=$H131,DU$11&lt;=$I131),1,""))</f>
        <v/>
      </c>
      <c r="DV131" s="448" t="str">
        <f aca="false">IF($G131=0,IF(DV$11=$H131,"◆",""),IF(AND(DV$11&gt;=$H131,DV$11&lt;=$I131),1,""))</f>
        <v/>
      </c>
      <c r="DW131" s="448" t="str">
        <f aca="false">IF($G131=0,IF(DW$11=$H131,"◆",""),IF(AND(DW$11&gt;=$H131,DW$11&lt;=$I131),1,""))</f>
        <v/>
      </c>
      <c r="DX131" s="448" t="str">
        <f aca="false">IF($G131=0,IF(DX$11=$H131,"◆",""),IF(AND(DX$11&gt;=$H131,DX$11&lt;=$I131),1,""))</f>
        <v/>
      </c>
      <c r="DY131" s="448" t="str">
        <f aca="false">IF($G131=0,IF(DY$11=$H131,"◆",""),IF(AND(DY$11&gt;=$H131,DY$11&lt;=$I131),1,""))</f>
        <v/>
      </c>
      <c r="DZ131" s="448" t="str">
        <f aca="false">IF($G131=0,IF(DZ$11=$H131,"◆",""),IF(AND(DZ$11&gt;=$H131,DZ$11&lt;=$I131),1,""))</f>
        <v/>
      </c>
      <c r="EA131" s="448" t="str">
        <f aca="false">IF($G131=0,IF(EA$11=$H131,"◆",""),IF(AND(EA$11&gt;=$H131,EA$11&lt;=$I131),1,""))</f>
        <v/>
      </c>
      <c r="EB131" s="448" t="str">
        <f aca="false">IF($G131=0,IF(EB$11=$H131,"◆",""),IF(AND(EB$11&gt;=$H131,EB$11&lt;=$I131),1,""))</f>
        <v/>
      </c>
      <c r="EC131" s="448" t="str">
        <f aca="false">IF($G131=0,IF(EC$11=$H131,"◆",""),IF(AND(EC$11&gt;=$H131,EC$11&lt;=$I131),1,""))</f>
        <v/>
      </c>
      <c r="ED131" s="448" t="str">
        <f aca="false">IF($G131=0,IF(ED$11=$H131,"◆",""),IF(AND(ED$11&gt;=$H131,ED$11&lt;=$I131),1,""))</f>
        <v/>
      </c>
    </row>
    <row r="132" customFormat="false" ht="15" hidden="false" customHeight="true" outlineLevel="0" collapsed="false">
      <c r="A132" s="478"/>
      <c r="B132" s="479" t="s">
        <v>2709</v>
      </c>
      <c r="C132" s="480"/>
      <c r="D132" s="480"/>
      <c r="E132" s="480"/>
      <c r="F132" s="480"/>
      <c r="G132" s="480"/>
      <c r="H132" s="480"/>
      <c r="I132" s="480"/>
      <c r="J132" s="480"/>
      <c r="K132" s="480"/>
      <c r="L132" s="480"/>
      <c r="M132" s="480"/>
      <c r="N132" s="480"/>
      <c r="O132" s="480"/>
      <c r="P132" s="480"/>
      <c r="Q132" s="480"/>
      <c r="R132" s="480"/>
      <c r="S132" s="480"/>
      <c r="T132" s="480"/>
      <c r="U132" s="480"/>
      <c r="V132" s="480"/>
      <c r="W132" s="480"/>
      <c r="X132" s="480"/>
      <c r="Y132" s="480"/>
      <c r="Z132" s="480"/>
      <c r="AA132" s="480"/>
      <c r="AB132" s="480"/>
      <c r="AC132" s="480"/>
      <c r="AD132" s="480"/>
      <c r="AE132" s="480"/>
      <c r="AF132" s="480"/>
      <c r="AG132" s="480"/>
      <c r="AH132" s="480"/>
      <c r="AI132" s="480"/>
      <c r="AJ132" s="480"/>
      <c r="AK132" s="480"/>
      <c r="AL132" s="480"/>
      <c r="AM132" s="480"/>
      <c r="AN132" s="480"/>
      <c r="AO132" s="480"/>
      <c r="AP132" s="480"/>
      <c r="AQ132" s="480"/>
      <c r="AR132" s="480"/>
      <c r="AS132" s="480"/>
      <c r="AT132" s="480"/>
      <c r="AU132" s="480"/>
      <c r="AV132" s="480"/>
      <c r="AW132" s="480"/>
      <c r="AX132" s="480"/>
      <c r="AY132" s="480"/>
      <c r="AZ132" s="480"/>
      <c r="BA132" s="480"/>
      <c r="BB132" s="480"/>
      <c r="BC132" s="480"/>
      <c r="BD132" s="480"/>
      <c r="BE132" s="480"/>
      <c r="BF132" s="480"/>
      <c r="BG132" s="480"/>
      <c r="BH132" s="480"/>
      <c r="BI132" s="480"/>
      <c r="BJ132" s="480"/>
      <c r="BK132" s="480"/>
      <c r="BL132" s="480"/>
      <c r="BM132" s="480"/>
      <c r="BN132" s="480"/>
      <c r="BO132" s="480"/>
      <c r="BP132" s="480"/>
      <c r="BQ132" s="480"/>
      <c r="BR132" s="480"/>
      <c r="BS132" s="480"/>
      <c r="BT132" s="480"/>
      <c r="BU132" s="480"/>
      <c r="BV132" s="480"/>
      <c r="BW132" s="480"/>
      <c r="BX132" s="480"/>
      <c r="BY132" s="480"/>
      <c r="BZ132" s="480"/>
      <c r="CA132" s="480"/>
      <c r="CB132" s="480"/>
      <c r="CC132" s="480"/>
      <c r="CD132" s="480"/>
      <c r="CE132" s="480"/>
      <c r="CF132" s="480"/>
      <c r="CG132" s="480"/>
      <c r="CH132" s="480"/>
      <c r="CI132" s="480"/>
      <c r="CJ132" s="480"/>
      <c r="CK132" s="480"/>
      <c r="CL132" s="480"/>
      <c r="CM132" s="480"/>
      <c r="CN132" s="480"/>
      <c r="CO132" s="480"/>
      <c r="CP132" s="480"/>
      <c r="CQ132" s="480"/>
      <c r="CR132" s="480"/>
      <c r="CS132" s="480"/>
      <c r="CT132" s="480"/>
      <c r="CU132" s="480"/>
      <c r="CV132" s="480"/>
      <c r="CW132" s="480"/>
      <c r="CX132" s="480"/>
      <c r="CY132" s="480"/>
      <c r="CZ132" s="480"/>
      <c r="DA132" s="480"/>
      <c r="DB132" s="480"/>
      <c r="DC132" s="480"/>
      <c r="DD132" s="480"/>
      <c r="DE132" s="480"/>
      <c r="DF132" s="480"/>
      <c r="DG132" s="480"/>
      <c r="DH132" s="480"/>
      <c r="DI132" s="480"/>
      <c r="DJ132" s="480"/>
      <c r="DK132" s="480"/>
      <c r="DL132" s="480"/>
      <c r="DM132" s="480"/>
      <c r="DN132" s="480"/>
      <c r="DO132" s="480"/>
      <c r="DP132" s="480"/>
      <c r="DQ132" s="480"/>
      <c r="DR132" s="480"/>
      <c r="DS132" s="480"/>
      <c r="DT132" s="480"/>
      <c r="DU132" s="480"/>
      <c r="DV132" s="480"/>
      <c r="DW132" s="480"/>
      <c r="DX132" s="480"/>
      <c r="DY132" s="480"/>
      <c r="DZ132" s="480"/>
      <c r="EA132" s="480"/>
      <c r="EB132" s="480"/>
      <c r="EC132" s="480"/>
      <c r="ED132" s="480"/>
    </row>
    <row r="133" customFormat="false" ht="15" hidden="false" customHeight="true" outlineLevel="0" collapsed="false">
      <c r="A133" s="441" t="s">
        <v>2710</v>
      </c>
      <c r="B133" s="297" t="s">
        <v>2711</v>
      </c>
      <c r="C133" s="442" t="s">
        <v>2712</v>
      </c>
      <c r="D133" s="443" t="s">
        <v>2713</v>
      </c>
      <c r="E133" s="354" t="n">
        <f aca="false">MAX(1,FC_SUPUESTOS!$C$69-1)</f>
        <v>1</v>
      </c>
      <c r="F133" s="352" t="n">
        <v>0</v>
      </c>
      <c r="G133" s="352" t="n">
        <v>4</v>
      </c>
      <c r="H133" s="367" t="n">
        <f aca="false">MAX(1,ROUND(($E133-1)*$D$5,0)+1+$F133)</f>
        <v>1</v>
      </c>
      <c r="I133" s="367" t="n">
        <f aca="false">MAX($H133,$H133+$G133-1)</f>
        <v>4</v>
      </c>
      <c r="J133" s="444" t="n">
        <f aca="false">$D$4+($H133-1)*7</f>
        <v>46300</v>
      </c>
      <c r="K133" s="444" t="n">
        <f aca="false">$D$4+$I133*7-1</f>
        <v>46327</v>
      </c>
      <c r="L133" s="445" t="n">
        <f aca="false">ROUNDUP($H133/$D$5,0)</f>
        <v>1</v>
      </c>
      <c r="M133" s="446"/>
      <c r="N133" s="447" t="n">
        <v>0</v>
      </c>
      <c r="O133" s="448" t="n">
        <f aca="false">IF($G133=0,IF(O$11=$H133,"◆",""),IF(AND(O$11&gt;=$H133,O$11&lt;=$I133),1,""))</f>
        <v>1</v>
      </c>
      <c r="P133" s="448" t="n">
        <f aca="false">IF($G133=0,IF(P$11=$H133,"◆",""),IF(AND(P$11&gt;=$H133,P$11&lt;=$I133),1,""))</f>
        <v>1</v>
      </c>
      <c r="Q133" s="448" t="n">
        <f aca="false">IF($G133=0,IF(Q$11=$H133,"◆",""),IF(AND(Q$11&gt;=$H133,Q$11&lt;=$I133),1,""))</f>
        <v>1</v>
      </c>
      <c r="R133" s="448" t="n">
        <f aca="false">IF($G133=0,IF(R$11=$H133,"◆",""),IF(AND(R$11&gt;=$H133,R$11&lt;=$I133),1,""))</f>
        <v>1</v>
      </c>
      <c r="S133" s="448" t="str">
        <f aca="false">IF($G133=0,IF(S$11=$H133,"◆",""),IF(AND(S$11&gt;=$H133,S$11&lt;=$I133),1,""))</f>
        <v/>
      </c>
      <c r="T133" s="448" t="str">
        <f aca="false">IF($G133=0,IF(T$11=$H133,"◆",""),IF(AND(T$11&gt;=$H133,T$11&lt;=$I133),1,""))</f>
        <v/>
      </c>
      <c r="U133" s="448" t="str">
        <f aca="false">IF($G133=0,IF(U$11=$H133,"◆",""),IF(AND(U$11&gt;=$H133,U$11&lt;=$I133),1,""))</f>
        <v/>
      </c>
      <c r="V133" s="448" t="str">
        <f aca="false">IF($G133=0,IF(V$11=$H133,"◆",""),IF(AND(V$11&gt;=$H133,V$11&lt;=$I133),1,""))</f>
        <v/>
      </c>
      <c r="W133" s="448" t="str">
        <f aca="false">IF($G133=0,IF(W$11=$H133,"◆",""),IF(AND(W$11&gt;=$H133,W$11&lt;=$I133),1,""))</f>
        <v/>
      </c>
      <c r="X133" s="448" t="str">
        <f aca="false">IF($G133=0,IF(X$11=$H133,"◆",""),IF(AND(X$11&gt;=$H133,X$11&lt;=$I133),1,""))</f>
        <v/>
      </c>
      <c r="Y133" s="448" t="str">
        <f aca="false">IF($G133=0,IF(Y$11=$H133,"◆",""),IF(AND(Y$11&gt;=$H133,Y$11&lt;=$I133),1,""))</f>
        <v/>
      </c>
      <c r="Z133" s="448" t="str">
        <f aca="false">IF($G133=0,IF(Z$11=$H133,"◆",""),IF(AND(Z$11&gt;=$H133,Z$11&lt;=$I133),1,""))</f>
        <v/>
      </c>
      <c r="AA133" s="448" t="str">
        <f aca="false">IF($G133=0,IF(AA$11=$H133,"◆",""),IF(AND(AA$11&gt;=$H133,AA$11&lt;=$I133),1,""))</f>
        <v/>
      </c>
      <c r="AB133" s="448" t="str">
        <f aca="false">IF($G133=0,IF(AB$11=$H133,"◆",""),IF(AND(AB$11&gt;=$H133,AB$11&lt;=$I133),1,""))</f>
        <v/>
      </c>
      <c r="AC133" s="448" t="str">
        <f aca="false">IF($G133=0,IF(AC$11=$H133,"◆",""),IF(AND(AC$11&gt;=$H133,AC$11&lt;=$I133),1,""))</f>
        <v/>
      </c>
      <c r="AD133" s="448" t="str">
        <f aca="false">IF($G133=0,IF(AD$11=$H133,"◆",""),IF(AND(AD$11&gt;=$H133,AD$11&lt;=$I133),1,""))</f>
        <v/>
      </c>
      <c r="AE133" s="448" t="str">
        <f aca="false">IF($G133=0,IF(AE$11=$H133,"◆",""),IF(AND(AE$11&gt;=$H133,AE$11&lt;=$I133),1,""))</f>
        <v/>
      </c>
      <c r="AF133" s="448" t="str">
        <f aca="false">IF($G133=0,IF(AF$11=$H133,"◆",""),IF(AND(AF$11&gt;=$H133,AF$11&lt;=$I133),1,""))</f>
        <v/>
      </c>
      <c r="AG133" s="448" t="str">
        <f aca="false">IF($G133=0,IF(AG$11=$H133,"◆",""),IF(AND(AG$11&gt;=$H133,AG$11&lt;=$I133),1,""))</f>
        <v/>
      </c>
      <c r="AH133" s="448" t="str">
        <f aca="false">IF($G133=0,IF(AH$11=$H133,"◆",""),IF(AND(AH$11&gt;=$H133,AH$11&lt;=$I133),1,""))</f>
        <v/>
      </c>
      <c r="AI133" s="448" t="str">
        <f aca="false">IF($G133=0,IF(AI$11=$H133,"◆",""),IF(AND(AI$11&gt;=$H133,AI$11&lt;=$I133),1,""))</f>
        <v/>
      </c>
      <c r="AJ133" s="448" t="str">
        <f aca="false">IF($G133=0,IF(AJ$11=$H133,"◆",""),IF(AND(AJ$11&gt;=$H133,AJ$11&lt;=$I133),1,""))</f>
        <v/>
      </c>
      <c r="AK133" s="448" t="str">
        <f aca="false">IF($G133=0,IF(AK$11=$H133,"◆",""),IF(AND(AK$11&gt;=$H133,AK$11&lt;=$I133),1,""))</f>
        <v/>
      </c>
      <c r="AL133" s="448" t="str">
        <f aca="false">IF($G133=0,IF(AL$11=$H133,"◆",""),IF(AND(AL$11&gt;=$H133,AL$11&lt;=$I133),1,""))</f>
        <v/>
      </c>
      <c r="AM133" s="448" t="str">
        <f aca="false">IF($G133=0,IF(AM$11=$H133,"◆",""),IF(AND(AM$11&gt;=$H133,AM$11&lt;=$I133),1,""))</f>
        <v/>
      </c>
      <c r="AN133" s="448" t="str">
        <f aca="false">IF($G133=0,IF(AN$11=$H133,"◆",""),IF(AND(AN$11&gt;=$H133,AN$11&lt;=$I133),1,""))</f>
        <v/>
      </c>
      <c r="AO133" s="448" t="str">
        <f aca="false">IF($G133=0,IF(AO$11=$H133,"◆",""),IF(AND(AO$11&gt;=$H133,AO$11&lt;=$I133),1,""))</f>
        <v/>
      </c>
      <c r="AP133" s="448" t="str">
        <f aca="false">IF($G133=0,IF(AP$11=$H133,"◆",""),IF(AND(AP$11&gt;=$H133,AP$11&lt;=$I133),1,""))</f>
        <v/>
      </c>
      <c r="AQ133" s="448" t="str">
        <f aca="false">IF($G133=0,IF(AQ$11=$H133,"◆",""),IF(AND(AQ$11&gt;=$H133,AQ$11&lt;=$I133),1,""))</f>
        <v/>
      </c>
      <c r="AR133" s="448" t="str">
        <f aca="false">IF($G133=0,IF(AR$11=$H133,"◆",""),IF(AND(AR$11&gt;=$H133,AR$11&lt;=$I133),1,""))</f>
        <v/>
      </c>
      <c r="AS133" s="448" t="str">
        <f aca="false">IF($G133=0,IF(AS$11=$H133,"◆",""),IF(AND(AS$11&gt;=$H133,AS$11&lt;=$I133),1,""))</f>
        <v/>
      </c>
      <c r="AT133" s="448" t="str">
        <f aca="false">IF($G133=0,IF(AT$11=$H133,"◆",""),IF(AND(AT$11&gt;=$H133,AT$11&lt;=$I133),1,""))</f>
        <v/>
      </c>
      <c r="AU133" s="448" t="str">
        <f aca="false">IF($G133=0,IF(AU$11=$H133,"◆",""),IF(AND(AU$11&gt;=$H133,AU$11&lt;=$I133),1,""))</f>
        <v/>
      </c>
      <c r="AV133" s="448" t="str">
        <f aca="false">IF($G133=0,IF(AV$11=$H133,"◆",""),IF(AND(AV$11&gt;=$H133,AV$11&lt;=$I133),1,""))</f>
        <v/>
      </c>
      <c r="AW133" s="448" t="str">
        <f aca="false">IF($G133=0,IF(AW$11=$H133,"◆",""),IF(AND(AW$11&gt;=$H133,AW$11&lt;=$I133),1,""))</f>
        <v/>
      </c>
      <c r="AX133" s="448" t="str">
        <f aca="false">IF($G133=0,IF(AX$11=$H133,"◆",""),IF(AND(AX$11&gt;=$H133,AX$11&lt;=$I133),1,""))</f>
        <v/>
      </c>
      <c r="AY133" s="448" t="str">
        <f aca="false">IF($G133=0,IF(AY$11=$H133,"◆",""),IF(AND(AY$11&gt;=$H133,AY$11&lt;=$I133),1,""))</f>
        <v/>
      </c>
      <c r="AZ133" s="448" t="str">
        <f aca="false">IF($G133=0,IF(AZ$11=$H133,"◆",""),IF(AND(AZ$11&gt;=$H133,AZ$11&lt;=$I133),1,""))</f>
        <v/>
      </c>
      <c r="BA133" s="448" t="str">
        <f aca="false">IF($G133=0,IF(BA$11=$H133,"◆",""),IF(AND(BA$11&gt;=$H133,BA$11&lt;=$I133),1,""))</f>
        <v/>
      </c>
      <c r="BB133" s="448" t="str">
        <f aca="false">IF($G133=0,IF(BB$11=$H133,"◆",""),IF(AND(BB$11&gt;=$H133,BB$11&lt;=$I133),1,""))</f>
        <v/>
      </c>
      <c r="BC133" s="448" t="str">
        <f aca="false">IF($G133=0,IF(BC$11=$H133,"◆",""),IF(AND(BC$11&gt;=$H133,BC$11&lt;=$I133),1,""))</f>
        <v/>
      </c>
      <c r="BD133" s="448" t="str">
        <f aca="false">IF($G133=0,IF(BD$11=$H133,"◆",""),IF(AND(BD$11&gt;=$H133,BD$11&lt;=$I133),1,""))</f>
        <v/>
      </c>
      <c r="BE133" s="448" t="str">
        <f aca="false">IF($G133=0,IF(BE$11=$H133,"◆",""),IF(AND(BE$11&gt;=$H133,BE$11&lt;=$I133),1,""))</f>
        <v/>
      </c>
      <c r="BF133" s="448" t="str">
        <f aca="false">IF($G133=0,IF(BF$11=$H133,"◆",""),IF(AND(BF$11&gt;=$H133,BF$11&lt;=$I133),1,""))</f>
        <v/>
      </c>
      <c r="BG133" s="448" t="str">
        <f aca="false">IF($G133=0,IF(BG$11=$H133,"◆",""),IF(AND(BG$11&gt;=$H133,BG$11&lt;=$I133),1,""))</f>
        <v/>
      </c>
      <c r="BH133" s="448" t="str">
        <f aca="false">IF($G133=0,IF(BH$11=$H133,"◆",""),IF(AND(BH$11&gt;=$H133,BH$11&lt;=$I133),1,""))</f>
        <v/>
      </c>
      <c r="BI133" s="448" t="str">
        <f aca="false">IF($G133=0,IF(BI$11=$H133,"◆",""),IF(AND(BI$11&gt;=$H133,BI$11&lt;=$I133),1,""))</f>
        <v/>
      </c>
      <c r="BJ133" s="448" t="str">
        <f aca="false">IF($G133=0,IF(BJ$11=$H133,"◆",""),IF(AND(BJ$11&gt;=$H133,BJ$11&lt;=$I133),1,""))</f>
        <v/>
      </c>
      <c r="BK133" s="448" t="str">
        <f aca="false">IF($G133=0,IF(BK$11=$H133,"◆",""),IF(AND(BK$11&gt;=$H133,BK$11&lt;=$I133),1,""))</f>
        <v/>
      </c>
      <c r="BL133" s="448" t="str">
        <f aca="false">IF($G133=0,IF(BL$11=$H133,"◆",""),IF(AND(BL$11&gt;=$H133,BL$11&lt;=$I133),1,""))</f>
        <v/>
      </c>
      <c r="BM133" s="448" t="str">
        <f aca="false">IF($G133=0,IF(BM$11=$H133,"◆",""),IF(AND(BM$11&gt;=$H133,BM$11&lt;=$I133),1,""))</f>
        <v/>
      </c>
      <c r="BN133" s="448" t="str">
        <f aca="false">IF($G133=0,IF(BN$11=$H133,"◆",""),IF(AND(BN$11&gt;=$H133,BN$11&lt;=$I133),1,""))</f>
        <v/>
      </c>
      <c r="BO133" s="448" t="str">
        <f aca="false">IF($G133=0,IF(BO$11=$H133,"◆",""),IF(AND(BO$11&gt;=$H133,BO$11&lt;=$I133),1,""))</f>
        <v/>
      </c>
      <c r="BP133" s="448" t="str">
        <f aca="false">IF($G133=0,IF(BP$11=$H133,"◆",""),IF(AND(BP$11&gt;=$H133,BP$11&lt;=$I133),1,""))</f>
        <v/>
      </c>
      <c r="BQ133" s="448" t="str">
        <f aca="false">IF($G133=0,IF(BQ$11=$H133,"◆",""),IF(AND(BQ$11&gt;=$H133,BQ$11&lt;=$I133),1,""))</f>
        <v/>
      </c>
      <c r="BR133" s="448" t="str">
        <f aca="false">IF($G133=0,IF(BR$11=$H133,"◆",""),IF(AND(BR$11&gt;=$H133,BR$11&lt;=$I133),1,""))</f>
        <v/>
      </c>
      <c r="BS133" s="448" t="str">
        <f aca="false">IF($G133=0,IF(BS$11=$H133,"◆",""),IF(AND(BS$11&gt;=$H133,BS$11&lt;=$I133),1,""))</f>
        <v/>
      </c>
      <c r="BT133" s="448" t="str">
        <f aca="false">IF($G133=0,IF(BT$11=$H133,"◆",""),IF(AND(BT$11&gt;=$H133,BT$11&lt;=$I133),1,""))</f>
        <v/>
      </c>
      <c r="BU133" s="448" t="str">
        <f aca="false">IF($G133=0,IF(BU$11=$H133,"◆",""),IF(AND(BU$11&gt;=$H133,BU$11&lt;=$I133),1,""))</f>
        <v/>
      </c>
      <c r="BV133" s="448" t="str">
        <f aca="false">IF($G133=0,IF(BV$11=$H133,"◆",""),IF(AND(BV$11&gt;=$H133,BV$11&lt;=$I133),1,""))</f>
        <v/>
      </c>
      <c r="BW133" s="448" t="str">
        <f aca="false">IF($G133=0,IF(BW$11=$H133,"◆",""),IF(AND(BW$11&gt;=$H133,BW$11&lt;=$I133),1,""))</f>
        <v/>
      </c>
      <c r="BX133" s="448" t="str">
        <f aca="false">IF($G133=0,IF(BX$11=$H133,"◆",""),IF(AND(BX$11&gt;=$H133,BX$11&lt;=$I133),1,""))</f>
        <v/>
      </c>
      <c r="BY133" s="448" t="str">
        <f aca="false">IF($G133=0,IF(BY$11=$H133,"◆",""),IF(AND(BY$11&gt;=$H133,BY$11&lt;=$I133),1,""))</f>
        <v/>
      </c>
      <c r="BZ133" s="448" t="str">
        <f aca="false">IF($G133=0,IF(BZ$11=$H133,"◆",""),IF(AND(BZ$11&gt;=$H133,BZ$11&lt;=$I133),1,""))</f>
        <v/>
      </c>
      <c r="CA133" s="448" t="str">
        <f aca="false">IF($G133=0,IF(CA$11=$H133,"◆",""),IF(AND(CA$11&gt;=$H133,CA$11&lt;=$I133),1,""))</f>
        <v/>
      </c>
      <c r="CB133" s="448" t="str">
        <f aca="false">IF($G133=0,IF(CB$11=$H133,"◆",""),IF(AND(CB$11&gt;=$H133,CB$11&lt;=$I133),1,""))</f>
        <v/>
      </c>
      <c r="CC133" s="448" t="str">
        <f aca="false">IF($G133=0,IF(CC$11=$H133,"◆",""),IF(AND(CC$11&gt;=$H133,CC$11&lt;=$I133),1,""))</f>
        <v/>
      </c>
      <c r="CD133" s="448" t="str">
        <f aca="false">IF($G133=0,IF(CD$11=$H133,"◆",""),IF(AND(CD$11&gt;=$H133,CD$11&lt;=$I133),1,""))</f>
        <v/>
      </c>
      <c r="CE133" s="448" t="str">
        <f aca="false">IF($G133=0,IF(CE$11=$H133,"◆",""),IF(AND(CE$11&gt;=$H133,CE$11&lt;=$I133),1,""))</f>
        <v/>
      </c>
      <c r="CF133" s="448" t="str">
        <f aca="false">IF($G133=0,IF(CF$11=$H133,"◆",""),IF(AND(CF$11&gt;=$H133,CF$11&lt;=$I133),1,""))</f>
        <v/>
      </c>
      <c r="CG133" s="448" t="str">
        <f aca="false">IF($G133=0,IF(CG$11=$H133,"◆",""),IF(AND(CG$11&gt;=$H133,CG$11&lt;=$I133),1,""))</f>
        <v/>
      </c>
      <c r="CH133" s="448" t="str">
        <f aca="false">IF($G133=0,IF(CH$11=$H133,"◆",""),IF(AND(CH$11&gt;=$H133,CH$11&lt;=$I133),1,""))</f>
        <v/>
      </c>
      <c r="CI133" s="448" t="str">
        <f aca="false">IF($G133=0,IF(CI$11=$H133,"◆",""),IF(AND(CI$11&gt;=$H133,CI$11&lt;=$I133),1,""))</f>
        <v/>
      </c>
      <c r="CJ133" s="448" t="str">
        <f aca="false">IF($G133=0,IF(CJ$11=$H133,"◆",""),IF(AND(CJ$11&gt;=$H133,CJ$11&lt;=$I133),1,""))</f>
        <v/>
      </c>
      <c r="CK133" s="448" t="str">
        <f aca="false">IF($G133=0,IF(CK$11=$H133,"◆",""),IF(AND(CK$11&gt;=$H133,CK$11&lt;=$I133),1,""))</f>
        <v/>
      </c>
      <c r="CL133" s="448" t="str">
        <f aca="false">IF($G133=0,IF(CL$11=$H133,"◆",""),IF(AND(CL$11&gt;=$H133,CL$11&lt;=$I133),1,""))</f>
        <v/>
      </c>
      <c r="CM133" s="448" t="str">
        <f aca="false">IF($G133=0,IF(CM$11=$H133,"◆",""),IF(AND(CM$11&gt;=$H133,CM$11&lt;=$I133),1,""))</f>
        <v/>
      </c>
      <c r="CN133" s="448" t="str">
        <f aca="false">IF($G133=0,IF(CN$11=$H133,"◆",""),IF(AND(CN$11&gt;=$H133,CN$11&lt;=$I133),1,""))</f>
        <v/>
      </c>
      <c r="CO133" s="448" t="str">
        <f aca="false">IF($G133=0,IF(CO$11=$H133,"◆",""),IF(AND(CO$11&gt;=$H133,CO$11&lt;=$I133),1,""))</f>
        <v/>
      </c>
      <c r="CP133" s="448" t="str">
        <f aca="false">IF($G133=0,IF(CP$11=$H133,"◆",""),IF(AND(CP$11&gt;=$H133,CP$11&lt;=$I133),1,""))</f>
        <v/>
      </c>
      <c r="CQ133" s="448" t="str">
        <f aca="false">IF($G133=0,IF(CQ$11=$H133,"◆",""),IF(AND(CQ$11&gt;=$H133,CQ$11&lt;=$I133),1,""))</f>
        <v/>
      </c>
      <c r="CR133" s="448" t="str">
        <f aca="false">IF($G133=0,IF(CR$11=$H133,"◆",""),IF(AND(CR$11&gt;=$H133,CR$11&lt;=$I133),1,""))</f>
        <v/>
      </c>
      <c r="CS133" s="448" t="str">
        <f aca="false">IF($G133=0,IF(CS$11=$H133,"◆",""),IF(AND(CS$11&gt;=$H133,CS$11&lt;=$I133),1,""))</f>
        <v/>
      </c>
      <c r="CT133" s="448" t="str">
        <f aca="false">IF($G133=0,IF(CT$11=$H133,"◆",""),IF(AND(CT$11&gt;=$H133,CT$11&lt;=$I133),1,""))</f>
        <v/>
      </c>
      <c r="CU133" s="448" t="str">
        <f aca="false">IF($G133=0,IF(CU$11=$H133,"◆",""),IF(AND(CU$11&gt;=$H133,CU$11&lt;=$I133),1,""))</f>
        <v/>
      </c>
      <c r="CV133" s="448" t="str">
        <f aca="false">IF($G133=0,IF(CV$11=$H133,"◆",""),IF(AND(CV$11&gt;=$H133,CV$11&lt;=$I133),1,""))</f>
        <v/>
      </c>
      <c r="CW133" s="448" t="str">
        <f aca="false">IF($G133=0,IF(CW$11=$H133,"◆",""),IF(AND(CW$11&gt;=$H133,CW$11&lt;=$I133),1,""))</f>
        <v/>
      </c>
      <c r="CX133" s="448" t="str">
        <f aca="false">IF($G133=0,IF(CX$11=$H133,"◆",""),IF(AND(CX$11&gt;=$H133,CX$11&lt;=$I133),1,""))</f>
        <v/>
      </c>
      <c r="CY133" s="448" t="str">
        <f aca="false">IF($G133=0,IF(CY$11=$H133,"◆",""),IF(AND(CY$11&gt;=$H133,CY$11&lt;=$I133),1,""))</f>
        <v/>
      </c>
      <c r="CZ133" s="448" t="str">
        <f aca="false">IF($G133=0,IF(CZ$11=$H133,"◆",""),IF(AND(CZ$11&gt;=$H133,CZ$11&lt;=$I133),1,""))</f>
        <v/>
      </c>
      <c r="DA133" s="448" t="str">
        <f aca="false">IF($G133=0,IF(DA$11=$H133,"◆",""),IF(AND(DA$11&gt;=$H133,DA$11&lt;=$I133),1,""))</f>
        <v/>
      </c>
      <c r="DB133" s="448" t="str">
        <f aca="false">IF($G133=0,IF(DB$11=$H133,"◆",""),IF(AND(DB$11&gt;=$H133,DB$11&lt;=$I133),1,""))</f>
        <v/>
      </c>
      <c r="DC133" s="448" t="str">
        <f aca="false">IF($G133=0,IF(DC$11=$H133,"◆",""),IF(AND(DC$11&gt;=$H133,DC$11&lt;=$I133),1,""))</f>
        <v/>
      </c>
      <c r="DD133" s="448" t="str">
        <f aca="false">IF($G133=0,IF(DD$11=$H133,"◆",""),IF(AND(DD$11&gt;=$H133,DD$11&lt;=$I133),1,""))</f>
        <v/>
      </c>
      <c r="DE133" s="448" t="str">
        <f aca="false">IF($G133=0,IF(DE$11=$H133,"◆",""),IF(AND(DE$11&gt;=$H133,DE$11&lt;=$I133),1,""))</f>
        <v/>
      </c>
      <c r="DF133" s="448" t="str">
        <f aca="false">IF($G133=0,IF(DF$11=$H133,"◆",""),IF(AND(DF$11&gt;=$H133,DF$11&lt;=$I133),1,""))</f>
        <v/>
      </c>
      <c r="DG133" s="448" t="str">
        <f aca="false">IF($G133=0,IF(DG$11=$H133,"◆",""),IF(AND(DG$11&gt;=$H133,DG$11&lt;=$I133),1,""))</f>
        <v/>
      </c>
      <c r="DH133" s="448" t="str">
        <f aca="false">IF($G133=0,IF(DH$11=$H133,"◆",""),IF(AND(DH$11&gt;=$H133,DH$11&lt;=$I133),1,""))</f>
        <v/>
      </c>
      <c r="DI133" s="448" t="str">
        <f aca="false">IF($G133=0,IF(DI$11=$H133,"◆",""),IF(AND(DI$11&gt;=$H133,DI$11&lt;=$I133),1,""))</f>
        <v/>
      </c>
      <c r="DJ133" s="448" t="str">
        <f aca="false">IF($G133=0,IF(DJ$11=$H133,"◆",""),IF(AND(DJ$11&gt;=$H133,DJ$11&lt;=$I133),1,""))</f>
        <v/>
      </c>
      <c r="DK133" s="448" t="str">
        <f aca="false">IF($G133=0,IF(DK$11=$H133,"◆",""),IF(AND(DK$11&gt;=$H133,DK$11&lt;=$I133),1,""))</f>
        <v/>
      </c>
      <c r="DL133" s="448" t="str">
        <f aca="false">IF($G133=0,IF(DL$11=$H133,"◆",""),IF(AND(DL$11&gt;=$H133,DL$11&lt;=$I133),1,""))</f>
        <v/>
      </c>
      <c r="DM133" s="448" t="str">
        <f aca="false">IF($G133=0,IF(DM$11=$H133,"◆",""),IF(AND(DM$11&gt;=$H133,DM$11&lt;=$I133),1,""))</f>
        <v/>
      </c>
      <c r="DN133" s="448" t="str">
        <f aca="false">IF($G133=0,IF(DN$11=$H133,"◆",""),IF(AND(DN$11&gt;=$H133,DN$11&lt;=$I133),1,""))</f>
        <v/>
      </c>
      <c r="DO133" s="448" t="str">
        <f aca="false">IF($G133=0,IF(DO$11=$H133,"◆",""),IF(AND(DO$11&gt;=$H133,DO$11&lt;=$I133),1,""))</f>
        <v/>
      </c>
      <c r="DP133" s="448" t="str">
        <f aca="false">IF($G133=0,IF(DP$11=$H133,"◆",""),IF(AND(DP$11&gt;=$H133,DP$11&lt;=$I133),1,""))</f>
        <v/>
      </c>
      <c r="DQ133" s="448" t="str">
        <f aca="false">IF($G133=0,IF(DQ$11=$H133,"◆",""),IF(AND(DQ$11&gt;=$H133,DQ$11&lt;=$I133),1,""))</f>
        <v/>
      </c>
      <c r="DR133" s="448" t="str">
        <f aca="false">IF($G133=0,IF(DR$11=$H133,"◆",""),IF(AND(DR$11&gt;=$H133,DR$11&lt;=$I133),1,""))</f>
        <v/>
      </c>
      <c r="DS133" s="448" t="str">
        <f aca="false">IF($G133=0,IF(DS$11=$H133,"◆",""),IF(AND(DS$11&gt;=$H133,DS$11&lt;=$I133),1,""))</f>
        <v/>
      </c>
      <c r="DT133" s="448" t="str">
        <f aca="false">IF($G133=0,IF(DT$11=$H133,"◆",""),IF(AND(DT$11&gt;=$H133,DT$11&lt;=$I133),1,""))</f>
        <v/>
      </c>
      <c r="DU133" s="448" t="str">
        <f aca="false">IF($G133=0,IF(DU$11=$H133,"◆",""),IF(AND(DU$11&gt;=$H133,DU$11&lt;=$I133),1,""))</f>
        <v/>
      </c>
      <c r="DV133" s="448" t="str">
        <f aca="false">IF($G133=0,IF(DV$11=$H133,"◆",""),IF(AND(DV$11&gt;=$H133,DV$11&lt;=$I133),1,""))</f>
        <v/>
      </c>
      <c r="DW133" s="448" t="str">
        <f aca="false">IF($G133=0,IF(DW$11=$H133,"◆",""),IF(AND(DW$11&gt;=$H133,DW$11&lt;=$I133),1,""))</f>
        <v/>
      </c>
      <c r="DX133" s="448" t="str">
        <f aca="false">IF($G133=0,IF(DX$11=$H133,"◆",""),IF(AND(DX$11&gt;=$H133,DX$11&lt;=$I133),1,""))</f>
        <v/>
      </c>
      <c r="DY133" s="448" t="str">
        <f aca="false">IF($G133=0,IF(DY$11=$H133,"◆",""),IF(AND(DY$11&gt;=$H133,DY$11&lt;=$I133),1,""))</f>
        <v/>
      </c>
      <c r="DZ133" s="448" t="str">
        <f aca="false">IF($G133=0,IF(DZ$11=$H133,"◆",""),IF(AND(DZ$11&gt;=$H133,DZ$11&lt;=$I133),1,""))</f>
        <v/>
      </c>
      <c r="EA133" s="448" t="str">
        <f aca="false">IF($G133=0,IF(EA$11=$H133,"◆",""),IF(AND(EA$11&gt;=$H133,EA$11&lt;=$I133),1,""))</f>
        <v/>
      </c>
      <c r="EB133" s="448" t="str">
        <f aca="false">IF($G133=0,IF(EB$11=$H133,"◆",""),IF(AND(EB$11&gt;=$H133,EB$11&lt;=$I133),1,""))</f>
        <v/>
      </c>
      <c r="EC133" s="448" t="str">
        <f aca="false">IF($G133=0,IF(EC$11=$H133,"◆",""),IF(AND(EC$11&gt;=$H133,EC$11&lt;=$I133),1,""))</f>
        <v/>
      </c>
      <c r="ED133" s="448" t="str">
        <f aca="false">IF($G133=0,IF(ED$11=$H133,"◆",""),IF(AND(ED$11&gt;=$H133,ED$11&lt;=$I133),1,""))</f>
        <v/>
      </c>
    </row>
    <row r="134" customFormat="false" ht="15" hidden="false" customHeight="true" outlineLevel="0" collapsed="false">
      <c r="A134" s="441" t="s">
        <v>2714</v>
      </c>
      <c r="B134" s="297" t="s">
        <v>2715</v>
      </c>
      <c r="C134" s="442" t="s">
        <v>2518</v>
      </c>
      <c r="D134" s="443" t="s">
        <v>2716</v>
      </c>
      <c r="E134" s="354" t="n">
        <f aca="false">FC_SUPUESTOS!$C$69</f>
        <v>2</v>
      </c>
      <c r="F134" s="352" t="n">
        <v>-4</v>
      </c>
      <c r="G134" s="352" t="n">
        <v>5</v>
      </c>
      <c r="H134" s="367" t="n">
        <f aca="false">MAX(1,ROUND(($E134-1)*$D$5,0)+1+$F134)</f>
        <v>1</v>
      </c>
      <c r="I134" s="367" t="n">
        <f aca="false">MAX($H134,$H134+$G134-1)</f>
        <v>5</v>
      </c>
      <c r="J134" s="444" t="n">
        <f aca="false">$D$4+($H134-1)*7</f>
        <v>46300</v>
      </c>
      <c r="K134" s="444" t="n">
        <f aca="false">$D$4+$I134*7-1</f>
        <v>46334</v>
      </c>
      <c r="L134" s="445" t="n">
        <f aca="false">ROUNDUP($H134/$D$5,0)</f>
        <v>1</v>
      </c>
      <c r="M134" s="446"/>
      <c r="N134" s="447" t="n">
        <v>0</v>
      </c>
      <c r="O134" s="448" t="n">
        <f aca="false">IF($G134=0,IF(O$11=$H134,"◆",""),IF(AND(O$11&gt;=$H134,O$11&lt;=$I134),1,""))</f>
        <v>1</v>
      </c>
      <c r="P134" s="448" t="n">
        <f aca="false">IF($G134=0,IF(P$11=$H134,"◆",""),IF(AND(P$11&gt;=$H134,P$11&lt;=$I134),1,""))</f>
        <v>1</v>
      </c>
      <c r="Q134" s="448" t="n">
        <f aca="false">IF($G134=0,IF(Q$11=$H134,"◆",""),IF(AND(Q$11&gt;=$H134,Q$11&lt;=$I134),1,""))</f>
        <v>1</v>
      </c>
      <c r="R134" s="448" t="n">
        <f aca="false">IF($G134=0,IF(R$11=$H134,"◆",""),IF(AND(R$11&gt;=$H134,R$11&lt;=$I134),1,""))</f>
        <v>1</v>
      </c>
      <c r="S134" s="448" t="n">
        <f aca="false">IF($G134=0,IF(S$11=$H134,"◆",""),IF(AND(S$11&gt;=$H134,S$11&lt;=$I134),1,""))</f>
        <v>1</v>
      </c>
      <c r="T134" s="448" t="str">
        <f aca="false">IF($G134=0,IF(T$11=$H134,"◆",""),IF(AND(T$11&gt;=$H134,T$11&lt;=$I134),1,""))</f>
        <v/>
      </c>
      <c r="U134" s="448" t="str">
        <f aca="false">IF($G134=0,IF(U$11=$H134,"◆",""),IF(AND(U$11&gt;=$H134,U$11&lt;=$I134),1,""))</f>
        <v/>
      </c>
      <c r="V134" s="448" t="str">
        <f aca="false">IF($G134=0,IF(V$11=$H134,"◆",""),IF(AND(V$11&gt;=$H134,V$11&lt;=$I134),1,""))</f>
        <v/>
      </c>
      <c r="W134" s="448" t="str">
        <f aca="false">IF($G134=0,IF(W$11=$H134,"◆",""),IF(AND(W$11&gt;=$H134,W$11&lt;=$I134),1,""))</f>
        <v/>
      </c>
      <c r="X134" s="448" t="str">
        <f aca="false">IF($G134=0,IF(X$11=$H134,"◆",""),IF(AND(X$11&gt;=$H134,X$11&lt;=$I134),1,""))</f>
        <v/>
      </c>
      <c r="Y134" s="448" t="str">
        <f aca="false">IF($G134=0,IF(Y$11=$H134,"◆",""),IF(AND(Y$11&gt;=$H134,Y$11&lt;=$I134),1,""))</f>
        <v/>
      </c>
      <c r="Z134" s="448" t="str">
        <f aca="false">IF($G134=0,IF(Z$11=$H134,"◆",""),IF(AND(Z$11&gt;=$H134,Z$11&lt;=$I134),1,""))</f>
        <v/>
      </c>
      <c r="AA134" s="448" t="str">
        <f aca="false">IF($G134=0,IF(AA$11=$H134,"◆",""),IF(AND(AA$11&gt;=$H134,AA$11&lt;=$I134),1,""))</f>
        <v/>
      </c>
      <c r="AB134" s="448" t="str">
        <f aca="false">IF($G134=0,IF(AB$11=$H134,"◆",""),IF(AND(AB$11&gt;=$H134,AB$11&lt;=$I134),1,""))</f>
        <v/>
      </c>
      <c r="AC134" s="448" t="str">
        <f aca="false">IF($G134=0,IF(AC$11=$H134,"◆",""),IF(AND(AC$11&gt;=$H134,AC$11&lt;=$I134),1,""))</f>
        <v/>
      </c>
      <c r="AD134" s="448" t="str">
        <f aca="false">IF($G134=0,IF(AD$11=$H134,"◆",""),IF(AND(AD$11&gt;=$H134,AD$11&lt;=$I134),1,""))</f>
        <v/>
      </c>
      <c r="AE134" s="448" t="str">
        <f aca="false">IF($G134=0,IF(AE$11=$H134,"◆",""),IF(AND(AE$11&gt;=$H134,AE$11&lt;=$I134),1,""))</f>
        <v/>
      </c>
      <c r="AF134" s="448" t="str">
        <f aca="false">IF($G134=0,IF(AF$11=$H134,"◆",""),IF(AND(AF$11&gt;=$H134,AF$11&lt;=$I134),1,""))</f>
        <v/>
      </c>
      <c r="AG134" s="448" t="str">
        <f aca="false">IF($G134=0,IF(AG$11=$H134,"◆",""),IF(AND(AG$11&gt;=$H134,AG$11&lt;=$I134),1,""))</f>
        <v/>
      </c>
      <c r="AH134" s="448" t="str">
        <f aca="false">IF($G134=0,IF(AH$11=$H134,"◆",""),IF(AND(AH$11&gt;=$H134,AH$11&lt;=$I134),1,""))</f>
        <v/>
      </c>
      <c r="AI134" s="448" t="str">
        <f aca="false">IF($G134=0,IF(AI$11=$H134,"◆",""),IF(AND(AI$11&gt;=$H134,AI$11&lt;=$I134),1,""))</f>
        <v/>
      </c>
      <c r="AJ134" s="448" t="str">
        <f aca="false">IF($G134=0,IF(AJ$11=$H134,"◆",""),IF(AND(AJ$11&gt;=$H134,AJ$11&lt;=$I134),1,""))</f>
        <v/>
      </c>
      <c r="AK134" s="448" t="str">
        <f aca="false">IF($G134=0,IF(AK$11=$H134,"◆",""),IF(AND(AK$11&gt;=$H134,AK$11&lt;=$I134),1,""))</f>
        <v/>
      </c>
      <c r="AL134" s="448" t="str">
        <f aca="false">IF($G134=0,IF(AL$11=$H134,"◆",""),IF(AND(AL$11&gt;=$H134,AL$11&lt;=$I134),1,""))</f>
        <v/>
      </c>
      <c r="AM134" s="448" t="str">
        <f aca="false">IF($G134=0,IF(AM$11=$H134,"◆",""),IF(AND(AM$11&gt;=$H134,AM$11&lt;=$I134),1,""))</f>
        <v/>
      </c>
      <c r="AN134" s="448" t="str">
        <f aca="false">IF($G134=0,IF(AN$11=$H134,"◆",""),IF(AND(AN$11&gt;=$H134,AN$11&lt;=$I134),1,""))</f>
        <v/>
      </c>
      <c r="AO134" s="448" t="str">
        <f aca="false">IF($G134=0,IF(AO$11=$H134,"◆",""),IF(AND(AO$11&gt;=$H134,AO$11&lt;=$I134),1,""))</f>
        <v/>
      </c>
      <c r="AP134" s="448" t="str">
        <f aca="false">IF($G134=0,IF(AP$11=$H134,"◆",""),IF(AND(AP$11&gt;=$H134,AP$11&lt;=$I134),1,""))</f>
        <v/>
      </c>
      <c r="AQ134" s="448" t="str">
        <f aca="false">IF($G134=0,IF(AQ$11=$H134,"◆",""),IF(AND(AQ$11&gt;=$H134,AQ$11&lt;=$I134),1,""))</f>
        <v/>
      </c>
      <c r="AR134" s="448" t="str">
        <f aca="false">IF($G134=0,IF(AR$11=$H134,"◆",""),IF(AND(AR$11&gt;=$H134,AR$11&lt;=$I134),1,""))</f>
        <v/>
      </c>
      <c r="AS134" s="448" t="str">
        <f aca="false">IF($G134=0,IF(AS$11=$H134,"◆",""),IF(AND(AS$11&gt;=$H134,AS$11&lt;=$I134),1,""))</f>
        <v/>
      </c>
      <c r="AT134" s="448" t="str">
        <f aca="false">IF($G134=0,IF(AT$11=$H134,"◆",""),IF(AND(AT$11&gt;=$H134,AT$11&lt;=$I134),1,""))</f>
        <v/>
      </c>
      <c r="AU134" s="448" t="str">
        <f aca="false">IF($G134=0,IF(AU$11=$H134,"◆",""),IF(AND(AU$11&gt;=$H134,AU$11&lt;=$I134),1,""))</f>
        <v/>
      </c>
      <c r="AV134" s="448" t="str">
        <f aca="false">IF($G134=0,IF(AV$11=$H134,"◆",""),IF(AND(AV$11&gt;=$H134,AV$11&lt;=$I134),1,""))</f>
        <v/>
      </c>
      <c r="AW134" s="448" t="str">
        <f aca="false">IF($G134=0,IF(AW$11=$H134,"◆",""),IF(AND(AW$11&gt;=$H134,AW$11&lt;=$I134),1,""))</f>
        <v/>
      </c>
      <c r="AX134" s="448" t="str">
        <f aca="false">IF($G134=0,IF(AX$11=$H134,"◆",""),IF(AND(AX$11&gt;=$H134,AX$11&lt;=$I134),1,""))</f>
        <v/>
      </c>
      <c r="AY134" s="448" t="str">
        <f aca="false">IF($G134=0,IF(AY$11=$H134,"◆",""),IF(AND(AY$11&gt;=$H134,AY$11&lt;=$I134),1,""))</f>
        <v/>
      </c>
      <c r="AZ134" s="448" t="str">
        <f aca="false">IF($G134=0,IF(AZ$11=$H134,"◆",""),IF(AND(AZ$11&gt;=$H134,AZ$11&lt;=$I134),1,""))</f>
        <v/>
      </c>
      <c r="BA134" s="448" t="str">
        <f aca="false">IF($G134=0,IF(BA$11=$H134,"◆",""),IF(AND(BA$11&gt;=$H134,BA$11&lt;=$I134),1,""))</f>
        <v/>
      </c>
      <c r="BB134" s="448" t="str">
        <f aca="false">IF($G134=0,IF(BB$11=$H134,"◆",""),IF(AND(BB$11&gt;=$H134,BB$11&lt;=$I134),1,""))</f>
        <v/>
      </c>
      <c r="BC134" s="448" t="str">
        <f aca="false">IF($G134=0,IF(BC$11=$H134,"◆",""),IF(AND(BC$11&gt;=$H134,BC$11&lt;=$I134),1,""))</f>
        <v/>
      </c>
      <c r="BD134" s="448" t="str">
        <f aca="false">IF($G134=0,IF(BD$11=$H134,"◆",""),IF(AND(BD$11&gt;=$H134,BD$11&lt;=$I134),1,""))</f>
        <v/>
      </c>
      <c r="BE134" s="448" t="str">
        <f aca="false">IF($G134=0,IF(BE$11=$H134,"◆",""),IF(AND(BE$11&gt;=$H134,BE$11&lt;=$I134),1,""))</f>
        <v/>
      </c>
      <c r="BF134" s="448" t="str">
        <f aca="false">IF($G134=0,IF(BF$11=$H134,"◆",""),IF(AND(BF$11&gt;=$H134,BF$11&lt;=$I134),1,""))</f>
        <v/>
      </c>
      <c r="BG134" s="448" t="str">
        <f aca="false">IF($G134=0,IF(BG$11=$H134,"◆",""),IF(AND(BG$11&gt;=$H134,BG$11&lt;=$I134),1,""))</f>
        <v/>
      </c>
      <c r="BH134" s="448" t="str">
        <f aca="false">IF($G134=0,IF(BH$11=$H134,"◆",""),IF(AND(BH$11&gt;=$H134,BH$11&lt;=$I134),1,""))</f>
        <v/>
      </c>
      <c r="BI134" s="448" t="str">
        <f aca="false">IF($G134=0,IF(BI$11=$H134,"◆",""),IF(AND(BI$11&gt;=$H134,BI$11&lt;=$I134),1,""))</f>
        <v/>
      </c>
      <c r="BJ134" s="448" t="str">
        <f aca="false">IF($G134=0,IF(BJ$11=$H134,"◆",""),IF(AND(BJ$11&gt;=$H134,BJ$11&lt;=$I134),1,""))</f>
        <v/>
      </c>
      <c r="BK134" s="448" t="str">
        <f aca="false">IF($G134=0,IF(BK$11=$H134,"◆",""),IF(AND(BK$11&gt;=$H134,BK$11&lt;=$I134),1,""))</f>
        <v/>
      </c>
      <c r="BL134" s="448" t="str">
        <f aca="false">IF($G134=0,IF(BL$11=$H134,"◆",""),IF(AND(BL$11&gt;=$H134,BL$11&lt;=$I134),1,""))</f>
        <v/>
      </c>
      <c r="BM134" s="448" t="str">
        <f aca="false">IF($G134=0,IF(BM$11=$H134,"◆",""),IF(AND(BM$11&gt;=$H134,BM$11&lt;=$I134),1,""))</f>
        <v/>
      </c>
      <c r="BN134" s="448" t="str">
        <f aca="false">IF($G134=0,IF(BN$11=$H134,"◆",""),IF(AND(BN$11&gt;=$H134,BN$11&lt;=$I134),1,""))</f>
        <v/>
      </c>
      <c r="BO134" s="448" t="str">
        <f aca="false">IF($G134=0,IF(BO$11=$H134,"◆",""),IF(AND(BO$11&gt;=$H134,BO$11&lt;=$I134),1,""))</f>
        <v/>
      </c>
      <c r="BP134" s="448" t="str">
        <f aca="false">IF($G134=0,IF(BP$11=$H134,"◆",""),IF(AND(BP$11&gt;=$H134,BP$11&lt;=$I134),1,""))</f>
        <v/>
      </c>
      <c r="BQ134" s="448" t="str">
        <f aca="false">IF($G134=0,IF(BQ$11=$H134,"◆",""),IF(AND(BQ$11&gt;=$H134,BQ$11&lt;=$I134),1,""))</f>
        <v/>
      </c>
      <c r="BR134" s="448" t="str">
        <f aca="false">IF($G134=0,IF(BR$11=$H134,"◆",""),IF(AND(BR$11&gt;=$H134,BR$11&lt;=$I134),1,""))</f>
        <v/>
      </c>
      <c r="BS134" s="448" t="str">
        <f aca="false">IF($G134=0,IF(BS$11=$H134,"◆",""),IF(AND(BS$11&gt;=$H134,BS$11&lt;=$I134),1,""))</f>
        <v/>
      </c>
      <c r="BT134" s="448" t="str">
        <f aca="false">IF($G134=0,IF(BT$11=$H134,"◆",""),IF(AND(BT$11&gt;=$H134,BT$11&lt;=$I134),1,""))</f>
        <v/>
      </c>
      <c r="BU134" s="448" t="str">
        <f aca="false">IF($G134=0,IF(BU$11=$H134,"◆",""),IF(AND(BU$11&gt;=$H134,BU$11&lt;=$I134),1,""))</f>
        <v/>
      </c>
      <c r="BV134" s="448" t="str">
        <f aca="false">IF($G134=0,IF(BV$11=$H134,"◆",""),IF(AND(BV$11&gt;=$H134,BV$11&lt;=$I134),1,""))</f>
        <v/>
      </c>
      <c r="BW134" s="448" t="str">
        <f aca="false">IF($G134=0,IF(BW$11=$H134,"◆",""),IF(AND(BW$11&gt;=$H134,BW$11&lt;=$I134),1,""))</f>
        <v/>
      </c>
      <c r="BX134" s="448" t="str">
        <f aca="false">IF($G134=0,IF(BX$11=$H134,"◆",""),IF(AND(BX$11&gt;=$H134,BX$11&lt;=$I134),1,""))</f>
        <v/>
      </c>
      <c r="BY134" s="448" t="str">
        <f aca="false">IF($G134=0,IF(BY$11=$H134,"◆",""),IF(AND(BY$11&gt;=$H134,BY$11&lt;=$I134),1,""))</f>
        <v/>
      </c>
      <c r="BZ134" s="448" t="str">
        <f aca="false">IF($G134=0,IF(BZ$11=$H134,"◆",""),IF(AND(BZ$11&gt;=$H134,BZ$11&lt;=$I134),1,""))</f>
        <v/>
      </c>
      <c r="CA134" s="448" t="str">
        <f aca="false">IF($G134=0,IF(CA$11=$H134,"◆",""),IF(AND(CA$11&gt;=$H134,CA$11&lt;=$I134),1,""))</f>
        <v/>
      </c>
      <c r="CB134" s="448" t="str">
        <f aca="false">IF($G134=0,IF(CB$11=$H134,"◆",""),IF(AND(CB$11&gt;=$H134,CB$11&lt;=$I134),1,""))</f>
        <v/>
      </c>
      <c r="CC134" s="448" t="str">
        <f aca="false">IF($G134=0,IF(CC$11=$H134,"◆",""),IF(AND(CC$11&gt;=$H134,CC$11&lt;=$I134),1,""))</f>
        <v/>
      </c>
      <c r="CD134" s="448" t="str">
        <f aca="false">IF($G134=0,IF(CD$11=$H134,"◆",""),IF(AND(CD$11&gt;=$H134,CD$11&lt;=$I134),1,""))</f>
        <v/>
      </c>
      <c r="CE134" s="448" t="str">
        <f aca="false">IF($G134=0,IF(CE$11=$H134,"◆",""),IF(AND(CE$11&gt;=$H134,CE$11&lt;=$I134),1,""))</f>
        <v/>
      </c>
      <c r="CF134" s="448" t="str">
        <f aca="false">IF($G134=0,IF(CF$11=$H134,"◆",""),IF(AND(CF$11&gt;=$H134,CF$11&lt;=$I134),1,""))</f>
        <v/>
      </c>
      <c r="CG134" s="448" t="str">
        <f aca="false">IF($G134=0,IF(CG$11=$H134,"◆",""),IF(AND(CG$11&gt;=$H134,CG$11&lt;=$I134),1,""))</f>
        <v/>
      </c>
      <c r="CH134" s="448" t="str">
        <f aca="false">IF($G134=0,IF(CH$11=$H134,"◆",""),IF(AND(CH$11&gt;=$H134,CH$11&lt;=$I134),1,""))</f>
        <v/>
      </c>
      <c r="CI134" s="448" t="str">
        <f aca="false">IF($G134=0,IF(CI$11=$H134,"◆",""),IF(AND(CI$11&gt;=$H134,CI$11&lt;=$I134),1,""))</f>
        <v/>
      </c>
      <c r="CJ134" s="448" t="str">
        <f aca="false">IF($G134=0,IF(CJ$11=$H134,"◆",""),IF(AND(CJ$11&gt;=$H134,CJ$11&lt;=$I134),1,""))</f>
        <v/>
      </c>
      <c r="CK134" s="448" t="str">
        <f aca="false">IF($G134=0,IF(CK$11=$H134,"◆",""),IF(AND(CK$11&gt;=$H134,CK$11&lt;=$I134),1,""))</f>
        <v/>
      </c>
      <c r="CL134" s="448" t="str">
        <f aca="false">IF($G134=0,IF(CL$11=$H134,"◆",""),IF(AND(CL$11&gt;=$H134,CL$11&lt;=$I134),1,""))</f>
        <v/>
      </c>
      <c r="CM134" s="448" t="str">
        <f aca="false">IF($G134=0,IF(CM$11=$H134,"◆",""),IF(AND(CM$11&gt;=$H134,CM$11&lt;=$I134),1,""))</f>
        <v/>
      </c>
      <c r="CN134" s="448" t="str">
        <f aca="false">IF($G134=0,IF(CN$11=$H134,"◆",""),IF(AND(CN$11&gt;=$H134,CN$11&lt;=$I134),1,""))</f>
        <v/>
      </c>
      <c r="CO134" s="448" t="str">
        <f aca="false">IF($G134=0,IF(CO$11=$H134,"◆",""),IF(AND(CO$11&gt;=$H134,CO$11&lt;=$I134),1,""))</f>
        <v/>
      </c>
      <c r="CP134" s="448" t="str">
        <f aca="false">IF($G134=0,IF(CP$11=$H134,"◆",""),IF(AND(CP$11&gt;=$H134,CP$11&lt;=$I134),1,""))</f>
        <v/>
      </c>
      <c r="CQ134" s="448" t="str">
        <f aca="false">IF($G134=0,IF(CQ$11=$H134,"◆",""),IF(AND(CQ$11&gt;=$H134,CQ$11&lt;=$I134),1,""))</f>
        <v/>
      </c>
      <c r="CR134" s="448" t="str">
        <f aca="false">IF($G134=0,IF(CR$11=$H134,"◆",""),IF(AND(CR$11&gt;=$H134,CR$11&lt;=$I134),1,""))</f>
        <v/>
      </c>
      <c r="CS134" s="448" t="str">
        <f aca="false">IF($G134=0,IF(CS$11=$H134,"◆",""),IF(AND(CS$11&gt;=$H134,CS$11&lt;=$I134),1,""))</f>
        <v/>
      </c>
      <c r="CT134" s="448" t="str">
        <f aca="false">IF($G134=0,IF(CT$11=$H134,"◆",""),IF(AND(CT$11&gt;=$H134,CT$11&lt;=$I134),1,""))</f>
        <v/>
      </c>
      <c r="CU134" s="448" t="str">
        <f aca="false">IF($G134=0,IF(CU$11=$H134,"◆",""),IF(AND(CU$11&gt;=$H134,CU$11&lt;=$I134),1,""))</f>
        <v/>
      </c>
      <c r="CV134" s="448" t="str">
        <f aca="false">IF($G134=0,IF(CV$11=$H134,"◆",""),IF(AND(CV$11&gt;=$H134,CV$11&lt;=$I134),1,""))</f>
        <v/>
      </c>
      <c r="CW134" s="448" t="str">
        <f aca="false">IF($G134=0,IF(CW$11=$H134,"◆",""),IF(AND(CW$11&gt;=$H134,CW$11&lt;=$I134),1,""))</f>
        <v/>
      </c>
      <c r="CX134" s="448" t="str">
        <f aca="false">IF($G134=0,IF(CX$11=$H134,"◆",""),IF(AND(CX$11&gt;=$H134,CX$11&lt;=$I134),1,""))</f>
        <v/>
      </c>
      <c r="CY134" s="448" t="str">
        <f aca="false">IF($G134=0,IF(CY$11=$H134,"◆",""),IF(AND(CY$11&gt;=$H134,CY$11&lt;=$I134),1,""))</f>
        <v/>
      </c>
      <c r="CZ134" s="448" t="str">
        <f aca="false">IF($G134=0,IF(CZ$11=$H134,"◆",""),IF(AND(CZ$11&gt;=$H134,CZ$11&lt;=$I134),1,""))</f>
        <v/>
      </c>
      <c r="DA134" s="448" t="str">
        <f aca="false">IF($G134=0,IF(DA$11=$H134,"◆",""),IF(AND(DA$11&gt;=$H134,DA$11&lt;=$I134),1,""))</f>
        <v/>
      </c>
      <c r="DB134" s="448" t="str">
        <f aca="false">IF($G134=0,IF(DB$11=$H134,"◆",""),IF(AND(DB$11&gt;=$H134,DB$11&lt;=$I134),1,""))</f>
        <v/>
      </c>
      <c r="DC134" s="448" t="str">
        <f aca="false">IF($G134=0,IF(DC$11=$H134,"◆",""),IF(AND(DC$11&gt;=$H134,DC$11&lt;=$I134),1,""))</f>
        <v/>
      </c>
      <c r="DD134" s="448" t="str">
        <f aca="false">IF($G134=0,IF(DD$11=$H134,"◆",""),IF(AND(DD$11&gt;=$H134,DD$11&lt;=$I134),1,""))</f>
        <v/>
      </c>
      <c r="DE134" s="448" t="str">
        <f aca="false">IF($G134=0,IF(DE$11=$H134,"◆",""),IF(AND(DE$11&gt;=$H134,DE$11&lt;=$I134),1,""))</f>
        <v/>
      </c>
      <c r="DF134" s="448" t="str">
        <f aca="false">IF($G134=0,IF(DF$11=$H134,"◆",""),IF(AND(DF$11&gt;=$H134,DF$11&lt;=$I134),1,""))</f>
        <v/>
      </c>
      <c r="DG134" s="448" t="str">
        <f aca="false">IF($G134=0,IF(DG$11=$H134,"◆",""),IF(AND(DG$11&gt;=$H134,DG$11&lt;=$I134),1,""))</f>
        <v/>
      </c>
      <c r="DH134" s="448" t="str">
        <f aca="false">IF($G134=0,IF(DH$11=$H134,"◆",""),IF(AND(DH$11&gt;=$H134,DH$11&lt;=$I134),1,""))</f>
        <v/>
      </c>
      <c r="DI134" s="448" t="str">
        <f aca="false">IF($G134=0,IF(DI$11=$H134,"◆",""),IF(AND(DI$11&gt;=$H134,DI$11&lt;=$I134),1,""))</f>
        <v/>
      </c>
      <c r="DJ134" s="448" t="str">
        <f aca="false">IF($G134=0,IF(DJ$11=$H134,"◆",""),IF(AND(DJ$11&gt;=$H134,DJ$11&lt;=$I134),1,""))</f>
        <v/>
      </c>
      <c r="DK134" s="448" t="str">
        <f aca="false">IF($G134=0,IF(DK$11=$H134,"◆",""),IF(AND(DK$11&gt;=$H134,DK$11&lt;=$I134),1,""))</f>
        <v/>
      </c>
      <c r="DL134" s="448" t="str">
        <f aca="false">IF($G134=0,IF(DL$11=$H134,"◆",""),IF(AND(DL$11&gt;=$H134,DL$11&lt;=$I134),1,""))</f>
        <v/>
      </c>
      <c r="DM134" s="448" t="str">
        <f aca="false">IF($G134=0,IF(DM$11=$H134,"◆",""),IF(AND(DM$11&gt;=$H134,DM$11&lt;=$I134),1,""))</f>
        <v/>
      </c>
      <c r="DN134" s="448" t="str">
        <f aca="false">IF($G134=0,IF(DN$11=$H134,"◆",""),IF(AND(DN$11&gt;=$H134,DN$11&lt;=$I134),1,""))</f>
        <v/>
      </c>
      <c r="DO134" s="448" t="str">
        <f aca="false">IF($G134=0,IF(DO$11=$H134,"◆",""),IF(AND(DO$11&gt;=$H134,DO$11&lt;=$I134),1,""))</f>
        <v/>
      </c>
      <c r="DP134" s="448" t="str">
        <f aca="false">IF($G134=0,IF(DP$11=$H134,"◆",""),IF(AND(DP$11&gt;=$H134,DP$11&lt;=$I134),1,""))</f>
        <v/>
      </c>
      <c r="DQ134" s="448" t="str">
        <f aca="false">IF($G134=0,IF(DQ$11=$H134,"◆",""),IF(AND(DQ$11&gt;=$H134,DQ$11&lt;=$I134),1,""))</f>
        <v/>
      </c>
      <c r="DR134" s="448" t="str">
        <f aca="false">IF($G134=0,IF(DR$11=$H134,"◆",""),IF(AND(DR$11&gt;=$H134,DR$11&lt;=$I134),1,""))</f>
        <v/>
      </c>
      <c r="DS134" s="448" t="str">
        <f aca="false">IF($G134=0,IF(DS$11=$H134,"◆",""),IF(AND(DS$11&gt;=$H134,DS$11&lt;=$I134),1,""))</f>
        <v/>
      </c>
      <c r="DT134" s="448" t="str">
        <f aca="false">IF($G134=0,IF(DT$11=$H134,"◆",""),IF(AND(DT$11&gt;=$H134,DT$11&lt;=$I134),1,""))</f>
        <v/>
      </c>
      <c r="DU134" s="448" t="str">
        <f aca="false">IF($G134=0,IF(DU$11=$H134,"◆",""),IF(AND(DU$11&gt;=$H134,DU$11&lt;=$I134),1,""))</f>
        <v/>
      </c>
      <c r="DV134" s="448" t="str">
        <f aca="false">IF($G134=0,IF(DV$11=$H134,"◆",""),IF(AND(DV$11&gt;=$H134,DV$11&lt;=$I134),1,""))</f>
        <v/>
      </c>
      <c r="DW134" s="448" t="str">
        <f aca="false">IF($G134=0,IF(DW$11=$H134,"◆",""),IF(AND(DW$11&gt;=$H134,DW$11&lt;=$I134),1,""))</f>
        <v/>
      </c>
      <c r="DX134" s="448" t="str">
        <f aca="false">IF($G134=0,IF(DX$11=$H134,"◆",""),IF(AND(DX$11&gt;=$H134,DX$11&lt;=$I134),1,""))</f>
        <v/>
      </c>
      <c r="DY134" s="448" t="str">
        <f aca="false">IF($G134=0,IF(DY$11=$H134,"◆",""),IF(AND(DY$11&gt;=$H134,DY$11&lt;=$I134),1,""))</f>
        <v/>
      </c>
      <c r="DZ134" s="448" t="str">
        <f aca="false">IF($G134=0,IF(DZ$11=$H134,"◆",""),IF(AND(DZ$11&gt;=$H134,DZ$11&lt;=$I134),1,""))</f>
        <v/>
      </c>
      <c r="EA134" s="448" t="str">
        <f aca="false">IF($G134=0,IF(EA$11=$H134,"◆",""),IF(AND(EA$11&gt;=$H134,EA$11&lt;=$I134),1,""))</f>
        <v/>
      </c>
      <c r="EB134" s="448" t="str">
        <f aca="false">IF($G134=0,IF(EB$11=$H134,"◆",""),IF(AND(EB$11&gt;=$H134,EB$11&lt;=$I134),1,""))</f>
        <v/>
      </c>
      <c r="EC134" s="448" t="str">
        <f aca="false">IF($G134=0,IF(EC$11=$H134,"◆",""),IF(AND(EC$11&gt;=$H134,EC$11&lt;=$I134),1,""))</f>
        <v/>
      </c>
      <c r="ED134" s="448" t="str">
        <f aca="false">IF($G134=0,IF(ED$11=$H134,"◆",""),IF(AND(ED$11&gt;=$H134,ED$11&lt;=$I134),1,""))</f>
        <v/>
      </c>
    </row>
    <row r="135" customFormat="false" ht="15" hidden="false" customHeight="true" outlineLevel="0" collapsed="false">
      <c r="A135" s="441" t="s">
        <v>2717</v>
      </c>
      <c r="B135" s="297" t="s">
        <v>2718</v>
      </c>
      <c r="C135" s="442" t="s">
        <v>2518</v>
      </c>
      <c r="D135" s="443" t="s">
        <v>2719</v>
      </c>
      <c r="E135" s="354" t="n">
        <f aca="false">FC_SUPUESTOS!$C$23-FC_SUPUESTOS!$F$218</f>
        <v>8</v>
      </c>
      <c r="F135" s="352" t="n">
        <v>-6</v>
      </c>
      <c r="G135" s="352" t="n">
        <v>10</v>
      </c>
      <c r="H135" s="367" t="n">
        <f aca="false">MAX(1,ROUND(($E135-1)*$D$5,0)+1+$F135)</f>
        <v>25</v>
      </c>
      <c r="I135" s="367" t="n">
        <f aca="false">MAX($H135,$H135+$G135-1)</f>
        <v>34</v>
      </c>
      <c r="J135" s="444" t="n">
        <f aca="false">$D$4+($H135-1)*7</f>
        <v>46468</v>
      </c>
      <c r="K135" s="444" t="n">
        <f aca="false">$D$4+$I135*7-1</f>
        <v>46537</v>
      </c>
      <c r="L135" s="445" t="n">
        <f aca="false">ROUNDUP($H135/$D$5,0)</f>
        <v>6</v>
      </c>
      <c r="M135" s="446" t="s">
        <v>2453</v>
      </c>
      <c r="N135" s="447" t="n">
        <v>0</v>
      </c>
      <c r="O135" s="448" t="str">
        <f aca="false">IF($G135=0,IF(O$11=$H135,"◆",""),IF(AND(O$11&gt;=$H135,O$11&lt;=$I135),1,""))</f>
        <v/>
      </c>
      <c r="P135" s="448" t="str">
        <f aca="false">IF($G135=0,IF(P$11=$H135,"◆",""),IF(AND(P$11&gt;=$H135,P$11&lt;=$I135),1,""))</f>
        <v/>
      </c>
      <c r="Q135" s="448" t="str">
        <f aca="false">IF($G135=0,IF(Q$11=$H135,"◆",""),IF(AND(Q$11&gt;=$H135,Q$11&lt;=$I135),1,""))</f>
        <v/>
      </c>
      <c r="R135" s="448" t="str">
        <f aca="false">IF($G135=0,IF(R$11=$H135,"◆",""),IF(AND(R$11&gt;=$H135,R$11&lt;=$I135),1,""))</f>
        <v/>
      </c>
      <c r="S135" s="448" t="str">
        <f aca="false">IF($G135=0,IF(S$11=$H135,"◆",""),IF(AND(S$11&gt;=$H135,S$11&lt;=$I135),1,""))</f>
        <v/>
      </c>
      <c r="T135" s="448" t="str">
        <f aca="false">IF($G135=0,IF(T$11=$H135,"◆",""),IF(AND(T$11&gt;=$H135,T$11&lt;=$I135),1,""))</f>
        <v/>
      </c>
      <c r="U135" s="448" t="str">
        <f aca="false">IF($G135=0,IF(U$11=$H135,"◆",""),IF(AND(U$11&gt;=$H135,U$11&lt;=$I135),1,""))</f>
        <v/>
      </c>
      <c r="V135" s="448" t="str">
        <f aca="false">IF($G135=0,IF(V$11=$H135,"◆",""),IF(AND(V$11&gt;=$H135,V$11&lt;=$I135),1,""))</f>
        <v/>
      </c>
      <c r="W135" s="448" t="str">
        <f aca="false">IF($G135=0,IF(W$11=$H135,"◆",""),IF(AND(W$11&gt;=$H135,W$11&lt;=$I135),1,""))</f>
        <v/>
      </c>
      <c r="X135" s="448" t="str">
        <f aca="false">IF($G135=0,IF(X$11=$H135,"◆",""),IF(AND(X$11&gt;=$H135,X$11&lt;=$I135),1,""))</f>
        <v/>
      </c>
      <c r="Y135" s="448" t="str">
        <f aca="false">IF($G135=0,IF(Y$11=$H135,"◆",""),IF(AND(Y$11&gt;=$H135,Y$11&lt;=$I135),1,""))</f>
        <v/>
      </c>
      <c r="Z135" s="448" t="str">
        <f aca="false">IF($G135=0,IF(Z$11=$H135,"◆",""),IF(AND(Z$11&gt;=$H135,Z$11&lt;=$I135),1,""))</f>
        <v/>
      </c>
      <c r="AA135" s="448" t="str">
        <f aca="false">IF($G135=0,IF(AA$11=$H135,"◆",""),IF(AND(AA$11&gt;=$H135,AA$11&lt;=$I135),1,""))</f>
        <v/>
      </c>
      <c r="AB135" s="448" t="str">
        <f aca="false">IF($G135=0,IF(AB$11=$H135,"◆",""),IF(AND(AB$11&gt;=$H135,AB$11&lt;=$I135),1,""))</f>
        <v/>
      </c>
      <c r="AC135" s="448" t="str">
        <f aca="false">IF($G135=0,IF(AC$11=$H135,"◆",""),IF(AND(AC$11&gt;=$H135,AC$11&lt;=$I135),1,""))</f>
        <v/>
      </c>
      <c r="AD135" s="448" t="str">
        <f aca="false">IF($G135=0,IF(AD$11=$H135,"◆",""),IF(AND(AD$11&gt;=$H135,AD$11&lt;=$I135),1,""))</f>
        <v/>
      </c>
      <c r="AE135" s="448" t="str">
        <f aca="false">IF($G135=0,IF(AE$11=$H135,"◆",""),IF(AND(AE$11&gt;=$H135,AE$11&lt;=$I135),1,""))</f>
        <v/>
      </c>
      <c r="AF135" s="448" t="str">
        <f aca="false">IF($G135=0,IF(AF$11=$H135,"◆",""),IF(AND(AF$11&gt;=$H135,AF$11&lt;=$I135),1,""))</f>
        <v/>
      </c>
      <c r="AG135" s="448" t="str">
        <f aca="false">IF($G135=0,IF(AG$11=$H135,"◆",""),IF(AND(AG$11&gt;=$H135,AG$11&lt;=$I135),1,""))</f>
        <v/>
      </c>
      <c r="AH135" s="448" t="str">
        <f aca="false">IF($G135=0,IF(AH$11=$H135,"◆",""),IF(AND(AH$11&gt;=$H135,AH$11&lt;=$I135),1,""))</f>
        <v/>
      </c>
      <c r="AI135" s="448" t="str">
        <f aca="false">IF($G135=0,IF(AI$11=$H135,"◆",""),IF(AND(AI$11&gt;=$H135,AI$11&lt;=$I135),1,""))</f>
        <v/>
      </c>
      <c r="AJ135" s="448" t="str">
        <f aca="false">IF($G135=0,IF(AJ$11=$H135,"◆",""),IF(AND(AJ$11&gt;=$H135,AJ$11&lt;=$I135),1,""))</f>
        <v/>
      </c>
      <c r="AK135" s="448" t="str">
        <f aca="false">IF($G135=0,IF(AK$11=$H135,"◆",""),IF(AND(AK$11&gt;=$H135,AK$11&lt;=$I135),1,""))</f>
        <v/>
      </c>
      <c r="AL135" s="448" t="str">
        <f aca="false">IF($G135=0,IF(AL$11=$H135,"◆",""),IF(AND(AL$11&gt;=$H135,AL$11&lt;=$I135),1,""))</f>
        <v/>
      </c>
      <c r="AM135" s="448" t="n">
        <f aca="false">IF($G135=0,IF(AM$11=$H135,"◆",""),IF(AND(AM$11&gt;=$H135,AM$11&lt;=$I135),1,""))</f>
        <v>1</v>
      </c>
      <c r="AN135" s="448" t="n">
        <f aca="false">IF($G135=0,IF(AN$11=$H135,"◆",""),IF(AND(AN$11&gt;=$H135,AN$11&lt;=$I135),1,""))</f>
        <v>1</v>
      </c>
      <c r="AO135" s="448" t="n">
        <f aca="false">IF($G135=0,IF(AO$11=$H135,"◆",""),IF(AND(AO$11&gt;=$H135,AO$11&lt;=$I135),1,""))</f>
        <v>1</v>
      </c>
      <c r="AP135" s="448" t="n">
        <f aca="false">IF($G135=0,IF(AP$11=$H135,"◆",""),IF(AND(AP$11&gt;=$H135,AP$11&lt;=$I135),1,""))</f>
        <v>1</v>
      </c>
      <c r="AQ135" s="448" t="n">
        <f aca="false">IF($G135=0,IF(AQ$11=$H135,"◆",""),IF(AND(AQ$11&gt;=$H135,AQ$11&lt;=$I135),1,""))</f>
        <v>1</v>
      </c>
      <c r="AR135" s="448" t="n">
        <f aca="false">IF($G135=0,IF(AR$11=$H135,"◆",""),IF(AND(AR$11&gt;=$H135,AR$11&lt;=$I135),1,""))</f>
        <v>1</v>
      </c>
      <c r="AS135" s="448" t="n">
        <f aca="false">IF($G135=0,IF(AS$11=$H135,"◆",""),IF(AND(AS$11&gt;=$H135,AS$11&lt;=$I135),1,""))</f>
        <v>1</v>
      </c>
      <c r="AT135" s="448" t="n">
        <f aca="false">IF($G135=0,IF(AT$11=$H135,"◆",""),IF(AND(AT$11&gt;=$H135,AT$11&lt;=$I135),1,""))</f>
        <v>1</v>
      </c>
      <c r="AU135" s="448" t="n">
        <f aca="false">IF($G135=0,IF(AU$11=$H135,"◆",""),IF(AND(AU$11&gt;=$H135,AU$11&lt;=$I135),1,""))</f>
        <v>1</v>
      </c>
      <c r="AV135" s="448" t="n">
        <f aca="false">IF($G135=0,IF(AV$11=$H135,"◆",""),IF(AND(AV$11&gt;=$H135,AV$11&lt;=$I135),1,""))</f>
        <v>1</v>
      </c>
      <c r="AW135" s="448" t="str">
        <f aca="false">IF($G135=0,IF(AW$11=$H135,"◆",""),IF(AND(AW$11&gt;=$H135,AW$11&lt;=$I135),1,""))</f>
        <v/>
      </c>
      <c r="AX135" s="448" t="str">
        <f aca="false">IF($G135=0,IF(AX$11=$H135,"◆",""),IF(AND(AX$11&gt;=$H135,AX$11&lt;=$I135),1,""))</f>
        <v/>
      </c>
      <c r="AY135" s="448" t="str">
        <f aca="false">IF($G135=0,IF(AY$11=$H135,"◆",""),IF(AND(AY$11&gt;=$H135,AY$11&lt;=$I135),1,""))</f>
        <v/>
      </c>
      <c r="AZ135" s="448" t="str">
        <f aca="false">IF($G135=0,IF(AZ$11=$H135,"◆",""),IF(AND(AZ$11&gt;=$H135,AZ$11&lt;=$I135),1,""))</f>
        <v/>
      </c>
      <c r="BA135" s="448" t="str">
        <f aca="false">IF($G135=0,IF(BA$11=$H135,"◆",""),IF(AND(BA$11&gt;=$H135,BA$11&lt;=$I135),1,""))</f>
        <v/>
      </c>
      <c r="BB135" s="448" t="str">
        <f aca="false">IF($G135=0,IF(BB$11=$H135,"◆",""),IF(AND(BB$11&gt;=$H135,BB$11&lt;=$I135),1,""))</f>
        <v/>
      </c>
      <c r="BC135" s="448" t="str">
        <f aca="false">IF($G135=0,IF(BC$11=$H135,"◆",""),IF(AND(BC$11&gt;=$H135,BC$11&lt;=$I135),1,""))</f>
        <v/>
      </c>
      <c r="BD135" s="448" t="str">
        <f aca="false">IF($G135=0,IF(BD$11=$H135,"◆",""),IF(AND(BD$11&gt;=$H135,BD$11&lt;=$I135),1,""))</f>
        <v/>
      </c>
      <c r="BE135" s="448" t="str">
        <f aca="false">IF($G135=0,IF(BE$11=$H135,"◆",""),IF(AND(BE$11&gt;=$H135,BE$11&lt;=$I135),1,""))</f>
        <v/>
      </c>
      <c r="BF135" s="448" t="str">
        <f aca="false">IF($G135=0,IF(BF$11=$H135,"◆",""),IF(AND(BF$11&gt;=$H135,BF$11&lt;=$I135),1,""))</f>
        <v/>
      </c>
      <c r="BG135" s="448" t="str">
        <f aca="false">IF($G135=0,IF(BG$11=$H135,"◆",""),IF(AND(BG$11&gt;=$H135,BG$11&lt;=$I135),1,""))</f>
        <v/>
      </c>
      <c r="BH135" s="448" t="str">
        <f aca="false">IF($G135=0,IF(BH$11=$H135,"◆",""),IF(AND(BH$11&gt;=$H135,BH$11&lt;=$I135),1,""))</f>
        <v/>
      </c>
      <c r="BI135" s="448" t="str">
        <f aca="false">IF($G135=0,IF(BI$11=$H135,"◆",""),IF(AND(BI$11&gt;=$H135,BI$11&lt;=$I135),1,""))</f>
        <v/>
      </c>
      <c r="BJ135" s="448" t="str">
        <f aca="false">IF($G135=0,IF(BJ$11=$H135,"◆",""),IF(AND(BJ$11&gt;=$H135,BJ$11&lt;=$I135),1,""))</f>
        <v/>
      </c>
      <c r="BK135" s="448" t="str">
        <f aca="false">IF($G135=0,IF(BK$11=$H135,"◆",""),IF(AND(BK$11&gt;=$H135,BK$11&lt;=$I135),1,""))</f>
        <v/>
      </c>
      <c r="BL135" s="448" t="str">
        <f aca="false">IF($G135=0,IF(BL$11=$H135,"◆",""),IF(AND(BL$11&gt;=$H135,BL$11&lt;=$I135),1,""))</f>
        <v/>
      </c>
      <c r="BM135" s="448" t="str">
        <f aca="false">IF($G135=0,IF(BM$11=$H135,"◆",""),IF(AND(BM$11&gt;=$H135,BM$11&lt;=$I135),1,""))</f>
        <v/>
      </c>
      <c r="BN135" s="448" t="str">
        <f aca="false">IF($G135=0,IF(BN$11=$H135,"◆",""),IF(AND(BN$11&gt;=$H135,BN$11&lt;=$I135),1,""))</f>
        <v/>
      </c>
      <c r="BO135" s="448" t="str">
        <f aca="false">IF($G135=0,IF(BO$11=$H135,"◆",""),IF(AND(BO$11&gt;=$H135,BO$11&lt;=$I135),1,""))</f>
        <v/>
      </c>
      <c r="BP135" s="448" t="str">
        <f aca="false">IF($G135=0,IF(BP$11=$H135,"◆",""),IF(AND(BP$11&gt;=$H135,BP$11&lt;=$I135),1,""))</f>
        <v/>
      </c>
      <c r="BQ135" s="448" t="str">
        <f aca="false">IF($G135=0,IF(BQ$11=$H135,"◆",""),IF(AND(BQ$11&gt;=$H135,BQ$11&lt;=$I135),1,""))</f>
        <v/>
      </c>
      <c r="BR135" s="448" t="str">
        <f aca="false">IF($G135=0,IF(BR$11=$H135,"◆",""),IF(AND(BR$11&gt;=$H135,BR$11&lt;=$I135),1,""))</f>
        <v/>
      </c>
      <c r="BS135" s="448" t="str">
        <f aca="false">IF($G135=0,IF(BS$11=$H135,"◆",""),IF(AND(BS$11&gt;=$H135,BS$11&lt;=$I135),1,""))</f>
        <v/>
      </c>
      <c r="BT135" s="448" t="str">
        <f aca="false">IF($G135=0,IF(BT$11=$H135,"◆",""),IF(AND(BT$11&gt;=$H135,BT$11&lt;=$I135),1,""))</f>
        <v/>
      </c>
      <c r="BU135" s="448" t="str">
        <f aca="false">IF($G135=0,IF(BU$11=$H135,"◆",""),IF(AND(BU$11&gt;=$H135,BU$11&lt;=$I135),1,""))</f>
        <v/>
      </c>
      <c r="BV135" s="448" t="str">
        <f aca="false">IF($G135=0,IF(BV$11=$H135,"◆",""),IF(AND(BV$11&gt;=$H135,BV$11&lt;=$I135),1,""))</f>
        <v/>
      </c>
      <c r="BW135" s="448" t="str">
        <f aca="false">IF($G135=0,IF(BW$11=$H135,"◆",""),IF(AND(BW$11&gt;=$H135,BW$11&lt;=$I135),1,""))</f>
        <v/>
      </c>
      <c r="BX135" s="448" t="str">
        <f aca="false">IF($G135=0,IF(BX$11=$H135,"◆",""),IF(AND(BX$11&gt;=$H135,BX$11&lt;=$I135),1,""))</f>
        <v/>
      </c>
      <c r="BY135" s="448" t="str">
        <f aca="false">IF($G135=0,IF(BY$11=$H135,"◆",""),IF(AND(BY$11&gt;=$H135,BY$11&lt;=$I135),1,""))</f>
        <v/>
      </c>
      <c r="BZ135" s="448" t="str">
        <f aca="false">IF($G135=0,IF(BZ$11=$H135,"◆",""),IF(AND(BZ$11&gt;=$H135,BZ$11&lt;=$I135),1,""))</f>
        <v/>
      </c>
      <c r="CA135" s="448" t="str">
        <f aca="false">IF($G135=0,IF(CA$11=$H135,"◆",""),IF(AND(CA$11&gt;=$H135,CA$11&lt;=$I135),1,""))</f>
        <v/>
      </c>
      <c r="CB135" s="448" t="str">
        <f aca="false">IF($G135=0,IF(CB$11=$H135,"◆",""),IF(AND(CB$11&gt;=$H135,CB$11&lt;=$I135),1,""))</f>
        <v/>
      </c>
      <c r="CC135" s="448" t="str">
        <f aca="false">IF($G135=0,IF(CC$11=$H135,"◆",""),IF(AND(CC$11&gt;=$H135,CC$11&lt;=$I135),1,""))</f>
        <v/>
      </c>
      <c r="CD135" s="448" t="str">
        <f aca="false">IF($G135=0,IF(CD$11=$H135,"◆",""),IF(AND(CD$11&gt;=$H135,CD$11&lt;=$I135),1,""))</f>
        <v/>
      </c>
      <c r="CE135" s="448" t="str">
        <f aca="false">IF($G135=0,IF(CE$11=$H135,"◆",""),IF(AND(CE$11&gt;=$H135,CE$11&lt;=$I135),1,""))</f>
        <v/>
      </c>
      <c r="CF135" s="448" t="str">
        <f aca="false">IF($G135=0,IF(CF$11=$H135,"◆",""),IF(AND(CF$11&gt;=$H135,CF$11&lt;=$I135),1,""))</f>
        <v/>
      </c>
      <c r="CG135" s="448" t="str">
        <f aca="false">IF($G135=0,IF(CG$11=$H135,"◆",""),IF(AND(CG$11&gt;=$H135,CG$11&lt;=$I135),1,""))</f>
        <v/>
      </c>
      <c r="CH135" s="448" t="str">
        <f aca="false">IF($G135=0,IF(CH$11=$H135,"◆",""),IF(AND(CH$11&gt;=$H135,CH$11&lt;=$I135),1,""))</f>
        <v/>
      </c>
      <c r="CI135" s="448" t="str">
        <f aca="false">IF($G135=0,IF(CI$11=$H135,"◆",""),IF(AND(CI$11&gt;=$H135,CI$11&lt;=$I135),1,""))</f>
        <v/>
      </c>
      <c r="CJ135" s="448" t="str">
        <f aca="false">IF($G135=0,IF(CJ$11=$H135,"◆",""),IF(AND(CJ$11&gt;=$H135,CJ$11&lt;=$I135),1,""))</f>
        <v/>
      </c>
      <c r="CK135" s="448" t="str">
        <f aca="false">IF($G135=0,IF(CK$11=$H135,"◆",""),IF(AND(CK$11&gt;=$H135,CK$11&lt;=$I135),1,""))</f>
        <v/>
      </c>
      <c r="CL135" s="448" t="str">
        <f aca="false">IF($G135=0,IF(CL$11=$H135,"◆",""),IF(AND(CL$11&gt;=$H135,CL$11&lt;=$I135),1,""))</f>
        <v/>
      </c>
      <c r="CM135" s="448" t="str">
        <f aca="false">IF($G135=0,IF(CM$11=$H135,"◆",""),IF(AND(CM$11&gt;=$H135,CM$11&lt;=$I135),1,""))</f>
        <v/>
      </c>
      <c r="CN135" s="448" t="str">
        <f aca="false">IF($G135=0,IF(CN$11=$H135,"◆",""),IF(AND(CN$11&gt;=$H135,CN$11&lt;=$I135),1,""))</f>
        <v/>
      </c>
      <c r="CO135" s="448" t="str">
        <f aca="false">IF($G135=0,IF(CO$11=$H135,"◆",""),IF(AND(CO$11&gt;=$H135,CO$11&lt;=$I135),1,""))</f>
        <v/>
      </c>
      <c r="CP135" s="448" t="str">
        <f aca="false">IF($G135=0,IF(CP$11=$H135,"◆",""),IF(AND(CP$11&gt;=$H135,CP$11&lt;=$I135),1,""))</f>
        <v/>
      </c>
      <c r="CQ135" s="448" t="str">
        <f aca="false">IF($G135=0,IF(CQ$11=$H135,"◆",""),IF(AND(CQ$11&gt;=$H135,CQ$11&lt;=$I135),1,""))</f>
        <v/>
      </c>
      <c r="CR135" s="448" t="str">
        <f aca="false">IF($G135=0,IF(CR$11=$H135,"◆",""),IF(AND(CR$11&gt;=$H135,CR$11&lt;=$I135),1,""))</f>
        <v/>
      </c>
      <c r="CS135" s="448" t="str">
        <f aca="false">IF($G135=0,IF(CS$11=$H135,"◆",""),IF(AND(CS$11&gt;=$H135,CS$11&lt;=$I135),1,""))</f>
        <v/>
      </c>
      <c r="CT135" s="448" t="str">
        <f aca="false">IF($G135=0,IF(CT$11=$H135,"◆",""),IF(AND(CT$11&gt;=$H135,CT$11&lt;=$I135),1,""))</f>
        <v/>
      </c>
      <c r="CU135" s="448" t="str">
        <f aca="false">IF($G135=0,IF(CU$11=$H135,"◆",""),IF(AND(CU$11&gt;=$H135,CU$11&lt;=$I135),1,""))</f>
        <v/>
      </c>
      <c r="CV135" s="448" t="str">
        <f aca="false">IF($G135=0,IF(CV$11=$H135,"◆",""),IF(AND(CV$11&gt;=$H135,CV$11&lt;=$I135),1,""))</f>
        <v/>
      </c>
      <c r="CW135" s="448" t="str">
        <f aca="false">IF($G135=0,IF(CW$11=$H135,"◆",""),IF(AND(CW$11&gt;=$H135,CW$11&lt;=$I135),1,""))</f>
        <v/>
      </c>
      <c r="CX135" s="448" t="str">
        <f aca="false">IF($G135=0,IF(CX$11=$H135,"◆",""),IF(AND(CX$11&gt;=$H135,CX$11&lt;=$I135),1,""))</f>
        <v/>
      </c>
      <c r="CY135" s="448" t="str">
        <f aca="false">IF($G135=0,IF(CY$11=$H135,"◆",""),IF(AND(CY$11&gt;=$H135,CY$11&lt;=$I135),1,""))</f>
        <v/>
      </c>
      <c r="CZ135" s="448" t="str">
        <f aca="false">IF($G135=0,IF(CZ$11=$H135,"◆",""),IF(AND(CZ$11&gt;=$H135,CZ$11&lt;=$I135),1,""))</f>
        <v/>
      </c>
      <c r="DA135" s="448" t="str">
        <f aca="false">IF($G135=0,IF(DA$11=$H135,"◆",""),IF(AND(DA$11&gt;=$H135,DA$11&lt;=$I135),1,""))</f>
        <v/>
      </c>
      <c r="DB135" s="448" t="str">
        <f aca="false">IF($G135=0,IF(DB$11=$H135,"◆",""),IF(AND(DB$11&gt;=$H135,DB$11&lt;=$I135),1,""))</f>
        <v/>
      </c>
      <c r="DC135" s="448" t="str">
        <f aca="false">IF($G135=0,IF(DC$11=$H135,"◆",""),IF(AND(DC$11&gt;=$H135,DC$11&lt;=$I135),1,""))</f>
        <v/>
      </c>
      <c r="DD135" s="448" t="str">
        <f aca="false">IF($G135=0,IF(DD$11=$H135,"◆",""),IF(AND(DD$11&gt;=$H135,DD$11&lt;=$I135),1,""))</f>
        <v/>
      </c>
      <c r="DE135" s="448" t="str">
        <f aca="false">IF($G135=0,IF(DE$11=$H135,"◆",""),IF(AND(DE$11&gt;=$H135,DE$11&lt;=$I135),1,""))</f>
        <v/>
      </c>
      <c r="DF135" s="448" t="str">
        <f aca="false">IF($G135=0,IF(DF$11=$H135,"◆",""),IF(AND(DF$11&gt;=$H135,DF$11&lt;=$I135),1,""))</f>
        <v/>
      </c>
      <c r="DG135" s="448" t="str">
        <f aca="false">IF($G135=0,IF(DG$11=$H135,"◆",""),IF(AND(DG$11&gt;=$H135,DG$11&lt;=$I135),1,""))</f>
        <v/>
      </c>
      <c r="DH135" s="448" t="str">
        <f aca="false">IF($G135=0,IF(DH$11=$H135,"◆",""),IF(AND(DH$11&gt;=$H135,DH$11&lt;=$I135),1,""))</f>
        <v/>
      </c>
      <c r="DI135" s="448" t="str">
        <f aca="false">IF($G135=0,IF(DI$11=$H135,"◆",""),IF(AND(DI$11&gt;=$H135,DI$11&lt;=$I135),1,""))</f>
        <v/>
      </c>
      <c r="DJ135" s="448" t="str">
        <f aca="false">IF($G135=0,IF(DJ$11=$H135,"◆",""),IF(AND(DJ$11&gt;=$H135,DJ$11&lt;=$I135),1,""))</f>
        <v/>
      </c>
      <c r="DK135" s="448" t="str">
        <f aca="false">IF($G135=0,IF(DK$11=$H135,"◆",""),IF(AND(DK$11&gt;=$H135,DK$11&lt;=$I135),1,""))</f>
        <v/>
      </c>
      <c r="DL135" s="448" t="str">
        <f aca="false">IF($G135=0,IF(DL$11=$H135,"◆",""),IF(AND(DL$11&gt;=$H135,DL$11&lt;=$I135),1,""))</f>
        <v/>
      </c>
      <c r="DM135" s="448" t="str">
        <f aca="false">IF($G135=0,IF(DM$11=$H135,"◆",""),IF(AND(DM$11&gt;=$H135,DM$11&lt;=$I135),1,""))</f>
        <v/>
      </c>
      <c r="DN135" s="448" t="str">
        <f aca="false">IF($G135=0,IF(DN$11=$H135,"◆",""),IF(AND(DN$11&gt;=$H135,DN$11&lt;=$I135),1,""))</f>
        <v/>
      </c>
      <c r="DO135" s="448" t="str">
        <f aca="false">IF($G135=0,IF(DO$11=$H135,"◆",""),IF(AND(DO$11&gt;=$H135,DO$11&lt;=$I135),1,""))</f>
        <v/>
      </c>
      <c r="DP135" s="448" t="str">
        <f aca="false">IF($G135=0,IF(DP$11=$H135,"◆",""),IF(AND(DP$11&gt;=$H135,DP$11&lt;=$I135),1,""))</f>
        <v/>
      </c>
      <c r="DQ135" s="448" t="str">
        <f aca="false">IF($G135=0,IF(DQ$11=$H135,"◆",""),IF(AND(DQ$11&gt;=$H135,DQ$11&lt;=$I135),1,""))</f>
        <v/>
      </c>
      <c r="DR135" s="448" t="str">
        <f aca="false">IF($G135=0,IF(DR$11=$H135,"◆",""),IF(AND(DR$11&gt;=$H135,DR$11&lt;=$I135),1,""))</f>
        <v/>
      </c>
      <c r="DS135" s="448" t="str">
        <f aca="false">IF($G135=0,IF(DS$11=$H135,"◆",""),IF(AND(DS$11&gt;=$H135,DS$11&lt;=$I135),1,""))</f>
        <v/>
      </c>
      <c r="DT135" s="448" t="str">
        <f aca="false">IF($G135=0,IF(DT$11=$H135,"◆",""),IF(AND(DT$11&gt;=$H135,DT$11&lt;=$I135),1,""))</f>
        <v/>
      </c>
      <c r="DU135" s="448" t="str">
        <f aca="false">IF($G135=0,IF(DU$11=$H135,"◆",""),IF(AND(DU$11&gt;=$H135,DU$11&lt;=$I135),1,""))</f>
        <v/>
      </c>
      <c r="DV135" s="448" t="str">
        <f aca="false">IF($G135=0,IF(DV$11=$H135,"◆",""),IF(AND(DV$11&gt;=$H135,DV$11&lt;=$I135),1,""))</f>
        <v/>
      </c>
      <c r="DW135" s="448" t="str">
        <f aca="false">IF($G135=0,IF(DW$11=$H135,"◆",""),IF(AND(DW$11&gt;=$H135,DW$11&lt;=$I135),1,""))</f>
        <v/>
      </c>
      <c r="DX135" s="448" t="str">
        <f aca="false">IF($G135=0,IF(DX$11=$H135,"◆",""),IF(AND(DX$11&gt;=$H135,DX$11&lt;=$I135),1,""))</f>
        <v/>
      </c>
      <c r="DY135" s="448" t="str">
        <f aca="false">IF($G135=0,IF(DY$11=$H135,"◆",""),IF(AND(DY$11&gt;=$H135,DY$11&lt;=$I135),1,""))</f>
        <v/>
      </c>
      <c r="DZ135" s="448" t="str">
        <f aca="false">IF($G135=0,IF(DZ$11=$H135,"◆",""),IF(AND(DZ$11&gt;=$H135,DZ$11&lt;=$I135),1,""))</f>
        <v/>
      </c>
      <c r="EA135" s="448" t="str">
        <f aca="false">IF($G135=0,IF(EA$11=$H135,"◆",""),IF(AND(EA$11&gt;=$H135,EA$11&lt;=$I135),1,""))</f>
        <v/>
      </c>
      <c r="EB135" s="448" t="str">
        <f aca="false">IF($G135=0,IF(EB$11=$H135,"◆",""),IF(AND(EB$11&gt;=$H135,EB$11&lt;=$I135),1,""))</f>
        <v/>
      </c>
      <c r="EC135" s="448" t="str">
        <f aca="false">IF($G135=0,IF(EC$11=$H135,"◆",""),IF(AND(EC$11&gt;=$H135,EC$11&lt;=$I135),1,""))</f>
        <v/>
      </c>
      <c r="ED135" s="448" t="str">
        <f aca="false">IF($G135=0,IF(ED$11=$H135,"◆",""),IF(AND(ED$11&gt;=$H135,ED$11&lt;=$I135),1,""))</f>
        <v/>
      </c>
    </row>
    <row r="136" customFormat="false" ht="15" hidden="false" customHeight="true" outlineLevel="0" collapsed="false">
      <c r="A136" s="441" t="s">
        <v>2720</v>
      </c>
      <c r="B136" s="297" t="s">
        <v>2721</v>
      </c>
      <c r="C136" s="442" t="s">
        <v>2722</v>
      </c>
      <c r="D136" s="443" t="s">
        <v>2723</v>
      </c>
      <c r="E136" s="354" t="n">
        <f aca="false">FC_SUPUESTOS!$C$23-FC_SUPUESTOS!$F$220</f>
        <v>9</v>
      </c>
      <c r="F136" s="352" t="n">
        <v>0</v>
      </c>
      <c r="G136" s="352" t="n">
        <v>4</v>
      </c>
      <c r="H136" s="367" t="n">
        <f aca="false">MAX(1,ROUND(($E136-1)*$D$5,0)+1+$F136)</f>
        <v>36</v>
      </c>
      <c r="I136" s="367" t="n">
        <f aca="false">MAX($H136,$H136+$G136-1)</f>
        <v>39</v>
      </c>
      <c r="J136" s="444" t="n">
        <f aca="false">$D$4+($H136-1)*7</f>
        <v>46545</v>
      </c>
      <c r="K136" s="444" t="n">
        <f aca="false">$D$4+$I136*7-1</f>
        <v>46572</v>
      </c>
      <c r="L136" s="445" t="n">
        <f aca="false">ROUNDUP($H136/$D$5,0)</f>
        <v>9</v>
      </c>
      <c r="M136" s="446" t="s">
        <v>2453</v>
      </c>
      <c r="N136" s="447" t="n">
        <v>0</v>
      </c>
      <c r="O136" s="448" t="str">
        <f aca="false">IF($G136=0,IF(O$11=$H136,"◆",""),IF(AND(O$11&gt;=$H136,O$11&lt;=$I136),1,""))</f>
        <v/>
      </c>
      <c r="P136" s="448" t="str">
        <f aca="false">IF($G136=0,IF(P$11=$H136,"◆",""),IF(AND(P$11&gt;=$H136,P$11&lt;=$I136),1,""))</f>
        <v/>
      </c>
      <c r="Q136" s="448" t="str">
        <f aca="false">IF($G136=0,IF(Q$11=$H136,"◆",""),IF(AND(Q$11&gt;=$H136,Q$11&lt;=$I136),1,""))</f>
        <v/>
      </c>
      <c r="R136" s="448" t="str">
        <f aca="false">IF($G136=0,IF(R$11=$H136,"◆",""),IF(AND(R$11&gt;=$H136,R$11&lt;=$I136),1,""))</f>
        <v/>
      </c>
      <c r="S136" s="448" t="str">
        <f aca="false">IF($G136=0,IF(S$11=$H136,"◆",""),IF(AND(S$11&gt;=$H136,S$11&lt;=$I136),1,""))</f>
        <v/>
      </c>
      <c r="T136" s="448" t="str">
        <f aca="false">IF($G136=0,IF(T$11=$H136,"◆",""),IF(AND(T$11&gt;=$H136,T$11&lt;=$I136),1,""))</f>
        <v/>
      </c>
      <c r="U136" s="448" t="str">
        <f aca="false">IF($G136=0,IF(U$11=$H136,"◆",""),IF(AND(U$11&gt;=$H136,U$11&lt;=$I136),1,""))</f>
        <v/>
      </c>
      <c r="V136" s="448" t="str">
        <f aca="false">IF($G136=0,IF(V$11=$H136,"◆",""),IF(AND(V$11&gt;=$H136,V$11&lt;=$I136),1,""))</f>
        <v/>
      </c>
      <c r="W136" s="448" t="str">
        <f aca="false">IF($G136=0,IF(W$11=$H136,"◆",""),IF(AND(W$11&gt;=$H136,W$11&lt;=$I136),1,""))</f>
        <v/>
      </c>
      <c r="X136" s="448" t="str">
        <f aca="false">IF($G136=0,IF(X$11=$H136,"◆",""),IF(AND(X$11&gt;=$H136,X$11&lt;=$I136),1,""))</f>
        <v/>
      </c>
      <c r="Y136" s="448" t="str">
        <f aca="false">IF($G136=0,IF(Y$11=$H136,"◆",""),IF(AND(Y$11&gt;=$H136,Y$11&lt;=$I136),1,""))</f>
        <v/>
      </c>
      <c r="Z136" s="448" t="str">
        <f aca="false">IF($G136=0,IF(Z$11=$H136,"◆",""),IF(AND(Z$11&gt;=$H136,Z$11&lt;=$I136),1,""))</f>
        <v/>
      </c>
      <c r="AA136" s="448" t="str">
        <f aca="false">IF($G136=0,IF(AA$11=$H136,"◆",""),IF(AND(AA$11&gt;=$H136,AA$11&lt;=$I136),1,""))</f>
        <v/>
      </c>
      <c r="AB136" s="448" t="str">
        <f aca="false">IF($G136=0,IF(AB$11=$H136,"◆",""),IF(AND(AB$11&gt;=$H136,AB$11&lt;=$I136),1,""))</f>
        <v/>
      </c>
      <c r="AC136" s="448" t="str">
        <f aca="false">IF($G136=0,IF(AC$11=$H136,"◆",""),IF(AND(AC$11&gt;=$H136,AC$11&lt;=$I136),1,""))</f>
        <v/>
      </c>
      <c r="AD136" s="448" t="str">
        <f aca="false">IF($G136=0,IF(AD$11=$H136,"◆",""),IF(AND(AD$11&gt;=$H136,AD$11&lt;=$I136),1,""))</f>
        <v/>
      </c>
      <c r="AE136" s="448" t="str">
        <f aca="false">IF($G136=0,IF(AE$11=$H136,"◆",""),IF(AND(AE$11&gt;=$H136,AE$11&lt;=$I136),1,""))</f>
        <v/>
      </c>
      <c r="AF136" s="448" t="str">
        <f aca="false">IF($G136=0,IF(AF$11=$H136,"◆",""),IF(AND(AF$11&gt;=$H136,AF$11&lt;=$I136),1,""))</f>
        <v/>
      </c>
      <c r="AG136" s="448" t="str">
        <f aca="false">IF($G136=0,IF(AG$11=$H136,"◆",""),IF(AND(AG$11&gt;=$H136,AG$11&lt;=$I136),1,""))</f>
        <v/>
      </c>
      <c r="AH136" s="448" t="str">
        <f aca="false">IF($G136=0,IF(AH$11=$H136,"◆",""),IF(AND(AH$11&gt;=$H136,AH$11&lt;=$I136),1,""))</f>
        <v/>
      </c>
      <c r="AI136" s="448" t="str">
        <f aca="false">IF($G136=0,IF(AI$11=$H136,"◆",""),IF(AND(AI$11&gt;=$H136,AI$11&lt;=$I136),1,""))</f>
        <v/>
      </c>
      <c r="AJ136" s="448" t="str">
        <f aca="false">IF($G136=0,IF(AJ$11=$H136,"◆",""),IF(AND(AJ$11&gt;=$H136,AJ$11&lt;=$I136),1,""))</f>
        <v/>
      </c>
      <c r="AK136" s="448" t="str">
        <f aca="false">IF($G136=0,IF(AK$11=$H136,"◆",""),IF(AND(AK$11&gt;=$H136,AK$11&lt;=$I136),1,""))</f>
        <v/>
      </c>
      <c r="AL136" s="448" t="str">
        <f aca="false">IF($G136=0,IF(AL$11=$H136,"◆",""),IF(AND(AL$11&gt;=$H136,AL$11&lt;=$I136),1,""))</f>
        <v/>
      </c>
      <c r="AM136" s="448" t="str">
        <f aca="false">IF($G136=0,IF(AM$11=$H136,"◆",""),IF(AND(AM$11&gt;=$H136,AM$11&lt;=$I136),1,""))</f>
        <v/>
      </c>
      <c r="AN136" s="448" t="str">
        <f aca="false">IF($G136=0,IF(AN$11=$H136,"◆",""),IF(AND(AN$11&gt;=$H136,AN$11&lt;=$I136),1,""))</f>
        <v/>
      </c>
      <c r="AO136" s="448" t="str">
        <f aca="false">IF($G136=0,IF(AO$11=$H136,"◆",""),IF(AND(AO$11&gt;=$H136,AO$11&lt;=$I136),1,""))</f>
        <v/>
      </c>
      <c r="AP136" s="448" t="str">
        <f aca="false">IF($G136=0,IF(AP$11=$H136,"◆",""),IF(AND(AP$11&gt;=$H136,AP$11&lt;=$I136),1,""))</f>
        <v/>
      </c>
      <c r="AQ136" s="448" t="str">
        <f aca="false">IF($G136=0,IF(AQ$11=$H136,"◆",""),IF(AND(AQ$11&gt;=$H136,AQ$11&lt;=$I136),1,""))</f>
        <v/>
      </c>
      <c r="AR136" s="448" t="str">
        <f aca="false">IF($G136=0,IF(AR$11=$H136,"◆",""),IF(AND(AR$11&gt;=$H136,AR$11&lt;=$I136),1,""))</f>
        <v/>
      </c>
      <c r="AS136" s="448" t="str">
        <f aca="false">IF($G136=0,IF(AS$11=$H136,"◆",""),IF(AND(AS$11&gt;=$H136,AS$11&lt;=$I136),1,""))</f>
        <v/>
      </c>
      <c r="AT136" s="448" t="str">
        <f aca="false">IF($G136=0,IF(AT$11=$H136,"◆",""),IF(AND(AT$11&gt;=$H136,AT$11&lt;=$I136),1,""))</f>
        <v/>
      </c>
      <c r="AU136" s="448" t="str">
        <f aca="false">IF($G136=0,IF(AU$11=$H136,"◆",""),IF(AND(AU$11&gt;=$H136,AU$11&lt;=$I136),1,""))</f>
        <v/>
      </c>
      <c r="AV136" s="448" t="str">
        <f aca="false">IF($G136=0,IF(AV$11=$H136,"◆",""),IF(AND(AV$11&gt;=$H136,AV$11&lt;=$I136),1,""))</f>
        <v/>
      </c>
      <c r="AW136" s="448" t="str">
        <f aca="false">IF($G136=0,IF(AW$11=$H136,"◆",""),IF(AND(AW$11&gt;=$H136,AW$11&lt;=$I136),1,""))</f>
        <v/>
      </c>
      <c r="AX136" s="448" t="n">
        <f aca="false">IF($G136=0,IF(AX$11=$H136,"◆",""),IF(AND(AX$11&gt;=$H136,AX$11&lt;=$I136),1,""))</f>
        <v>1</v>
      </c>
      <c r="AY136" s="448" t="n">
        <f aca="false">IF($G136=0,IF(AY$11=$H136,"◆",""),IF(AND(AY$11&gt;=$H136,AY$11&lt;=$I136),1,""))</f>
        <v>1</v>
      </c>
      <c r="AZ136" s="448" t="n">
        <f aca="false">IF($G136=0,IF(AZ$11=$H136,"◆",""),IF(AND(AZ$11&gt;=$H136,AZ$11&lt;=$I136),1,""))</f>
        <v>1</v>
      </c>
      <c r="BA136" s="448" t="n">
        <f aca="false">IF($G136=0,IF(BA$11=$H136,"◆",""),IF(AND(BA$11&gt;=$H136,BA$11&lt;=$I136),1,""))</f>
        <v>1</v>
      </c>
      <c r="BB136" s="448" t="str">
        <f aca="false">IF($G136=0,IF(BB$11=$H136,"◆",""),IF(AND(BB$11&gt;=$H136,BB$11&lt;=$I136),1,""))</f>
        <v/>
      </c>
      <c r="BC136" s="448" t="str">
        <f aca="false">IF($G136=0,IF(BC$11=$H136,"◆",""),IF(AND(BC$11&gt;=$H136,BC$11&lt;=$I136),1,""))</f>
        <v/>
      </c>
      <c r="BD136" s="448" t="str">
        <f aca="false">IF($G136=0,IF(BD$11=$H136,"◆",""),IF(AND(BD$11&gt;=$H136,BD$11&lt;=$I136),1,""))</f>
        <v/>
      </c>
      <c r="BE136" s="448" t="str">
        <f aca="false">IF($G136=0,IF(BE$11=$H136,"◆",""),IF(AND(BE$11&gt;=$H136,BE$11&lt;=$I136),1,""))</f>
        <v/>
      </c>
      <c r="BF136" s="448" t="str">
        <f aca="false">IF($G136=0,IF(BF$11=$H136,"◆",""),IF(AND(BF$11&gt;=$H136,BF$11&lt;=$I136),1,""))</f>
        <v/>
      </c>
      <c r="BG136" s="448" t="str">
        <f aca="false">IF($G136=0,IF(BG$11=$H136,"◆",""),IF(AND(BG$11&gt;=$H136,BG$11&lt;=$I136),1,""))</f>
        <v/>
      </c>
      <c r="BH136" s="448" t="str">
        <f aca="false">IF($G136=0,IF(BH$11=$H136,"◆",""),IF(AND(BH$11&gt;=$H136,BH$11&lt;=$I136),1,""))</f>
        <v/>
      </c>
      <c r="BI136" s="448" t="str">
        <f aca="false">IF($G136=0,IF(BI$11=$H136,"◆",""),IF(AND(BI$11&gt;=$H136,BI$11&lt;=$I136),1,""))</f>
        <v/>
      </c>
      <c r="BJ136" s="448" t="str">
        <f aca="false">IF($G136=0,IF(BJ$11=$H136,"◆",""),IF(AND(BJ$11&gt;=$H136,BJ$11&lt;=$I136),1,""))</f>
        <v/>
      </c>
      <c r="BK136" s="448" t="str">
        <f aca="false">IF($G136=0,IF(BK$11=$H136,"◆",""),IF(AND(BK$11&gt;=$H136,BK$11&lt;=$I136),1,""))</f>
        <v/>
      </c>
      <c r="BL136" s="448" t="str">
        <f aca="false">IF($G136=0,IF(BL$11=$H136,"◆",""),IF(AND(BL$11&gt;=$H136,BL$11&lt;=$I136),1,""))</f>
        <v/>
      </c>
      <c r="BM136" s="448" t="str">
        <f aca="false">IF($G136=0,IF(BM$11=$H136,"◆",""),IF(AND(BM$11&gt;=$H136,BM$11&lt;=$I136),1,""))</f>
        <v/>
      </c>
      <c r="BN136" s="448" t="str">
        <f aca="false">IF($G136=0,IF(BN$11=$H136,"◆",""),IF(AND(BN$11&gt;=$H136,BN$11&lt;=$I136),1,""))</f>
        <v/>
      </c>
      <c r="BO136" s="448" t="str">
        <f aca="false">IF($G136=0,IF(BO$11=$H136,"◆",""),IF(AND(BO$11&gt;=$H136,BO$11&lt;=$I136),1,""))</f>
        <v/>
      </c>
      <c r="BP136" s="448" t="str">
        <f aca="false">IF($G136=0,IF(BP$11=$H136,"◆",""),IF(AND(BP$11&gt;=$H136,BP$11&lt;=$I136),1,""))</f>
        <v/>
      </c>
      <c r="BQ136" s="448" t="str">
        <f aca="false">IF($G136=0,IF(BQ$11=$H136,"◆",""),IF(AND(BQ$11&gt;=$H136,BQ$11&lt;=$I136),1,""))</f>
        <v/>
      </c>
      <c r="BR136" s="448" t="str">
        <f aca="false">IF($G136=0,IF(BR$11=$H136,"◆",""),IF(AND(BR$11&gt;=$H136,BR$11&lt;=$I136),1,""))</f>
        <v/>
      </c>
      <c r="BS136" s="448" t="str">
        <f aca="false">IF($G136=0,IF(BS$11=$H136,"◆",""),IF(AND(BS$11&gt;=$H136,BS$11&lt;=$I136),1,""))</f>
        <v/>
      </c>
      <c r="BT136" s="448" t="str">
        <f aca="false">IF($G136=0,IF(BT$11=$H136,"◆",""),IF(AND(BT$11&gt;=$H136,BT$11&lt;=$I136),1,""))</f>
        <v/>
      </c>
      <c r="BU136" s="448" t="str">
        <f aca="false">IF($G136=0,IF(BU$11=$H136,"◆",""),IF(AND(BU$11&gt;=$H136,BU$11&lt;=$I136),1,""))</f>
        <v/>
      </c>
      <c r="BV136" s="448" t="str">
        <f aca="false">IF($G136=0,IF(BV$11=$H136,"◆",""),IF(AND(BV$11&gt;=$H136,BV$11&lt;=$I136),1,""))</f>
        <v/>
      </c>
      <c r="BW136" s="448" t="str">
        <f aca="false">IF($G136=0,IF(BW$11=$H136,"◆",""),IF(AND(BW$11&gt;=$H136,BW$11&lt;=$I136),1,""))</f>
        <v/>
      </c>
      <c r="BX136" s="448" t="str">
        <f aca="false">IF($G136=0,IF(BX$11=$H136,"◆",""),IF(AND(BX$11&gt;=$H136,BX$11&lt;=$I136),1,""))</f>
        <v/>
      </c>
      <c r="BY136" s="448" t="str">
        <f aca="false">IF($G136=0,IF(BY$11=$H136,"◆",""),IF(AND(BY$11&gt;=$H136,BY$11&lt;=$I136),1,""))</f>
        <v/>
      </c>
      <c r="BZ136" s="448" t="str">
        <f aca="false">IF($G136=0,IF(BZ$11=$H136,"◆",""),IF(AND(BZ$11&gt;=$H136,BZ$11&lt;=$I136),1,""))</f>
        <v/>
      </c>
      <c r="CA136" s="448" t="str">
        <f aca="false">IF($G136=0,IF(CA$11=$H136,"◆",""),IF(AND(CA$11&gt;=$H136,CA$11&lt;=$I136),1,""))</f>
        <v/>
      </c>
      <c r="CB136" s="448" t="str">
        <f aca="false">IF($G136=0,IF(CB$11=$H136,"◆",""),IF(AND(CB$11&gt;=$H136,CB$11&lt;=$I136),1,""))</f>
        <v/>
      </c>
      <c r="CC136" s="448" t="str">
        <f aca="false">IF($G136=0,IF(CC$11=$H136,"◆",""),IF(AND(CC$11&gt;=$H136,CC$11&lt;=$I136),1,""))</f>
        <v/>
      </c>
      <c r="CD136" s="448" t="str">
        <f aca="false">IF($G136=0,IF(CD$11=$H136,"◆",""),IF(AND(CD$11&gt;=$H136,CD$11&lt;=$I136),1,""))</f>
        <v/>
      </c>
      <c r="CE136" s="448" t="str">
        <f aca="false">IF($G136=0,IF(CE$11=$H136,"◆",""),IF(AND(CE$11&gt;=$H136,CE$11&lt;=$I136),1,""))</f>
        <v/>
      </c>
      <c r="CF136" s="448" t="str">
        <f aca="false">IF($G136=0,IF(CF$11=$H136,"◆",""),IF(AND(CF$11&gt;=$H136,CF$11&lt;=$I136),1,""))</f>
        <v/>
      </c>
      <c r="CG136" s="448" t="str">
        <f aca="false">IF($G136=0,IF(CG$11=$H136,"◆",""),IF(AND(CG$11&gt;=$H136,CG$11&lt;=$I136),1,""))</f>
        <v/>
      </c>
      <c r="CH136" s="448" t="str">
        <f aca="false">IF($G136=0,IF(CH$11=$H136,"◆",""),IF(AND(CH$11&gt;=$H136,CH$11&lt;=$I136),1,""))</f>
        <v/>
      </c>
      <c r="CI136" s="448" t="str">
        <f aca="false">IF($G136=0,IF(CI$11=$H136,"◆",""),IF(AND(CI$11&gt;=$H136,CI$11&lt;=$I136),1,""))</f>
        <v/>
      </c>
      <c r="CJ136" s="448" t="str">
        <f aca="false">IF($G136=0,IF(CJ$11=$H136,"◆",""),IF(AND(CJ$11&gt;=$H136,CJ$11&lt;=$I136),1,""))</f>
        <v/>
      </c>
      <c r="CK136" s="448" t="str">
        <f aca="false">IF($G136=0,IF(CK$11=$H136,"◆",""),IF(AND(CK$11&gt;=$H136,CK$11&lt;=$I136),1,""))</f>
        <v/>
      </c>
      <c r="CL136" s="448" t="str">
        <f aca="false">IF($G136=0,IF(CL$11=$H136,"◆",""),IF(AND(CL$11&gt;=$H136,CL$11&lt;=$I136),1,""))</f>
        <v/>
      </c>
      <c r="CM136" s="448" t="str">
        <f aca="false">IF($G136=0,IF(CM$11=$H136,"◆",""),IF(AND(CM$11&gt;=$H136,CM$11&lt;=$I136),1,""))</f>
        <v/>
      </c>
      <c r="CN136" s="448" t="str">
        <f aca="false">IF($G136=0,IF(CN$11=$H136,"◆",""),IF(AND(CN$11&gt;=$H136,CN$11&lt;=$I136),1,""))</f>
        <v/>
      </c>
      <c r="CO136" s="448" t="str">
        <f aca="false">IF($G136=0,IF(CO$11=$H136,"◆",""),IF(AND(CO$11&gt;=$H136,CO$11&lt;=$I136),1,""))</f>
        <v/>
      </c>
      <c r="CP136" s="448" t="str">
        <f aca="false">IF($G136=0,IF(CP$11=$H136,"◆",""),IF(AND(CP$11&gt;=$H136,CP$11&lt;=$I136),1,""))</f>
        <v/>
      </c>
      <c r="CQ136" s="448" t="str">
        <f aca="false">IF($G136=0,IF(CQ$11=$H136,"◆",""),IF(AND(CQ$11&gt;=$H136,CQ$11&lt;=$I136),1,""))</f>
        <v/>
      </c>
      <c r="CR136" s="448" t="str">
        <f aca="false">IF($G136=0,IF(CR$11=$H136,"◆",""),IF(AND(CR$11&gt;=$H136,CR$11&lt;=$I136),1,""))</f>
        <v/>
      </c>
      <c r="CS136" s="448" t="str">
        <f aca="false">IF($G136=0,IF(CS$11=$H136,"◆",""),IF(AND(CS$11&gt;=$H136,CS$11&lt;=$I136),1,""))</f>
        <v/>
      </c>
      <c r="CT136" s="448" t="str">
        <f aca="false">IF($G136=0,IF(CT$11=$H136,"◆",""),IF(AND(CT$11&gt;=$H136,CT$11&lt;=$I136),1,""))</f>
        <v/>
      </c>
      <c r="CU136" s="448" t="str">
        <f aca="false">IF($G136=0,IF(CU$11=$H136,"◆",""),IF(AND(CU$11&gt;=$H136,CU$11&lt;=$I136),1,""))</f>
        <v/>
      </c>
      <c r="CV136" s="448" t="str">
        <f aca="false">IF($G136=0,IF(CV$11=$H136,"◆",""),IF(AND(CV$11&gt;=$H136,CV$11&lt;=$I136),1,""))</f>
        <v/>
      </c>
      <c r="CW136" s="448" t="str">
        <f aca="false">IF($G136=0,IF(CW$11=$H136,"◆",""),IF(AND(CW$11&gt;=$H136,CW$11&lt;=$I136),1,""))</f>
        <v/>
      </c>
      <c r="CX136" s="448" t="str">
        <f aca="false">IF($G136=0,IF(CX$11=$H136,"◆",""),IF(AND(CX$11&gt;=$H136,CX$11&lt;=$I136),1,""))</f>
        <v/>
      </c>
      <c r="CY136" s="448" t="str">
        <f aca="false">IF($G136=0,IF(CY$11=$H136,"◆",""),IF(AND(CY$11&gt;=$H136,CY$11&lt;=$I136),1,""))</f>
        <v/>
      </c>
      <c r="CZ136" s="448" t="str">
        <f aca="false">IF($G136=0,IF(CZ$11=$H136,"◆",""),IF(AND(CZ$11&gt;=$H136,CZ$11&lt;=$I136),1,""))</f>
        <v/>
      </c>
      <c r="DA136" s="448" t="str">
        <f aca="false">IF($G136=0,IF(DA$11=$H136,"◆",""),IF(AND(DA$11&gt;=$H136,DA$11&lt;=$I136),1,""))</f>
        <v/>
      </c>
      <c r="DB136" s="448" t="str">
        <f aca="false">IF($G136=0,IF(DB$11=$H136,"◆",""),IF(AND(DB$11&gt;=$H136,DB$11&lt;=$I136),1,""))</f>
        <v/>
      </c>
      <c r="DC136" s="448" t="str">
        <f aca="false">IF($G136=0,IF(DC$11=$H136,"◆",""),IF(AND(DC$11&gt;=$H136,DC$11&lt;=$I136),1,""))</f>
        <v/>
      </c>
      <c r="DD136" s="448" t="str">
        <f aca="false">IF($G136=0,IF(DD$11=$H136,"◆",""),IF(AND(DD$11&gt;=$H136,DD$11&lt;=$I136),1,""))</f>
        <v/>
      </c>
      <c r="DE136" s="448" t="str">
        <f aca="false">IF($G136=0,IF(DE$11=$H136,"◆",""),IF(AND(DE$11&gt;=$H136,DE$11&lt;=$I136),1,""))</f>
        <v/>
      </c>
      <c r="DF136" s="448" t="str">
        <f aca="false">IF($G136=0,IF(DF$11=$H136,"◆",""),IF(AND(DF$11&gt;=$H136,DF$11&lt;=$I136),1,""))</f>
        <v/>
      </c>
      <c r="DG136" s="448" t="str">
        <f aca="false">IF($G136=0,IF(DG$11=$H136,"◆",""),IF(AND(DG$11&gt;=$H136,DG$11&lt;=$I136),1,""))</f>
        <v/>
      </c>
      <c r="DH136" s="448" t="str">
        <f aca="false">IF($G136=0,IF(DH$11=$H136,"◆",""),IF(AND(DH$11&gt;=$H136,DH$11&lt;=$I136),1,""))</f>
        <v/>
      </c>
      <c r="DI136" s="448" t="str">
        <f aca="false">IF($G136=0,IF(DI$11=$H136,"◆",""),IF(AND(DI$11&gt;=$H136,DI$11&lt;=$I136),1,""))</f>
        <v/>
      </c>
      <c r="DJ136" s="448" t="str">
        <f aca="false">IF($G136=0,IF(DJ$11=$H136,"◆",""),IF(AND(DJ$11&gt;=$H136,DJ$11&lt;=$I136),1,""))</f>
        <v/>
      </c>
      <c r="DK136" s="448" t="str">
        <f aca="false">IF($G136=0,IF(DK$11=$H136,"◆",""),IF(AND(DK$11&gt;=$H136,DK$11&lt;=$I136),1,""))</f>
        <v/>
      </c>
      <c r="DL136" s="448" t="str">
        <f aca="false">IF($G136=0,IF(DL$11=$H136,"◆",""),IF(AND(DL$11&gt;=$H136,DL$11&lt;=$I136),1,""))</f>
        <v/>
      </c>
      <c r="DM136" s="448" t="str">
        <f aca="false">IF($G136=0,IF(DM$11=$H136,"◆",""),IF(AND(DM$11&gt;=$H136,DM$11&lt;=$I136),1,""))</f>
        <v/>
      </c>
      <c r="DN136" s="448" t="str">
        <f aca="false">IF($G136=0,IF(DN$11=$H136,"◆",""),IF(AND(DN$11&gt;=$H136,DN$11&lt;=$I136),1,""))</f>
        <v/>
      </c>
      <c r="DO136" s="448" t="str">
        <f aca="false">IF($G136=0,IF(DO$11=$H136,"◆",""),IF(AND(DO$11&gt;=$H136,DO$11&lt;=$I136),1,""))</f>
        <v/>
      </c>
      <c r="DP136" s="448" t="str">
        <f aca="false">IF($G136=0,IF(DP$11=$H136,"◆",""),IF(AND(DP$11&gt;=$H136,DP$11&lt;=$I136),1,""))</f>
        <v/>
      </c>
      <c r="DQ136" s="448" t="str">
        <f aca="false">IF($G136=0,IF(DQ$11=$H136,"◆",""),IF(AND(DQ$11&gt;=$H136,DQ$11&lt;=$I136),1,""))</f>
        <v/>
      </c>
      <c r="DR136" s="448" t="str">
        <f aca="false">IF($G136=0,IF(DR$11=$H136,"◆",""),IF(AND(DR$11&gt;=$H136,DR$11&lt;=$I136),1,""))</f>
        <v/>
      </c>
      <c r="DS136" s="448" t="str">
        <f aca="false">IF($G136=0,IF(DS$11=$H136,"◆",""),IF(AND(DS$11&gt;=$H136,DS$11&lt;=$I136),1,""))</f>
        <v/>
      </c>
      <c r="DT136" s="448" t="str">
        <f aca="false">IF($G136=0,IF(DT$11=$H136,"◆",""),IF(AND(DT$11&gt;=$H136,DT$11&lt;=$I136),1,""))</f>
        <v/>
      </c>
      <c r="DU136" s="448" t="str">
        <f aca="false">IF($G136=0,IF(DU$11=$H136,"◆",""),IF(AND(DU$11&gt;=$H136,DU$11&lt;=$I136),1,""))</f>
        <v/>
      </c>
      <c r="DV136" s="448" t="str">
        <f aca="false">IF($G136=0,IF(DV$11=$H136,"◆",""),IF(AND(DV$11&gt;=$H136,DV$11&lt;=$I136),1,""))</f>
        <v/>
      </c>
      <c r="DW136" s="448" t="str">
        <f aca="false">IF($G136=0,IF(DW$11=$H136,"◆",""),IF(AND(DW$11&gt;=$H136,DW$11&lt;=$I136),1,""))</f>
        <v/>
      </c>
      <c r="DX136" s="448" t="str">
        <f aca="false">IF($G136=0,IF(DX$11=$H136,"◆",""),IF(AND(DX$11&gt;=$H136,DX$11&lt;=$I136),1,""))</f>
        <v/>
      </c>
      <c r="DY136" s="448" t="str">
        <f aca="false">IF($G136=0,IF(DY$11=$H136,"◆",""),IF(AND(DY$11&gt;=$H136,DY$11&lt;=$I136),1,""))</f>
        <v/>
      </c>
      <c r="DZ136" s="448" t="str">
        <f aca="false">IF($G136=0,IF(DZ$11=$H136,"◆",""),IF(AND(DZ$11&gt;=$H136,DZ$11&lt;=$I136),1,""))</f>
        <v/>
      </c>
      <c r="EA136" s="448" t="str">
        <f aca="false">IF($G136=0,IF(EA$11=$H136,"◆",""),IF(AND(EA$11&gt;=$H136,EA$11&lt;=$I136),1,""))</f>
        <v/>
      </c>
      <c r="EB136" s="448" t="str">
        <f aca="false">IF($G136=0,IF(EB$11=$H136,"◆",""),IF(AND(EB$11&gt;=$H136,EB$11&lt;=$I136),1,""))</f>
        <v/>
      </c>
      <c r="EC136" s="448" t="str">
        <f aca="false">IF($G136=0,IF(EC$11=$H136,"◆",""),IF(AND(EC$11&gt;=$H136,EC$11&lt;=$I136),1,""))</f>
        <v/>
      </c>
      <c r="ED136" s="448" t="str">
        <f aca="false">IF($G136=0,IF(ED$11=$H136,"◆",""),IF(AND(ED$11&gt;=$H136,ED$11&lt;=$I136),1,""))</f>
        <v/>
      </c>
    </row>
    <row r="137" customFormat="false" ht="15" hidden="false" customHeight="true" outlineLevel="0" collapsed="false">
      <c r="A137" s="441" t="s">
        <v>2724</v>
      </c>
      <c r="B137" s="297" t="s">
        <v>2725</v>
      </c>
      <c r="C137" s="442" t="s">
        <v>2726</v>
      </c>
      <c r="D137" s="443" t="s">
        <v>2436</v>
      </c>
      <c r="E137" s="354" t="n">
        <f aca="false">1</f>
        <v>1</v>
      </c>
      <c r="F137" s="352" t="n">
        <v>12</v>
      </c>
      <c r="G137" s="352" t="n">
        <v>10</v>
      </c>
      <c r="H137" s="367" t="n">
        <f aca="false">MAX(1,ROUND(($E137-1)*$D$5,0)+1+$F137)</f>
        <v>13</v>
      </c>
      <c r="I137" s="367" t="n">
        <f aca="false">MAX($H137,$H137+$G137-1)</f>
        <v>22</v>
      </c>
      <c r="J137" s="444" t="n">
        <f aca="false">$D$4+($H137-1)*7</f>
        <v>46384</v>
      </c>
      <c r="K137" s="444" t="n">
        <f aca="false">$D$4+$I137*7-1</f>
        <v>46453</v>
      </c>
      <c r="L137" s="445" t="n">
        <f aca="false">ROUNDUP($H137/$D$5,0)</f>
        <v>3</v>
      </c>
      <c r="M137" s="446"/>
      <c r="N137" s="447" t="n">
        <v>0</v>
      </c>
      <c r="O137" s="448" t="str">
        <f aca="false">IF($G137=0,IF(O$11=$H137,"◆",""),IF(AND(O$11&gt;=$H137,O$11&lt;=$I137),1,""))</f>
        <v/>
      </c>
      <c r="P137" s="448" t="str">
        <f aca="false">IF($G137=0,IF(P$11=$H137,"◆",""),IF(AND(P$11&gt;=$H137,P$11&lt;=$I137),1,""))</f>
        <v/>
      </c>
      <c r="Q137" s="448" t="str">
        <f aca="false">IF($G137=0,IF(Q$11=$H137,"◆",""),IF(AND(Q$11&gt;=$H137,Q$11&lt;=$I137),1,""))</f>
        <v/>
      </c>
      <c r="R137" s="448" t="str">
        <f aca="false">IF($G137=0,IF(R$11=$H137,"◆",""),IF(AND(R$11&gt;=$H137,R$11&lt;=$I137),1,""))</f>
        <v/>
      </c>
      <c r="S137" s="448" t="str">
        <f aca="false">IF($G137=0,IF(S$11=$H137,"◆",""),IF(AND(S$11&gt;=$H137,S$11&lt;=$I137),1,""))</f>
        <v/>
      </c>
      <c r="T137" s="448" t="str">
        <f aca="false">IF($G137=0,IF(T$11=$H137,"◆",""),IF(AND(T$11&gt;=$H137,T$11&lt;=$I137),1,""))</f>
        <v/>
      </c>
      <c r="U137" s="448" t="str">
        <f aca="false">IF($G137=0,IF(U$11=$H137,"◆",""),IF(AND(U$11&gt;=$H137,U$11&lt;=$I137),1,""))</f>
        <v/>
      </c>
      <c r="V137" s="448" t="str">
        <f aca="false">IF($G137=0,IF(V$11=$H137,"◆",""),IF(AND(V$11&gt;=$H137,V$11&lt;=$I137),1,""))</f>
        <v/>
      </c>
      <c r="W137" s="448" t="str">
        <f aca="false">IF($G137=0,IF(W$11=$H137,"◆",""),IF(AND(W$11&gt;=$H137,W$11&lt;=$I137),1,""))</f>
        <v/>
      </c>
      <c r="X137" s="448" t="str">
        <f aca="false">IF($G137=0,IF(X$11=$H137,"◆",""),IF(AND(X$11&gt;=$H137,X$11&lt;=$I137),1,""))</f>
        <v/>
      </c>
      <c r="Y137" s="448" t="str">
        <f aca="false">IF($G137=0,IF(Y$11=$H137,"◆",""),IF(AND(Y$11&gt;=$H137,Y$11&lt;=$I137),1,""))</f>
        <v/>
      </c>
      <c r="Z137" s="448" t="str">
        <f aca="false">IF($G137=0,IF(Z$11=$H137,"◆",""),IF(AND(Z$11&gt;=$H137,Z$11&lt;=$I137),1,""))</f>
        <v/>
      </c>
      <c r="AA137" s="448" t="n">
        <f aca="false">IF($G137=0,IF(AA$11=$H137,"◆",""),IF(AND(AA$11&gt;=$H137,AA$11&lt;=$I137),1,""))</f>
        <v>1</v>
      </c>
      <c r="AB137" s="448" t="n">
        <f aca="false">IF($G137=0,IF(AB$11=$H137,"◆",""),IF(AND(AB$11&gt;=$H137,AB$11&lt;=$I137),1,""))</f>
        <v>1</v>
      </c>
      <c r="AC137" s="448" t="n">
        <f aca="false">IF($G137=0,IF(AC$11=$H137,"◆",""),IF(AND(AC$11&gt;=$H137,AC$11&lt;=$I137),1,""))</f>
        <v>1</v>
      </c>
      <c r="AD137" s="448" t="n">
        <f aca="false">IF($G137=0,IF(AD$11=$H137,"◆",""),IF(AND(AD$11&gt;=$H137,AD$11&lt;=$I137),1,""))</f>
        <v>1</v>
      </c>
      <c r="AE137" s="448" t="n">
        <f aca="false">IF($G137=0,IF(AE$11=$H137,"◆",""),IF(AND(AE$11&gt;=$H137,AE$11&lt;=$I137),1,""))</f>
        <v>1</v>
      </c>
      <c r="AF137" s="448" t="n">
        <f aca="false">IF($G137=0,IF(AF$11=$H137,"◆",""),IF(AND(AF$11&gt;=$H137,AF$11&lt;=$I137),1,""))</f>
        <v>1</v>
      </c>
      <c r="AG137" s="448" t="n">
        <f aca="false">IF($G137=0,IF(AG$11=$H137,"◆",""),IF(AND(AG$11&gt;=$H137,AG$11&lt;=$I137),1,""))</f>
        <v>1</v>
      </c>
      <c r="AH137" s="448" t="n">
        <f aca="false">IF($G137=0,IF(AH$11=$H137,"◆",""),IF(AND(AH$11&gt;=$H137,AH$11&lt;=$I137),1,""))</f>
        <v>1</v>
      </c>
      <c r="AI137" s="448" t="n">
        <f aca="false">IF($G137=0,IF(AI$11=$H137,"◆",""),IF(AND(AI$11&gt;=$H137,AI$11&lt;=$I137),1,""))</f>
        <v>1</v>
      </c>
      <c r="AJ137" s="448" t="n">
        <f aca="false">IF($G137=0,IF(AJ$11=$H137,"◆",""),IF(AND(AJ$11&gt;=$H137,AJ$11&lt;=$I137),1,""))</f>
        <v>1</v>
      </c>
      <c r="AK137" s="448" t="str">
        <f aca="false">IF($G137=0,IF(AK$11=$H137,"◆",""),IF(AND(AK$11&gt;=$H137,AK$11&lt;=$I137),1,""))</f>
        <v/>
      </c>
      <c r="AL137" s="448" t="str">
        <f aca="false">IF($G137=0,IF(AL$11=$H137,"◆",""),IF(AND(AL$11&gt;=$H137,AL$11&lt;=$I137),1,""))</f>
        <v/>
      </c>
      <c r="AM137" s="448" t="str">
        <f aca="false">IF($G137=0,IF(AM$11=$H137,"◆",""),IF(AND(AM$11&gt;=$H137,AM$11&lt;=$I137),1,""))</f>
        <v/>
      </c>
      <c r="AN137" s="448" t="str">
        <f aca="false">IF($G137=0,IF(AN$11=$H137,"◆",""),IF(AND(AN$11&gt;=$H137,AN$11&lt;=$I137),1,""))</f>
        <v/>
      </c>
      <c r="AO137" s="448" t="str">
        <f aca="false">IF($G137=0,IF(AO$11=$H137,"◆",""),IF(AND(AO$11&gt;=$H137,AO$11&lt;=$I137),1,""))</f>
        <v/>
      </c>
      <c r="AP137" s="448" t="str">
        <f aca="false">IF($G137=0,IF(AP$11=$H137,"◆",""),IF(AND(AP$11&gt;=$H137,AP$11&lt;=$I137),1,""))</f>
        <v/>
      </c>
      <c r="AQ137" s="448" t="str">
        <f aca="false">IF($G137=0,IF(AQ$11=$H137,"◆",""),IF(AND(AQ$11&gt;=$H137,AQ$11&lt;=$I137),1,""))</f>
        <v/>
      </c>
      <c r="AR137" s="448" t="str">
        <f aca="false">IF($G137=0,IF(AR$11=$H137,"◆",""),IF(AND(AR$11&gt;=$H137,AR$11&lt;=$I137),1,""))</f>
        <v/>
      </c>
      <c r="AS137" s="448" t="str">
        <f aca="false">IF($G137=0,IF(AS$11=$H137,"◆",""),IF(AND(AS$11&gt;=$H137,AS$11&lt;=$I137),1,""))</f>
        <v/>
      </c>
      <c r="AT137" s="448" t="str">
        <f aca="false">IF($G137=0,IF(AT$11=$H137,"◆",""),IF(AND(AT$11&gt;=$H137,AT$11&lt;=$I137),1,""))</f>
        <v/>
      </c>
      <c r="AU137" s="448" t="str">
        <f aca="false">IF($G137=0,IF(AU$11=$H137,"◆",""),IF(AND(AU$11&gt;=$H137,AU$11&lt;=$I137),1,""))</f>
        <v/>
      </c>
      <c r="AV137" s="448" t="str">
        <f aca="false">IF($G137=0,IF(AV$11=$H137,"◆",""),IF(AND(AV$11&gt;=$H137,AV$11&lt;=$I137),1,""))</f>
        <v/>
      </c>
      <c r="AW137" s="448" t="str">
        <f aca="false">IF($G137=0,IF(AW$11=$H137,"◆",""),IF(AND(AW$11&gt;=$H137,AW$11&lt;=$I137),1,""))</f>
        <v/>
      </c>
      <c r="AX137" s="448" t="str">
        <f aca="false">IF($G137=0,IF(AX$11=$H137,"◆",""),IF(AND(AX$11&gt;=$H137,AX$11&lt;=$I137),1,""))</f>
        <v/>
      </c>
      <c r="AY137" s="448" t="str">
        <f aca="false">IF($G137=0,IF(AY$11=$H137,"◆",""),IF(AND(AY$11&gt;=$H137,AY$11&lt;=$I137),1,""))</f>
        <v/>
      </c>
      <c r="AZ137" s="448" t="str">
        <f aca="false">IF($G137=0,IF(AZ$11=$H137,"◆",""),IF(AND(AZ$11&gt;=$H137,AZ$11&lt;=$I137),1,""))</f>
        <v/>
      </c>
      <c r="BA137" s="448" t="str">
        <f aca="false">IF($G137=0,IF(BA$11=$H137,"◆",""),IF(AND(BA$11&gt;=$H137,BA$11&lt;=$I137),1,""))</f>
        <v/>
      </c>
      <c r="BB137" s="448" t="str">
        <f aca="false">IF($G137=0,IF(BB$11=$H137,"◆",""),IF(AND(BB$11&gt;=$H137,BB$11&lt;=$I137),1,""))</f>
        <v/>
      </c>
      <c r="BC137" s="448" t="str">
        <f aca="false">IF($G137=0,IF(BC$11=$H137,"◆",""),IF(AND(BC$11&gt;=$H137,BC$11&lt;=$I137),1,""))</f>
        <v/>
      </c>
      <c r="BD137" s="448" t="str">
        <f aca="false">IF($G137=0,IF(BD$11=$H137,"◆",""),IF(AND(BD$11&gt;=$H137,BD$11&lt;=$I137),1,""))</f>
        <v/>
      </c>
      <c r="BE137" s="448" t="str">
        <f aca="false">IF($G137=0,IF(BE$11=$H137,"◆",""),IF(AND(BE$11&gt;=$H137,BE$11&lt;=$I137),1,""))</f>
        <v/>
      </c>
      <c r="BF137" s="448" t="str">
        <f aca="false">IF($G137=0,IF(BF$11=$H137,"◆",""),IF(AND(BF$11&gt;=$H137,BF$11&lt;=$I137),1,""))</f>
        <v/>
      </c>
      <c r="BG137" s="448" t="str">
        <f aca="false">IF($G137=0,IF(BG$11=$H137,"◆",""),IF(AND(BG$11&gt;=$H137,BG$11&lt;=$I137),1,""))</f>
        <v/>
      </c>
      <c r="BH137" s="448" t="str">
        <f aca="false">IF($G137=0,IF(BH$11=$H137,"◆",""),IF(AND(BH$11&gt;=$H137,BH$11&lt;=$I137),1,""))</f>
        <v/>
      </c>
      <c r="BI137" s="448" t="str">
        <f aca="false">IF($G137=0,IF(BI$11=$H137,"◆",""),IF(AND(BI$11&gt;=$H137,BI$11&lt;=$I137),1,""))</f>
        <v/>
      </c>
      <c r="BJ137" s="448" t="str">
        <f aca="false">IF($G137=0,IF(BJ$11=$H137,"◆",""),IF(AND(BJ$11&gt;=$H137,BJ$11&lt;=$I137),1,""))</f>
        <v/>
      </c>
      <c r="BK137" s="448" t="str">
        <f aca="false">IF($G137=0,IF(BK$11=$H137,"◆",""),IF(AND(BK$11&gt;=$H137,BK$11&lt;=$I137),1,""))</f>
        <v/>
      </c>
      <c r="BL137" s="448" t="str">
        <f aca="false">IF($G137=0,IF(BL$11=$H137,"◆",""),IF(AND(BL$11&gt;=$H137,BL$11&lt;=$I137),1,""))</f>
        <v/>
      </c>
      <c r="BM137" s="448" t="str">
        <f aca="false">IF($G137=0,IF(BM$11=$H137,"◆",""),IF(AND(BM$11&gt;=$H137,BM$11&lt;=$I137),1,""))</f>
        <v/>
      </c>
      <c r="BN137" s="448" t="str">
        <f aca="false">IF($G137=0,IF(BN$11=$H137,"◆",""),IF(AND(BN$11&gt;=$H137,BN$11&lt;=$I137),1,""))</f>
        <v/>
      </c>
      <c r="BO137" s="448" t="str">
        <f aca="false">IF($G137=0,IF(BO$11=$H137,"◆",""),IF(AND(BO$11&gt;=$H137,BO$11&lt;=$I137),1,""))</f>
        <v/>
      </c>
      <c r="BP137" s="448" t="str">
        <f aca="false">IF($G137=0,IF(BP$11=$H137,"◆",""),IF(AND(BP$11&gt;=$H137,BP$11&lt;=$I137),1,""))</f>
        <v/>
      </c>
      <c r="BQ137" s="448" t="str">
        <f aca="false">IF($G137=0,IF(BQ$11=$H137,"◆",""),IF(AND(BQ$11&gt;=$H137,BQ$11&lt;=$I137),1,""))</f>
        <v/>
      </c>
      <c r="BR137" s="448" t="str">
        <f aca="false">IF($G137=0,IF(BR$11=$H137,"◆",""),IF(AND(BR$11&gt;=$H137,BR$11&lt;=$I137),1,""))</f>
        <v/>
      </c>
      <c r="BS137" s="448" t="str">
        <f aca="false">IF($G137=0,IF(BS$11=$H137,"◆",""),IF(AND(BS$11&gt;=$H137,BS$11&lt;=$I137),1,""))</f>
        <v/>
      </c>
      <c r="BT137" s="448" t="str">
        <f aca="false">IF($G137=0,IF(BT$11=$H137,"◆",""),IF(AND(BT$11&gt;=$H137,BT$11&lt;=$I137),1,""))</f>
        <v/>
      </c>
      <c r="BU137" s="448" t="str">
        <f aca="false">IF($G137=0,IF(BU$11=$H137,"◆",""),IF(AND(BU$11&gt;=$H137,BU$11&lt;=$I137),1,""))</f>
        <v/>
      </c>
      <c r="BV137" s="448" t="str">
        <f aca="false">IF($G137=0,IF(BV$11=$H137,"◆",""),IF(AND(BV$11&gt;=$H137,BV$11&lt;=$I137),1,""))</f>
        <v/>
      </c>
      <c r="BW137" s="448" t="str">
        <f aca="false">IF($G137=0,IF(BW$11=$H137,"◆",""),IF(AND(BW$11&gt;=$H137,BW$11&lt;=$I137),1,""))</f>
        <v/>
      </c>
      <c r="BX137" s="448" t="str">
        <f aca="false">IF($G137=0,IF(BX$11=$H137,"◆",""),IF(AND(BX$11&gt;=$H137,BX$11&lt;=$I137),1,""))</f>
        <v/>
      </c>
      <c r="BY137" s="448" t="str">
        <f aca="false">IF($G137=0,IF(BY$11=$H137,"◆",""),IF(AND(BY$11&gt;=$H137,BY$11&lt;=$I137),1,""))</f>
        <v/>
      </c>
      <c r="BZ137" s="448" t="str">
        <f aca="false">IF($G137=0,IF(BZ$11=$H137,"◆",""),IF(AND(BZ$11&gt;=$H137,BZ$11&lt;=$I137),1,""))</f>
        <v/>
      </c>
      <c r="CA137" s="448" t="str">
        <f aca="false">IF($G137=0,IF(CA$11=$H137,"◆",""),IF(AND(CA$11&gt;=$H137,CA$11&lt;=$I137),1,""))</f>
        <v/>
      </c>
      <c r="CB137" s="448" t="str">
        <f aca="false">IF($G137=0,IF(CB$11=$H137,"◆",""),IF(AND(CB$11&gt;=$H137,CB$11&lt;=$I137),1,""))</f>
        <v/>
      </c>
      <c r="CC137" s="448" t="str">
        <f aca="false">IF($G137=0,IF(CC$11=$H137,"◆",""),IF(AND(CC$11&gt;=$H137,CC$11&lt;=$I137),1,""))</f>
        <v/>
      </c>
      <c r="CD137" s="448" t="str">
        <f aca="false">IF($G137=0,IF(CD$11=$H137,"◆",""),IF(AND(CD$11&gt;=$H137,CD$11&lt;=$I137),1,""))</f>
        <v/>
      </c>
      <c r="CE137" s="448" t="str">
        <f aca="false">IF($G137=0,IF(CE$11=$H137,"◆",""),IF(AND(CE$11&gt;=$H137,CE$11&lt;=$I137),1,""))</f>
        <v/>
      </c>
      <c r="CF137" s="448" t="str">
        <f aca="false">IF($G137=0,IF(CF$11=$H137,"◆",""),IF(AND(CF$11&gt;=$H137,CF$11&lt;=$I137),1,""))</f>
        <v/>
      </c>
      <c r="CG137" s="448" t="str">
        <f aca="false">IF($G137=0,IF(CG$11=$H137,"◆",""),IF(AND(CG$11&gt;=$H137,CG$11&lt;=$I137),1,""))</f>
        <v/>
      </c>
      <c r="CH137" s="448" t="str">
        <f aca="false">IF($G137=0,IF(CH$11=$H137,"◆",""),IF(AND(CH$11&gt;=$H137,CH$11&lt;=$I137),1,""))</f>
        <v/>
      </c>
      <c r="CI137" s="448" t="str">
        <f aca="false">IF($G137=0,IF(CI$11=$H137,"◆",""),IF(AND(CI$11&gt;=$H137,CI$11&lt;=$I137),1,""))</f>
        <v/>
      </c>
      <c r="CJ137" s="448" t="str">
        <f aca="false">IF($G137=0,IF(CJ$11=$H137,"◆",""),IF(AND(CJ$11&gt;=$H137,CJ$11&lt;=$I137),1,""))</f>
        <v/>
      </c>
      <c r="CK137" s="448" t="str">
        <f aca="false">IF($G137=0,IF(CK$11=$H137,"◆",""),IF(AND(CK$11&gt;=$H137,CK$11&lt;=$I137),1,""))</f>
        <v/>
      </c>
      <c r="CL137" s="448" t="str">
        <f aca="false">IF($G137=0,IF(CL$11=$H137,"◆",""),IF(AND(CL$11&gt;=$H137,CL$11&lt;=$I137),1,""))</f>
        <v/>
      </c>
      <c r="CM137" s="448" t="str">
        <f aca="false">IF($G137=0,IF(CM$11=$H137,"◆",""),IF(AND(CM$11&gt;=$H137,CM$11&lt;=$I137),1,""))</f>
        <v/>
      </c>
      <c r="CN137" s="448" t="str">
        <f aca="false">IF($G137=0,IF(CN$11=$H137,"◆",""),IF(AND(CN$11&gt;=$H137,CN$11&lt;=$I137),1,""))</f>
        <v/>
      </c>
      <c r="CO137" s="448" t="str">
        <f aca="false">IF($G137=0,IF(CO$11=$H137,"◆",""),IF(AND(CO$11&gt;=$H137,CO$11&lt;=$I137),1,""))</f>
        <v/>
      </c>
      <c r="CP137" s="448" t="str">
        <f aca="false">IF($G137=0,IF(CP$11=$H137,"◆",""),IF(AND(CP$11&gt;=$H137,CP$11&lt;=$I137),1,""))</f>
        <v/>
      </c>
      <c r="CQ137" s="448" t="str">
        <f aca="false">IF($G137=0,IF(CQ$11=$H137,"◆",""),IF(AND(CQ$11&gt;=$H137,CQ$11&lt;=$I137),1,""))</f>
        <v/>
      </c>
      <c r="CR137" s="448" t="str">
        <f aca="false">IF($G137=0,IF(CR$11=$H137,"◆",""),IF(AND(CR$11&gt;=$H137,CR$11&lt;=$I137),1,""))</f>
        <v/>
      </c>
      <c r="CS137" s="448" t="str">
        <f aca="false">IF($G137=0,IF(CS$11=$H137,"◆",""),IF(AND(CS$11&gt;=$H137,CS$11&lt;=$I137),1,""))</f>
        <v/>
      </c>
      <c r="CT137" s="448" t="str">
        <f aca="false">IF($G137=0,IF(CT$11=$H137,"◆",""),IF(AND(CT$11&gt;=$H137,CT$11&lt;=$I137),1,""))</f>
        <v/>
      </c>
      <c r="CU137" s="448" t="str">
        <f aca="false">IF($G137=0,IF(CU$11=$H137,"◆",""),IF(AND(CU$11&gt;=$H137,CU$11&lt;=$I137),1,""))</f>
        <v/>
      </c>
      <c r="CV137" s="448" t="str">
        <f aca="false">IF($G137=0,IF(CV$11=$H137,"◆",""),IF(AND(CV$11&gt;=$H137,CV$11&lt;=$I137),1,""))</f>
        <v/>
      </c>
      <c r="CW137" s="448" t="str">
        <f aca="false">IF($G137=0,IF(CW$11=$H137,"◆",""),IF(AND(CW$11&gt;=$H137,CW$11&lt;=$I137),1,""))</f>
        <v/>
      </c>
      <c r="CX137" s="448" t="str">
        <f aca="false">IF($G137=0,IF(CX$11=$H137,"◆",""),IF(AND(CX$11&gt;=$H137,CX$11&lt;=$I137),1,""))</f>
        <v/>
      </c>
      <c r="CY137" s="448" t="str">
        <f aca="false">IF($G137=0,IF(CY$11=$H137,"◆",""),IF(AND(CY$11&gt;=$H137,CY$11&lt;=$I137),1,""))</f>
        <v/>
      </c>
      <c r="CZ137" s="448" t="str">
        <f aca="false">IF($G137=0,IF(CZ$11=$H137,"◆",""),IF(AND(CZ$11&gt;=$H137,CZ$11&lt;=$I137),1,""))</f>
        <v/>
      </c>
      <c r="DA137" s="448" t="str">
        <f aca="false">IF($G137=0,IF(DA$11=$H137,"◆",""),IF(AND(DA$11&gt;=$H137,DA$11&lt;=$I137),1,""))</f>
        <v/>
      </c>
      <c r="DB137" s="448" t="str">
        <f aca="false">IF($G137=0,IF(DB$11=$H137,"◆",""),IF(AND(DB$11&gt;=$H137,DB$11&lt;=$I137),1,""))</f>
        <v/>
      </c>
      <c r="DC137" s="448" t="str">
        <f aca="false">IF($G137=0,IF(DC$11=$H137,"◆",""),IF(AND(DC$11&gt;=$H137,DC$11&lt;=$I137),1,""))</f>
        <v/>
      </c>
      <c r="DD137" s="448" t="str">
        <f aca="false">IF($G137=0,IF(DD$11=$H137,"◆",""),IF(AND(DD$11&gt;=$H137,DD$11&lt;=$I137),1,""))</f>
        <v/>
      </c>
      <c r="DE137" s="448" t="str">
        <f aca="false">IF($G137=0,IF(DE$11=$H137,"◆",""),IF(AND(DE$11&gt;=$H137,DE$11&lt;=$I137),1,""))</f>
        <v/>
      </c>
      <c r="DF137" s="448" t="str">
        <f aca="false">IF($G137=0,IF(DF$11=$H137,"◆",""),IF(AND(DF$11&gt;=$H137,DF$11&lt;=$I137),1,""))</f>
        <v/>
      </c>
      <c r="DG137" s="448" t="str">
        <f aca="false">IF($G137=0,IF(DG$11=$H137,"◆",""),IF(AND(DG$11&gt;=$H137,DG$11&lt;=$I137),1,""))</f>
        <v/>
      </c>
      <c r="DH137" s="448" t="str">
        <f aca="false">IF($G137=0,IF(DH$11=$H137,"◆",""),IF(AND(DH$11&gt;=$H137,DH$11&lt;=$I137),1,""))</f>
        <v/>
      </c>
      <c r="DI137" s="448" t="str">
        <f aca="false">IF($G137=0,IF(DI$11=$H137,"◆",""),IF(AND(DI$11&gt;=$H137,DI$11&lt;=$I137),1,""))</f>
        <v/>
      </c>
      <c r="DJ137" s="448" t="str">
        <f aca="false">IF($G137=0,IF(DJ$11=$H137,"◆",""),IF(AND(DJ$11&gt;=$H137,DJ$11&lt;=$I137),1,""))</f>
        <v/>
      </c>
      <c r="DK137" s="448" t="str">
        <f aca="false">IF($G137=0,IF(DK$11=$H137,"◆",""),IF(AND(DK$11&gt;=$H137,DK$11&lt;=$I137),1,""))</f>
        <v/>
      </c>
      <c r="DL137" s="448" t="str">
        <f aca="false">IF($G137=0,IF(DL$11=$H137,"◆",""),IF(AND(DL$11&gt;=$H137,DL$11&lt;=$I137),1,""))</f>
        <v/>
      </c>
      <c r="DM137" s="448" t="str">
        <f aca="false">IF($G137=0,IF(DM$11=$H137,"◆",""),IF(AND(DM$11&gt;=$H137,DM$11&lt;=$I137),1,""))</f>
        <v/>
      </c>
      <c r="DN137" s="448" t="str">
        <f aca="false">IF($G137=0,IF(DN$11=$H137,"◆",""),IF(AND(DN$11&gt;=$H137,DN$11&lt;=$I137),1,""))</f>
        <v/>
      </c>
      <c r="DO137" s="448" t="str">
        <f aca="false">IF($G137=0,IF(DO$11=$H137,"◆",""),IF(AND(DO$11&gt;=$H137,DO$11&lt;=$I137),1,""))</f>
        <v/>
      </c>
      <c r="DP137" s="448" t="str">
        <f aca="false">IF($G137=0,IF(DP$11=$H137,"◆",""),IF(AND(DP$11&gt;=$H137,DP$11&lt;=$I137),1,""))</f>
        <v/>
      </c>
      <c r="DQ137" s="448" t="str">
        <f aca="false">IF($G137=0,IF(DQ$11=$H137,"◆",""),IF(AND(DQ$11&gt;=$H137,DQ$11&lt;=$I137),1,""))</f>
        <v/>
      </c>
      <c r="DR137" s="448" t="str">
        <f aca="false">IF($G137=0,IF(DR$11=$H137,"◆",""),IF(AND(DR$11&gt;=$H137,DR$11&lt;=$I137),1,""))</f>
        <v/>
      </c>
      <c r="DS137" s="448" t="str">
        <f aca="false">IF($G137=0,IF(DS$11=$H137,"◆",""),IF(AND(DS$11&gt;=$H137,DS$11&lt;=$I137),1,""))</f>
        <v/>
      </c>
      <c r="DT137" s="448" t="str">
        <f aca="false">IF($G137=0,IF(DT$11=$H137,"◆",""),IF(AND(DT$11&gt;=$H137,DT$11&lt;=$I137),1,""))</f>
        <v/>
      </c>
      <c r="DU137" s="448" t="str">
        <f aca="false">IF($G137=0,IF(DU$11=$H137,"◆",""),IF(AND(DU$11&gt;=$H137,DU$11&lt;=$I137),1,""))</f>
        <v/>
      </c>
      <c r="DV137" s="448" t="str">
        <f aca="false">IF($G137=0,IF(DV$11=$H137,"◆",""),IF(AND(DV$11&gt;=$H137,DV$11&lt;=$I137),1,""))</f>
        <v/>
      </c>
      <c r="DW137" s="448" t="str">
        <f aca="false">IF($G137=0,IF(DW$11=$H137,"◆",""),IF(AND(DW$11&gt;=$H137,DW$11&lt;=$I137),1,""))</f>
        <v/>
      </c>
      <c r="DX137" s="448" t="str">
        <f aca="false">IF($G137=0,IF(DX$11=$H137,"◆",""),IF(AND(DX$11&gt;=$H137,DX$11&lt;=$I137),1,""))</f>
        <v/>
      </c>
      <c r="DY137" s="448" t="str">
        <f aca="false">IF($G137=0,IF(DY$11=$H137,"◆",""),IF(AND(DY$11&gt;=$H137,DY$11&lt;=$I137),1,""))</f>
        <v/>
      </c>
      <c r="DZ137" s="448" t="str">
        <f aca="false">IF($G137=0,IF(DZ$11=$H137,"◆",""),IF(AND(DZ$11&gt;=$H137,DZ$11&lt;=$I137),1,""))</f>
        <v/>
      </c>
      <c r="EA137" s="448" t="str">
        <f aca="false">IF($G137=0,IF(EA$11=$H137,"◆",""),IF(AND(EA$11&gt;=$H137,EA$11&lt;=$I137),1,""))</f>
        <v/>
      </c>
      <c r="EB137" s="448" t="str">
        <f aca="false">IF($G137=0,IF(EB$11=$H137,"◆",""),IF(AND(EB$11&gt;=$H137,EB$11&lt;=$I137),1,""))</f>
        <v/>
      </c>
      <c r="EC137" s="448" t="str">
        <f aca="false">IF($G137=0,IF(EC$11=$H137,"◆",""),IF(AND(EC$11&gt;=$H137,EC$11&lt;=$I137),1,""))</f>
        <v/>
      </c>
      <c r="ED137" s="448" t="str">
        <f aca="false">IF($G137=0,IF(ED$11=$H137,"◆",""),IF(AND(ED$11&gt;=$H137,ED$11&lt;=$I137),1,""))</f>
        <v/>
      </c>
    </row>
    <row r="138" customFormat="false" ht="15" hidden="false" customHeight="true" outlineLevel="0" collapsed="false">
      <c r="A138" s="441" t="s">
        <v>2727</v>
      </c>
      <c r="B138" s="297" t="s">
        <v>2728</v>
      </c>
      <c r="C138" s="442" t="s">
        <v>2518</v>
      </c>
      <c r="D138" s="443" t="s">
        <v>2634</v>
      </c>
      <c r="E138" s="354" t="n">
        <f aca="false">FC_SUPUESTOS!$C$40</f>
        <v>10</v>
      </c>
      <c r="F138" s="374" t="n">
        <f aca="false">-ROUND(FC_SUPUESTOS!$C$227*$D$5,0)</f>
        <v>-9</v>
      </c>
      <c r="G138" s="352" t="n">
        <v>5</v>
      </c>
      <c r="H138" s="367" t="n">
        <f aca="false">MAX(1,ROUND(($E138-1)*$D$5,0)+1+$F138)</f>
        <v>31</v>
      </c>
      <c r="I138" s="367" t="n">
        <f aca="false">MAX($H138,$H138+$G138-1)</f>
        <v>35</v>
      </c>
      <c r="J138" s="444" t="n">
        <f aca="false">$D$4+($H138-1)*7</f>
        <v>46510</v>
      </c>
      <c r="K138" s="444" t="n">
        <f aca="false">$D$4+$I138*7-1</f>
        <v>46544</v>
      </c>
      <c r="L138" s="445" t="n">
        <f aca="false">ROUNDUP($H138/$D$5,0)</f>
        <v>8</v>
      </c>
      <c r="M138" s="446" t="s">
        <v>2453</v>
      </c>
      <c r="N138" s="447" t="n">
        <v>0</v>
      </c>
      <c r="O138" s="448" t="str">
        <f aca="false">IF($G138=0,IF(O$11=$H138,"◆",""),IF(AND(O$11&gt;=$H138,O$11&lt;=$I138),1,""))</f>
        <v/>
      </c>
      <c r="P138" s="448" t="str">
        <f aca="false">IF($G138=0,IF(P$11=$H138,"◆",""),IF(AND(P$11&gt;=$H138,P$11&lt;=$I138),1,""))</f>
        <v/>
      </c>
      <c r="Q138" s="448" t="str">
        <f aca="false">IF($G138=0,IF(Q$11=$H138,"◆",""),IF(AND(Q$11&gt;=$H138,Q$11&lt;=$I138),1,""))</f>
        <v/>
      </c>
      <c r="R138" s="448" t="str">
        <f aca="false">IF($G138=0,IF(R$11=$H138,"◆",""),IF(AND(R$11&gt;=$H138,R$11&lt;=$I138),1,""))</f>
        <v/>
      </c>
      <c r="S138" s="448" t="str">
        <f aca="false">IF($G138=0,IF(S$11=$H138,"◆",""),IF(AND(S$11&gt;=$H138,S$11&lt;=$I138),1,""))</f>
        <v/>
      </c>
      <c r="T138" s="448" t="str">
        <f aca="false">IF($G138=0,IF(T$11=$H138,"◆",""),IF(AND(T$11&gt;=$H138,T$11&lt;=$I138),1,""))</f>
        <v/>
      </c>
      <c r="U138" s="448" t="str">
        <f aca="false">IF($G138=0,IF(U$11=$H138,"◆",""),IF(AND(U$11&gt;=$H138,U$11&lt;=$I138),1,""))</f>
        <v/>
      </c>
      <c r="V138" s="448" t="str">
        <f aca="false">IF($G138=0,IF(V$11=$H138,"◆",""),IF(AND(V$11&gt;=$H138,V$11&lt;=$I138),1,""))</f>
        <v/>
      </c>
      <c r="W138" s="448" t="str">
        <f aca="false">IF($G138=0,IF(W$11=$H138,"◆",""),IF(AND(W$11&gt;=$H138,W$11&lt;=$I138),1,""))</f>
        <v/>
      </c>
      <c r="X138" s="448" t="str">
        <f aca="false">IF($G138=0,IF(X$11=$H138,"◆",""),IF(AND(X$11&gt;=$H138,X$11&lt;=$I138),1,""))</f>
        <v/>
      </c>
      <c r="Y138" s="448" t="str">
        <f aca="false">IF($G138=0,IF(Y$11=$H138,"◆",""),IF(AND(Y$11&gt;=$H138,Y$11&lt;=$I138),1,""))</f>
        <v/>
      </c>
      <c r="Z138" s="448" t="str">
        <f aca="false">IF($G138=0,IF(Z$11=$H138,"◆",""),IF(AND(Z$11&gt;=$H138,Z$11&lt;=$I138),1,""))</f>
        <v/>
      </c>
      <c r="AA138" s="448" t="str">
        <f aca="false">IF($G138=0,IF(AA$11=$H138,"◆",""),IF(AND(AA$11&gt;=$H138,AA$11&lt;=$I138),1,""))</f>
        <v/>
      </c>
      <c r="AB138" s="448" t="str">
        <f aca="false">IF($G138=0,IF(AB$11=$H138,"◆",""),IF(AND(AB$11&gt;=$H138,AB$11&lt;=$I138),1,""))</f>
        <v/>
      </c>
      <c r="AC138" s="448" t="str">
        <f aca="false">IF($G138=0,IF(AC$11=$H138,"◆",""),IF(AND(AC$11&gt;=$H138,AC$11&lt;=$I138),1,""))</f>
        <v/>
      </c>
      <c r="AD138" s="448" t="str">
        <f aca="false">IF($G138=0,IF(AD$11=$H138,"◆",""),IF(AND(AD$11&gt;=$H138,AD$11&lt;=$I138),1,""))</f>
        <v/>
      </c>
      <c r="AE138" s="448" t="str">
        <f aca="false">IF($G138=0,IF(AE$11=$H138,"◆",""),IF(AND(AE$11&gt;=$H138,AE$11&lt;=$I138),1,""))</f>
        <v/>
      </c>
      <c r="AF138" s="448" t="str">
        <f aca="false">IF($G138=0,IF(AF$11=$H138,"◆",""),IF(AND(AF$11&gt;=$H138,AF$11&lt;=$I138),1,""))</f>
        <v/>
      </c>
      <c r="AG138" s="448" t="str">
        <f aca="false">IF($G138=0,IF(AG$11=$H138,"◆",""),IF(AND(AG$11&gt;=$H138,AG$11&lt;=$I138),1,""))</f>
        <v/>
      </c>
      <c r="AH138" s="448" t="str">
        <f aca="false">IF($G138=0,IF(AH$11=$H138,"◆",""),IF(AND(AH$11&gt;=$H138,AH$11&lt;=$I138),1,""))</f>
        <v/>
      </c>
      <c r="AI138" s="448" t="str">
        <f aca="false">IF($G138=0,IF(AI$11=$H138,"◆",""),IF(AND(AI$11&gt;=$H138,AI$11&lt;=$I138),1,""))</f>
        <v/>
      </c>
      <c r="AJ138" s="448" t="str">
        <f aca="false">IF($G138=0,IF(AJ$11=$H138,"◆",""),IF(AND(AJ$11&gt;=$H138,AJ$11&lt;=$I138),1,""))</f>
        <v/>
      </c>
      <c r="AK138" s="448" t="str">
        <f aca="false">IF($G138=0,IF(AK$11=$H138,"◆",""),IF(AND(AK$11&gt;=$H138,AK$11&lt;=$I138),1,""))</f>
        <v/>
      </c>
      <c r="AL138" s="448" t="str">
        <f aca="false">IF($G138=0,IF(AL$11=$H138,"◆",""),IF(AND(AL$11&gt;=$H138,AL$11&lt;=$I138),1,""))</f>
        <v/>
      </c>
      <c r="AM138" s="448" t="str">
        <f aca="false">IF($G138=0,IF(AM$11=$H138,"◆",""),IF(AND(AM$11&gt;=$H138,AM$11&lt;=$I138),1,""))</f>
        <v/>
      </c>
      <c r="AN138" s="448" t="str">
        <f aca="false">IF($G138=0,IF(AN$11=$H138,"◆",""),IF(AND(AN$11&gt;=$H138,AN$11&lt;=$I138),1,""))</f>
        <v/>
      </c>
      <c r="AO138" s="448" t="str">
        <f aca="false">IF($G138=0,IF(AO$11=$H138,"◆",""),IF(AND(AO$11&gt;=$H138,AO$11&lt;=$I138),1,""))</f>
        <v/>
      </c>
      <c r="AP138" s="448" t="str">
        <f aca="false">IF($G138=0,IF(AP$11=$H138,"◆",""),IF(AND(AP$11&gt;=$H138,AP$11&lt;=$I138),1,""))</f>
        <v/>
      </c>
      <c r="AQ138" s="448" t="str">
        <f aca="false">IF($G138=0,IF(AQ$11=$H138,"◆",""),IF(AND(AQ$11&gt;=$H138,AQ$11&lt;=$I138),1,""))</f>
        <v/>
      </c>
      <c r="AR138" s="448" t="str">
        <f aca="false">IF($G138=0,IF(AR$11=$H138,"◆",""),IF(AND(AR$11&gt;=$H138,AR$11&lt;=$I138),1,""))</f>
        <v/>
      </c>
      <c r="AS138" s="448" t="n">
        <f aca="false">IF($G138=0,IF(AS$11=$H138,"◆",""),IF(AND(AS$11&gt;=$H138,AS$11&lt;=$I138),1,""))</f>
        <v>1</v>
      </c>
      <c r="AT138" s="448" t="n">
        <f aca="false">IF($G138=0,IF(AT$11=$H138,"◆",""),IF(AND(AT$11&gt;=$H138,AT$11&lt;=$I138),1,""))</f>
        <v>1</v>
      </c>
      <c r="AU138" s="448" t="n">
        <f aca="false">IF($G138=0,IF(AU$11=$H138,"◆",""),IF(AND(AU$11&gt;=$H138,AU$11&lt;=$I138),1,""))</f>
        <v>1</v>
      </c>
      <c r="AV138" s="448" t="n">
        <f aca="false">IF($G138=0,IF(AV$11=$H138,"◆",""),IF(AND(AV$11&gt;=$H138,AV$11&lt;=$I138),1,""))</f>
        <v>1</v>
      </c>
      <c r="AW138" s="448" t="n">
        <f aca="false">IF($G138=0,IF(AW$11=$H138,"◆",""),IF(AND(AW$11&gt;=$H138,AW$11&lt;=$I138),1,""))</f>
        <v>1</v>
      </c>
      <c r="AX138" s="448" t="str">
        <f aca="false">IF($G138=0,IF(AX$11=$H138,"◆",""),IF(AND(AX$11&gt;=$H138,AX$11&lt;=$I138),1,""))</f>
        <v/>
      </c>
      <c r="AY138" s="448" t="str">
        <f aca="false">IF($G138=0,IF(AY$11=$H138,"◆",""),IF(AND(AY$11&gt;=$H138,AY$11&lt;=$I138),1,""))</f>
        <v/>
      </c>
      <c r="AZ138" s="448" t="str">
        <f aca="false">IF($G138=0,IF(AZ$11=$H138,"◆",""),IF(AND(AZ$11&gt;=$H138,AZ$11&lt;=$I138),1,""))</f>
        <v/>
      </c>
      <c r="BA138" s="448" t="str">
        <f aca="false">IF($G138=0,IF(BA$11=$H138,"◆",""),IF(AND(BA$11&gt;=$H138,BA$11&lt;=$I138),1,""))</f>
        <v/>
      </c>
      <c r="BB138" s="448" t="str">
        <f aca="false">IF($G138=0,IF(BB$11=$H138,"◆",""),IF(AND(BB$11&gt;=$H138,BB$11&lt;=$I138),1,""))</f>
        <v/>
      </c>
      <c r="BC138" s="448" t="str">
        <f aca="false">IF($G138=0,IF(BC$11=$H138,"◆",""),IF(AND(BC$11&gt;=$H138,BC$11&lt;=$I138),1,""))</f>
        <v/>
      </c>
      <c r="BD138" s="448" t="str">
        <f aca="false">IF($G138=0,IF(BD$11=$H138,"◆",""),IF(AND(BD$11&gt;=$H138,BD$11&lt;=$I138),1,""))</f>
        <v/>
      </c>
      <c r="BE138" s="448" t="str">
        <f aca="false">IF($G138=0,IF(BE$11=$H138,"◆",""),IF(AND(BE$11&gt;=$H138,BE$11&lt;=$I138),1,""))</f>
        <v/>
      </c>
      <c r="BF138" s="448" t="str">
        <f aca="false">IF($G138=0,IF(BF$11=$H138,"◆",""),IF(AND(BF$11&gt;=$H138,BF$11&lt;=$I138),1,""))</f>
        <v/>
      </c>
      <c r="BG138" s="448" t="str">
        <f aca="false">IF($G138=0,IF(BG$11=$H138,"◆",""),IF(AND(BG$11&gt;=$H138,BG$11&lt;=$I138),1,""))</f>
        <v/>
      </c>
      <c r="BH138" s="448" t="str">
        <f aca="false">IF($G138=0,IF(BH$11=$H138,"◆",""),IF(AND(BH$11&gt;=$H138,BH$11&lt;=$I138),1,""))</f>
        <v/>
      </c>
      <c r="BI138" s="448" t="str">
        <f aca="false">IF($G138=0,IF(BI$11=$H138,"◆",""),IF(AND(BI$11&gt;=$H138,BI$11&lt;=$I138),1,""))</f>
        <v/>
      </c>
      <c r="BJ138" s="448" t="str">
        <f aca="false">IF($G138=0,IF(BJ$11=$H138,"◆",""),IF(AND(BJ$11&gt;=$H138,BJ$11&lt;=$I138),1,""))</f>
        <v/>
      </c>
      <c r="BK138" s="448" t="str">
        <f aca="false">IF($G138=0,IF(BK$11=$H138,"◆",""),IF(AND(BK$11&gt;=$H138,BK$11&lt;=$I138),1,""))</f>
        <v/>
      </c>
      <c r="BL138" s="448" t="str">
        <f aca="false">IF($G138=0,IF(BL$11=$H138,"◆",""),IF(AND(BL$11&gt;=$H138,BL$11&lt;=$I138),1,""))</f>
        <v/>
      </c>
      <c r="BM138" s="448" t="str">
        <f aca="false">IF($G138=0,IF(BM$11=$H138,"◆",""),IF(AND(BM$11&gt;=$H138,BM$11&lt;=$I138),1,""))</f>
        <v/>
      </c>
      <c r="BN138" s="448" t="str">
        <f aca="false">IF($G138=0,IF(BN$11=$H138,"◆",""),IF(AND(BN$11&gt;=$H138,BN$11&lt;=$I138),1,""))</f>
        <v/>
      </c>
      <c r="BO138" s="448" t="str">
        <f aca="false">IF($G138=0,IF(BO$11=$H138,"◆",""),IF(AND(BO$11&gt;=$H138,BO$11&lt;=$I138),1,""))</f>
        <v/>
      </c>
      <c r="BP138" s="448" t="str">
        <f aca="false">IF($G138=0,IF(BP$11=$H138,"◆",""),IF(AND(BP$11&gt;=$H138,BP$11&lt;=$I138),1,""))</f>
        <v/>
      </c>
      <c r="BQ138" s="448" t="str">
        <f aca="false">IF($G138=0,IF(BQ$11=$H138,"◆",""),IF(AND(BQ$11&gt;=$H138,BQ$11&lt;=$I138),1,""))</f>
        <v/>
      </c>
      <c r="BR138" s="448" t="str">
        <f aca="false">IF($G138=0,IF(BR$11=$H138,"◆",""),IF(AND(BR$11&gt;=$H138,BR$11&lt;=$I138),1,""))</f>
        <v/>
      </c>
      <c r="BS138" s="448" t="str">
        <f aca="false">IF($G138=0,IF(BS$11=$H138,"◆",""),IF(AND(BS$11&gt;=$H138,BS$11&lt;=$I138),1,""))</f>
        <v/>
      </c>
      <c r="BT138" s="448" t="str">
        <f aca="false">IF($G138=0,IF(BT$11=$H138,"◆",""),IF(AND(BT$11&gt;=$H138,BT$11&lt;=$I138),1,""))</f>
        <v/>
      </c>
      <c r="BU138" s="448" t="str">
        <f aca="false">IF($G138=0,IF(BU$11=$H138,"◆",""),IF(AND(BU$11&gt;=$H138,BU$11&lt;=$I138),1,""))</f>
        <v/>
      </c>
      <c r="BV138" s="448" t="str">
        <f aca="false">IF($G138=0,IF(BV$11=$H138,"◆",""),IF(AND(BV$11&gt;=$H138,BV$11&lt;=$I138),1,""))</f>
        <v/>
      </c>
      <c r="BW138" s="448" t="str">
        <f aca="false">IF($G138=0,IF(BW$11=$H138,"◆",""),IF(AND(BW$11&gt;=$H138,BW$11&lt;=$I138),1,""))</f>
        <v/>
      </c>
      <c r="BX138" s="448" t="str">
        <f aca="false">IF($G138=0,IF(BX$11=$H138,"◆",""),IF(AND(BX$11&gt;=$H138,BX$11&lt;=$I138),1,""))</f>
        <v/>
      </c>
      <c r="BY138" s="448" t="str">
        <f aca="false">IF($G138=0,IF(BY$11=$H138,"◆",""),IF(AND(BY$11&gt;=$H138,BY$11&lt;=$I138),1,""))</f>
        <v/>
      </c>
      <c r="BZ138" s="448" t="str">
        <f aca="false">IF($G138=0,IF(BZ$11=$H138,"◆",""),IF(AND(BZ$11&gt;=$H138,BZ$11&lt;=$I138),1,""))</f>
        <v/>
      </c>
      <c r="CA138" s="448" t="str">
        <f aca="false">IF($G138=0,IF(CA$11=$H138,"◆",""),IF(AND(CA$11&gt;=$H138,CA$11&lt;=$I138),1,""))</f>
        <v/>
      </c>
      <c r="CB138" s="448" t="str">
        <f aca="false">IF($G138=0,IF(CB$11=$H138,"◆",""),IF(AND(CB$11&gt;=$H138,CB$11&lt;=$I138),1,""))</f>
        <v/>
      </c>
      <c r="CC138" s="448" t="str">
        <f aca="false">IF($G138=0,IF(CC$11=$H138,"◆",""),IF(AND(CC$11&gt;=$H138,CC$11&lt;=$I138),1,""))</f>
        <v/>
      </c>
      <c r="CD138" s="448" t="str">
        <f aca="false">IF($G138=0,IF(CD$11=$H138,"◆",""),IF(AND(CD$11&gt;=$H138,CD$11&lt;=$I138),1,""))</f>
        <v/>
      </c>
      <c r="CE138" s="448" t="str">
        <f aca="false">IF($G138=0,IF(CE$11=$H138,"◆",""),IF(AND(CE$11&gt;=$H138,CE$11&lt;=$I138),1,""))</f>
        <v/>
      </c>
      <c r="CF138" s="448" t="str">
        <f aca="false">IF($G138=0,IF(CF$11=$H138,"◆",""),IF(AND(CF$11&gt;=$H138,CF$11&lt;=$I138),1,""))</f>
        <v/>
      </c>
      <c r="CG138" s="448" t="str">
        <f aca="false">IF($G138=0,IF(CG$11=$H138,"◆",""),IF(AND(CG$11&gt;=$H138,CG$11&lt;=$I138),1,""))</f>
        <v/>
      </c>
      <c r="CH138" s="448" t="str">
        <f aca="false">IF($G138=0,IF(CH$11=$H138,"◆",""),IF(AND(CH$11&gt;=$H138,CH$11&lt;=$I138),1,""))</f>
        <v/>
      </c>
      <c r="CI138" s="448" t="str">
        <f aca="false">IF($G138=0,IF(CI$11=$H138,"◆",""),IF(AND(CI$11&gt;=$H138,CI$11&lt;=$I138),1,""))</f>
        <v/>
      </c>
      <c r="CJ138" s="448" t="str">
        <f aca="false">IF($G138=0,IF(CJ$11=$H138,"◆",""),IF(AND(CJ$11&gt;=$H138,CJ$11&lt;=$I138),1,""))</f>
        <v/>
      </c>
      <c r="CK138" s="448" t="str">
        <f aca="false">IF($G138=0,IF(CK$11=$H138,"◆",""),IF(AND(CK$11&gt;=$H138,CK$11&lt;=$I138),1,""))</f>
        <v/>
      </c>
      <c r="CL138" s="448" t="str">
        <f aca="false">IF($G138=0,IF(CL$11=$H138,"◆",""),IF(AND(CL$11&gt;=$H138,CL$11&lt;=$I138),1,""))</f>
        <v/>
      </c>
      <c r="CM138" s="448" t="str">
        <f aca="false">IF($G138=0,IF(CM$11=$H138,"◆",""),IF(AND(CM$11&gt;=$H138,CM$11&lt;=$I138),1,""))</f>
        <v/>
      </c>
      <c r="CN138" s="448" t="str">
        <f aca="false">IF($G138=0,IF(CN$11=$H138,"◆",""),IF(AND(CN$11&gt;=$H138,CN$11&lt;=$I138),1,""))</f>
        <v/>
      </c>
      <c r="CO138" s="448" t="str">
        <f aca="false">IF($G138=0,IF(CO$11=$H138,"◆",""),IF(AND(CO$11&gt;=$H138,CO$11&lt;=$I138),1,""))</f>
        <v/>
      </c>
      <c r="CP138" s="448" t="str">
        <f aca="false">IF($G138=0,IF(CP$11=$H138,"◆",""),IF(AND(CP$11&gt;=$H138,CP$11&lt;=$I138),1,""))</f>
        <v/>
      </c>
      <c r="CQ138" s="448" t="str">
        <f aca="false">IF($G138=0,IF(CQ$11=$H138,"◆",""),IF(AND(CQ$11&gt;=$H138,CQ$11&lt;=$I138),1,""))</f>
        <v/>
      </c>
      <c r="CR138" s="448" t="str">
        <f aca="false">IF($G138=0,IF(CR$11=$H138,"◆",""),IF(AND(CR$11&gt;=$H138,CR$11&lt;=$I138),1,""))</f>
        <v/>
      </c>
      <c r="CS138" s="448" t="str">
        <f aca="false">IF($G138=0,IF(CS$11=$H138,"◆",""),IF(AND(CS$11&gt;=$H138,CS$11&lt;=$I138),1,""))</f>
        <v/>
      </c>
      <c r="CT138" s="448" t="str">
        <f aca="false">IF($G138=0,IF(CT$11=$H138,"◆",""),IF(AND(CT$11&gt;=$H138,CT$11&lt;=$I138),1,""))</f>
        <v/>
      </c>
      <c r="CU138" s="448" t="str">
        <f aca="false">IF($G138=0,IF(CU$11=$H138,"◆",""),IF(AND(CU$11&gt;=$H138,CU$11&lt;=$I138),1,""))</f>
        <v/>
      </c>
      <c r="CV138" s="448" t="str">
        <f aca="false">IF($G138=0,IF(CV$11=$H138,"◆",""),IF(AND(CV$11&gt;=$H138,CV$11&lt;=$I138),1,""))</f>
        <v/>
      </c>
      <c r="CW138" s="448" t="str">
        <f aca="false">IF($G138=0,IF(CW$11=$H138,"◆",""),IF(AND(CW$11&gt;=$H138,CW$11&lt;=$I138),1,""))</f>
        <v/>
      </c>
      <c r="CX138" s="448" t="str">
        <f aca="false">IF($G138=0,IF(CX$11=$H138,"◆",""),IF(AND(CX$11&gt;=$H138,CX$11&lt;=$I138),1,""))</f>
        <v/>
      </c>
      <c r="CY138" s="448" t="str">
        <f aca="false">IF($G138=0,IF(CY$11=$H138,"◆",""),IF(AND(CY$11&gt;=$H138,CY$11&lt;=$I138),1,""))</f>
        <v/>
      </c>
      <c r="CZ138" s="448" t="str">
        <f aca="false">IF($G138=0,IF(CZ$11=$H138,"◆",""),IF(AND(CZ$11&gt;=$H138,CZ$11&lt;=$I138),1,""))</f>
        <v/>
      </c>
      <c r="DA138" s="448" t="str">
        <f aca="false">IF($G138=0,IF(DA$11=$H138,"◆",""),IF(AND(DA$11&gt;=$H138,DA$11&lt;=$I138),1,""))</f>
        <v/>
      </c>
      <c r="DB138" s="448" t="str">
        <f aca="false">IF($G138=0,IF(DB$11=$H138,"◆",""),IF(AND(DB$11&gt;=$H138,DB$11&lt;=$I138),1,""))</f>
        <v/>
      </c>
      <c r="DC138" s="448" t="str">
        <f aca="false">IF($G138=0,IF(DC$11=$H138,"◆",""),IF(AND(DC$11&gt;=$H138,DC$11&lt;=$I138),1,""))</f>
        <v/>
      </c>
      <c r="DD138" s="448" t="str">
        <f aca="false">IF($G138=0,IF(DD$11=$H138,"◆",""),IF(AND(DD$11&gt;=$H138,DD$11&lt;=$I138),1,""))</f>
        <v/>
      </c>
      <c r="DE138" s="448" t="str">
        <f aca="false">IF($G138=0,IF(DE$11=$H138,"◆",""),IF(AND(DE$11&gt;=$H138,DE$11&lt;=$I138),1,""))</f>
        <v/>
      </c>
      <c r="DF138" s="448" t="str">
        <f aca="false">IF($G138=0,IF(DF$11=$H138,"◆",""),IF(AND(DF$11&gt;=$H138,DF$11&lt;=$I138),1,""))</f>
        <v/>
      </c>
      <c r="DG138" s="448" t="str">
        <f aca="false">IF($G138=0,IF(DG$11=$H138,"◆",""),IF(AND(DG$11&gt;=$H138,DG$11&lt;=$I138),1,""))</f>
        <v/>
      </c>
      <c r="DH138" s="448" t="str">
        <f aca="false">IF($G138=0,IF(DH$11=$H138,"◆",""),IF(AND(DH$11&gt;=$H138,DH$11&lt;=$I138),1,""))</f>
        <v/>
      </c>
      <c r="DI138" s="448" t="str">
        <f aca="false">IF($G138=0,IF(DI$11=$H138,"◆",""),IF(AND(DI$11&gt;=$H138,DI$11&lt;=$I138),1,""))</f>
        <v/>
      </c>
      <c r="DJ138" s="448" t="str">
        <f aca="false">IF($G138=0,IF(DJ$11=$H138,"◆",""),IF(AND(DJ$11&gt;=$H138,DJ$11&lt;=$I138),1,""))</f>
        <v/>
      </c>
      <c r="DK138" s="448" t="str">
        <f aca="false">IF($G138=0,IF(DK$11=$H138,"◆",""),IF(AND(DK$11&gt;=$H138,DK$11&lt;=$I138),1,""))</f>
        <v/>
      </c>
      <c r="DL138" s="448" t="str">
        <f aca="false">IF($G138=0,IF(DL$11=$H138,"◆",""),IF(AND(DL$11&gt;=$H138,DL$11&lt;=$I138),1,""))</f>
        <v/>
      </c>
      <c r="DM138" s="448" t="str">
        <f aca="false">IF($G138=0,IF(DM$11=$H138,"◆",""),IF(AND(DM$11&gt;=$H138,DM$11&lt;=$I138),1,""))</f>
        <v/>
      </c>
      <c r="DN138" s="448" t="str">
        <f aca="false">IF($G138=0,IF(DN$11=$H138,"◆",""),IF(AND(DN$11&gt;=$H138,DN$11&lt;=$I138),1,""))</f>
        <v/>
      </c>
      <c r="DO138" s="448" t="str">
        <f aca="false">IF($G138=0,IF(DO$11=$H138,"◆",""),IF(AND(DO$11&gt;=$H138,DO$11&lt;=$I138),1,""))</f>
        <v/>
      </c>
      <c r="DP138" s="448" t="str">
        <f aca="false">IF($G138=0,IF(DP$11=$H138,"◆",""),IF(AND(DP$11&gt;=$H138,DP$11&lt;=$I138),1,""))</f>
        <v/>
      </c>
      <c r="DQ138" s="448" t="str">
        <f aca="false">IF($G138=0,IF(DQ$11=$H138,"◆",""),IF(AND(DQ$11&gt;=$H138,DQ$11&lt;=$I138),1,""))</f>
        <v/>
      </c>
      <c r="DR138" s="448" t="str">
        <f aca="false">IF($G138=0,IF(DR$11=$H138,"◆",""),IF(AND(DR$11&gt;=$H138,DR$11&lt;=$I138),1,""))</f>
        <v/>
      </c>
      <c r="DS138" s="448" t="str">
        <f aca="false">IF($G138=0,IF(DS$11=$H138,"◆",""),IF(AND(DS$11&gt;=$H138,DS$11&lt;=$I138),1,""))</f>
        <v/>
      </c>
      <c r="DT138" s="448" t="str">
        <f aca="false">IF($G138=0,IF(DT$11=$H138,"◆",""),IF(AND(DT$11&gt;=$H138,DT$11&lt;=$I138),1,""))</f>
        <v/>
      </c>
      <c r="DU138" s="448" t="str">
        <f aca="false">IF($G138=0,IF(DU$11=$H138,"◆",""),IF(AND(DU$11&gt;=$H138,DU$11&lt;=$I138),1,""))</f>
        <v/>
      </c>
      <c r="DV138" s="448" t="str">
        <f aca="false">IF($G138=0,IF(DV$11=$H138,"◆",""),IF(AND(DV$11&gt;=$H138,DV$11&lt;=$I138),1,""))</f>
        <v/>
      </c>
      <c r="DW138" s="448" t="str">
        <f aca="false">IF($G138=0,IF(DW$11=$H138,"◆",""),IF(AND(DW$11&gt;=$H138,DW$11&lt;=$I138),1,""))</f>
        <v/>
      </c>
      <c r="DX138" s="448" t="str">
        <f aca="false">IF($G138=0,IF(DX$11=$H138,"◆",""),IF(AND(DX$11&gt;=$H138,DX$11&lt;=$I138),1,""))</f>
        <v/>
      </c>
      <c r="DY138" s="448" t="str">
        <f aca="false">IF($G138=0,IF(DY$11=$H138,"◆",""),IF(AND(DY$11&gt;=$H138,DY$11&lt;=$I138),1,""))</f>
        <v/>
      </c>
      <c r="DZ138" s="448" t="str">
        <f aca="false">IF($G138=0,IF(DZ$11=$H138,"◆",""),IF(AND(DZ$11&gt;=$H138,DZ$11&lt;=$I138),1,""))</f>
        <v/>
      </c>
      <c r="EA138" s="448" t="str">
        <f aca="false">IF($G138=0,IF(EA$11=$H138,"◆",""),IF(AND(EA$11&gt;=$H138,EA$11&lt;=$I138),1,""))</f>
        <v/>
      </c>
      <c r="EB138" s="448" t="str">
        <f aca="false">IF($G138=0,IF(EB$11=$H138,"◆",""),IF(AND(EB$11&gt;=$H138,EB$11&lt;=$I138),1,""))</f>
        <v/>
      </c>
      <c r="EC138" s="448" t="str">
        <f aca="false">IF($G138=0,IF(EC$11=$H138,"◆",""),IF(AND(EC$11&gt;=$H138,EC$11&lt;=$I138),1,""))</f>
        <v/>
      </c>
      <c r="ED138" s="448" t="str">
        <f aca="false">IF($G138=0,IF(ED$11=$H138,"◆",""),IF(AND(ED$11&gt;=$H138,ED$11&lt;=$I138),1,""))</f>
        <v/>
      </c>
    </row>
    <row r="139" customFormat="false" ht="15" hidden="false" customHeight="true" outlineLevel="0" collapsed="false">
      <c r="A139" s="441" t="s">
        <v>2729</v>
      </c>
      <c r="B139" s="297" t="s">
        <v>2730</v>
      </c>
      <c r="C139" s="442" t="s">
        <v>2722</v>
      </c>
      <c r="D139" s="443" t="s">
        <v>2634</v>
      </c>
      <c r="E139" s="354" t="n">
        <f aca="false">FC_SUPUESTOS!$C$40</f>
        <v>10</v>
      </c>
      <c r="F139" s="374" t="n">
        <f aca="false">-ROUND(FC_SUPUESTOS!$C$226*$D$5,0)</f>
        <v>-4</v>
      </c>
      <c r="G139" s="374" t="n">
        <f aca="false">ROUND(FC_SUPUESTOS!$C$226*$D$5,0)</f>
        <v>4</v>
      </c>
      <c r="H139" s="367" t="n">
        <f aca="false">MAX(1,ROUND(($E139-1)*$D$5,0)+1+$F139)</f>
        <v>36</v>
      </c>
      <c r="I139" s="367" t="n">
        <f aca="false">MAX($H139,$H139+$G139-1)</f>
        <v>39</v>
      </c>
      <c r="J139" s="444" t="n">
        <f aca="false">$D$4+($H139-1)*7</f>
        <v>46545</v>
      </c>
      <c r="K139" s="444" t="n">
        <f aca="false">$D$4+$I139*7-1</f>
        <v>46572</v>
      </c>
      <c r="L139" s="445" t="n">
        <f aca="false">ROUNDUP($H139/$D$5,0)</f>
        <v>9</v>
      </c>
      <c r="M139" s="446" t="s">
        <v>2453</v>
      </c>
      <c r="N139" s="447" t="n">
        <v>0</v>
      </c>
      <c r="O139" s="448" t="str">
        <f aca="false">IF($G139=0,IF(O$11=$H139,"◆",""),IF(AND(O$11&gt;=$H139,O$11&lt;=$I139),1,""))</f>
        <v/>
      </c>
      <c r="P139" s="448" t="str">
        <f aca="false">IF($G139=0,IF(P$11=$H139,"◆",""),IF(AND(P$11&gt;=$H139,P$11&lt;=$I139),1,""))</f>
        <v/>
      </c>
      <c r="Q139" s="448" t="str">
        <f aca="false">IF($G139=0,IF(Q$11=$H139,"◆",""),IF(AND(Q$11&gt;=$H139,Q$11&lt;=$I139),1,""))</f>
        <v/>
      </c>
      <c r="R139" s="448" t="str">
        <f aca="false">IF($G139=0,IF(R$11=$H139,"◆",""),IF(AND(R$11&gt;=$H139,R$11&lt;=$I139),1,""))</f>
        <v/>
      </c>
      <c r="S139" s="448" t="str">
        <f aca="false">IF($G139=0,IF(S$11=$H139,"◆",""),IF(AND(S$11&gt;=$H139,S$11&lt;=$I139),1,""))</f>
        <v/>
      </c>
      <c r="T139" s="448" t="str">
        <f aca="false">IF($G139=0,IF(T$11=$H139,"◆",""),IF(AND(T$11&gt;=$H139,T$11&lt;=$I139),1,""))</f>
        <v/>
      </c>
      <c r="U139" s="448" t="str">
        <f aca="false">IF($G139=0,IF(U$11=$H139,"◆",""),IF(AND(U$11&gt;=$H139,U$11&lt;=$I139),1,""))</f>
        <v/>
      </c>
      <c r="V139" s="448" t="str">
        <f aca="false">IF($G139=0,IF(V$11=$H139,"◆",""),IF(AND(V$11&gt;=$H139,V$11&lt;=$I139),1,""))</f>
        <v/>
      </c>
      <c r="W139" s="448" t="str">
        <f aca="false">IF($G139=0,IF(W$11=$H139,"◆",""),IF(AND(W$11&gt;=$H139,W$11&lt;=$I139),1,""))</f>
        <v/>
      </c>
      <c r="X139" s="448" t="str">
        <f aca="false">IF($G139=0,IF(X$11=$H139,"◆",""),IF(AND(X$11&gt;=$H139,X$11&lt;=$I139),1,""))</f>
        <v/>
      </c>
      <c r="Y139" s="448" t="str">
        <f aca="false">IF($G139=0,IF(Y$11=$H139,"◆",""),IF(AND(Y$11&gt;=$H139,Y$11&lt;=$I139),1,""))</f>
        <v/>
      </c>
      <c r="Z139" s="448" t="str">
        <f aca="false">IF($G139=0,IF(Z$11=$H139,"◆",""),IF(AND(Z$11&gt;=$H139,Z$11&lt;=$I139),1,""))</f>
        <v/>
      </c>
      <c r="AA139" s="448" t="str">
        <f aca="false">IF($G139=0,IF(AA$11=$H139,"◆",""),IF(AND(AA$11&gt;=$H139,AA$11&lt;=$I139),1,""))</f>
        <v/>
      </c>
      <c r="AB139" s="448" t="str">
        <f aca="false">IF($G139=0,IF(AB$11=$H139,"◆",""),IF(AND(AB$11&gt;=$H139,AB$11&lt;=$I139),1,""))</f>
        <v/>
      </c>
      <c r="AC139" s="448" t="str">
        <f aca="false">IF($G139=0,IF(AC$11=$H139,"◆",""),IF(AND(AC$11&gt;=$H139,AC$11&lt;=$I139),1,""))</f>
        <v/>
      </c>
      <c r="AD139" s="448" t="str">
        <f aca="false">IF($G139=0,IF(AD$11=$H139,"◆",""),IF(AND(AD$11&gt;=$H139,AD$11&lt;=$I139),1,""))</f>
        <v/>
      </c>
      <c r="AE139" s="448" t="str">
        <f aca="false">IF($G139=0,IF(AE$11=$H139,"◆",""),IF(AND(AE$11&gt;=$H139,AE$11&lt;=$I139),1,""))</f>
        <v/>
      </c>
      <c r="AF139" s="448" t="str">
        <f aca="false">IF($G139=0,IF(AF$11=$H139,"◆",""),IF(AND(AF$11&gt;=$H139,AF$11&lt;=$I139),1,""))</f>
        <v/>
      </c>
      <c r="AG139" s="448" t="str">
        <f aca="false">IF($G139=0,IF(AG$11=$H139,"◆",""),IF(AND(AG$11&gt;=$H139,AG$11&lt;=$I139),1,""))</f>
        <v/>
      </c>
      <c r="AH139" s="448" t="str">
        <f aca="false">IF($G139=0,IF(AH$11=$H139,"◆",""),IF(AND(AH$11&gt;=$H139,AH$11&lt;=$I139),1,""))</f>
        <v/>
      </c>
      <c r="AI139" s="448" t="str">
        <f aca="false">IF($G139=0,IF(AI$11=$H139,"◆",""),IF(AND(AI$11&gt;=$H139,AI$11&lt;=$I139),1,""))</f>
        <v/>
      </c>
      <c r="AJ139" s="448" t="str">
        <f aca="false">IF($G139=0,IF(AJ$11=$H139,"◆",""),IF(AND(AJ$11&gt;=$H139,AJ$11&lt;=$I139),1,""))</f>
        <v/>
      </c>
      <c r="AK139" s="448" t="str">
        <f aca="false">IF($G139=0,IF(AK$11=$H139,"◆",""),IF(AND(AK$11&gt;=$H139,AK$11&lt;=$I139),1,""))</f>
        <v/>
      </c>
      <c r="AL139" s="448" t="str">
        <f aca="false">IF($G139=0,IF(AL$11=$H139,"◆",""),IF(AND(AL$11&gt;=$H139,AL$11&lt;=$I139),1,""))</f>
        <v/>
      </c>
      <c r="AM139" s="448" t="str">
        <f aca="false">IF($G139=0,IF(AM$11=$H139,"◆",""),IF(AND(AM$11&gt;=$H139,AM$11&lt;=$I139),1,""))</f>
        <v/>
      </c>
      <c r="AN139" s="448" t="str">
        <f aca="false">IF($G139=0,IF(AN$11=$H139,"◆",""),IF(AND(AN$11&gt;=$H139,AN$11&lt;=$I139),1,""))</f>
        <v/>
      </c>
      <c r="AO139" s="448" t="str">
        <f aca="false">IF($G139=0,IF(AO$11=$H139,"◆",""),IF(AND(AO$11&gt;=$H139,AO$11&lt;=$I139),1,""))</f>
        <v/>
      </c>
      <c r="AP139" s="448" t="str">
        <f aca="false">IF($G139=0,IF(AP$11=$H139,"◆",""),IF(AND(AP$11&gt;=$H139,AP$11&lt;=$I139),1,""))</f>
        <v/>
      </c>
      <c r="AQ139" s="448" t="str">
        <f aca="false">IF($G139=0,IF(AQ$11=$H139,"◆",""),IF(AND(AQ$11&gt;=$H139,AQ$11&lt;=$I139),1,""))</f>
        <v/>
      </c>
      <c r="AR139" s="448" t="str">
        <f aca="false">IF($G139=0,IF(AR$11=$H139,"◆",""),IF(AND(AR$11&gt;=$H139,AR$11&lt;=$I139),1,""))</f>
        <v/>
      </c>
      <c r="AS139" s="448" t="str">
        <f aca="false">IF($G139=0,IF(AS$11=$H139,"◆",""),IF(AND(AS$11&gt;=$H139,AS$11&lt;=$I139),1,""))</f>
        <v/>
      </c>
      <c r="AT139" s="448" t="str">
        <f aca="false">IF($G139=0,IF(AT$11=$H139,"◆",""),IF(AND(AT$11&gt;=$H139,AT$11&lt;=$I139),1,""))</f>
        <v/>
      </c>
      <c r="AU139" s="448" t="str">
        <f aca="false">IF($G139=0,IF(AU$11=$H139,"◆",""),IF(AND(AU$11&gt;=$H139,AU$11&lt;=$I139),1,""))</f>
        <v/>
      </c>
      <c r="AV139" s="448" t="str">
        <f aca="false">IF($G139=0,IF(AV$11=$H139,"◆",""),IF(AND(AV$11&gt;=$H139,AV$11&lt;=$I139),1,""))</f>
        <v/>
      </c>
      <c r="AW139" s="448" t="str">
        <f aca="false">IF($G139=0,IF(AW$11=$H139,"◆",""),IF(AND(AW$11&gt;=$H139,AW$11&lt;=$I139),1,""))</f>
        <v/>
      </c>
      <c r="AX139" s="448" t="n">
        <f aca="false">IF($G139=0,IF(AX$11=$H139,"◆",""),IF(AND(AX$11&gt;=$H139,AX$11&lt;=$I139),1,""))</f>
        <v>1</v>
      </c>
      <c r="AY139" s="448" t="n">
        <f aca="false">IF($G139=0,IF(AY$11=$H139,"◆",""),IF(AND(AY$11&gt;=$H139,AY$11&lt;=$I139),1,""))</f>
        <v>1</v>
      </c>
      <c r="AZ139" s="448" t="n">
        <f aca="false">IF($G139=0,IF(AZ$11=$H139,"◆",""),IF(AND(AZ$11&gt;=$H139,AZ$11&lt;=$I139),1,""))</f>
        <v>1</v>
      </c>
      <c r="BA139" s="448" t="n">
        <f aca="false">IF($G139=0,IF(BA$11=$H139,"◆",""),IF(AND(BA$11&gt;=$H139,BA$11&lt;=$I139),1,""))</f>
        <v>1</v>
      </c>
      <c r="BB139" s="448" t="str">
        <f aca="false">IF($G139=0,IF(BB$11=$H139,"◆",""),IF(AND(BB$11&gt;=$H139,BB$11&lt;=$I139),1,""))</f>
        <v/>
      </c>
      <c r="BC139" s="448" t="str">
        <f aca="false">IF($G139=0,IF(BC$11=$H139,"◆",""),IF(AND(BC$11&gt;=$H139,BC$11&lt;=$I139),1,""))</f>
        <v/>
      </c>
      <c r="BD139" s="448" t="str">
        <f aca="false">IF($G139=0,IF(BD$11=$H139,"◆",""),IF(AND(BD$11&gt;=$H139,BD$11&lt;=$I139),1,""))</f>
        <v/>
      </c>
      <c r="BE139" s="448" t="str">
        <f aca="false">IF($G139=0,IF(BE$11=$H139,"◆",""),IF(AND(BE$11&gt;=$H139,BE$11&lt;=$I139),1,""))</f>
        <v/>
      </c>
      <c r="BF139" s="448" t="str">
        <f aca="false">IF($G139=0,IF(BF$11=$H139,"◆",""),IF(AND(BF$11&gt;=$H139,BF$11&lt;=$I139),1,""))</f>
        <v/>
      </c>
      <c r="BG139" s="448" t="str">
        <f aca="false">IF($G139=0,IF(BG$11=$H139,"◆",""),IF(AND(BG$11&gt;=$H139,BG$11&lt;=$I139),1,""))</f>
        <v/>
      </c>
      <c r="BH139" s="448" t="str">
        <f aca="false">IF($G139=0,IF(BH$11=$H139,"◆",""),IF(AND(BH$11&gt;=$H139,BH$11&lt;=$I139),1,""))</f>
        <v/>
      </c>
      <c r="BI139" s="448" t="str">
        <f aca="false">IF($G139=0,IF(BI$11=$H139,"◆",""),IF(AND(BI$11&gt;=$H139,BI$11&lt;=$I139),1,""))</f>
        <v/>
      </c>
      <c r="BJ139" s="448" t="str">
        <f aca="false">IF($G139=0,IF(BJ$11=$H139,"◆",""),IF(AND(BJ$11&gt;=$H139,BJ$11&lt;=$I139),1,""))</f>
        <v/>
      </c>
      <c r="BK139" s="448" t="str">
        <f aca="false">IF($G139=0,IF(BK$11=$H139,"◆",""),IF(AND(BK$11&gt;=$H139,BK$11&lt;=$I139),1,""))</f>
        <v/>
      </c>
      <c r="BL139" s="448" t="str">
        <f aca="false">IF($G139=0,IF(BL$11=$H139,"◆",""),IF(AND(BL$11&gt;=$H139,BL$11&lt;=$I139),1,""))</f>
        <v/>
      </c>
      <c r="BM139" s="448" t="str">
        <f aca="false">IF($G139=0,IF(BM$11=$H139,"◆",""),IF(AND(BM$11&gt;=$H139,BM$11&lt;=$I139),1,""))</f>
        <v/>
      </c>
      <c r="BN139" s="448" t="str">
        <f aca="false">IF($G139=0,IF(BN$11=$H139,"◆",""),IF(AND(BN$11&gt;=$H139,BN$11&lt;=$I139),1,""))</f>
        <v/>
      </c>
      <c r="BO139" s="448" t="str">
        <f aca="false">IF($G139=0,IF(BO$11=$H139,"◆",""),IF(AND(BO$11&gt;=$H139,BO$11&lt;=$I139),1,""))</f>
        <v/>
      </c>
      <c r="BP139" s="448" t="str">
        <f aca="false">IF($G139=0,IF(BP$11=$H139,"◆",""),IF(AND(BP$11&gt;=$H139,BP$11&lt;=$I139),1,""))</f>
        <v/>
      </c>
      <c r="BQ139" s="448" t="str">
        <f aca="false">IF($G139=0,IF(BQ$11=$H139,"◆",""),IF(AND(BQ$11&gt;=$H139,BQ$11&lt;=$I139),1,""))</f>
        <v/>
      </c>
      <c r="BR139" s="448" t="str">
        <f aca="false">IF($G139=0,IF(BR$11=$H139,"◆",""),IF(AND(BR$11&gt;=$H139,BR$11&lt;=$I139),1,""))</f>
        <v/>
      </c>
      <c r="BS139" s="448" t="str">
        <f aca="false">IF($G139=0,IF(BS$11=$H139,"◆",""),IF(AND(BS$11&gt;=$H139,BS$11&lt;=$I139),1,""))</f>
        <v/>
      </c>
      <c r="BT139" s="448" t="str">
        <f aca="false">IF($G139=0,IF(BT$11=$H139,"◆",""),IF(AND(BT$11&gt;=$H139,BT$11&lt;=$I139),1,""))</f>
        <v/>
      </c>
      <c r="BU139" s="448" t="str">
        <f aca="false">IF($G139=0,IF(BU$11=$H139,"◆",""),IF(AND(BU$11&gt;=$H139,BU$11&lt;=$I139),1,""))</f>
        <v/>
      </c>
      <c r="BV139" s="448" t="str">
        <f aca="false">IF($G139=0,IF(BV$11=$H139,"◆",""),IF(AND(BV$11&gt;=$H139,BV$11&lt;=$I139),1,""))</f>
        <v/>
      </c>
      <c r="BW139" s="448" t="str">
        <f aca="false">IF($G139=0,IF(BW$11=$H139,"◆",""),IF(AND(BW$11&gt;=$H139,BW$11&lt;=$I139),1,""))</f>
        <v/>
      </c>
      <c r="BX139" s="448" t="str">
        <f aca="false">IF($G139=0,IF(BX$11=$H139,"◆",""),IF(AND(BX$11&gt;=$H139,BX$11&lt;=$I139),1,""))</f>
        <v/>
      </c>
      <c r="BY139" s="448" t="str">
        <f aca="false">IF($G139=0,IF(BY$11=$H139,"◆",""),IF(AND(BY$11&gt;=$H139,BY$11&lt;=$I139),1,""))</f>
        <v/>
      </c>
      <c r="BZ139" s="448" t="str">
        <f aca="false">IF($G139=0,IF(BZ$11=$H139,"◆",""),IF(AND(BZ$11&gt;=$H139,BZ$11&lt;=$I139),1,""))</f>
        <v/>
      </c>
      <c r="CA139" s="448" t="str">
        <f aca="false">IF($G139=0,IF(CA$11=$H139,"◆",""),IF(AND(CA$11&gt;=$H139,CA$11&lt;=$I139),1,""))</f>
        <v/>
      </c>
      <c r="CB139" s="448" t="str">
        <f aca="false">IF($G139=0,IF(CB$11=$H139,"◆",""),IF(AND(CB$11&gt;=$H139,CB$11&lt;=$I139),1,""))</f>
        <v/>
      </c>
      <c r="CC139" s="448" t="str">
        <f aca="false">IF($G139=0,IF(CC$11=$H139,"◆",""),IF(AND(CC$11&gt;=$H139,CC$11&lt;=$I139),1,""))</f>
        <v/>
      </c>
      <c r="CD139" s="448" t="str">
        <f aca="false">IF($G139=0,IF(CD$11=$H139,"◆",""),IF(AND(CD$11&gt;=$H139,CD$11&lt;=$I139),1,""))</f>
        <v/>
      </c>
      <c r="CE139" s="448" t="str">
        <f aca="false">IF($G139=0,IF(CE$11=$H139,"◆",""),IF(AND(CE$11&gt;=$H139,CE$11&lt;=$I139),1,""))</f>
        <v/>
      </c>
      <c r="CF139" s="448" t="str">
        <f aca="false">IF($G139=0,IF(CF$11=$H139,"◆",""),IF(AND(CF$11&gt;=$H139,CF$11&lt;=$I139),1,""))</f>
        <v/>
      </c>
      <c r="CG139" s="448" t="str">
        <f aca="false">IF($G139=0,IF(CG$11=$H139,"◆",""),IF(AND(CG$11&gt;=$H139,CG$11&lt;=$I139),1,""))</f>
        <v/>
      </c>
      <c r="CH139" s="448" t="str">
        <f aca="false">IF($G139=0,IF(CH$11=$H139,"◆",""),IF(AND(CH$11&gt;=$H139,CH$11&lt;=$I139),1,""))</f>
        <v/>
      </c>
      <c r="CI139" s="448" t="str">
        <f aca="false">IF($G139=0,IF(CI$11=$H139,"◆",""),IF(AND(CI$11&gt;=$H139,CI$11&lt;=$I139),1,""))</f>
        <v/>
      </c>
      <c r="CJ139" s="448" t="str">
        <f aca="false">IF($G139=0,IF(CJ$11=$H139,"◆",""),IF(AND(CJ$11&gt;=$H139,CJ$11&lt;=$I139),1,""))</f>
        <v/>
      </c>
      <c r="CK139" s="448" t="str">
        <f aca="false">IF($G139=0,IF(CK$11=$H139,"◆",""),IF(AND(CK$11&gt;=$H139,CK$11&lt;=$I139),1,""))</f>
        <v/>
      </c>
      <c r="CL139" s="448" t="str">
        <f aca="false">IF($G139=0,IF(CL$11=$H139,"◆",""),IF(AND(CL$11&gt;=$H139,CL$11&lt;=$I139),1,""))</f>
        <v/>
      </c>
      <c r="CM139" s="448" t="str">
        <f aca="false">IF($G139=0,IF(CM$11=$H139,"◆",""),IF(AND(CM$11&gt;=$H139,CM$11&lt;=$I139),1,""))</f>
        <v/>
      </c>
      <c r="CN139" s="448" t="str">
        <f aca="false">IF($G139=0,IF(CN$11=$H139,"◆",""),IF(AND(CN$11&gt;=$H139,CN$11&lt;=$I139),1,""))</f>
        <v/>
      </c>
      <c r="CO139" s="448" t="str">
        <f aca="false">IF($G139=0,IF(CO$11=$H139,"◆",""),IF(AND(CO$11&gt;=$H139,CO$11&lt;=$I139),1,""))</f>
        <v/>
      </c>
      <c r="CP139" s="448" t="str">
        <f aca="false">IF($G139=0,IF(CP$11=$H139,"◆",""),IF(AND(CP$11&gt;=$H139,CP$11&lt;=$I139),1,""))</f>
        <v/>
      </c>
      <c r="CQ139" s="448" t="str">
        <f aca="false">IF($G139=0,IF(CQ$11=$H139,"◆",""),IF(AND(CQ$11&gt;=$H139,CQ$11&lt;=$I139),1,""))</f>
        <v/>
      </c>
      <c r="CR139" s="448" t="str">
        <f aca="false">IF($G139=0,IF(CR$11=$H139,"◆",""),IF(AND(CR$11&gt;=$H139,CR$11&lt;=$I139),1,""))</f>
        <v/>
      </c>
      <c r="CS139" s="448" t="str">
        <f aca="false">IF($G139=0,IF(CS$11=$H139,"◆",""),IF(AND(CS$11&gt;=$H139,CS$11&lt;=$I139),1,""))</f>
        <v/>
      </c>
      <c r="CT139" s="448" t="str">
        <f aca="false">IF($G139=0,IF(CT$11=$H139,"◆",""),IF(AND(CT$11&gt;=$H139,CT$11&lt;=$I139),1,""))</f>
        <v/>
      </c>
      <c r="CU139" s="448" t="str">
        <f aca="false">IF($G139=0,IF(CU$11=$H139,"◆",""),IF(AND(CU$11&gt;=$H139,CU$11&lt;=$I139),1,""))</f>
        <v/>
      </c>
      <c r="CV139" s="448" t="str">
        <f aca="false">IF($G139=0,IF(CV$11=$H139,"◆",""),IF(AND(CV$11&gt;=$H139,CV$11&lt;=$I139),1,""))</f>
        <v/>
      </c>
      <c r="CW139" s="448" t="str">
        <f aca="false">IF($G139=0,IF(CW$11=$H139,"◆",""),IF(AND(CW$11&gt;=$H139,CW$11&lt;=$I139),1,""))</f>
        <v/>
      </c>
      <c r="CX139" s="448" t="str">
        <f aca="false">IF($G139=0,IF(CX$11=$H139,"◆",""),IF(AND(CX$11&gt;=$H139,CX$11&lt;=$I139),1,""))</f>
        <v/>
      </c>
      <c r="CY139" s="448" t="str">
        <f aca="false">IF($G139=0,IF(CY$11=$H139,"◆",""),IF(AND(CY$11&gt;=$H139,CY$11&lt;=$I139),1,""))</f>
        <v/>
      </c>
      <c r="CZ139" s="448" t="str">
        <f aca="false">IF($G139=0,IF(CZ$11=$H139,"◆",""),IF(AND(CZ$11&gt;=$H139,CZ$11&lt;=$I139),1,""))</f>
        <v/>
      </c>
      <c r="DA139" s="448" t="str">
        <f aca="false">IF($G139=0,IF(DA$11=$H139,"◆",""),IF(AND(DA$11&gt;=$H139,DA$11&lt;=$I139),1,""))</f>
        <v/>
      </c>
      <c r="DB139" s="448" t="str">
        <f aca="false">IF($G139=0,IF(DB$11=$H139,"◆",""),IF(AND(DB$11&gt;=$H139,DB$11&lt;=$I139),1,""))</f>
        <v/>
      </c>
      <c r="DC139" s="448" t="str">
        <f aca="false">IF($G139=0,IF(DC$11=$H139,"◆",""),IF(AND(DC$11&gt;=$H139,DC$11&lt;=$I139),1,""))</f>
        <v/>
      </c>
      <c r="DD139" s="448" t="str">
        <f aca="false">IF($G139=0,IF(DD$11=$H139,"◆",""),IF(AND(DD$11&gt;=$H139,DD$11&lt;=$I139),1,""))</f>
        <v/>
      </c>
      <c r="DE139" s="448" t="str">
        <f aca="false">IF($G139=0,IF(DE$11=$H139,"◆",""),IF(AND(DE$11&gt;=$H139,DE$11&lt;=$I139),1,""))</f>
        <v/>
      </c>
      <c r="DF139" s="448" t="str">
        <f aca="false">IF($G139=0,IF(DF$11=$H139,"◆",""),IF(AND(DF$11&gt;=$H139,DF$11&lt;=$I139),1,""))</f>
        <v/>
      </c>
      <c r="DG139" s="448" t="str">
        <f aca="false">IF($G139=0,IF(DG$11=$H139,"◆",""),IF(AND(DG$11&gt;=$H139,DG$11&lt;=$I139),1,""))</f>
        <v/>
      </c>
      <c r="DH139" s="448" t="str">
        <f aca="false">IF($G139=0,IF(DH$11=$H139,"◆",""),IF(AND(DH$11&gt;=$H139,DH$11&lt;=$I139),1,""))</f>
        <v/>
      </c>
      <c r="DI139" s="448" t="str">
        <f aca="false">IF($G139=0,IF(DI$11=$H139,"◆",""),IF(AND(DI$11&gt;=$H139,DI$11&lt;=$I139),1,""))</f>
        <v/>
      </c>
      <c r="DJ139" s="448" t="str">
        <f aca="false">IF($G139=0,IF(DJ$11=$H139,"◆",""),IF(AND(DJ$11&gt;=$H139,DJ$11&lt;=$I139),1,""))</f>
        <v/>
      </c>
      <c r="DK139" s="448" t="str">
        <f aca="false">IF($G139=0,IF(DK$11=$H139,"◆",""),IF(AND(DK$11&gt;=$H139,DK$11&lt;=$I139),1,""))</f>
        <v/>
      </c>
      <c r="DL139" s="448" t="str">
        <f aca="false">IF($G139=0,IF(DL$11=$H139,"◆",""),IF(AND(DL$11&gt;=$H139,DL$11&lt;=$I139),1,""))</f>
        <v/>
      </c>
      <c r="DM139" s="448" t="str">
        <f aca="false">IF($G139=0,IF(DM$11=$H139,"◆",""),IF(AND(DM$11&gt;=$H139,DM$11&lt;=$I139),1,""))</f>
        <v/>
      </c>
      <c r="DN139" s="448" t="str">
        <f aca="false">IF($G139=0,IF(DN$11=$H139,"◆",""),IF(AND(DN$11&gt;=$H139,DN$11&lt;=$I139),1,""))</f>
        <v/>
      </c>
      <c r="DO139" s="448" t="str">
        <f aca="false">IF($G139=0,IF(DO$11=$H139,"◆",""),IF(AND(DO$11&gt;=$H139,DO$11&lt;=$I139),1,""))</f>
        <v/>
      </c>
      <c r="DP139" s="448" t="str">
        <f aca="false">IF($G139=0,IF(DP$11=$H139,"◆",""),IF(AND(DP$11&gt;=$H139,DP$11&lt;=$I139),1,""))</f>
        <v/>
      </c>
      <c r="DQ139" s="448" t="str">
        <f aca="false">IF($G139=0,IF(DQ$11=$H139,"◆",""),IF(AND(DQ$11&gt;=$H139,DQ$11&lt;=$I139),1,""))</f>
        <v/>
      </c>
      <c r="DR139" s="448" t="str">
        <f aca="false">IF($G139=0,IF(DR$11=$H139,"◆",""),IF(AND(DR$11&gt;=$H139,DR$11&lt;=$I139),1,""))</f>
        <v/>
      </c>
      <c r="DS139" s="448" t="str">
        <f aca="false">IF($G139=0,IF(DS$11=$H139,"◆",""),IF(AND(DS$11&gt;=$H139,DS$11&lt;=$I139),1,""))</f>
        <v/>
      </c>
      <c r="DT139" s="448" t="str">
        <f aca="false">IF($G139=0,IF(DT$11=$H139,"◆",""),IF(AND(DT$11&gt;=$H139,DT$11&lt;=$I139),1,""))</f>
        <v/>
      </c>
      <c r="DU139" s="448" t="str">
        <f aca="false">IF($G139=0,IF(DU$11=$H139,"◆",""),IF(AND(DU$11&gt;=$H139,DU$11&lt;=$I139),1,""))</f>
        <v/>
      </c>
      <c r="DV139" s="448" t="str">
        <f aca="false">IF($G139=0,IF(DV$11=$H139,"◆",""),IF(AND(DV$11&gt;=$H139,DV$11&lt;=$I139),1,""))</f>
        <v/>
      </c>
      <c r="DW139" s="448" t="str">
        <f aca="false">IF($G139=0,IF(DW$11=$H139,"◆",""),IF(AND(DW$11&gt;=$H139,DW$11&lt;=$I139),1,""))</f>
        <v/>
      </c>
      <c r="DX139" s="448" t="str">
        <f aca="false">IF($G139=0,IF(DX$11=$H139,"◆",""),IF(AND(DX$11&gt;=$H139,DX$11&lt;=$I139),1,""))</f>
        <v/>
      </c>
      <c r="DY139" s="448" t="str">
        <f aca="false">IF($G139=0,IF(DY$11=$H139,"◆",""),IF(AND(DY$11&gt;=$H139,DY$11&lt;=$I139),1,""))</f>
        <v/>
      </c>
      <c r="DZ139" s="448" t="str">
        <f aca="false">IF($G139=0,IF(DZ$11=$H139,"◆",""),IF(AND(DZ$11&gt;=$H139,DZ$11&lt;=$I139),1,""))</f>
        <v/>
      </c>
      <c r="EA139" s="448" t="str">
        <f aca="false">IF($G139=0,IF(EA$11=$H139,"◆",""),IF(AND(EA$11&gt;=$H139,EA$11&lt;=$I139),1,""))</f>
        <v/>
      </c>
      <c r="EB139" s="448" t="str">
        <f aca="false">IF($G139=0,IF(EB$11=$H139,"◆",""),IF(AND(EB$11&gt;=$H139,EB$11&lt;=$I139),1,""))</f>
        <v/>
      </c>
      <c r="EC139" s="448" t="str">
        <f aca="false">IF($G139=0,IF(EC$11=$H139,"◆",""),IF(AND(EC$11&gt;=$H139,EC$11&lt;=$I139),1,""))</f>
        <v/>
      </c>
      <c r="ED139" s="448" t="str">
        <f aca="false">IF($G139=0,IF(ED$11=$H139,"◆",""),IF(AND(ED$11&gt;=$H139,ED$11&lt;=$I139),1,""))</f>
        <v/>
      </c>
    </row>
    <row r="140" customFormat="false" ht="15" hidden="false" customHeight="true" outlineLevel="0" collapsed="false">
      <c r="A140" s="441" t="s">
        <v>2731</v>
      </c>
      <c r="B140" s="297" t="s">
        <v>2732</v>
      </c>
      <c r="C140" s="442" t="s">
        <v>2733</v>
      </c>
      <c r="D140" s="443" t="s">
        <v>2634</v>
      </c>
      <c r="E140" s="354" t="n">
        <f aca="false">FC_SUPUESTOS!$C$40</f>
        <v>10</v>
      </c>
      <c r="F140" s="352" t="n">
        <v>0</v>
      </c>
      <c r="G140" s="352" t="n">
        <v>24</v>
      </c>
      <c r="H140" s="367" t="n">
        <f aca="false">MAX(1,ROUND(($E140-1)*$D$5,0)+1+$F140)</f>
        <v>40</v>
      </c>
      <c r="I140" s="367" t="n">
        <f aca="false">MAX($H140,$H140+$G140-1)</f>
        <v>63</v>
      </c>
      <c r="J140" s="444" t="n">
        <f aca="false">$D$4+($H140-1)*7</f>
        <v>46573</v>
      </c>
      <c r="K140" s="444" t="n">
        <f aca="false">$D$4+$I140*7-1</f>
        <v>46740</v>
      </c>
      <c r="L140" s="445" t="n">
        <f aca="false">ROUNDUP($H140/$D$5,0)</f>
        <v>10</v>
      </c>
      <c r="M140" s="446"/>
      <c r="N140" s="447" t="n">
        <v>0</v>
      </c>
      <c r="O140" s="448" t="str">
        <f aca="false">IF($G140=0,IF(O$11=$H140,"◆",""),IF(AND(O$11&gt;=$H140,O$11&lt;=$I140),1,""))</f>
        <v/>
      </c>
      <c r="P140" s="448" t="str">
        <f aca="false">IF($G140=0,IF(P$11=$H140,"◆",""),IF(AND(P$11&gt;=$H140,P$11&lt;=$I140),1,""))</f>
        <v/>
      </c>
      <c r="Q140" s="448" t="str">
        <f aca="false">IF($G140=0,IF(Q$11=$H140,"◆",""),IF(AND(Q$11&gt;=$H140,Q$11&lt;=$I140),1,""))</f>
        <v/>
      </c>
      <c r="R140" s="448" t="str">
        <f aca="false">IF($G140=0,IF(R$11=$H140,"◆",""),IF(AND(R$11&gt;=$H140,R$11&lt;=$I140),1,""))</f>
        <v/>
      </c>
      <c r="S140" s="448" t="str">
        <f aca="false">IF($G140=0,IF(S$11=$H140,"◆",""),IF(AND(S$11&gt;=$H140,S$11&lt;=$I140),1,""))</f>
        <v/>
      </c>
      <c r="T140" s="448" t="str">
        <f aca="false">IF($G140=0,IF(T$11=$H140,"◆",""),IF(AND(T$11&gt;=$H140,T$11&lt;=$I140),1,""))</f>
        <v/>
      </c>
      <c r="U140" s="448" t="str">
        <f aca="false">IF($G140=0,IF(U$11=$H140,"◆",""),IF(AND(U$11&gt;=$H140,U$11&lt;=$I140),1,""))</f>
        <v/>
      </c>
      <c r="V140" s="448" t="str">
        <f aca="false">IF($G140=0,IF(V$11=$H140,"◆",""),IF(AND(V$11&gt;=$H140,V$11&lt;=$I140),1,""))</f>
        <v/>
      </c>
      <c r="W140" s="448" t="str">
        <f aca="false">IF($G140=0,IF(W$11=$H140,"◆",""),IF(AND(W$11&gt;=$H140,W$11&lt;=$I140),1,""))</f>
        <v/>
      </c>
      <c r="X140" s="448" t="str">
        <f aca="false">IF($G140=0,IF(X$11=$H140,"◆",""),IF(AND(X$11&gt;=$H140,X$11&lt;=$I140),1,""))</f>
        <v/>
      </c>
      <c r="Y140" s="448" t="str">
        <f aca="false">IF($G140=0,IF(Y$11=$H140,"◆",""),IF(AND(Y$11&gt;=$H140,Y$11&lt;=$I140),1,""))</f>
        <v/>
      </c>
      <c r="Z140" s="448" t="str">
        <f aca="false">IF($G140=0,IF(Z$11=$H140,"◆",""),IF(AND(Z$11&gt;=$H140,Z$11&lt;=$I140),1,""))</f>
        <v/>
      </c>
      <c r="AA140" s="448" t="str">
        <f aca="false">IF($G140=0,IF(AA$11=$H140,"◆",""),IF(AND(AA$11&gt;=$H140,AA$11&lt;=$I140),1,""))</f>
        <v/>
      </c>
      <c r="AB140" s="448" t="str">
        <f aca="false">IF($G140=0,IF(AB$11=$H140,"◆",""),IF(AND(AB$11&gt;=$H140,AB$11&lt;=$I140),1,""))</f>
        <v/>
      </c>
      <c r="AC140" s="448" t="str">
        <f aca="false">IF($G140=0,IF(AC$11=$H140,"◆",""),IF(AND(AC$11&gt;=$H140,AC$11&lt;=$I140),1,""))</f>
        <v/>
      </c>
      <c r="AD140" s="448" t="str">
        <f aca="false">IF($G140=0,IF(AD$11=$H140,"◆",""),IF(AND(AD$11&gt;=$H140,AD$11&lt;=$I140),1,""))</f>
        <v/>
      </c>
      <c r="AE140" s="448" t="str">
        <f aca="false">IF($G140=0,IF(AE$11=$H140,"◆",""),IF(AND(AE$11&gt;=$H140,AE$11&lt;=$I140),1,""))</f>
        <v/>
      </c>
      <c r="AF140" s="448" t="str">
        <f aca="false">IF($G140=0,IF(AF$11=$H140,"◆",""),IF(AND(AF$11&gt;=$H140,AF$11&lt;=$I140),1,""))</f>
        <v/>
      </c>
      <c r="AG140" s="448" t="str">
        <f aca="false">IF($G140=0,IF(AG$11=$H140,"◆",""),IF(AND(AG$11&gt;=$H140,AG$11&lt;=$I140),1,""))</f>
        <v/>
      </c>
      <c r="AH140" s="448" t="str">
        <f aca="false">IF($G140=0,IF(AH$11=$H140,"◆",""),IF(AND(AH$11&gt;=$H140,AH$11&lt;=$I140),1,""))</f>
        <v/>
      </c>
      <c r="AI140" s="448" t="str">
        <f aca="false">IF($G140=0,IF(AI$11=$H140,"◆",""),IF(AND(AI$11&gt;=$H140,AI$11&lt;=$I140),1,""))</f>
        <v/>
      </c>
      <c r="AJ140" s="448" t="str">
        <f aca="false">IF($G140=0,IF(AJ$11=$H140,"◆",""),IF(AND(AJ$11&gt;=$H140,AJ$11&lt;=$I140),1,""))</f>
        <v/>
      </c>
      <c r="AK140" s="448" t="str">
        <f aca="false">IF($G140=0,IF(AK$11=$H140,"◆",""),IF(AND(AK$11&gt;=$H140,AK$11&lt;=$I140),1,""))</f>
        <v/>
      </c>
      <c r="AL140" s="448" t="str">
        <f aca="false">IF($G140=0,IF(AL$11=$H140,"◆",""),IF(AND(AL$11&gt;=$H140,AL$11&lt;=$I140),1,""))</f>
        <v/>
      </c>
      <c r="AM140" s="448" t="str">
        <f aca="false">IF($G140=0,IF(AM$11=$H140,"◆",""),IF(AND(AM$11&gt;=$H140,AM$11&lt;=$I140),1,""))</f>
        <v/>
      </c>
      <c r="AN140" s="448" t="str">
        <f aca="false">IF($G140=0,IF(AN$11=$H140,"◆",""),IF(AND(AN$11&gt;=$H140,AN$11&lt;=$I140),1,""))</f>
        <v/>
      </c>
      <c r="AO140" s="448" t="str">
        <f aca="false">IF($G140=0,IF(AO$11=$H140,"◆",""),IF(AND(AO$11&gt;=$H140,AO$11&lt;=$I140),1,""))</f>
        <v/>
      </c>
      <c r="AP140" s="448" t="str">
        <f aca="false">IF($G140=0,IF(AP$11=$H140,"◆",""),IF(AND(AP$11&gt;=$H140,AP$11&lt;=$I140),1,""))</f>
        <v/>
      </c>
      <c r="AQ140" s="448" t="str">
        <f aca="false">IF($G140=0,IF(AQ$11=$H140,"◆",""),IF(AND(AQ$11&gt;=$H140,AQ$11&lt;=$I140),1,""))</f>
        <v/>
      </c>
      <c r="AR140" s="448" t="str">
        <f aca="false">IF($G140=0,IF(AR$11=$H140,"◆",""),IF(AND(AR$11&gt;=$H140,AR$11&lt;=$I140),1,""))</f>
        <v/>
      </c>
      <c r="AS140" s="448" t="str">
        <f aca="false">IF($G140=0,IF(AS$11=$H140,"◆",""),IF(AND(AS$11&gt;=$H140,AS$11&lt;=$I140),1,""))</f>
        <v/>
      </c>
      <c r="AT140" s="448" t="str">
        <f aca="false">IF($G140=0,IF(AT$11=$H140,"◆",""),IF(AND(AT$11&gt;=$H140,AT$11&lt;=$I140),1,""))</f>
        <v/>
      </c>
      <c r="AU140" s="448" t="str">
        <f aca="false">IF($G140=0,IF(AU$11=$H140,"◆",""),IF(AND(AU$11&gt;=$H140,AU$11&lt;=$I140),1,""))</f>
        <v/>
      </c>
      <c r="AV140" s="448" t="str">
        <f aca="false">IF($G140=0,IF(AV$11=$H140,"◆",""),IF(AND(AV$11&gt;=$H140,AV$11&lt;=$I140),1,""))</f>
        <v/>
      </c>
      <c r="AW140" s="448" t="str">
        <f aca="false">IF($G140=0,IF(AW$11=$H140,"◆",""),IF(AND(AW$11&gt;=$H140,AW$11&lt;=$I140),1,""))</f>
        <v/>
      </c>
      <c r="AX140" s="448" t="str">
        <f aca="false">IF($G140=0,IF(AX$11=$H140,"◆",""),IF(AND(AX$11&gt;=$H140,AX$11&lt;=$I140),1,""))</f>
        <v/>
      </c>
      <c r="AY140" s="448" t="str">
        <f aca="false">IF($G140=0,IF(AY$11=$H140,"◆",""),IF(AND(AY$11&gt;=$H140,AY$11&lt;=$I140),1,""))</f>
        <v/>
      </c>
      <c r="AZ140" s="448" t="str">
        <f aca="false">IF($G140=0,IF(AZ$11=$H140,"◆",""),IF(AND(AZ$11&gt;=$H140,AZ$11&lt;=$I140),1,""))</f>
        <v/>
      </c>
      <c r="BA140" s="448" t="str">
        <f aca="false">IF($G140=0,IF(BA$11=$H140,"◆",""),IF(AND(BA$11&gt;=$H140,BA$11&lt;=$I140),1,""))</f>
        <v/>
      </c>
      <c r="BB140" s="448" t="n">
        <f aca="false">IF($G140=0,IF(BB$11=$H140,"◆",""),IF(AND(BB$11&gt;=$H140,BB$11&lt;=$I140),1,""))</f>
        <v>1</v>
      </c>
      <c r="BC140" s="448" t="n">
        <f aca="false">IF($G140=0,IF(BC$11=$H140,"◆",""),IF(AND(BC$11&gt;=$H140,BC$11&lt;=$I140),1,""))</f>
        <v>1</v>
      </c>
      <c r="BD140" s="448" t="n">
        <f aca="false">IF($G140=0,IF(BD$11=$H140,"◆",""),IF(AND(BD$11&gt;=$H140,BD$11&lt;=$I140),1,""))</f>
        <v>1</v>
      </c>
      <c r="BE140" s="448" t="n">
        <f aca="false">IF($G140=0,IF(BE$11=$H140,"◆",""),IF(AND(BE$11&gt;=$H140,BE$11&lt;=$I140),1,""))</f>
        <v>1</v>
      </c>
      <c r="BF140" s="448" t="n">
        <f aca="false">IF($G140=0,IF(BF$11=$H140,"◆",""),IF(AND(BF$11&gt;=$H140,BF$11&lt;=$I140),1,""))</f>
        <v>1</v>
      </c>
      <c r="BG140" s="448" t="n">
        <f aca="false">IF($G140=0,IF(BG$11=$H140,"◆",""),IF(AND(BG$11&gt;=$H140,BG$11&lt;=$I140),1,""))</f>
        <v>1</v>
      </c>
      <c r="BH140" s="448" t="n">
        <f aca="false">IF($G140=0,IF(BH$11=$H140,"◆",""),IF(AND(BH$11&gt;=$H140,BH$11&lt;=$I140),1,""))</f>
        <v>1</v>
      </c>
      <c r="BI140" s="448" t="n">
        <f aca="false">IF($G140=0,IF(BI$11=$H140,"◆",""),IF(AND(BI$11&gt;=$H140,BI$11&lt;=$I140),1,""))</f>
        <v>1</v>
      </c>
      <c r="BJ140" s="448" t="n">
        <f aca="false">IF($G140=0,IF(BJ$11=$H140,"◆",""),IF(AND(BJ$11&gt;=$H140,BJ$11&lt;=$I140),1,""))</f>
        <v>1</v>
      </c>
      <c r="BK140" s="448" t="n">
        <f aca="false">IF($G140=0,IF(BK$11=$H140,"◆",""),IF(AND(BK$11&gt;=$H140,BK$11&lt;=$I140),1,""))</f>
        <v>1</v>
      </c>
      <c r="BL140" s="448" t="n">
        <f aca="false">IF($G140=0,IF(BL$11=$H140,"◆",""),IF(AND(BL$11&gt;=$H140,BL$11&lt;=$I140),1,""))</f>
        <v>1</v>
      </c>
      <c r="BM140" s="448" t="n">
        <f aca="false">IF($G140=0,IF(BM$11=$H140,"◆",""),IF(AND(BM$11&gt;=$H140,BM$11&lt;=$I140),1,""))</f>
        <v>1</v>
      </c>
      <c r="BN140" s="448" t="n">
        <f aca="false">IF($G140=0,IF(BN$11=$H140,"◆",""),IF(AND(BN$11&gt;=$H140,BN$11&lt;=$I140),1,""))</f>
        <v>1</v>
      </c>
      <c r="BO140" s="448" t="n">
        <f aca="false">IF($G140=0,IF(BO$11=$H140,"◆",""),IF(AND(BO$11&gt;=$H140,BO$11&lt;=$I140),1,""))</f>
        <v>1</v>
      </c>
      <c r="BP140" s="448" t="n">
        <f aca="false">IF($G140=0,IF(BP$11=$H140,"◆",""),IF(AND(BP$11&gt;=$H140,BP$11&lt;=$I140),1,""))</f>
        <v>1</v>
      </c>
      <c r="BQ140" s="448" t="n">
        <f aca="false">IF($G140=0,IF(BQ$11=$H140,"◆",""),IF(AND(BQ$11&gt;=$H140,BQ$11&lt;=$I140),1,""))</f>
        <v>1</v>
      </c>
      <c r="BR140" s="448" t="n">
        <f aca="false">IF($G140=0,IF(BR$11=$H140,"◆",""),IF(AND(BR$11&gt;=$H140,BR$11&lt;=$I140),1,""))</f>
        <v>1</v>
      </c>
      <c r="BS140" s="448" t="n">
        <f aca="false">IF($G140=0,IF(BS$11=$H140,"◆",""),IF(AND(BS$11&gt;=$H140,BS$11&lt;=$I140),1,""))</f>
        <v>1</v>
      </c>
      <c r="BT140" s="448" t="n">
        <f aca="false">IF($G140=0,IF(BT$11=$H140,"◆",""),IF(AND(BT$11&gt;=$H140,BT$11&lt;=$I140),1,""))</f>
        <v>1</v>
      </c>
      <c r="BU140" s="448" t="n">
        <f aca="false">IF($G140=0,IF(BU$11=$H140,"◆",""),IF(AND(BU$11&gt;=$H140,BU$11&lt;=$I140),1,""))</f>
        <v>1</v>
      </c>
      <c r="BV140" s="448" t="n">
        <f aca="false">IF($G140=0,IF(BV$11=$H140,"◆",""),IF(AND(BV$11&gt;=$H140,BV$11&lt;=$I140),1,""))</f>
        <v>1</v>
      </c>
      <c r="BW140" s="448" t="n">
        <f aca="false">IF($G140=0,IF(BW$11=$H140,"◆",""),IF(AND(BW$11&gt;=$H140,BW$11&lt;=$I140),1,""))</f>
        <v>1</v>
      </c>
      <c r="BX140" s="448" t="n">
        <f aca="false">IF($G140=0,IF(BX$11=$H140,"◆",""),IF(AND(BX$11&gt;=$H140,BX$11&lt;=$I140),1,""))</f>
        <v>1</v>
      </c>
      <c r="BY140" s="448" t="n">
        <f aca="false">IF($G140=0,IF(BY$11=$H140,"◆",""),IF(AND(BY$11&gt;=$H140,BY$11&lt;=$I140),1,""))</f>
        <v>1</v>
      </c>
      <c r="BZ140" s="448" t="str">
        <f aca="false">IF($G140=0,IF(BZ$11=$H140,"◆",""),IF(AND(BZ$11&gt;=$H140,BZ$11&lt;=$I140),1,""))</f>
        <v/>
      </c>
      <c r="CA140" s="448" t="str">
        <f aca="false">IF($G140=0,IF(CA$11=$H140,"◆",""),IF(AND(CA$11&gt;=$H140,CA$11&lt;=$I140),1,""))</f>
        <v/>
      </c>
      <c r="CB140" s="448" t="str">
        <f aca="false">IF($G140=0,IF(CB$11=$H140,"◆",""),IF(AND(CB$11&gt;=$H140,CB$11&lt;=$I140),1,""))</f>
        <v/>
      </c>
      <c r="CC140" s="448" t="str">
        <f aca="false">IF($G140=0,IF(CC$11=$H140,"◆",""),IF(AND(CC$11&gt;=$H140,CC$11&lt;=$I140),1,""))</f>
        <v/>
      </c>
      <c r="CD140" s="448" t="str">
        <f aca="false">IF($G140=0,IF(CD$11=$H140,"◆",""),IF(AND(CD$11&gt;=$H140,CD$11&lt;=$I140),1,""))</f>
        <v/>
      </c>
      <c r="CE140" s="448" t="str">
        <f aca="false">IF($G140=0,IF(CE$11=$H140,"◆",""),IF(AND(CE$11&gt;=$H140,CE$11&lt;=$I140),1,""))</f>
        <v/>
      </c>
      <c r="CF140" s="448" t="str">
        <f aca="false">IF($G140=0,IF(CF$11=$H140,"◆",""),IF(AND(CF$11&gt;=$H140,CF$11&lt;=$I140),1,""))</f>
        <v/>
      </c>
      <c r="CG140" s="448" t="str">
        <f aca="false">IF($G140=0,IF(CG$11=$H140,"◆",""),IF(AND(CG$11&gt;=$H140,CG$11&lt;=$I140),1,""))</f>
        <v/>
      </c>
      <c r="CH140" s="448" t="str">
        <f aca="false">IF($G140=0,IF(CH$11=$H140,"◆",""),IF(AND(CH$11&gt;=$H140,CH$11&lt;=$I140),1,""))</f>
        <v/>
      </c>
      <c r="CI140" s="448" t="str">
        <f aca="false">IF($G140=0,IF(CI$11=$H140,"◆",""),IF(AND(CI$11&gt;=$H140,CI$11&lt;=$I140),1,""))</f>
        <v/>
      </c>
      <c r="CJ140" s="448" t="str">
        <f aca="false">IF($G140=0,IF(CJ$11=$H140,"◆",""),IF(AND(CJ$11&gt;=$H140,CJ$11&lt;=$I140),1,""))</f>
        <v/>
      </c>
      <c r="CK140" s="448" t="str">
        <f aca="false">IF($G140=0,IF(CK$11=$H140,"◆",""),IF(AND(CK$11&gt;=$H140,CK$11&lt;=$I140),1,""))</f>
        <v/>
      </c>
      <c r="CL140" s="448" t="str">
        <f aca="false">IF($G140=0,IF(CL$11=$H140,"◆",""),IF(AND(CL$11&gt;=$H140,CL$11&lt;=$I140),1,""))</f>
        <v/>
      </c>
      <c r="CM140" s="448" t="str">
        <f aca="false">IF($G140=0,IF(CM$11=$H140,"◆",""),IF(AND(CM$11&gt;=$H140,CM$11&lt;=$I140),1,""))</f>
        <v/>
      </c>
      <c r="CN140" s="448" t="str">
        <f aca="false">IF($G140=0,IF(CN$11=$H140,"◆",""),IF(AND(CN$11&gt;=$H140,CN$11&lt;=$I140),1,""))</f>
        <v/>
      </c>
      <c r="CO140" s="448" t="str">
        <f aca="false">IF($G140=0,IF(CO$11=$H140,"◆",""),IF(AND(CO$11&gt;=$H140,CO$11&lt;=$I140),1,""))</f>
        <v/>
      </c>
      <c r="CP140" s="448" t="str">
        <f aca="false">IF($G140=0,IF(CP$11=$H140,"◆",""),IF(AND(CP$11&gt;=$H140,CP$11&lt;=$I140),1,""))</f>
        <v/>
      </c>
      <c r="CQ140" s="448" t="str">
        <f aca="false">IF($G140=0,IF(CQ$11=$H140,"◆",""),IF(AND(CQ$11&gt;=$H140,CQ$11&lt;=$I140),1,""))</f>
        <v/>
      </c>
      <c r="CR140" s="448" t="str">
        <f aca="false">IF($G140=0,IF(CR$11=$H140,"◆",""),IF(AND(CR$11&gt;=$H140,CR$11&lt;=$I140),1,""))</f>
        <v/>
      </c>
      <c r="CS140" s="448" t="str">
        <f aca="false">IF($G140=0,IF(CS$11=$H140,"◆",""),IF(AND(CS$11&gt;=$H140,CS$11&lt;=$I140),1,""))</f>
        <v/>
      </c>
      <c r="CT140" s="448" t="str">
        <f aca="false">IF($G140=0,IF(CT$11=$H140,"◆",""),IF(AND(CT$11&gt;=$H140,CT$11&lt;=$I140),1,""))</f>
        <v/>
      </c>
      <c r="CU140" s="448" t="str">
        <f aca="false">IF($G140=0,IF(CU$11=$H140,"◆",""),IF(AND(CU$11&gt;=$H140,CU$11&lt;=$I140),1,""))</f>
        <v/>
      </c>
      <c r="CV140" s="448" t="str">
        <f aca="false">IF($G140=0,IF(CV$11=$H140,"◆",""),IF(AND(CV$11&gt;=$H140,CV$11&lt;=$I140),1,""))</f>
        <v/>
      </c>
      <c r="CW140" s="448" t="str">
        <f aca="false">IF($G140=0,IF(CW$11=$H140,"◆",""),IF(AND(CW$11&gt;=$H140,CW$11&lt;=$I140),1,""))</f>
        <v/>
      </c>
      <c r="CX140" s="448" t="str">
        <f aca="false">IF($G140=0,IF(CX$11=$H140,"◆",""),IF(AND(CX$11&gt;=$H140,CX$11&lt;=$I140),1,""))</f>
        <v/>
      </c>
      <c r="CY140" s="448" t="str">
        <f aca="false">IF($G140=0,IF(CY$11=$H140,"◆",""),IF(AND(CY$11&gt;=$H140,CY$11&lt;=$I140),1,""))</f>
        <v/>
      </c>
      <c r="CZ140" s="448" t="str">
        <f aca="false">IF($G140=0,IF(CZ$11=$H140,"◆",""),IF(AND(CZ$11&gt;=$H140,CZ$11&lt;=$I140),1,""))</f>
        <v/>
      </c>
      <c r="DA140" s="448" t="str">
        <f aca="false">IF($G140=0,IF(DA$11=$H140,"◆",""),IF(AND(DA$11&gt;=$H140,DA$11&lt;=$I140),1,""))</f>
        <v/>
      </c>
      <c r="DB140" s="448" t="str">
        <f aca="false">IF($G140=0,IF(DB$11=$H140,"◆",""),IF(AND(DB$11&gt;=$H140,DB$11&lt;=$I140),1,""))</f>
        <v/>
      </c>
      <c r="DC140" s="448" t="str">
        <f aca="false">IF($G140=0,IF(DC$11=$H140,"◆",""),IF(AND(DC$11&gt;=$H140,DC$11&lt;=$I140),1,""))</f>
        <v/>
      </c>
      <c r="DD140" s="448" t="str">
        <f aca="false">IF($G140=0,IF(DD$11=$H140,"◆",""),IF(AND(DD$11&gt;=$H140,DD$11&lt;=$I140),1,""))</f>
        <v/>
      </c>
      <c r="DE140" s="448" t="str">
        <f aca="false">IF($G140=0,IF(DE$11=$H140,"◆",""),IF(AND(DE$11&gt;=$H140,DE$11&lt;=$I140),1,""))</f>
        <v/>
      </c>
      <c r="DF140" s="448" t="str">
        <f aca="false">IF($G140=0,IF(DF$11=$H140,"◆",""),IF(AND(DF$11&gt;=$H140,DF$11&lt;=$I140),1,""))</f>
        <v/>
      </c>
      <c r="DG140" s="448" t="str">
        <f aca="false">IF($G140=0,IF(DG$11=$H140,"◆",""),IF(AND(DG$11&gt;=$H140,DG$11&lt;=$I140),1,""))</f>
        <v/>
      </c>
      <c r="DH140" s="448" t="str">
        <f aca="false">IF($G140=0,IF(DH$11=$H140,"◆",""),IF(AND(DH$11&gt;=$H140,DH$11&lt;=$I140),1,""))</f>
        <v/>
      </c>
      <c r="DI140" s="448" t="str">
        <f aca="false">IF($G140=0,IF(DI$11=$H140,"◆",""),IF(AND(DI$11&gt;=$H140,DI$11&lt;=$I140),1,""))</f>
        <v/>
      </c>
      <c r="DJ140" s="448" t="str">
        <f aca="false">IF($G140=0,IF(DJ$11=$H140,"◆",""),IF(AND(DJ$11&gt;=$H140,DJ$11&lt;=$I140),1,""))</f>
        <v/>
      </c>
      <c r="DK140" s="448" t="str">
        <f aca="false">IF($G140=0,IF(DK$11=$H140,"◆",""),IF(AND(DK$11&gt;=$H140,DK$11&lt;=$I140),1,""))</f>
        <v/>
      </c>
      <c r="DL140" s="448" t="str">
        <f aca="false">IF($G140=0,IF(DL$11=$H140,"◆",""),IF(AND(DL$11&gt;=$H140,DL$11&lt;=$I140),1,""))</f>
        <v/>
      </c>
      <c r="DM140" s="448" t="str">
        <f aca="false">IF($G140=0,IF(DM$11=$H140,"◆",""),IF(AND(DM$11&gt;=$H140,DM$11&lt;=$I140),1,""))</f>
        <v/>
      </c>
      <c r="DN140" s="448" t="str">
        <f aca="false">IF($G140=0,IF(DN$11=$H140,"◆",""),IF(AND(DN$11&gt;=$H140,DN$11&lt;=$I140),1,""))</f>
        <v/>
      </c>
      <c r="DO140" s="448" t="str">
        <f aca="false">IF($G140=0,IF(DO$11=$H140,"◆",""),IF(AND(DO$11&gt;=$H140,DO$11&lt;=$I140),1,""))</f>
        <v/>
      </c>
      <c r="DP140" s="448" t="str">
        <f aca="false">IF($G140=0,IF(DP$11=$H140,"◆",""),IF(AND(DP$11&gt;=$H140,DP$11&lt;=$I140),1,""))</f>
        <v/>
      </c>
      <c r="DQ140" s="448" t="str">
        <f aca="false">IF($G140=0,IF(DQ$11=$H140,"◆",""),IF(AND(DQ$11&gt;=$H140,DQ$11&lt;=$I140),1,""))</f>
        <v/>
      </c>
      <c r="DR140" s="448" t="str">
        <f aca="false">IF($G140=0,IF(DR$11=$H140,"◆",""),IF(AND(DR$11&gt;=$H140,DR$11&lt;=$I140),1,""))</f>
        <v/>
      </c>
      <c r="DS140" s="448" t="str">
        <f aca="false">IF($G140=0,IF(DS$11=$H140,"◆",""),IF(AND(DS$11&gt;=$H140,DS$11&lt;=$I140),1,""))</f>
        <v/>
      </c>
      <c r="DT140" s="448" t="str">
        <f aca="false">IF($G140=0,IF(DT$11=$H140,"◆",""),IF(AND(DT$11&gt;=$H140,DT$11&lt;=$I140),1,""))</f>
        <v/>
      </c>
      <c r="DU140" s="448" t="str">
        <f aca="false">IF($G140=0,IF(DU$11=$H140,"◆",""),IF(AND(DU$11&gt;=$H140,DU$11&lt;=$I140),1,""))</f>
        <v/>
      </c>
      <c r="DV140" s="448" t="str">
        <f aca="false">IF($G140=0,IF(DV$11=$H140,"◆",""),IF(AND(DV$11&gt;=$H140,DV$11&lt;=$I140),1,""))</f>
        <v/>
      </c>
      <c r="DW140" s="448" t="str">
        <f aca="false">IF($G140=0,IF(DW$11=$H140,"◆",""),IF(AND(DW$11&gt;=$H140,DW$11&lt;=$I140),1,""))</f>
        <v/>
      </c>
      <c r="DX140" s="448" t="str">
        <f aca="false">IF($G140=0,IF(DX$11=$H140,"◆",""),IF(AND(DX$11&gt;=$H140,DX$11&lt;=$I140),1,""))</f>
        <v/>
      </c>
      <c r="DY140" s="448" t="str">
        <f aca="false">IF($G140=0,IF(DY$11=$H140,"◆",""),IF(AND(DY$11&gt;=$H140,DY$11&lt;=$I140),1,""))</f>
        <v/>
      </c>
      <c r="DZ140" s="448" t="str">
        <f aca="false">IF($G140=0,IF(DZ$11=$H140,"◆",""),IF(AND(DZ$11&gt;=$H140,DZ$11&lt;=$I140),1,""))</f>
        <v/>
      </c>
      <c r="EA140" s="448" t="str">
        <f aca="false">IF($G140=0,IF(EA$11=$H140,"◆",""),IF(AND(EA$11&gt;=$H140,EA$11&lt;=$I140),1,""))</f>
        <v/>
      </c>
      <c r="EB140" s="448" t="str">
        <f aca="false">IF($G140=0,IF(EB$11=$H140,"◆",""),IF(AND(EB$11&gt;=$H140,EB$11&lt;=$I140),1,""))</f>
        <v/>
      </c>
      <c r="EC140" s="448" t="str">
        <f aca="false">IF($G140=0,IF(EC$11=$H140,"◆",""),IF(AND(EC$11&gt;=$H140,EC$11&lt;=$I140),1,""))</f>
        <v/>
      </c>
      <c r="ED140" s="448" t="str">
        <f aca="false">IF($G140=0,IF(ED$11=$H140,"◆",""),IF(AND(ED$11&gt;=$H140,ED$11&lt;=$I140),1,""))</f>
        <v/>
      </c>
    </row>
    <row r="141" customFormat="false" ht="15" hidden="false" customHeight="true" outlineLevel="0" collapsed="false">
      <c r="A141" s="441" t="s">
        <v>2734</v>
      </c>
      <c r="B141" s="297" t="s">
        <v>2735</v>
      </c>
      <c r="C141" s="442" t="s">
        <v>2518</v>
      </c>
      <c r="D141" s="443" t="s">
        <v>2496</v>
      </c>
      <c r="E141" s="354" t="n">
        <f aca="false">FC_SUPUESTOS!$C$23-FC_SUPUESTOS!$C$21</f>
        <v>8</v>
      </c>
      <c r="F141" s="352" t="n">
        <v>-4</v>
      </c>
      <c r="G141" s="352" t="n">
        <v>10</v>
      </c>
      <c r="H141" s="367" t="n">
        <f aca="false">MAX(1,ROUND(($E141-1)*$D$5,0)+1+$F141)</f>
        <v>27</v>
      </c>
      <c r="I141" s="367" t="n">
        <f aca="false">MAX($H141,$H141+$G141-1)</f>
        <v>36</v>
      </c>
      <c r="J141" s="444" t="n">
        <f aca="false">$D$4+($H141-1)*7</f>
        <v>46482</v>
      </c>
      <c r="K141" s="444" t="n">
        <f aca="false">$D$4+$I141*7-1</f>
        <v>46551</v>
      </c>
      <c r="L141" s="445" t="n">
        <f aca="false">ROUNDUP($H141/$D$5,0)</f>
        <v>7</v>
      </c>
      <c r="M141" s="446"/>
      <c r="N141" s="447" t="n">
        <v>0</v>
      </c>
      <c r="O141" s="448" t="str">
        <f aca="false">IF($G141=0,IF(O$11=$H141,"◆",""),IF(AND(O$11&gt;=$H141,O$11&lt;=$I141),1,""))</f>
        <v/>
      </c>
      <c r="P141" s="448" t="str">
        <f aca="false">IF($G141=0,IF(P$11=$H141,"◆",""),IF(AND(P$11&gt;=$H141,P$11&lt;=$I141),1,""))</f>
        <v/>
      </c>
      <c r="Q141" s="448" t="str">
        <f aca="false">IF($G141=0,IF(Q$11=$H141,"◆",""),IF(AND(Q$11&gt;=$H141,Q$11&lt;=$I141),1,""))</f>
        <v/>
      </c>
      <c r="R141" s="448" t="str">
        <f aca="false">IF($G141=0,IF(R$11=$H141,"◆",""),IF(AND(R$11&gt;=$H141,R$11&lt;=$I141),1,""))</f>
        <v/>
      </c>
      <c r="S141" s="448" t="str">
        <f aca="false">IF($G141=0,IF(S$11=$H141,"◆",""),IF(AND(S$11&gt;=$H141,S$11&lt;=$I141),1,""))</f>
        <v/>
      </c>
      <c r="T141" s="448" t="str">
        <f aca="false">IF($G141=0,IF(T$11=$H141,"◆",""),IF(AND(T$11&gt;=$H141,T$11&lt;=$I141),1,""))</f>
        <v/>
      </c>
      <c r="U141" s="448" t="str">
        <f aca="false">IF($G141=0,IF(U$11=$H141,"◆",""),IF(AND(U$11&gt;=$H141,U$11&lt;=$I141),1,""))</f>
        <v/>
      </c>
      <c r="V141" s="448" t="str">
        <f aca="false">IF($G141=0,IF(V$11=$H141,"◆",""),IF(AND(V$11&gt;=$H141,V$11&lt;=$I141),1,""))</f>
        <v/>
      </c>
      <c r="W141" s="448" t="str">
        <f aca="false">IF($G141=0,IF(W$11=$H141,"◆",""),IF(AND(W$11&gt;=$H141,W$11&lt;=$I141),1,""))</f>
        <v/>
      </c>
      <c r="X141" s="448" t="str">
        <f aca="false">IF($G141=0,IF(X$11=$H141,"◆",""),IF(AND(X$11&gt;=$H141,X$11&lt;=$I141),1,""))</f>
        <v/>
      </c>
      <c r="Y141" s="448" t="str">
        <f aca="false">IF($G141=0,IF(Y$11=$H141,"◆",""),IF(AND(Y$11&gt;=$H141,Y$11&lt;=$I141),1,""))</f>
        <v/>
      </c>
      <c r="Z141" s="448" t="str">
        <f aca="false">IF($G141=0,IF(Z$11=$H141,"◆",""),IF(AND(Z$11&gt;=$H141,Z$11&lt;=$I141),1,""))</f>
        <v/>
      </c>
      <c r="AA141" s="448" t="str">
        <f aca="false">IF($G141=0,IF(AA$11=$H141,"◆",""),IF(AND(AA$11&gt;=$H141,AA$11&lt;=$I141),1,""))</f>
        <v/>
      </c>
      <c r="AB141" s="448" t="str">
        <f aca="false">IF($G141=0,IF(AB$11=$H141,"◆",""),IF(AND(AB$11&gt;=$H141,AB$11&lt;=$I141),1,""))</f>
        <v/>
      </c>
      <c r="AC141" s="448" t="str">
        <f aca="false">IF($G141=0,IF(AC$11=$H141,"◆",""),IF(AND(AC$11&gt;=$H141,AC$11&lt;=$I141),1,""))</f>
        <v/>
      </c>
      <c r="AD141" s="448" t="str">
        <f aca="false">IF($G141=0,IF(AD$11=$H141,"◆",""),IF(AND(AD$11&gt;=$H141,AD$11&lt;=$I141),1,""))</f>
        <v/>
      </c>
      <c r="AE141" s="448" t="str">
        <f aca="false">IF($G141=0,IF(AE$11=$H141,"◆",""),IF(AND(AE$11&gt;=$H141,AE$11&lt;=$I141),1,""))</f>
        <v/>
      </c>
      <c r="AF141" s="448" t="str">
        <f aca="false">IF($G141=0,IF(AF$11=$H141,"◆",""),IF(AND(AF$11&gt;=$H141,AF$11&lt;=$I141),1,""))</f>
        <v/>
      </c>
      <c r="AG141" s="448" t="str">
        <f aca="false">IF($G141=0,IF(AG$11=$H141,"◆",""),IF(AND(AG$11&gt;=$H141,AG$11&lt;=$I141),1,""))</f>
        <v/>
      </c>
      <c r="AH141" s="448" t="str">
        <f aca="false">IF($G141=0,IF(AH$11=$H141,"◆",""),IF(AND(AH$11&gt;=$H141,AH$11&lt;=$I141),1,""))</f>
        <v/>
      </c>
      <c r="AI141" s="448" t="str">
        <f aca="false">IF($G141=0,IF(AI$11=$H141,"◆",""),IF(AND(AI$11&gt;=$H141,AI$11&lt;=$I141),1,""))</f>
        <v/>
      </c>
      <c r="AJ141" s="448" t="str">
        <f aca="false">IF($G141=0,IF(AJ$11=$H141,"◆",""),IF(AND(AJ$11&gt;=$H141,AJ$11&lt;=$I141),1,""))</f>
        <v/>
      </c>
      <c r="AK141" s="448" t="str">
        <f aca="false">IF($G141=0,IF(AK$11=$H141,"◆",""),IF(AND(AK$11&gt;=$H141,AK$11&lt;=$I141),1,""))</f>
        <v/>
      </c>
      <c r="AL141" s="448" t="str">
        <f aca="false">IF($G141=0,IF(AL$11=$H141,"◆",""),IF(AND(AL$11&gt;=$H141,AL$11&lt;=$I141),1,""))</f>
        <v/>
      </c>
      <c r="AM141" s="448" t="str">
        <f aca="false">IF($G141=0,IF(AM$11=$H141,"◆",""),IF(AND(AM$11&gt;=$H141,AM$11&lt;=$I141),1,""))</f>
        <v/>
      </c>
      <c r="AN141" s="448" t="str">
        <f aca="false">IF($G141=0,IF(AN$11=$H141,"◆",""),IF(AND(AN$11&gt;=$H141,AN$11&lt;=$I141),1,""))</f>
        <v/>
      </c>
      <c r="AO141" s="448" t="n">
        <f aca="false">IF($G141=0,IF(AO$11=$H141,"◆",""),IF(AND(AO$11&gt;=$H141,AO$11&lt;=$I141),1,""))</f>
        <v>1</v>
      </c>
      <c r="AP141" s="448" t="n">
        <f aca="false">IF($G141=0,IF(AP$11=$H141,"◆",""),IF(AND(AP$11&gt;=$H141,AP$11&lt;=$I141),1,""))</f>
        <v>1</v>
      </c>
      <c r="AQ141" s="448" t="n">
        <f aca="false">IF($G141=0,IF(AQ$11=$H141,"◆",""),IF(AND(AQ$11&gt;=$H141,AQ$11&lt;=$I141),1,""))</f>
        <v>1</v>
      </c>
      <c r="AR141" s="448" t="n">
        <f aca="false">IF($G141=0,IF(AR$11=$H141,"◆",""),IF(AND(AR$11&gt;=$H141,AR$11&lt;=$I141),1,""))</f>
        <v>1</v>
      </c>
      <c r="AS141" s="448" t="n">
        <f aca="false">IF($G141=0,IF(AS$11=$H141,"◆",""),IF(AND(AS$11&gt;=$H141,AS$11&lt;=$I141),1,""))</f>
        <v>1</v>
      </c>
      <c r="AT141" s="448" t="n">
        <f aca="false">IF($G141=0,IF(AT$11=$H141,"◆",""),IF(AND(AT$11&gt;=$H141,AT$11&lt;=$I141),1,""))</f>
        <v>1</v>
      </c>
      <c r="AU141" s="448" t="n">
        <f aca="false">IF($G141=0,IF(AU$11=$H141,"◆",""),IF(AND(AU$11&gt;=$H141,AU$11&lt;=$I141),1,""))</f>
        <v>1</v>
      </c>
      <c r="AV141" s="448" t="n">
        <f aca="false">IF($G141=0,IF(AV$11=$H141,"◆",""),IF(AND(AV$11&gt;=$H141,AV$11&lt;=$I141),1,""))</f>
        <v>1</v>
      </c>
      <c r="AW141" s="448" t="n">
        <f aca="false">IF($G141=0,IF(AW$11=$H141,"◆",""),IF(AND(AW$11&gt;=$H141,AW$11&lt;=$I141),1,""))</f>
        <v>1</v>
      </c>
      <c r="AX141" s="448" t="n">
        <f aca="false">IF($G141=0,IF(AX$11=$H141,"◆",""),IF(AND(AX$11&gt;=$H141,AX$11&lt;=$I141),1,""))</f>
        <v>1</v>
      </c>
      <c r="AY141" s="448" t="str">
        <f aca="false">IF($G141=0,IF(AY$11=$H141,"◆",""),IF(AND(AY$11&gt;=$H141,AY$11&lt;=$I141),1,""))</f>
        <v/>
      </c>
      <c r="AZ141" s="448" t="str">
        <f aca="false">IF($G141=0,IF(AZ$11=$H141,"◆",""),IF(AND(AZ$11&gt;=$H141,AZ$11&lt;=$I141),1,""))</f>
        <v/>
      </c>
      <c r="BA141" s="448" t="str">
        <f aca="false">IF($G141=0,IF(BA$11=$H141,"◆",""),IF(AND(BA$11&gt;=$H141,BA$11&lt;=$I141),1,""))</f>
        <v/>
      </c>
      <c r="BB141" s="448" t="str">
        <f aca="false">IF($G141=0,IF(BB$11=$H141,"◆",""),IF(AND(BB$11&gt;=$H141,BB$11&lt;=$I141),1,""))</f>
        <v/>
      </c>
      <c r="BC141" s="448" t="str">
        <f aca="false">IF($G141=0,IF(BC$11=$H141,"◆",""),IF(AND(BC$11&gt;=$H141,BC$11&lt;=$I141),1,""))</f>
        <v/>
      </c>
      <c r="BD141" s="448" t="str">
        <f aca="false">IF($G141=0,IF(BD$11=$H141,"◆",""),IF(AND(BD$11&gt;=$H141,BD$11&lt;=$I141),1,""))</f>
        <v/>
      </c>
      <c r="BE141" s="448" t="str">
        <f aca="false">IF($G141=0,IF(BE$11=$H141,"◆",""),IF(AND(BE$11&gt;=$H141,BE$11&lt;=$I141),1,""))</f>
        <v/>
      </c>
      <c r="BF141" s="448" t="str">
        <f aca="false">IF($G141=0,IF(BF$11=$H141,"◆",""),IF(AND(BF$11&gt;=$H141,BF$11&lt;=$I141),1,""))</f>
        <v/>
      </c>
      <c r="BG141" s="448" t="str">
        <f aca="false">IF($G141=0,IF(BG$11=$H141,"◆",""),IF(AND(BG$11&gt;=$H141,BG$11&lt;=$I141),1,""))</f>
        <v/>
      </c>
      <c r="BH141" s="448" t="str">
        <f aca="false">IF($G141=0,IF(BH$11=$H141,"◆",""),IF(AND(BH$11&gt;=$H141,BH$11&lt;=$I141),1,""))</f>
        <v/>
      </c>
      <c r="BI141" s="448" t="str">
        <f aca="false">IF($G141=0,IF(BI$11=$H141,"◆",""),IF(AND(BI$11&gt;=$H141,BI$11&lt;=$I141),1,""))</f>
        <v/>
      </c>
      <c r="BJ141" s="448" t="str">
        <f aca="false">IF($G141=0,IF(BJ$11=$H141,"◆",""),IF(AND(BJ$11&gt;=$H141,BJ$11&lt;=$I141),1,""))</f>
        <v/>
      </c>
      <c r="BK141" s="448" t="str">
        <f aca="false">IF($G141=0,IF(BK$11=$H141,"◆",""),IF(AND(BK$11&gt;=$H141,BK$11&lt;=$I141),1,""))</f>
        <v/>
      </c>
      <c r="BL141" s="448" t="str">
        <f aca="false">IF($G141=0,IF(BL$11=$H141,"◆",""),IF(AND(BL$11&gt;=$H141,BL$11&lt;=$I141),1,""))</f>
        <v/>
      </c>
      <c r="BM141" s="448" t="str">
        <f aca="false">IF($G141=0,IF(BM$11=$H141,"◆",""),IF(AND(BM$11&gt;=$H141,BM$11&lt;=$I141),1,""))</f>
        <v/>
      </c>
      <c r="BN141" s="448" t="str">
        <f aca="false">IF($G141=0,IF(BN$11=$H141,"◆",""),IF(AND(BN$11&gt;=$H141,BN$11&lt;=$I141),1,""))</f>
        <v/>
      </c>
      <c r="BO141" s="448" t="str">
        <f aca="false">IF($G141=0,IF(BO$11=$H141,"◆",""),IF(AND(BO$11&gt;=$H141,BO$11&lt;=$I141),1,""))</f>
        <v/>
      </c>
      <c r="BP141" s="448" t="str">
        <f aca="false">IF($G141=0,IF(BP$11=$H141,"◆",""),IF(AND(BP$11&gt;=$H141,BP$11&lt;=$I141),1,""))</f>
        <v/>
      </c>
      <c r="BQ141" s="448" t="str">
        <f aca="false">IF($G141=0,IF(BQ$11=$H141,"◆",""),IF(AND(BQ$11&gt;=$H141,BQ$11&lt;=$I141),1,""))</f>
        <v/>
      </c>
      <c r="BR141" s="448" t="str">
        <f aca="false">IF($G141=0,IF(BR$11=$H141,"◆",""),IF(AND(BR$11&gt;=$H141,BR$11&lt;=$I141),1,""))</f>
        <v/>
      </c>
      <c r="BS141" s="448" t="str">
        <f aca="false">IF($G141=0,IF(BS$11=$H141,"◆",""),IF(AND(BS$11&gt;=$H141,BS$11&lt;=$I141),1,""))</f>
        <v/>
      </c>
      <c r="BT141" s="448" t="str">
        <f aca="false">IF($G141=0,IF(BT$11=$H141,"◆",""),IF(AND(BT$11&gt;=$H141,BT$11&lt;=$I141),1,""))</f>
        <v/>
      </c>
      <c r="BU141" s="448" t="str">
        <f aca="false">IF($G141=0,IF(BU$11=$H141,"◆",""),IF(AND(BU$11&gt;=$H141,BU$11&lt;=$I141),1,""))</f>
        <v/>
      </c>
      <c r="BV141" s="448" t="str">
        <f aca="false">IF($G141=0,IF(BV$11=$H141,"◆",""),IF(AND(BV$11&gt;=$H141,BV$11&lt;=$I141),1,""))</f>
        <v/>
      </c>
      <c r="BW141" s="448" t="str">
        <f aca="false">IF($G141=0,IF(BW$11=$H141,"◆",""),IF(AND(BW$11&gt;=$H141,BW$11&lt;=$I141),1,""))</f>
        <v/>
      </c>
      <c r="BX141" s="448" t="str">
        <f aca="false">IF($G141=0,IF(BX$11=$H141,"◆",""),IF(AND(BX$11&gt;=$H141,BX$11&lt;=$I141),1,""))</f>
        <v/>
      </c>
      <c r="BY141" s="448" t="str">
        <f aca="false">IF($G141=0,IF(BY$11=$H141,"◆",""),IF(AND(BY$11&gt;=$H141,BY$11&lt;=$I141),1,""))</f>
        <v/>
      </c>
      <c r="BZ141" s="448" t="str">
        <f aca="false">IF($G141=0,IF(BZ$11=$H141,"◆",""),IF(AND(BZ$11&gt;=$H141,BZ$11&lt;=$I141),1,""))</f>
        <v/>
      </c>
      <c r="CA141" s="448" t="str">
        <f aca="false">IF($G141=0,IF(CA$11=$H141,"◆",""),IF(AND(CA$11&gt;=$H141,CA$11&lt;=$I141),1,""))</f>
        <v/>
      </c>
      <c r="CB141" s="448" t="str">
        <f aca="false">IF($G141=0,IF(CB$11=$H141,"◆",""),IF(AND(CB$11&gt;=$H141,CB$11&lt;=$I141),1,""))</f>
        <v/>
      </c>
      <c r="CC141" s="448" t="str">
        <f aca="false">IF($G141=0,IF(CC$11=$H141,"◆",""),IF(AND(CC$11&gt;=$H141,CC$11&lt;=$I141),1,""))</f>
        <v/>
      </c>
      <c r="CD141" s="448" t="str">
        <f aca="false">IF($G141=0,IF(CD$11=$H141,"◆",""),IF(AND(CD$11&gt;=$H141,CD$11&lt;=$I141),1,""))</f>
        <v/>
      </c>
      <c r="CE141" s="448" t="str">
        <f aca="false">IF($G141=0,IF(CE$11=$H141,"◆",""),IF(AND(CE$11&gt;=$H141,CE$11&lt;=$I141),1,""))</f>
        <v/>
      </c>
      <c r="CF141" s="448" t="str">
        <f aca="false">IF($G141=0,IF(CF$11=$H141,"◆",""),IF(AND(CF$11&gt;=$H141,CF$11&lt;=$I141),1,""))</f>
        <v/>
      </c>
      <c r="CG141" s="448" t="str">
        <f aca="false">IF($G141=0,IF(CG$11=$H141,"◆",""),IF(AND(CG$11&gt;=$H141,CG$11&lt;=$I141),1,""))</f>
        <v/>
      </c>
      <c r="CH141" s="448" t="str">
        <f aca="false">IF($G141=0,IF(CH$11=$H141,"◆",""),IF(AND(CH$11&gt;=$H141,CH$11&lt;=$I141),1,""))</f>
        <v/>
      </c>
      <c r="CI141" s="448" t="str">
        <f aca="false">IF($G141=0,IF(CI$11=$H141,"◆",""),IF(AND(CI$11&gt;=$H141,CI$11&lt;=$I141),1,""))</f>
        <v/>
      </c>
      <c r="CJ141" s="448" t="str">
        <f aca="false">IF($G141=0,IF(CJ$11=$H141,"◆",""),IF(AND(CJ$11&gt;=$H141,CJ$11&lt;=$I141),1,""))</f>
        <v/>
      </c>
      <c r="CK141" s="448" t="str">
        <f aca="false">IF($G141=0,IF(CK$11=$H141,"◆",""),IF(AND(CK$11&gt;=$H141,CK$11&lt;=$I141),1,""))</f>
        <v/>
      </c>
      <c r="CL141" s="448" t="str">
        <f aca="false">IF($G141=0,IF(CL$11=$H141,"◆",""),IF(AND(CL$11&gt;=$H141,CL$11&lt;=$I141),1,""))</f>
        <v/>
      </c>
      <c r="CM141" s="448" t="str">
        <f aca="false">IF($G141=0,IF(CM$11=$H141,"◆",""),IF(AND(CM$11&gt;=$H141,CM$11&lt;=$I141),1,""))</f>
        <v/>
      </c>
      <c r="CN141" s="448" t="str">
        <f aca="false">IF($G141=0,IF(CN$11=$H141,"◆",""),IF(AND(CN$11&gt;=$H141,CN$11&lt;=$I141),1,""))</f>
        <v/>
      </c>
      <c r="CO141" s="448" t="str">
        <f aca="false">IF($G141=0,IF(CO$11=$H141,"◆",""),IF(AND(CO$11&gt;=$H141,CO$11&lt;=$I141),1,""))</f>
        <v/>
      </c>
      <c r="CP141" s="448" t="str">
        <f aca="false">IF($G141=0,IF(CP$11=$H141,"◆",""),IF(AND(CP$11&gt;=$H141,CP$11&lt;=$I141),1,""))</f>
        <v/>
      </c>
      <c r="CQ141" s="448" t="str">
        <f aca="false">IF($G141=0,IF(CQ$11=$H141,"◆",""),IF(AND(CQ$11&gt;=$H141,CQ$11&lt;=$I141),1,""))</f>
        <v/>
      </c>
      <c r="CR141" s="448" t="str">
        <f aca="false">IF($G141=0,IF(CR$11=$H141,"◆",""),IF(AND(CR$11&gt;=$H141,CR$11&lt;=$I141),1,""))</f>
        <v/>
      </c>
      <c r="CS141" s="448" t="str">
        <f aca="false">IF($G141=0,IF(CS$11=$H141,"◆",""),IF(AND(CS$11&gt;=$H141,CS$11&lt;=$I141),1,""))</f>
        <v/>
      </c>
      <c r="CT141" s="448" t="str">
        <f aca="false">IF($G141=0,IF(CT$11=$H141,"◆",""),IF(AND(CT$11&gt;=$H141,CT$11&lt;=$I141),1,""))</f>
        <v/>
      </c>
      <c r="CU141" s="448" t="str">
        <f aca="false">IF($G141=0,IF(CU$11=$H141,"◆",""),IF(AND(CU$11&gt;=$H141,CU$11&lt;=$I141),1,""))</f>
        <v/>
      </c>
      <c r="CV141" s="448" t="str">
        <f aca="false">IF($G141=0,IF(CV$11=$H141,"◆",""),IF(AND(CV$11&gt;=$H141,CV$11&lt;=$I141),1,""))</f>
        <v/>
      </c>
      <c r="CW141" s="448" t="str">
        <f aca="false">IF($G141=0,IF(CW$11=$H141,"◆",""),IF(AND(CW$11&gt;=$H141,CW$11&lt;=$I141),1,""))</f>
        <v/>
      </c>
      <c r="CX141" s="448" t="str">
        <f aca="false">IF($G141=0,IF(CX$11=$H141,"◆",""),IF(AND(CX$11&gt;=$H141,CX$11&lt;=$I141),1,""))</f>
        <v/>
      </c>
      <c r="CY141" s="448" t="str">
        <f aca="false">IF($G141=0,IF(CY$11=$H141,"◆",""),IF(AND(CY$11&gt;=$H141,CY$11&lt;=$I141),1,""))</f>
        <v/>
      </c>
      <c r="CZ141" s="448" t="str">
        <f aca="false">IF($G141=0,IF(CZ$11=$H141,"◆",""),IF(AND(CZ$11&gt;=$H141,CZ$11&lt;=$I141),1,""))</f>
        <v/>
      </c>
      <c r="DA141" s="448" t="str">
        <f aca="false">IF($G141=0,IF(DA$11=$H141,"◆",""),IF(AND(DA$11&gt;=$H141,DA$11&lt;=$I141),1,""))</f>
        <v/>
      </c>
      <c r="DB141" s="448" t="str">
        <f aca="false">IF($G141=0,IF(DB$11=$H141,"◆",""),IF(AND(DB$11&gt;=$H141,DB$11&lt;=$I141),1,""))</f>
        <v/>
      </c>
      <c r="DC141" s="448" t="str">
        <f aca="false">IF($G141=0,IF(DC$11=$H141,"◆",""),IF(AND(DC$11&gt;=$H141,DC$11&lt;=$I141),1,""))</f>
        <v/>
      </c>
      <c r="DD141" s="448" t="str">
        <f aca="false">IF($G141=0,IF(DD$11=$H141,"◆",""),IF(AND(DD$11&gt;=$H141,DD$11&lt;=$I141),1,""))</f>
        <v/>
      </c>
      <c r="DE141" s="448" t="str">
        <f aca="false">IF($G141=0,IF(DE$11=$H141,"◆",""),IF(AND(DE$11&gt;=$H141,DE$11&lt;=$I141),1,""))</f>
        <v/>
      </c>
      <c r="DF141" s="448" t="str">
        <f aca="false">IF($G141=0,IF(DF$11=$H141,"◆",""),IF(AND(DF$11&gt;=$H141,DF$11&lt;=$I141),1,""))</f>
        <v/>
      </c>
      <c r="DG141" s="448" t="str">
        <f aca="false">IF($G141=0,IF(DG$11=$H141,"◆",""),IF(AND(DG$11&gt;=$H141,DG$11&lt;=$I141),1,""))</f>
        <v/>
      </c>
      <c r="DH141" s="448" t="str">
        <f aca="false">IF($G141=0,IF(DH$11=$H141,"◆",""),IF(AND(DH$11&gt;=$H141,DH$11&lt;=$I141),1,""))</f>
        <v/>
      </c>
      <c r="DI141" s="448" t="str">
        <f aca="false">IF($G141=0,IF(DI$11=$H141,"◆",""),IF(AND(DI$11&gt;=$H141,DI$11&lt;=$I141),1,""))</f>
        <v/>
      </c>
      <c r="DJ141" s="448" t="str">
        <f aca="false">IF($G141=0,IF(DJ$11=$H141,"◆",""),IF(AND(DJ$11&gt;=$H141,DJ$11&lt;=$I141),1,""))</f>
        <v/>
      </c>
      <c r="DK141" s="448" t="str">
        <f aca="false">IF($G141=0,IF(DK$11=$H141,"◆",""),IF(AND(DK$11&gt;=$H141,DK$11&lt;=$I141),1,""))</f>
        <v/>
      </c>
      <c r="DL141" s="448" t="str">
        <f aca="false">IF($G141=0,IF(DL$11=$H141,"◆",""),IF(AND(DL$11&gt;=$H141,DL$11&lt;=$I141),1,""))</f>
        <v/>
      </c>
      <c r="DM141" s="448" t="str">
        <f aca="false">IF($G141=0,IF(DM$11=$H141,"◆",""),IF(AND(DM$11&gt;=$H141,DM$11&lt;=$I141),1,""))</f>
        <v/>
      </c>
      <c r="DN141" s="448" t="str">
        <f aca="false">IF($G141=0,IF(DN$11=$H141,"◆",""),IF(AND(DN$11&gt;=$H141,DN$11&lt;=$I141),1,""))</f>
        <v/>
      </c>
      <c r="DO141" s="448" t="str">
        <f aca="false">IF($G141=0,IF(DO$11=$H141,"◆",""),IF(AND(DO$11&gt;=$H141,DO$11&lt;=$I141),1,""))</f>
        <v/>
      </c>
      <c r="DP141" s="448" t="str">
        <f aca="false">IF($G141=0,IF(DP$11=$H141,"◆",""),IF(AND(DP$11&gt;=$H141,DP$11&lt;=$I141),1,""))</f>
        <v/>
      </c>
      <c r="DQ141" s="448" t="str">
        <f aca="false">IF($G141=0,IF(DQ$11=$H141,"◆",""),IF(AND(DQ$11&gt;=$H141,DQ$11&lt;=$I141),1,""))</f>
        <v/>
      </c>
      <c r="DR141" s="448" t="str">
        <f aca="false">IF($G141=0,IF(DR$11=$H141,"◆",""),IF(AND(DR$11&gt;=$H141,DR$11&lt;=$I141),1,""))</f>
        <v/>
      </c>
      <c r="DS141" s="448" t="str">
        <f aca="false">IF($G141=0,IF(DS$11=$H141,"◆",""),IF(AND(DS$11&gt;=$H141,DS$11&lt;=$I141),1,""))</f>
        <v/>
      </c>
      <c r="DT141" s="448" t="str">
        <f aca="false">IF($G141=0,IF(DT$11=$H141,"◆",""),IF(AND(DT$11&gt;=$H141,DT$11&lt;=$I141),1,""))</f>
        <v/>
      </c>
      <c r="DU141" s="448" t="str">
        <f aca="false">IF($G141=0,IF(DU$11=$H141,"◆",""),IF(AND(DU$11&gt;=$H141,DU$11&lt;=$I141),1,""))</f>
        <v/>
      </c>
      <c r="DV141" s="448" t="str">
        <f aca="false">IF($G141=0,IF(DV$11=$H141,"◆",""),IF(AND(DV$11&gt;=$H141,DV$11&lt;=$I141),1,""))</f>
        <v/>
      </c>
      <c r="DW141" s="448" t="str">
        <f aca="false">IF($G141=0,IF(DW$11=$H141,"◆",""),IF(AND(DW$11&gt;=$H141,DW$11&lt;=$I141),1,""))</f>
        <v/>
      </c>
      <c r="DX141" s="448" t="str">
        <f aca="false">IF($G141=0,IF(DX$11=$H141,"◆",""),IF(AND(DX$11&gt;=$H141,DX$11&lt;=$I141),1,""))</f>
        <v/>
      </c>
      <c r="DY141" s="448" t="str">
        <f aca="false">IF($G141=0,IF(DY$11=$H141,"◆",""),IF(AND(DY$11&gt;=$H141,DY$11&lt;=$I141),1,""))</f>
        <v/>
      </c>
      <c r="DZ141" s="448" t="str">
        <f aca="false">IF($G141=0,IF(DZ$11=$H141,"◆",""),IF(AND(DZ$11&gt;=$H141,DZ$11&lt;=$I141),1,""))</f>
        <v/>
      </c>
      <c r="EA141" s="448" t="str">
        <f aca="false">IF($G141=0,IF(EA$11=$H141,"◆",""),IF(AND(EA$11&gt;=$H141,EA$11&lt;=$I141),1,""))</f>
        <v/>
      </c>
      <c r="EB141" s="448" t="str">
        <f aca="false">IF($G141=0,IF(EB$11=$H141,"◆",""),IF(AND(EB$11&gt;=$H141,EB$11&lt;=$I141),1,""))</f>
        <v/>
      </c>
      <c r="EC141" s="448" t="str">
        <f aca="false">IF($G141=0,IF(EC$11=$H141,"◆",""),IF(AND(EC$11&gt;=$H141,EC$11&lt;=$I141),1,""))</f>
        <v/>
      </c>
      <c r="ED141" s="448" t="str">
        <f aca="false">IF($G141=0,IF(ED$11=$H141,"◆",""),IF(AND(ED$11&gt;=$H141,ED$11&lt;=$I141),1,""))</f>
        <v/>
      </c>
    </row>
    <row r="142" customFormat="false" ht="15" hidden="false" customHeight="true" outlineLevel="0" collapsed="false">
      <c r="A142" s="481"/>
      <c r="B142" s="482" t="s">
        <v>2736</v>
      </c>
      <c r="C142" s="483"/>
      <c r="D142" s="483"/>
      <c r="E142" s="483"/>
      <c r="F142" s="483"/>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483"/>
      <c r="AC142" s="483"/>
      <c r="AD142" s="483"/>
      <c r="AE142" s="483"/>
      <c r="AF142" s="483"/>
      <c r="AG142" s="483"/>
      <c r="AH142" s="483"/>
      <c r="AI142" s="483"/>
      <c r="AJ142" s="483"/>
      <c r="AK142" s="483"/>
      <c r="AL142" s="483"/>
      <c r="AM142" s="483"/>
      <c r="AN142" s="483"/>
      <c r="AO142" s="483"/>
      <c r="AP142" s="483"/>
      <c r="AQ142" s="483"/>
      <c r="AR142" s="483"/>
      <c r="AS142" s="483"/>
      <c r="AT142" s="483"/>
      <c r="AU142" s="483"/>
      <c r="AV142" s="483"/>
      <c r="AW142" s="483"/>
      <c r="AX142" s="483"/>
      <c r="AY142" s="483"/>
      <c r="AZ142" s="483"/>
      <c r="BA142" s="483"/>
      <c r="BB142" s="483"/>
      <c r="BC142" s="483"/>
      <c r="BD142" s="483"/>
      <c r="BE142" s="483"/>
      <c r="BF142" s="483"/>
      <c r="BG142" s="483"/>
      <c r="BH142" s="483"/>
      <c r="BI142" s="483"/>
      <c r="BJ142" s="483"/>
      <c r="BK142" s="483"/>
      <c r="BL142" s="483"/>
      <c r="BM142" s="483"/>
      <c r="BN142" s="483"/>
      <c r="BO142" s="483"/>
      <c r="BP142" s="483"/>
      <c r="BQ142" s="483"/>
      <c r="BR142" s="483"/>
      <c r="BS142" s="483"/>
      <c r="BT142" s="483"/>
      <c r="BU142" s="483"/>
      <c r="BV142" s="483"/>
      <c r="BW142" s="483"/>
      <c r="BX142" s="483"/>
      <c r="BY142" s="483"/>
      <c r="BZ142" s="483"/>
      <c r="CA142" s="483"/>
      <c r="CB142" s="483"/>
      <c r="CC142" s="483"/>
      <c r="CD142" s="483"/>
      <c r="CE142" s="483"/>
      <c r="CF142" s="483"/>
      <c r="CG142" s="483"/>
      <c r="CH142" s="483"/>
      <c r="CI142" s="483"/>
      <c r="CJ142" s="483"/>
      <c r="CK142" s="483"/>
      <c r="CL142" s="483"/>
      <c r="CM142" s="483"/>
      <c r="CN142" s="483"/>
      <c r="CO142" s="483"/>
      <c r="CP142" s="483"/>
      <c r="CQ142" s="483"/>
      <c r="CR142" s="483"/>
      <c r="CS142" s="483"/>
      <c r="CT142" s="483"/>
      <c r="CU142" s="483"/>
      <c r="CV142" s="483"/>
      <c r="CW142" s="483"/>
      <c r="CX142" s="483"/>
      <c r="CY142" s="483"/>
      <c r="CZ142" s="483"/>
      <c r="DA142" s="483"/>
      <c r="DB142" s="483"/>
      <c r="DC142" s="483"/>
      <c r="DD142" s="483"/>
      <c r="DE142" s="483"/>
      <c r="DF142" s="483"/>
      <c r="DG142" s="483"/>
      <c r="DH142" s="483"/>
      <c r="DI142" s="483"/>
      <c r="DJ142" s="483"/>
      <c r="DK142" s="483"/>
      <c r="DL142" s="483"/>
      <c r="DM142" s="483"/>
      <c r="DN142" s="483"/>
      <c r="DO142" s="483"/>
      <c r="DP142" s="483"/>
      <c r="DQ142" s="483"/>
      <c r="DR142" s="483"/>
      <c r="DS142" s="483"/>
      <c r="DT142" s="483"/>
      <c r="DU142" s="483"/>
      <c r="DV142" s="483"/>
      <c r="DW142" s="483"/>
      <c r="DX142" s="483"/>
      <c r="DY142" s="483"/>
      <c r="DZ142" s="483"/>
      <c r="EA142" s="483"/>
      <c r="EB142" s="483"/>
      <c r="EC142" s="483"/>
      <c r="ED142" s="483"/>
    </row>
    <row r="143" customFormat="false" ht="15" hidden="false" customHeight="true" outlineLevel="0" collapsed="false">
      <c r="A143" s="441" t="s">
        <v>2737</v>
      </c>
      <c r="B143" s="297" t="s">
        <v>2738</v>
      </c>
      <c r="C143" s="442" t="s">
        <v>2739</v>
      </c>
      <c r="D143" s="443" t="s">
        <v>2436</v>
      </c>
      <c r="E143" s="354" t="n">
        <f aca="false">1</f>
        <v>1</v>
      </c>
      <c r="F143" s="352" t="n">
        <v>6</v>
      </c>
      <c r="G143" s="352" t="n">
        <v>14</v>
      </c>
      <c r="H143" s="367" t="n">
        <f aca="false">MAX(1,ROUND(($E143-1)*$D$5,0)+1+$F143)</f>
        <v>7</v>
      </c>
      <c r="I143" s="367" t="n">
        <f aca="false">MAX($H143,$H143+$G143-1)</f>
        <v>20</v>
      </c>
      <c r="J143" s="444" t="n">
        <f aca="false">$D$4+($H143-1)*7</f>
        <v>46342</v>
      </c>
      <c r="K143" s="444" t="n">
        <f aca="false">$D$4+$I143*7-1</f>
        <v>46439</v>
      </c>
      <c r="L143" s="445" t="n">
        <f aca="false">ROUNDUP($H143/$D$5,0)</f>
        <v>2</v>
      </c>
      <c r="M143" s="446"/>
      <c r="N143" s="447" t="n">
        <v>0</v>
      </c>
      <c r="O143" s="448" t="str">
        <f aca="false">IF($G143=0,IF(O$11=$H143,"◆",""),IF(AND(O$11&gt;=$H143,O$11&lt;=$I143),1,""))</f>
        <v/>
      </c>
      <c r="P143" s="448" t="str">
        <f aca="false">IF($G143=0,IF(P$11=$H143,"◆",""),IF(AND(P$11&gt;=$H143,P$11&lt;=$I143),1,""))</f>
        <v/>
      </c>
      <c r="Q143" s="448" t="str">
        <f aca="false">IF($G143=0,IF(Q$11=$H143,"◆",""),IF(AND(Q$11&gt;=$H143,Q$11&lt;=$I143),1,""))</f>
        <v/>
      </c>
      <c r="R143" s="448" t="str">
        <f aca="false">IF($G143=0,IF(R$11=$H143,"◆",""),IF(AND(R$11&gt;=$H143,R$11&lt;=$I143),1,""))</f>
        <v/>
      </c>
      <c r="S143" s="448" t="str">
        <f aca="false">IF($G143=0,IF(S$11=$H143,"◆",""),IF(AND(S$11&gt;=$H143,S$11&lt;=$I143),1,""))</f>
        <v/>
      </c>
      <c r="T143" s="448" t="str">
        <f aca="false">IF($G143=0,IF(T$11=$H143,"◆",""),IF(AND(T$11&gt;=$H143,T$11&lt;=$I143),1,""))</f>
        <v/>
      </c>
      <c r="U143" s="448" t="n">
        <f aca="false">IF($G143=0,IF(U$11=$H143,"◆",""),IF(AND(U$11&gt;=$H143,U$11&lt;=$I143),1,""))</f>
        <v>1</v>
      </c>
      <c r="V143" s="448" t="n">
        <f aca="false">IF($G143=0,IF(V$11=$H143,"◆",""),IF(AND(V$11&gt;=$H143,V$11&lt;=$I143),1,""))</f>
        <v>1</v>
      </c>
      <c r="W143" s="448" t="n">
        <f aca="false">IF($G143=0,IF(W$11=$H143,"◆",""),IF(AND(W$11&gt;=$H143,W$11&lt;=$I143),1,""))</f>
        <v>1</v>
      </c>
      <c r="X143" s="448" t="n">
        <f aca="false">IF($G143=0,IF(X$11=$H143,"◆",""),IF(AND(X$11&gt;=$H143,X$11&lt;=$I143),1,""))</f>
        <v>1</v>
      </c>
      <c r="Y143" s="448" t="n">
        <f aca="false">IF($G143=0,IF(Y$11=$H143,"◆",""),IF(AND(Y$11&gt;=$H143,Y$11&lt;=$I143),1,""))</f>
        <v>1</v>
      </c>
      <c r="Z143" s="448" t="n">
        <f aca="false">IF($G143=0,IF(Z$11=$H143,"◆",""),IF(AND(Z$11&gt;=$H143,Z$11&lt;=$I143),1,""))</f>
        <v>1</v>
      </c>
      <c r="AA143" s="448" t="n">
        <f aca="false">IF($G143=0,IF(AA$11=$H143,"◆",""),IF(AND(AA$11&gt;=$H143,AA$11&lt;=$I143),1,""))</f>
        <v>1</v>
      </c>
      <c r="AB143" s="448" t="n">
        <f aca="false">IF($G143=0,IF(AB$11=$H143,"◆",""),IF(AND(AB$11&gt;=$H143,AB$11&lt;=$I143),1,""))</f>
        <v>1</v>
      </c>
      <c r="AC143" s="448" t="n">
        <f aca="false">IF($G143=0,IF(AC$11=$H143,"◆",""),IF(AND(AC$11&gt;=$H143,AC$11&lt;=$I143),1,""))</f>
        <v>1</v>
      </c>
      <c r="AD143" s="448" t="n">
        <f aca="false">IF($G143=0,IF(AD$11=$H143,"◆",""),IF(AND(AD$11&gt;=$H143,AD$11&lt;=$I143),1,""))</f>
        <v>1</v>
      </c>
      <c r="AE143" s="448" t="n">
        <f aca="false">IF($G143=0,IF(AE$11=$H143,"◆",""),IF(AND(AE$11&gt;=$H143,AE$11&lt;=$I143),1,""))</f>
        <v>1</v>
      </c>
      <c r="AF143" s="448" t="n">
        <f aca="false">IF($G143=0,IF(AF$11=$H143,"◆",""),IF(AND(AF$11&gt;=$H143,AF$11&lt;=$I143),1,""))</f>
        <v>1</v>
      </c>
      <c r="AG143" s="448" t="n">
        <f aca="false">IF($G143=0,IF(AG$11=$H143,"◆",""),IF(AND(AG$11&gt;=$H143,AG$11&lt;=$I143),1,""))</f>
        <v>1</v>
      </c>
      <c r="AH143" s="448" t="n">
        <f aca="false">IF($G143=0,IF(AH$11=$H143,"◆",""),IF(AND(AH$11&gt;=$H143,AH$11&lt;=$I143),1,""))</f>
        <v>1</v>
      </c>
      <c r="AI143" s="448" t="str">
        <f aca="false">IF($G143=0,IF(AI$11=$H143,"◆",""),IF(AND(AI$11&gt;=$H143,AI$11&lt;=$I143),1,""))</f>
        <v/>
      </c>
      <c r="AJ143" s="448" t="str">
        <f aca="false">IF($G143=0,IF(AJ$11=$H143,"◆",""),IF(AND(AJ$11&gt;=$H143,AJ$11&lt;=$I143),1,""))</f>
        <v/>
      </c>
      <c r="AK143" s="448" t="str">
        <f aca="false">IF($G143=0,IF(AK$11=$H143,"◆",""),IF(AND(AK$11&gt;=$H143,AK$11&lt;=$I143),1,""))</f>
        <v/>
      </c>
      <c r="AL143" s="448" t="str">
        <f aca="false">IF($G143=0,IF(AL$11=$H143,"◆",""),IF(AND(AL$11&gt;=$H143,AL$11&lt;=$I143),1,""))</f>
        <v/>
      </c>
      <c r="AM143" s="448" t="str">
        <f aca="false">IF($G143=0,IF(AM$11=$H143,"◆",""),IF(AND(AM$11&gt;=$H143,AM$11&lt;=$I143),1,""))</f>
        <v/>
      </c>
      <c r="AN143" s="448" t="str">
        <f aca="false">IF($G143=0,IF(AN$11=$H143,"◆",""),IF(AND(AN$11&gt;=$H143,AN$11&lt;=$I143),1,""))</f>
        <v/>
      </c>
      <c r="AO143" s="448" t="str">
        <f aca="false">IF($G143=0,IF(AO$11=$H143,"◆",""),IF(AND(AO$11&gt;=$H143,AO$11&lt;=$I143),1,""))</f>
        <v/>
      </c>
      <c r="AP143" s="448" t="str">
        <f aca="false">IF($G143=0,IF(AP$11=$H143,"◆",""),IF(AND(AP$11&gt;=$H143,AP$11&lt;=$I143),1,""))</f>
        <v/>
      </c>
      <c r="AQ143" s="448" t="str">
        <f aca="false">IF($G143=0,IF(AQ$11=$H143,"◆",""),IF(AND(AQ$11&gt;=$H143,AQ$11&lt;=$I143),1,""))</f>
        <v/>
      </c>
      <c r="AR143" s="448" t="str">
        <f aca="false">IF($G143=0,IF(AR$11=$H143,"◆",""),IF(AND(AR$11&gt;=$H143,AR$11&lt;=$I143),1,""))</f>
        <v/>
      </c>
      <c r="AS143" s="448" t="str">
        <f aca="false">IF($G143=0,IF(AS$11=$H143,"◆",""),IF(AND(AS$11&gt;=$H143,AS$11&lt;=$I143),1,""))</f>
        <v/>
      </c>
      <c r="AT143" s="448" t="str">
        <f aca="false">IF($G143=0,IF(AT$11=$H143,"◆",""),IF(AND(AT$11&gt;=$H143,AT$11&lt;=$I143),1,""))</f>
        <v/>
      </c>
      <c r="AU143" s="448" t="str">
        <f aca="false">IF($G143=0,IF(AU$11=$H143,"◆",""),IF(AND(AU$11&gt;=$H143,AU$11&lt;=$I143),1,""))</f>
        <v/>
      </c>
      <c r="AV143" s="448" t="str">
        <f aca="false">IF($G143=0,IF(AV$11=$H143,"◆",""),IF(AND(AV$11&gt;=$H143,AV$11&lt;=$I143),1,""))</f>
        <v/>
      </c>
      <c r="AW143" s="448" t="str">
        <f aca="false">IF($G143=0,IF(AW$11=$H143,"◆",""),IF(AND(AW$11&gt;=$H143,AW$11&lt;=$I143),1,""))</f>
        <v/>
      </c>
      <c r="AX143" s="448" t="str">
        <f aca="false">IF($G143=0,IF(AX$11=$H143,"◆",""),IF(AND(AX$11&gt;=$H143,AX$11&lt;=$I143),1,""))</f>
        <v/>
      </c>
      <c r="AY143" s="448" t="str">
        <f aca="false">IF($G143=0,IF(AY$11=$H143,"◆",""),IF(AND(AY$11&gt;=$H143,AY$11&lt;=$I143),1,""))</f>
        <v/>
      </c>
      <c r="AZ143" s="448" t="str">
        <f aca="false">IF($G143=0,IF(AZ$11=$H143,"◆",""),IF(AND(AZ$11&gt;=$H143,AZ$11&lt;=$I143),1,""))</f>
        <v/>
      </c>
      <c r="BA143" s="448" t="str">
        <f aca="false">IF($G143=0,IF(BA$11=$H143,"◆",""),IF(AND(BA$11&gt;=$H143,BA$11&lt;=$I143),1,""))</f>
        <v/>
      </c>
      <c r="BB143" s="448" t="str">
        <f aca="false">IF($G143=0,IF(BB$11=$H143,"◆",""),IF(AND(BB$11&gt;=$H143,BB$11&lt;=$I143),1,""))</f>
        <v/>
      </c>
      <c r="BC143" s="448" t="str">
        <f aca="false">IF($G143=0,IF(BC$11=$H143,"◆",""),IF(AND(BC$11&gt;=$H143,BC$11&lt;=$I143),1,""))</f>
        <v/>
      </c>
      <c r="BD143" s="448" t="str">
        <f aca="false">IF($G143=0,IF(BD$11=$H143,"◆",""),IF(AND(BD$11&gt;=$H143,BD$11&lt;=$I143),1,""))</f>
        <v/>
      </c>
      <c r="BE143" s="448" t="str">
        <f aca="false">IF($G143=0,IF(BE$11=$H143,"◆",""),IF(AND(BE$11&gt;=$H143,BE$11&lt;=$I143),1,""))</f>
        <v/>
      </c>
      <c r="BF143" s="448" t="str">
        <f aca="false">IF($G143=0,IF(BF$11=$H143,"◆",""),IF(AND(BF$11&gt;=$H143,BF$11&lt;=$I143),1,""))</f>
        <v/>
      </c>
      <c r="BG143" s="448" t="str">
        <f aca="false">IF($G143=0,IF(BG$11=$H143,"◆",""),IF(AND(BG$11&gt;=$H143,BG$11&lt;=$I143),1,""))</f>
        <v/>
      </c>
      <c r="BH143" s="448" t="str">
        <f aca="false">IF($G143=0,IF(BH$11=$H143,"◆",""),IF(AND(BH$11&gt;=$H143,BH$11&lt;=$I143),1,""))</f>
        <v/>
      </c>
      <c r="BI143" s="448" t="str">
        <f aca="false">IF($G143=0,IF(BI$11=$H143,"◆",""),IF(AND(BI$11&gt;=$H143,BI$11&lt;=$I143),1,""))</f>
        <v/>
      </c>
      <c r="BJ143" s="448" t="str">
        <f aca="false">IF($G143=0,IF(BJ$11=$H143,"◆",""),IF(AND(BJ$11&gt;=$H143,BJ$11&lt;=$I143),1,""))</f>
        <v/>
      </c>
      <c r="BK143" s="448" t="str">
        <f aca="false">IF($G143=0,IF(BK$11=$H143,"◆",""),IF(AND(BK$11&gt;=$H143,BK$11&lt;=$I143),1,""))</f>
        <v/>
      </c>
      <c r="BL143" s="448" t="str">
        <f aca="false">IF($G143=0,IF(BL$11=$H143,"◆",""),IF(AND(BL$11&gt;=$H143,BL$11&lt;=$I143),1,""))</f>
        <v/>
      </c>
      <c r="BM143" s="448" t="str">
        <f aca="false">IF($G143=0,IF(BM$11=$H143,"◆",""),IF(AND(BM$11&gt;=$H143,BM$11&lt;=$I143),1,""))</f>
        <v/>
      </c>
      <c r="BN143" s="448" t="str">
        <f aca="false">IF($G143=0,IF(BN$11=$H143,"◆",""),IF(AND(BN$11&gt;=$H143,BN$11&lt;=$I143),1,""))</f>
        <v/>
      </c>
      <c r="BO143" s="448" t="str">
        <f aca="false">IF($G143=0,IF(BO$11=$H143,"◆",""),IF(AND(BO$11&gt;=$H143,BO$11&lt;=$I143),1,""))</f>
        <v/>
      </c>
      <c r="BP143" s="448" t="str">
        <f aca="false">IF($G143=0,IF(BP$11=$H143,"◆",""),IF(AND(BP$11&gt;=$H143,BP$11&lt;=$I143),1,""))</f>
        <v/>
      </c>
      <c r="BQ143" s="448" t="str">
        <f aca="false">IF($G143=0,IF(BQ$11=$H143,"◆",""),IF(AND(BQ$11&gt;=$H143,BQ$11&lt;=$I143),1,""))</f>
        <v/>
      </c>
      <c r="BR143" s="448" t="str">
        <f aca="false">IF($G143=0,IF(BR$11=$H143,"◆",""),IF(AND(BR$11&gt;=$H143,BR$11&lt;=$I143),1,""))</f>
        <v/>
      </c>
      <c r="BS143" s="448" t="str">
        <f aca="false">IF($G143=0,IF(BS$11=$H143,"◆",""),IF(AND(BS$11&gt;=$H143,BS$11&lt;=$I143),1,""))</f>
        <v/>
      </c>
      <c r="BT143" s="448" t="str">
        <f aca="false">IF($G143=0,IF(BT$11=$H143,"◆",""),IF(AND(BT$11&gt;=$H143,BT$11&lt;=$I143),1,""))</f>
        <v/>
      </c>
      <c r="BU143" s="448" t="str">
        <f aca="false">IF($G143=0,IF(BU$11=$H143,"◆",""),IF(AND(BU$11&gt;=$H143,BU$11&lt;=$I143),1,""))</f>
        <v/>
      </c>
      <c r="BV143" s="448" t="str">
        <f aca="false">IF($G143=0,IF(BV$11=$H143,"◆",""),IF(AND(BV$11&gt;=$H143,BV$11&lt;=$I143),1,""))</f>
        <v/>
      </c>
      <c r="BW143" s="448" t="str">
        <f aca="false">IF($G143=0,IF(BW$11=$H143,"◆",""),IF(AND(BW$11&gt;=$H143,BW$11&lt;=$I143),1,""))</f>
        <v/>
      </c>
      <c r="BX143" s="448" t="str">
        <f aca="false">IF($G143=0,IF(BX$11=$H143,"◆",""),IF(AND(BX$11&gt;=$H143,BX$11&lt;=$I143),1,""))</f>
        <v/>
      </c>
      <c r="BY143" s="448" t="str">
        <f aca="false">IF($G143=0,IF(BY$11=$H143,"◆",""),IF(AND(BY$11&gt;=$H143,BY$11&lt;=$I143),1,""))</f>
        <v/>
      </c>
      <c r="BZ143" s="448" t="str">
        <f aca="false">IF($G143=0,IF(BZ$11=$H143,"◆",""),IF(AND(BZ$11&gt;=$H143,BZ$11&lt;=$I143),1,""))</f>
        <v/>
      </c>
      <c r="CA143" s="448" t="str">
        <f aca="false">IF($G143=0,IF(CA$11=$H143,"◆",""),IF(AND(CA$11&gt;=$H143,CA$11&lt;=$I143),1,""))</f>
        <v/>
      </c>
      <c r="CB143" s="448" t="str">
        <f aca="false">IF($G143=0,IF(CB$11=$H143,"◆",""),IF(AND(CB$11&gt;=$H143,CB$11&lt;=$I143),1,""))</f>
        <v/>
      </c>
      <c r="CC143" s="448" t="str">
        <f aca="false">IF($G143=0,IF(CC$11=$H143,"◆",""),IF(AND(CC$11&gt;=$H143,CC$11&lt;=$I143),1,""))</f>
        <v/>
      </c>
      <c r="CD143" s="448" t="str">
        <f aca="false">IF($G143=0,IF(CD$11=$H143,"◆",""),IF(AND(CD$11&gt;=$H143,CD$11&lt;=$I143),1,""))</f>
        <v/>
      </c>
      <c r="CE143" s="448" t="str">
        <f aca="false">IF($G143=0,IF(CE$11=$H143,"◆",""),IF(AND(CE$11&gt;=$H143,CE$11&lt;=$I143),1,""))</f>
        <v/>
      </c>
      <c r="CF143" s="448" t="str">
        <f aca="false">IF($G143=0,IF(CF$11=$H143,"◆",""),IF(AND(CF$11&gt;=$H143,CF$11&lt;=$I143),1,""))</f>
        <v/>
      </c>
      <c r="CG143" s="448" t="str">
        <f aca="false">IF($G143=0,IF(CG$11=$H143,"◆",""),IF(AND(CG$11&gt;=$H143,CG$11&lt;=$I143),1,""))</f>
        <v/>
      </c>
      <c r="CH143" s="448" t="str">
        <f aca="false">IF($G143=0,IF(CH$11=$H143,"◆",""),IF(AND(CH$11&gt;=$H143,CH$11&lt;=$I143),1,""))</f>
        <v/>
      </c>
      <c r="CI143" s="448" t="str">
        <f aca="false">IF($G143=0,IF(CI$11=$H143,"◆",""),IF(AND(CI$11&gt;=$H143,CI$11&lt;=$I143),1,""))</f>
        <v/>
      </c>
      <c r="CJ143" s="448" t="str">
        <f aca="false">IF($G143=0,IF(CJ$11=$H143,"◆",""),IF(AND(CJ$11&gt;=$H143,CJ$11&lt;=$I143),1,""))</f>
        <v/>
      </c>
      <c r="CK143" s="448" t="str">
        <f aca="false">IF($G143=0,IF(CK$11=$H143,"◆",""),IF(AND(CK$11&gt;=$H143,CK$11&lt;=$I143),1,""))</f>
        <v/>
      </c>
      <c r="CL143" s="448" t="str">
        <f aca="false">IF($G143=0,IF(CL$11=$H143,"◆",""),IF(AND(CL$11&gt;=$H143,CL$11&lt;=$I143),1,""))</f>
        <v/>
      </c>
      <c r="CM143" s="448" t="str">
        <f aca="false">IF($G143=0,IF(CM$11=$H143,"◆",""),IF(AND(CM$11&gt;=$H143,CM$11&lt;=$I143),1,""))</f>
        <v/>
      </c>
      <c r="CN143" s="448" t="str">
        <f aca="false">IF($G143=0,IF(CN$11=$H143,"◆",""),IF(AND(CN$11&gt;=$H143,CN$11&lt;=$I143),1,""))</f>
        <v/>
      </c>
      <c r="CO143" s="448" t="str">
        <f aca="false">IF($G143=0,IF(CO$11=$H143,"◆",""),IF(AND(CO$11&gt;=$H143,CO$11&lt;=$I143),1,""))</f>
        <v/>
      </c>
      <c r="CP143" s="448" t="str">
        <f aca="false">IF($G143=0,IF(CP$11=$H143,"◆",""),IF(AND(CP$11&gt;=$H143,CP$11&lt;=$I143),1,""))</f>
        <v/>
      </c>
      <c r="CQ143" s="448" t="str">
        <f aca="false">IF($G143=0,IF(CQ$11=$H143,"◆",""),IF(AND(CQ$11&gt;=$H143,CQ$11&lt;=$I143),1,""))</f>
        <v/>
      </c>
      <c r="CR143" s="448" t="str">
        <f aca="false">IF($G143=0,IF(CR$11=$H143,"◆",""),IF(AND(CR$11&gt;=$H143,CR$11&lt;=$I143),1,""))</f>
        <v/>
      </c>
      <c r="CS143" s="448" t="str">
        <f aca="false">IF($G143=0,IF(CS$11=$H143,"◆",""),IF(AND(CS$11&gt;=$H143,CS$11&lt;=$I143),1,""))</f>
        <v/>
      </c>
      <c r="CT143" s="448" t="str">
        <f aca="false">IF($G143=0,IF(CT$11=$H143,"◆",""),IF(AND(CT$11&gt;=$H143,CT$11&lt;=$I143),1,""))</f>
        <v/>
      </c>
      <c r="CU143" s="448" t="str">
        <f aca="false">IF($G143=0,IF(CU$11=$H143,"◆",""),IF(AND(CU$11&gt;=$H143,CU$11&lt;=$I143),1,""))</f>
        <v/>
      </c>
      <c r="CV143" s="448" t="str">
        <f aca="false">IF($G143=0,IF(CV$11=$H143,"◆",""),IF(AND(CV$11&gt;=$H143,CV$11&lt;=$I143),1,""))</f>
        <v/>
      </c>
      <c r="CW143" s="448" t="str">
        <f aca="false">IF($G143=0,IF(CW$11=$H143,"◆",""),IF(AND(CW$11&gt;=$H143,CW$11&lt;=$I143),1,""))</f>
        <v/>
      </c>
      <c r="CX143" s="448" t="str">
        <f aca="false">IF($G143=0,IF(CX$11=$H143,"◆",""),IF(AND(CX$11&gt;=$H143,CX$11&lt;=$I143),1,""))</f>
        <v/>
      </c>
      <c r="CY143" s="448" t="str">
        <f aca="false">IF($G143=0,IF(CY$11=$H143,"◆",""),IF(AND(CY$11&gt;=$H143,CY$11&lt;=$I143),1,""))</f>
        <v/>
      </c>
      <c r="CZ143" s="448" t="str">
        <f aca="false">IF($G143=0,IF(CZ$11=$H143,"◆",""),IF(AND(CZ$11&gt;=$H143,CZ$11&lt;=$I143),1,""))</f>
        <v/>
      </c>
      <c r="DA143" s="448" t="str">
        <f aca="false">IF($G143=0,IF(DA$11=$H143,"◆",""),IF(AND(DA$11&gt;=$H143,DA$11&lt;=$I143),1,""))</f>
        <v/>
      </c>
      <c r="DB143" s="448" t="str">
        <f aca="false">IF($G143=0,IF(DB$11=$H143,"◆",""),IF(AND(DB$11&gt;=$H143,DB$11&lt;=$I143),1,""))</f>
        <v/>
      </c>
      <c r="DC143" s="448" t="str">
        <f aca="false">IF($G143=0,IF(DC$11=$H143,"◆",""),IF(AND(DC$11&gt;=$H143,DC$11&lt;=$I143),1,""))</f>
        <v/>
      </c>
      <c r="DD143" s="448" t="str">
        <f aca="false">IF($G143=0,IF(DD$11=$H143,"◆",""),IF(AND(DD$11&gt;=$H143,DD$11&lt;=$I143),1,""))</f>
        <v/>
      </c>
      <c r="DE143" s="448" t="str">
        <f aca="false">IF($G143=0,IF(DE$11=$H143,"◆",""),IF(AND(DE$11&gt;=$H143,DE$11&lt;=$I143),1,""))</f>
        <v/>
      </c>
      <c r="DF143" s="448" t="str">
        <f aca="false">IF($G143=0,IF(DF$11=$H143,"◆",""),IF(AND(DF$11&gt;=$H143,DF$11&lt;=$I143),1,""))</f>
        <v/>
      </c>
      <c r="DG143" s="448" t="str">
        <f aca="false">IF($G143=0,IF(DG$11=$H143,"◆",""),IF(AND(DG$11&gt;=$H143,DG$11&lt;=$I143),1,""))</f>
        <v/>
      </c>
      <c r="DH143" s="448" t="str">
        <f aca="false">IF($G143=0,IF(DH$11=$H143,"◆",""),IF(AND(DH$11&gt;=$H143,DH$11&lt;=$I143),1,""))</f>
        <v/>
      </c>
      <c r="DI143" s="448" t="str">
        <f aca="false">IF($G143=0,IF(DI$11=$H143,"◆",""),IF(AND(DI$11&gt;=$H143,DI$11&lt;=$I143),1,""))</f>
        <v/>
      </c>
      <c r="DJ143" s="448" t="str">
        <f aca="false">IF($G143=0,IF(DJ$11=$H143,"◆",""),IF(AND(DJ$11&gt;=$H143,DJ$11&lt;=$I143),1,""))</f>
        <v/>
      </c>
      <c r="DK143" s="448" t="str">
        <f aca="false">IF($G143=0,IF(DK$11=$H143,"◆",""),IF(AND(DK$11&gt;=$H143,DK$11&lt;=$I143),1,""))</f>
        <v/>
      </c>
      <c r="DL143" s="448" t="str">
        <f aca="false">IF($G143=0,IF(DL$11=$H143,"◆",""),IF(AND(DL$11&gt;=$H143,DL$11&lt;=$I143),1,""))</f>
        <v/>
      </c>
      <c r="DM143" s="448" t="str">
        <f aca="false">IF($G143=0,IF(DM$11=$H143,"◆",""),IF(AND(DM$11&gt;=$H143,DM$11&lt;=$I143),1,""))</f>
        <v/>
      </c>
      <c r="DN143" s="448" t="str">
        <f aca="false">IF($G143=0,IF(DN$11=$H143,"◆",""),IF(AND(DN$11&gt;=$H143,DN$11&lt;=$I143),1,""))</f>
        <v/>
      </c>
      <c r="DO143" s="448" t="str">
        <f aca="false">IF($G143=0,IF(DO$11=$H143,"◆",""),IF(AND(DO$11&gt;=$H143,DO$11&lt;=$I143),1,""))</f>
        <v/>
      </c>
      <c r="DP143" s="448" t="str">
        <f aca="false">IF($G143=0,IF(DP$11=$H143,"◆",""),IF(AND(DP$11&gt;=$H143,DP$11&lt;=$I143),1,""))</f>
        <v/>
      </c>
      <c r="DQ143" s="448" t="str">
        <f aca="false">IF($G143=0,IF(DQ$11=$H143,"◆",""),IF(AND(DQ$11&gt;=$H143,DQ$11&lt;=$I143),1,""))</f>
        <v/>
      </c>
      <c r="DR143" s="448" t="str">
        <f aca="false">IF($G143=0,IF(DR$11=$H143,"◆",""),IF(AND(DR$11&gt;=$H143,DR$11&lt;=$I143),1,""))</f>
        <v/>
      </c>
      <c r="DS143" s="448" t="str">
        <f aca="false">IF($G143=0,IF(DS$11=$H143,"◆",""),IF(AND(DS$11&gt;=$H143,DS$11&lt;=$I143),1,""))</f>
        <v/>
      </c>
      <c r="DT143" s="448" t="str">
        <f aca="false">IF($G143=0,IF(DT$11=$H143,"◆",""),IF(AND(DT$11&gt;=$H143,DT$11&lt;=$I143),1,""))</f>
        <v/>
      </c>
      <c r="DU143" s="448" t="str">
        <f aca="false">IF($G143=0,IF(DU$11=$H143,"◆",""),IF(AND(DU$11&gt;=$H143,DU$11&lt;=$I143),1,""))</f>
        <v/>
      </c>
      <c r="DV143" s="448" t="str">
        <f aca="false">IF($G143=0,IF(DV$11=$H143,"◆",""),IF(AND(DV$11&gt;=$H143,DV$11&lt;=$I143),1,""))</f>
        <v/>
      </c>
      <c r="DW143" s="448" t="str">
        <f aca="false">IF($G143=0,IF(DW$11=$H143,"◆",""),IF(AND(DW$11&gt;=$H143,DW$11&lt;=$I143),1,""))</f>
        <v/>
      </c>
      <c r="DX143" s="448" t="str">
        <f aca="false">IF($G143=0,IF(DX$11=$H143,"◆",""),IF(AND(DX$11&gt;=$H143,DX$11&lt;=$I143),1,""))</f>
        <v/>
      </c>
      <c r="DY143" s="448" t="str">
        <f aca="false">IF($G143=0,IF(DY$11=$H143,"◆",""),IF(AND(DY$11&gt;=$H143,DY$11&lt;=$I143),1,""))</f>
        <v/>
      </c>
      <c r="DZ143" s="448" t="str">
        <f aca="false">IF($G143=0,IF(DZ$11=$H143,"◆",""),IF(AND(DZ$11&gt;=$H143,DZ$11&lt;=$I143),1,""))</f>
        <v/>
      </c>
      <c r="EA143" s="448" t="str">
        <f aca="false">IF($G143=0,IF(EA$11=$H143,"◆",""),IF(AND(EA$11&gt;=$H143,EA$11&lt;=$I143),1,""))</f>
        <v/>
      </c>
      <c r="EB143" s="448" t="str">
        <f aca="false">IF($G143=0,IF(EB$11=$H143,"◆",""),IF(AND(EB$11&gt;=$H143,EB$11&lt;=$I143),1,""))</f>
        <v/>
      </c>
      <c r="EC143" s="448" t="str">
        <f aca="false">IF($G143=0,IF(EC$11=$H143,"◆",""),IF(AND(EC$11&gt;=$H143,EC$11&lt;=$I143),1,""))</f>
        <v/>
      </c>
      <c r="ED143" s="448" t="str">
        <f aca="false">IF($G143=0,IF(ED$11=$H143,"◆",""),IF(AND(ED$11&gt;=$H143,ED$11&lt;=$I143),1,""))</f>
        <v/>
      </c>
    </row>
    <row r="144" customFormat="false" ht="15" hidden="false" customHeight="true" outlineLevel="0" collapsed="false">
      <c r="A144" s="441" t="s">
        <v>2740</v>
      </c>
      <c r="B144" s="297" t="s">
        <v>2741</v>
      </c>
      <c r="C144" s="442" t="s">
        <v>2742</v>
      </c>
      <c r="D144" s="443" t="s">
        <v>2436</v>
      </c>
      <c r="E144" s="354" t="n">
        <f aca="false">1</f>
        <v>1</v>
      </c>
      <c r="F144" s="352" t="n">
        <v>10</v>
      </c>
      <c r="G144" s="352" t="n">
        <v>12</v>
      </c>
      <c r="H144" s="367" t="n">
        <f aca="false">MAX(1,ROUND(($E144-1)*$D$5,0)+1+$F144)</f>
        <v>11</v>
      </c>
      <c r="I144" s="367" t="n">
        <f aca="false">MAX($H144,$H144+$G144-1)</f>
        <v>22</v>
      </c>
      <c r="J144" s="444" t="n">
        <f aca="false">$D$4+($H144-1)*7</f>
        <v>46370</v>
      </c>
      <c r="K144" s="444" t="n">
        <f aca="false">$D$4+$I144*7-1</f>
        <v>46453</v>
      </c>
      <c r="L144" s="445" t="n">
        <f aca="false">ROUNDUP($H144/$D$5,0)</f>
        <v>3</v>
      </c>
      <c r="M144" s="446"/>
      <c r="N144" s="447" t="n">
        <v>0</v>
      </c>
      <c r="O144" s="448" t="str">
        <f aca="false">IF($G144=0,IF(O$11=$H144,"◆",""),IF(AND(O$11&gt;=$H144,O$11&lt;=$I144),1,""))</f>
        <v/>
      </c>
      <c r="P144" s="448" t="str">
        <f aca="false">IF($G144=0,IF(P$11=$H144,"◆",""),IF(AND(P$11&gt;=$H144,P$11&lt;=$I144),1,""))</f>
        <v/>
      </c>
      <c r="Q144" s="448" t="str">
        <f aca="false">IF($G144=0,IF(Q$11=$H144,"◆",""),IF(AND(Q$11&gt;=$H144,Q$11&lt;=$I144),1,""))</f>
        <v/>
      </c>
      <c r="R144" s="448" t="str">
        <f aca="false">IF($G144=0,IF(R$11=$H144,"◆",""),IF(AND(R$11&gt;=$H144,R$11&lt;=$I144),1,""))</f>
        <v/>
      </c>
      <c r="S144" s="448" t="str">
        <f aca="false">IF($G144=0,IF(S$11=$H144,"◆",""),IF(AND(S$11&gt;=$H144,S$11&lt;=$I144),1,""))</f>
        <v/>
      </c>
      <c r="T144" s="448" t="str">
        <f aca="false">IF($G144=0,IF(T$11=$H144,"◆",""),IF(AND(T$11&gt;=$H144,T$11&lt;=$I144),1,""))</f>
        <v/>
      </c>
      <c r="U144" s="448" t="str">
        <f aca="false">IF($G144=0,IF(U$11=$H144,"◆",""),IF(AND(U$11&gt;=$H144,U$11&lt;=$I144),1,""))</f>
        <v/>
      </c>
      <c r="V144" s="448" t="str">
        <f aca="false">IF($G144=0,IF(V$11=$H144,"◆",""),IF(AND(V$11&gt;=$H144,V$11&lt;=$I144),1,""))</f>
        <v/>
      </c>
      <c r="W144" s="448" t="str">
        <f aca="false">IF($G144=0,IF(W$11=$H144,"◆",""),IF(AND(W$11&gt;=$H144,W$11&lt;=$I144),1,""))</f>
        <v/>
      </c>
      <c r="X144" s="448" t="str">
        <f aca="false">IF($G144=0,IF(X$11=$H144,"◆",""),IF(AND(X$11&gt;=$H144,X$11&lt;=$I144),1,""))</f>
        <v/>
      </c>
      <c r="Y144" s="448" t="n">
        <f aca="false">IF($G144=0,IF(Y$11=$H144,"◆",""),IF(AND(Y$11&gt;=$H144,Y$11&lt;=$I144),1,""))</f>
        <v>1</v>
      </c>
      <c r="Z144" s="448" t="n">
        <f aca="false">IF($G144=0,IF(Z$11=$H144,"◆",""),IF(AND(Z$11&gt;=$H144,Z$11&lt;=$I144),1,""))</f>
        <v>1</v>
      </c>
      <c r="AA144" s="448" t="n">
        <f aca="false">IF($G144=0,IF(AA$11=$H144,"◆",""),IF(AND(AA$11&gt;=$H144,AA$11&lt;=$I144),1,""))</f>
        <v>1</v>
      </c>
      <c r="AB144" s="448" t="n">
        <f aca="false">IF($G144=0,IF(AB$11=$H144,"◆",""),IF(AND(AB$11&gt;=$H144,AB$11&lt;=$I144),1,""))</f>
        <v>1</v>
      </c>
      <c r="AC144" s="448" t="n">
        <f aca="false">IF($G144=0,IF(AC$11=$H144,"◆",""),IF(AND(AC$11&gt;=$H144,AC$11&lt;=$I144),1,""))</f>
        <v>1</v>
      </c>
      <c r="AD144" s="448" t="n">
        <f aca="false">IF($G144=0,IF(AD$11=$H144,"◆",""),IF(AND(AD$11&gt;=$H144,AD$11&lt;=$I144),1,""))</f>
        <v>1</v>
      </c>
      <c r="AE144" s="448" t="n">
        <f aca="false">IF($G144=0,IF(AE$11=$H144,"◆",""),IF(AND(AE$11&gt;=$H144,AE$11&lt;=$I144),1,""))</f>
        <v>1</v>
      </c>
      <c r="AF144" s="448" t="n">
        <f aca="false">IF($G144=0,IF(AF$11=$H144,"◆",""),IF(AND(AF$11&gt;=$H144,AF$11&lt;=$I144),1,""))</f>
        <v>1</v>
      </c>
      <c r="AG144" s="448" t="n">
        <f aca="false">IF($G144=0,IF(AG$11=$H144,"◆",""),IF(AND(AG$11&gt;=$H144,AG$11&lt;=$I144),1,""))</f>
        <v>1</v>
      </c>
      <c r="AH144" s="448" t="n">
        <f aca="false">IF($G144=0,IF(AH$11=$H144,"◆",""),IF(AND(AH$11&gt;=$H144,AH$11&lt;=$I144),1,""))</f>
        <v>1</v>
      </c>
      <c r="AI144" s="448" t="n">
        <f aca="false">IF($G144=0,IF(AI$11=$H144,"◆",""),IF(AND(AI$11&gt;=$H144,AI$11&lt;=$I144),1,""))</f>
        <v>1</v>
      </c>
      <c r="AJ144" s="448" t="n">
        <f aca="false">IF($G144=0,IF(AJ$11=$H144,"◆",""),IF(AND(AJ$11&gt;=$H144,AJ$11&lt;=$I144),1,""))</f>
        <v>1</v>
      </c>
      <c r="AK144" s="448" t="str">
        <f aca="false">IF($G144=0,IF(AK$11=$H144,"◆",""),IF(AND(AK$11&gt;=$H144,AK$11&lt;=$I144),1,""))</f>
        <v/>
      </c>
      <c r="AL144" s="448" t="str">
        <f aca="false">IF($G144=0,IF(AL$11=$H144,"◆",""),IF(AND(AL$11&gt;=$H144,AL$11&lt;=$I144),1,""))</f>
        <v/>
      </c>
      <c r="AM144" s="448" t="str">
        <f aca="false">IF($G144=0,IF(AM$11=$H144,"◆",""),IF(AND(AM$11&gt;=$H144,AM$11&lt;=$I144),1,""))</f>
        <v/>
      </c>
      <c r="AN144" s="448" t="str">
        <f aca="false">IF($G144=0,IF(AN$11=$H144,"◆",""),IF(AND(AN$11&gt;=$H144,AN$11&lt;=$I144),1,""))</f>
        <v/>
      </c>
      <c r="AO144" s="448" t="str">
        <f aca="false">IF($G144=0,IF(AO$11=$H144,"◆",""),IF(AND(AO$11&gt;=$H144,AO$11&lt;=$I144),1,""))</f>
        <v/>
      </c>
      <c r="AP144" s="448" t="str">
        <f aca="false">IF($G144=0,IF(AP$11=$H144,"◆",""),IF(AND(AP$11&gt;=$H144,AP$11&lt;=$I144),1,""))</f>
        <v/>
      </c>
      <c r="AQ144" s="448" t="str">
        <f aca="false">IF($G144=0,IF(AQ$11=$H144,"◆",""),IF(AND(AQ$11&gt;=$H144,AQ$11&lt;=$I144),1,""))</f>
        <v/>
      </c>
      <c r="AR144" s="448" t="str">
        <f aca="false">IF($G144=0,IF(AR$11=$H144,"◆",""),IF(AND(AR$11&gt;=$H144,AR$11&lt;=$I144),1,""))</f>
        <v/>
      </c>
      <c r="AS144" s="448" t="str">
        <f aca="false">IF($G144=0,IF(AS$11=$H144,"◆",""),IF(AND(AS$11&gt;=$H144,AS$11&lt;=$I144),1,""))</f>
        <v/>
      </c>
      <c r="AT144" s="448" t="str">
        <f aca="false">IF($G144=0,IF(AT$11=$H144,"◆",""),IF(AND(AT$11&gt;=$H144,AT$11&lt;=$I144),1,""))</f>
        <v/>
      </c>
      <c r="AU144" s="448" t="str">
        <f aca="false">IF($G144=0,IF(AU$11=$H144,"◆",""),IF(AND(AU$11&gt;=$H144,AU$11&lt;=$I144),1,""))</f>
        <v/>
      </c>
      <c r="AV144" s="448" t="str">
        <f aca="false">IF($G144=0,IF(AV$11=$H144,"◆",""),IF(AND(AV$11&gt;=$H144,AV$11&lt;=$I144),1,""))</f>
        <v/>
      </c>
      <c r="AW144" s="448" t="str">
        <f aca="false">IF($G144=0,IF(AW$11=$H144,"◆",""),IF(AND(AW$11&gt;=$H144,AW$11&lt;=$I144),1,""))</f>
        <v/>
      </c>
      <c r="AX144" s="448" t="str">
        <f aca="false">IF($G144=0,IF(AX$11=$H144,"◆",""),IF(AND(AX$11&gt;=$H144,AX$11&lt;=$I144),1,""))</f>
        <v/>
      </c>
      <c r="AY144" s="448" t="str">
        <f aca="false">IF($G144=0,IF(AY$11=$H144,"◆",""),IF(AND(AY$11&gt;=$H144,AY$11&lt;=$I144),1,""))</f>
        <v/>
      </c>
      <c r="AZ144" s="448" t="str">
        <f aca="false">IF($G144=0,IF(AZ$11=$H144,"◆",""),IF(AND(AZ$11&gt;=$H144,AZ$11&lt;=$I144),1,""))</f>
        <v/>
      </c>
      <c r="BA144" s="448" t="str">
        <f aca="false">IF($G144=0,IF(BA$11=$H144,"◆",""),IF(AND(BA$11&gt;=$H144,BA$11&lt;=$I144),1,""))</f>
        <v/>
      </c>
      <c r="BB144" s="448" t="str">
        <f aca="false">IF($G144=0,IF(BB$11=$H144,"◆",""),IF(AND(BB$11&gt;=$H144,BB$11&lt;=$I144),1,""))</f>
        <v/>
      </c>
      <c r="BC144" s="448" t="str">
        <f aca="false">IF($G144=0,IF(BC$11=$H144,"◆",""),IF(AND(BC$11&gt;=$H144,BC$11&lt;=$I144),1,""))</f>
        <v/>
      </c>
      <c r="BD144" s="448" t="str">
        <f aca="false">IF($G144=0,IF(BD$11=$H144,"◆",""),IF(AND(BD$11&gt;=$H144,BD$11&lt;=$I144),1,""))</f>
        <v/>
      </c>
      <c r="BE144" s="448" t="str">
        <f aca="false">IF($G144=0,IF(BE$11=$H144,"◆",""),IF(AND(BE$11&gt;=$H144,BE$11&lt;=$I144),1,""))</f>
        <v/>
      </c>
      <c r="BF144" s="448" t="str">
        <f aca="false">IF($G144=0,IF(BF$11=$H144,"◆",""),IF(AND(BF$11&gt;=$H144,BF$11&lt;=$I144),1,""))</f>
        <v/>
      </c>
      <c r="BG144" s="448" t="str">
        <f aca="false">IF($G144=0,IF(BG$11=$H144,"◆",""),IF(AND(BG$11&gt;=$H144,BG$11&lt;=$I144),1,""))</f>
        <v/>
      </c>
      <c r="BH144" s="448" t="str">
        <f aca="false">IF($G144=0,IF(BH$11=$H144,"◆",""),IF(AND(BH$11&gt;=$H144,BH$11&lt;=$I144),1,""))</f>
        <v/>
      </c>
      <c r="BI144" s="448" t="str">
        <f aca="false">IF($G144=0,IF(BI$11=$H144,"◆",""),IF(AND(BI$11&gt;=$H144,BI$11&lt;=$I144),1,""))</f>
        <v/>
      </c>
      <c r="BJ144" s="448" t="str">
        <f aca="false">IF($G144=0,IF(BJ$11=$H144,"◆",""),IF(AND(BJ$11&gt;=$H144,BJ$11&lt;=$I144),1,""))</f>
        <v/>
      </c>
      <c r="BK144" s="448" t="str">
        <f aca="false">IF($G144=0,IF(BK$11=$H144,"◆",""),IF(AND(BK$11&gt;=$H144,BK$11&lt;=$I144),1,""))</f>
        <v/>
      </c>
      <c r="BL144" s="448" t="str">
        <f aca="false">IF($G144=0,IF(BL$11=$H144,"◆",""),IF(AND(BL$11&gt;=$H144,BL$11&lt;=$I144),1,""))</f>
        <v/>
      </c>
      <c r="BM144" s="448" t="str">
        <f aca="false">IF($G144=0,IF(BM$11=$H144,"◆",""),IF(AND(BM$11&gt;=$H144,BM$11&lt;=$I144),1,""))</f>
        <v/>
      </c>
      <c r="BN144" s="448" t="str">
        <f aca="false">IF($G144=0,IF(BN$11=$H144,"◆",""),IF(AND(BN$11&gt;=$H144,BN$11&lt;=$I144),1,""))</f>
        <v/>
      </c>
      <c r="BO144" s="448" t="str">
        <f aca="false">IF($G144=0,IF(BO$11=$H144,"◆",""),IF(AND(BO$11&gt;=$H144,BO$11&lt;=$I144),1,""))</f>
        <v/>
      </c>
      <c r="BP144" s="448" t="str">
        <f aca="false">IF($G144=0,IF(BP$11=$H144,"◆",""),IF(AND(BP$11&gt;=$H144,BP$11&lt;=$I144),1,""))</f>
        <v/>
      </c>
      <c r="BQ144" s="448" t="str">
        <f aca="false">IF($G144=0,IF(BQ$11=$H144,"◆",""),IF(AND(BQ$11&gt;=$H144,BQ$11&lt;=$I144),1,""))</f>
        <v/>
      </c>
      <c r="BR144" s="448" t="str">
        <f aca="false">IF($G144=0,IF(BR$11=$H144,"◆",""),IF(AND(BR$11&gt;=$H144,BR$11&lt;=$I144),1,""))</f>
        <v/>
      </c>
      <c r="BS144" s="448" t="str">
        <f aca="false">IF($G144=0,IF(BS$11=$H144,"◆",""),IF(AND(BS$11&gt;=$H144,BS$11&lt;=$I144),1,""))</f>
        <v/>
      </c>
      <c r="BT144" s="448" t="str">
        <f aca="false">IF($G144=0,IF(BT$11=$H144,"◆",""),IF(AND(BT$11&gt;=$H144,BT$11&lt;=$I144),1,""))</f>
        <v/>
      </c>
      <c r="BU144" s="448" t="str">
        <f aca="false">IF($G144=0,IF(BU$11=$H144,"◆",""),IF(AND(BU$11&gt;=$H144,BU$11&lt;=$I144),1,""))</f>
        <v/>
      </c>
      <c r="BV144" s="448" t="str">
        <f aca="false">IF($G144=0,IF(BV$11=$H144,"◆",""),IF(AND(BV$11&gt;=$H144,BV$11&lt;=$I144),1,""))</f>
        <v/>
      </c>
      <c r="BW144" s="448" t="str">
        <f aca="false">IF($G144=0,IF(BW$11=$H144,"◆",""),IF(AND(BW$11&gt;=$H144,BW$11&lt;=$I144),1,""))</f>
        <v/>
      </c>
      <c r="BX144" s="448" t="str">
        <f aca="false">IF($G144=0,IF(BX$11=$H144,"◆",""),IF(AND(BX$11&gt;=$H144,BX$11&lt;=$I144),1,""))</f>
        <v/>
      </c>
      <c r="BY144" s="448" t="str">
        <f aca="false">IF($G144=0,IF(BY$11=$H144,"◆",""),IF(AND(BY$11&gt;=$H144,BY$11&lt;=$I144),1,""))</f>
        <v/>
      </c>
      <c r="BZ144" s="448" t="str">
        <f aca="false">IF($G144=0,IF(BZ$11=$H144,"◆",""),IF(AND(BZ$11&gt;=$H144,BZ$11&lt;=$I144),1,""))</f>
        <v/>
      </c>
      <c r="CA144" s="448" t="str">
        <f aca="false">IF($G144=0,IF(CA$11=$H144,"◆",""),IF(AND(CA$11&gt;=$H144,CA$11&lt;=$I144),1,""))</f>
        <v/>
      </c>
      <c r="CB144" s="448" t="str">
        <f aca="false">IF($G144=0,IF(CB$11=$H144,"◆",""),IF(AND(CB$11&gt;=$H144,CB$11&lt;=$I144),1,""))</f>
        <v/>
      </c>
      <c r="CC144" s="448" t="str">
        <f aca="false">IF($G144=0,IF(CC$11=$H144,"◆",""),IF(AND(CC$11&gt;=$H144,CC$11&lt;=$I144),1,""))</f>
        <v/>
      </c>
      <c r="CD144" s="448" t="str">
        <f aca="false">IF($G144=0,IF(CD$11=$H144,"◆",""),IF(AND(CD$11&gt;=$H144,CD$11&lt;=$I144),1,""))</f>
        <v/>
      </c>
      <c r="CE144" s="448" t="str">
        <f aca="false">IF($G144=0,IF(CE$11=$H144,"◆",""),IF(AND(CE$11&gt;=$H144,CE$11&lt;=$I144),1,""))</f>
        <v/>
      </c>
      <c r="CF144" s="448" t="str">
        <f aca="false">IF($G144=0,IF(CF$11=$H144,"◆",""),IF(AND(CF$11&gt;=$H144,CF$11&lt;=$I144),1,""))</f>
        <v/>
      </c>
      <c r="CG144" s="448" t="str">
        <f aca="false">IF($G144=0,IF(CG$11=$H144,"◆",""),IF(AND(CG$11&gt;=$H144,CG$11&lt;=$I144),1,""))</f>
        <v/>
      </c>
      <c r="CH144" s="448" t="str">
        <f aca="false">IF($G144=0,IF(CH$11=$H144,"◆",""),IF(AND(CH$11&gt;=$H144,CH$11&lt;=$I144),1,""))</f>
        <v/>
      </c>
      <c r="CI144" s="448" t="str">
        <f aca="false">IF($G144=0,IF(CI$11=$H144,"◆",""),IF(AND(CI$11&gt;=$H144,CI$11&lt;=$I144),1,""))</f>
        <v/>
      </c>
      <c r="CJ144" s="448" t="str">
        <f aca="false">IF($G144=0,IF(CJ$11=$H144,"◆",""),IF(AND(CJ$11&gt;=$H144,CJ$11&lt;=$I144),1,""))</f>
        <v/>
      </c>
      <c r="CK144" s="448" t="str">
        <f aca="false">IF($G144=0,IF(CK$11=$H144,"◆",""),IF(AND(CK$11&gt;=$H144,CK$11&lt;=$I144),1,""))</f>
        <v/>
      </c>
      <c r="CL144" s="448" t="str">
        <f aca="false">IF($G144=0,IF(CL$11=$H144,"◆",""),IF(AND(CL$11&gt;=$H144,CL$11&lt;=$I144),1,""))</f>
        <v/>
      </c>
      <c r="CM144" s="448" t="str">
        <f aca="false">IF($G144=0,IF(CM$11=$H144,"◆",""),IF(AND(CM$11&gt;=$H144,CM$11&lt;=$I144),1,""))</f>
        <v/>
      </c>
      <c r="CN144" s="448" t="str">
        <f aca="false">IF($G144=0,IF(CN$11=$H144,"◆",""),IF(AND(CN$11&gt;=$H144,CN$11&lt;=$I144),1,""))</f>
        <v/>
      </c>
      <c r="CO144" s="448" t="str">
        <f aca="false">IF($G144=0,IF(CO$11=$H144,"◆",""),IF(AND(CO$11&gt;=$H144,CO$11&lt;=$I144),1,""))</f>
        <v/>
      </c>
      <c r="CP144" s="448" t="str">
        <f aca="false">IF($G144=0,IF(CP$11=$H144,"◆",""),IF(AND(CP$11&gt;=$H144,CP$11&lt;=$I144),1,""))</f>
        <v/>
      </c>
      <c r="CQ144" s="448" t="str">
        <f aca="false">IF($G144=0,IF(CQ$11=$H144,"◆",""),IF(AND(CQ$11&gt;=$H144,CQ$11&lt;=$I144),1,""))</f>
        <v/>
      </c>
      <c r="CR144" s="448" t="str">
        <f aca="false">IF($G144=0,IF(CR$11=$H144,"◆",""),IF(AND(CR$11&gt;=$H144,CR$11&lt;=$I144),1,""))</f>
        <v/>
      </c>
      <c r="CS144" s="448" t="str">
        <f aca="false">IF($G144=0,IF(CS$11=$H144,"◆",""),IF(AND(CS$11&gt;=$H144,CS$11&lt;=$I144),1,""))</f>
        <v/>
      </c>
      <c r="CT144" s="448" t="str">
        <f aca="false">IF($G144=0,IF(CT$11=$H144,"◆",""),IF(AND(CT$11&gt;=$H144,CT$11&lt;=$I144),1,""))</f>
        <v/>
      </c>
      <c r="CU144" s="448" t="str">
        <f aca="false">IF($G144=0,IF(CU$11=$H144,"◆",""),IF(AND(CU$11&gt;=$H144,CU$11&lt;=$I144),1,""))</f>
        <v/>
      </c>
      <c r="CV144" s="448" t="str">
        <f aca="false">IF($G144=0,IF(CV$11=$H144,"◆",""),IF(AND(CV$11&gt;=$H144,CV$11&lt;=$I144),1,""))</f>
        <v/>
      </c>
      <c r="CW144" s="448" t="str">
        <f aca="false">IF($G144=0,IF(CW$11=$H144,"◆",""),IF(AND(CW$11&gt;=$H144,CW$11&lt;=$I144),1,""))</f>
        <v/>
      </c>
      <c r="CX144" s="448" t="str">
        <f aca="false">IF($G144=0,IF(CX$11=$H144,"◆",""),IF(AND(CX$11&gt;=$H144,CX$11&lt;=$I144),1,""))</f>
        <v/>
      </c>
      <c r="CY144" s="448" t="str">
        <f aca="false">IF($G144=0,IF(CY$11=$H144,"◆",""),IF(AND(CY$11&gt;=$H144,CY$11&lt;=$I144),1,""))</f>
        <v/>
      </c>
      <c r="CZ144" s="448" t="str">
        <f aca="false">IF($G144=0,IF(CZ$11=$H144,"◆",""),IF(AND(CZ$11&gt;=$H144,CZ$11&lt;=$I144),1,""))</f>
        <v/>
      </c>
      <c r="DA144" s="448" t="str">
        <f aca="false">IF($G144=0,IF(DA$11=$H144,"◆",""),IF(AND(DA$11&gt;=$H144,DA$11&lt;=$I144),1,""))</f>
        <v/>
      </c>
      <c r="DB144" s="448" t="str">
        <f aca="false">IF($G144=0,IF(DB$11=$H144,"◆",""),IF(AND(DB$11&gt;=$H144,DB$11&lt;=$I144),1,""))</f>
        <v/>
      </c>
      <c r="DC144" s="448" t="str">
        <f aca="false">IF($G144=0,IF(DC$11=$H144,"◆",""),IF(AND(DC$11&gt;=$H144,DC$11&lt;=$I144),1,""))</f>
        <v/>
      </c>
      <c r="DD144" s="448" t="str">
        <f aca="false">IF($G144=0,IF(DD$11=$H144,"◆",""),IF(AND(DD$11&gt;=$H144,DD$11&lt;=$I144),1,""))</f>
        <v/>
      </c>
      <c r="DE144" s="448" t="str">
        <f aca="false">IF($G144=0,IF(DE$11=$H144,"◆",""),IF(AND(DE$11&gt;=$H144,DE$11&lt;=$I144),1,""))</f>
        <v/>
      </c>
      <c r="DF144" s="448" t="str">
        <f aca="false">IF($G144=0,IF(DF$11=$H144,"◆",""),IF(AND(DF$11&gt;=$H144,DF$11&lt;=$I144),1,""))</f>
        <v/>
      </c>
      <c r="DG144" s="448" t="str">
        <f aca="false">IF($G144=0,IF(DG$11=$H144,"◆",""),IF(AND(DG$11&gt;=$H144,DG$11&lt;=$I144),1,""))</f>
        <v/>
      </c>
      <c r="DH144" s="448" t="str">
        <f aca="false">IF($G144=0,IF(DH$11=$H144,"◆",""),IF(AND(DH$11&gt;=$H144,DH$11&lt;=$I144),1,""))</f>
        <v/>
      </c>
      <c r="DI144" s="448" t="str">
        <f aca="false">IF($G144=0,IF(DI$11=$H144,"◆",""),IF(AND(DI$11&gt;=$H144,DI$11&lt;=$I144),1,""))</f>
        <v/>
      </c>
      <c r="DJ144" s="448" t="str">
        <f aca="false">IF($G144=0,IF(DJ$11=$H144,"◆",""),IF(AND(DJ$11&gt;=$H144,DJ$11&lt;=$I144),1,""))</f>
        <v/>
      </c>
      <c r="DK144" s="448" t="str">
        <f aca="false">IF($G144=0,IF(DK$11=$H144,"◆",""),IF(AND(DK$11&gt;=$H144,DK$11&lt;=$I144),1,""))</f>
        <v/>
      </c>
      <c r="DL144" s="448" t="str">
        <f aca="false">IF($G144=0,IF(DL$11=$H144,"◆",""),IF(AND(DL$11&gt;=$H144,DL$11&lt;=$I144),1,""))</f>
        <v/>
      </c>
      <c r="DM144" s="448" t="str">
        <f aca="false">IF($G144=0,IF(DM$11=$H144,"◆",""),IF(AND(DM$11&gt;=$H144,DM$11&lt;=$I144),1,""))</f>
        <v/>
      </c>
      <c r="DN144" s="448" t="str">
        <f aca="false">IF($G144=0,IF(DN$11=$H144,"◆",""),IF(AND(DN$11&gt;=$H144,DN$11&lt;=$I144),1,""))</f>
        <v/>
      </c>
      <c r="DO144" s="448" t="str">
        <f aca="false">IF($G144=0,IF(DO$11=$H144,"◆",""),IF(AND(DO$11&gt;=$H144,DO$11&lt;=$I144),1,""))</f>
        <v/>
      </c>
      <c r="DP144" s="448" t="str">
        <f aca="false">IF($G144=0,IF(DP$11=$H144,"◆",""),IF(AND(DP$11&gt;=$H144,DP$11&lt;=$I144),1,""))</f>
        <v/>
      </c>
      <c r="DQ144" s="448" t="str">
        <f aca="false">IF($G144=0,IF(DQ$11=$H144,"◆",""),IF(AND(DQ$11&gt;=$H144,DQ$11&lt;=$I144),1,""))</f>
        <v/>
      </c>
      <c r="DR144" s="448" t="str">
        <f aca="false">IF($G144=0,IF(DR$11=$H144,"◆",""),IF(AND(DR$11&gt;=$H144,DR$11&lt;=$I144),1,""))</f>
        <v/>
      </c>
      <c r="DS144" s="448" t="str">
        <f aca="false">IF($G144=0,IF(DS$11=$H144,"◆",""),IF(AND(DS$11&gt;=$H144,DS$11&lt;=$I144),1,""))</f>
        <v/>
      </c>
      <c r="DT144" s="448" t="str">
        <f aca="false">IF($G144=0,IF(DT$11=$H144,"◆",""),IF(AND(DT$11&gt;=$H144,DT$11&lt;=$I144),1,""))</f>
        <v/>
      </c>
      <c r="DU144" s="448" t="str">
        <f aca="false">IF($G144=0,IF(DU$11=$H144,"◆",""),IF(AND(DU$11&gt;=$H144,DU$11&lt;=$I144),1,""))</f>
        <v/>
      </c>
      <c r="DV144" s="448" t="str">
        <f aca="false">IF($G144=0,IF(DV$11=$H144,"◆",""),IF(AND(DV$11&gt;=$H144,DV$11&lt;=$I144),1,""))</f>
        <v/>
      </c>
      <c r="DW144" s="448" t="str">
        <f aca="false">IF($G144=0,IF(DW$11=$H144,"◆",""),IF(AND(DW$11&gt;=$H144,DW$11&lt;=$I144),1,""))</f>
        <v/>
      </c>
      <c r="DX144" s="448" t="str">
        <f aca="false">IF($G144=0,IF(DX$11=$H144,"◆",""),IF(AND(DX$11&gt;=$H144,DX$11&lt;=$I144),1,""))</f>
        <v/>
      </c>
      <c r="DY144" s="448" t="str">
        <f aca="false">IF($G144=0,IF(DY$11=$H144,"◆",""),IF(AND(DY$11&gt;=$H144,DY$11&lt;=$I144),1,""))</f>
        <v/>
      </c>
      <c r="DZ144" s="448" t="str">
        <f aca="false">IF($G144=0,IF(DZ$11=$H144,"◆",""),IF(AND(DZ$11&gt;=$H144,DZ$11&lt;=$I144),1,""))</f>
        <v/>
      </c>
      <c r="EA144" s="448" t="str">
        <f aca="false">IF($G144=0,IF(EA$11=$H144,"◆",""),IF(AND(EA$11&gt;=$H144,EA$11&lt;=$I144),1,""))</f>
        <v/>
      </c>
      <c r="EB144" s="448" t="str">
        <f aca="false">IF($G144=0,IF(EB$11=$H144,"◆",""),IF(AND(EB$11&gt;=$H144,EB$11&lt;=$I144),1,""))</f>
        <v/>
      </c>
      <c r="EC144" s="448" t="str">
        <f aca="false">IF($G144=0,IF(EC$11=$H144,"◆",""),IF(AND(EC$11&gt;=$H144,EC$11&lt;=$I144),1,""))</f>
        <v/>
      </c>
      <c r="ED144" s="448" t="str">
        <f aca="false">IF($G144=0,IF(ED$11=$H144,"◆",""),IF(AND(ED$11&gt;=$H144,ED$11&lt;=$I144),1,""))</f>
        <v/>
      </c>
    </row>
    <row r="145" customFormat="false" ht="15" hidden="false" customHeight="true" outlineLevel="0" collapsed="false">
      <c r="A145" s="441" t="s">
        <v>2743</v>
      </c>
      <c r="B145" s="297" t="s">
        <v>2744</v>
      </c>
      <c r="C145" s="442" t="s">
        <v>2742</v>
      </c>
      <c r="D145" s="443" t="s">
        <v>2634</v>
      </c>
      <c r="E145" s="354" t="n">
        <f aca="false">FC_SUPUESTOS!$C$40</f>
        <v>10</v>
      </c>
      <c r="F145" s="352" t="n">
        <v>-12</v>
      </c>
      <c r="G145" s="352" t="n">
        <v>14</v>
      </c>
      <c r="H145" s="367" t="n">
        <f aca="false">MAX(1,ROUND(($E145-1)*$D$5,0)+1+$F145)</f>
        <v>28</v>
      </c>
      <c r="I145" s="367" t="n">
        <f aca="false">MAX($H145,$H145+$G145-1)</f>
        <v>41</v>
      </c>
      <c r="J145" s="444" t="n">
        <f aca="false">$D$4+($H145-1)*7</f>
        <v>46489</v>
      </c>
      <c r="K145" s="444" t="n">
        <f aca="false">$D$4+$I145*7-1</f>
        <v>46586</v>
      </c>
      <c r="L145" s="445" t="n">
        <f aca="false">ROUNDUP($H145/$D$5,0)</f>
        <v>7</v>
      </c>
      <c r="M145" s="446"/>
      <c r="N145" s="447" t="n">
        <v>0</v>
      </c>
      <c r="O145" s="448" t="str">
        <f aca="false">IF($G145=0,IF(O$11=$H145,"◆",""),IF(AND(O$11&gt;=$H145,O$11&lt;=$I145),1,""))</f>
        <v/>
      </c>
      <c r="P145" s="448" t="str">
        <f aca="false">IF($G145=0,IF(P$11=$H145,"◆",""),IF(AND(P$11&gt;=$H145,P$11&lt;=$I145),1,""))</f>
        <v/>
      </c>
      <c r="Q145" s="448" t="str">
        <f aca="false">IF($G145=0,IF(Q$11=$H145,"◆",""),IF(AND(Q$11&gt;=$H145,Q$11&lt;=$I145),1,""))</f>
        <v/>
      </c>
      <c r="R145" s="448" t="str">
        <f aca="false">IF($G145=0,IF(R$11=$H145,"◆",""),IF(AND(R$11&gt;=$H145,R$11&lt;=$I145),1,""))</f>
        <v/>
      </c>
      <c r="S145" s="448" t="str">
        <f aca="false">IF($G145=0,IF(S$11=$H145,"◆",""),IF(AND(S$11&gt;=$H145,S$11&lt;=$I145),1,""))</f>
        <v/>
      </c>
      <c r="T145" s="448" t="str">
        <f aca="false">IF($G145=0,IF(T$11=$H145,"◆",""),IF(AND(T$11&gt;=$H145,T$11&lt;=$I145),1,""))</f>
        <v/>
      </c>
      <c r="U145" s="448" t="str">
        <f aca="false">IF($G145=0,IF(U$11=$H145,"◆",""),IF(AND(U$11&gt;=$H145,U$11&lt;=$I145),1,""))</f>
        <v/>
      </c>
      <c r="V145" s="448" t="str">
        <f aca="false">IF($G145=0,IF(V$11=$H145,"◆",""),IF(AND(V$11&gt;=$H145,V$11&lt;=$I145),1,""))</f>
        <v/>
      </c>
      <c r="W145" s="448" t="str">
        <f aca="false">IF($G145=0,IF(W$11=$H145,"◆",""),IF(AND(W$11&gt;=$H145,W$11&lt;=$I145),1,""))</f>
        <v/>
      </c>
      <c r="X145" s="448" t="str">
        <f aca="false">IF($G145=0,IF(X$11=$H145,"◆",""),IF(AND(X$11&gt;=$H145,X$11&lt;=$I145),1,""))</f>
        <v/>
      </c>
      <c r="Y145" s="448" t="str">
        <f aca="false">IF($G145=0,IF(Y$11=$H145,"◆",""),IF(AND(Y$11&gt;=$H145,Y$11&lt;=$I145),1,""))</f>
        <v/>
      </c>
      <c r="Z145" s="448" t="str">
        <f aca="false">IF($G145=0,IF(Z$11=$H145,"◆",""),IF(AND(Z$11&gt;=$H145,Z$11&lt;=$I145),1,""))</f>
        <v/>
      </c>
      <c r="AA145" s="448" t="str">
        <f aca="false">IF($G145=0,IF(AA$11=$H145,"◆",""),IF(AND(AA$11&gt;=$H145,AA$11&lt;=$I145),1,""))</f>
        <v/>
      </c>
      <c r="AB145" s="448" t="str">
        <f aca="false">IF($G145=0,IF(AB$11=$H145,"◆",""),IF(AND(AB$11&gt;=$H145,AB$11&lt;=$I145),1,""))</f>
        <v/>
      </c>
      <c r="AC145" s="448" t="str">
        <f aca="false">IF($G145=0,IF(AC$11=$H145,"◆",""),IF(AND(AC$11&gt;=$H145,AC$11&lt;=$I145),1,""))</f>
        <v/>
      </c>
      <c r="AD145" s="448" t="str">
        <f aca="false">IF($G145=0,IF(AD$11=$H145,"◆",""),IF(AND(AD$11&gt;=$H145,AD$11&lt;=$I145),1,""))</f>
        <v/>
      </c>
      <c r="AE145" s="448" t="str">
        <f aca="false">IF($G145=0,IF(AE$11=$H145,"◆",""),IF(AND(AE$11&gt;=$H145,AE$11&lt;=$I145),1,""))</f>
        <v/>
      </c>
      <c r="AF145" s="448" t="str">
        <f aca="false">IF($G145=0,IF(AF$11=$H145,"◆",""),IF(AND(AF$11&gt;=$H145,AF$11&lt;=$I145),1,""))</f>
        <v/>
      </c>
      <c r="AG145" s="448" t="str">
        <f aca="false">IF($G145=0,IF(AG$11=$H145,"◆",""),IF(AND(AG$11&gt;=$H145,AG$11&lt;=$I145),1,""))</f>
        <v/>
      </c>
      <c r="AH145" s="448" t="str">
        <f aca="false">IF($G145=0,IF(AH$11=$H145,"◆",""),IF(AND(AH$11&gt;=$H145,AH$11&lt;=$I145),1,""))</f>
        <v/>
      </c>
      <c r="AI145" s="448" t="str">
        <f aca="false">IF($G145=0,IF(AI$11=$H145,"◆",""),IF(AND(AI$11&gt;=$H145,AI$11&lt;=$I145),1,""))</f>
        <v/>
      </c>
      <c r="AJ145" s="448" t="str">
        <f aca="false">IF($G145=0,IF(AJ$11=$H145,"◆",""),IF(AND(AJ$11&gt;=$H145,AJ$11&lt;=$I145),1,""))</f>
        <v/>
      </c>
      <c r="AK145" s="448" t="str">
        <f aca="false">IF($G145=0,IF(AK$11=$H145,"◆",""),IF(AND(AK$11&gt;=$H145,AK$11&lt;=$I145),1,""))</f>
        <v/>
      </c>
      <c r="AL145" s="448" t="str">
        <f aca="false">IF($G145=0,IF(AL$11=$H145,"◆",""),IF(AND(AL$11&gt;=$H145,AL$11&lt;=$I145),1,""))</f>
        <v/>
      </c>
      <c r="AM145" s="448" t="str">
        <f aca="false">IF($G145=0,IF(AM$11=$H145,"◆",""),IF(AND(AM$11&gt;=$H145,AM$11&lt;=$I145),1,""))</f>
        <v/>
      </c>
      <c r="AN145" s="448" t="str">
        <f aca="false">IF($G145=0,IF(AN$11=$H145,"◆",""),IF(AND(AN$11&gt;=$H145,AN$11&lt;=$I145),1,""))</f>
        <v/>
      </c>
      <c r="AO145" s="448" t="str">
        <f aca="false">IF($G145=0,IF(AO$11=$H145,"◆",""),IF(AND(AO$11&gt;=$H145,AO$11&lt;=$I145),1,""))</f>
        <v/>
      </c>
      <c r="AP145" s="448" t="n">
        <f aca="false">IF($G145=0,IF(AP$11=$H145,"◆",""),IF(AND(AP$11&gt;=$H145,AP$11&lt;=$I145),1,""))</f>
        <v>1</v>
      </c>
      <c r="AQ145" s="448" t="n">
        <f aca="false">IF($G145=0,IF(AQ$11=$H145,"◆",""),IF(AND(AQ$11&gt;=$H145,AQ$11&lt;=$I145),1,""))</f>
        <v>1</v>
      </c>
      <c r="AR145" s="448" t="n">
        <f aca="false">IF($G145=0,IF(AR$11=$H145,"◆",""),IF(AND(AR$11&gt;=$H145,AR$11&lt;=$I145),1,""))</f>
        <v>1</v>
      </c>
      <c r="AS145" s="448" t="n">
        <f aca="false">IF($G145=0,IF(AS$11=$H145,"◆",""),IF(AND(AS$11&gt;=$H145,AS$11&lt;=$I145),1,""))</f>
        <v>1</v>
      </c>
      <c r="AT145" s="448" t="n">
        <f aca="false">IF($G145=0,IF(AT$11=$H145,"◆",""),IF(AND(AT$11&gt;=$H145,AT$11&lt;=$I145),1,""))</f>
        <v>1</v>
      </c>
      <c r="AU145" s="448" t="n">
        <f aca="false">IF($G145=0,IF(AU$11=$H145,"◆",""),IF(AND(AU$11&gt;=$H145,AU$11&lt;=$I145),1,""))</f>
        <v>1</v>
      </c>
      <c r="AV145" s="448" t="n">
        <f aca="false">IF($G145=0,IF(AV$11=$H145,"◆",""),IF(AND(AV$11&gt;=$H145,AV$11&lt;=$I145),1,""))</f>
        <v>1</v>
      </c>
      <c r="AW145" s="448" t="n">
        <f aca="false">IF($G145=0,IF(AW$11=$H145,"◆",""),IF(AND(AW$11&gt;=$H145,AW$11&lt;=$I145),1,""))</f>
        <v>1</v>
      </c>
      <c r="AX145" s="448" t="n">
        <f aca="false">IF($G145=0,IF(AX$11=$H145,"◆",""),IF(AND(AX$11&gt;=$H145,AX$11&lt;=$I145),1,""))</f>
        <v>1</v>
      </c>
      <c r="AY145" s="448" t="n">
        <f aca="false">IF($G145=0,IF(AY$11=$H145,"◆",""),IF(AND(AY$11&gt;=$H145,AY$11&lt;=$I145),1,""))</f>
        <v>1</v>
      </c>
      <c r="AZ145" s="448" t="n">
        <f aca="false">IF($G145=0,IF(AZ$11=$H145,"◆",""),IF(AND(AZ$11&gt;=$H145,AZ$11&lt;=$I145),1,""))</f>
        <v>1</v>
      </c>
      <c r="BA145" s="448" t="n">
        <f aca="false">IF($G145=0,IF(BA$11=$H145,"◆",""),IF(AND(BA$11&gt;=$H145,BA$11&lt;=$I145),1,""))</f>
        <v>1</v>
      </c>
      <c r="BB145" s="448" t="n">
        <f aca="false">IF($G145=0,IF(BB$11=$H145,"◆",""),IF(AND(BB$11&gt;=$H145,BB$11&lt;=$I145),1,""))</f>
        <v>1</v>
      </c>
      <c r="BC145" s="448" t="n">
        <f aca="false">IF($G145=0,IF(BC$11=$H145,"◆",""),IF(AND(BC$11&gt;=$H145,BC$11&lt;=$I145),1,""))</f>
        <v>1</v>
      </c>
      <c r="BD145" s="448" t="str">
        <f aca="false">IF($G145=0,IF(BD$11=$H145,"◆",""),IF(AND(BD$11&gt;=$H145,BD$11&lt;=$I145),1,""))</f>
        <v/>
      </c>
      <c r="BE145" s="448" t="str">
        <f aca="false">IF($G145=0,IF(BE$11=$H145,"◆",""),IF(AND(BE$11&gt;=$H145,BE$11&lt;=$I145),1,""))</f>
        <v/>
      </c>
      <c r="BF145" s="448" t="str">
        <f aca="false">IF($G145=0,IF(BF$11=$H145,"◆",""),IF(AND(BF$11&gt;=$H145,BF$11&lt;=$I145),1,""))</f>
        <v/>
      </c>
      <c r="BG145" s="448" t="str">
        <f aca="false">IF($G145=0,IF(BG$11=$H145,"◆",""),IF(AND(BG$11&gt;=$H145,BG$11&lt;=$I145),1,""))</f>
        <v/>
      </c>
      <c r="BH145" s="448" t="str">
        <f aca="false">IF($G145=0,IF(BH$11=$H145,"◆",""),IF(AND(BH$11&gt;=$H145,BH$11&lt;=$I145),1,""))</f>
        <v/>
      </c>
      <c r="BI145" s="448" t="str">
        <f aca="false">IF($G145=0,IF(BI$11=$H145,"◆",""),IF(AND(BI$11&gt;=$H145,BI$11&lt;=$I145),1,""))</f>
        <v/>
      </c>
      <c r="BJ145" s="448" t="str">
        <f aca="false">IF($G145=0,IF(BJ$11=$H145,"◆",""),IF(AND(BJ$11&gt;=$H145,BJ$11&lt;=$I145),1,""))</f>
        <v/>
      </c>
      <c r="BK145" s="448" t="str">
        <f aca="false">IF($G145=0,IF(BK$11=$H145,"◆",""),IF(AND(BK$11&gt;=$H145,BK$11&lt;=$I145),1,""))</f>
        <v/>
      </c>
      <c r="BL145" s="448" t="str">
        <f aca="false">IF($G145=0,IF(BL$11=$H145,"◆",""),IF(AND(BL$11&gt;=$H145,BL$11&lt;=$I145),1,""))</f>
        <v/>
      </c>
      <c r="BM145" s="448" t="str">
        <f aca="false">IF($G145=0,IF(BM$11=$H145,"◆",""),IF(AND(BM$11&gt;=$H145,BM$11&lt;=$I145),1,""))</f>
        <v/>
      </c>
      <c r="BN145" s="448" t="str">
        <f aca="false">IF($G145=0,IF(BN$11=$H145,"◆",""),IF(AND(BN$11&gt;=$H145,BN$11&lt;=$I145),1,""))</f>
        <v/>
      </c>
      <c r="BO145" s="448" t="str">
        <f aca="false">IF($G145=0,IF(BO$11=$H145,"◆",""),IF(AND(BO$11&gt;=$H145,BO$11&lt;=$I145),1,""))</f>
        <v/>
      </c>
      <c r="BP145" s="448" t="str">
        <f aca="false">IF($G145=0,IF(BP$11=$H145,"◆",""),IF(AND(BP$11&gt;=$H145,BP$11&lt;=$I145),1,""))</f>
        <v/>
      </c>
      <c r="BQ145" s="448" t="str">
        <f aca="false">IF($G145=0,IF(BQ$11=$H145,"◆",""),IF(AND(BQ$11&gt;=$H145,BQ$11&lt;=$I145),1,""))</f>
        <v/>
      </c>
      <c r="BR145" s="448" t="str">
        <f aca="false">IF($G145=0,IF(BR$11=$H145,"◆",""),IF(AND(BR$11&gt;=$H145,BR$11&lt;=$I145),1,""))</f>
        <v/>
      </c>
      <c r="BS145" s="448" t="str">
        <f aca="false">IF($G145=0,IF(BS$11=$H145,"◆",""),IF(AND(BS$11&gt;=$H145,BS$11&lt;=$I145),1,""))</f>
        <v/>
      </c>
      <c r="BT145" s="448" t="str">
        <f aca="false">IF($G145=0,IF(BT$11=$H145,"◆",""),IF(AND(BT$11&gt;=$H145,BT$11&lt;=$I145),1,""))</f>
        <v/>
      </c>
      <c r="BU145" s="448" t="str">
        <f aca="false">IF($G145=0,IF(BU$11=$H145,"◆",""),IF(AND(BU$11&gt;=$H145,BU$11&lt;=$I145),1,""))</f>
        <v/>
      </c>
      <c r="BV145" s="448" t="str">
        <f aca="false">IF($G145=0,IF(BV$11=$H145,"◆",""),IF(AND(BV$11&gt;=$H145,BV$11&lt;=$I145),1,""))</f>
        <v/>
      </c>
      <c r="BW145" s="448" t="str">
        <f aca="false">IF($G145=0,IF(BW$11=$H145,"◆",""),IF(AND(BW$11&gt;=$H145,BW$11&lt;=$I145),1,""))</f>
        <v/>
      </c>
      <c r="BX145" s="448" t="str">
        <f aca="false">IF($G145=0,IF(BX$11=$H145,"◆",""),IF(AND(BX$11&gt;=$H145,BX$11&lt;=$I145),1,""))</f>
        <v/>
      </c>
      <c r="BY145" s="448" t="str">
        <f aca="false">IF($G145=0,IF(BY$11=$H145,"◆",""),IF(AND(BY$11&gt;=$H145,BY$11&lt;=$I145),1,""))</f>
        <v/>
      </c>
      <c r="BZ145" s="448" t="str">
        <f aca="false">IF($G145=0,IF(BZ$11=$H145,"◆",""),IF(AND(BZ$11&gt;=$H145,BZ$11&lt;=$I145),1,""))</f>
        <v/>
      </c>
      <c r="CA145" s="448" t="str">
        <f aca="false">IF($G145=0,IF(CA$11=$H145,"◆",""),IF(AND(CA$11&gt;=$H145,CA$11&lt;=$I145),1,""))</f>
        <v/>
      </c>
      <c r="CB145" s="448" t="str">
        <f aca="false">IF($G145=0,IF(CB$11=$H145,"◆",""),IF(AND(CB$11&gt;=$H145,CB$11&lt;=$I145),1,""))</f>
        <v/>
      </c>
      <c r="CC145" s="448" t="str">
        <f aca="false">IF($G145=0,IF(CC$11=$H145,"◆",""),IF(AND(CC$11&gt;=$H145,CC$11&lt;=$I145),1,""))</f>
        <v/>
      </c>
      <c r="CD145" s="448" t="str">
        <f aca="false">IF($G145=0,IF(CD$11=$H145,"◆",""),IF(AND(CD$11&gt;=$H145,CD$11&lt;=$I145),1,""))</f>
        <v/>
      </c>
      <c r="CE145" s="448" t="str">
        <f aca="false">IF($G145=0,IF(CE$11=$H145,"◆",""),IF(AND(CE$11&gt;=$H145,CE$11&lt;=$I145),1,""))</f>
        <v/>
      </c>
      <c r="CF145" s="448" t="str">
        <f aca="false">IF($G145=0,IF(CF$11=$H145,"◆",""),IF(AND(CF$11&gt;=$H145,CF$11&lt;=$I145),1,""))</f>
        <v/>
      </c>
      <c r="CG145" s="448" t="str">
        <f aca="false">IF($G145=0,IF(CG$11=$H145,"◆",""),IF(AND(CG$11&gt;=$H145,CG$11&lt;=$I145),1,""))</f>
        <v/>
      </c>
      <c r="CH145" s="448" t="str">
        <f aca="false">IF($G145=0,IF(CH$11=$H145,"◆",""),IF(AND(CH$11&gt;=$H145,CH$11&lt;=$I145),1,""))</f>
        <v/>
      </c>
      <c r="CI145" s="448" t="str">
        <f aca="false">IF($G145=0,IF(CI$11=$H145,"◆",""),IF(AND(CI$11&gt;=$H145,CI$11&lt;=$I145),1,""))</f>
        <v/>
      </c>
      <c r="CJ145" s="448" t="str">
        <f aca="false">IF($G145=0,IF(CJ$11=$H145,"◆",""),IF(AND(CJ$11&gt;=$H145,CJ$11&lt;=$I145),1,""))</f>
        <v/>
      </c>
      <c r="CK145" s="448" t="str">
        <f aca="false">IF($G145=0,IF(CK$11=$H145,"◆",""),IF(AND(CK$11&gt;=$H145,CK$11&lt;=$I145),1,""))</f>
        <v/>
      </c>
      <c r="CL145" s="448" t="str">
        <f aca="false">IF($G145=0,IF(CL$11=$H145,"◆",""),IF(AND(CL$11&gt;=$H145,CL$11&lt;=$I145),1,""))</f>
        <v/>
      </c>
      <c r="CM145" s="448" t="str">
        <f aca="false">IF($G145=0,IF(CM$11=$H145,"◆",""),IF(AND(CM$11&gt;=$H145,CM$11&lt;=$I145),1,""))</f>
        <v/>
      </c>
      <c r="CN145" s="448" t="str">
        <f aca="false">IF($G145=0,IF(CN$11=$H145,"◆",""),IF(AND(CN$11&gt;=$H145,CN$11&lt;=$I145),1,""))</f>
        <v/>
      </c>
      <c r="CO145" s="448" t="str">
        <f aca="false">IF($G145=0,IF(CO$11=$H145,"◆",""),IF(AND(CO$11&gt;=$H145,CO$11&lt;=$I145),1,""))</f>
        <v/>
      </c>
      <c r="CP145" s="448" t="str">
        <f aca="false">IF($G145=0,IF(CP$11=$H145,"◆",""),IF(AND(CP$11&gt;=$H145,CP$11&lt;=$I145),1,""))</f>
        <v/>
      </c>
      <c r="CQ145" s="448" t="str">
        <f aca="false">IF($G145=0,IF(CQ$11=$H145,"◆",""),IF(AND(CQ$11&gt;=$H145,CQ$11&lt;=$I145),1,""))</f>
        <v/>
      </c>
      <c r="CR145" s="448" t="str">
        <f aca="false">IF($G145=0,IF(CR$11=$H145,"◆",""),IF(AND(CR$11&gt;=$H145,CR$11&lt;=$I145),1,""))</f>
        <v/>
      </c>
      <c r="CS145" s="448" t="str">
        <f aca="false">IF($G145=0,IF(CS$11=$H145,"◆",""),IF(AND(CS$11&gt;=$H145,CS$11&lt;=$I145),1,""))</f>
        <v/>
      </c>
      <c r="CT145" s="448" t="str">
        <f aca="false">IF($G145=0,IF(CT$11=$H145,"◆",""),IF(AND(CT$11&gt;=$H145,CT$11&lt;=$I145),1,""))</f>
        <v/>
      </c>
      <c r="CU145" s="448" t="str">
        <f aca="false">IF($G145=0,IF(CU$11=$H145,"◆",""),IF(AND(CU$11&gt;=$H145,CU$11&lt;=$I145),1,""))</f>
        <v/>
      </c>
      <c r="CV145" s="448" t="str">
        <f aca="false">IF($G145=0,IF(CV$11=$H145,"◆",""),IF(AND(CV$11&gt;=$H145,CV$11&lt;=$I145),1,""))</f>
        <v/>
      </c>
      <c r="CW145" s="448" t="str">
        <f aca="false">IF($G145=0,IF(CW$11=$H145,"◆",""),IF(AND(CW$11&gt;=$H145,CW$11&lt;=$I145),1,""))</f>
        <v/>
      </c>
      <c r="CX145" s="448" t="str">
        <f aca="false">IF($G145=0,IF(CX$11=$H145,"◆",""),IF(AND(CX$11&gt;=$H145,CX$11&lt;=$I145),1,""))</f>
        <v/>
      </c>
      <c r="CY145" s="448" t="str">
        <f aca="false">IF($G145=0,IF(CY$11=$H145,"◆",""),IF(AND(CY$11&gt;=$H145,CY$11&lt;=$I145),1,""))</f>
        <v/>
      </c>
      <c r="CZ145" s="448" t="str">
        <f aca="false">IF($G145=0,IF(CZ$11=$H145,"◆",""),IF(AND(CZ$11&gt;=$H145,CZ$11&lt;=$I145),1,""))</f>
        <v/>
      </c>
      <c r="DA145" s="448" t="str">
        <f aca="false">IF($G145=0,IF(DA$11=$H145,"◆",""),IF(AND(DA$11&gt;=$H145,DA$11&lt;=$I145),1,""))</f>
        <v/>
      </c>
      <c r="DB145" s="448" t="str">
        <f aca="false">IF($G145=0,IF(DB$11=$H145,"◆",""),IF(AND(DB$11&gt;=$H145,DB$11&lt;=$I145),1,""))</f>
        <v/>
      </c>
      <c r="DC145" s="448" t="str">
        <f aca="false">IF($G145=0,IF(DC$11=$H145,"◆",""),IF(AND(DC$11&gt;=$H145,DC$11&lt;=$I145),1,""))</f>
        <v/>
      </c>
      <c r="DD145" s="448" t="str">
        <f aca="false">IF($G145=0,IF(DD$11=$H145,"◆",""),IF(AND(DD$11&gt;=$H145,DD$11&lt;=$I145),1,""))</f>
        <v/>
      </c>
      <c r="DE145" s="448" t="str">
        <f aca="false">IF($G145=0,IF(DE$11=$H145,"◆",""),IF(AND(DE$11&gt;=$H145,DE$11&lt;=$I145),1,""))</f>
        <v/>
      </c>
      <c r="DF145" s="448" t="str">
        <f aca="false">IF($G145=0,IF(DF$11=$H145,"◆",""),IF(AND(DF$11&gt;=$H145,DF$11&lt;=$I145),1,""))</f>
        <v/>
      </c>
      <c r="DG145" s="448" t="str">
        <f aca="false">IF($G145=0,IF(DG$11=$H145,"◆",""),IF(AND(DG$11&gt;=$H145,DG$11&lt;=$I145),1,""))</f>
        <v/>
      </c>
      <c r="DH145" s="448" t="str">
        <f aca="false">IF($G145=0,IF(DH$11=$H145,"◆",""),IF(AND(DH$11&gt;=$H145,DH$11&lt;=$I145),1,""))</f>
        <v/>
      </c>
      <c r="DI145" s="448" t="str">
        <f aca="false">IF($G145=0,IF(DI$11=$H145,"◆",""),IF(AND(DI$11&gt;=$H145,DI$11&lt;=$I145),1,""))</f>
        <v/>
      </c>
      <c r="DJ145" s="448" t="str">
        <f aca="false">IF($G145=0,IF(DJ$11=$H145,"◆",""),IF(AND(DJ$11&gt;=$H145,DJ$11&lt;=$I145),1,""))</f>
        <v/>
      </c>
      <c r="DK145" s="448" t="str">
        <f aca="false">IF($G145=0,IF(DK$11=$H145,"◆",""),IF(AND(DK$11&gt;=$H145,DK$11&lt;=$I145),1,""))</f>
        <v/>
      </c>
      <c r="DL145" s="448" t="str">
        <f aca="false">IF($G145=0,IF(DL$11=$H145,"◆",""),IF(AND(DL$11&gt;=$H145,DL$11&lt;=$I145),1,""))</f>
        <v/>
      </c>
      <c r="DM145" s="448" t="str">
        <f aca="false">IF($G145=0,IF(DM$11=$H145,"◆",""),IF(AND(DM$11&gt;=$H145,DM$11&lt;=$I145),1,""))</f>
        <v/>
      </c>
      <c r="DN145" s="448" t="str">
        <f aca="false">IF($G145=0,IF(DN$11=$H145,"◆",""),IF(AND(DN$11&gt;=$H145,DN$11&lt;=$I145),1,""))</f>
        <v/>
      </c>
      <c r="DO145" s="448" t="str">
        <f aca="false">IF($G145=0,IF(DO$11=$H145,"◆",""),IF(AND(DO$11&gt;=$H145,DO$11&lt;=$I145),1,""))</f>
        <v/>
      </c>
      <c r="DP145" s="448" t="str">
        <f aca="false">IF($G145=0,IF(DP$11=$H145,"◆",""),IF(AND(DP$11&gt;=$H145,DP$11&lt;=$I145),1,""))</f>
        <v/>
      </c>
      <c r="DQ145" s="448" t="str">
        <f aca="false">IF($G145=0,IF(DQ$11=$H145,"◆",""),IF(AND(DQ$11&gt;=$H145,DQ$11&lt;=$I145),1,""))</f>
        <v/>
      </c>
      <c r="DR145" s="448" t="str">
        <f aca="false">IF($G145=0,IF(DR$11=$H145,"◆",""),IF(AND(DR$11&gt;=$H145,DR$11&lt;=$I145),1,""))</f>
        <v/>
      </c>
      <c r="DS145" s="448" t="str">
        <f aca="false">IF($G145=0,IF(DS$11=$H145,"◆",""),IF(AND(DS$11&gt;=$H145,DS$11&lt;=$I145),1,""))</f>
        <v/>
      </c>
      <c r="DT145" s="448" t="str">
        <f aca="false">IF($G145=0,IF(DT$11=$H145,"◆",""),IF(AND(DT$11&gt;=$H145,DT$11&lt;=$I145),1,""))</f>
        <v/>
      </c>
      <c r="DU145" s="448" t="str">
        <f aca="false">IF($G145=0,IF(DU$11=$H145,"◆",""),IF(AND(DU$11&gt;=$H145,DU$11&lt;=$I145),1,""))</f>
        <v/>
      </c>
      <c r="DV145" s="448" t="str">
        <f aca="false">IF($G145=0,IF(DV$11=$H145,"◆",""),IF(AND(DV$11&gt;=$H145,DV$11&lt;=$I145),1,""))</f>
        <v/>
      </c>
      <c r="DW145" s="448" t="str">
        <f aca="false">IF($G145=0,IF(DW$11=$H145,"◆",""),IF(AND(DW$11&gt;=$H145,DW$11&lt;=$I145),1,""))</f>
        <v/>
      </c>
      <c r="DX145" s="448" t="str">
        <f aca="false">IF($G145=0,IF(DX$11=$H145,"◆",""),IF(AND(DX$11&gt;=$H145,DX$11&lt;=$I145),1,""))</f>
        <v/>
      </c>
      <c r="DY145" s="448" t="str">
        <f aca="false">IF($G145=0,IF(DY$11=$H145,"◆",""),IF(AND(DY$11&gt;=$H145,DY$11&lt;=$I145),1,""))</f>
        <v/>
      </c>
      <c r="DZ145" s="448" t="str">
        <f aca="false">IF($G145=0,IF(DZ$11=$H145,"◆",""),IF(AND(DZ$11&gt;=$H145,DZ$11&lt;=$I145),1,""))</f>
        <v/>
      </c>
      <c r="EA145" s="448" t="str">
        <f aca="false">IF($G145=0,IF(EA$11=$H145,"◆",""),IF(AND(EA$11&gt;=$H145,EA$11&lt;=$I145),1,""))</f>
        <v/>
      </c>
      <c r="EB145" s="448" t="str">
        <f aca="false">IF($G145=0,IF(EB$11=$H145,"◆",""),IF(AND(EB$11&gt;=$H145,EB$11&lt;=$I145),1,""))</f>
        <v/>
      </c>
      <c r="EC145" s="448" t="str">
        <f aca="false">IF($G145=0,IF(EC$11=$H145,"◆",""),IF(AND(EC$11&gt;=$H145,EC$11&lt;=$I145),1,""))</f>
        <v/>
      </c>
      <c r="ED145" s="448" t="str">
        <f aca="false">IF($G145=0,IF(ED$11=$H145,"◆",""),IF(AND(ED$11&gt;=$H145,ED$11&lt;=$I145),1,""))</f>
        <v/>
      </c>
    </row>
    <row r="146" customFormat="false" ht="15" hidden="false" customHeight="true" outlineLevel="0" collapsed="false">
      <c r="A146" s="441" t="s">
        <v>2745</v>
      </c>
      <c r="B146" s="297" t="s">
        <v>2746</v>
      </c>
      <c r="C146" s="442" t="s">
        <v>2747</v>
      </c>
      <c r="D146" s="443" t="s">
        <v>2634</v>
      </c>
      <c r="E146" s="354" t="n">
        <f aca="false">FC_SUPUESTOS!$C$40</f>
        <v>10</v>
      </c>
      <c r="F146" s="352" t="n">
        <v>-8</v>
      </c>
      <c r="G146" s="352" t="n">
        <v>10</v>
      </c>
      <c r="H146" s="367" t="n">
        <f aca="false">MAX(1,ROUND(($E146-1)*$D$5,0)+1+$F146)</f>
        <v>32</v>
      </c>
      <c r="I146" s="367" t="n">
        <f aca="false">MAX($H146,$H146+$G146-1)</f>
        <v>41</v>
      </c>
      <c r="J146" s="444" t="n">
        <f aca="false">$D$4+($H146-1)*7</f>
        <v>46517</v>
      </c>
      <c r="K146" s="444" t="n">
        <f aca="false">$D$4+$I146*7-1</f>
        <v>46586</v>
      </c>
      <c r="L146" s="445" t="n">
        <f aca="false">ROUNDUP($H146/$D$5,0)</f>
        <v>8</v>
      </c>
      <c r="M146" s="446"/>
      <c r="N146" s="447" t="n">
        <v>0</v>
      </c>
      <c r="O146" s="448" t="str">
        <f aca="false">IF($G146=0,IF(O$11=$H146,"◆",""),IF(AND(O$11&gt;=$H146,O$11&lt;=$I146),1,""))</f>
        <v/>
      </c>
      <c r="P146" s="448" t="str">
        <f aca="false">IF($G146=0,IF(P$11=$H146,"◆",""),IF(AND(P$11&gt;=$H146,P$11&lt;=$I146),1,""))</f>
        <v/>
      </c>
      <c r="Q146" s="448" t="str">
        <f aca="false">IF($G146=0,IF(Q$11=$H146,"◆",""),IF(AND(Q$11&gt;=$H146,Q$11&lt;=$I146),1,""))</f>
        <v/>
      </c>
      <c r="R146" s="448" t="str">
        <f aca="false">IF($G146=0,IF(R$11=$H146,"◆",""),IF(AND(R$11&gt;=$H146,R$11&lt;=$I146),1,""))</f>
        <v/>
      </c>
      <c r="S146" s="448" t="str">
        <f aca="false">IF($G146=0,IF(S$11=$H146,"◆",""),IF(AND(S$11&gt;=$H146,S$11&lt;=$I146),1,""))</f>
        <v/>
      </c>
      <c r="T146" s="448" t="str">
        <f aca="false">IF($G146=0,IF(T$11=$H146,"◆",""),IF(AND(T$11&gt;=$H146,T$11&lt;=$I146),1,""))</f>
        <v/>
      </c>
      <c r="U146" s="448" t="str">
        <f aca="false">IF($G146=0,IF(U$11=$H146,"◆",""),IF(AND(U$11&gt;=$H146,U$11&lt;=$I146),1,""))</f>
        <v/>
      </c>
      <c r="V146" s="448" t="str">
        <f aca="false">IF($G146=0,IF(V$11=$H146,"◆",""),IF(AND(V$11&gt;=$H146,V$11&lt;=$I146),1,""))</f>
        <v/>
      </c>
      <c r="W146" s="448" t="str">
        <f aca="false">IF($G146=0,IF(W$11=$H146,"◆",""),IF(AND(W$11&gt;=$H146,W$11&lt;=$I146),1,""))</f>
        <v/>
      </c>
      <c r="X146" s="448" t="str">
        <f aca="false">IF($G146=0,IF(X$11=$H146,"◆",""),IF(AND(X$11&gt;=$H146,X$11&lt;=$I146),1,""))</f>
        <v/>
      </c>
      <c r="Y146" s="448" t="str">
        <f aca="false">IF($G146=0,IF(Y$11=$H146,"◆",""),IF(AND(Y$11&gt;=$H146,Y$11&lt;=$I146),1,""))</f>
        <v/>
      </c>
      <c r="Z146" s="448" t="str">
        <f aca="false">IF($G146=0,IF(Z$11=$H146,"◆",""),IF(AND(Z$11&gt;=$H146,Z$11&lt;=$I146),1,""))</f>
        <v/>
      </c>
      <c r="AA146" s="448" t="str">
        <f aca="false">IF($G146=0,IF(AA$11=$H146,"◆",""),IF(AND(AA$11&gt;=$H146,AA$11&lt;=$I146),1,""))</f>
        <v/>
      </c>
      <c r="AB146" s="448" t="str">
        <f aca="false">IF($G146=0,IF(AB$11=$H146,"◆",""),IF(AND(AB$11&gt;=$H146,AB$11&lt;=$I146),1,""))</f>
        <v/>
      </c>
      <c r="AC146" s="448" t="str">
        <f aca="false">IF($G146=0,IF(AC$11=$H146,"◆",""),IF(AND(AC$11&gt;=$H146,AC$11&lt;=$I146),1,""))</f>
        <v/>
      </c>
      <c r="AD146" s="448" t="str">
        <f aca="false">IF($G146=0,IF(AD$11=$H146,"◆",""),IF(AND(AD$11&gt;=$H146,AD$11&lt;=$I146),1,""))</f>
        <v/>
      </c>
      <c r="AE146" s="448" t="str">
        <f aca="false">IF($G146=0,IF(AE$11=$H146,"◆",""),IF(AND(AE$11&gt;=$H146,AE$11&lt;=$I146),1,""))</f>
        <v/>
      </c>
      <c r="AF146" s="448" t="str">
        <f aca="false">IF($G146=0,IF(AF$11=$H146,"◆",""),IF(AND(AF$11&gt;=$H146,AF$11&lt;=$I146),1,""))</f>
        <v/>
      </c>
      <c r="AG146" s="448" t="str">
        <f aca="false">IF($G146=0,IF(AG$11=$H146,"◆",""),IF(AND(AG$11&gt;=$H146,AG$11&lt;=$I146),1,""))</f>
        <v/>
      </c>
      <c r="AH146" s="448" t="str">
        <f aca="false">IF($G146=0,IF(AH$11=$H146,"◆",""),IF(AND(AH$11&gt;=$H146,AH$11&lt;=$I146),1,""))</f>
        <v/>
      </c>
      <c r="AI146" s="448" t="str">
        <f aca="false">IF($G146=0,IF(AI$11=$H146,"◆",""),IF(AND(AI$11&gt;=$H146,AI$11&lt;=$I146),1,""))</f>
        <v/>
      </c>
      <c r="AJ146" s="448" t="str">
        <f aca="false">IF($G146=0,IF(AJ$11=$H146,"◆",""),IF(AND(AJ$11&gt;=$H146,AJ$11&lt;=$I146),1,""))</f>
        <v/>
      </c>
      <c r="AK146" s="448" t="str">
        <f aca="false">IF($G146=0,IF(AK$11=$H146,"◆",""),IF(AND(AK$11&gt;=$H146,AK$11&lt;=$I146),1,""))</f>
        <v/>
      </c>
      <c r="AL146" s="448" t="str">
        <f aca="false">IF($G146=0,IF(AL$11=$H146,"◆",""),IF(AND(AL$11&gt;=$H146,AL$11&lt;=$I146),1,""))</f>
        <v/>
      </c>
      <c r="AM146" s="448" t="str">
        <f aca="false">IF($G146=0,IF(AM$11=$H146,"◆",""),IF(AND(AM$11&gt;=$H146,AM$11&lt;=$I146),1,""))</f>
        <v/>
      </c>
      <c r="AN146" s="448" t="str">
        <f aca="false">IF($G146=0,IF(AN$11=$H146,"◆",""),IF(AND(AN$11&gt;=$H146,AN$11&lt;=$I146),1,""))</f>
        <v/>
      </c>
      <c r="AO146" s="448" t="str">
        <f aca="false">IF($G146=0,IF(AO$11=$H146,"◆",""),IF(AND(AO$11&gt;=$H146,AO$11&lt;=$I146),1,""))</f>
        <v/>
      </c>
      <c r="AP146" s="448" t="str">
        <f aca="false">IF($G146=0,IF(AP$11=$H146,"◆",""),IF(AND(AP$11&gt;=$H146,AP$11&lt;=$I146),1,""))</f>
        <v/>
      </c>
      <c r="AQ146" s="448" t="str">
        <f aca="false">IF($G146=0,IF(AQ$11=$H146,"◆",""),IF(AND(AQ$11&gt;=$H146,AQ$11&lt;=$I146),1,""))</f>
        <v/>
      </c>
      <c r="AR146" s="448" t="str">
        <f aca="false">IF($G146=0,IF(AR$11=$H146,"◆",""),IF(AND(AR$11&gt;=$H146,AR$11&lt;=$I146),1,""))</f>
        <v/>
      </c>
      <c r="AS146" s="448" t="str">
        <f aca="false">IF($G146=0,IF(AS$11=$H146,"◆",""),IF(AND(AS$11&gt;=$H146,AS$11&lt;=$I146),1,""))</f>
        <v/>
      </c>
      <c r="AT146" s="448" t="n">
        <f aca="false">IF($G146=0,IF(AT$11=$H146,"◆",""),IF(AND(AT$11&gt;=$H146,AT$11&lt;=$I146),1,""))</f>
        <v>1</v>
      </c>
      <c r="AU146" s="448" t="n">
        <f aca="false">IF($G146=0,IF(AU$11=$H146,"◆",""),IF(AND(AU$11&gt;=$H146,AU$11&lt;=$I146),1,""))</f>
        <v>1</v>
      </c>
      <c r="AV146" s="448" t="n">
        <f aca="false">IF($G146=0,IF(AV$11=$H146,"◆",""),IF(AND(AV$11&gt;=$H146,AV$11&lt;=$I146),1,""))</f>
        <v>1</v>
      </c>
      <c r="AW146" s="448" t="n">
        <f aca="false">IF($G146=0,IF(AW$11=$H146,"◆",""),IF(AND(AW$11&gt;=$H146,AW$11&lt;=$I146),1,""))</f>
        <v>1</v>
      </c>
      <c r="AX146" s="448" t="n">
        <f aca="false">IF($G146=0,IF(AX$11=$H146,"◆",""),IF(AND(AX$11&gt;=$H146,AX$11&lt;=$I146),1,""))</f>
        <v>1</v>
      </c>
      <c r="AY146" s="448" t="n">
        <f aca="false">IF($G146=0,IF(AY$11=$H146,"◆",""),IF(AND(AY$11&gt;=$H146,AY$11&lt;=$I146),1,""))</f>
        <v>1</v>
      </c>
      <c r="AZ146" s="448" t="n">
        <f aca="false">IF($G146=0,IF(AZ$11=$H146,"◆",""),IF(AND(AZ$11&gt;=$H146,AZ$11&lt;=$I146),1,""))</f>
        <v>1</v>
      </c>
      <c r="BA146" s="448" t="n">
        <f aca="false">IF($G146=0,IF(BA$11=$H146,"◆",""),IF(AND(BA$11&gt;=$H146,BA$11&lt;=$I146),1,""))</f>
        <v>1</v>
      </c>
      <c r="BB146" s="448" t="n">
        <f aca="false">IF($G146=0,IF(BB$11=$H146,"◆",""),IF(AND(BB$11&gt;=$H146,BB$11&lt;=$I146),1,""))</f>
        <v>1</v>
      </c>
      <c r="BC146" s="448" t="n">
        <f aca="false">IF($G146=0,IF(BC$11=$H146,"◆",""),IF(AND(BC$11&gt;=$H146,BC$11&lt;=$I146),1,""))</f>
        <v>1</v>
      </c>
      <c r="BD146" s="448" t="str">
        <f aca="false">IF($G146=0,IF(BD$11=$H146,"◆",""),IF(AND(BD$11&gt;=$H146,BD$11&lt;=$I146),1,""))</f>
        <v/>
      </c>
      <c r="BE146" s="448" t="str">
        <f aca="false">IF($G146=0,IF(BE$11=$H146,"◆",""),IF(AND(BE$11&gt;=$H146,BE$11&lt;=$I146),1,""))</f>
        <v/>
      </c>
      <c r="BF146" s="448" t="str">
        <f aca="false">IF($G146=0,IF(BF$11=$H146,"◆",""),IF(AND(BF$11&gt;=$H146,BF$11&lt;=$I146),1,""))</f>
        <v/>
      </c>
      <c r="BG146" s="448" t="str">
        <f aca="false">IF($G146=0,IF(BG$11=$H146,"◆",""),IF(AND(BG$11&gt;=$H146,BG$11&lt;=$I146),1,""))</f>
        <v/>
      </c>
      <c r="BH146" s="448" t="str">
        <f aca="false">IF($G146=0,IF(BH$11=$H146,"◆",""),IF(AND(BH$11&gt;=$H146,BH$11&lt;=$I146),1,""))</f>
        <v/>
      </c>
      <c r="BI146" s="448" t="str">
        <f aca="false">IF($G146=0,IF(BI$11=$H146,"◆",""),IF(AND(BI$11&gt;=$H146,BI$11&lt;=$I146),1,""))</f>
        <v/>
      </c>
      <c r="BJ146" s="448" t="str">
        <f aca="false">IF($G146=0,IF(BJ$11=$H146,"◆",""),IF(AND(BJ$11&gt;=$H146,BJ$11&lt;=$I146),1,""))</f>
        <v/>
      </c>
      <c r="BK146" s="448" t="str">
        <f aca="false">IF($G146=0,IF(BK$11=$H146,"◆",""),IF(AND(BK$11&gt;=$H146,BK$11&lt;=$I146),1,""))</f>
        <v/>
      </c>
      <c r="BL146" s="448" t="str">
        <f aca="false">IF($G146=0,IF(BL$11=$H146,"◆",""),IF(AND(BL$11&gt;=$H146,BL$11&lt;=$I146),1,""))</f>
        <v/>
      </c>
      <c r="BM146" s="448" t="str">
        <f aca="false">IF($G146=0,IF(BM$11=$H146,"◆",""),IF(AND(BM$11&gt;=$H146,BM$11&lt;=$I146),1,""))</f>
        <v/>
      </c>
      <c r="BN146" s="448" t="str">
        <f aca="false">IF($G146=0,IF(BN$11=$H146,"◆",""),IF(AND(BN$11&gt;=$H146,BN$11&lt;=$I146),1,""))</f>
        <v/>
      </c>
      <c r="BO146" s="448" t="str">
        <f aca="false">IF($G146=0,IF(BO$11=$H146,"◆",""),IF(AND(BO$11&gt;=$H146,BO$11&lt;=$I146),1,""))</f>
        <v/>
      </c>
      <c r="BP146" s="448" t="str">
        <f aca="false">IF($G146=0,IF(BP$11=$H146,"◆",""),IF(AND(BP$11&gt;=$H146,BP$11&lt;=$I146),1,""))</f>
        <v/>
      </c>
      <c r="BQ146" s="448" t="str">
        <f aca="false">IF($G146=0,IF(BQ$11=$H146,"◆",""),IF(AND(BQ$11&gt;=$H146,BQ$11&lt;=$I146),1,""))</f>
        <v/>
      </c>
      <c r="BR146" s="448" t="str">
        <f aca="false">IF($G146=0,IF(BR$11=$H146,"◆",""),IF(AND(BR$11&gt;=$H146,BR$11&lt;=$I146),1,""))</f>
        <v/>
      </c>
      <c r="BS146" s="448" t="str">
        <f aca="false">IF($G146=0,IF(BS$11=$H146,"◆",""),IF(AND(BS$11&gt;=$H146,BS$11&lt;=$I146),1,""))</f>
        <v/>
      </c>
      <c r="BT146" s="448" t="str">
        <f aca="false">IF($G146=0,IF(BT$11=$H146,"◆",""),IF(AND(BT$11&gt;=$H146,BT$11&lt;=$I146),1,""))</f>
        <v/>
      </c>
      <c r="BU146" s="448" t="str">
        <f aca="false">IF($G146=0,IF(BU$11=$H146,"◆",""),IF(AND(BU$11&gt;=$H146,BU$11&lt;=$I146),1,""))</f>
        <v/>
      </c>
      <c r="BV146" s="448" t="str">
        <f aca="false">IF($G146=0,IF(BV$11=$H146,"◆",""),IF(AND(BV$11&gt;=$H146,BV$11&lt;=$I146),1,""))</f>
        <v/>
      </c>
      <c r="BW146" s="448" t="str">
        <f aca="false">IF($G146=0,IF(BW$11=$H146,"◆",""),IF(AND(BW$11&gt;=$H146,BW$11&lt;=$I146),1,""))</f>
        <v/>
      </c>
      <c r="BX146" s="448" t="str">
        <f aca="false">IF($G146=0,IF(BX$11=$H146,"◆",""),IF(AND(BX$11&gt;=$H146,BX$11&lt;=$I146),1,""))</f>
        <v/>
      </c>
      <c r="BY146" s="448" t="str">
        <f aca="false">IF($G146=0,IF(BY$11=$H146,"◆",""),IF(AND(BY$11&gt;=$H146,BY$11&lt;=$I146),1,""))</f>
        <v/>
      </c>
      <c r="BZ146" s="448" t="str">
        <f aca="false">IF($G146=0,IF(BZ$11=$H146,"◆",""),IF(AND(BZ$11&gt;=$H146,BZ$11&lt;=$I146),1,""))</f>
        <v/>
      </c>
      <c r="CA146" s="448" t="str">
        <f aca="false">IF($G146=0,IF(CA$11=$H146,"◆",""),IF(AND(CA$11&gt;=$H146,CA$11&lt;=$I146),1,""))</f>
        <v/>
      </c>
      <c r="CB146" s="448" t="str">
        <f aca="false">IF($G146=0,IF(CB$11=$H146,"◆",""),IF(AND(CB$11&gt;=$H146,CB$11&lt;=$I146),1,""))</f>
        <v/>
      </c>
      <c r="CC146" s="448" t="str">
        <f aca="false">IF($G146=0,IF(CC$11=$H146,"◆",""),IF(AND(CC$11&gt;=$H146,CC$11&lt;=$I146),1,""))</f>
        <v/>
      </c>
      <c r="CD146" s="448" t="str">
        <f aca="false">IF($G146=0,IF(CD$11=$H146,"◆",""),IF(AND(CD$11&gt;=$H146,CD$11&lt;=$I146),1,""))</f>
        <v/>
      </c>
      <c r="CE146" s="448" t="str">
        <f aca="false">IF($G146=0,IF(CE$11=$H146,"◆",""),IF(AND(CE$11&gt;=$H146,CE$11&lt;=$I146),1,""))</f>
        <v/>
      </c>
      <c r="CF146" s="448" t="str">
        <f aca="false">IF($G146=0,IF(CF$11=$H146,"◆",""),IF(AND(CF$11&gt;=$H146,CF$11&lt;=$I146),1,""))</f>
        <v/>
      </c>
      <c r="CG146" s="448" t="str">
        <f aca="false">IF($G146=0,IF(CG$11=$H146,"◆",""),IF(AND(CG$11&gt;=$H146,CG$11&lt;=$I146),1,""))</f>
        <v/>
      </c>
      <c r="CH146" s="448" t="str">
        <f aca="false">IF($G146=0,IF(CH$11=$H146,"◆",""),IF(AND(CH$11&gt;=$H146,CH$11&lt;=$I146),1,""))</f>
        <v/>
      </c>
      <c r="CI146" s="448" t="str">
        <f aca="false">IF($G146=0,IF(CI$11=$H146,"◆",""),IF(AND(CI$11&gt;=$H146,CI$11&lt;=$I146),1,""))</f>
        <v/>
      </c>
      <c r="CJ146" s="448" t="str">
        <f aca="false">IF($G146=0,IF(CJ$11=$H146,"◆",""),IF(AND(CJ$11&gt;=$H146,CJ$11&lt;=$I146),1,""))</f>
        <v/>
      </c>
      <c r="CK146" s="448" t="str">
        <f aca="false">IF($G146=0,IF(CK$11=$H146,"◆",""),IF(AND(CK$11&gt;=$H146,CK$11&lt;=$I146),1,""))</f>
        <v/>
      </c>
      <c r="CL146" s="448" t="str">
        <f aca="false">IF($G146=0,IF(CL$11=$H146,"◆",""),IF(AND(CL$11&gt;=$H146,CL$11&lt;=$I146),1,""))</f>
        <v/>
      </c>
      <c r="CM146" s="448" t="str">
        <f aca="false">IF($G146=0,IF(CM$11=$H146,"◆",""),IF(AND(CM$11&gt;=$H146,CM$11&lt;=$I146),1,""))</f>
        <v/>
      </c>
      <c r="CN146" s="448" t="str">
        <f aca="false">IF($G146=0,IF(CN$11=$H146,"◆",""),IF(AND(CN$11&gt;=$H146,CN$11&lt;=$I146),1,""))</f>
        <v/>
      </c>
      <c r="CO146" s="448" t="str">
        <f aca="false">IF($G146=0,IF(CO$11=$H146,"◆",""),IF(AND(CO$11&gt;=$H146,CO$11&lt;=$I146),1,""))</f>
        <v/>
      </c>
      <c r="CP146" s="448" t="str">
        <f aca="false">IF($G146=0,IF(CP$11=$H146,"◆",""),IF(AND(CP$11&gt;=$H146,CP$11&lt;=$I146),1,""))</f>
        <v/>
      </c>
      <c r="CQ146" s="448" t="str">
        <f aca="false">IF($G146=0,IF(CQ$11=$H146,"◆",""),IF(AND(CQ$11&gt;=$H146,CQ$11&lt;=$I146),1,""))</f>
        <v/>
      </c>
      <c r="CR146" s="448" t="str">
        <f aca="false">IF($G146=0,IF(CR$11=$H146,"◆",""),IF(AND(CR$11&gt;=$H146,CR$11&lt;=$I146),1,""))</f>
        <v/>
      </c>
      <c r="CS146" s="448" t="str">
        <f aca="false">IF($G146=0,IF(CS$11=$H146,"◆",""),IF(AND(CS$11&gt;=$H146,CS$11&lt;=$I146),1,""))</f>
        <v/>
      </c>
      <c r="CT146" s="448" t="str">
        <f aca="false">IF($G146=0,IF(CT$11=$H146,"◆",""),IF(AND(CT$11&gt;=$H146,CT$11&lt;=$I146),1,""))</f>
        <v/>
      </c>
      <c r="CU146" s="448" t="str">
        <f aca="false">IF($G146=0,IF(CU$11=$H146,"◆",""),IF(AND(CU$11&gt;=$H146,CU$11&lt;=$I146),1,""))</f>
        <v/>
      </c>
      <c r="CV146" s="448" t="str">
        <f aca="false">IF($G146=0,IF(CV$11=$H146,"◆",""),IF(AND(CV$11&gt;=$H146,CV$11&lt;=$I146),1,""))</f>
        <v/>
      </c>
      <c r="CW146" s="448" t="str">
        <f aca="false">IF($G146=0,IF(CW$11=$H146,"◆",""),IF(AND(CW$11&gt;=$H146,CW$11&lt;=$I146),1,""))</f>
        <v/>
      </c>
      <c r="CX146" s="448" t="str">
        <f aca="false">IF($G146=0,IF(CX$11=$H146,"◆",""),IF(AND(CX$11&gt;=$H146,CX$11&lt;=$I146),1,""))</f>
        <v/>
      </c>
      <c r="CY146" s="448" t="str">
        <f aca="false">IF($G146=0,IF(CY$11=$H146,"◆",""),IF(AND(CY$11&gt;=$H146,CY$11&lt;=$I146),1,""))</f>
        <v/>
      </c>
      <c r="CZ146" s="448" t="str">
        <f aca="false">IF($G146=0,IF(CZ$11=$H146,"◆",""),IF(AND(CZ$11&gt;=$H146,CZ$11&lt;=$I146),1,""))</f>
        <v/>
      </c>
      <c r="DA146" s="448" t="str">
        <f aca="false">IF($G146=0,IF(DA$11=$H146,"◆",""),IF(AND(DA$11&gt;=$H146,DA$11&lt;=$I146),1,""))</f>
        <v/>
      </c>
      <c r="DB146" s="448" t="str">
        <f aca="false">IF($G146=0,IF(DB$11=$H146,"◆",""),IF(AND(DB$11&gt;=$H146,DB$11&lt;=$I146),1,""))</f>
        <v/>
      </c>
      <c r="DC146" s="448" t="str">
        <f aca="false">IF($G146=0,IF(DC$11=$H146,"◆",""),IF(AND(DC$11&gt;=$H146,DC$11&lt;=$I146),1,""))</f>
        <v/>
      </c>
      <c r="DD146" s="448" t="str">
        <f aca="false">IF($G146=0,IF(DD$11=$H146,"◆",""),IF(AND(DD$11&gt;=$H146,DD$11&lt;=$I146),1,""))</f>
        <v/>
      </c>
      <c r="DE146" s="448" t="str">
        <f aca="false">IF($G146=0,IF(DE$11=$H146,"◆",""),IF(AND(DE$11&gt;=$H146,DE$11&lt;=$I146),1,""))</f>
        <v/>
      </c>
      <c r="DF146" s="448" t="str">
        <f aca="false">IF($G146=0,IF(DF$11=$H146,"◆",""),IF(AND(DF$11&gt;=$H146,DF$11&lt;=$I146),1,""))</f>
        <v/>
      </c>
      <c r="DG146" s="448" t="str">
        <f aca="false">IF($G146=0,IF(DG$11=$H146,"◆",""),IF(AND(DG$11&gt;=$H146,DG$11&lt;=$I146),1,""))</f>
        <v/>
      </c>
      <c r="DH146" s="448" t="str">
        <f aca="false">IF($G146=0,IF(DH$11=$H146,"◆",""),IF(AND(DH$11&gt;=$H146,DH$11&lt;=$I146),1,""))</f>
        <v/>
      </c>
      <c r="DI146" s="448" t="str">
        <f aca="false">IF($G146=0,IF(DI$11=$H146,"◆",""),IF(AND(DI$11&gt;=$H146,DI$11&lt;=$I146),1,""))</f>
        <v/>
      </c>
      <c r="DJ146" s="448" t="str">
        <f aca="false">IF($G146=0,IF(DJ$11=$H146,"◆",""),IF(AND(DJ$11&gt;=$H146,DJ$11&lt;=$I146),1,""))</f>
        <v/>
      </c>
      <c r="DK146" s="448" t="str">
        <f aca="false">IF($G146=0,IF(DK$11=$H146,"◆",""),IF(AND(DK$11&gt;=$H146,DK$11&lt;=$I146),1,""))</f>
        <v/>
      </c>
      <c r="DL146" s="448" t="str">
        <f aca="false">IF($G146=0,IF(DL$11=$H146,"◆",""),IF(AND(DL$11&gt;=$H146,DL$11&lt;=$I146),1,""))</f>
        <v/>
      </c>
      <c r="DM146" s="448" t="str">
        <f aca="false">IF($G146=0,IF(DM$11=$H146,"◆",""),IF(AND(DM$11&gt;=$H146,DM$11&lt;=$I146),1,""))</f>
        <v/>
      </c>
      <c r="DN146" s="448" t="str">
        <f aca="false">IF($G146=0,IF(DN$11=$H146,"◆",""),IF(AND(DN$11&gt;=$H146,DN$11&lt;=$I146),1,""))</f>
        <v/>
      </c>
      <c r="DO146" s="448" t="str">
        <f aca="false">IF($G146=0,IF(DO$11=$H146,"◆",""),IF(AND(DO$11&gt;=$H146,DO$11&lt;=$I146),1,""))</f>
        <v/>
      </c>
      <c r="DP146" s="448" t="str">
        <f aca="false">IF($G146=0,IF(DP$11=$H146,"◆",""),IF(AND(DP$11&gt;=$H146,DP$11&lt;=$I146),1,""))</f>
        <v/>
      </c>
      <c r="DQ146" s="448" t="str">
        <f aca="false">IF($G146=0,IF(DQ$11=$H146,"◆",""),IF(AND(DQ$11&gt;=$H146,DQ$11&lt;=$I146),1,""))</f>
        <v/>
      </c>
      <c r="DR146" s="448" t="str">
        <f aca="false">IF($G146=0,IF(DR$11=$H146,"◆",""),IF(AND(DR$11&gt;=$H146,DR$11&lt;=$I146),1,""))</f>
        <v/>
      </c>
      <c r="DS146" s="448" t="str">
        <f aca="false">IF($G146=0,IF(DS$11=$H146,"◆",""),IF(AND(DS$11&gt;=$H146,DS$11&lt;=$I146),1,""))</f>
        <v/>
      </c>
      <c r="DT146" s="448" t="str">
        <f aca="false">IF($G146=0,IF(DT$11=$H146,"◆",""),IF(AND(DT$11&gt;=$H146,DT$11&lt;=$I146),1,""))</f>
        <v/>
      </c>
      <c r="DU146" s="448" t="str">
        <f aca="false">IF($G146=0,IF(DU$11=$H146,"◆",""),IF(AND(DU$11&gt;=$H146,DU$11&lt;=$I146),1,""))</f>
        <v/>
      </c>
      <c r="DV146" s="448" t="str">
        <f aca="false">IF($G146=0,IF(DV$11=$H146,"◆",""),IF(AND(DV$11&gt;=$H146,DV$11&lt;=$I146),1,""))</f>
        <v/>
      </c>
      <c r="DW146" s="448" t="str">
        <f aca="false">IF($G146=0,IF(DW$11=$H146,"◆",""),IF(AND(DW$11&gt;=$H146,DW$11&lt;=$I146),1,""))</f>
        <v/>
      </c>
      <c r="DX146" s="448" t="str">
        <f aca="false">IF($G146=0,IF(DX$11=$H146,"◆",""),IF(AND(DX$11&gt;=$H146,DX$11&lt;=$I146),1,""))</f>
        <v/>
      </c>
      <c r="DY146" s="448" t="str">
        <f aca="false">IF($G146=0,IF(DY$11=$H146,"◆",""),IF(AND(DY$11&gt;=$H146,DY$11&lt;=$I146),1,""))</f>
        <v/>
      </c>
      <c r="DZ146" s="448" t="str">
        <f aca="false">IF($G146=0,IF(DZ$11=$H146,"◆",""),IF(AND(DZ$11&gt;=$H146,DZ$11&lt;=$I146),1,""))</f>
        <v/>
      </c>
      <c r="EA146" s="448" t="str">
        <f aca="false">IF($G146=0,IF(EA$11=$H146,"◆",""),IF(AND(EA$11&gt;=$H146,EA$11&lt;=$I146),1,""))</f>
        <v/>
      </c>
      <c r="EB146" s="448" t="str">
        <f aca="false">IF($G146=0,IF(EB$11=$H146,"◆",""),IF(AND(EB$11&gt;=$H146,EB$11&lt;=$I146),1,""))</f>
        <v/>
      </c>
      <c r="EC146" s="448" t="str">
        <f aca="false">IF($G146=0,IF(EC$11=$H146,"◆",""),IF(AND(EC$11&gt;=$H146,EC$11&lt;=$I146),1,""))</f>
        <v/>
      </c>
      <c r="ED146" s="448" t="str">
        <f aca="false">IF($G146=0,IF(ED$11=$H146,"◆",""),IF(AND(ED$11&gt;=$H146,ED$11&lt;=$I146),1,""))</f>
        <v/>
      </c>
    </row>
    <row r="147" customFormat="false" ht="15" hidden="false" customHeight="true" outlineLevel="0" collapsed="false">
      <c r="A147" s="439"/>
      <c r="B147" s="440" t="s">
        <v>2748</v>
      </c>
      <c r="C147" s="126"/>
      <c r="D147" s="126"/>
      <c r="E147" s="126"/>
      <c r="F147" s="126"/>
      <c r="G147" s="126"/>
      <c r="H147" s="126"/>
      <c r="I147" s="126"/>
      <c r="J147" s="126"/>
      <c r="K147" s="126"/>
      <c r="L147" s="126"/>
      <c r="M147" s="126"/>
      <c r="N147" s="126"/>
      <c r="O147" s="126"/>
      <c r="P147" s="126"/>
      <c r="Q147" s="126"/>
      <c r="R147" s="126"/>
      <c r="S147" s="126"/>
      <c r="T147" s="126"/>
      <c r="U147" s="126"/>
      <c r="V147" s="126"/>
      <c r="W147" s="126"/>
      <c r="X147" s="126"/>
      <c r="Y147" s="126"/>
      <c r="Z147" s="126"/>
      <c r="AA147" s="126"/>
      <c r="AB147" s="126"/>
      <c r="AC147" s="126"/>
      <c r="AD147" s="126"/>
      <c r="AE147" s="126"/>
      <c r="AF147" s="126"/>
      <c r="AG147" s="126"/>
      <c r="AH147" s="126"/>
      <c r="AI147" s="126"/>
      <c r="AJ147" s="126"/>
      <c r="AK147" s="126"/>
      <c r="AL147" s="126"/>
      <c r="AM147" s="126"/>
      <c r="AN147" s="126"/>
      <c r="AO147" s="126"/>
      <c r="AP147" s="126"/>
      <c r="AQ147" s="126"/>
      <c r="AR147" s="126"/>
      <c r="AS147" s="126"/>
      <c r="AT147" s="126"/>
      <c r="AU147" s="126"/>
      <c r="AV147" s="126"/>
      <c r="AW147" s="126"/>
      <c r="AX147" s="126"/>
      <c r="AY147" s="126"/>
      <c r="AZ147" s="126"/>
      <c r="BA147" s="126"/>
      <c r="BB147" s="126"/>
      <c r="BC147" s="126"/>
      <c r="BD147" s="126"/>
      <c r="BE147" s="126"/>
      <c r="BF147" s="126"/>
      <c r="BG147" s="126"/>
      <c r="BH147" s="126"/>
      <c r="BI147" s="126"/>
      <c r="BJ147" s="126"/>
      <c r="BK147" s="126"/>
      <c r="BL147" s="126"/>
      <c r="BM147" s="126"/>
      <c r="BN147" s="126"/>
      <c r="BO147" s="126"/>
      <c r="BP147" s="126"/>
      <c r="BQ147" s="126"/>
      <c r="BR147" s="126"/>
      <c r="BS147" s="126"/>
      <c r="BT147" s="126"/>
      <c r="BU147" s="126"/>
      <c r="BV147" s="126"/>
      <c r="BW147" s="126"/>
      <c r="BX147" s="126"/>
      <c r="BY147" s="126"/>
      <c r="BZ147" s="126"/>
      <c r="CA147" s="126"/>
      <c r="CB147" s="126"/>
      <c r="CC147" s="126"/>
      <c r="CD147" s="126"/>
      <c r="CE147" s="126"/>
      <c r="CF147" s="126"/>
      <c r="CG147" s="126"/>
      <c r="CH147" s="126"/>
      <c r="CI147" s="126"/>
      <c r="CJ147" s="126"/>
      <c r="CK147" s="126"/>
      <c r="CL147" s="126"/>
      <c r="CM147" s="126"/>
      <c r="CN147" s="126"/>
      <c r="CO147" s="126"/>
      <c r="CP147" s="126"/>
      <c r="CQ147" s="126"/>
      <c r="CR147" s="126"/>
      <c r="CS147" s="126"/>
      <c r="CT147" s="126"/>
      <c r="CU147" s="126"/>
      <c r="CV147" s="126"/>
      <c r="CW147" s="126"/>
      <c r="CX147" s="126"/>
      <c r="CY147" s="126"/>
      <c r="CZ147" s="126"/>
      <c r="DA147" s="126"/>
      <c r="DB147" s="126"/>
      <c r="DC147" s="126"/>
      <c r="DD147" s="126"/>
      <c r="DE147" s="126"/>
      <c r="DF147" s="126"/>
      <c r="DG147" s="126"/>
      <c r="DH147" s="126"/>
      <c r="DI147" s="126"/>
      <c r="DJ147" s="126"/>
      <c r="DK147" s="126"/>
      <c r="DL147" s="126"/>
      <c r="DM147" s="126"/>
      <c r="DN147" s="126"/>
      <c r="DO147" s="126"/>
      <c r="DP147" s="126"/>
      <c r="DQ147" s="126"/>
      <c r="DR147" s="126"/>
      <c r="DS147" s="126"/>
      <c r="DT147" s="126"/>
      <c r="DU147" s="126"/>
      <c r="DV147" s="126"/>
      <c r="DW147" s="126"/>
      <c r="DX147" s="126"/>
      <c r="DY147" s="126"/>
      <c r="DZ147" s="126"/>
      <c r="EA147" s="126"/>
      <c r="EB147" s="126"/>
      <c r="EC147" s="126"/>
      <c r="ED147" s="126"/>
    </row>
    <row r="148" customFormat="false" ht="15" hidden="false" customHeight="true" outlineLevel="0" collapsed="false">
      <c r="A148" s="441" t="s">
        <v>2749</v>
      </c>
      <c r="B148" s="297" t="s">
        <v>2750</v>
      </c>
      <c r="C148" s="442" t="s">
        <v>2751</v>
      </c>
      <c r="D148" s="443" t="s">
        <v>2500</v>
      </c>
      <c r="E148" s="354" t="n">
        <f aca="false">FC_SUPUESTOS!$C$23</f>
        <v>10</v>
      </c>
      <c r="F148" s="352" t="n">
        <v>0</v>
      </c>
      <c r="G148" s="352" t="n">
        <v>3</v>
      </c>
      <c r="H148" s="367" t="n">
        <f aca="false">MAX(1,ROUND(($E148-1)*$D$5,0)+1+$F148)</f>
        <v>40</v>
      </c>
      <c r="I148" s="367" t="n">
        <f aca="false">MAX($H148,$H148+$G148-1)</f>
        <v>42</v>
      </c>
      <c r="J148" s="444" t="n">
        <f aca="false">$D$4+($H148-1)*7</f>
        <v>46573</v>
      </c>
      <c r="K148" s="444" t="n">
        <f aca="false">$D$4+$I148*7-1</f>
        <v>46593</v>
      </c>
      <c r="L148" s="445" t="n">
        <f aca="false">ROUNDUP($H148/$D$5,0)</f>
        <v>10</v>
      </c>
      <c r="M148" s="446" t="s">
        <v>2453</v>
      </c>
      <c r="N148" s="447" t="n">
        <v>0</v>
      </c>
      <c r="O148" s="448" t="str">
        <f aca="false">IF($G148=0,IF(O$11=$H148,"◆",""),IF(AND(O$11&gt;=$H148,O$11&lt;=$I148),1,""))</f>
        <v/>
      </c>
      <c r="P148" s="448" t="str">
        <f aca="false">IF($G148=0,IF(P$11=$H148,"◆",""),IF(AND(P$11&gt;=$H148,P$11&lt;=$I148),1,""))</f>
        <v/>
      </c>
      <c r="Q148" s="448" t="str">
        <f aca="false">IF($G148=0,IF(Q$11=$H148,"◆",""),IF(AND(Q$11&gt;=$H148,Q$11&lt;=$I148),1,""))</f>
        <v/>
      </c>
      <c r="R148" s="448" t="str">
        <f aca="false">IF($G148=0,IF(R$11=$H148,"◆",""),IF(AND(R$11&gt;=$H148,R$11&lt;=$I148),1,""))</f>
        <v/>
      </c>
      <c r="S148" s="448" t="str">
        <f aca="false">IF($G148=0,IF(S$11=$H148,"◆",""),IF(AND(S$11&gt;=$H148,S$11&lt;=$I148),1,""))</f>
        <v/>
      </c>
      <c r="T148" s="448" t="str">
        <f aca="false">IF($G148=0,IF(T$11=$H148,"◆",""),IF(AND(T$11&gt;=$H148,T$11&lt;=$I148),1,""))</f>
        <v/>
      </c>
      <c r="U148" s="448" t="str">
        <f aca="false">IF($G148=0,IF(U$11=$H148,"◆",""),IF(AND(U$11&gt;=$H148,U$11&lt;=$I148),1,""))</f>
        <v/>
      </c>
      <c r="V148" s="448" t="str">
        <f aca="false">IF($G148=0,IF(V$11=$H148,"◆",""),IF(AND(V$11&gt;=$H148,V$11&lt;=$I148),1,""))</f>
        <v/>
      </c>
      <c r="W148" s="448" t="str">
        <f aca="false">IF($G148=0,IF(W$11=$H148,"◆",""),IF(AND(W$11&gt;=$H148,W$11&lt;=$I148),1,""))</f>
        <v/>
      </c>
      <c r="X148" s="448" t="str">
        <f aca="false">IF($G148=0,IF(X$11=$H148,"◆",""),IF(AND(X$11&gt;=$H148,X$11&lt;=$I148),1,""))</f>
        <v/>
      </c>
      <c r="Y148" s="448" t="str">
        <f aca="false">IF($G148=0,IF(Y$11=$H148,"◆",""),IF(AND(Y$11&gt;=$H148,Y$11&lt;=$I148),1,""))</f>
        <v/>
      </c>
      <c r="Z148" s="448" t="str">
        <f aca="false">IF($G148=0,IF(Z$11=$H148,"◆",""),IF(AND(Z$11&gt;=$H148,Z$11&lt;=$I148),1,""))</f>
        <v/>
      </c>
      <c r="AA148" s="448" t="str">
        <f aca="false">IF($G148=0,IF(AA$11=$H148,"◆",""),IF(AND(AA$11&gt;=$H148,AA$11&lt;=$I148),1,""))</f>
        <v/>
      </c>
      <c r="AB148" s="448" t="str">
        <f aca="false">IF($G148=0,IF(AB$11=$H148,"◆",""),IF(AND(AB$11&gt;=$H148,AB$11&lt;=$I148),1,""))</f>
        <v/>
      </c>
      <c r="AC148" s="448" t="str">
        <f aca="false">IF($G148=0,IF(AC$11=$H148,"◆",""),IF(AND(AC$11&gt;=$H148,AC$11&lt;=$I148),1,""))</f>
        <v/>
      </c>
      <c r="AD148" s="448" t="str">
        <f aca="false">IF($G148=0,IF(AD$11=$H148,"◆",""),IF(AND(AD$11&gt;=$H148,AD$11&lt;=$I148),1,""))</f>
        <v/>
      </c>
      <c r="AE148" s="448" t="str">
        <f aca="false">IF($G148=0,IF(AE$11=$H148,"◆",""),IF(AND(AE$11&gt;=$H148,AE$11&lt;=$I148),1,""))</f>
        <v/>
      </c>
      <c r="AF148" s="448" t="str">
        <f aca="false">IF($G148=0,IF(AF$11=$H148,"◆",""),IF(AND(AF$11&gt;=$H148,AF$11&lt;=$I148),1,""))</f>
        <v/>
      </c>
      <c r="AG148" s="448" t="str">
        <f aca="false">IF($G148=0,IF(AG$11=$H148,"◆",""),IF(AND(AG$11&gt;=$H148,AG$11&lt;=$I148),1,""))</f>
        <v/>
      </c>
      <c r="AH148" s="448" t="str">
        <f aca="false">IF($G148=0,IF(AH$11=$H148,"◆",""),IF(AND(AH$11&gt;=$H148,AH$11&lt;=$I148),1,""))</f>
        <v/>
      </c>
      <c r="AI148" s="448" t="str">
        <f aca="false">IF($G148=0,IF(AI$11=$H148,"◆",""),IF(AND(AI$11&gt;=$H148,AI$11&lt;=$I148),1,""))</f>
        <v/>
      </c>
      <c r="AJ148" s="448" t="str">
        <f aca="false">IF($G148=0,IF(AJ$11=$H148,"◆",""),IF(AND(AJ$11&gt;=$H148,AJ$11&lt;=$I148),1,""))</f>
        <v/>
      </c>
      <c r="AK148" s="448" t="str">
        <f aca="false">IF($G148=0,IF(AK$11=$H148,"◆",""),IF(AND(AK$11&gt;=$H148,AK$11&lt;=$I148),1,""))</f>
        <v/>
      </c>
      <c r="AL148" s="448" t="str">
        <f aca="false">IF($G148=0,IF(AL$11=$H148,"◆",""),IF(AND(AL$11&gt;=$H148,AL$11&lt;=$I148),1,""))</f>
        <v/>
      </c>
      <c r="AM148" s="448" t="str">
        <f aca="false">IF($G148=0,IF(AM$11=$H148,"◆",""),IF(AND(AM$11&gt;=$H148,AM$11&lt;=$I148),1,""))</f>
        <v/>
      </c>
      <c r="AN148" s="448" t="str">
        <f aca="false">IF($G148=0,IF(AN$11=$H148,"◆",""),IF(AND(AN$11&gt;=$H148,AN$11&lt;=$I148),1,""))</f>
        <v/>
      </c>
      <c r="AO148" s="448" t="str">
        <f aca="false">IF($G148=0,IF(AO$11=$H148,"◆",""),IF(AND(AO$11&gt;=$H148,AO$11&lt;=$I148),1,""))</f>
        <v/>
      </c>
      <c r="AP148" s="448" t="str">
        <f aca="false">IF($G148=0,IF(AP$11=$H148,"◆",""),IF(AND(AP$11&gt;=$H148,AP$11&lt;=$I148),1,""))</f>
        <v/>
      </c>
      <c r="AQ148" s="448" t="str">
        <f aca="false">IF($G148=0,IF(AQ$11=$H148,"◆",""),IF(AND(AQ$11&gt;=$H148,AQ$11&lt;=$I148),1,""))</f>
        <v/>
      </c>
      <c r="AR148" s="448" t="str">
        <f aca="false">IF($G148=0,IF(AR$11=$H148,"◆",""),IF(AND(AR$11&gt;=$H148,AR$11&lt;=$I148),1,""))</f>
        <v/>
      </c>
      <c r="AS148" s="448" t="str">
        <f aca="false">IF($G148=0,IF(AS$11=$H148,"◆",""),IF(AND(AS$11&gt;=$H148,AS$11&lt;=$I148),1,""))</f>
        <v/>
      </c>
      <c r="AT148" s="448" t="str">
        <f aca="false">IF($G148=0,IF(AT$11=$H148,"◆",""),IF(AND(AT$11&gt;=$H148,AT$11&lt;=$I148),1,""))</f>
        <v/>
      </c>
      <c r="AU148" s="448" t="str">
        <f aca="false">IF($G148=0,IF(AU$11=$H148,"◆",""),IF(AND(AU$11&gt;=$H148,AU$11&lt;=$I148),1,""))</f>
        <v/>
      </c>
      <c r="AV148" s="448" t="str">
        <f aca="false">IF($G148=0,IF(AV$11=$H148,"◆",""),IF(AND(AV$11&gt;=$H148,AV$11&lt;=$I148),1,""))</f>
        <v/>
      </c>
      <c r="AW148" s="448" t="str">
        <f aca="false">IF($G148=0,IF(AW$11=$H148,"◆",""),IF(AND(AW$11&gt;=$H148,AW$11&lt;=$I148),1,""))</f>
        <v/>
      </c>
      <c r="AX148" s="448" t="str">
        <f aca="false">IF($G148=0,IF(AX$11=$H148,"◆",""),IF(AND(AX$11&gt;=$H148,AX$11&lt;=$I148),1,""))</f>
        <v/>
      </c>
      <c r="AY148" s="448" t="str">
        <f aca="false">IF($G148=0,IF(AY$11=$H148,"◆",""),IF(AND(AY$11&gt;=$H148,AY$11&lt;=$I148),1,""))</f>
        <v/>
      </c>
      <c r="AZ148" s="448" t="str">
        <f aca="false">IF($G148=0,IF(AZ$11=$H148,"◆",""),IF(AND(AZ$11&gt;=$H148,AZ$11&lt;=$I148),1,""))</f>
        <v/>
      </c>
      <c r="BA148" s="448" t="str">
        <f aca="false">IF($G148=0,IF(BA$11=$H148,"◆",""),IF(AND(BA$11&gt;=$H148,BA$11&lt;=$I148),1,""))</f>
        <v/>
      </c>
      <c r="BB148" s="448" t="n">
        <f aca="false">IF($G148=0,IF(BB$11=$H148,"◆",""),IF(AND(BB$11&gt;=$H148,BB$11&lt;=$I148),1,""))</f>
        <v>1</v>
      </c>
      <c r="BC148" s="448" t="n">
        <f aca="false">IF($G148=0,IF(BC$11=$H148,"◆",""),IF(AND(BC$11&gt;=$H148,BC$11&lt;=$I148),1,""))</f>
        <v>1</v>
      </c>
      <c r="BD148" s="448" t="n">
        <f aca="false">IF($G148=0,IF(BD$11=$H148,"◆",""),IF(AND(BD$11&gt;=$H148,BD$11&lt;=$I148),1,""))</f>
        <v>1</v>
      </c>
      <c r="BE148" s="448" t="str">
        <f aca="false">IF($G148=0,IF(BE$11=$H148,"◆",""),IF(AND(BE$11&gt;=$H148,BE$11&lt;=$I148),1,""))</f>
        <v/>
      </c>
      <c r="BF148" s="448" t="str">
        <f aca="false">IF($G148=0,IF(BF$11=$H148,"◆",""),IF(AND(BF$11&gt;=$H148,BF$11&lt;=$I148),1,""))</f>
        <v/>
      </c>
      <c r="BG148" s="448" t="str">
        <f aca="false">IF($G148=0,IF(BG$11=$H148,"◆",""),IF(AND(BG$11&gt;=$H148,BG$11&lt;=$I148),1,""))</f>
        <v/>
      </c>
      <c r="BH148" s="448" t="str">
        <f aca="false">IF($G148=0,IF(BH$11=$H148,"◆",""),IF(AND(BH$11&gt;=$H148,BH$11&lt;=$I148),1,""))</f>
        <v/>
      </c>
      <c r="BI148" s="448" t="str">
        <f aca="false">IF($G148=0,IF(BI$11=$H148,"◆",""),IF(AND(BI$11&gt;=$H148,BI$11&lt;=$I148),1,""))</f>
        <v/>
      </c>
      <c r="BJ148" s="448" t="str">
        <f aca="false">IF($G148=0,IF(BJ$11=$H148,"◆",""),IF(AND(BJ$11&gt;=$H148,BJ$11&lt;=$I148),1,""))</f>
        <v/>
      </c>
      <c r="BK148" s="448" t="str">
        <f aca="false">IF($G148=0,IF(BK$11=$H148,"◆",""),IF(AND(BK$11&gt;=$H148,BK$11&lt;=$I148),1,""))</f>
        <v/>
      </c>
      <c r="BL148" s="448" t="str">
        <f aca="false">IF($G148=0,IF(BL$11=$H148,"◆",""),IF(AND(BL$11&gt;=$H148,BL$11&lt;=$I148),1,""))</f>
        <v/>
      </c>
      <c r="BM148" s="448" t="str">
        <f aca="false">IF($G148=0,IF(BM$11=$H148,"◆",""),IF(AND(BM$11&gt;=$H148,BM$11&lt;=$I148),1,""))</f>
        <v/>
      </c>
      <c r="BN148" s="448" t="str">
        <f aca="false">IF($G148=0,IF(BN$11=$H148,"◆",""),IF(AND(BN$11&gt;=$H148,BN$11&lt;=$I148),1,""))</f>
        <v/>
      </c>
      <c r="BO148" s="448" t="str">
        <f aca="false">IF($G148=0,IF(BO$11=$H148,"◆",""),IF(AND(BO$11&gt;=$H148,BO$11&lt;=$I148),1,""))</f>
        <v/>
      </c>
      <c r="BP148" s="448" t="str">
        <f aca="false">IF($G148=0,IF(BP$11=$H148,"◆",""),IF(AND(BP$11&gt;=$H148,BP$11&lt;=$I148),1,""))</f>
        <v/>
      </c>
      <c r="BQ148" s="448" t="str">
        <f aca="false">IF($G148=0,IF(BQ$11=$H148,"◆",""),IF(AND(BQ$11&gt;=$H148,BQ$11&lt;=$I148),1,""))</f>
        <v/>
      </c>
      <c r="BR148" s="448" t="str">
        <f aca="false">IF($G148=0,IF(BR$11=$H148,"◆",""),IF(AND(BR$11&gt;=$H148,BR$11&lt;=$I148),1,""))</f>
        <v/>
      </c>
      <c r="BS148" s="448" t="str">
        <f aca="false">IF($G148=0,IF(BS$11=$H148,"◆",""),IF(AND(BS$11&gt;=$H148,BS$11&lt;=$I148),1,""))</f>
        <v/>
      </c>
      <c r="BT148" s="448" t="str">
        <f aca="false">IF($G148=0,IF(BT$11=$H148,"◆",""),IF(AND(BT$11&gt;=$H148,BT$11&lt;=$I148),1,""))</f>
        <v/>
      </c>
      <c r="BU148" s="448" t="str">
        <f aca="false">IF($G148=0,IF(BU$11=$H148,"◆",""),IF(AND(BU$11&gt;=$H148,BU$11&lt;=$I148),1,""))</f>
        <v/>
      </c>
      <c r="BV148" s="448" t="str">
        <f aca="false">IF($G148=0,IF(BV$11=$H148,"◆",""),IF(AND(BV$11&gt;=$H148,BV$11&lt;=$I148),1,""))</f>
        <v/>
      </c>
      <c r="BW148" s="448" t="str">
        <f aca="false">IF($G148=0,IF(BW$11=$H148,"◆",""),IF(AND(BW$11&gt;=$H148,BW$11&lt;=$I148),1,""))</f>
        <v/>
      </c>
      <c r="BX148" s="448" t="str">
        <f aca="false">IF($G148=0,IF(BX$11=$H148,"◆",""),IF(AND(BX$11&gt;=$H148,BX$11&lt;=$I148),1,""))</f>
        <v/>
      </c>
      <c r="BY148" s="448" t="str">
        <f aca="false">IF($G148=0,IF(BY$11=$H148,"◆",""),IF(AND(BY$11&gt;=$H148,BY$11&lt;=$I148),1,""))</f>
        <v/>
      </c>
      <c r="BZ148" s="448" t="str">
        <f aca="false">IF($G148=0,IF(BZ$11=$H148,"◆",""),IF(AND(BZ$11&gt;=$H148,BZ$11&lt;=$I148),1,""))</f>
        <v/>
      </c>
      <c r="CA148" s="448" t="str">
        <f aca="false">IF($G148=0,IF(CA$11=$H148,"◆",""),IF(AND(CA$11&gt;=$H148,CA$11&lt;=$I148),1,""))</f>
        <v/>
      </c>
      <c r="CB148" s="448" t="str">
        <f aca="false">IF($G148=0,IF(CB$11=$H148,"◆",""),IF(AND(CB$11&gt;=$H148,CB$11&lt;=$I148),1,""))</f>
        <v/>
      </c>
      <c r="CC148" s="448" t="str">
        <f aca="false">IF($G148=0,IF(CC$11=$H148,"◆",""),IF(AND(CC$11&gt;=$H148,CC$11&lt;=$I148),1,""))</f>
        <v/>
      </c>
      <c r="CD148" s="448" t="str">
        <f aca="false">IF($G148=0,IF(CD$11=$H148,"◆",""),IF(AND(CD$11&gt;=$H148,CD$11&lt;=$I148),1,""))</f>
        <v/>
      </c>
      <c r="CE148" s="448" t="str">
        <f aca="false">IF($G148=0,IF(CE$11=$H148,"◆",""),IF(AND(CE$11&gt;=$H148,CE$11&lt;=$I148),1,""))</f>
        <v/>
      </c>
      <c r="CF148" s="448" t="str">
        <f aca="false">IF($G148=0,IF(CF$11=$H148,"◆",""),IF(AND(CF$11&gt;=$H148,CF$11&lt;=$I148),1,""))</f>
        <v/>
      </c>
      <c r="CG148" s="448" t="str">
        <f aca="false">IF($G148=0,IF(CG$11=$H148,"◆",""),IF(AND(CG$11&gt;=$H148,CG$11&lt;=$I148),1,""))</f>
        <v/>
      </c>
      <c r="CH148" s="448" t="str">
        <f aca="false">IF($G148=0,IF(CH$11=$H148,"◆",""),IF(AND(CH$11&gt;=$H148,CH$11&lt;=$I148),1,""))</f>
        <v/>
      </c>
      <c r="CI148" s="448" t="str">
        <f aca="false">IF($G148=0,IF(CI$11=$H148,"◆",""),IF(AND(CI$11&gt;=$H148,CI$11&lt;=$I148),1,""))</f>
        <v/>
      </c>
      <c r="CJ148" s="448" t="str">
        <f aca="false">IF($G148=0,IF(CJ$11=$H148,"◆",""),IF(AND(CJ$11&gt;=$H148,CJ$11&lt;=$I148),1,""))</f>
        <v/>
      </c>
      <c r="CK148" s="448" t="str">
        <f aca="false">IF($G148=0,IF(CK$11=$H148,"◆",""),IF(AND(CK$11&gt;=$H148,CK$11&lt;=$I148),1,""))</f>
        <v/>
      </c>
      <c r="CL148" s="448" t="str">
        <f aca="false">IF($G148=0,IF(CL$11=$H148,"◆",""),IF(AND(CL$11&gt;=$H148,CL$11&lt;=$I148),1,""))</f>
        <v/>
      </c>
      <c r="CM148" s="448" t="str">
        <f aca="false">IF($G148=0,IF(CM$11=$H148,"◆",""),IF(AND(CM$11&gt;=$H148,CM$11&lt;=$I148),1,""))</f>
        <v/>
      </c>
      <c r="CN148" s="448" t="str">
        <f aca="false">IF($G148=0,IF(CN$11=$H148,"◆",""),IF(AND(CN$11&gt;=$H148,CN$11&lt;=$I148),1,""))</f>
        <v/>
      </c>
      <c r="CO148" s="448" t="str">
        <f aca="false">IF($G148=0,IF(CO$11=$H148,"◆",""),IF(AND(CO$11&gt;=$H148,CO$11&lt;=$I148),1,""))</f>
        <v/>
      </c>
      <c r="CP148" s="448" t="str">
        <f aca="false">IF($G148=0,IF(CP$11=$H148,"◆",""),IF(AND(CP$11&gt;=$H148,CP$11&lt;=$I148),1,""))</f>
        <v/>
      </c>
      <c r="CQ148" s="448" t="str">
        <f aca="false">IF($G148=0,IF(CQ$11=$H148,"◆",""),IF(AND(CQ$11&gt;=$H148,CQ$11&lt;=$I148),1,""))</f>
        <v/>
      </c>
      <c r="CR148" s="448" t="str">
        <f aca="false">IF($G148=0,IF(CR$11=$H148,"◆",""),IF(AND(CR$11&gt;=$H148,CR$11&lt;=$I148),1,""))</f>
        <v/>
      </c>
      <c r="CS148" s="448" t="str">
        <f aca="false">IF($G148=0,IF(CS$11=$H148,"◆",""),IF(AND(CS$11&gt;=$H148,CS$11&lt;=$I148),1,""))</f>
        <v/>
      </c>
      <c r="CT148" s="448" t="str">
        <f aca="false">IF($G148=0,IF(CT$11=$H148,"◆",""),IF(AND(CT$11&gt;=$H148,CT$11&lt;=$I148),1,""))</f>
        <v/>
      </c>
      <c r="CU148" s="448" t="str">
        <f aca="false">IF($G148=0,IF(CU$11=$H148,"◆",""),IF(AND(CU$11&gt;=$H148,CU$11&lt;=$I148),1,""))</f>
        <v/>
      </c>
      <c r="CV148" s="448" t="str">
        <f aca="false">IF($G148=0,IF(CV$11=$H148,"◆",""),IF(AND(CV$11&gt;=$H148,CV$11&lt;=$I148),1,""))</f>
        <v/>
      </c>
      <c r="CW148" s="448" t="str">
        <f aca="false">IF($G148=0,IF(CW$11=$H148,"◆",""),IF(AND(CW$11&gt;=$H148,CW$11&lt;=$I148),1,""))</f>
        <v/>
      </c>
      <c r="CX148" s="448" t="str">
        <f aca="false">IF($G148=0,IF(CX$11=$H148,"◆",""),IF(AND(CX$11&gt;=$H148,CX$11&lt;=$I148),1,""))</f>
        <v/>
      </c>
      <c r="CY148" s="448" t="str">
        <f aca="false">IF($G148=0,IF(CY$11=$H148,"◆",""),IF(AND(CY$11&gt;=$H148,CY$11&lt;=$I148),1,""))</f>
        <v/>
      </c>
      <c r="CZ148" s="448" t="str">
        <f aca="false">IF($G148=0,IF(CZ$11=$H148,"◆",""),IF(AND(CZ$11&gt;=$H148,CZ$11&lt;=$I148),1,""))</f>
        <v/>
      </c>
      <c r="DA148" s="448" t="str">
        <f aca="false">IF($G148=0,IF(DA$11=$H148,"◆",""),IF(AND(DA$11&gt;=$H148,DA$11&lt;=$I148),1,""))</f>
        <v/>
      </c>
      <c r="DB148" s="448" t="str">
        <f aca="false">IF($G148=0,IF(DB$11=$H148,"◆",""),IF(AND(DB$11&gt;=$H148,DB$11&lt;=$I148),1,""))</f>
        <v/>
      </c>
      <c r="DC148" s="448" t="str">
        <f aca="false">IF($G148=0,IF(DC$11=$H148,"◆",""),IF(AND(DC$11&gt;=$H148,DC$11&lt;=$I148),1,""))</f>
        <v/>
      </c>
      <c r="DD148" s="448" t="str">
        <f aca="false">IF($G148=0,IF(DD$11=$H148,"◆",""),IF(AND(DD$11&gt;=$H148,DD$11&lt;=$I148),1,""))</f>
        <v/>
      </c>
      <c r="DE148" s="448" t="str">
        <f aca="false">IF($G148=0,IF(DE$11=$H148,"◆",""),IF(AND(DE$11&gt;=$H148,DE$11&lt;=$I148),1,""))</f>
        <v/>
      </c>
      <c r="DF148" s="448" t="str">
        <f aca="false">IF($G148=0,IF(DF$11=$H148,"◆",""),IF(AND(DF$11&gt;=$H148,DF$11&lt;=$I148),1,""))</f>
        <v/>
      </c>
      <c r="DG148" s="448" t="str">
        <f aca="false">IF($G148=0,IF(DG$11=$H148,"◆",""),IF(AND(DG$11&gt;=$H148,DG$11&lt;=$I148),1,""))</f>
        <v/>
      </c>
      <c r="DH148" s="448" t="str">
        <f aca="false">IF($G148=0,IF(DH$11=$H148,"◆",""),IF(AND(DH$11&gt;=$H148,DH$11&lt;=$I148),1,""))</f>
        <v/>
      </c>
      <c r="DI148" s="448" t="str">
        <f aca="false">IF($G148=0,IF(DI$11=$H148,"◆",""),IF(AND(DI$11&gt;=$H148,DI$11&lt;=$I148),1,""))</f>
        <v/>
      </c>
      <c r="DJ148" s="448" t="str">
        <f aca="false">IF($G148=0,IF(DJ$11=$H148,"◆",""),IF(AND(DJ$11&gt;=$H148,DJ$11&lt;=$I148),1,""))</f>
        <v/>
      </c>
      <c r="DK148" s="448" t="str">
        <f aca="false">IF($G148=0,IF(DK$11=$H148,"◆",""),IF(AND(DK$11&gt;=$H148,DK$11&lt;=$I148),1,""))</f>
        <v/>
      </c>
      <c r="DL148" s="448" t="str">
        <f aca="false">IF($G148=0,IF(DL$11=$H148,"◆",""),IF(AND(DL$11&gt;=$H148,DL$11&lt;=$I148),1,""))</f>
        <v/>
      </c>
      <c r="DM148" s="448" t="str">
        <f aca="false">IF($G148=0,IF(DM$11=$H148,"◆",""),IF(AND(DM$11&gt;=$H148,DM$11&lt;=$I148),1,""))</f>
        <v/>
      </c>
      <c r="DN148" s="448" t="str">
        <f aca="false">IF($G148=0,IF(DN$11=$H148,"◆",""),IF(AND(DN$11&gt;=$H148,DN$11&lt;=$I148),1,""))</f>
        <v/>
      </c>
      <c r="DO148" s="448" t="str">
        <f aca="false">IF($G148=0,IF(DO$11=$H148,"◆",""),IF(AND(DO$11&gt;=$H148,DO$11&lt;=$I148),1,""))</f>
        <v/>
      </c>
      <c r="DP148" s="448" t="str">
        <f aca="false">IF($G148=0,IF(DP$11=$H148,"◆",""),IF(AND(DP$11&gt;=$H148,DP$11&lt;=$I148),1,""))</f>
        <v/>
      </c>
      <c r="DQ148" s="448" t="str">
        <f aca="false">IF($G148=0,IF(DQ$11=$H148,"◆",""),IF(AND(DQ$11&gt;=$H148,DQ$11&lt;=$I148),1,""))</f>
        <v/>
      </c>
      <c r="DR148" s="448" t="str">
        <f aca="false">IF($G148=0,IF(DR$11=$H148,"◆",""),IF(AND(DR$11&gt;=$H148,DR$11&lt;=$I148),1,""))</f>
        <v/>
      </c>
      <c r="DS148" s="448" t="str">
        <f aca="false">IF($G148=0,IF(DS$11=$H148,"◆",""),IF(AND(DS$11&gt;=$H148,DS$11&lt;=$I148),1,""))</f>
        <v/>
      </c>
      <c r="DT148" s="448" t="str">
        <f aca="false">IF($G148=0,IF(DT$11=$H148,"◆",""),IF(AND(DT$11&gt;=$H148,DT$11&lt;=$I148),1,""))</f>
        <v/>
      </c>
      <c r="DU148" s="448" t="str">
        <f aca="false">IF($G148=0,IF(DU$11=$H148,"◆",""),IF(AND(DU$11&gt;=$H148,DU$11&lt;=$I148),1,""))</f>
        <v/>
      </c>
      <c r="DV148" s="448" t="str">
        <f aca="false">IF($G148=0,IF(DV$11=$H148,"◆",""),IF(AND(DV$11&gt;=$H148,DV$11&lt;=$I148),1,""))</f>
        <v/>
      </c>
      <c r="DW148" s="448" t="str">
        <f aca="false">IF($G148=0,IF(DW$11=$H148,"◆",""),IF(AND(DW$11&gt;=$H148,DW$11&lt;=$I148),1,""))</f>
        <v/>
      </c>
      <c r="DX148" s="448" t="str">
        <f aca="false">IF($G148=0,IF(DX$11=$H148,"◆",""),IF(AND(DX$11&gt;=$H148,DX$11&lt;=$I148),1,""))</f>
        <v/>
      </c>
      <c r="DY148" s="448" t="str">
        <f aca="false">IF($G148=0,IF(DY$11=$H148,"◆",""),IF(AND(DY$11&gt;=$H148,DY$11&lt;=$I148),1,""))</f>
        <v/>
      </c>
      <c r="DZ148" s="448" t="str">
        <f aca="false">IF($G148=0,IF(DZ$11=$H148,"◆",""),IF(AND(DZ$11&gt;=$H148,DZ$11&lt;=$I148),1,""))</f>
        <v/>
      </c>
      <c r="EA148" s="448" t="str">
        <f aca="false">IF($G148=0,IF(EA$11=$H148,"◆",""),IF(AND(EA$11&gt;=$H148,EA$11&lt;=$I148),1,""))</f>
        <v/>
      </c>
      <c r="EB148" s="448" t="str">
        <f aca="false">IF($G148=0,IF(EB$11=$H148,"◆",""),IF(AND(EB$11&gt;=$H148,EB$11&lt;=$I148),1,""))</f>
        <v/>
      </c>
      <c r="EC148" s="448" t="str">
        <f aca="false">IF($G148=0,IF(EC$11=$H148,"◆",""),IF(AND(EC$11&gt;=$H148,EC$11&lt;=$I148),1,""))</f>
        <v/>
      </c>
      <c r="ED148" s="448" t="str">
        <f aca="false">IF($G148=0,IF(ED$11=$H148,"◆",""),IF(AND(ED$11&gt;=$H148,ED$11&lt;=$I148),1,""))</f>
        <v/>
      </c>
    </row>
    <row r="149" customFormat="false" ht="15" hidden="false" customHeight="true" outlineLevel="0" collapsed="false">
      <c r="A149" s="441" t="s">
        <v>2752</v>
      </c>
      <c r="B149" s="297" t="s">
        <v>2753</v>
      </c>
      <c r="C149" s="442" t="s">
        <v>2751</v>
      </c>
      <c r="D149" s="443" t="s">
        <v>2500</v>
      </c>
      <c r="E149" s="354" t="n">
        <f aca="false">FC_SUPUESTOS!$C$23</f>
        <v>10</v>
      </c>
      <c r="F149" s="352" t="n">
        <v>1</v>
      </c>
      <c r="G149" s="352" t="n">
        <v>2</v>
      </c>
      <c r="H149" s="367" t="n">
        <f aca="false">MAX(1,ROUND(($E149-1)*$D$5,0)+1+$F149)</f>
        <v>41</v>
      </c>
      <c r="I149" s="367" t="n">
        <f aca="false">MAX($H149,$H149+$G149-1)</f>
        <v>42</v>
      </c>
      <c r="J149" s="444" t="n">
        <f aca="false">$D$4+($H149-1)*7</f>
        <v>46580</v>
      </c>
      <c r="K149" s="444" t="n">
        <f aca="false">$D$4+$I149*7-1</f>
        <v>46593</v>
      </c>
      <c r="L149" s="445" t="n">
        <f aca="false">ROUNDUP($H149/$D$5,0)</f>
        <v>10</v>
      </c>
      <c r="M149" s="446" t="s">
        <v>2453</v>
      </c>
      <c r="N149" s="447" t="n">
        <v>0</v>
      </c>
      <c r="O149" s="448" t="str">
        <f aca="false">IF($G149=0,IF(O$11=$H149,"◆",""),IF(AND(O$11&gt;=$H149,O$11&lt;=$I149),1,""))</f>
        <v/>
      </c>
      <c r="P149" s="448" t="str">
        <f aca="false">IF($G149=0,IF(P$11=$H149,"◆",""),IF(AND(P$11&gt;=$H149,P$11&lt;=$I149),1,""))</f>
        <v/>
      </c>
      <c r="Q149" s="448" t="str">
        <f aca="false">IF($G149=0,IF(Q$11=$H149,"◆",""),IF(AND(Q$11&gt;=$H149,Q$11&lt;=$I149),1,""))</f>
        <v/>
      </c>
      <c r="R149" s="448" t="str">
        <f aca="false">IF($G149=0,IF(R$11=$H149,"◆",""),IF(AND(R$11&gt;=$H149,R$11&lt;=$I149),1,""))</f>
        <v/>
      </c>
      <c r="S149" s="448" t="str">
        <f aca="false">IF($G149=0,IF(S$11=$H149,"◆",""),IF(AND(S$11&gt;=$H149,S$11&lt;=$I149),1,""))</f>
        <v/>
      </c>
      <c r="T149" s="448" t="str">
        <f aca="false">IF($G149=0,IF(T$11=$H149,"◆",""),IF(AND(T$11&gt;=$H149,T$11&lt;=$I149),1,""))</f>
        <v/>
      </c>
      <c r="U149" s="448" t="str">
        <f aca="false">IF($G149=0,IF(U$11=$H149,"◆",""),IF(AND(U$11&gt;=$H149,U$11&lt;=$I149),1,""))</f>
        <v/>
      </c>
      <c r="V149" s="448" t="str">
        <f aca="false">IF($G149=0,IF(V$11=$H149,"◆",""),IF(AND(V$11&gt;=$H149,V$11&lt;=$I149),1,""))</f>
        <v/>
      </c>
      <c r="W149" s="448" t="str">
        <f aca="false">IF($G149=0,IF(W$11=$H149,"◆",""),IF(AND(W$11&gt;=$H149,W$11&lt;=$I149),1,""))</f>
        <v/>
      </c>
      <c r="X149" s="448" t="str">
        <f aca="false">IF($G149=0,IF(X$11=$H149,"◆",""),IF(AND(X$11&gt;=$H149,X$11&lt;=$I149),1,""))</f>
        <v/>
      </c>
      <c r="Y149" s="448" t="str">
        <f aca="false">IF($G149=0,IF(Y$11=$H149,"◆",""),IF(AND(Y$11&gt;=$H149,Y$11&lt;=$I149),1,""))</f>
        <v/>
      </c>
      <c r="Z149" s="448" t="str">
        <f aca="false">IF($G149=0,IF(Z$11=$H149,"◆",""),IF(AND(Z$11&gt;=$H149,Z$11&lt;=$I149),1,""))</f>
        <v/>
      </c>
      <c r="AA149" s="448" t="str">
        <f aca="false">IF($G149=0,IF(AA$11=$H149,"◆",""),IF(AND(AA$11&gt;=$H149,AA$11&lt;=$I149),1,""))</f>
        <v/>
      </c>
      <c r="AB149" s="448" t="str">
        <f aca="false">IF($G149=0,IF(AB$11=$H149,"◆",""),IF(AND(AB$11&gt;=$H149,AB$11&lt;=$I149),1,""))</f>
        <v/>
      </c>
      <c r="AC149" s="448" t="str">
        <f aca="false">IF($G149=0,IF(AC$11=$H149,"◆",""),IF(AND(AC$11&gt;=$H149,AC$11&lt;=$I149),1,""))</f>
        <v/>
      </c>
      <c r="AD149" s="448" t="str">
        <f aca="false">IF($G149=0,IF(AD$11=$H149,"◆",""),IF(AND(AD$11&gt;=$H149,AD$11&lt;=$I149),1,""))</f>
        <v/>
      </c>
      <c r="AE149" s="448" t="str">
        <f aca="false">IF($G149=0,IF(AE$11=$H149,"◆",""),IF(AND(AE$11&gt;=$H149,AE$11&lt;=$I149),1,""))</f>
        <v/>
      </c>
      <c r="AF149" s="448" t="str">
        <f aca="false">IF($G149=0,IF(AF$11=$H149,"◆",""),IF(AND(AF$11&gt;=$H149,AF$11&lt;=$I149),1,""))</f>
        <v/>
      </c>
      <c r="AG149" s="448" t="str">
        <f aca="false">IF($G149=0,IF(AG$11=$H149,"◆",""),IF(AND(AG$11&gt;=$H149,AG$11&lt;=$I149),1,""))</f>
        <v/>
      </c>
      <c r="AH149" s="448" t="str">
        <f aca="false">IF($G149=0,IF(AH$11=$H149,"◆",""),IF(AND(AH$11&gt;=$H149,AH$11&lt;=$I149),1,""))</f>
        <v/>
      </c>
      <c r="AI149" s="448" t="str">
        <f aca="false">IF($G149=0,IF(AI$11=$H149,"◆",""),IF(AND(AI$11&gt;=$H149,AI$11&lt;=$I149),1,""))</f>
        <v/>
      </c>
      <c r="AJ149" s="448" t="str">
        <f aca="false">IF($G149=0,IF(AJ$11=$H149,"◆",""),IF(AND(AJ$11&gt;=$H149,AJ$11&lt;=$I149),1,""))</f>
        <v/>
      </c>
      <c r="AK149" s="448" t="str">
        <f aca="false">IF($G149=0,IF(AK$11=$H149,"◆",""),IF(AND(AK$11&gt;=$H149,AK$11&lt;=$I149),1,""))</f>
        <v/>
      </c>
      <c r="AL149" s="448" t="str">
        <f aca="false">IF($G149=0,IF(AL$11=$H149,"◆",""),IF(AND(AL$11&gt;=$H149,AL$11&lt;=$I149),1,""))</f>
        <v/>
      </c>
      <c r="AM149" s="448" t="str">
        <f aca="false">IF($G149=0,IF(AM$11=$H149,"◆",""),IF(AND(AM$11&gt;=$H149,AM$11&lt;=$I149),1,""))</f>
        <v/>
      </c>
      <c r="AN149" s="448" t="str">
        <f aca="false">IF($G149=0,IF(AN$11=$H149,"◆",""),IF(AND(AN$11&gt;=$H149,AN$11&lt;=$I149),1,""))</f>
        <v/>
      </c>
      <c r="AO149" s="448" t="str">
        <f aca="false">IF($G149=0,IF(AO$11=$H149,"◆",""),IF(AND(AO$11&gt;=$H149,AO$11&lt;=$I149),1,""))</f>
        <v/>
      </c>
      <c r="AP149" s="448" t="str">
        <f aca="false">IF($G149=0,IF(AP$11=$H149,"◆",""),IF(AND(AP$11&gt;=$H149,AP$11&lt;=$I149),1,""))</f>
        <v/>
      </c>
      <c r="AQ149" s="448" t="str">
        <f aca="false">IF($G149=0,IF(AQ$11=$H149,"◆",""),IF(AND(AQ$11&gt;=$H149,AQ$11&lt;=$I149),1,""))</f>
        <v/>
      </c>
      <c r="AR149" s="448" t="str">
        <f aca="false">IF($G149=0,IF(AR$11=$H149,"◆",""),IF(AND(AR$11&gt;=$H149,AR$11&lt;=$I149),1,""))</f>
        <v/>
      </c>
      <c r="AS149" s="448" t="str">
        <f aca="false">IF($G149=0,IF(AS$11=$H149,"◆",""),IF(AND(AS$11&gt;=$H149,AS$11&lt;=$I149),1,""))</f>
        <v/>
      </c>
      <c r="AT149" s="448" t="str">
        <f aca="false">IF($G149=0,IF(AT$11=$H149,"◆",""),IF(AND(AT$11&gt;=$H149,AT$11&lt;=$I149),1,""))</f>
        <v/>
      </c>
      <c r="AU149" s="448" t="str">
        <f aca="false">IF($G149=0,IF(AU$11=$H149,"◆",""),IF(AND(AU$11&gt;=$H149,AU$11&lt;=$I149),1,""))</f>
        <v/>
      </c>
      <c r="AV149" s="448" t="str">
        <f aca="false">IF($G149=0,IF(AV$11=$H149,"◆",""),IF(AND(AV$11&gt;=$H149,AV$11&lt;=$I149),1,""))</f>
        <v/>
      </c>
      <c r="AW149" s="448" t="str">
        <f aca="false">IF($G149=0,IF(AW$11=$H149,"◆",""),IF(AND(AW$11&gt;=$H149,AW$11&lt;=$I149),1,""))</f>
        <v/>
      </c>
      <c r="AX149" s="448" t="str">
        <f aca="false">IF($G149=0,IF(AX$11=$H149,"◆",""),IF(AND(AX$11&gt;=$H149,AX$11&lt;=$I149),1,""))</f>
        <v/>
      </c>
      <c r="AY149" s="448" t="str">
        <f aca="false">IF($G149=0,IF(AY$11=$H149,"◆",""),IF(AND(AY$11&gt;=$H149,AY$11&lt;=$I149),1,""))</f>
        <v/>
      </c>
      <c r="AZ149" s="448" t="str">
        <f aca="false">IF($G149=0,IF(AZ$11=$H149,"◆",""),IF(AND(AZ$11&gt;=$H149,AZ$11&lt;=$I149),1,""))</f>
        <v/>
      </c>
      <c r="BA149" s="448" t="str">
        <f aca="false">IF($G149=0,IF(BA$11=$H149,"◆",""),IF(AND(BA$11&gt;=$H149,BA$11&lt;=$I149),1,""))</f>
        <v/>
      </c>
      <c r="BB149" s="448" t="str">
        <f aca="false">IF($G149=0,IF(BB$11=$H149,"◆",""),IF(AND(BB$11&gt;=$H149,BB$11&lt;=$I149),1,""))</f>
        <v/>
      </c>
      <c r="BC149" s="448" t="n">
        <f aca="false">IF($G149=0,IF(BC$11=$H149,"◆",""),IF(AND(BC$11&gt;=$H149,BC$11&lt;=$I149),1,""))</f>
        <v>1</v>
      </c>
      <c r="BD149" s="448" t="n">
        <f aca="false">IF($G149=0,IF(BD$11=$H149,"◆",""),IF(AND(BD$11&gt;=$H149,BD$11&lt;=$I149),1,""))</f>
        <v>1</v>
      </c>
      <c r="BE149" s="448" t="str">
        <f aca="false">IF($G149=0,IF(BE$11=$H149,"◆",""),IF(AND(BE$11&gt;=$H149,BE$11&lt;=$I149),1,""))</f>
        <v/>
      </c>
      <c r="BF149" s="448" t="str">
        <f aca="false">IF($G149=0,IF(BF$11=$H149,"◆",""),IF(AND(BF$11&gt;=$H149,BF$11&lt;=$I149),1,""))</f>
        <v/>
      </c>
      <c r="BG149" s="448" t="str">
        <f aca="false">IF($G149=0,IF(BG$11=$H149,"◆",""),IF(AND(BG$11&gt;=$H149,BG$11&lt;=$I149),1,""))</f>
        <v/>
      </c>
      <c r="BH149" s="448" t="str">
        <f aca="false">IF($G149=0,IF(BH$11=$H149,"◆",""),IF(AND(BH$11&gt;=$H149,BH$11&lt;=$I149),1,""))</f>
        <v/>
      </c>
      <c r="BI149" s="448" t="str">
        <f aca="false">IF($G149=0,IF(BI$11=$H149,"◆",""),IF(AND(BI$11&gt;=$H149,BI$11&lt;=$I149),1,""))</f>
        <v/>
      </c>
      <c r="BJ149" s="448" t="str">
        <f aca="false">IF($G149=0,IF(BJ$11=$H149,"◆",""),IF(AND(BJ$11&gt;=$H149,BJ$11&lt;=$I149),1,""))</f>
        <v/>
      </c>
      <c r="BK149" s="448" t="str">
        <f aca="false">IF($G149=0,IF(BK$11=$H149,"◆",""),IF(AND(BK$11&gt;=$H149,BK$11&lt;=$I149),1,""))</f>
        <v/>
      </c>
      <c r="BL149" s="448" t="str">
        <f aca="false">IF($G149=0,IF(BL$11=$H149,"◆",""),IF(AND(BL$11&gt;=$H149,BL$11&lt;=$I149),1,""))</f>
        <v/>
      </c>
      <c r="BM149" s="448" t="str">
        <f aca="false">IF($G149=0,IF(BM$11=$H149,"◆",""),IF(AND(BM$11&gt;=$H149,BM$11&lt;=$I149),1,""))</f>
        <v/>
      </c>
      <c r="BN149" s="448" t="str">
        <f aca="false">IF($G149=0,IF(BN$11=$H149,"◆",""),IF(AND(BN$11&gt;=$H149,BN$11&lt;=$I149),1,""))</f>
        <v/>
      </c>
      <c r="BO149" s="448" t="str">
        <f aca="false">IF($G149=0,IF(BO$11=$H149,"◆",""),IF(AND(BO$11&gt;=$H149,BO$11&lt;=$I149),1,""))</f>
        <v/>
      </c>
      <c r="BP149" s="448" t="str">
        <f aca="false">IF($G149=0,IF(BP$11=$H149,"◆",""),IF(AND(BP$11&gt;=$H149,BP$11&lt;=$I149),1,""))</f>
        <v/>
      </c>
      <c r="BQ149" s="448" t="str">
        <f aca="false">IF($G149=0,IF(BQ$11=$H149,"◆",""),IF(AND(BQ$11&gt;=$H149,BQ$11&lt;=$I149),1,""))</f>
        <v/>
      </c>
      <c r="BR149" s="448" t="str">
        <f aca="false">IF($G149=0,IF(BR$11=$H149,"◆",""),IF(AND(BR$11&gt;=$H149,BR$11&lt;=$I149),1,""))</f>
        <v/>
      </c>
      <c r="BS149" s="448" t="str">
        <f aca="false">IF($G149=0,IF(BS$11=$H149,"◆",""),IF(AND(BS$11&gt;=$H149,BS$11&lt;=$I149),1,""))</f>
        <v/>
      </c>
      <c r="BT149" s="448" t="str">
        <f aca="false">IF($G149=0,IF(BT$11=$H149,"◆",""),IF(AND(BT$11&gt;=$H149,BT$11&lt;=$I149),1,""))</f>
        <v/>
      </c>
      <c r="BU149" s="448" t="str">
        <f aca="false">IF($G149=0,IF(BU$11=$H149,"◆",""),IF(AND(BU$11&gt;=$H149,BU$11&lt;=$I149),1,""))</f>
        <v/>
      </c>
      <c r="BV149" s="448" t="str">
        <f aca="false">IF($G149=0,IF(BV$11=$H149,"◆",""),IF(AND(BV$11&gt;=$H149,BV$11&lt;=$I149),1,""))</f>
        <v/>
      </c>
      <c r="BW149" s="448" t="str">
        <f aca="false">IF($G149=0,IF(BW$11=$H149,"◆",""),IF(AND(BW$11&gt;=$H149,BW$11&lt;=$I149),1,""))</f>
        <v/>
      </c>
      <c r="BX149" s="448" t="str">
        <f aca="false">IF($G149=0,IF(BX$11=$H149,"◆",""),IF(AND(BX$11&gt;=$H149,BX$11&lt;=$I149),1,""))</f>
        <v/>
      </c>
      <c r="BY149" s="448" t="str">
        <f aca="false">IF($G149=0,IF(BY$11=$H149,"◆",""),IF(AND(BY$11&gt;=$H149,BY$11&lt;=$I149),1,""))</f>
        <v/>
      </c>
      <c r="BZ149" s="448" t="str">
        <f aca="false">IF($G149=0,IF(BZ$11=$H149,"◆",""),IF(AND(BZ$11&gt;=$H149,BZ$11&lt;=$I149),1,""))</f>
        <v/>
      </c>
      <c r="CA149" s="448" t="str">
        <f aca="false">IF($G149=0,IF(CA$11=$H149,"◆",""),IF(AND(CA$11&gt;=$H149,CA$11&lt;=$I149),1,""))</f>
        <v/>
      </c>
      <c r="CB149" s="448" t="str">
        <f aca="false">IF($G149=0,IF(CB$11=$H149,"◆",""),IF(AND(CB$11&gt;=$H149,CB$11&lt;=$I149),1,""))</f>
        <v/>
      </c>
      <c r="CC149" s="448" t="str">
        <f aca="false">IF($G149=0,IF(CC$11=$H149,"◆",""),IF(AND(CC$11&gt;=$H149,CC$11&lt;=$I149),1,""))</f>
        <v/>
      </c>
      <c r="CD149" s="448" t="str">
        <f aca="false">IF($G149=0,IF(CD$11=$H149,"◆",""),IF(AND(CD$11&gt;=$H149,CD$11&lt;=$I149),1,""))</f>
        <v/>
      </c>
      <c r="CE149" s="448" t="str">
        <f aca="false">IF($G149=0,IF(CE$11=$H149,"◆",""),IF(AND(CE$11&gt;=$H149,CE$11&lt;=$I149),1,""))</f>
        <v/>
      </c>
      <c r="CF149" s="448" t="str">
        <f aca="false">IF($G149=0,IF(CF$11=$H149,"◆",""),IF(AND(CF$11&gt;=$H149,CF$11&lt;=$I149),1,""))</f>
        <v/>
      </c>
      <c r="CG149" s="448" t="str">
        <f aca="false">IF($G149=0,IF(CG$11=$H149,"◆",""),IF(AND(CG$11&gt;=$H149,CG$11&lt;=$I149),1,""))</f>
        <v/>
      </c>
      <c r="CH149" s="448" t="str">
        <f aca="false">IF($G149=0,IF(CH$11=$H149,"◆",""),IF(AND(CH$11&gt;=$H149,CH$11&lt;=$I149),1,""))</f>
        <v/>
      </c>
      <c r="CI149" s="448" t="str">
        <f aca="false">IF($G149=0,IF(CI$11=$H149,"◆",""),IF(AND(CI$11&gt;=$H149,CI$11&lt;=$I149),1,""))</f>
        <v/>
      </c>
      <c r="CJ149" s="448" t="str">
        <f aca="false">IF($G149=0,IF(CJ$11=$H149,"◆",""),IF(AND(CJ$11&gt;=$H149,CJ$11&lt;=$I149),1,""))</f>
        <v/>
      </c>
      <c r="CK149" s="448" t="str">
        <f aca="false">IF($G149=0,IF(CK$11=$H149,"◆",""),IF(AND(CK$11&gt;=$H149,CK$11&lt;=$I149),1,""))</f>
        <v/>
      </c>
      <c r="CL149" s="448" t="str">
        <f aca="false">IF($G149=0,IF(CL$11=$H149,"◆",""),IF(AND(CL$11&gt;=$H149,CL$11&lt;=$I149),1,""))</f>
        <v/>
      </c>
      <c r="CM149" s="448" t="str">
        <f aca="false">IF($G149=0,IF(CM$11=$H149,"◆",""),IF(AND(CM$11&gt;=$H149,CM$11&lt;=$I149),1,""))</f>
        <v/>
      </c>
      <c r="CN149" s="448" t="str">
        <f aca="false">IF($G149=0,IF(CN$11=$H149,"◆",""),IF(AND(CN$11&gt;=$H149,CN$11&lt;=$I149),1,""))</f>
        <v/>
      </c>
      <c r="CO149" s="448" t="str">
        <f aca="false">IF($G149=0,IF(CO$11=$H149,"◆",""),IF(AND(CO$11&gt;=$H149,CO$11&lt;=$I149),1,""))</f>
        <v/>
      </c>
      <c r="CP149" s="448" t="str">
        <f aca="false">IF($G149=0,IF(CP$11=$H149,"◆",""),IF(AND(CP$11&gt;=$H149,CP$11&lt;=$I149),1,""))</f>
        <v/>
      </c>
      <c r="CQ149" s="448" t="str">
        <f aca="false">IF($G149=0,IF(CQ$11=$H149,"◆",""),IF(AND(CQ$11&gt;=$H149,CQ$11&lt;=$I149),1,""))</f>
        <v/>
      </c>
      <c r="CR149" s="448" t="str">
        <f aca="false">IF($G149=0,IF(CR$11=$H149,"◆",""),IF(AND(CR$11&gt;=$H149,CR$11&lt;=$I149),1,""))</f>
        <v/>
      </c>
      <c r="CS149" s="448" t="str">
        <f aca="false">IF($G149=0,IF(CS$11=$H149,"◆",""),IF(AND(CS$11&gt;=$H149,CS$11&lt;=$I149),1,""))</f>
        <v/>
      </c>
      <c r="CT149" s="448" t="str">
        <f aca="false">IF($G149=0,IF(CT$11=$H149,"◆",""),IF(AND(CT$11&gt;=$H149,CT$11&lt;=$I149),1,""))</f>
        <v/>
      </c>
      <c r="CU149" s="448" t="str">
        <f aca="false">IF($G149=0,IF(CU$11=$H149,"◆",""),IF(AND(CU$11&gt;=$H149,CU$11&lt;=$I149),1,""))</f>
        <v/>
      </c>
      <c r="CV149" s="448" t="str">
        <f aca="false">IF($G149=0,IF(CV$11=$H149,"◆",""),IF(AND(CV$11&gt;=$H149,CV$11&lt;=$I149),1,""))</f>
        <v/>
      </c>
      <c r="CW149" s="448" t="str">
        <f aca="false">IF($G149=0,IF(CW$11=$H149,"◆",""),IF(AND(CW$11&gt;=$H149,CW$11&lt;=$I149),1,""))</f>
        <v/>
      </c>
      <c r="CX149" s="448" t="str">
        <f aca="false">IF($G149=0,IF(CX$11=$H149,"◆",""),IF(AND(CX$11&gt;=$H149,CX$11&lt;=$I149),1,""))</f>
        <v/>
      </c>
      <c r="CY149" s="448" t="str">
        <f aca="false">IF($G149=0,IF(CY$11=$H149,"◆",""),IF(AND(CY$11&gt;=$H149,CY$11&lt;=$I149),1,""))</f>
        <v/>
      </c>
      <c r="CZ149" s="448" t="str">
        <f aca="false">IF($G149=0,IF(CZ$11=$H149,"◆",""),IF(AND(CZ$11&gt;=$H149,CZ$11&lt;=$I149),1,""))</f>
        <v/>
      </c>
      <c r="DA149" s="448" t="str">
        <f aca="false">IF($G149=0,IF(DA$11=$H149,"◆",""),IF(AND(DA$11&gt;=$H149,DA$11&lt;=$I149),1,""))</f>
        <v/>
      </c>
      <c r="DB149" s="448" t="str">
        <f aca="false">IF($G149=0,IF(DB$11=$H149,"◆",""),IF(AND(DB$11&gt;=$H149,DB$11&lt;=$I149),1,""))</f>
        <v/>
      </c>
      <c r="DC149" s="448" t="str">
        <f aca="false">IF($G149=0,IF(DC$11=$H149,"◆",""),IF(AND(DC$11&gt;=$H149,DC$11&lt;=$I149),1,""))</f>
        <v/>
      </c>
      <c r="DD149" s="448" t="str">
        <f aca="false">IF($G149=0,IF(DD$11=$H149,"◆",""),IF(AND(DD$11&gt;=$H149,DD$11&lt;=$I149),1,""))</f>
        <v/>
      </c>
      <c r="DE149" s="448" t="str">
        <f aca="false">IF($G149=0,IF(DE$11=$H149,"◆",""),IF(AND(DE$11&gt;=$H149,DE$11&lt;=$I149),1,""))</f>
        <v/>
      </c>
      <c r="DF149" s="448" t="str">
        <f aca="false">IF($G149=0,IF(DF$11=$H149,"◆",""),IF(AND(DF$11&gt;=$H149,DF$11&lt;=$I149),1,""))</f>
        <v/>
      </c>
      <c r="DG149" s="448" t="str">
        <f aca="false">IF($G149=0,IF(DG$11=$H149,"◆",""),IF(AND(DG$11&gt;=$H149,DG$11&lt;=$I149),1,""))</f>
        <v/>
      </c>
      <c r="DH149" s="448" t="str">
        <f aca="false">IF($G149=0,IF(DH$11=$H149,"◆",""),IF(AND(DH$11&gt;=$H149,DH$11&lt;=$I149),1,""))</f>
        <v/>
      </c>
      <c r="DI149" s="448" t="str">
        <f aca="false">IF($G149=0,IF(DI$11=$H149,"◆",""),IF(AND(DI$11&gt;=$H149,DI$11&lt;=$I149),1,""))</f>
        <v/>
      </c>
      <c r="DJ149" s="448" t="str">
        <f aca="false">IF($G149=0,IF(DJ$11=$H149,"◆",""),IF(AND(DJ$11&gt;=$H149,DJ$11&lt;=$I149),1,""))</f>
        <v/>
      </c>
      <c r="DK149" s="448" t="str">
        <f aca="false">IF($G149=0,IF(DK$11=$H149,"◆",""),IF(AND(DK$11&gt;=$H149,DK$11&lt;=$I149),1,""))</f>
        <v/>
      </c>
      <c r="DL149" s="448" t="str">
        <f aca="false">IF($G149=0,IF(DL$11=$H149,"◆",""),IF(AND(DL$11&gt;=$H149,DL$11&lt;=$I149),1,""))</f>
        <v/>
      </c>
      <c r="DM149" s="448" t="str">
        <f aca="false">IF($G149=0,IF(DM$11=$H149,"◆",""),IF(AND(DM$11&gt;=$H149,DM$11&lt;=$I149),1,""))</f>
        <v/>
      </c>
      <c r="DN149" s="448" t="str">
        <f aca="false">IF($G149=0,IF(DN$11=$H149,"◆",""),IF(AND(DN$11&gt;=$H149,DN$11&lt;=$I149),1,""))</f>
        <v/>
      </c>
      <c r="DO149" s="448" t="str">
        <f aca="false">IF($G149=0,IF(DO$11=$H149,"◆",""),IF(AND(DO$11&gt;=$H149,DO$11&lt;=$I149),1,""))</f>
        <v/>
      </c>
      <c r="DP149" s="448" t="str">
        <f aca="false">IF($G149=0,IF(DP$11=$H149,"◆",""),IF(AND(DP$11&gt;=$H149,DP$11&lt;=$I149),1,""))</f>
        <v/>
      </c>
      <c r="DQ149" s="448" t="str">
        <f aca="false">IF($G149=0,IF(DQ$11=$H149,"◆",""),IF(AND(DQ$11&gt;=$H149,DQ$11&lt;=$I149),1,""))</f>
        <v/>
      </c>
      <c r="DR149" s="448" t="str">
        <f aca="false">IF($G149=0,IF(DR$11=$H149,"◆",""),IF(AND(DR$11&gt;=$H149,DR$11&lt;=$I149),1,""))</f>
        <v/>
      </c>
      <c r="DS149" s="448" t="str">
        <f aca="false">IF($G149=0,IF(DS$11=$H149,"◆",""),IF(AND(DS$11&gt;=$H149,DS$11&lt;=$I149),1,""))</f>
        <v/>
      </c>
      <c r="DT149" s="448" t="str">
        <f aca="false">IF($G149=0,IF(DT$11=$H149,"◆",""),IF(AND(DT$11&gt;=$H149,DT$11&lt;=$I149),1,""))</f>
        <v/>
      </c>
      <c r="DU149" s="448" t="str">
        <f aca="false">IF($G149=0,IF(DU$11=$H149,"◆",""),IF(AND(DU$11&gt;=$H149,DU$11&lt;=$I149),1,""))</f>
        <v/>
      </c>
      <c r="DV149" s="448" t="str">
        <f aca="false">IF($G149=0,IF(DV$11=$H149,"◆",""),IF(AND(DV$11&gt;=$H149,DV$11&lt;=$I149),1,""))</f>
        <v/>
      </c>
      <c r="DW149" s="448" t="str">
        <f aca="false">IF($G149=0,IF(DW$11=$H149,"◆",""),IF(AND(DW$11&gt;=$H149,DW$11&lt;=$I149),1,""))</f>
        <v/>
      </c>
      <c r="DX149" s="448" t="str">
        <f aca="false">IF($G149=0,IF(DX$11=$H149,"◆",""),IF(AND(DX$11&gt;=$H149,DX$11&lt;=$I149),1,""))</f>
        <v/>
      </c>
      <c r="DY149" s="448" t="str">
        <f aca="false">IF($G149=0,IF(DY$11=$H149,"◆",""),IF(AND(DY$11&gt;=$H149,DY$11&lt;=$I149),1,""))</f>
        <v/>
      </c>
      <c r="DZ149" s="448" t="str">
        <f aca="false">IF($G149=0,IF(DZ$11=$H149,"◆",""),IF(AND(DZ$11&gt;=$H149,DZ$11&lt;=$I149),1,""))</f>
        <v/>
      </c>
      <c r="EA149" s="448" t="str">
        <f aca="false">IF($G149=0,IF(EA$11=$H149,"◆",""),IF(AND(EA$11&gt;=$H149,EA$11&lt;=$I149),1,""))</f>
        <v/>
      </c>
      <c r="EB149" s="448" t="str">
        <f aca="false">IF($G149=0,IF(EB$11=$H149,"◆",""),IF(AND(EB$11&gt;=$H149,EB$11&lt;=$I149),1,""))</f>
        <v/>
      </c>
      <c r="EC149" s="448" t="str">
        <f aca="false">IF($G149=0,IF(EC$11=$H149,"◆",""),IF(AND(EC$11&gt;=$H149,EC$11&lt;=$I149),1,""))</f>
        <v/>
      </c>
      <c r="ED149" s="448" t="str">
        <f aca="false">IF($G149=0,IF(ED$11=$H149,"◆",""),IF(AND(ED$11&gt;=$H149,ED$11&lt;=$I149),1,""))</f>
        <v/>
      </c>
    </row>
    <row r="150" customFormat="false" ht="15" hidden="false" customHeight="true" outlineLevel="0" collapsed="false">
      <c r="A150" s="441" t="s">
        <v>2754</v>
      </c>
      <c r="B150" s="297" t="s">
        <v>2755</v>
      </c>
      <c r="C150" s="442" t="s">
        <v>2586</v>
      </c>
      <c r="D150" s="443" t="s">
        <v>2500</v>
      </c>
      <c r="E150" s="354" t="n">
        <f aca="false">FC_SUPUESTOS!$C$23</f>
        <v>10</v>
      </c>
      <c r="F150" s="352" t="n">
        <v>1</v>
      </c>
      <c r="G150" s="352" t="n">
        <v>2</v>
      </c>
      <c r="H150" s="367" t="n">
        <f aca="false">MAX(1,ROUND(($E150-1)*$D$5,0)+1+$F150)</f>
        <v>41</v>
      </c>
      <c r="I150" s="367" t="n">
        <f aca="false">MAX($H150,$H150+$G150-1)</f>
        <v>42</v>
      </c>
      <c r="J150" s="444" t="n">
        <f aca="false">$D$4+($H150-1)*7</f>
        <v>46580</v>
      </c>
      <c r="K150" s="444" t="n">
        <f aca="false">$D$4+$I150*7-1</f>
        <v>46593</v>
      </c>
      <c r="L150" s="445" t="n">
        <f aca="false">ROUNDUP($H150/$D$5,0)</f>
        <v>10</v>
      </c>
      <c r="M150" s="446" t="s">
        <v>2453</v>
      </c>
      <c r="N150" s="447" t="n">
        <v>0</v>
      </c>
      <c r="O150" s="448" t="str">
        <f aca="false">IF($G150=0,IF(O$11=$H150,"◆",""),IF(AND(O$11&gt;=$H150,O$11&lt;=$I150),1,""))</f>
        <v/>
      </c>
      <c r="P150" s="448" t="str">
        <f aca="false">IF($G150=0,IF(P$11=$H150,"◆",""),IF(AND(P$11&gt;=$H150,P$11&lt;=$I150),1,""))</f>
        <v/>
      </c>
      <c r="Q150" s="448" t="str">
        <f aca="false">IF($G150=0,IF(Q$11=$H150,"◆",""),IF(AND(Q$11&gt;=$H150,Q$11&lt;=$I150),1,""))</f>
        <v/>
      </c>
      <c r="R150" s="448" t="str">
        <f aca="false">IF($G150=0,IF(R$11=$H150,"◆",""),IF(AND(R$11&gt;=$H150,R$11&lt;=$I150),1,""))</f>
        <v/>
      </c>
      <c r="S150" s="448" t="str">
        <f aca="false">IF($G150=0,IF(S$11=$H150,"◆",""),IF(AND(S$11&gt;=$H150,S$11&lt;=$I150),1,""))</f>
        <v/>
      </c>
      <c r="T150" s="448" t="str">
        <f aca="false">IF($G150=0,IF(T$11=$H150,"◆",""),IF(AND(T$11&gt;=$H150,T$11&lt;=$I150),1,""))</f>
        <v/>
      </c>
      <c r="U150" s="448" t="str">
        <f aca="false">IF($G150=0,IF(U$11=$H150,"◆",""),IF(AND(U$11&gt;=$H150,U$11&lt;=$I150),1,""))</f>
        <v/>
      </c>
      <c r="V150" s="448" t="str">
        <f aca="false">IF($G150=0,IF(V$11=$H150,"◆",""),IF(AND(V$11&gt;=$H150,V$11&lt;=$I150),1,""))</f>
        <v/>
      </c>
      <c r="W150" s="448" t="str">
        <f aca="false">IF($G150=0,IF(W$11=$H150,"◆",""),IF(AND(W$11&gt;=$H150,W$11&lt;=$I150),1,""))</f>
        <v/>
      </c>
      <c r="X150" s="448" t="str">
        <f aca="false">IF($G150=0,IF(X$11=$H150,"◆",""),IF(AND(X$11&gt;=$H150,X$11&lt;=$I150),1,""))</f>
        <v/>
      </c>
      <c r="Y150" s="448" t="str">
        <f aca="false">IF($G150=0,IF(Y$11=$H150,"◆",""),IF(AND(Y$11&gt;=$H150,Y$11&lt;=$I150),1,""))</f>
        <v/>
      </c>
      <c r="Z150" s="448" t="str">
        <f aca="false">IF($G150=0,IF(Z$11=$H150,"◆",""),IF(AND(Z$11&gt;=$H150,Z$11&lt;=$I150),1,""))</f>
        <v/>
      </c>
      <c r="AA150" s="448" t="str">
        <f aca="false">IF($G150=0,IF(AA$11=$H150,"◆",""),IF(AND(AA$11&gt;=$H150,AA$11&lt;=$I150),1,""))</f>
        <v/>
      </c>
      <c r="AB150" s="448" t="str">
        <f aca="false">IF($G150=0,IF(AB$11=$H150,"◆",""),IF(AND(AB$11&gt;=$H150,AB$11&lt;=$I150),1,""))</f>
        <v/>
      </c>
      <c r="AC150" s="448" t="str">
        <f aca="false">IF($G150=0,IF(AC$11=$H150,"◆",""),IF(AND(AC$11&gt;=$H150,AC$11&lt;=$I150),1,""))</f>
        <v/>
      </c>
      <c r="AD150" s="448" t="str">
        <f aca="false">IF($G150=0,IF(AD$11=$H150,"◆",""),IF(AND(AD$11&gt;=$H150,AD$11&lt;=$I150),1,""))</f>
        <v/>
      </c>
      <c r="AE150" s="448" t="str">
        <f aca="false">IF($G150=0,IF(AE$11=$H150,"◆",""),IF(AND(AE$11&gt;=$H150,AE$11&lt;=$I150),1,""))</f>
        <v/>
      </c>
      <c r="AF150" s="448" t="str">
        <f aca="false">IF($G150=0,IF(AF$11=$H150,"◆",""),IF(AND(AF$11&gt;=$H150,AF$11&lt;=$I150),1,""))</f>
        <v/>
      </c>
      <c r="AG150" s="448" t="str">
        <f aca="false">IF($G150=0,IF(AG$11=$H150,"◆",""),IF(AND(AG$11&gt;=$H150,AG$11&lt;=$I150),1,""))</f>
        <v/>
      </c>
      <c r="AH150" s="448" t="str">
        <f aca="false">IF($G150=0,IF(AH$11=$H150,"◆",""),IF(AND(AH$11&gt;=$H150,AH$11&lt;=$I150),1,""))</f>
        <v/>
      </c>
      <c r="AI150" s="448" t="str">
        <f aca="false">IF($G150=0,IF(AI$11=$H150,"◆",""),IF(AND(AI$11&gt;=$H150,AI$11&lt;=$I150),1,""))</f>
        <v/>
      </c>
      <c r="AJ150" s="448" t="str">
        <f aca="false">IF($G150=0,IF(AJ$11=$H150,"◆",""),IF(AND(AJ$11&gt;=$H150,AJ$11&lt;=$I150),1,""))</f>
        <v/>
      </c>
      <c r="AK150" s="448" t="str">
        <f aca="false">IF($G150=0,IF(AK$11=$H150,"◆",""),IF(AND(AK$11&gt;=$H150,AK$11&lt;=$I150),1,""))</f>
        <v/>
      </c>
      <c r="AL150" s="448" t="str">
        <f aca="false">IF($G150=0,IF(AL$11=$H150,"◆",""),IF(AND(AL$11&gt;=$H150,AL$11&lt;=$I150),1,""))</f>
        <v/>
      </c>
      <c r="AM150" s="448" t="str">
        <f aca="false">IF($G150=0,IF(AM$11=$H150,"◆",""),IF(AND(AM$11&gt;=$H150,AM$11&lt;=$I150),1,""))</f>
        <v/>
      </c>
      <c r="AN150" s="448" t="str">
        <f aca="false">IF($G150=0,IF(AN$11=$H150,"◆",""),IF(AND(AN$11&gt;=$H150,AN$11&lt;=$I150),1,""))</f>
        <v/>
      </c>
      <c r="AO150" s="448" t="str">
        <f aca="false">IF($G150=0,IF(AO$11=$H150,"◆",""),IF(AND(AO$11&gt;=$H150,AO$11&lt;=$I150),1,""))</f>
        <v/>
      </c>
      <c r="AP150" s="448" t="str">
        <f aca="false">IF($G150=0,IF(AP$11=$H150,"◆",""),IF(AND(AP$11&gt;=$H150,AP$11&lt;=$I150),1,""))</f>
        <v/>
      </c>
      <c r="AQ150" s="448" t="str">
        <f aca="false">IF($G150=0,IF(AQ$11=$H150,"◆",""),IF(AND(AQ$11&gt;=$H150,AQ$11&lt;=$I150),1,""))</f>
        <v/>
      </c>
      <c r="AR150" s="448" t="str">
        <f aca="false">IF($G150=0,IF(AR$11=$H150,"◆",""),IF(AND(AR$11&gt;=$H150,AR$11&lt;=$I150),1,""))</f>
        <v/>
      </c>
      <c r="AS150" s="448" t="str">
        <f aca="false">IF($G150=0,IF(AS$11=$H150,"◆",""),IF(AND(AS$11&gt;=$H150,AS$11&lt;=$I150),1,""))</f>
        <v/>
      </c>
      <c r="AT150" s="448" t="str">
        <f aca="false">IF($G150=0,IF(AT$11=$H150,"◆",""),IF(AND(AT$11&gt;=$H150,AT$11&lt;=$I150),1,""))</f>
        <v/>
      </c>
      <c r="AU150" s="448" t="str">
        <f aca="false">IF($G150=0,IF(AU$11=$H150,"◆",""),IF(AND(AU$11&gt;=$H150,AU$11&lt;=$I150),1,""))</f>
        <v/>
      </c>
      <c r="AV150" s="448" t="str">
        <f aca="false">IF($G150=0,IF(AV$11=$H150,"◆",""),IF(AND(AV$11&gt;=$H150,AV$11&lt;=$I150),1,""))</f>
        <v/>
      </c>
      <c r="AW150" s="448" t="str">
        <f aca="false">IF($G150=0,IF(AW$11=$H150,"◆",""),IF(AND(AW$11&gt;=$H150,AW$11&lt;=$I150),1,""))</f>
        <v/>
      </c>
      <c r="AX150" s="448" t="str">
        <f aca="false">IF($G150=0,IF(AX$11=$H150,"◆",""),IF(AND(AX$11&gt;=$H150,AX$11&lt;=$I150),1,""))</f>
        <v/>
      </c>
      <c r="AY150" s="448" t="str">
        <f aca="false">IF($G150=0,IF(AY$11=$H150,"◆",""),IF(AND(AY$11&gt;=$H150,AY$11&lt;=$I150),1,""))</f>
        <v/>
      </c>
      <c r="AZ150" s="448" t="str">
        <f aca="false">IF($G150=0,IF(AZ$11=$H150,"◆",""),IF(AND(AZ$11&gt;=$H150,AZ$11&lt;=$I150),1,""))</f>
        <v/>
      </c>
      <c r="BA150" s="448" t="str">
        <f aca="false">IF($G150=0,IF(BA$11=$H150,"◆",""),IF(AND(BA$11&gt;=$H150,BA$11&lt;=$I150),1,""))</f>
        <v/>
      </c>
      <c r="BB150" s="448" t="str">
        <f aca="false">IF($G150=0,IF(BB$11=$H150,"◆",""),IF(AND(BB$11&gt;=$H150,BB$11&lt;=$I150),1,""))</f>
        <v/>
      </c>
      <c r="BC150" s="448" t="n">
        <f aca="false">IF($G150=0,IF(BC$11=$H150,"◆",""),IF(AND(BC$11&gt;=$H150,BC$11&lt;=$I150),1,""))</f>
        <v>1</v>
      </c>
      <c r="BD150" s="448" t="n">
        <f aca="false">IF($G150=0,IF(BD$11=$H150,"◆",""),IF(AND(BD$11&gt;=$H150,BD$11&lt;=$I150),1,""))</f>
        <v>1</v>
      </c>
      <c r="BE150" s="448" t="str">
        <f aca="false">IF($G150=0,IF(BE$11=$H150,"◆",""),IF(AND(BE$11&gt;=$H150,BE$11&lt;=$I150),1,""))</f>
        <v/>
      </c>
      <c r="BF150" s="448" t="str">
        <f aca="false">IF($G150=0,IF(BF$11=$H150,"◆",""),IF(AND(BF$11&gt;=$H150,BF$11&lt;=$I150),1,""))</f>
        <v/>
      </c>
      <c r="BG150" s="448" t="str">
        <f aca="false">IF($G150=0,IF(BG$11=$H150,"◆",""),IF(AND(BG$11&gt;=$H150,BG$11&lt;=$I150),1,""))</f>
        <v/>
      </c>
      <c r="BH150" s="448" t="str">
        <f aca="false">IF($G150=0,IF(BH$11=$H150,"◆",""),IF(AND(BH$11&gt;=$H150,BH$11&lt;=$I150),1,""))</f>
        <v/>
      </c>
      <c r="BI150" s="448" t="str">
        <f aca="false">IF($G150=0,IF(BI$11=$H150,"◆",""),IF(AND(BI$11&gt;=$H150,BI$11&lt;=$I150),1,""))</f>
        <v/>
      </c>
      <c r="BJ150" s="448" t="str">
        <f aca="false">IF($G150=0,IF(BJ$11=$H150,"◆",""),IF(AND(BJ$11&gt;=$H150,BJ$11&lt;=$I150),1,""))</f>
        <v/>
      </c>
      <c r="BK150" s="448" t="str">
        <f aca="false">IF($G150=0,IF(BK$11=$H150,"◆",""),IF(AND(BK$11&gt;=$H150,BK$11&lt;=$I150),1,""))</f>
        <v/>
      </c>
      <c r="BL150" s="448" t="str">
        <f aca="false">IF($G150=0,IF(BL$11=$H150,"◆",""),IF(AND(BL$11&gt;=$H150,BL$11&lt;=$I150),1,""))</f>
        <v/>
      </c>
      <c r="BM150" s="448" t="str">
        <f aca="false">IF($G150=0,IF(BM$11=$H150,"◆",""),IF(AND(BM$11&gt;=$H150,BM$11&lt;=$I150),1,""))</f>
        <v/>
      </c>
      <c r="BN150" s="448" t="str">
        <f aca="false">IF($G150=0,IF(BN$11=$H150,"◆",""),IF(AND(BN$11&gt;=$H150,BN$11&lt;=$I150),1,""))</f>
        <v/>
      </c>
      <c r="BO150" s="448" t="str">
        <f aca="false">IF($G150=0,IF(BO$11=$H150,"◆",""),IF(AND(BO$11&gt;=$H150,BO$11&lt;=$I150),1,""))</f>
        <v/>
      </c>
      <c r="BP150" s="448" t="str">
        <f aca="false">IF($G150=0,IF(BP$11=$H150,"◆",""),IF(AND(BP$11&gt;=$H150,BP$11&lt;=$I150),1,""))</f>
        <v/>
      </c>
      <c r="BQ150" s="448" t="str">
        <f aca="false">IF($G150=0,IF(BQ$11=$H150,"◆",""),IF(AND(BQ$11&gt;=$H150,BQ$11&lt;=$I150),1,""))</f>
        <v/>
      </c>
      <c r="BR150" s="448" t="str">
        <f aca="false">IF($G150=0,IF(BR$11=$H150,"◆",""),IF(AND(BR$11&gt;=$H150,BR$11&lt;=$I150),1,""))</f>
        <v/>
      </c>
      <c r="BS150" s="448" t="str">
        <f aca="false">IF($G150=0,IF(BS$11=$H150,"◆",""),IF(AND(BS$11&gt;=$H150,BS$11&lt;=$I150),1,""))</f>
        <v/>
      </c>
      <c r="BT150" s="448" t="str">
        <f aca="false">IF($G150=0,IF(BT$11=$H150,"◆",""),IF(AND(BT$11&gt;=$H150,BT$11&lt;=$I150),1,""))</f>
        <v/>
      </c>
      <c r="BU150" s="448" t="str">
        <f aca="false">IF($G150=0,IF(BU$11=$H150,"◆",""),IF(AND(BU$11&gt;=$H150,BU$11&lt;=$I150),1,""))</f>
        <v/>
      </c>
      <c r="BV150" s="448" t="str">
        <f aca="false">IF($G150=0,IF(BV$11=$H150,"◆",""),IF(AND(BV$11&gt;=$H150,BV$11&lt;=$I150),1,""))</f>
        <v/>
      </c>
      <c r="BW150" s="448" t="str">
        <f aca="false">IF($G150=0,IF(BW$11=$H150,"◆",""),IF(AND(BW$11&gt;=$H150,BW$11&lt;=$I150),1,""))</f>
        <v/>
      </c>
      <c r="BX150" s="448" t="str">
        <f aca="false">IF($G150=0,IF(BX$11=$H150,"◆",""),IF(AND(BX$11&gt;=$H150,BX$11&lt;=$I150),1,""))</f>
        <v/>
      </c>
      <c r="BY150" s="448" t="str">
        <f aca="false">IF($G150=0,IF(BY$11=$H150,"◆",""),IF(AND(BY$11&gt;=$H150,BY$11&lt;=$I150),1,""))</f>
        <v/>
      </c>
      <c r="BZ150" s="448" t="str">
        <f aca="false">IF($G150=0,IF(BZ$11=$H150,"◆",""),IF(AND(BZ$11&gt;=$H150,BZ$11&lt;=$I150),1,""))</f>
        <v/>
      </c>
      <c r="CA150" s="448" t="str">
        <f aca="false">IF($G150=0,IF(CA$11=$H150,"◆",""),IF(AND(CA$11&gt;=$H150,CA$11&lt;=$I150),1,""))</f>
        <v/>
      </c>
      <c r="CB150" s="448" t="str">
        <f aca="false">IF($G150=0,IF(CB$11=$H150,"◆",""),IF(AND(CB$11&gt;=$H150,CB$11&lt;=$I150),1,""))</f>
        <v/>
      </c>
      <c r="CC150" s="448" t="str">
        <f aca="false">IF($G150=0,IF(CC$11=$H150,"◆",""),IF(AND(CC$11&gt;=$H150,CC$11&lt;=$I150),1,""))</f>
        <v/>
      </c>
      <c r="CD150" s="448" t="str">
        <f aca="false">IF($G150=0,IF(CD$11=$H150,"◆",""),IF(AND(CD$11&gt;=$H150,CD$11&lt;=$I150),1,""))</f>
        <v/>
      </c>
      <c r="CE150" s="448" t="str">
        <f aca="false">IF($G150=0,IF(CE$11=$H150,"◆",""),IF(AND(CE$11&gt;=$H150,CE$11&lt;=$I150),1,""))</f>
        <v/>
      </c>
      <c r="CF150" s="448" t="str">
        <f aca="false">IF($G150=0,IF(CF$11=$H150,"◆",""),IF(AND(CF$11&gt;=$H150,CF$11&lt;=$I150),1,""))</f>
        <v/>
      </c>
      <c r="CG150" s="448" t="str">
        <f aca="false">IF($G150=0,IF(CG$11=$H150,"◆",""),IF(AND(CG$11&gt;=$H150,CG$11&lt;=$I150),1,""))</f>
        <v/>
      </c>
      <c r="CH150" s="448" t="str">
        <f aca="false">IF($G150=0,IF(CH$11=$H150,"◆",""),IF(AND(CH$11&gt;=$H150,CH$11&lt;=$I150),1,""))</f>
        <v/>
      </c>
      <c r="CI150" s="448" t="str">
        <f aca="false">IF($G150=0,IF(CI$11=$H150,"◆",""),IF(AND(CI$11&gt;=$H150,CI$11&lt;=$I150),1,""))</f>
        <v/>
      </c>
      <c r="CJ150" s="448" t="str">
        <f aca="false">IF($G150=0,IF(CJ$11=$H150,"◆",""),IF(AND(CJ$11&gt;=$H150,CJ$11&lt;=$I150),1,""))</f>
        <v/>
      </c>
      <c r="CK150" s="448" t="str">
        <f aca="false">IF($G150=0,IF(CK$11=$H150,"◆",""),IF(AND(CK$11&gt;=$H150,CK$11&lt;=$I150),1,""))</f>
        <v/>
      </c>
      <c r="CL150" s="448" t="str">
        <f aca="false">IF($G150=0,IF(CL$11=$H150,"◆",""),IF(AND(CL$11&gt;=$H150,CL$11&lt;=$I150),1,""))</f>
        <v/>
      </c>
      <c r="CM150" s="448" t="str">
        <f aca="false">IF($G150=0,IF(CM$11=$H150,"◆",""),IF(AND(CM$11&gt;=$H150,CM$11&lt;=$I150),1,""))</f>
        <v/>
      </c>
      <c r="CN150" s="448" t="str">
        <f aca="false">IF($G150=0,IF(CN$11=$H150,"◆",""),IF(AND(CN$11&gt;=$H150,CN$11&lt;=$I150),1,""))</f>
        <v/>
      </c>
      <c r="CO150" s="448" t="str">
        <f aca="false">IF($G150=0,IF(CO$11=$H150,"◆",""),IF(AND(CO$11&gt;=$H150,CO$11&lt;=$I150),1,""))</f>
        <v/>
      </c>
      <c r="CP150" s="448" t="str">
        <f aca="false">IF($G150=0,IF(CP$11=$H150,"◆",""),IF(AND(CP$11&gt;=$H150,CP$11&lt;=$I150),1,""))</f>
        <v/>
      </c>
      <c r="CQ150" s="448" t="str">
        <f aca="false">IF($G150=0,IF(CQ$11=$H150,"◆",""),IF(AND(CQ$11&gt;=$H150,CQ$11&lt;=$I150),1,""))</f>
        <v/>
      </c>
      <c r="CR150" s="448" t="str">
        <f aca="false">IF($G150=0,IF(CR$11=$H150,"◆",""),IF(AND(CR$11&gt;=$H150,CR$11&lt;=$I150),1,""))</f>
        <v/>
      </c>
      <c r="CS150" s="448" t="str">
        <f aca="false">IF($G150=0,IF(CS$11=$H150,"◆",""),IF(AND(CS$11&gt;=$H150,CS$11&lt;=$I150),1,""))</f>
        <v/>
      </c>
      <c r="CT150" s="448" t="str">
        <f aca="false">IF($G150=0,IF(CT$11=$H150,"◆",""),IF(AND(CT$11&gt;=$H150,CT$11&lt;=$I150),1,""))</f>
        <v/>
      </c>
      <c r="CU150" s="448" t="str">
        <f aca="false">IF($G150=0,IF(CU$11=$H150,"◆",""),IF(AND(CU$11&gt;=$H150,CU$11&lt;=$I150),1,""))</f>
        <v/>
      </c>
      <c r="CV150" s="448" t="str">
        <f aca="false">IF($G150=0,IF(CV$11=$H150,"◆",""),IF(AND(CV$11&gt;=$H150,CV$11&lt;=$I150),1,""))</f>
        <v/>
      </c>
      <c r="CW150" s="448" t="str">
        <f aca="false">IF($G150=0,IF(CW$11=$H150,"◆",""),IF(AND(CW$11&gt;=$H150,CW$11&lt;=$I150),1,""))</f>
        <v/>
      </c>
      <c r="CX150" s="448" t="str">
        <f aca="false">IF($G150=0,IF(CX$11=$H150,"◆",""),IF(AND(CX$11&gt;=$H150,CX$11&lt;=$I150),1,""))</f>
        <v/>
      </c>
      <c r="CY150" s="448" t="str">
        <f aca="false">IF($G150=0,IF(CY$11=$H150,"◆",""),IF(AND(CY$11&gt;=$H150,CY$11&lt;=$I150),1,""))</f>
        <v/>
      </c>
      <c r="CZ150" s="448" t="str">
        <f aca="false">IF($G150=0,IF(CZ$11=$H150,"◆",""),IF(AND(CZ$11&gt;=$H150,CZ$11&lt;=$I150),1,""))</f>
        <v/>
      </c>
      <c r="DA150" s="448" t="str">
        <f aca="false">IF($G150=0,IF(DA$11=$H150,"◆",""),IF(AND(DA$11&gt;=$H150,DA$11&lt;=$I150),1,""))</f>
        <v/>
      </c>
      <c r="DB150" s="448" t="str">
        <f aca="false">IF($G150=0,IF(DB$11=$H150,"◆",""),IF(AND(DB$11&gt;=$H150,DB$11&lt;=$I150),1,""))</f>
        <v/>
      </c>
      <c r="DC150" s="448" t="str">
        <f aca="false">IF($G150=0,IF(DC$11=$H150,"◆",""),IF(AND(DC$11&gt;=$H150,DC$11&lt;=$I150),1,""))</f>
        <v/>
      </c>
      <c r="DD150" s="448" t="str">
        <f aca="false">IF($G150=0,IF(DD$11=$H150,"◆",""),IF(AND(DD$11&gt;=$H150,DD$11&lt;=$I150),1,""))</f>
        <v/>
      </c>
      <c r="DE150" s="448" t="str">
        <f aca="false">IF($G150=0,IF(DE$11=$H150,"◆",""),IF(AND(DE$11&gt;=$H150,DE$11&lt;=$I150),1,""))</f>
        <v/>
      </c>
      <c r="DF150" s="448" t="str">
        <f aca="false">IF($G150=0,IF(DF$11=$H150,"◆",""),IF(AND(DF$11&gt;=$H150,DF$11&lt;=$I150),1,""))</f>
        <v/>
      </c>
      <c r="DG150" s="448" t="str">
        <f aca="false">IF($G150=0,IF(DG$11=$H150,"◆",""),IF(AND(DG$11&gt;=$H150,DG$11&lt;=$I150),1,""))</f>
        <v/>
      </c>
      <c r="DH150" s="448" t="str">
        <f aca="false">IF($G150=0,IF(DH$11=$H150,"◆",""),IF(AND(DH$11&gt;=$H150,DH$11&lt;=$I150),1,""))</f>
        <v/>
      </c>
      <c r="DI150" s="448" t="str">
        <f aca="false">IF($G150=0,IF(DI$11=$H150,"◆",""),IF(AND(DI$11&gt;=$H150,DI$11&lt;=$I150),1,""))</f>
        <v/>
      </c>
      <c r="DJ150" s="448" t="str">
        <f aca="false">IF($G150=0,IF(DJ$11=$H150,"◆",""),IF(AND(DJ$11&gt;=$H150,DJ$11&lt;=$I150),1,""))</f>
        <v/>
      </c>
      <c r="DK150" s="448" t="str">
        <f aca="false">IF($G150=0,IF(DK$11=$H150,"◆",""),IF(AND(DK$11&gt;=$H150,DK$11&lt;=$I150),1,""))</f>
        <v/>
      </c>
      <c r="DL150" s="448" t="str">
        <f aca="false">IF($G150=0,IF(DL$11=$H150,"◆",""),IF(AND(DL$11&gt;=$H150,DL$11&lt;=$I150),1,""))</f>
        <v/>
      </c>
      <c r="DM150" s="448" t="str">
        <f aca="false">IF($G150=0,IF(DM$11=$H150,"◆",""),IF(AND(DM$11&gt;=$H150,DM$11&lt;=$I150),1,""))</f>
        <v/>
      </c>
      <c r="DN150" s="448" t="str">
        <f aca="false">IF($G150=0,IF(DN$11=$H150,"◆",""),IF(AND(DN$11&gt;=$H150,DN$11&lt;=$I150),1,""))</f>
        <v/>
      </c>
      <c r="DO150" s="448" t="str">
        <f aca="false">IF($G150=0,IF(DO$11=$H150,"◆",""),IF(AND(DO$11&gt;=$H150,DO$11&lt;=$I150),1,""))</f>
        <v/>
      </c>
      <c r="DP150" s="448" t="str">
        <f aca="false">IF($G150=0,IF(DP$11=$H150,"◆",""),IF(AND(DP$11&gt;=$H150,DP$11&lt;=$I150),1,""))</f>
        <v/>
      </c>
      <c r="DQ150" s="448" t="str">
        <f aca="false">IF($G150=0,IF(DQ$11=$H150,"◆",""),IF(AND(DQ$11&gt;=$H150,DQ$11&lt;=$I150),1,""))</f>
        <v/>
      </c>
      <c r="DR150" s="448" t="str">
        <f aca="false">IF($G150=0,IF(DR$11=$H150,"◆",""),IF(AND(DR$11&gt;=$H150,DR$11&lt;=$I150),1,""))</f>
        <v/>
      </c>
      <c r="DS150" s="448" t="str">
        <f aca="false">IF($G150=0,IF(DS$11=$H150,"◆",""),IF(AND(DS$11&gt;=$H150,DS$11&lt;=$I150),1,""))</f>
        <v/>
      </c>
      <c r="DT150" s="448" t="str">
        <f aca="false">IF($G150=0,IF(DT$11=$H150,"◆",""),IF(AND(DT$11&gt;=$H150,DT$11&lt;=$I150),1,""))</f>
        <v/>
      </c>
      <c r="DU150" s="448" t="str">
        <f aca="false">IF($G150=0,IF(DU$11=$H150,"◆",""),IF(AND(DU$11&gt;=$H150,DU$11&lt;=$I150),1,""))</f>
        <v/>
      </c>
      <c r="DV150" s="448" t="str">
        <f aca="false">IF($G150=0,IF(DV$11=$H150,"◆",""),IF(AND(DV$11&gt;=$H150,DV$11&lt;=$I150),1,""))</f>
        <v/>
      </c>
      <c r="DW150" s="448" t="str">
        <f aca="false">IF($G150=0,IF(DW$11=$H150,"◆",""),IF(AND(DW$11&gt;=$H150,DW$11&lt;=$I150),1,""))</f>
        <v/>
      </c>
      <c r="DX150" s="448" t="str">
        <f aca="false">IF($G150=0,IF(DX$11=$H150,"◆",""),IF(AND(DX$11&gt;=$H150,DX$11&lt;=$I150),1,""))</f>
        <v/>
      </c>
      <c r="DY150" s="448" t="str">
        <f aca="false">IF($G150=0,IF(DY$11=$H150,"◆",""),IF(AND(DY$11&gt;=$H150,DY$11&lt;=$I150),1,""))</f>
        <v/>
      </c>
      <c r="DZ150" s="448" t="str">
        <f aca="false">IF($G150=0,IF(DZ$11=$H150,"◆",""),IF(AND(DZ$11&gt;=$H150,DZ$11&lt;=$I150),1,""))</f>
        <v/>
      </c>
      <c r="EA150" s="448" t="str">
        <f aca="false">IF($G150=0,IF(EA$11=$H150,"◆",""),IF(AND(EA$11&gt;=$H150,EA$11&lt;=$I150),1,""))</f>
        <v/>
      </c>
      <c r="EB150" s="448" t="str">
        <f aca="false">IF($G150=0,IF(EB$11=$H150,"◆",""),IF(AND(EB$11&gt;=$H150,EB$11&lt;=$I150),1,""))</f>
        <v/>
      </c>
      <c r="EC150" s="448" t="str">
        <f aca="false">IF($G150=0,IF(EC$11=$H150,"◆",""),IF(AND(EC$11&gt;=$H150,EC$11&lt;=$I150),1,""))</f>
        <v/>
      </c>
      <c r="ED150" s="448" t="str">
        <f aca="false">IF($G150=0,IF(ED$11=$H150,"◆",""),IF(AND(ED$11&gt;=$H150,ED$11&lt;=$I150),1,""))</f>
        <v/>
      </c>
    </row>
    <row r="151" customFormat="false" ht="15" hidden="false" customHeight="true" outlineLevel="0" collapsed="false">
      <c r="A151" s="441" t="s">
        <v>2756</v>
      </c>
      <c r="B151" s="297" t="s">
        <v>2757</v>
      </c>
      <c r="C151" s="442" t="s">
        <v>2758</v>
      </c>
      <c r="D151" s="443" t="s">
        <v>2634</v>
      </c>
      <c r="E151" s="354" t="n">
        <f aca="false">FC_SUPUESTOS!$C$40</f>
        <v>10</v>
      </c>
      <c r="F151" s="352" t="n">
        <v>1</v>
      </c>
      <c r="G151" s="352" t="n">
        <v>1</v>
      </c>
      <c r="H151" s="367" t="n">
        <f aca="false">MAX(1,ROUND(($E151-1)*$D$5,0)+1+$F151)</f>
        <v>41</v>
      </c>
      <c r="I151" s="367" t="n">
        <f aca="false">MAX($H151,$H151+$G151-1)</f>
        <v>41</v>
      </c>
      <c r="J151" s="444" t="n">
        <f aca="false">$D$4+($H151-1)*7</f>
        <v>46580</v>
      </c>
      <c r="K151" s="444" t="n">
        <f aca="false">$D$4+$I151*7-1</f>
        <v>46586</v>
      </c>
      <c r="L151" s="445" t="n">
        <f aca="false">ROUNDUP($H151/$D$5,0)</f>
        <v>10</v>
      </c>
      <c r="M151" s="446" t="s">
        <v>2453</v>
      </c>
      <c r="N151" s="447" t="n">
        <v>0</v>
      </c>
      <c r="O151" s="448" t="str">
        <f aca="false">IF($G151=0,IF(O$11=$H151,"◆",""),IF(AND(O$11&gt;=$H151,O$11&lt;=$I151),1,""))</f>
        <v/>
      </c>
      <c r="P151" s="448" t="str">
        <f aca="false">IF($G151=0,IF(P$11=$H151,"◆",""),IF(AND(P$11&gt;=$H151,P$11&lt;=$I151),1,""))</f>
        <v/>
      </c>
      <c r="Q151" s="448" t="str">
        <f aca="false">IF($G151=0,IF(Q$11=$H151,"◆",""),IF(AND(Q$11&gt;=$H151,Q$11&lt;=$I151),1,""))</f>
        <v/>
      </c>
      <c r="R151" s="448" t="str">
        <f aca="false">IF($G151=0,IF(R$11=$H151,"◆",""),IF(AND(R$11&gt;=$H151,R$11&lt;=$I151),1,""))</f>
        <v/>
      </c>
      <c r="S151" s="448" t="str">
        <f aca="false">IF($G151=0,IF(S$11=$H151,"◆",""),IF(AND(S$11&gt;=$H151,S$11&lt;=$I151),1,""))</f>
        <v/>
      </c>
      <c r="T151" s="448" t="str">
        <f aca="false">IF($G151=0,IF(T$11=$H151,"◆",""),IF(AND(T$11&gt;=$H151,T$11&lt;=$I151),1,""))</f>
        <v/>
      </c>
      <c r="U151" s="448" t="str">
        <f aca="false">IF($G151=0,IF(U$11=$H151,"◆",""),IF(AND(U$11&gt;=$H151,U$11&lt;=$I151),1,""))</f>
        <v/>
      </c>
      <c r="V151" s="448" t="str">
        <f aca="false">IF($G151=0,IF(V$11=$H151,"◆",""),IF(AND(V$11&gt;=$H151,V$11&lt;=$I151),1,""))</f>
        <v/>
      </c>
      <c r="W151" s="448" t="str">
        <f aca="false">IF($G151=0,IF(W$11=$H151,"◆",""),IF(AND(W$11&gt;=$H151,W$11&lt;=$I151),1,""))</f>
        <v/>
      </c>
      <c r="X151" s="448" t="str">
        <f aca="false">IF($G151=0,IF(X$11=$H151,"◆",""),IF(AND(X$11&gt;=$H151,X$11&lt;=$I151),1,""))</f>
        <v/>
      </c>
      <c r="Y151" s="448" t="str">
        <f aca="false">IF($G151=0,IF(Y$11=$H151,"◆",""),IF(AND(Y$11&gt;=$H151,Y$11&lt;=$I151),1,""))</f>
        <v/>
      </c>
      <c r="Z151" s="448" t="str">
        <f aca="false">IF($G151=0,IF(Z$11=$H151,"◆",""),IF(AND(Z$11&gt;=$H151,Z$11&lt;=$I151),1,""))</f>
        <v/>
      </c>
      <c r="AA151" s="448" t="str">
        <f aca="false">IF($G151=0,IF(AA$11=$H151,"◆",""),IF(AND(AA$11&gt;=$H151,AA$11&lt;=$I151),1,""))</f>
        <v/>
      </c>
      <c r="AB151" s="448" t="str">
        <f aca="false">IF($G151=0,IF(AB$11=$H151,"◆",""),IF(AND(AB$11&gt;=$H151,AB$11&lt;=$I151),1,""))</f>
        <v/>
      </c>
      <c r="AC151" s="448" t="str">
        <f aca="false">IF($G151=0,IF(AC$11=$H151,"◆",""),IF(AND(AC$11&gt;=$H151,AC$11&lt;=$I151),1,""))</f>
        <v/>
      </c>
      <c r="AD151" s="448" t="str">
        <f aca="false">IF($G151=0,IF(AD$11=$H151,"◆",""),IF(AND(AD$11&gt;=$H151,AD$11&lt;=$I151),1,""))</f>
        <v/>
      </c>
      <c r="AE151" s="448" t="str">
        <f aca="false">IF($G151=0,IF(AE$11=$H151,"◆",""),IF(AND(AE$11&gt;=$H151,AE$11&lt;=$I151),1,""))</f>
        <v/>
      </c>
      <c r="AF151" s="448" t="str">
        <f aca="false">IF($G151=0,IF(AF$11=$H151,"◆",""),IF(AND(AF$11&gt;=$H151,AF$11&lt;=$I151),1,""))</f>
        <v/>
      </c>
      <c r="AG151" s="448" t="str">
        <f aca="false">IF($G151=0,IF(AG$11=$H151,"◆",""),IF(AND(AG$11&gt;=$H151,AG$11&lt;=$I151),1,""))</f>
        <v/>
      </c>
      <c r="AH151" s="448" t="str">
        <f aca="false">IF($G151=0,IF(AH$11=$H151,"◆",""),IF(AND(AH$11&gt;=$H151,AH$11&lt;=$I151),1,""))</f>
        <v/>
      </c>
      <c r="AI151" s="448" t="str">
        <f aca="false">IF($G151=0,IF(AI$11=$H151,"◆",""),IF(AND(AI$11&gt;=$H151,AI$11&lt;=$I151),1,""))</f>
        <v/>
      </c>
      <c r="AJ151" s="448" t="str">
        <f aca="false">IF($G151=0,IF(AJ$11=$H151,"◆",""),IF(AND(AJ$11&gt;=$H151,AJ$11&lt;=$I151),1,""))</f>
        <v/>
      </c>
      <c r="AK151" s="448" t="str">
        <f aca="false">IF($G151=0,IF(AK$11=$H151,"◆",""),IF(AND(AK$11&gt;=$H151,AK$11&lt;=$I151),1,""))</f>
        <v/>
      </c>
      <c r="AL151" s="448" t="str">
        <f aca="false">IF($G151=0,IF(AL$11=$H151,"◆",""),IF(AND(AL$11&gt;=$H151,AL$11&lt;=$I151),1,""))</f>
        <v/>
      </c>
      <c r="AM151" s="448" t="str">
        <f aca="false">IF($G151=0,IF(AM$11=$H151,"◆",""),IF(AND(AM$11&gt;=$H151,AM$11&lt;=$I151),1,""))</f>
        <v/>
      </c>
      <c r="AN151" s="448" t="str">
        <f aca="false">IF($G151=0,IF(AN$11=$H151,"◆",""),IF(AND(AN$11&gt;=$H151,AN$11&lt;=$I151),1,""))</f>
        <v/>
      </c>
      <c r="AO151" s="448" t="str">
        <f aca="false">IF($G151=0,IF(AO$11=$H151,"◆",""),IF(AND(AO$11&gt;=$H151,AO$11&lt;=$I151),1,""))</f>
        <v/>
      </c>
      <c r="AP151" s="448" t="str">
        <f aca="false">IF($G151=0,IF(AP$11=$H151,"◆",""),IF(AND(AP$11&gt;=$H151,AP$11&lt;=$I151),1,""))</f>
        <v/>
      </c>
      <c r="AQ151" s="448" t="str">
        <f aca="false">IF($G151=0,IF(AQ$11=$H151,"◆",""),IF(AND(AQ$11&gt;=$H151,AQ$11&lt;=$I151),1,""))</f>
        <v/>
      </c>
      <c r="AR151" s="448" t="str">
        <f aca="false">IF($G151=0,IF(AR$11=$H151,"◆",""),IF(AND(AR$11&gt;=$H151,AR$11&lt;=$I151),1,""))</f>
        <v/>
      </c>
      <c r="AS151" s="448" t="str">
        <f aca="false">IF($G151=0,IF(AS$11=$H151,"◆",""),IF(AND(AS$11&gt;=$H151,AS$11&lt;=$I151),1,""))</f>
        <v/>
      </c>
      <c r="AT151" s="448" t="str">
        <f aca="false">IF($G151=0,IF(AT$11=$H151,"◆",""),IF(AND(AT$11&gt;=$H151,AT$11&lt;=$I151),1,""))</f>
        <v/>
      </c>
      <c r="AU151" s="448" t="str">
        <f aca="false">IF($G151=0,IF(AU$11=$H151,"◆",""),IF(AND(AU$11&gt;=$H151,AU$11&lt;=$I151),1,""))</f>
        <v/>
      </c>
      <c r="AV151" s="448" t="str">
        <f aca="false">IF($G151=0,IF(AV$11=$H151,"◆",""),IF(AND(AV$11&gt;=$H151,AV$11&lt;=$I151),1,""))</f>
        <v/>
      </c>
      <c r="AW151" s="448" t="str">
        <f aca="false">IF($G151=0,IF(AW$11=$H151,"◆",""),IF(AND(AW$11&gt;=$H151,AW$11&lt;=$I151),1,""))</f>
        <v/>
      </c>
      <c r="AX151" s="448" t="str">
        <f aca="false">IF($G151=0,IF(AX$11=$H151,"◆",""),IF(AND(AX$11&gt;=$H151,AX$11&lt;=$I151),1,""))</f>
        <v/>
      </c>
      <c r="AY151" s="448" t="str">
        <f aca="false">IF($G151=0,IF(AY$11=$H151,"◆",""),IF(AND(AY$11&gt;=$H151,AY$11&lt;=$I151),1,""))</f>
        <v/>
      </c>
      <c r="AZ151" s="448" t="str">
        <f aca="false">IF($G151=0,IF(AZ$11=$H151,"◆",""),IF(AND(AZ$11&gt;=$H151,AZ$11&lt;=$I151),1,""))</f>
        <v/>
      </c>
      <c r="BA151" s="448" t="str">
        <f aca="false">IF($G151=0,IF(BA$11=$H151,"◆",""),IF(AND(BA$11&gt;=$H151,BA$11&lt;=$I151),1,""))</f>
        <v/>
      </c>
      <c r="BB151" s="448" t="str">
        <f aca="false">IF($G151=0,IF(BB$11=$H151,"◆",""),IF(AND(BB$11&gt;=$H151,BB$11&lt;=$I151),1,""))</f>
        <v/>
      </c>
      <c r="BC151" s="448" t="n">
        <f aca="false">IF($G151=0,IF(BC$11=$H151,"◆",""),IF(AND(BC$11&gt;=$H151,BC$11&lt;=$I151),1,""))</f>
        <v>1</v>
      </c>
      <c r="BD151" s="448" t="str">
        <f aca="false">IF($G151=0,IF(BD$11=$H151,"◆",""),IF(AND(BD$11&gt;=$H151,BD$11&lt;=$I151),1,""))</f>
        <v/>
      </c>
      <c r="BE151" s="448" t="str">
        <f aca="false">IF($G151=0,IF(BE$11=$H151,"◆",""),IF(AND(BE$11&gt;=$H151,BE$11&lt;=$I151),1,""))</f>
        <v/>
      </c>
      <c r="BF151" s="448" t="str">
        <f aca="false">IF($G151=0,IF(BF$11=$H151,"◆",""),IF(AND(BF$11&gt;=$H151,BF$11&lt;=$I151),1,""))</f>
        <v/>
      </c>
      <c r="BG151" s="448" t="str">
        <f aca="false">IF($G151=0,IF(BG$11=$H151,"◆",""),IF(AND(BG$11&gt;=$H151,BG$11&lt;=$I151),1,""))</f>
        <v/>
      </c>
      <c r="BH151" s="448" t="str">
        <f aca="false">IF($G151=0,IF(BH$11=$H151,"◆",""),IF(AND(BH$11&gt;=$H151,BH$11&lt;=$I151),1,""))</f>
        <v/>
      </c>
      <c r="BI151" s="448" t="str">
        <f aca="false">IF($G151=0,IF(BI$11=$H151,"◆",""),IF(AND(BI$11&gt;=$H151,BI$11&lt;=$I151),1,""))</f>
        <v/>
      </c>
      <c r="BJ151" s="448" t="str">
        <f aca="false">IF($G151=0,IF(BJ$11=$H151,"◆",""),IF(AND(BJ$11&gt;=$H151,BJ$11&lt;=$I151),1,""))</f>
        <v/>
      </c>
      <c r="BK151" s="448" t="str">
        <f aca="false">IF($G151=0,IF(BK$11=$H151,"◆",""),IF(AND(BK$11&gt;=$H151,BK$11&lt;=$I151),1,""))</f>
        <v/>
      </c>
      <c r="BL151" s="448" t="str">
        <f aca="false">IF($G151=0,IF(BL$11=$H151,"◆",""),IF(AND(BL$11&gt;=$H151,BL$11&lt;=$I151),1,""))</f>
        <v/>
      </c>
      <c r="BM151" s="448" t="str">
        <f aca="false">IF($G151=0,IF(BM$11=$H151,"◆",""),IF(AND(BM$11&gt;=$H151,BM$11&lt;=$I151),1,""))</f>
        <v/>
      </c>
      <c r="BN151" s="448" t="str">
        <f aca="false">IF($G151=0,IF(BN$11=$H151,"◆",""),IF(AND(BN$11&gt;=$H151,BN$11&lt;=$I151),1,""))</f>
        <v/>
      </c>
      <c r="BO151" s="448" t="str">
        <f aca="false">IF($G151=0,IF(BO$11=$H151,"◆",""),IF(AND(BO$11&gt;=$H151,BO$11&lt;=$I151),1,""))</f>
        <v/>
      </c>
      <c r="BP151" s="448" t="str">
        <f aca="false">IF($G151=0,IF(BP$11=$H151,"◆",""),IF(AND(BP$11&gt;=$H151,BP$11&lt;=$I151),1,""))</f>
        <v/>
      </c>
      <c r="BQ151" s="448" t="str">
        <f aca="false">IF($G151=0,IF(BQ$11=$H151,"◆",""),IF(AND(BQ$11&gt;=$H151,BQ$11&lt;=$I151),1,""))</f>
        <v/>
      </c>
      <c r="BR151" s="448" t="str">
        <f aca="false">IF($G151=0,IF(BR$11=$H151,"◆",""),IF(AND(BR$11&gt;=$H151,BR$11&lt;=$I151),1,""))</f>
        <v/>
      </c>
      <c r="BS151" s="448" t="str">
        <f aca="false">IF($G151=0,IF(BS$11=$H151,"◆",""),IF(AND(BS$11&gt;=$H151,BS$11&lt;=$I151),1,""))</f>
        <v/>
      </c>
      <c r="BT151" s="448" t="str">
        <f aca="false">IF($G151=0,IF(BT$11=$H151,"◆",""),IF(AND(BT$11&gt;=$H151,BT$11&lt;=$I151),1,""))</f>
        <v/>
      </c>
      <c r="BU151" s="448" t="str">
        <f aca="false">IF($G151=0,IF(BU$11=$H151,"◆",""),IF(AND(BU$11&gt;=$H151,BU$11&lt;=$I151),1,""))</f>
        <v/>
      </c>
      <c r="BV151" s="448" t="str">
        <f aca="false">IF($G151=0,IF(BV$11=$H151,"◆",""),IF(AND(BV$11&gt;=$H151,BV$11&lt;=$I151),1,""))</f>
        <v/>
      </c>
      <c r="BW151" s="448" t="str">
        <f aca="false">IF($G151=0,IF(BW$11=$H151,"◆",""),IF(AND(BW$11&gt;=$H151,BW$11&lt;=$I151),1,""))</f>
        <v/>
      </c>
      <c r="BX151" s="448" t="str">
        <f aca="false">IF($G151=0,IF(BX$11=$H151,"◆",""),IF(AND(BX$11&gt;=$H151,BX$11&lt;=$I151),1,""))</f>
        <v/>
      </c>
      <c r="BY151" s="448" t="str">
        <f aca="false">IF($G151=0,IF(BY$11=$H151,"◆",""),IF(AND(BY$11&gt;=$H151,BY$11&lt;=$I151),1,""))</f>
        <v/>
      </c>
      <c r="BZ151" s="448" t="str">
        <f aca="false">IF($G151=0,IF(BZ$11=$H151,"◆",""),IF(AND(BZ$11&gt;=$H151,BZ$11&lt;=$I151),1,""))</f>
        <v/>
      </c>
      <c r="CA151" s="448" t="str">
        <f aca="false">IF($G151=0,IF(CA$11=$H151,"◆",""),IF(AND(CA$11&gt;=$H151,CA$11&lt;=$I151),1,""))</f>
        <v/>
      </c>
      <c r="CB151" s="448" t="str">
        <f aca="false">IF($G151=0,IF(CB$11=$H151,"◆",""),IF(AND(CB$11&gt;=$H151,CB$11&lt;=$I151),1,""))</f>
        <v/>
      </c>
      <c r="CC151" s="448" t="str">
        <f aca="false">IF($G151=0,IF(CC$11=$H151,"◆",""),IF(AND(CC$11&gt;=$H151,CC$11&lt;=$I151),1,""))</f>
        <v/>
      </c>
      <c r="CD151" s="448" t="str">
        <f aca="false">IF($G151=0,IF(CD$11=$H151,"◆",""),IF(AND(CD$11&gt;=$H151,CD$11&lt;=$I151),1,""))</f>
        <v/>
      </c>
      <c r="CE151" s="448" t="str">
        <f aca="false">IF($G151=0,IF(CE$11=$H151,"◆",""),IF(AND(CE$11&gt;=$H151,CE$11&lt;=$I151),1,""))</f>
        <v/>
      </c>
      <c r="CF151" s="448" t="str">
        <f aca="false">IF($G151=0,IF(CF$11=$H151,"◆",""),IF(AND(CF$11&gt;=$H151,CF$11&lt;=$I151),1,""))</f>
        <v/>
      </c>
      <c r="CG151" s="448" t="str">
        <f aca="false">IF($G151=0,IF(CG$11=$H151,"◆",""),IF(AND(CG$11&gt;=$H151,CG$11&lt;=$I151),1,""))</f>
        <v/>
      </c>
      <c r="CH151" s="448" t="str">
        <f aca="false">IF($G151=0,IF(CH$11=$H151,"◆",""),IF(AND(CH$11&gt;=$H151,CH$11&lt;=$I151),1,""))</f>
        <v/>
      </c>
      <c r="CI151" s="448" t="str">
        <f aca="false">IF($G151=0,IF(CI$11=$H151,"◆",""),IF(AND(CI$11&gt;=$H151,CI$11&lt;=$I151),1,""))</f>
        <v/>
      </c>
      <c r="CJ151" s="448" t="str">
        <f aca="false">IF($G151=0,IF(CJ$11=$H151,"◆",""),IF(AND(CJ$11&gt;=$H151,CJ$11&lt;=$I151),1,""))</f>
        <v/>
      </c>
      <c r="CK151" s="448" t="str">
        <f aca="false">IF($G151=0,IF(CK$11=$H151,"◆",""),IF(AND(CK$11&gt;=$H151,CK$11&lt;=$I151),1,""))</f>
        <v/>
      </c>
      <c r="CL151" s="448" t="str">
        <f aca="false">IF($G151=0,IF(CL$11=$H151,"◆",""),IF(AND(CL$11&gt;=$H151,CL$11&lt;=$I151),1,""))</f>
        <v/>
      </c>
      <c r="CM151" s="448" t="str">
        <f aca="false">IF($G151=0,IF(CM$11=$H151,"◆",""),IF(AND(CM$11&gt;=$H151,CM$11&lt;=$I151),1,""))</f>
        <v/>
      </c>
      <c r="CN151" s="448" t="str">
        <f aca="false">IF($G151=0,IF(CN$11=$H151,"◆",""),IF(AND(CN$11&gt;=$H151,CN$11&lt;=$I151),1,""))</f>
        <v/>
      </c>
      <c r="CO151" s="448" t="str">
        <f aca="false">IF($G151=0,IF(CO$11=$H151,"◆",""),IF(AND(CO$11&gt;=$H151,CO$11&lt;=$I151),1,""))</f>
        <v/>
      </c>
      <c r="CP151" s="448" t="str">
        <f aca="false">IF($G151=0,IF(CP$11=$H151,"◆",""),IF(AND(CP$11&gt;=$H151,CP$11&lt;=$I151),1,""))</f>
        <v/>
      </c>
      <c r="CQ151" s="448" t="str">
        <f aca="false">IF($G151=0,IF(CQ$11=$H151,"◆",""),IF(AND(CQ$11&gt;=$H151,CQ$11&lt;=$I151),1,""))</f>
        <v/>
      </c>
      <c r="CR151" s="448" t="str">
        <f aca="false">IF($G151=0,IF(CR$11=$H151,"◆",""),IF(AND(CR$11&gt;=$H151,CR$11&lt;=$I151),1,""))</f>
        <v/>
      </c>
      <c r="CS151" s="448" t="str">
        <f aca="false">IF($G151=0,IF(CS$11=$H151,"◆",""),IF(AND(CS$11&gt;=$H151,CS$11&lt;=$I151),1,""))</f>
        <v/>
      </c>
      <c r="CT151" s="448" t="str">
        <f aca="false">IF($G151=0,IF(CT$11=$H151,"◆",""),IF(AND(CT$11&gt;=$H151,CT$11&lt;=$I151),1,""))</f>
        <v/>
      </c>
      <c r="CU151" s="448" t="str">
        <f aca="false">IF($G151=0,IF(CU$11=$H151,"◆",""),IF(AND(CU$11&gt;=$H151,CU$11&lt;=$I151),1,""))</f>
        <v/>
      </c>
      <c r="CV151" s="448" t="str">
        <f aca="false">IF($G151=0,IF(CV$11=$H151,"◆",""),IF(AND(CV$11&gt;=$H151,CV$11&lt;=$I151),1,""))</f>
        <v/>
      </c>
      <c r="CW151" s="448" t="str">
        <f aca="false">IF($G151=0,IF(CW$11=$H151,"◆",""),IF(AND(CW$11&gt;=$H151,CW$11&lt;=$I151),1,""))</f>
        <v/>
      </c>
      <c r="CX151" s="448" t="str">
        <f aca="false">IF($G151=0,IF(CX$11=$H151,"◆",""),IF(AND(CX$11&gt;=$H151,CX$11&lt;=$I151),1,""))</f>
        <v/>
      </c>
      <c r="CY151" s="448" t="str">
        <f aca="false">IF($G151=0,IF(CY$11=$H151,"◆",""),IF(AND(CY$11&gt;=$H151,CY$11&lt;=$I151),1,""))</f>
        <v/>
      </c>
      <c r="CZ151" s="448" t="str">
        <f aca="false">IF($G151=0,IF(CZ$11=$H151,"◆",""),IF(AND(CZ$11&gt;=$H151,CZ$11&lt;=$I151),1,""))</f>
        <v/>
      </c>
      <c r="DA151" s="448" t="str">
        <f aca="false">IF($G151=0,IF(DA$11=$H151,"◆",""),IF(AND(DA$11&gt;=$H151,DA$11&lt;=$I151),1,""))</f>
        <v/>
      </c>
      <c r="DB151" s="448" t="str">
        <f aca="false">IF($G151=0,IF(DB$11=$H151,"◆",""),IF(AND(DB$11&gt;=$H151,DB$11&lt;=$I151),1,""))</f>
        <v/>
      </c>
      <c r="DC151" s="448" t="str">
        <f aca="false">IF($G151=0,IF(DC$11=$H151,"◆",""),IF(AND(DC$11&gt;=$H151,DC$11&lt;=$I151),1,""))</f>
        <v/>
      </c>
      <c r="DD151" s="448" t="str">
        <f aca="false">IF($G151=0,IF(DD$11=$H151,"◆",""),IF(AND(DD$11&gt;=$H151,DD$11&lt;=$I151),1,""))</f>
        <v/>
      </c>
      <c r="DE151" s="448" t="str">
        <f aca="false">IF($G151=0,IF(DE$11=$H151,"◆",""),IF(AND(DE$11&gt;=$H151,DE$11&lt;=$I151),1,""))</f>
        <v/>
      </c>
      <c r="DF151" s="448" t="str">
        <f aca="false">IF($G151=0,IF(DF$11=$H151,"◆",""),IF(AND(DF$11&gt;=$H151,DF$11&lt;=$I151),1,""))</f>
        <v/>
      </c>
      <c r="DG151" s="448" t="str">
        <f aca="false">IF($G151=0,IF(DG$11=$H151,"◆",""),IF(AND(DG$11&gt;=$H151,DG$11&lt;=$I151),1,""))</f>
        <v/>
      </c>
      <c r="DH151" s="448" t="str">
        <f aca="false">IF($G151=0,IF(DH$11=$H151,"◆",""),IF(AND(DH$11&gt;=$H151,DH$11&lt;=$I151),1,""))</f>
        <v/>
      </c>
      <c r="DI151" s="448" t="str">
        <f aca="false">IF($G151=0,IF(DI$11=$H151,"◆",""),IF(AND(DI$11&gt;=$H151,DI$11&lt;=$I151),1,""))</f>
        <v/>
      </c>
      <c r="DJ151" s="448" t="str">
        <f aca="false">IF($G151=0,IF(DJ$11=$H151,"◆",""),IF(AND(DJ$11&gt;=$H151,DJ$11&lt;=$I151),1,""))</f>
        <v/>
      </c>
      <c r="DK151" s="448" t="str">
        <f aca="false">IF($G151=0,IF(DK$11=$H151,"◆",""),IF(AND(DK$11&gt;=$H151,DK$11&lt;=$I151),1,""))</f>
        <v/>
      </c>
      <c r="DL151" s="448" t="str">
        <f aca="false">IF($G151=0,IF(DL$11=$H151,"◆",""),IF(AND(DL$11&gt;=$H151,DL$11&lt;=$I151),1,""))</f>
        <v/>
      </c>
      <c r="DM151" s="448" t="str">
        <f aca="false">IF($G151=0,IF(DM$11=$H151,"◆",""),IF(AND(DM$11&gt;=$H151,DM$11&lt;=$I151),1,""))</f>
        <v/>
      </c>
      <c r="DN151" s="448" t="str">
        <f aca="false">IF($G151=0,IF(DN$11=$H151,"◆",""),IF(AND(DN$11&gt;=$H151,DN$11&lt;=$I151),1,""))</f>
        <v/>
      </c>
      <c r="DO151" s="448" t="str">
        <f aca="false">IF($G151=0,IF(DO$11=$H151,"◆",""),IF(AND(DO$11&gt;=$H151,DO$11&lt;=$I151),1,""))</f>
        <v/>
      </c>
      <c r="DP151" s="448" t="str">
        <f aca="false">IF($G151=0,IF(DP$11=$H151,"◆",""),IF(AND(DP$11&gt;=$H151,DP$11&lt;=$I151),1,""))</f>
        <v/>
      </c>
      <c r="DQ151" s="448" t="str">
        <f aca="false">IF($G151=0,IF(DQ$11=$H151,"◆",""),IF(AND(DQ$11&gt;=$H151,DQ$11&lt;=$I151),1,""))</f>
        <v/>
      </c>
      <c r="DR151" s="448" t="str">
        <f aca="false">IF($G151=0,IF(DR$11=$H151,"◆",""),IF(AND(DR$11&gt;=$H151,DR$11&lt;=$I151),1,""))</f>
        <v/>
      </c>
      <c r="DS151" s="448" t="str">
        <f aca="false">IF($G151=0,IF(DS$11=$H151,"◆",""),IF(AND(DS$11&gt;=$H151,DS$11&lt;=$I151),1,""))</f>
        <v/>
      </c>
      <c r="DT151" s="448" t="str">
        <f aca="false">IF($G151=0,IF(DT$11=$H151,"◆",""),IF(AND(DT$11&gt;=$H151,DT$11&lt;=$I151),1,""))</f>
        <v/>
      </c>
      <c r="DU151" s="448" t="str">
        <f aca="false">IF($G151=0,IF(DU$11=$H151,"◆",""),IF(AND(DU$11&gt;=$H151,DU$11&lt;=$I151),1,""))</f>
        <v/>
      </c>
      <c r="DV151" s="448" t="str">
        <f aca="false">IF($G151=0,IF(DV$11=$H151,"◆",""),IF(AND(DV$11&gt;=$H151,DV$11&lt;=$I151),1,""))</f>
        <v/>
      </c>
      <c r="DW151" s="448" t="str">
        <f aca="false">IF($G151=0,IF(DW$11=$H151,"◆",""),IF(AND(DW$11&gt;=$H151,DW$11&lt;=$I151),1,""))</f>
        <v/>
      </c>
      <c r="DX151" s="448" t="str">
        <f aca="false">IF($G151=0,IF(DX$11=$H151,"◆",""),IF(AND(DX$11&gt;=$H151,DX$11&lt;=$I151),1,""))</f>
        <v/>
      </c>
      <c r="DY151" s="448" t="str">
        <f aca="false">IF($G151=0,IF(DY$11=$H151,"◆",""),IF(AND(DY$11&gt;=$H151,DY$11&lt;=$I151),1,""))</f>
        <v/>
      </c>
      <c r="DZ151" s="448" t="str">
        <f aca="false">IF($G151=0,IF(DZ$11=$H151,"◆",""),IF(AND(DZ$11&gt;=$H151,DZ$11&lt;=$I151),1,""))</f>
        <v/>
      </c>
      <c r="EA151" s="448" t="str">
        <f aca="false">IF($G151=0,IF(EA$11=$H151,"◆",""),IF(AND(EA$11&gt;=$H151,EA$11&lt;=$I151),1,""))</f>
        <v/>
      </c>
      <c r="EB151" s="448" t="str">
        <f aca="false">IF($G151=0,IF(EB$11=$H151,"◆",""),IF(AND(EB$11&gt;=$H151,EB$11&lt;=$I151),1,""))</f>
        <v/>
      </c>
      <c r="EC151" s="448" t="str">
        <f aca="false">IF($G151=0,IF(EC$11=$H151,"◆",""),IF(AND(EC$11&gt;=$H151,EC$11&lt;=$I151),1,""))</f>
        <v/>
      </c>
      <c r="ED151" s="448" t="str">
        <f aca="false">IF($G151=0,IF(ED$11=$H151,"◆",""),IF(AND(ED$11&gt;=$H151,ED$11&lt;=$I151),1,""))</f>
        <v/>
      </c>
    </row>
    <row r="152" customFormat="false" ht="15" hidden="false" customHeight="true" outlineLevel="0" collapsed="false">
      <c r="A152" s="450" t="s">
        <v>2759</v>
      </c>
      <c r="B152" s="421" t="s">
        <v>2760</v>
      </c>
      <c r="C152" s="442" t="s">
        <v>2758</v>
      </c>
      <c r="D152" s="443" t="s">
        <v>2634</v>
      </c>
      <c r="E152" s="354" t="n">
        <f aca="false">FC_SUPUESTOS!$C$40</f>
        <v>10</v>
      </c>
      <c r="F152" s="352" t="n">
        <v>2</v>
      </c>
      <c r="G152" s="352" t="n">
        <v>0</v>
      </c>
      <c r="H152" s="358" t="n">
        <f aca="false">MAX(1,ROUND(($E152-1)*$D$5,0)+1+$F152)</f>
        <v>42</v>
      </c>
      <c r="I152" s="358" t="n">
        <f aca="false">MAX($H152,$H152+$G152-1)</f>
        <v>42</v>
      </c>
      <c r="J152" s="451" t="n">
        <f aca="false">$D$4+($H152-1)*7</f>
        <v>46587</v>
      </c>
      <c r="K152" s="451" t="n">
        <f aca="false">$D$4+$I152*7-1</f>
        <v>46593</v>
      </c>
      <c r="L152" s="445" t="n">
        <f aca="false">ROUNDUP($H152/$D$5,0)</f>
        <v>10</v>
      </c>
      <c r="M152" s="446" t="s">
        <v>2453</v>
      </c>
      <c r="N152" s="447" t="n">
        <v>0</v>
      </c>
      <c r="O152" s="448" t="str">
        <f aca="false">IF($G152=0,IF(O$11=$H152,"◆",""),IF(AND(O$11&gt;=$H152,O$11&lt;=$I152),1,""))</f>
        <v/>
      </c>
      <c r="P152" s="448" t="str">
        <f aca="false">IF($G152=0,IF(P$11=$H152,"◆",""),IF(AND(P$11&gt;=$H152,P$11&lt;=$I152),1,""))</f>
        <v/>
      </c>
      <c r="Q152" s="448" t="str">
        <f aca="false">IF($G152=0,IF(Q$11=$H152,"◆",""),IF(AND(Q$11&gt;=$H152,Q$11&lt;=$I152),1,""))</f>
        <v/>
      </c>
      <c r="R152" s="448" t="str">
        <f aca="false">IF($G152=0,IF(R$11=$H152,"◆",""),IF(AND(R$11&gt;=$H152,R$11&lt;=$I152),1,""))</f>
        <v/>
      </c>
      <c r="S152" s="448" t="str">
        <f aca="false">IF($G152=0,IF(S$11=$H152,"◆",""),IF(AND(S$11&gt;=$H152,S$11&lt;=$I152),1,""))</f>
        <v/>
      </c>
      <c r="T152" s="448" t="str">
        <f aca="false">IF($G152=0,IF(T$11=$H152,"◆",""),IF(AND(T$11&gt;=$H152,T$11&lt;=$I152),1,""))</f>
        <v/>
      </c>
      <c r="U152" s="448" t="str">
        <f aca="false">IF($G152=0,IF(U$11=$H152,"◆",""),IF(AND(U$11&gt;=$H152,U$11&lt;=$I152),1,""))</f>
        <v/>
      </c>
      <c r="V152" s="448" t="str">
        <f aca="false">IF($G152=0,IF(V$11=$H152,"◆",""),IF(AND(V$11&gt;=$H152,V$11&lt;=$I152),1,""))</f>
        <v/>
      </c>
      <c r="W152" s="448" t="str">
        <f aca="false">IF($G152=0,IF(W$11=$H152,"◆",""),IF(AND(W$11&gt;=$H152,W$11&lt;=$I152),1,""))</f>
        <v/>
      </c>
      <c r="X152" s="448" t="str">
        <f aca="false">IF($G152=0,IF(X$11=$H152,"◆",""),IF(AND(X$11&gt;=$H152,X$11&lt;=$I152),1,""))</f>
        <v/>
      </c>
      <c r="Y152" s="448" t="str">
        <f aca="false">IF($G152=0,IF(Y$11=$H152,"◆",""),IF(AND(Y$11&gt;=$H152,Y$11&lt;=$I152),1,""))</f>
        <v/>
      </c>
      <c r="Z152" s="448" t="str">
        <f aca="false">IF($G152=0,IF(Z$11=$H152,"◆",""),IF(AND(Z$11&gt;=$H152,Z$11&lt;=$I152),1,""))</f>
        <v/>
      </c>
      <c r="AA152" s="448" t="str">
        <f aca="false">IF($G152=0,IF(AA$11=$H152,"◆",""),IF(AND(AA$11&gt;=$H152,AA$11&lt;=$I152),1,""))</f>
        <v/>
      </c>
      <c r="AB152" s="448" t="str">
        <f aca="false">IF($G152=0,IF(AB$11=$H152,"◆",""),IF(AND(AB$11&gt;=$H152,AB$11&lt;=$I152),1,""))</f>
        <v/>
      </c>
      <c r="AC152" s="448" t="str">
        <f aca="false">IF($G152=0,IF(AC$11=$H152,"◆",""),IF(AND(AC$11&gt;=$H152,AC$11&lt;=$I152),1,""))</f>
        <v/>
      </c>
      <c r="AD152" s="448" t="str">
        <f aca="false">IF($G152=0,IF(AD$11=$H152,"◆",""),IF(AND(AD$11&gt;=$H152,AD$11&lt;=$I152),1,""))</f>
        <v/>
      </c>
      <c r="AE152" s="448" t="str">
        <f aca="false">IF($G152=0,IF(AE$11=$H152,"◆",""),IF(AND(AE$11&gt;=$H152,AE$11&lt;=$I152),1,""))</f>
        <v/>
      </c>
      <c r="AF152" s="448" t="str">
        <f aca="false">IF($G152=0,IF(AF$11=$H152,"◆",""),IF(AND(AF$11&gt;=$H152,AF$11&lt;=$I152),1,""))</f>
        <v/>
      </c>
      <c r="AG152" s="448" t="str">
        <f aca="false">IF($G152=0,IF(AG$11=$H152,"◆",""),IF(AND(AG$11&gt;=$H152,AG$11&lt;=$I152),1,""))</f>
        <v/>
      </c>
      <c r="AH152" s="448" t="str">
        <f aca="false">IF($G152=0,IF(AH$11=$H152,"◆",""),IF(AND(AH$11&gt;=$H152,AH$11&lt;=$I152),1,""))</f>
        <v/>
      </c>
      <c r="AI152" s="448" t="str">
        <f aca="false">IF($G152=0,IF(AI$11=$H152,"◆",""),IF(AND(AI$11&gt;=$H152,AI$11&lt;=$I152),1,""))</f>
        <v/>
      </c>
      <c r="AJ152" s="448" t="str">
        <f aca="false">IF($G152=0,IF(AJ$11=$H152,"◆",""),IF(AND(AJ$11&gt;=$H152,AJ$11&lt;=$I152),1,""))</f>
        <v/>
      </c>
      <c r="AK152" s="448" t="str">
        <f aca="false">IF($G152=0,IF(AK$11=$H152,"◆",""),IF(AND(AK$11&gt;=$H152,AK$11&lt;=$I152),1,""))</f>
        <v/>
      </c>
      <c r="AL152" s="448" t="str">
        <f aca="false">IF($G152=0,IF(AL$11=$H152,"◆",""),IF(AND(AL$11&gt;=$H152,AL$11&lt;=$I152),1,""))</f>
        <v/>
      </c>
      <c r="AM152" s="448" t="str">
        <f aca="false">IF($G152=0,IF(AM$11=$H152,"◆",""),IF(AND(AM$11&gt;=$H152,AM$11&lt;=$I152),1,""))</f>
        <v/>
      </c>
      <c r="AN152" s="448" t="str">
        <f aca="false">IF($G152=0,IF(AN$11=$H152,"◆",""),IF(AND(AN$11&gt;=$H152,AN$11&lt;=$I152),1,""))</f>
        <v/>
      </c>
      <c r="AO152" s="448" t="str">
        <f aca="false">IF($G152=0,IF(AO$11=$H152,"◆",""),IF(AND(AO$11&gt;=$H152,AO$11&lt;=$I152),1,""))</f>
        <v/>
      </c>
      <c r="AP152" s="448" t="str">
        <f aca="false">IF($G152=0,IF(AP$11=$H152,"◆",""),IF(AND(AP$11&gt;=$H152,AP$11&lt;=$I152),1,""))</f>
        <v/>
      </c>
      <c r="AQ152" s="448" t="str">
        <f aca="false">IF($G152=0,IF(AQ$11=$H152,"◆",""),IF(AND(AQ$11&gt;=$H152,AQ$11&lt;=$I152),1,""))</f>
        <v/>
      </c>
      <c r="AR152" s="448" t="str">
        <f aca="false">IF($G152=0,IF(AR$11=$H152,"◆",""),IF(AND(AR$11&gt;=$H152,AR$11&lt;=$I152),1,""))</f>
        <v/>
      </c>
      <c r="AS152" s="448" t="str">
        <f aca="false">IF($G152=0,IF(AS$11=$H152,"◆",""),IF(AND(AS$11&gt;=$H152,AS$11&lt;=$I152),1,""))</f>
        <v/>
      </c>
      <c r="AT152" s="448" t="str">
        <f aca="false">IF($G152=0,IF(AT$11=$H152,"◆",""),IF(AND(AT$11&gt;=$H152,AT$11&lt;=$I152),1,""))</f>
        <v/>
      </c>
      <c r="AU152" s="448" t="str">
        <f aca="false">IF($G152=0,IF(AU$11=$H152,"◆",""),IF(AND(AU$11&gt;=$H152,AU$11&lt;=$I152),1,""))</f>
        <v/>
      </c>
      <c r="AV152" s="448" t="str">
        <f aca="false">IF($G152=0,IF(AV$11=$H152,"◆",""),IF(AND(AV$11&gt;=$H152,AV$11&lt;=$I152),1,""))</f>
        <v/>
      </c>
      <c r="AW152" s="448" t="str">
        <f aca="false">IF($G152=0,IF(AW$11=$H152,"◆",""),IF(AND(AW$11&gt;=$H152,AW$11&lt;=$I152),1,""))</f>
        <v/>
      </c>
      <c r="AX152" s="448" t="str">
        <f aca="false">IF($G152=0,IF(AX$11=$H152,"◆",""),IF(AND(AX$11&gt;=$H152,AX$11&lt;=$I152),1,""))</f>
        <v/>
      </c>
      <c r="AY152" s="448" t="str">
        <f aca="false">IF($G152=0,IF(AY$11=$H152,"◆",""),IF(AND(AY$11&gt;=$H152,AY$11&lt;=$I152),1,""))</f>
        <v/>
      </c>
      <c r="AZ152" s="448" t="str">
        <f aca="false">IF($G152=0,IF(AZ$11=$H152,"◆",""),IF(AND(AZ$11&gt;=$H152,AZ$11&lt;=$I152),1,""))</f>
        <v/>
      </c>
      <c r="BA152" s="448" t="str">
        <f aca="false">IF($G152=0,IF(BA$11=$H152,"◆",""),IF(AND(BA$11&gt;=$H152,BA$11&lt;=$I152),1,""))</f>
        <v/>
      </c>
      <c r="BB152" s="448" t="str">
        <f aca="false">IF($G152=0,IF(BB$11=$H152,"◆",""),IF(AND(BB$11&gt;=$H152,BB$11&lt;=$I152),1,""))</f>
        <v/>
      </c>
      <c r="BC152" s="448" t="str">
        <f aca="false">IF($G152=0,IF(BC$11=$H152,"◆",""),IF(AND(BC$11&gt;=$H152,BC$11&lt;=$I152),1,""))</f>
        <v/>
      </c>
      <c r="BD152" s="448" t="str">
        <f aca="false">IF($G152=0,IF(BD$11=$H152,"◆",""),IF(AND(BD$11&gt;=$H152,BD$11&lt;=$I152),1,""))</f>
        <v>◆</v>
      </c>
      <c r="BE152" s="448" t="str">
        <f aca="false">IF($G152=0,IF(BE$11=$H152,"◆",""),IF(AND(BE$11&gt;=$H152,BE$11&lt;=$I152),1,""))</f>
        <v/>
      </c>
      <c r="BF152" s="448" t="str">
        <f aca="false">IF($G152=0,IF(BF$11=$H152,"◆",""),IF(AND(BF$11&gt;=$H152,BF$11&lt;=$I152),1,""))</f>
        <v/>
      </c>
      <c r="BG152" s="448" t="str">
        <f aca="false">IF($G152=0,IF(BG$11=$H152,"◆",""),IF(AND(BG$11&gt;=$H152,BG$11&lt;=$I152),1,""))</f>
        <v/>
      </c>
      <c r="BH152" s="448" t="str">
        <f aca="false">IF($G152=0,IF(BH$11=$H152,"◆",""),IF(AND(BH$11&gt;=$H152,BH$11&lt;=$I152),1,""))</f>
        <v/>
      </c>
      <c r="BI152" s="448" t="str">
        <f aca="false">IF($G152=0,IF(BI$11=$H152,"◆",""),IF(AND(BI$11&gt;=$H152,BI$11&lt;=$I152),1,""))</f>
        <v/>
      </c>
      <c r="BJ152" s="448" t="str">
        <f aca="false">IF($G152=0,IF(BJ$11=$H152,"◆",""),IF(AND(BJ$11&gt;=$H152,BJ$11&lt;=$I152),1,""))</f>
        <v/>
      </c>
      <c r="BK152" s="448" t="str">
        <f aca="false">IF($G152=0,IF(BK$11=$H152,"◆",""),IF(AND(BK$11&gt;=$H152,BK$11&lt;=$I152),1,""))</f>
        <v/>
      </c>
      <c r="BL152" s="448" t="str">
        <f aca="false">IF($G152=0,IF(BL$11=$H152,"◆",""),IF(AND(BL$11&gt;=$H152,BL$11&lt;=$I152),1,""))</f>
        <v/>
      </c>
      <c r="BM152" s="448" t="str">
        <f aca="false">IF($G152=0,IF(BM$11=$H152,"◆",""),IF(AND(BM$11&gt;=$H152,BM$11&lt;=$I152),1,""))</f>
        <v/>
      </c>
      <c r="BN152" s="448" t="str">
        <f aca="false">IF($G152=0,IF(BN$11=$H152,"◆",""),IF(AND(BN$11&gt;=$H152,BN$11&lt;=$I152),1,""))</f>
        <v/>
      </c>
      <c r="BO152" s="448" t="str">
        <f aca="false">IF($G152=0,IF(BO$11=$H152,"◆",""),IF(AND(BO$11&gt;=$H152,BO$11&lt;=$I152),1,""))</f>
        <v/>
      </c>
      <c r="BP152" s="448" t="str">
        <f aca="false">IF($G152=0,IF(BP$11=$H152,"◆",""),IF(AND(BP$11&gt;=$H152,BP$11&lt;=$I152),1,""))</f>
        <v/>
      </c>
      <c r="BQ152" s="448" t="str">
        <f aca="false">IF($G152=0,IF(BQ$11=$H152,"◆",""),IF(AND(BQ$11&gt;=$H152,BQ$11&lt;=$I152),1,""))</f>
        <v/>
      </c>
      <c r="BR152" s="448" t="str">
        <f aca="false">IF($G152=0,IF(BR$11=$H152,"◆",""),IF(AND(BR$11&gt;=$H152,BR$11&lt;=$I152),1,""))</f>
        <v/>
      </c>
      <c r="BS152" s="448" t="str">
        <f aca="false">IF($G152=0,IF(BS$11=$H152,"◆",""),IF(AND(BS$11&gt;=$H152,BS$11&lt;=$I152),1,""))</f>
        <v/>
      </c>
      <c r="BT152" s="448" t="str">
        <f aca="false">IF($G152=0,IF(BT$11=$H152,"◆",""),IF(AND(BT$11&gt;=$H152,BT$11&lt;=$I152),1,""))</f>
        <v/>
      </c>
      <c r="BU152" s="448" t="str">
        <f aca="false">IF($G152=0,IF(BU$11=$H152,"◆",""),IF(AND(BU$11&gt;=$H152,BU$11&lt;=$I152),1,""))</f>
        <v/>
      </c>
      <c r="BV152" s="448" t="str">
        <f aca="false">IF($G152=0,IF(BV$11=$H152,"◆",""),IF(AND(BV$11&gt;=$H152,BV$11&lt;=$I152),1,""))</f>
        <v/>
      </c>
      <c r="BW152" s="448" t="str">
        <f aca="false">IF($G152=0,IF(BW$11=$H152,"◆",""),IF(AND(BW$11&gt;=$H152,BW$11&lt;=$I152),1,""))</f>
        <v/>
      </c>
      <c r="BX152" s="448" t="str">
        <f aca="false">IF($G152=0,IF(BX$11=$H152,"◆",""),IF(AND(BX$11&gt;=$H152,BX$11&lt;=$I152),1,""))</f>
        <v/>
      </c>
      <c r="BY152" s="448" t="str">
        <f aca="false">IF($G152=0,IF(BY$11=$H152,"◆",""),IF(AND(BY$11&gt;=$H152,BY$11&lt;=$I152),1,""))</f>
        <v/>
      </c>
      <c r="BZ152" s="448" t="str">
        <f aca="false">IF($G152=0,IF(BZ$11=$H152,"◆",""),IF(AND(BZ$11&gt;=$H152,BZ$11&lt;=$I152),1,""))</f>
        <v/>
      </c>
      <c r="CA152" s="448" t="str">
        <f aca="false">IF($G152=0,IF(CA$11=$H152,"◆",""),IF(AND(CA$11&gt;=$H152,CA$11&lt;=$I152),1,""))</f>
        <v/>
      </c>
      <c r="CB152" s="448" t="str">
        <f aca="false">IF($G152=0,IF(CB$11=$H152,"◆",""),IF(AND(CB$11&gt;=$H152,CB$11&lt;=$I152),1,""))</f>
        <v/>
      </c>
      <c r="CC152" s="448" t="str">
        <f aca="false">IF($G152=0,IF(CC$11=$H152,"◆",""),IF(AND(CC$11&gt;=$H152,CC$11&lt;=$I152),1,""))</f>
        <v/>
      </c>
      <c r="CD152" s="448" t="str">
        <f aca="false">IF($G152=0,IF(CD$11=$H152,"◆",""),IF(AND(CD$11&gt;=$H152,CD$11&lt;=$I152),1,""))</f>
        <v/>
      </c>
      <c r="CE152" s="448" t="str">
        <f aca="false">IF($G152=0,IF(CE$11=$H152,"◆",""),IF(AND(CE$11&gt;=$H152,CE$11&lt;=$I152),1,""))</f>
        <v/>
      </c>
      <c r="CF152" s="448" t="str">
        <f aca="false">IF($G152=0,IF(CF$11=$H152,"◆",""),IF(AND(CF$11&gt;=$H152,CF$11&lt;=$I152),1,""))</f>
        <v/>
      </c>
      <c r="CG152" s="448" t="str">
        <f aca="false">IF($G152=0,IF(CG$11=$H152,"◆",""),IF(AND(CG$11&gt;=$H152,CG$11&lt;=$I152),1,""))</f>
        <v/>
      </c>
      <c r="CH152" s="448" t="str">
        <f aca="false">IF($G152=0,IF(CH$11=$H152,"◆",""),IF(AND(CH$11&gt;=$H152,CH$11&lt;=$I152),1,""))</f>
        <v/>
      </c>
      <c r="CI152" s="448" t="str">
        <f aca="false">IF($G152=0,IF(CI$11=$H152,"◆",""),IF(AND(CI$11&gt;=$H152,CI$11&lt;=$I152),1,""))</f>
        <v/>
      </c>
      <c r="CJ152" s="448" t="str">
        <f aca="false">IF($G152=0,IF(CJ$11=$H152,"◆",""),IF(AND(CJ$11&gt;=$H152,CJ$11&lt;=$I152),1,""))</f>
        <v/>
      </c>
      <c r="CK152" s="448" t="str">
        <f aca="false">IF($G152=0,IF(CK$11=$H152,"◆",""),IF(AND(CK$11&gt;=$H152,CK$11&lt;=$I152),1,""))</f>
        <v/>
      </c>
      <c r="CL152" s="448" t="str">
        <f aca="false">IF($G152=0,IF(CL$11=$H152,"◆",""),IF(AND(CL$11&gt;=$H152,CL$11&lt;=$I152),1,""))</f>
        <v/>
      </c>
      <c r="CM152" s="448" t="str">
        <f aca="false">IF($G152=0,IF(CM$11=$H152,"◆",""),IF(AND(CM$11&gt;=$H152,CM$11&lt;=$I152),1,""))</f>
        <v/>
      </c>
      <c r="CN152" s="448" t="str">
        <f aca="false">IF($G152=0,IF(CN$11=$H152,"◆",""),IF(AND(CN$11&gt;=$H152,CN$11&lt;=$I152),1,""))</f>
        <v/>
      </c>
      <c r="CO152" s="448" t="str">
        <f aca="false">IF($G152=0,IF(CO$11=$H152,"◆",""),IF(AND(CO$11&gt;=$H152,CO$11&lt;=$I152),1,""))</f>
        <v/>
      </c>
      <c r="CP152" s="448" t="str">
        <f aca="false">IF($G152=0,IF(CP$11=$H152,"◆",""),IF(AND(CP$11&gt;=$H152,CP$11&lt;=$I152),1,""))</f>
        <v/>
      </c>
      <c r="CQ152" s="448" t="str">
        <f aca="false">IF($G152=0,IF(CQ$11=$H152,"◆",""),IF(AND(CQ$11&gt;=$H152,CQ$11&lt;=$I152),1,""))</f>
        <v/>
      </c>
      <c r="CR152" s="448" t="str">
        <f aca="false">IF($G152=0,IF(CR$11=$H152,"◆",""),IF(AND(CR$11&gt;=$H152,CR$11&lt;=$I152),1,""))</f>
        <v/>
      </c>
      <c r="CS152" s="448" t="str">
        <f aca="false">IF($G152=0,IF(CS$11=$H152,"◆",""),IF(AND(CS$11&gt;=$H152,CS$11&lt;=$I152),1,""))</f>
        <v/>
      </c>
      <c r="CT152" s="448" t="str">
        <f aca="false">IF($G152=0,IF(CT$11=$H152,"◆",""),IF(AND(CT$11&gt;=$H152,CT$11&lt;=$I152),1,""))</f>
        <v/>
      </c>
      <c r="CU152" s="448" t="str">
        <f aca="false">IF($G152=0,IF(CU$11=$H152,"◆",""),IF(AND(CU$11&gt;=$H152,CU$11&lt;=$I152),1,""))</f>
        <v/>
      </c>
      <c r="CV152" s="448" t="str">
        <f aca="false">IF($G152=0,IF(CV$11=$H152,"◆",""),IF(AND(CV$11&gt;=$H152,CV$11&lt;=$I152),1,""))</f>
        <v/>
      </c>
      <c r="CW152" s="448" t="str">
        <f aca="false">IF($G152=0,IF(CW$11=$H152,"◆",""),IF(AND(CW$11&gt;=$H152,CW$11&lt;=$I152),1,""))</f>
        <v/>
      </c>
      <c r="CX152" s="448" t="str">
        <f aca="false">IF($G152=0,IF(CX$11=$H152,"◆",""),IF(AND(CX$11&gt;=$H152,CX$11&lt;=$I152),1,""))</f>
        <v/>
      </c>
      <c r="CY152" s="448" t="str">
        <f aca="false">IF($G152=0,IF(CY$11=$H152,"◆",""),IF(AND(CY$11&gt;=$H152,CY$11&lt;=$I152),1,""))</f>
        <v/>
      </c>
      <c r="CZ152" s="448" t="str">
        <f aca="false">IF($G152=0,IF(CZ$11=$H152,"◆",""),IF(AND(CZ$11&gt;=$H152,CZ$11&lt;=$I152),1,""))</f>
        <v/>
      </c>
      <c r="DA152" s="448" t="str">
        <f aca="false">IF($G152=0,IF(DA$11=$H152,"◆",""),IF(AND(DA$11&gt;=$H152,DA$11&lt;=$I152),1,""))</f>
        <v/>
      </c>
      <c r="DB152" s="448" t="str">
        <f aca="false">IF($G152=0,IF(DB$11=$H152,"◆",""),IF(AND(DB$11&gt;=$H152,DB$11&lt;=$I152),1,""))</f>
        <v/>
      </c>
      <c r="DC152" s="448" t="str">
        <f aca="false">IF($G152=0,IF(DC$11=$H152,"◆",""),IF(AND(DC$11&gt;=$H152,DC$11&lt;=$I152),1,""))</f>
        <v/>
      </c>
      <c r="DD152" s="448" t="str">
        <f aca="false">IF($G152=0,IF(DD$11=$H152,"◆",""),IF(AND(DD$11&gt;=$H152,DD$11&lt;=$I152),1,""))</f>
        <v/>
      </c>
      <c r="DE152" s="448" t="str">
        <f aca="false">IF($G152=0,IF(DE$11=$H152,"◆",""),IF(AND(DE$11&gt;=$H152,DE$11&lt;=$I152),1,""))</f>
        <v/>
      </c>
      <c r="DF152" s="448" t="str">
        <f aca="false">IF($G152=0,IF(DF$11=$H152,"◆",""),IF(AND(DF$11&gt;=$H152,DF$11&lt;=$I152),1,""))</f>
        <v/>
      </c>
      <c r="DG152" s="448" t="str">
        <f aca="false">IF($G152=0,IF(DG$11=$H152,"◆",""),IF(AND(DG$11&gt;=$H152,DG$11&lt;=$I152),1,""))</f>
        <v/>
      </c>
      <c r="DH152" s="448" t="str">
        <f aca="false">IF($G152=0,IF(DH$11=$H152,"◆",""),IF(AND(DH$11&gt;=$H152,DH$11&lt;=$I152),1,""))</f>
        <v/>
      </c>
      <c r="DI152" s="448" t="str">
        <f aca="false">IF($G152=0,IF(DI$11=$H152,"◆",""),IF(AND(DI$11&gt;=$H152,DI$11&lt;=$I152),1,""))</f>
        <v/>
      </c>
      <c r="DJ152" s="448" t="str">
        <f aca="false">IF($G152=0,IF(DJ$11=$H152,"◆",""),IF(AND(DJ$11&gt;=$H152,DJ$11&lt;=$I152),1,""))</f>
        <v/>
      </c>
      <c r="DK152" s="448" t="str">
        <f aca="false">IF($G152=0,IF(DK$11=$H152,"◆",""),IF(AND(DK$11&gt;=$H152,DK$11&lt;=$I152),1,""))</f>
        <v/>
      </c>
      <c r="DL152" s="448" t="str">
        <f aca="false">IF($G152=0,IF(DL$11=$H152,"◆",""),IF(AND(DL$11&gt;=$H152,DL$11&lt;=$I152),1,""))</f>
        <v/>
      </c>
      <c r="DM152" s="448" t="str">
        <f aca="false">IF($G152=0,IF(DM$11=$H152,"◆",""),IF(AND(DM$11&gt;=$H152,DM$11&lt;=$I152),1,""))</f>
        <v/>
      </c>
      <c r="DN152" s="448" t="str">
        <f aca="false">IF($G152=0,IF(DN$11=$H152,"◆",""),IF(AND(DN$11&gt;=$H152,DN$11&lt;=$I152),1,""))</f>
        <v/>
      </c>
      <c r="DO152" s="448" t="str">
        <f aca="false">IF($G152=0,IF(DO$11=$H152,"◆",""),IF(AND(DO$11&gt;=$H152,DO$11&lt;=$I152),1,""))</f>
        <v/>
      </c>
      <c r="DP152" s="448" t="str">
        <f aca="false">IF($G152=0,IF(DP$11=$H152,"◆",""),IF(AND(DP$11&gt;=$H152,DP$11&lt;=$I152),1,""))</f>
        <v/>
      </c>
      <c r="DQ152" s="448" t="str">
        <f aca="false">IF($G152=0,IF(DQ$11=$H152,"◆",""),IF(AND(DQ$11&gt;=$H152,DQ$11&lt;=$I152),1,""))</f>
        <v/>
      </c>
      <c r="DR152" s="448" t="str">
        <f aca="false">IF($G152=0,IF(DR$11=$H152,"◆",""),IF(AND(DR$11&gt;=$H152,DR$11&lt;=$I152),1,""))</f>
        <v/>
      </c>
      <c r="DS152" s="448" t="str">
        <f aca="false">IF($G152=0,IF(DS$11=$H152,"◆",""),IF(AND(DS$11&gt;=$H152,DS$11&lt;=$I152),1,""))</f>
        <v/>
      </c>
      <c r="DT152" s="448" t="str">
        <f aca="false">IF($G152=0,IF(DT$11=$H152,"◆",""),IF(AND(DT$11&gt;=$H152,DT$11&lt;=$I152),1,""))</f>
        <v/>
      </c>
      <c r="DU152" s="448" t="str">
        <f aca="false">IF($G152=0,IF(DU$11=$H152,"◆",""),IF(AND(DU$11&gt;=$H152,DU$11&lt;=$I152),1,""))</f>
        <v/>
      </c>
      <c r="DV152" s="448" t="str">
        <f aca="false">IF($G152=0,IF(DV$11=$H152,"◆",""),IF(AND(DV$11&gt;=$H152,DV$11&lt;=$I152),1,""))</f>
        <v/>
      </c>
      <c r="DW152" s="448" t="str">
        <f aca="false">IF($G152=0,IF(DW$11=$H152,"◆",""),IF(AND(DW$11&gt;=$H152,DW$11&lt;=$I152),1,""))</f>
        <v/>
      </c>
      <c r="DX152" s="448" t="str">
        <f aca="false">IF($G152=0,IF(DX$11=$H152,"◆",""),IF(AND(DX$11&gt;=$H152,DX$11&lt;=$I152),1,""))</f>
        <v/>
      </c>
      <c r="DY152" s="448" t="str">
        <f aca="false">IF($G152=0,IF(DY$11=$H152,"◆",""),IF(AND(DY$11&gt;=$H152,DY$11&lt;=$I152),1,""))</f>
        <v/>
      </c>
      <c r="DZ152" s="448" t="str">
        <f aca="false">IF($G152=0,IF(DZ$11=$H152,"◆",""),IF(AND(DZ$11&gt;=$H152,DZ$11&lt;=$I152),1,""))</f>
        <v/>
      </c>
      <c r="EA152" s="448" t="str">
        <f aca="false">IF($G152=0,IF(EA$11=$H152,"◆",""),IF(AND(EA$11&gt;=$H152,EA$11&lt;=$I152),1,""))</f>
        <v/>
      </c>
      <c r="EB152" s="448" t="str">
        <f aca="false">IF($G152=0,IF(EB$11=$H152,"◆",""),IF(AND(EB$11&gt;=$H152,EB$11&lt;=$I152),1,""))</f>
        <v/>
      </c>
      <c r="EC152" s="448" t="str">
        <f aca="false">IF($G152=0,IF(EC$11=$H152,"◆",""),IF(AND(EC$11&gt;=$H152,EC$11&lt;=$I152),1,""))</f>
        <v/>
      </c>
      <c r="ED152" s="448" t="str">
        <f aca="false">IF($G152=0,IF(ED$11=$H152,"◆",""),IF(AND(ED$11&gt;=$H152,ED$11&lt;=$I152),1,""))</f>
        <v/>
      </c>
    </row>
    <row r="153" customFormat="false" ht="15" hidden="false" customHeight="true" outlineLevel="0" collapsed="false">
      <c r="A153" s="441" t="s">
        <v>2761</v>
      </c>
      <c r="B153" s="297" t="s">
        <v>2762</v>
      </c>
      <c r="C153" s="442" t="s">
        <v>2758</v>
      </c>
      <c r="D153" s="443" t="s">
        <v>2634</v>
      </c>
      <c r="E153" s="354" t="n">
        <f aca="false">FC_SUPUESTOS!$C$40</f>
        <v>10</v>
      </c>
      <c r="F153" s="352" t="n">
        <v>2</v>
      </c>
      <c r="G153" s="367" t="n">
        <f aca="false">MAX(1,ROUND(($D$7-$D$6)*$D$5,0)+1)</f>
        <v>18</v>
      </c>
      <c r="H153" s="367" t="n">
        <f aca="false">MAX(1,ROUND(($E153-1)*$D$5,0)+1+$F153)</f>
        <v>42</v>
      </c>
      <c r="I153" s="367" t="n">
        <f aca="false">MAX($H153,$H153+$G153-1)</f>
        <v>59</v>
      </c>
      <c r="J153" s="444" t="n">
        <f aca="false">$D$4+($H153-1)*7</f>
        <v>46587</v>
      </c>
      <c r="K153" s="444" t="n">
        <f aca="false">$D$4+$I153*7-1</f>
        <v>46712</v>
      </c>
      <c r="L153" s="445" t="n">
        <f aca="false">ROUNDUP($H153/$D$5,0)</f>
        <v>10</v>
      </c>
      <c r="M153" s="446"/>
      <c r="N153" s="447" t="n">
        <v>0</v>
      </c>
      <c r="O153" s="448" t="str">
        <f aca="false">IF($G153=0,IF(O$11=$H153,"◆",""),IF(AND(O$11&gt;=$H153,O$11&lt;=$I153),1,""))</f>
        <v/>
      </c>
      <c r="P153" s="448" t="str">
        <f aca="false">IF($G153=0,IF(P$11=$H153,"◆",""),IF(AND(P$11&gt;=$H153,P$11&lt;=$I153),1,""))</f>
        <v/>
      </c>
      <c r="Q153" s="448" t="str">
        <f aca="false">IF($G153=0,IF(Q$11=$H153,"◆",""),IF(AND(Q$11&gt;=$H153,Q$11&lt;=$I153),1,""))</f>
        <v/>
      </c>
      <c r="R153" s="448" t="str">
        <f aca="false">IF($G153=0,IF(R$11=$H153,"◆",""),IF(AND(R$11&gt;=$H153,R$11&lt;=$I153),1,""))</f>
        <v/>
      </c>
      <c r="S153" s="448" t="str">
        <f aca="false">IF($G153=0,IF(S$11=$H153,"◆",""),IF(AND(S$11&gt;=$H153,S$11&lt;=$I153),1,""))</f>
        <v/>
      </c>
      <c r="T153" s="448" t="str">
        <f aca="false">IF($G153=0,IF(T$11=$H153,"◆",""),IF(AND(T$11&gt;=$H153,T$11&lt;=$I153),1,""))</f>
        <v/>
      </c>
      <c r="U153" s="448" t="str">
        <f aca="false">IF($G153=0,IF(U$11=$H153,"◆",""),IF(AND(U$11&gt;=$H153,U$11&lt;=$I153),1,""))</f>
        <v/>
      </c>
      <c r="V153" s="448" t="str">
        <f aca="false">IF($G153=0,IF(V$11=$H153,"◆",""),IF(AND(V$11&gt;=$H153,V$11&lt;=$I153),1,""))</f>
        <v/>
      </c>
      <c r="W153" s="448" t="str">
        <f aca="false">IF($G153=0,IF(W$11=$H153,"◆",""),IF(AND(W$11&gt;=$H153,W$11&lt;=$I153),1,""))</f>
        <v/>
      </c>
      <c r="X153" s="448" t="str">
        <f aca="false">IF($G153=0,IF(X$11=$H153,"◆",""),IF(AND(X$11&gt;=$H153,X$11&lt;=$I153),1,""))</f>
        <v/>
      </c>
      <c r="Y153" s="448" t="str">
        <f aca="false">IF($G153=0,IF(Y$11=$H153,"◆",""),IF(AND(Y$11&gt;=$H153,Y$11&lt;=$I153),1,""))</f>
        <v/>
      </c>
      <c r="Z153" s="448" t="str">
        <f aca="false">IF($G153=0,IF(Z$11=$H153,"◆",""),IF(AND(Z$11&gt;=$H153,Z$11&lt;=$I153),1,""))</f>
        <v/>
      </c>
      <c r="AA153" s="448" t="str">
        <f aca="false">IF($G153=0,IF(AA$11=$H153,"◆",""),IF(AND(AA$11&gt;=$H153,AA$11&lt;=$I153),1,""))</f>
        <v/>
      </c>
      <c r="AB153" s="448" t="str">
        <f aca="false">IF($G153=0,IF(AB$11=$H153,"◆",""),IF(AND(AB$11&gt;=$H153,AB$11&lt;=$I153),1,""))</f>
        <v/>
      </c>
      <c r="AC153" s="448" t="str">
        <f aca="false">IF($G153=0,IF(AC$11=$H153,"◆",""),IF(AND(AC$11&gt;=$H153,AC$11&lt;=$I153),1,""))</f>
        <v/>
      </c>
      <c r="AD153" s="448" t="str">
        <f aca="false">IF($G153=0,IF(AD$11=$H153,"◆",""),IF(AND(AD$11&gt;=$H153,AD$11&lt;=$I153),1,""))</f>
        <v/>
      </c>
      <c r="AE153" s="448" t="str">
        <f aca="false">IF($G153=0,IF(AE$11=$H153,"◆",""),IF(AND(AE$11&gt;=$H153,AE$11&lt;=$I153),1,""))</f>
        <v/>
      </c>
      <c r="AF153" s="448" t="str">
        <f aca="false">IF($G153=0,IF(AF$11=$H153,"◆",""),IF(AND(AF$11&gt;=$H153,AF$11&lt;=$I153),1,""))</f>
        <v/>
      </c>
      <c r="AG153" s="448" t="str">
        <f aca="false">IF($G153=0,IF(AG$11=$H153,"◆",""),IF(AND(AG$11&gt;=$H153,AG$11&lt;=$I153),1,""))</f>
        <v/>
      </c>
      <c r="AH153" s="448" t="str">
        <f aca="false">IF($G153=0,IF(AH$11=$H153,"◆",""),IF(AND(AH$11&gt;=$H153,AH$11&lt;=$I153),1,""))</f>
        <v/>
      </c>
      <c r="AI153" s="448" t="str">
        <f aca="false">IF($G153=0,IF(AI$11=$H153,"◆",""),IF(AND(AI$11&gt;=$H153,AI$11&lt;=$I153),1,""))</f>
        <v/>
      </c>
      <c r="AJ153" s="448" t="str">
        <f aca="false">IF($G153=0,IF(AJ$11=$H153,"◆",""),IF(AND(AJ$11&gt;=$H153,AJ$11&lt;=$I153),1,""))</f>
        <v/>
      </c>
      <c r="AK153" s="448" t="str">
        <f aca="false">IF($G153=0,IF(AK$11=$H153,"◆",""),IF(AND(AK$11&gt;=$H153,AK$11&lt;=$I153),1,""))</f>
        <v/>
      </c>
      <c r="AL153" s="448" t="str">
        <f aca="false">IF($G153=0,IF(AL$11=$H153,"◆",""),IF(AND(AL$11&gt;=$H153,AL$11&lt;=$I153),1,""))</f>
        <v/>
      </c>
      <c r="AM153" s="448" t="str">
        <f aca="false">IF($G153=0,IF(AM$11=$H153,"◆",""),IF(AND(AM$11&gt;=$H153,AM$11&lt;=$I153),1,""))</f>
        <v/>
      </c>
      <c r="AN153" s="448" t="str">
        <f aca="false">IF($G153=0,IF(AN$11=$H153,"◆",""),IF(AND(AN$11&gt;=$H153,AN$11&lt;=$I153),1,""))</f>
        <v/>
      </c>
      <c r="AO153" s="448" t="str">
        <f aca="false">IF($G153=0,IF(AO$11=$H153,"◆",""),IF(AND(AO$11&gt;=$H153,AO$11&lt;=$I153),1,""))</f>
        <v/>
      </c>
      <c r="AP153" s="448" t="str">
        <f aca="false">IF($G153=0,IF(AP$11=$H153,"◆",""),IF(AND(AP$11&gt;=$H153,AP$11&lt;=$I153),1,""))</f>
        <v/>
      </c>
      <c r="AQ153" s="448" t="str">
        <f aca="false">IF($G153=0,IF(AQ$11=$H153,"◆",""),IF(AND(AQ$11&gt;=$H153,AQ$11&lt;=$I153),1,""))</f>
        <v/>
      </c>
      <c r="AR153" s="448" t="str">
        <f aca="false">IF($G153=0,IF(AR$11=$H153,"◆",""),IF(AND(AR$11&gt;=$H153,AR$11&lt;=$I153),1,""))</f>
        <v/>
      </c>
      <c r="AS153" s="448" t="str">
        <f aca="false">IF($G153=0,IF(AS$11=$H153,"◆",""),IF(AND(AS$11&gt;=$H153,AS$11&lt;=$I153),1,""))</f>
        <v/>
      </c>
      <c r="AT153" s="448" t="str">
        <f aca="false">IF($G153=0,IF(AT$11=$H153,"◆",""),IF(AND(AT$11&gt;=$H153,AT$11&lt;=$I153),1,""))</f>
        <v/>
      </c>
      <c r="AU153" s="448" t="str">
        <f aca="false">IF($G153=0,IF(AU$11=$H153,"◆",""),IF(AND(AU$11&gt;=$H153,AU$11&lt;=$I153),1,""))</f>
        <v/>
      </c>
      <c r="AV153" s="448" t="str">
        <f aca="false">IF($G153=0,IF(AV$11=$H153,"◆",""),IF(AND(AV$11&gt;=$H153,AV$11&lt;=$I153),1,""))</f>
        <v/>
      </c>
      <c r="AW153" s="448" t="str">
        <f aca="false">IF($G153=0,IF(AW$11=$H153,"◆",""),IF(AND(AW$11&gt;=$H153,AW$11&lt;=$I153),1,""))</f>
        <v/>
      </c>
      <c r="AX153" s="448" t="str">
        <f aca="false">IF($G153=0,IF(AX$11=$H153,"◆",""),IF(AND(AX$11&gt;=$H153,AX$11&lt;=$I153),1,""))</f>
        <v/>
      </c>
      <c r="AY153" s="448" t="str">
        <f aca="false">IF($G153=0,IF(AY$11=$H153,"◆",""),IF(AND(AY$11&gt;=$H153,AY$11&lt;=$I153),1,""))</f>
        <v/>
      </c>
      <c r="AZ153" s="448" t="str">
        <f aca="false">IF($G153=0,IF(AZ$11=$H153,"◆",""),IF(AND(AZ$11&gt;=$H153,AZ$11&lt;=$I153),1,""))</f>
        <v/>
      </c>
      <c r="BA153" s="448" t="str">
        <f aca="false">IF($G153=0,IF(BA$11=$H153,"◆",""),IF(AND(BA$11&gt;=$H153,BA$11&lt;=$I153),1,""))</f>
        <v/>
      </c>
      <c r="BB153" s="448" t="str">
        <f aca="false">IF($G153=0,IF(BB$11=$H153,"◆",""),IF(AND(BB$11&gt;=$H153,BB$11&lt;=$I153),1,""))</f>
        <v/>
      </c>
      <c r="BC153" s="448" t="str">
        <f aca="false">IF($G153=0,IF(BC$11=$H153,"◆",""),IF(AND(BC$11&gt;=$H153,BC$11&lt;=$I153),1,""))</f>
        <v/>
      </c>
      <c r="BD153" s="448" t="n">
        <f aca="false">IF($G153=0,IF(BD$11=$H153,"◆",""),IF(AND(BD$11&gt;=$H153,BD$11&lt;=$I153),1,""))</f>
        <v>1</v>
      </c>
      <c r="BE153" s="448" t="n">
        <f aca="false">IF($G153=0,IF(BE$11=$H153,"◆",""),IF(AND(BE$11&gt;=$H153,BE$11&lt;=$I153),1,""))</f>
        <v>1</v>
      </c>
      <c r="BF153" s="448" t="n">
        <f aca="false">IF($G153=0,IF(BF$11=$H153,"◆",""),IF(AND(BF$11&gt;=$H153,BF$11&lt;=$I153),1,""))</f>
        <v>1</v>
      </c>
      <c r="BG153" s="448" t="n">
        <f aca="false">IF($G153=0,IF(BG$11=$H153,"◆",""),IF(AND(BG$11&gt;=$H153,BG$11&lt;=$I153),1,""))</f>
        <v>1</v>
      </c>
      <c r="BH153" s="448" t="n">
        <f aca="false">IF($G153=0,IF(BH$11=$H153,"◆",""),IF(AND(BH$11&gt;=$H153,BH$11&lt;=$I153),1,""))</f>
        <v>1</v>
      </c>
      <c r="BI153" s="448" t="n">
        <f aca="false">IF($G153=0,IF(BI$11=$H153,"◆",""),IF(AND(BI$11&gt;=$H153,BI$11&lt;=$I153),1,""))</f>
        <v>1</v>
      </c>
      <c r="BJ153" s="448" t="n">
        <f aca="false">IF($G153=0,IF(BJ$11=$H153,"◆",""),IF(AND(BJ$11&gt;=$H153,BJ$11&lt;=$I153),1,""))</f>
        <v>1</v>
      </c>
      <c r="BK153" s="448" t="n">
        <f aca="false">IF($G153=0,IF(BK$11=$H153,"◆",""),IF(AND(BK$11&gt;=$H153,BK$11&lt;=$I153),1,""))</f>
        <v>1</v>
      </c>
      <c r="BL153" s="448" t="n">
        <f aca="false">IF($G153=0,IF(BL$11=$H153,"◆",""),IF(AND(BL$11&gt;=$H153,BL$11&lt;=$I153),1,""))</f>
        <v>1</v>
      </c>
      <c r="BM153" s="448" t="n">
        <f aca="false">IF($G153=0,IF(BM$11=$H153,"◆",""),IF(AND(BM$11&gt;=$H153,BM$11&lt;=$I153),1,""))</f>
        <v>1</v>
      </c>
      <c r="BN153" s="448" t="n">
        <f aca="false">IF($G153=0,IF(BN$11=$H153,"◆",""),IF(AND(BN$11&gt;=$H153,BN$11&lt;=$I153),1,""))</f>
        <v>1</v>
      </c>
      <c r="BO153" s="448" t="n">
        <f aca="false">IF($G153=0,IF(BO$11=$H153,"◆",""),IF(AND(BO$11&gt;=$H153,BO$11&lt;=$I153),1,""))</f>
        <v>1</v>
      </c>
      <c r="BP153" s="448" t="n">
        <f aca="false">IF($G153=0,IF(BP$11=$H153,"◆",""),IF(AND(BP$11&gt;=$H153,BP$11&lt;=$I153),1,""))</f>
        <v>1</v>
      </c>
      <c r="BQ153" s="448" t="n">
        <f aca="false">IF($G153=0,IF(BQ$11=$H153,"◆",""),IF(AND(BQ$11&gt;=$H153,BQ$11&lt;=$I153),1,""))</f>
        <v>1</v>
      </c>
      <c r="BR153" s="448" t="n">
        <f aca="false">IF($G153=0,IF(BR$11=$H153,"◆",""),IF(AND(BR$11&gt;=$H153,BR$11&lt;=$I153),1,""))</f>
        <v>1</v>
      </c>
      <c r="BS153" s="448" t="n">
        <f aca="false">IF($G153=0,IF(BS$11=$H153,"◆",""),IF(AND(BS$11&gt;=$H153,BS$11&lt;=$I153),1,""))</f>
        <v>1</v>
      </c>
      <c r="BT153" s="448" t="n">
        <f aca="false">IF($G153=0,IF(BT$11=$H153,"◆",""),IF(AND(BT$11&gt;=$H153,BT$11&lt;=$I153),1,""))</f>
        <v>1</v>
      </c>
      <c r="BU153" s="448" t="n">
        <f aca="false">IF($G153=0,IF(BU$11=$H153,"◆",""),IF(AND(BU$11&gt;=$H153,BU$11&lt;=$I153),1,""))</f>
        <v>1</v>
      </c>
      <c r="BV153" s="448" t="str">
        <f aca="false">IF($G153=0,IF(BV$11=$H153,"◆",""),IF(AND(BV$11&gt;=$H153,BV$11&lt;=$I153),1,""))</f>
        <v/>
      </c>
      <c r="BW153" s="448" t="str">
        <f aca="false">IF($G153=0,IF(BW$11=$H153,"◆",""),IF(AND(BW$11&gt;=$H153,BW$11&lt;=$I153),1,""))</f>
        <v/>
      </c>
      <c r="BX153" s="448" t="str">
        <f aca="false">IF($G153=0,IF(BX$11=$H153,"◆",""),IF(AND(BX$11&gt;=$H153,BX$11&lt;=$I153),1,""))</f>
        <v/>
      </c>
      <c r="BY153" s="448" t="str">
        <f aca="false">IF($G153=0,IF(BY$11=$H153,"◆",""),IF(AND(BY$11&gt;=$H153,BY$11&lt;=$I153),1,""))</f>
        <v/>
      </c>
      <c r="BZ153" s="448" t="str">
        <f aca="false">IF($G153=0,IF(BZ$11=$H153,"◆",""),IF(AND(BZ$11&gt;=$H153,BZ$11&lt;=$I153),1,""))</f>
        <v/>
      </c>
      <c r="CA153" s="448" t="str">
        <f aca="false">IF($G153=0,IF(CA$11=$H153,"◆",""),IF(AND(CA$11&gt;=$H153,CA$11&lt;=$I153),1,""))</f>
        <v/>
      </c>
      <c r="CB153" s="448" t="str">
        <f aca="false">IF($G153=0,IF(CB$11=$H153,"◆",""),IF(AND(CB$11&gt;=$H153,CB$11&lt;=$I153),1,""))</f>
        <v/>
      </c>
      <c r="CC153" s="448" t="str">
        <f aca="false">IF($G153=0,IF(CC$11=$H153,"◆",""),IF(AND(CC$11&gt;=$H153,CC$11&lt;=$I153),1,""))</f>
        <v/>
      </c>
      <c r="CD153" s="448" t="str">
        <f aca="false">IF($G153=0,IF(CD$11=$H153,"◆",""),IF(AND(CD$11&gt;=$H153,CD$11&lt;=$I153),1,""))</f>
        <v/>
      </c>
      <c r="CE153" s="448" t="str">
        <f aca="false">IF($G153=0,IF(CE$11=$H153,"◆",""),IF(AND(CE$11&gt;=$H153,CE$11&lt;=$I153),1,""))</f>
        <v/>
      </c>
      <c r="CF153" s="448" t="str">
        <f aca="false">IF($G153=0,IF(CF$11=$H153,"◆",""),IF(AND(CF$11&gt;=$H153,CF$11&lt;=$I153),1,""))</f>
        <v/>
      </c>
      <c r="CG153" s="448" t="str">
        <f aca="false">IF($G153=0,IF(CG$11=$H153,"◆",""),IF(AND(CG$11&gt;=$H153,CG$11&lt;=$I153),1,""))</f>
        <v/>
      </c>
      <c r="CH153" s="448" t="str">
        <f aca="false">IF($G153=0,IF(CH$11=$H153,"◆",""),IF(AND(CH$11&gt;=$H153,CH$11&lt;=$I153),1,""))</f>
        <v/>
      </c>
      <c r="CI153" s="448" t="str">
        <f aca="false">IF($G153=0,IF(CI$11=$H153,"◆",""),IF(AND(CI$11&gt;=$H153,CI$11&lt;=$I153),1,""))</f>
        <v/>
      </c>
      <c r="CJ153" s="448" t="str">
        <f aca="false">IF($G153=0,IF(CJ$11=$H153,"◆",""),IF(AND(CJ$11&gt;=$H153,CJ$11&lt;=$I153),1,""))</f>
        <v/>
      </c>
      <c r="CK153" s="448" t="str">
        <f aca="false">IF($G153=0,IF(CK$11=$H153,"◆",""),IF(AND(CK$11&gt;=$H153,CK$11&lt;=$I153),1,""))</f>
        <v/>
      </c>
      <c r="CL153" s="448" t="str">
        <f aca="false">IF($G153=0,IF(CL$11=$H153,"◆",""),IF(AND(CL$11&gt;=$H153,CL$11&lt;=$I153),1,""))</f>
        <v/>
      </c>
      <c r="CM153" s="448" t="str">
        <f aca="false">IF($G153=0,IF(CM$11=$H153,"◆",""),IF(AND(CM$11&gt;=$H153,CM$11&lt;=$I153),1,""))</f>
        <v/>
      </c>
      <c r="CN153" s="448" t="str">
        <f aca="false">IF($G153=0,IF(CN$11=$H153,"◆",""),IF(AND(CN$11&gt;=$H153,CN$11&lt;=$I153),1,""))</f>
        <v/>
      </c>
      <c r="CO153" s="448" t="str">
        <f aca="false">IF($G153=0,IF(CO$11=$H153,"◆",""),IF(AND(CO$11&gt;=$H153,CO$11&lt;=$I153),1,""))</f>
        <v/>
      </c>
      <c r="CP153" s="448" t="str">
        <f aca="false">IF($G153=0,IF(CP$11=$H153,"◆",""),IF(AND(CP$11&gt;=$H153,CP$11&lt;=$I153),1,""))</f>
        <v/>
      </c>
      <c r="CQ153" s="448" t="str">
        <f aca="false">IF($G153=0,IF(CQ$11=$H153,"◆",""),IF(AND(CQ$11&gt;=$H153,CQ$11&lt;=$I153),1,""))</f>
        <v/>
      </c>
      <c r="CR153" s="448" t="str">
        <f aca="false">IF($G153=0,IF(CR$11=$H153,"◆",""),IF(AND(CR$11&gt;=$H153,CR$11&lt;=$I153),1,""))</f>
        <v/>
      </c>
      <c r="CS153" s="448" t="str">
        <f aca="false">IF($G153=0,IF(CS$11=$H153,"◆",""),IF(AND(CS$11&gt;=$H153,CS$11&lt;=$I153),1,""))</f>
        <v/>
      </c>
      <c r="CT153" s="448" t="str">
        <f aca="false">IF($G153=0,IF(CT$11=$H153,"◆",""),IF(AND(CT$11&gt;=$H153,CT$11&lt;=$I153),1,""))</f>
        <v/>
      </c>
      <c r="CU153" s="448" t="str">
        <f aca="false">IF($G153=0,IF(CU$11=$H153,"◆",""),IF(AND(CU$11&gt;=$H153,CU$11&lt;=$I153),1,""))</f>
        <v/>
      </c>
      <c r="CV153" s="448" t="str">
        <f aca="false">IF($G153=0,IF(CV$11=$H153,"◆",""),IF(AND(CV$11&gt;=$H153,CV$11&lt;=$I153),1,""))</f>
        <v/>
      </c>
      <c r="CW153" s="448" t="str">
        <f aca="false">IF($G153=0,IF(CW$11=$H153,"◆",""),IF(AND(CW$11&gt;=$H153,CW$11&lt;=$I153),1,""))</f>
        <v/>
      </c>
      <c r="CX153" s="448" t="str">
        <f aca="false">IF($G153=0,IF(CX$11=$H153,"◆",""),IF(AND(CX$11&gt;=$H153,CX$11&lt;=$I153),1,""))</f>
        <v/>
      </c>
      <c r="CY153" s="448" t="str">
        <f aca="false">IF($G153=0,IF(CY$11=$H153,"◆",""),IF(AND(CY$11&gt;=$H153,CY$11&lt;=$I153),1,""))</f>
        <v/>
      </c>
      <c r="CZ153" s="448" t="str">
        <f aca="false">IF($G153=0,IF(CZ$11=$H153,"◆",""),IF(AND(CZ$11&gt;=$H153,CZ$11&lt;=$I153),1,""))</f>
        <v/>
      </c>
      <c r="DA153" s="448" t="str">
        <f aca="false">IF($G153=0,IF(DA$11=$H153,"◆",""),IF(AND(DA$11&gt;=$H153,DA$11&lt;=$I153),1,""))</f>
        <v/>
      </c>
      <c r="DB153" s="448" t="str">
        <f aca="false">IF($G153=0,IF(DB$11=$H153,"◆",""),IF(AND(DB$11&gt;=$H153,DB$11&lt;=$I153),1,""))</f>
        <v/>
      </c>
      <c r="DC153" s="448" t="str">
        <f aca="false">IF($G153=0,IF(DC$11=$H153,"◆",""),IF(AND(DC$11&gt;=$H153,DC$11&lt;=$I153),1,""))</f>
        <v/>
      </c>
      <c r="DD153" s="448" t="str">
        <f aca="false">IF($G153=0,IF(DD$11=$H153,"◆",""),IF(AND(DD$11&gt;=$H153,DD$11&lt;=$I153),1,""))</f>
        <v/>
      </c>
      <c r="DE153" s="448" t="str">
        <f aca="false">IF($G153=0,IF(DE$11=$H153,"◆",""),IF(AND(DE$11&gt;=$H153,DE$11&lt;=$I153),1,""))</f>
        <v/>
      </c>
      <c r="DF153" s="448" t="str">
        <f aca="false">IF($G153=0,IF(DF$11=$H153,"◆",""),IF(AND(DF$11&gt;=$H153,DF$11&lt;=$I153),1,""))</f>
        <v/>
      </c>
      <c r="DG153" s="448" t="str">
        <f aca="false">IF($G153=0,IF(DG$11=$H153,"◆",""),IF(AND(DG$11&gt;=$H153,DG$11&lt;=$I153),1,""))</f>
        <v/>
      </c>
      <c r="DH153" s="448" t="str">
        <f aca="false">IF($G153=0,IF(DH$11=$H153,"◆",""),IF(AND(DH$11&gt;=$H153,DH$11&lt;=$I153),1,""))</f>
        <v/>
      </c>
      <c r="DI153" s="448" t="str">
        <f aca="false">IF($G153=0,IF(DI$11=$H153,"◆",""),IF(AND(DI$11&gt;=$H153,DI$11&lt;=$I153),1,""))</f>
        <v/>
      </c>
      <c r="DJ153" s="448" t="str">
        <f aca="false">IF($G153=0,IF(DJ$11=$H153,"◆",""),IF(AND(DJ$11&gt;=$H153,DJ$11&lt;=$I153),1,""))</f>
        <v/>
      </c>
      <c r="DK153" s="448" t="str">
        <f aca="false">IF($G153=0,IF(DK$11=$H153,"◆",""),IF(AND(DK$11&gt;=$H153,DK$11&lt;=$I153),1,""))</f>
        <v/>
      </c>
      <c r="DL153" s="448" t="str">
        <f aca="false">IF($G153=0,IF(DL$11=$H153,"◆",""),IF(AND(DL$11&gt;=$H153,DL$11&lt;=$I153),1,""))</f>
        <v/>
      </c>
      <c r="DM153" s="448" t="str">
        <f aca="false">IF($G153=0,IF(DM$11=$H153,"◆",""),IF(AND(DM$11&gt;=$H153,DM$11&lt;=$I153),1,""))</f>
        <v/>
      </c>
      <c r="DN153" s="448" t="str">
        <f aca="false">IF($G153=0,IF(DN$11=$H153,"◆",""),IF(AND(DN$11&gt;=$H153,DN$11&lt;=$I153),1,""))</f>
        <v/>
      </c>
      <c r="DO153" s="448" t="str">
        <f aca="false">IF($G153=0,IF(DO$11=$H153,"◆",""),IF(AND(DO$11&gt;=$H153,DO$11&lt;=$I153),1,""))</f>
        <v/>
      </c>
      <c r="DP153" s="448" t="str">
        <f aca="false">IF($G153=0,IF(DP$11=$H153,"◆",""),IF(AND(DP$11&gt;=$H153,DP$11&lt;=$I153),1,""))</f>
        <v/>
      </c>
      <c r="DQ153" s="448" t="str">
        <f aca="false">IF($G153=0,IF(DQ$11=$H153,"◆",""),IF(AND(DQ$11&gt;=$H153,DQ$11&lt;=$I153),1,""))</f>
        <v/>
      </c>
      <c r="DR153" s="448" t="str">
        <f aca="false">IF($G153=0,IF(DR$11=$H153,"◆",""),IF(AND(DR$11&gt;=$H153,DR$11&lt;=$I153),1,""))</f>
        <v/>
      </c>
      <c r="DS153" s="448" t="str">
        <f aca="false">IF($G153=0,IF(DS$11=$H153,"◆",""),IF(AND(DS$11&gt;=$H153,DS$11&lt;=$I153),1,""))</f>
        <v/>
      </c>
      <c r="DT153" s="448" t="str">
        <f aca="false">IF($G153=0,IF(DT$11=$H153,"◆",""),IF(AND(DT$11&gt;=$H153,DT$11&lt;=$I153),1,""))</f>
        <v/>
      </c>
      <c r="DU153" s="448" t="str">
        <f aca="false">IF($G153=0,IF(DU$11=$H153,"◆",""),IF(AND(DU$11&gt;=$H153,DU$11&lt;=$I153),1,""))</f>
        <v/>
      </c>
      <c r="DV153" s="448" t="str">
        <f aca="false">IF($G153=0,IF(DV$11=$H153,"◆",""),IF(AND(DV$11&gt;=$H153,DV$11&lt;=$I153),1,""))</f>
        <v/>
      </c>
      <c r="DW153" s="448" t="str">
        <f aca="false">IF($G153=0,IF(DW$11=$H153,"◆",""),IF(AND(DW$11&gt;=$H153,DW$11&lt;=$I153),1,""))</f>
        <v/>
      </c>
      <c r="DX153" s="448" t="str">
        <f aca="false">IF($G153=0,IF(DX$11=$H153,"◆",""),IF(AND(DX$11&gt;=$H153,DX$11&lt;=$I153),1,""))</f>
        <v/>
      </c>
      <c r="DY153" s="448" t="str">
        <f aca="false">IF($G153=0,IF(DY$11=$H153,"◆",""),IF(AND(DY$11&gt;=$H153,DY$11&lt;=$I153),1,""))</f>
        <v/>
      </c>
      <c r="DZ153" s="448" t="str">
        <f aca="false">IF($G153=0,IF(DZ$11=$H153,"◆",""),IF(AND(DZ$11&gt;=$H153,DZ$11&lt;=$I153),1,""))</f>
        <v/>
      </c>
      <c r="EA153" s="448" t="str">
        <f aca="false">IF($G153=0,IF(EA$11=$H153,"◆",""),IF(AND(EA$11&gt;=$H153,EA$11&lt;=$I153),1,""))</f>
        <v/>
      </c>
      <c r="EB153" s="448" t="str">
        <f aca="false">IF($G153=0,IF(EB$11=$H153,"◆",""),IF(AND(EB$11&gt;=$H153,EB$11&lt;=$I153),1,""))</f>
        <v/>
      </c>
      <c r="EC153" s="448" t="str">
        <f aca="false">IF($G153=0,IF(EC$11=$H153,"◆",""),IF(AND(EC$11&gt;=$H153,EC$11&lt;=$I153),1,""))</f>
        <v/>
      </c>
      <c r="ED153" s="448" t="str">
        <f aca="false">IF($G153=0,IF(ED$11=$H153,"◆",""),IF(AND(ED$11&gt;=$H153,ED$11&lt;=$I153),1,""))</f>
        <v/>
      </c>
    </row>
    <row r="154" customFormat="false" ht="15" hidden="false" customHeight="true" outlineLevel="0" collapsed="false">
      <c r="A154" s="450" t="s">
        <v>2763</v>
      </c>
      <c r="B154" s="421" t="s">
        <v>2764</v>
      </c>
      <c r="C154" s="442" t="s">
        <v>2758</v>
      </c>
      <c r="D154" s="443" t="s">
        <v>2448</v>
      </c>
      <c r="E154" s="354" t="n">
        <f aca="false">$D$7</f>
        <v>14</v>
      </c>
      <c r="F154" s="352" t="n">
        <v>0</v>
      </c>
      <c r="G154" s="352" t="n">
        <v>0</v>
      </c>
      <c r="H154" s="358" t="n">
        <f aca="false">MAX(1,ROUND(($E154-1)*$D$5,0)+1+$F154)</f>
        <v>57</v>
      </c>
      <c r="I154" s="358" t="n">
        <f aca="false">MAX($H154,$H154+$G154-1)</f>
        <v>57</v>
      </c>
      <c r="J154" s="451" t="n">
        <f aca="false">$D$4+($H154-1)*7</f>
        <v>46692</v>
      </c>
      <c r="K154" s="451" t="n">
        <f aca="false">$D$4+$I154*7-1</f>
        <v>46698</v>
      </c>
      <c r="L154" s="445" t="n">
        <f aca="false">ROUNDUP($H154/$D$5,0)</f>
        <v>14</v>
      </c>
      <c r="M154" s="446" t="s">
        <v>2453</v>
      </c>
      <c r="N154" s="447" t="n">
        <v>0</v>
      </c>
      <c r="O154" s="448" t="str">
        <f aca="false">IF($G154=0,IF(O$11=$H154,"◆",""),IF(AND(O$11&gt;=$H154,O$11&lt;=$I154),1,""))</f>
        <v/>
      </c>
      <c r="P154" s="448" t="str">
        <f aca="false">IF($G154=0,IF(P$11=$H154,"◆",""),IF(AND(P$11&gt;=$H154,P$11&lt;=$I154),1,""))</f>
        <v/>
      </c>
      <c r="Q154" s="448" t="str">
        <f aca="false">IF($G154=0,IF(Q$11=$H154,"◆",""),IF(AND(Q$11&gt;=$H154,Q$11&lt;=$I154),1,""))</f>
        <v/>
      </c>
      <c r="R154" s="448" t="str">
        <f aca="false">IF($G154=0,IF(R$11=$H154,"◆",""),IF(AND(R$11&gt;=$H154,R$11&lt;=$I154),1,""))</f>
        <v/>
      </c>
      <c r="S154" s="448" t="str">
        <f aca="false">IF($G154=0,IF(S$11=$H154,"◆",""),IF(AND(S$11&gt;=$H154,S$11&lt;=$I154),1,""))</f>
        <v/>
      </c>
      <c r="T154" s="448" t="str">
        <f aca="false">IF($G154=0,IF(T$11=$H154,"◆",""),IF(AND(T$11&gt;=$H154,T$11&lt;=$I154),1,""))</f>
        <v/>
      </c>
      <c r="U154" s="448" t="str">
        <f aca="false">IF($G154=0,IF(U$11=$H154,"◆",""),IF(AND(U$11&gt;=$H154,U$11&lt;=$I154),1,""))</f>
        <v/>
      </c>
      <c r="V154" s="448" t="str">
        <f aca="false">IF($G154=0,IF(V$11=$H154,"◆",""),IF(AND(V$11&gt;=$H154,V$11&lt;=$I154),1,""))</f>
        <v/>
      </c>
      <c r="W154" s="448" t="str">
        <f aca="false">IF($G154=0,IF(W$11=$H154,"◆",""),IF(AND(W$11&gt;=$H154,W$11&lt;=$I154),1,""))</f>
        <v/>
      </c>
      <c r="X154" s="448" t="str">
        <f aca="false">IF($G154=0,IF(X$11=$H154,"◆",""),IF(AND(X$11&gt;=$H154,X$11&lt;=$I154),1,""))</f>
        <v/>
      </c>
      <c r="Y154" s="448" t="str">
        <f aca="false">IF($G154=0,IF(Y$11=$H154,"◆",""),IF(AND(Y$11&gt;=$H154,Y$11&lt;=$I154),1,""))</f>
        <v/>
      </c>
      <c r="Z154" s="448" t="str">
        <f aca="false">IF($G154=0,IF(Z$11=$H154,"◆",""),IF(AND(Z$11&gt;=$H154,Z$11&lt;=$I154),1,""))</f>
        <v/>
      </c>
      <c r="AA154" s="448" t="str">
        <f aca="false">IF($G154=0,IF(AA$11=$H154,"◆",""),IF(AND(AA$11&gt;=$H154,AA$11&lt;=$I154),1,""))</f>
        <v/>
      </c>
      <c r="AB154" s="448" t="str">
        <f aca="false">IF($G154=0,IF(AB$11=$H154,"◆",""),IF(AND(AB$11&gt;=$H154,AB$11&lt;=$I154),1,""))</f>
        <v/>
      </c>
      <c r="AC154" s="448" t="str">
        <f aca="false">IF($G154=0,IF(AC$11=$H154,"◆",""),IF(AND(AC$11&gt;=$H154,AC$11&lt;=$I154),1,""))</f>
        <v/>
      </c>
      <c r="AD154" s="448" t="str">
        <f aca="false">IF($G154=0,IF(AD$11=$H154,"◆",""),IF(AND(AD$11&gt;=$H154,AD$11&lt;=$I154),1,""))</f>
        <v/>
      </c>
      <c r="AE154" s="448" t="str">
        <f aca="false">IF($G154=0,IF(AE$11=$H154,"◆",""),IF(AND(AE$11&gt;=$H154,AE$11&lt;=$I154),1,""))</f>
        <v/>
      </c>
      <c r="AF154" s="448" t="str">
        <f aca="false">IF($G154=0,IF(AF$11=$H154,"◆",""),IF(AND(AF$11&gt;=$H154,AF$11&lt;=$I154),1,""))</f>
        <v/>
      </c>
      <c r="AG154" s="448" t="str">
        <f aca="false">IF($G154=0,IF(AG$11=$H154,"◆",""),IF(AND(AG$11&gt;=$H154,AG$11&lt;=$I154),1,""))</f>
        <v/>
      </c>
      <c r="AH154" s="448" t="str">
        <f aca="false">IF($G154=0,IF(AH$11=$H154,"◆",""),IF(AND(AH$11&gt;=$H154,AH$11&lt;=$I154),1,""))</f>
        <v/>
      </c>
      <c r="AI154" s="448" t="str">
        <f aca="false">IF($G154=0,IF(AI$11=$H154,"◆",""),IF(AND(AI$11&gt;=$H154,AI$11&lt;=$I154),1,""))</f>
        <v/>
      </c>
      <c r="AJ154" s="448" t="str">
        <f aca="false">IF($G154=0,IF(AJ$11=$H154,"◆",""),IF(AND(AJ$11&gt;=$H154,AJ$11&lt;=$I154),1,""))</f>
        <v/>
      </c>
      <c r="AK154" s="448" t="str">
        <f aca="false">IF($G154=0,IF(AK$11=$H154,"◆",""),IF(AND(AK$11&gt;=$H154,AK$11&lt;=$I154),1,""))</f>
        <v/>
      </c>
      <c r="AL154" s="448" t="str">
        <f aca="false">IF($G154=0,IF(AL$11=$H154,"◆",""),IF(AND(AL$11&gt;=$H154,AL$11&lt;=$I154),1,""))</f>
        <v/>
      </c>
      <c r="AM154" s="448" t="str">
        <f aca="false">IF($G154=0,IF(AM$11=$H154,"◆",""),IF(AND(AM$11&gt;=$H154,AM$11&lt;=$I154),1,""))</f>
        <v/>
      </c>
      <c r="AN154" s="448" t="str">
        <f aca="false">IF($G154=0,IF(AN$11=$H154,"◆",""),IF(AND(AN$11&gt;=$H154,AN$11&lt;=$I154),1,""))</f>
        <v/>
      </c>
      <c r="AO154" s="448" t="str">
        <f aca="false">IF($G154=0,IF(AO$11=$H154,"◆",""),IF(AND(AO$11&gt;=$H154,AO$11&lt;=$I154),1,""))</f>
        <v/>
      </c>
      <c r="AP154" s="448" t="str">
        <f aca="false">IF($G154=0,IF(AP$11=$H154,"◆",""),IF(AND(AP$11&gt;=$H154,AP$11&lt;=$I154),1,""))</f>
        <v/>
      </c>
      <c r="AQ154" s="448" t="str">
        <f aca="false">IF($G154=0,IF(AQ$11=$H154,"◆",""),IF(AND(AQ$11&gt;=$H154,AQ$11&lt;=$I154),1,""))</f>
        <v/>
      </c>
      <c r="AR154" s="448" t="str">
        <f aca="false">IF($G154=0,IF(AR$11=$H154,"◆",""),IF(AND(AR$11&gt;=$H154,AR$11&lt;=$I154),1,""))</f>
        <v/>
      </c>
      <c r="AS154" s="448" t="str">
        <f aca="false">IF($G154=0,IF(AS$11=$H154,"◆",""),IF(AND(AS$11&gt;=$H154,AS$11&lt;=$I154),1,""))</f>
        <v/>
      </c>
      <c r="AT154" s="448" t="str">
        <f aca="false">IF($G154=0,IF(AT$11=$H154,"◆",""),IF(AND(AT$11&gt;=$H154,AT$11&lt;=$I154),1,""))</f>
        <v/>
      </c>
      <c r="AU154" s="448" t="str">
        <f aca="false">IF($G154=0,IF(AU$11=$H154,"◆",""),IF(AND(AU$11&gt;=$H154,AU$11&lt;=$I154),1,""))</f>
        <v/>
      </c>
      <c r="AV154" s="448" t="str">
        <f aca="false">IF($G154=0,IF(AV$11=$H154,"◆",""),IF(AND(AV$11&gt;=$H154,AV$11&lt;=$I154),1,""))</f>
        <v/>
      </c>
      <c r="AW154" s="448" t="str">
        <f aca="false">IF($G154=0,IF(AW$11=$H154,"◆",""),IF(AND(AW$11&gt;=$H154,AW$11&lt;=$I154),1,""))</f>
        <v/>
      </c>
      <c r="AX154" s="448" t="str">
        <f aca="false">IF($G154=0,IF(AX$11=$H154,"◆",""),IF(AND(AX$11&gt;=$H154,AX$11&lt;=$I154),1,""))</f>
        <v/>
      </c>
      <c r="AY154" s="448" t="str">
        <f aca="false">IF($G154=0,IF(AY$11=$H154,"◆",""),IF(AND(AY$11&gt;=$H154,AY$11&lt;=$I154),1,""))</f>
        <v/>
      </c>
      <c r="AZ154" s="448" t="str">
        <f aca="false">IF($G154=0,IF(AZ$11=$H154,"◆",""),IF(AND(AZ$11&gt;=$H154,AZ$11&lt;=$I154),1,""))</f>
        <v/>
      </c>
      <c r="BA154" s="448" t="str">
        <f aca="false">IF($G154=0,IF(BA$11=$H154,"◆",""),IF(AND(BA$11&gt;=$H154,BA$11&lt;=$I154),1,""))</f>
        <v/>
      </c>
      <c r="BB154" s="448" t="str">
        <f aca="false">IF($G154=0,IF(BB$11=$H154,"◆",""),IF(AND(BB$11&gt;=$H154,BB$11&lt;=$I154),1,""))</f>
        <v/>
      </c>
      <c r="BC154" s="448" t="str">
        <f aca="false">IF($G154=0,IF(BC$11=$H154,"◆",""),IF(AND(BC$11&gt;=$H154,BC$11&lt;=$I154),1,""))</f>
        <v/>
      </c>
      <c r="BD154" s="448" t="str">
        <f aca="false">IF($G154=0,IF(BD$11=$H154,"◆",""),IF(AND(BD$11&gt;=$H154,BD$11&lt;=$I154),1,""))</f>
        <v/>
      </c>
      <c r="BE154" s="448" t="str">
        <f aca="false">IF($G154=0,IF(BE$11=$H154,"◆",""),IF(AND(BE$11&gt;=$H154,BE$11&lt;=$I154),1,""))</f>
        <v/>
      </c>
      <c r="BF154" s="448" t="str">
        <f aca="false">IF($G154=0,IF(BF$11=$H154,"◆",""),IF(AND(BF$11&gt;=$H154,BF$11&lt;=$I154),1,""))</f>
        <v/>
      </c>
      <c r="BG154" s="448" t="str">
        <f aca="false">IF($G154=0,IF(BG$11=$H154,"◆",""),IF(AND(BG$11&gt;=$H154,BG$11&lt;=$I154),1,""))</f>
        <v/>
      </c>
      <c r="BH154" s="448" t="str">
        <f aca="false">IF($G154=0,IF(BH$11=$H154,"◆",""),IF(AND(BH$11&gt;=$H154,BH$11&lt;=$I154),1,""))</f>
        <v/>
      </c>
      <c r="BI154" s="448" t="str">
        <f aca="false">IF($G154=0,IF(BI$11=$H154,"◆",""),IF(AND(BI$11&gt;=$H154,BI$11&lt;=$I154),1,""))</f>
        <v/>
      </c>
      <c r="BJ154" s="448" t="str">
        <f aca="false">IF($G154=0,IF(BJ$11=$H154,"◆",""),IF(AND(BJ$11&gt;=$H154,BJ$11&lt;=$I154),1,""))</f>
        <v/>
      </c>
      <c r="BK154" s="448" t="str">
        <f aca="false">IF($G154=0,IF(BK$11=$H154,"◆",""),IF(AND(BK$11&gt;=$H154,BK$11&lt;=$I154),1,""))</f>
        <v/>
      </c>
      <c r="BL154" s="448" t="str">
        <f aca="false">IF($G154=0,IF(BL$11=$H154,"◆",""),IF(AND(BL$11&gt;=$H154,BL$11&lt;=$I154),1,""))</f>
        <v/>
      </c>
      <c r="BM154" s="448" t="str">
        <f aca="false">IF($G154=0,IF(BM$11=$H154,"◆",""),IF(AND(BM$11&gt;=$H154,BM$11&lt;=$I154),1,""))</f>
        <v/>
      </c>
      <c r="BN154" s="448" t="str">
        <f aca="false">IF($G154=0,IF(BN$11=$H154,"◆",""),IF(AND(BN$11&gt;=$H154,BN$11&lt;=$I154),1,""))</f>
        <v/>
      </c>
      <c r="BO154" s="448" t="str">
        <f aca="false">IF($G154=0,IF(BO$11=$H154,"◆",""),IF(AND(BO$11&gt;=$H154,BO$11&lt;=$I154),1,""))</f>
        <v/>
      </c>
      <c r="BP154" s="448" t="str">
        <f aca="false">IF($G154=0,IF(BP$11=$H154,"◆",""),IF(AND(BP$11&gt;=$H154,BP$11&lt;=$I154),1,""))</f>
        <v/>
      </c>
      <c r="BQ154" s="448" t="str">
        <f aca="false">IF($G154=0,IF(BQ$11=$H154,"◆",""),IF(AND(BQ$11&gt;=$H154,BQ$11&lt;=$I154),1,""))</f>
        <v/>
      </c>
      <c r="BR154" s="448" t="str">
        <f aca="false">IF($G154=0,IF(BR$11=$H154,"◆",""),IF(AND(BR$11&gt;=$H154,BR$11&lt;=$I154),1,""))</f>
        <v/>
      </c>
      <c r="BS154" s="448" t="str">
        <f aca="false">IF($G154=0,IF(BS$11=$H154,"◆",""),IF(AND(BS$11&gt;=$H154,BS$11&lt;=$I154),1,""))</f>
        <v>◆</v>
      </c>
      <c r="BT154" s="448" t="str">
        <f aca="false">IF($G154=0,IF(BT$11=$H154,"◆",""),IF(AND(BT$11&gt;=$H154,BT$11&lt;=$I154),1,""))</f>
        <v/>
      </c>
      <c r="BU154" s="448" t="str">
        <f aca="false">IF($G154=0,IF(BU$11=$H154,"◆",""),IF(AND(BU$11&gt;=$H154,BU$11&lt;=$I154),1,""))</f>
        <v/>
      </c>
      <c r="BV154" s="448" t="str">
        <f aca="false">IF($G154=0,IF(BV$11=$H154,"◆",""),IF(AND(BV$11&gt;=$H154,BV$11&lt;=$I154),1,""))</f>
        <v/>
      </c>
      <c r="BW154" s="448" t="str">
        <f aca="false">IF($G154=0,IF(BW$11=$H154,"◆",""),IF(AND(BW$11&gt;=$H154,BW$11&lt;=$I154),1,""))</f>
        <v/>
      </c>
      <c r="BX154" s="448" t="str">
        <f aca="false">IF($G154=0,IF(BX$11=$H154,"◆",""),IF(AND(BX$11&gt;=$H154,BX$11&lt;=$I154),1,""))</f>
        <v/>
      </c>
      <c r="BY154" s="448" t="str">
        <f aca="false">IF($G154=0,IF(BY$11=$H154,"◆",""),IF(AND(BY$11&gt;=$H154,BY$11&lt;=$I154),1,""))</f>
        <v/>
      </c>
      <c r="BZ154" s="448" t="str">
        <f aca="false">IF($G154=0,IF(BZ$11=$H154,"◆",""),IF(AND(BZ$11&gt;=$H154,BZ$11&lt;=$I154),1,""))</f>
        <v/>
      </c>
      <c r="CA154" s="448" t="str">
        <f aca="false">IF($G154=0,IF(CA$11=$H154,"◆",""),IF(AND(CA$11&gt;=$H154,CA$11&lt;=$I154),1,""))</f>
        <v/>
      </c>
      <c r="CB154" s="448" t="str">
        <f aca="false">IF($G154=0,IF(CB$11=$H154,"◆",""),IF(AND(CB$11&gt;=$H154,CB$11&lt;=$I154),1,""))</f>
        <v/>
      </c>
      <c r="CC154" s="448" t="str">
        <f aca="false">IF($G154=0,IF(CC$11=$H154,"◆",""),IF(AND(CC$11&gt;=$H154,CC$11&lt;=$I154),1,""))</f>
        <v/>
      </c>
      <c r="CD154" s="448" t="str">
        <f aca="false">IF($G154=0,IF(CD$11=$H154,"◆",""),IF(AND(CD$11&gt;=$H154,CD$11&lt;=$I154),1,""))</f>
        <v/>
      </c>
      <c r="CE154" s="448" t="str">
        <f aca="false">IF($G154=0,IF(CE$11=$H154,"◆",""),IF(AND(CE$11&gt;=$H154,CE$11&lt;=$I154),1,""))</f>
        <v/>
      </c>
      <c r="CF154" s="448" t="str">
        <f aca="false">IF($G154=0,IF(CF$11=$H154,"◆",""),IF(AND(CF$11&gt;=$H154,CF$11&lt;=$I154),1,""))</f>
        <v/>
      </c>
      <c r="CG154" s="448" t="str">
        <f aca="false">IF($G154=0,IF(CG$11=$H154,"◆",""),IF(AND(CG$11&gt;=$H154,CG$11&lt;=$I154),1,""))</f>
        <v/>
      </c>
      <c r="CH154" s="448" t="str">
        <f aca="false">IF($G154=0,IF(CH$11=$H154,"◆",""),IF(AND(CH$11&gt;=$H154,CH$11&lt;=$I154),1,""))</f>
        <v/>
      </c>
      <c r="CI154" s="448" t="str">
        <f aca="false">IF($G154=0,IF(CI$11=$H154,"◆",""),IF(AND(CI$11&gt;=$H154,CI$11&lt;=$I154),1,""))</f>
        <v/>
      </c>
      <c r="CJ154" s="448" t="str">
        <f aca="false">IF($G154=0,IF(CJ$11=$H154,"◆",""),IF(AND(CJ$11&gt;=$H154,CJ$11&lt;=$I154),1,""))</f>
        <v/>
      </c>
      <c r="CK154" s="448" t="str">
        <f aca="false">IF($G154=0,IF(CK$11=$H154,"◆",""),IF(AND(CK$11&gt;=$H154,CK$11&lt;=$I154),1,""))</f>
        <v/>
      </c>
      <c r="CL154" s="448" t="str">
        <f aca="false">IF($G154=0,IF(CL$11=$H154,"◆",""),IF(AND(CL$11&gt;=$H154,CL$11&lt;=$I154),1,""))</f>
        <v/>
      </c>
      <c r="CM154" s="448" t="str">
        <f aca="false">IF($G154=0,IF(CM$11=$H154,"◆",""),IF(AND(CM$11&gt;=$H154,CM$11&lt;=$I154),1,""))</f>
        <v/>
      </c>
      <c r="CN154" s="448" t="str">
        <f aca="false">IF($G154=0,IF(CN$11=$H154,"◆",""),IF(AND(CN$11&gt;=$H154,CN$11&lt;=$I154),1,""))</f>
        <v/>
      </c>
      <c r="CO154" s="448" t="str">
        <f aca="false">IF($G154=0,IF(CO$11=$H154,"◆",""),IF(AND(CO$11&gt;=$H154,CO$11&lt;=$I154),1,""))</f>
        <v/>
      </c>
      <c r="CP154" s="448" t="str">
        <f aca="false">IF($G154=0,IF(CP$11=$H154,"◆",""),IF(AND(CP$11&gt;=$H154,CP$11&lt;=$I154),1,""))</f>
        <v/>
      </c>
      <c r="CQ154" s="448" t="str">
        <f aca="false">IF($G154=0,IF(CQ$11=$H154,"◆",""),IF(AND(CQ$11&gt;=$H154,CQ$11&lt;=$I154),1,""))</f>
        <v/>
      </c>
      <c r="CR154" s="448" t="str">
        <f aca="false">IF($G154=0,IF(CR$11=$H154,"◆",""),IF(AND(CR$11&gt;=$H154,CR$11&lt;=$I154),1,""))</f>
        <v/>
      </c>
      <c r="CS154" s="448" t="str">
        <f aca="false">IF($G154=0,IF(CS$11=$H154,"◆",""),IF(AND(CS$11&gt;=$H154,CS$11&lt;=$I154),1,""))</f>
        <v/>
      </c>
      <c r="CT154" s="448" t="str">
        <f aca="false">IF($G154=0,IF(CT$11=$H154,"◆",""),IF(AND(CT$11&gt;=$H154,CT$11&lt;=$I154),1,""))</f>
        <v/>
      </c>
      <c r="CU154" s="448" t="str">
        <f aca="false">IF($G154=0,IF(CU$11=$H154,"◆",""),IF(AND(CU$11&gt;=$H154,CU$11&lt;=$I154),1,""))</f>
        <v/>
      </c>
      <c r="CV154" s="448" t="str">
        <f aca="false">IF($G154=0,IF(CV$11=$H154,"◆",""),IF(AND(CV$11&gt;=$H154,CV$11&lt;=$I154),1,""))</f>
        <v/>
      </c>
      <c r="CW154" s="448" t="str">
        <f aca="false">IF($G154=0,IF(CW$11=$H154,"◆",""),IF(AND(CW$11&gt;=$H154,CW$11&lt;=$I154),1,""))</f>
        <v/>
      </c>
      <c r="CX154" s="448" t="str">
        <f aca="false">IF($G154=0,IF(CX$11=$H154,"◆",""),IF(AND(CX$11&gt;=$H154,CX$11&lt;=$I154),1,""))</f>
        <v/>
      </c>
      <c r="CY154" s="448" t="str">
        <f aca="false">IF($G154=0,IF(CY$11=$H154,"◆",""),IF(AND(CY$11&gt;=$H154,CY$11&lt;=$I154),1,""))</f>
        <v/>
      </c>
      <c r="CZ154" s="448" t="str">
        <f aca="false">IF($G154=0,IF(CZ$11=$H154,"◆",""),IF(AND(CZ$11&gt;=$H154,CZ$11&lt;=$I154),1,""))</f>
        <v/>
      </c>
      <c r="DA154" s="448" t="str">
        <f aca="false">IF($G154=0,IF(DA$11=$H154,"◆",""),IF(AND(DA$11&gt;=$H154,DA$11&lt;=$I154),1,""))</f>
        <v/>
      </c>
      <c r="DB154" s="448" t="str">
        <f aca="false">IF($G154=0,IF(DB$11=$H154,"◆",""),IF(AND(DB$11&gt;=$H154,DB$11&lt;=$I154),1,""))</f>
        <v/>
      </c>
      <c r="DC154" s="448" t="str">
        <f aca="false">IF($G154=0,IF(DC$11=$H154,"◆",""),IF(AND(DC$11&gt;=$H154,DC$11&lt;=$I154),1,""))</f>
        <v/>
      </c>
      <c r="DD154" s="448" t="str">
        <f aca="false">IF($G154=0,IF(DD$11=$H154,"◆",""),IF(AND(DD$11&gt;=$H154,DD$11&lt;=$I154),1,""))</f>
        <v/>
      </c>
      <c r="DE154" s="448" t="str">
        <f aca="false">IF($G154=0,IF(DE$11=$H154,"◆",""),IF(AND(DE$11&gt;=$H154,DE$11&lt;=$I154),1,""))</f>
        <v/>
      </c>
      <c r="DF154" s="448" t="str">
        <f aca="false">IF($G154=0,IF(DF$11=$H154,"◆",""),IF(AND(DF$11&gt;=$H154,DF$11&lt;=$I154),1,""))</f>
        <v/>
      </c>
      <c r="DG154" s="448" t="str">
        <f aca="false">IF($G154=0,IF(DG$11=$H154,"◆",""),IF(AND(DG$11&gt;=$H154,DG$11&lt;=$I154),1,""))</f>
        <v/>
      </c>
      <c r="DH154" s="448" t="str">
        <f aca="false">IF($G154=0,IF(DH$11=$H154,"◆",""),IF(AND(DH$11&gt;=$H154,DH$11&lt;=$I154),1,""))</f>
        <v/>
      </c>
      <c r="DI154" s="448" t="str">
        <f aca="false">IF($G154=0,IF(DI$11=$H154,"◆",""),IF(AND(DI$11&gt;=$H154,DI$11&lt;=$I154),1,""))</f>
        <v/>
      </c>
      <c r="DJ154" s="448" t="str">
        <f aca="false">IF($G154=0,IF(DJ$11=$H154,"◆",""),IF(AND(DJ$11&gt;=$H154,DJ$11&lt;=$I154),1,""))</f>
        <v/>
      </c>
      <c r="DK154" s="448" t="str">
        <f aca="false">IF($G154=0,IF(DK$11=$H154,"◆",""),IF(AND(DK$11&gt;=$H154,DK$11&lt;=$I154),1,""))</f>
        <v/>
      </c>
      <c r="DL154" s="448" t="str">
        <f aca="false">IF($G154=0,IF(DL$11=$H154,"◆",""),IF(AND(DL$11&gt;=$H154,DL$11&lt;=$I154),1,""))</f>
        <v/>
      </c>
      <c r="DM154" s="448" t="str">
        <f aca="false">IF($G154=0,IF(DM$11=$H154,"◆",""),IF(AND(DM$11&gt;=$H154,DM$11&lt;=$I154),1,""))</f>
        <v/>
      </c>
      <c r="DN154" s="448" t="str">
        <f aca="false">IF($G154=0,IF(DN$11=$H154,"◆",""),IF(AND(DN$11&gt;=$H154,DN$11&lt;=$I154),1,""))</f>
        <v/>
      </c>
      <c r="DO154" s="448" t="str">
        <f aca="false">IF($G154=0,IF(DO$11=$H154,"◆",""),IF(AND(DO$11&gt;=$H154,DO$11&lt;=$I154),1,""))</f>
        <v/>
      </c>
      <c r="DP154" s="448" t="str">
        <f aca="false">IF($G154=0,IF(DP$11=$H154,"◆",""),IF(AND(DP$11&gt;=$H154,DP$11&lt;=$I154),1,""))</f>
        <v/>
      </c>
      <c r="DQ154" s="448" t="str">
        <f aca="false">IF($G154=0,IF(DQ$11=$H154,"◆",""),IF(AND(DQ$11&gt;=$H154,DQ$11&lt;=$I154),1,""))</f>
        <v/>
      </c>
      <c r="DR154" s="448" t="str">
        <f aca="false">IF($G154=0,IF(DR$11=$H154,"◆",""),IF(AND(DR$11&gt;=$H154,DR$11&lt;=$I154),1,""))</f>
        <v/>
      </c>
      <c r="DS154" s="448" t="str">
        <f aca="false">IF($G154=0,IF(DS$11=$H154,"◆",""),IF(AND(DS$11&gt;=$H154,DS$11&lt;=$I154),1,""))</f>
        <v/>
      </c>
      <c r="DT154" s="448" t="str">
        <f aca="false">IF($G154=0,IF(DT$11=$H154,"◆",""),IF(AND(DT$11&gt;=$H154,DT$11&lt;=$I154),1,""))</f>
        <v/>
      </c>
      <c r="DU154" s="448" t="str">
        <f aca="false">IF($G154=0,IF(DU$11=$H154,"◆",""),IF(AND(DU$11&gt;=$H154,DU$11&lt;=$I154),1,""))</f>
        <v/>
      </c>
      <c r="DV154" s="448" t="str">
        <f aca="false">IF($G154=0,IF(DV$11=$H154,"◆",""),IF(AND(DV$11&gt;=$H154,DV$11&lt;=$I154),1,""))</f>
        <v/>
      </c>
      <c r="DW154" s="448" t="str">
        <f aca="false">IF($G154=0,IF(DW$11=$H154,"◆",""),IF(AND(DW$11&gt;=$H154,DW$11&lt;=$I154),1,""))</f>
        <v/>
      </c>
      <c r="DX154" s="448" t="str">
        <f aca="false">IF($G154=0,IF(DX$11=$H154,"◆",""),IF(AND(DX$11&gt;=$H154,DX$11&lt;=$I154),1,""))</f>
        <v/>
      </c>
      <c r="DY154" s="448" t="str">
        <f aca="false">IF($G154=0,IF(DY$11=$H154,"◆",""),IF(AND(DY$11&gt;=$H154,DY$11&lt;=$I154),1,""))</f>
        <v/>
      </c>
      <c r="DZ154" s="448" t="str">
        <f aca="false">IF($G154=0,IF(DZ$11=$H154,"◆",""),IF(AND(DZ$11&gt;=$H154,DZ$11&lt;=$I154),1,""))</f>
        <v/>
      </c>
      <c r="EA154" s="448" t="str">
        <f aca="false">IF($G154=0,IF(EA$11=$H154,"◆",""),IF(AND(EA$11&gt;=$H154,EA$11&lt;=$I154),1,""))</f>
        <v/>
      </c>
      <c r="EB154" s="448" t="str">
        <f aca="false">IF($G154=0,IF(EB$11=$H154,"◆",""),IF(AND(EB$11&gt;=$H154,EB$11&lt;=$I154),1,""))</f>
        <v/>
      </c>
      <c r="EC154" s="448" t="str">
        <f aca="false">IF($G154=0,IF(EC$11=$H154,"◆",""),IF(AND(EC$11&gt;=$H154,EC$11&lt;=$I154),1,""))</f>
        <v/>
      </c>
      <c r="ED154" s="448" t="str">
        <f aca="false">IF($G154=0,IF(ED$11=$H154,"◆",""),IF(AND(ED$11&gt;=$H154,ED$11&lt;=$I154),1,""))</f>
        <v/>
      </c>
    </row>
    <row r="155" customFormat="false" ht="15" hidden="false" customHeight="true" outlineLevel="0" collapsed="false">
      <c r="A155" s="441" t="s">
        <v>2765</v>
      </c>
      <c r="B155" s="297" t="s">
        <v>2766</v>
      </c>
      <c r="C155" s="442" t="s">
        <v>2758</v>
      </c>
      <c r="D155" s="443" t="s">
        <v>2448</v>
      </c>
      <c r="E155" s="354" t="n">
        <f aca="false">$D$7</f>
        <v>14</v>
      </c>
      <c r="F155" s="352" t="n">
        <v>0</v>
      </c>
      <c r="G155" s="352" t="n">
        <v>20</v>
      </c>
      <c r="H155" s="367" t="n">
        <f aca="false">MAX(1,ROUND(($E155-1)*$D$5,0)+1+$F155)</f>
        <v>57</v>
      </c>
      <c r="I155" s="367" t="n">
        <f aca="false">MAX($H155,$H155+$G155-1)</f>
        <v>76</v>
      </c>
      <c r="J155" s="444" t="n">
        <f aca="false">$D$4+($H155-1)*7</f>
        <v>46692</v>
      </c>
      <c r="K155" s="444" t="n">
        <f aca="false">$D$4+$I155*7-1</f>
        <v>46831</v>
      </c>
      <c r="L155" s="445" t="n">
        <f aca="false">ROUNDUP($H155/$D$5,0)</f>
        <v>14</v>
      </c>
      <c r="M155" s="446"/>
      <c r="N155" s="447" t="n">
        <v>0</v>
      </c>
      <c r="O155" s="448" t="str">
        <f aca="false">IF($G155=0,IF(O$11=$H155,"◆",""),IF(AND(O$11&gt;=$H155,O$11&lt;=$I155),1,""))</f>
        <v/>
      </c>
      <c r="P155" s="448" t="str">
        <f aca="false">IF($G155=0,IF(P$11=$H155,"◆",""),IF(AND(P$11&gt;=$H155,P$11&lt;=$I155),1,""))</f>
        <v/>
      </c>
      <c r="Q155" s="448" t="str">
        <f aca="false">IF($G155=0,IF(Q$11=$H155,"◆",""),IF(AND(Q$11&gt;=$H155,Q$11&lt;=$I155),1,""))</f>
        <v/>
      </c>
      <c r="R155" s="448" t="str">
        <f aca="false">IF($G155=0,IF(R$11=$H155,"◆",""),IF(AND(R$11&gt;=$H155,R$11&lt;=$I155),1,""))</f>
        <v/>
      </c>
      <c r="S155" s="448" t="str">
        <f aca="false">IF($G155=0,IF(S$11=$H155,"◆",""),IF(AND(S$11&gt;=$H155,S$11&lt;=$I155),1,""))</f>
        <v/>
      </c>
      <c r="T155" s="448" t="str">
        <f aca="false">IF($G155=0,IF(T$11=$H155,"◆",""),IF(AND(T$11&gt;=$H155,T$11&lt;=$I155),1,""))</f>
        <v/>
      </c>
      <c r="U155" s="448" t="str">
        <f aca="false">IF($G155=0,IF(U$11=$H155,"◆",""),IF(AND(U$11&gt;=$H155,U$11&lt;=$I155),1,""))</f>
        <v/>
      </c>
      <c r="V155" s="448" t="str">
        <f aca="false">IF($G155=0,IF(V$11=$H155,"◆",""),IF(AND(V$11&gt;=$H155,V$11&lt;=$I155),1,""))</f>
        <v/>
      </c>
      <c r="W155" s="448" t="str">
        <f aca="false">IF($G155=0,IF(W$11=$H155,"◆",""),IF(AND(W$11&gt;=$H155,W$11&lt;=$I155),1,""))</f>
        <v/>
      </c>
      <c r="X155" s="448" t="str">
        <f aca="false">IF($G155=0,IF(X$11=$H155,"◆",""),IF(AND(X$11&gt;=$H155,X$11&lt;=$I155),1,""))</f>
        <v/>
      </c>
      <c r="Y155" s="448" t="str">
        <f aca="false">IF($G155=0,IF(Y$11=$H155,"◆",""),IF(AND(Y$11&gt;=$H155,Y$11&lt;=$I155),1,""))</f>
        <v/>
      </c>
      <c r="Z155" s="448" t="str">
        <f aca="false">IF($G155=0,IF(Z$11=$H155,"◆",""),IF(AND(Z$11&gt;=$H155,Z$11&lt;=$I155),1,""))</f>
        <v/>
      </c>
      <c r="AA155" s="448" t="str">
        <f aca="false">IF($G155=0,IF(AA$11=$H155,"◆",""),IF(AND(AA$11&gt;=$H155,AA$11&lt;=$I155),1,""))</f>
        <v/>
      </c>
      <c r="AB155" s="448" t="str">
        <f aca="false">IF($G155=0,IF(AB$11=$H155,"◆",""),IF(AND(AB$11&gt;=$H155,AB$11&lt;=$I155),1,""))</f>
        <v/>
      </c>
      <c r="AC155" s="448" t="str">
        <f aca="false">IF($G155=0,IF(AC$11=$H155,"◆",""),IF(AND(AC$11&gt;=$H155,AC$11&lt;=$I155),1,""))</f>
        <v/>
      </c>
      <c r="AD155" s="448" t="str">
        <f aca="false">IF($G155=0,IF(AD$11=$H155,"◆",""),IF(AND(AD$11&gt;=$H155,AD$11&lt;=$I155),1,""))</f>
        <v/>
      </c>
      <c r="AE155" s="448" t="str">
        <f aca="false">IF($G155=0,IF(AE$11=$H155,"◆",""),IF(AND(AE$11&gt;=$H155,AE$11&lt;=$I155),1,""))</f>
        <v/>
      </c>
      <c r="AF155" s="448" t="str">
        <f aca="false">IF($G155=0,IF(AF$11=$H155,"◆",""),IF(AND(AF$11&gt;=$H155,AF$11&lt;=$I155),1,""))</f>
        <v/>
      </c>
      <c r="AG155" s="448" t="str">
        <f aca="false">IF($G155=0,IF(AG$11=$H155,"◆",""),IF(AND(AG$11&gt;=$H155,AG$11&lt;=$I155),1,""))</f>
        <v/>
      </c>
      <c r="AH155" s="448" t="str">
        <f aca="false">IF($G155=0,IF(AH$11=$H155,"◆",""),IF(AND(AH$11&gt;=$H155,AH$11&lt;=$I155),1,""))</f>
        <v/>
      </c>
      <c r="AI155" s="448" t="str">
        <f aca="false">IF($G155=0,IF(AI$11=$H155,"◆",""),IF(AND(AI$11&gt;=$H155,AI$11&lt;=$I155),1,""))</f>
        <v/>
      </c>
      <c r="AJ155" s="448" t="str">
        <f aca="false">IF($G155=0,IF(AJ$11=$H155,"◆",""),IF(AND(AJ$11&gt;=$H155,AJ$11&lt;=$I155),1,""))</f>
        <v/>
      </c>
      <c r="AK155" s="448" t="str">
        <f aca="false">IF($G155=0,IF(AK$11=$H155,"◆",""),IF(AND(AK$11&gt;=$H155,AK$11&lt;=$I155),1,""))</f>
        <v/>
      </c>
      <c r="AL155" s="448" t="str">
        <f aca="false">IF($G155=0,IF(AL$11=$H155,"◆",""),IF(AND(AL$11&gt;=$H155,AL$11&lt;=$I155),1,""))</f>
        <v/>
      </c>
      <c r="AM155" s="448" t="str">
        <f aca="false">IF($G155=0,IF(AM$11=$H155,"◆",""),IF(AND(AM$11&gt;=$H155,AM$11&lt;=$I155),1,""))</f>
        <v/>
      </c>
      <c r="AN155" s="448" t="str">
        <f aca="false">IF($G155=0,IF(AN$11=$H155,"◆",""),IF(AND(AN$11&gt;=$H155,AN$11&lt;=$I155),1,""))</f>
        <v/>
      </c>
      <c r="AO155" s="448" t="str">
        <f aca="false">IF($G155=0,IF(AO$11=$H155,"◆",""),IF(AND(AO$11&gt;=$H155,AO$11&lt;=$I155),1,""))</f>
        <v/>
      </c>
      <c r="AP155" s="448" t="str">
        <f aca="false">IF($G155=0,IF(AP$11=$H155,"◆",""),IF(AND(AP$11&gt;=$H155,AP$11&lt;=$I155),1,""))</f>
        <v/>
      </c>
      <c r="AQ155" s="448" t="str">
        <f aca="false">IF($G155=0,IF(AQ$11=$H155,"◆",""),IF(AND(AQ$11&gt;=$H155,AQ$11&lt;=$I155),1,""))</f>
        <v/>
      </c>
      <c r="AR155" s="448" t="str">
        <f aca="false">IF($G155=0,IF(AR$11=$H155,"◆",""),IF(AND(AR$11&gt;=$H155,AR$11&lt;=$I155),1,""))</f>
        <v/>
      </c>
      <c r="AS155" s="448" t="str">
        <f aca="false">IF($G155=0,IF(AS$11=$H155,"◆",""),IF(AND(AS$11&gt;=$H155,AS$11&lt;=$I155),1,""))</f>
        <v/>
      </c>
      <c r="AT155" s="448" t="str">
        <f aca="false">IF($G155=0,IF(AT$11=$H155,"◆",""),IF(AND(AT$11&gt;=$H155,AT$11&lt;=$I155),1,""))</f>
        <v/>
      </c>
      <c r="AU155" s="448" t="str">
        <f aca="false">IF($G155=0,IF(AU$11=$H155,"◆",""),IF(AND(AU$11&gt;=$H155,AU$11&lt;=$I155),1,""))</f>
        <v/>
      </c>
      <c r="AV155" s="448" t="str">
        <f aca="false">IF($G155=0,IF(AV$11=$H155,"◆",""),IF(AND(AV$11&gt;=$H155,AV$11&lt;=$I155),1,""))</f>
        <v/>
      </c>
      <c r="AW155" s="448" t="str">
        <f aca="false">IF($G155=0,IF(AW$11=$H155,"◆",""),IF(AND(AW$11&gt;=$H155,AW$11&lt;=$I155),1,""))</f>
        <v/>
      </c>
      <c r="AX155" s="448" t="str">
        <f aca="false">IF($G155=0,IF(AX$11=$H155,"◆",""),IF(AND(AX$11&gt;=$H155,AX$11&lt;=$I155),1,""))</f>
        <v/>
      </c>
      <c r="AY155" s="448" t="str">
        <f aca="false">IF($G155=0,IF(AY$11=$H155,"◆",""),IF(AND(AY$11&gt;=$H155,AY$11&lt;=$I155),1,""))</f>
        <v/>
      </c>
      <c r="AZ155" s="448" t="str">
        <f aca="false">IF($G155=0,IF(AZ$11=$H155,"◆",""),IF(AND(AZ$11&gt;=$H155,AZ$11&lt;=$I155),1,""))</f>
        <v/>
      </c>
      <c r="BA155" s="448" t="str">
        <f aca="false">IF($G155=0,IF(BA$11=$H155,"◆",""),IF(AND(BA$11&gt;=$H155,BA$11&lt;=$I155),1,""))</f>
        <v/>
      </c>
      <c r="BB155" s="448" t="str">
        <f aca="false">IF($G155=0,IF(BB$11=$H155,"◆",""),IF(AND(BB$11&gt;=$H155,BB$11&lt;=$I155),1,""))</f>
        <v/>
      </c>
      <c r="BC155" s="448" t="str">
        <f aca="false">IF($G155=0,IF(BC$11=$H155,"◆",""),IF(AND(BC$11&gt;=$H155,BC$11&lt;=$I155),1,""))</f>
        <v/>
      </c>
      <c r="BD155" s="448" t="str">
        <f aca="false">IF($G155=0,IF(BD$11=$H155,"◆",""),IF(AND(BD$11&gt;=$H155,BD$11&lt;=$I155),1,""))</f>
        <v/>
      </c>
      <c r="BE155" s="448" t="str">
        <f aca="false">IF($G155=0,IF(BE$11=$H155,"◆",""),IF(AND(BE$11&gt;=$H155,BE$11&lt;=$I155),1,""))</f>
        <v/>
      </c>
      <c r="BF155" s="448" t="str">
        <f aca="false">IF($G155=0,IF(BF$11=$H155,"◆",""),IF(AND(BF$11&gt;=$H155,BF$11&lt;=$I155),1,""))</f>
        <v/>
      </c>
      <c r="BG155" s="448" t="str">
        <f aca="false">IF($G155=0,IF(BG$11=$H155,"◆",""),IF(AND(BG$11&gt;=$H155,BG$11&lt;=$I155),1,""))</f>
        <v/>
      </c>
      <c r="BH155" s="448" t="str">
        <f aca="false">IF($G155=0,IF(BH$11=$H155,"◆",""),IF(AND(BH$11&gt;=$H155,BH$11&lt;=$I155),1,""))</f>
        <v/>
      </c>
      <c r="BI155" s="448" t="str">
        <f aca="false">IF($G155=0,IF(BI$11=$H155,"◆",""),IF(AND(BI$11&gt;=$H155,BI$11&lt;=$I155),1,""))</f>
        <v/>
      </c>
      <c r="BJ155" s="448" t="str">
        <f aca="false">IF($G155=0,IF(BJ$11=$H155,"◆",""),IF(AND(BJ$11&gt;=$H155,BJ$11&lt;=$I155),1,""))</f>
        <v/>
      </c>
      <c r="BK155" s="448" t="str">
        <f aca="false">IF($G155=0,IF(BK$11=$H155,"◆",""),IF(AND(BK$11&gt;=$H155,BK$11&lt;=$I155),1,""))</f>
        <v/>
      </c>
      <c r="BL155" s="448" t="str">
        <f aca="false">IF($G155=0,IF(BL$11=$H155,"◆",""),IF(AND(BL$11&gt;=$H155,BL$11&lt;=$I155),1,""))</f>
        <v/>
      </c>
      <c r="BM155" s="448" t="str">
        <f aca="false">IF($G155=0,IF(BM$11=$H155,"◆",""),IF(AND(BM$11&gt;=$H155,BM$11&lt;=$I155),1,""))</f>
        <v/>
      </c>
      <c r="BN155" s="448" t="str">
        <f aca="false">IF($G155=0,IF(BN$11=$H155,"◆",""),IF(AND(BN$11&gt;=$H155,BN$11&lt;=$I155),1,""))</f>
        <v/>
      </c>
      <c r="BO155" s="448" t="str">
        <f aca="false">IF($G155=0,IF(BO$11=$H155,"◆",""),IF(AND(BO$11&gt;=$H155,BO$11&lt;=$I155),1,""))</f>
        <v/>
      </c>
      <c r="BP155" s="448" t="str">
        <f aca="false">IF($G155=0,IF(BP$11=$H155,"◆",""),IF(AND(BP$11&gt;=$H155,BP$11&lt;=$I155),1,""))</f>
        <v/>
      </c>
      <c r="BQ155" s="448" t="str">
        <f aca="false">IF($G155=0,IF(BQ$11=$H155,"◆",""),IF(AND(BQ$11&gt;=$H155,BQ$11&lt;=$I155),1,""))</f>
        <v/>
      </c>
      <c r="BR155" s="448" t="str">
        <f aca="false">IF($G155=0,IF(BR$11=$H155,"◆",""),IF(AND(BR$11&gt;=$H155,BR$11&lt;=$I155),1,""))</f>
        <v/>
      </c>
      <c r="BS155" s="448" t="n">
        <f aca="false">IF($G155=0,IF(BS$11=$H155,"◆",""),IF(AND(BS$11&gt;=$H155,BS$11&lt;=$I155),1,""))</f>
        <v>1</v>
      </c>
      <c r="BT155" s="448" t="n">
        <f aca="false">IF($G155=0,IF(BT$11=$H155,"◆",""),IF(AND(BT$11&gt;=$H155,BT$11&lt;=$I155),1,""))</f>
        <v>1</v>
      </c>
      <c r="BU155" s="448" t="n">
        <f aca="false">IF($G155=0,IF(BU$11=$H155,"◆",""),IF(AND(BU$11&gt;=$H155,BU$11&lt;=$I155),1,""))</f>
        <v>1</v>
      </c>
      <c r="BV155" s="448" t="n">
        <f aca="false">IF($G155=0,IF(BV$11=$H155,"◆",""),IF(AND(BV$11&gt;=$H155,BV$11&lt;=$I155),1,""))</f>
        <v>1</v>
      </c>
      <c r="BW155" s="448" t="n">
        <f aca="false">IF($G155=0,IF(BW$11=$H155,"◆",""),IF(AND(BW$11&gt;=$H155,BW$11&lt;=$I155),1,""))</f>
        <v>1</v>
      </c>
      <c r="BX155" s="448" t="n">
        <f aca="false">IF($G155=0,IF(BX$11=$H155,"◆",""),IF(AND(BX$11&gt;=$H155,BX$11&lt;=$I155),1,""))</f>
        <v>1</v>
      </c>
      <c r="BY155" s="448" t="n">
        <f aca="false">IF($G155=0,IF(BY$11=$H155,"◆",""),IF(AND(BY$11&gt;=$H155,BY$11&lt;=$I155),1,""))</f>
        <v>1</v>
      </c>
      <c r="BZ155" s="448" t="n">
        <f aca="false">IF($G155=0,IF(BZ$11=$H155,"◆",""),IF(AND(BZ$11&gt;=$H155,BZ$11&lt;=$I155),1,""))</f>
        <v>1</v>
      </c>
      <c r="CA155" s="448" t="n">
        <f aca="false">IF($G155=0,IF(CA$11=$H155,"◆",""),IF(AND(CA$11&gt;=$H155,CA$11&lt;=$I155),1,""))</f>
        <v>1</v>
      </c>
      <c r="CB155" s="448" t="n">
        <f aca="false">IF($G155=0,IF(CB$11=$H155,"◆",""),IF(AND(CB$11&gt;=$H155,CB$11&lt;=$I155),1,""))</f>
        <v>1</v>
      </c>
      <c r="CC155" s="448" t="n">
        <f aca="false">IF($G155=0,IF(CC$11=$H155,"◆",""),IF(AND(CC$11&gt;=$H155,CC$11&lt;=$I155),1,""))</f>
        <v>1</v>
      </c>
      <c r="CD155" s="448" t="n">
        <f aca="false">IF($G155=0,IF(CD$11=$H155,"◆",""),IF(AND(CD$11&gt;=$H155,CD$11&lt;=$I155),1,""))</f>
        <v>1</v>
      </c>
      <c r="CE155" s="448" t="n">
        <f aca="false">IF($G155=0,IF(CE$11=$H155,"◆",""),IF(AND(CE$11&gt;=$H155,CE$11&lt;=$I155),1,""))</f>
        <v>1</v>
      </c>
      <c r="CF155" s="448" t="n">
        <f aca="false">IF($G155=0,IF(CF$11=$H155,"◆",""),IF(AND(CF$11&gt;=$H155,CF$11&lt;=$I155),1,""))</f>
        <v>1</v>
      </c>
      <c r="CG155" s="448" t="n">
        <f aca="false">IF($G155=0,IF(CG$11=$H155,"◆",""),IF(AND(CG$11&gt;=$H155,CG$11&lt;=$I155),1,""))</f>
        <v>1</v>
      </c>
      <c r="CH155" s="448" t="n">
        <f aca="false">IF($G155=0,IF(CH$11=$H155,"◆",""),IF(AND(CH$11&gt;=$H155,CH$11&lt;=$I155),1,""))</f>
        <v>1</v>
      </c>
      <c r="CI155" s="448" t="n">
        <f aca="false">IF($G155=0,IF(CI$11=$H155,"◆",""),IF(AND(CI$11&gt;=$H155,CI$11&lt;=$I155),1,""))</f>
        <v>1</v>
      </c>
      <c r="CJ155" s="448" t="n">
        <f aca="false">IF($G155=0,IF(CJ$11=$H155,"◆",""),IF(AND(CJ$11&gt;=$H155,CJ$11&lt;=$I155),1,""))</f>
        <v>1</v>
      </c>
      <c r="CK155" s="448" t="n">
        <f aca="false">IF($G155=0,IF(CK$11=$H155,"◆",""),IF(AND(CK$11&gt;=$H155,CK$11&lt;=$I155),1,""))</f>
        <v>1</v>
      </c>
      <c r="CL155" s="448" t="n">
        <f aca="false">IF($G155=0,IF(CL$11=$H155,"◆",""),IF(AND(CL$11&gt;=$H155,CL$11&lt;=$I155),1,""))</f>
        <v>1</v>
      </c>
      <c r="CM155" s="448" t="str">
        <f aca="false">IF($G155=0,IF(CM$11=$H155,"◆",""),IF(AND(CM$11&gt;=$H155,CM$11&lt;=$I155),1,""))</f>
        <v/>
      </c>
      <c r="CN155" s="448" t="str">
        <f aca="false">IF($G155=0,IF(CN$11=$H155,"◆",""),IF(AND(CN$11&gt;=$H155,CN$11&lt;=$I155),1,""))</f>
        <v/>
      </c>
      <c r="CO155" s="448" t="str">
        <f aca="false">IF($G155=0,IF(CO$11=$H155,"◆",""),IF(AND(CO$11&gt;=$H155,CO$11&lt;=$I155),1,""))</f>
        <v/>
      </c>
      <c r="CP155" s="448" t="str">
        <f aca="false">IF($G155=0,IF(CP$11=$H155,"◆",""),IF(AND(CP$11&gt;=$H155,CP$11&lt;=$I155),1,""))</f>
        <v/>
      </c>
      <c r="CQ155" s="448" t="str">
        <f aca="false">IF($G155=0,IF(CQ$11=$H155,"◆",""),IF(AND(CQ$11&gt;=$H155,CQ$11&lt;=$I155),1,""))</f>
        <v/>
      </c>
      <c r="CR155" s="448" t="str">
        <f aca="false">IF($G155=0,IF(CR$11=$H155,"◆",""),IF(AND(CR$11&gt;=$H155,CR$11&lt;=$I155),1,""))</f>
        <v/>
      </c>
      <c r="CS155" s="448" t="str">
        <f aca="false">IF($G155=0,IF(CS$11=$H155,"◆",""),IF(AND(CS$11&gt;=$H155,CS$11&lt;=$I155),1,""))</f>
        <v/>
      </c>
      <c r="CT155" s="448" t="str">
        <f aca="false">IF($G155=0,IF(CT$11=$H155,"◆",""),IF(AND(CT$11&gt;=$H155,CT$11&lt;=$I155),1,""))</f>
        <v/>
      </c>
      <c r="CU155" s="448" t="str">
        <f aca="false">IF($G155=0,IF(CU$11=$H155,"◆",""),IF(AND(CU$11&gt;=$H155,CU$11&lt;=$I155),1,""))</f>
        <v/>
      </c>
      <c r="CV155" s="448" t="str">
        <f aca="false">IF($G155=0,IF(CV$11=$H155,"◆",""),IF(AND(CV$11&gt;=$H155,CV$11&lt;=$I155),1,""))</f>
        <v/>
      </c>
      <c r="CW155" s="448" t="str">
        <f aca="false">IF($G155=0,IF(CW$11=$H155,"◆",""),IF(AND(CW$11&gt;=$H155,CW$11&lt;=$I155),1,""))</f>
        <v/>
      </c>
      <c r="CX155" s="448" t="str">
        <f aca="false">IF($G155=0,IF(CX$11=$H155,"◆",""),IF(AND(CX$11&gt;=$H155,CX$11&lt;=$I155),1,""))</f>
        <v/>
      </c>
      <c r="CY155" s="448" t="str">
        <f aca="false">IF($G155=0,IF(CY$11=$H155,"◆",""),IF(AND(CY$11&gt;=$H155,CY$11&lt;=$I155),1,""))</f>
        <v/>
      </c>
      <c r="CZ155" s="448" t="str">
        <f aca="false">IF($G155=0,IF(CZ$11=$H155,"◆",""),IF(AND(CZ$11&gt;=$H155,CZ$11&lt;=$I155),1,""))</f>
        <v/>
      </c>
      <c r="DA155" s="448" t="str">
        <f aca="false">IF($G155=0,IF(DA$11=$H155,"◆",""),IF(AND(DA$11&gt;=$H155,DA$11&lt;=$I155),1,""))</f>
        <v/>
      </c>
      <c r="DB155" s="448" t="str">
        <f aca="false">IF($G155=0,IF(DB$11=$H155,"◆",""),IF(AND(DB$11&gt;=$H155,DB$11&lt;=$I155),1,""))</f>
        <v/>
      </c>
      <c r="DC155" s="448" t="str">
        <f aca="false">IF($G155=0,IF(DC$11=$H155,"◆",""),IF(AND(DC$11&gt;=$H155,DC$11&lt;=$I155),1,""))</f>
        <v/>
      </c>
      <c r="DD155" s="448" t="str">
        <f aca="false">IF($G155=0,IF(DD$11=$H155,"◆",""),IF(AND(DD$11&gt;=$H155,DD$11&lt;=$I155),1,""))</f>
        <v/>
      </c>
      <c r="DE155" s="448" t="str">
        <f aca="false">IF($G155=0,IF(DE$11=$H155,"◆",""),IF(AND(DE$11&gt;=$H155,DE$11&lt;=$I155),1,""))</f>
        <v/>
      </c>
      <c r="DF155" s="448" t="str">
        <f aca="false">IF($G155=0,IF(DF$11=$H155,"◆",""),IF(AND(DF$11&gt;=$H155,DF$11&lt;=$I155),1,""))</f>
        <v/>
      </c>
      <c r="DG155" s="448" t="str">
        <f aca="false">IF($G155=0,IF(DG$11=$H155,"◆",""),IF(AND(DG$11&gt;=$H155,DG$11&lt;=$I155),1,""))</f>
        <v/>
      </c>
      <c r="DH155" s="448" t="str">
        <f aca="false">IF($G155=0,IF(DH$11=$H155,"◆",""),IF(AND(DH$11&gt;=$H155,DH$11&lt;=$I155),1,""))</f>
        <v/>
      </c>
      <c r="DI155" s="448" t="str">
        <f aca="false">IF($G155=0,IF(DI$11=$H155,"◆",""),IF(AND(DI$11&gt;=$H155,DI$11&lt;=$I155),1,""))</f>
        <v/>
      </c>
      <c r="DJ155" s="448" t="str">
        <f aca="false">IF($G155=0,IF(DJ$11=$H155,"◆",""),IF(AND(DJ$11&gt;=$H155,DJ$11&lt;=$I155),1,""))</f>
        <v/>
      </c>
      <c r="DK155" s="448" t="str">
        <f aca="false">IF($G155=0,IF(DK$11=$H155,"◆",""),IF(AND(DK$11&gt;=$H155,DK$11&lt;=$I155),1,""))</f>
        <v/>
      </c>
      <c r="DL155" s="448" t="str">
        <f aca="false">IF($G155=0,IF(DL$11=$H155,"◆",""),IF(AND(DL$11&gt;=$H155,DL$11&lt;=$I155),1,""))</f>
        <v/>
      </c>
      <c r="DM155" s="448" t="str">
        <f aca="false">IF($G155=0,IF(DM$11=$H155,"◆",""),IF(AND(DM$11&gt;=$H155,DM$11&lt;=$I155),1,""))</f>
        <v/>
      </c>
      <c r="DN155" s="448" t="str">
        <f aca="false">IF($G155=0,IF(DN$11=$H155,"◆",""),IF(AND(DN$11&gt;=$H155,DN$11&lt;=$I155),1,""))</f>
        <v/>
      </c>
      <c r="DO155" s="448" t="str">
        <f aca="false">IF($G155=0,IF(DO$11=$H155,"◆",""),IF(AND(DO$11&gt;=$H155,DO$11&lt;=$I155),1,""))</f>
        <v/>
      </c>
      <c r="DP155" s="448" t="str">
        <f aca="false">IF($G155=0,IF(DP$11=$H155,"◆",""),IF(AND(DP$11&gt;=$H155,DP$11&lt;=$I155),1,""))</f>
        <v/>
      </c>
      <c r="DQ155" s="448" t="str">
        <f aca="false">IF($G155=0,IF(DQ$11=$H155,"◆",""),IF(AND(DQ$11&gt;=$H155,DQ$11&lt;=$I155),1,""))</f>
        <v/>
      </c>
      <c r="DR155" s="448" t="str">
        <f aca="false">IF($G155=0,IF(DR$11=$H155,"◆",""),IF(AND(DR$11&gt;=$H155,DR$11&lt;=$I155),1,""))</f>
        <v/>
      </c>
      <c r="DS155" s="448" t="str">
        <f aca="false">IF($G155=0,IF(DS$11=$H155,"◆",""),IF(AND(DS$11&gt;=$H155,DS$11&lt;=$I155),1,""))</f>
        <v/>
      </c>
      <c r="DT155" s="448" t="str">
        <f aca="false">IF($G155=0,IF(DT$11=$H155,"◆",""),IF(AND(DT$11&gt;=$H155,DT$11&lt;=$I155),1,""))</f>
        <v/>
      </c>
      <c r="DU155" s="448" t="str">
        <f aca="false">IF($G155=0,IF(DU$11=$H155,"◆",""),IF(AND(DU$11&gt;=$H155,DU$11&lt;=$I155),1,""))</f>
        <v/>
      </c>
      <c r="DV155" s="448" t="str">
        <f aca="false">IF($G155=0,IF(DV$11=$H155,"◆",""),IF(AND(DV$11&gt;=$H155,DV$11&lt;=$I155),1,""))</f>
        <v/>
      </c>
      <c r="DW155" s="448" t="str">
        <f aca="false">IF($G155=0,IF(DW$11=$H155,"◆",""),IF(AND(DW$11&gt;=$H155,DW$11&lt;=$I155),1,""))</f>
        <v/>
      </c>
      <c r="DX155" s="448" t="str">
        <f aca="false">IF($G155=0,IF(DX$11=$H155,"◆",""),IF(AND(DX$11&gt;=$H155,DX$11&lt;=$I155),1,""))</f>
        <v/>
      </c>
      <c r="DY155" s="448" t="str">
        <f aca="false">IF($G155=0,IF(DY$11=$H155,"◆",""),IF(AND(DY$11&gt;=$H155,DY$11&lt;=$I155),1,""))</f>
        <v/>
      </c>
      <c r="DZ155" s="448" t="str">
        <f aca="false">IF($G155=0,IF(DZ$11=$H155,"◆",""),IF(AND(DZ$11&gt;=$H155,DZ$11&lt;=$I155),1,""))</f>
        <v/>
      </c>
      <c r="EA155" s="448" t="str">
        <f aca="false">IF($G155=0,IF(EA$11=$H155,"◆",""),IF(AND(EA$11&gt;=$H155,EA$11&lt;=$I155),1,""))</f>
        <v/>
      </c>
      <c r="EB155" s="448" t="str">
        <f aca="false">IF($G155=0,IF(EB$11=$H155,"◆",""),IF(AND(EB$11&gt;=$H155,EB$11&lt;=$I155),1,""))</f>
        <v/>
      </c>
      <c r="EC155" s="448" t="str">
        <f aca="false">IF($G155=0,IF(EC$11=$H155,"◆",""),IF(AND(EC$11&gt;=$H155,EC$11&lt;=$I155),1,""))</f>
        <v/>
      </c>
      <c r="ED155" s="448" t="str">
        <f aca="false">IF($G155=0,IF(ED$11=$H155,"◆",""),IF(AND(ED$11&gt;=$H155,ED$11&lt;=$I155),1,""))</f>
        <v/>
      </c>
    </row>
    <row r="156" customFormat="false" ht="15" hidden="false" customHeight="true" outlineLevel="0" collapsed="false">
      <c r="A156" s="463"/>
      <c r="B156" s="464" t="s">
        <v>2767</v>
      </c>
      <c r="C156" s="465"/>
      <c r="D156" s="465"/>
      <c r="E156" s="465"/>
      <c r="F156" s="465"/>
      <c r="G156" s="465"/>
      <c r="H156" s="465"/>
      <c r="I156" s="465"/>
      <c r="J156" s="465"/>
      <c r="K156" s="465"/>
      <c r="L156" s="465"/>
      <c r="M156" s="465"/>
      <c r="N156" s="465"/>
      <c r="O156" s="465"/>
      <c r="P156" s="465"/>
      <c r="Q156" s="465"/>
      <c r="R156" s="465"/>
      <c r="S156" s="465"/>
      <c r="T156" s="465"/>
      <c r="U156" s="465"/>
      <c r="V156" s="465"/>
      <c r="W156" s="465"/>
      <c r="X156" s="465"/>
      <c r="Y156" s="465"/>
      <c r="Z156" s="465"/>
      <c r="AA156" s="465"/>
      <c r="AB156" s="465"/>
      <c r="AC156" s="465"/>
      <c r="AD156" s="465"/>
      <c r="AE156" s="465"/>
      <c r="AF156" s="465"/>
      <c r="AG156" s="465"/>
      <c r="AH156" s="465"/>
      <c r="AI156" s="465"/>
      <c r="AJ156" s="465"/>
      <c r="AK156" s="465"/>
      <c r="AL156" s="465"/>
      <c r="AM156" s="465"/>
      <c r="AN156" s="465"/>
      <c r="AO156" s="465"/>
      <c r="AP156" s="465"/>
      <c r="AQ156" s="465"/>
      <c r="AR156" s="465"/>
      <c r="AS156" s="465"/>
      <c r="AT156" s="465"/>
      <c r="AU156" s="465"/>
      <c r="AV156" s="465"/>
      <c r="AW156" s="465"/>
      <c r="AX156" s="465"/>
      <c r="AY156" s="465"/>
      <c r="AZ156" s="465"/>
      <c r="BA156" s="465"/>
      <c r="BB156" s="465"/>
      <c r="BC156" s="465"/>
      <c r="BD156" s="465"/>
      <c r="BE156" s="465"/>
      <c r="BF156" s="465"/>
      <c r="BG156" s="465"/>
      <c r="BH156" s="465"/>
      <c r="BI156" s="465"/>
      <c r="BJ156" s="465"/>
      <c r="BK156" s="465"/>
      <c r="BL156" s="465"/>
      <c r="BM156" s="465"/>
      <c r="BN156" s="465"/>
      <c r="BO156" s="465"/>
      <c r="BP156" s="465"/>
      <c r="BQ156" s="465"/>
      <c r="BR156" s="465"/>
      <c r="BS156" s="465"/>
      <c r="BT156" s="465"/>
      <c r="BU156" s="465"/>
      <c r="BV156" s="465"/>
      <c r="BW156" s="465"/>
      <c r="BX156" s="465"/>
      <c r="BY156" s="465"/>
      <c r="BZ156" s="465"/>
      <c r="CA156" s="465"/>
      <c r="CB156" s="465"/>
      <c r="CC156" s="465"/>
      <c r="CD156" s="465"/>
      <c r="CE156" s="465"/>
      <c r="CF156" s="465"/>
      <c r="CG156" s="465"/>
      <c r="CH156" s="465"/>
      <c r="CI156" s="465"/>
      <c r="CJ156" s="465"/>
      <c r="CK156" s="465"/>
      <c r="CL156" s="465"/>
      <c r="CM156" s="465"/>
      <c r="CN156" s="465"/>
      <c r="CO156" s="465"/>
      <c r="CP156" s="465"/>
      <c r="CQ156" s="465"/>
      <c r="CR156" s="465"/>
      <c r="CS156" s="465"/>
      <c r="CT156" s="465"/>
      <c r="CU156" s="465"/>
      <c r="CV156" s="465"/>
      <c r="CW156" s="465"/>
      <c r="CX156" s="465"/>
      <c r="CY156" s="465"/>
      <c r="CZ156" s="465"/>
      <c r="DA156" s="465"/>
      <c r="DB156" s="465"/>
      <c r="DC156" s="465"/>
      <c r="DD156" s="465"/>
      <c r="DE156" s="465"/>
      <c r="DF156" s="465"/>
      <c r="DG156" s="465"/>
      <c r="DH156" s="465"/>
      <c r="DI156" s="465"/>
      <c r="DJ156" s="465"/>
      <c r="DK156" s="465"/>
      <c r="DL156" s="465"/>
      <c r="DM156" s="465"/>
      <c r="DN156" s="465"/>
      <c r="DO156" s="465"/>
      <c r="DP156" s="465"/>
      <c r="DQ156" s="465"/>
      <c r="DR156" s="465"/>
      <c r="DS156" s="465"/>
      <c r="DT156" s="465"/>
      <c r="DU156" s="465"/>
      <c r="DV156" s="465"/>
      <c r="DW156" s="465"/>
      <c r="DX156" s="465"/>
      <c r="DY156" s="465"/>
      <c r="DZ156" s="465"/>
      <c r="EA156" s="465"/>
      <c r="EB156" s="465"/>
      <c r="EC156" s="465"/>
      <c r="ED156" s="465"/>
    </row>
    <row r="157" customFormat="false" ht="15" hidden="false" customHeight="true" outlineLevel="0" collapsed="false">
      <c r="A157" s="441" t="s">
        <v>2768</v>
      </c>
      <c r="B157" s="297" t="s">
        <v>2769</v>
      </c>
      <c r="C157" s="442" t="s">
        <v>2770</v>
      </c>
      <c r="D157" s="443" t="s">
        <v>2771</v>
      </c>
      <c r="E157" s="354" t="n">
        <f aca="false">FC_SUPUESTOS!$C$13-FC_SUPUESTOS!$C$31</f>
        <v>14</v>
      </c>
      <c r="F157" s="352" t="n">
        <v>-8</v>
      </c>
      <c r="G157" s="352" t="n">
        <v>4</v>
      </c>
      <c r="H157" s="367" t="n">
        <f aca="false">MAX(1,ROUND(($E157-1)*$D$5,0)+1+$F157)</f>
        <v>49</v>
      </c>
      <c r="I157" s="367" t="n">
        <f aca="false">MAX($H157,$H157+$G157-1)</f>
        <v>52</v>
      </c>
      <c r="J157" s="444" t="str">
        <f aca="false">IF(FC_SUPUESTOS!$C$12=0,"—",$D$4+($H157-1)*7)</f>
        <v>—</v>
      </c>
      <c r="K157" s="444" t="str">
        <f aca="false">IF(FC_SUPUESTOS!$C$12=0,"—",$D$4+$I157*7-1)</f>
        <v>—</v>
      </c>
      <c r="L157" s="445" t="str">
        <f aca="false">IF(FC_SUPUESTOS!$C$12=0,"—",ROUNDUP($H157/$D$5,0))</f>
        <v>—</v>
      </c>
      <c r="M157" s="446"/>
      <c r="N157" s="447" t="n">
        <v>0</v>
      </c>
      <c r="O157" s="448" t="str">
        <f aca="false">IF(FC_SUPUESTOS!$C$12=0,"",IF($G157=0,IF(O$11=$H157,"◆",""),IF(AND(O$11&gt;=$H157,O$11&lt;=$I157),1,"")))</f>
        <v/>
      </c>
      <c r="P157" s="448" t="str">
        <f aca="false">IF(FC_SUPUESTOS!$C$12=0,"",IF($G157=0,IF(P$11=$H157,"◆",""),IF(AND(P$11&gt;=$H157,P$11&lt;=$I157),1,"")))</f>
        <v/>
      </c>
      <c r="Q157" s="448" t="str">
        <f aca="false">IF(FC_SUPUESTOS!$C$12=0,"",IF($G157=0,IF(Q$11=$H157,"◆",""),IF(AND(Q$11&gt;=$H157,Q$11&lt;=$I157),1,"")))</f>
        <v/>
      </c>
      <c r="R157" s="448" t="str">
        <f aca="false">IF(FC_SUPUESTOS!$C$12=0,"",IF($G157=0,IF(R$11=$H157,"◆",""),IF(AND(R$11&gt;=$H157,R$11&lt;=$I157),1,"")))</f>
        <v/>
      </c>
      <c r="S157" s="448" t="str">
        <f aca="false">IF(FC_SUPUESTOS!$C$12=0,"",IF($G157=0,IF(S$11=$H157,"◆",""),IF(AND(S$11&gt;=$H157,S$11&lt;=$I157),1,"")))</f>
        <v/>
      </c>
      <c r="T157" s="448" t="str">
        <f aca="false">IF(FC_SUPUESTOS!$C$12=0,"",IF($G157=0,IF(T$11=$H157,"◆",""),IF(AND(T$11&gt;=$H157,T$11&lt;=$I157),1,"")))</f>
        <v/>
      </c>
      <c r="U157" s="448" t="str">
        <f aca="false">IF(FC_SUPUESTOS!$C$12=0,"",IF($G157=0,IF(U$11=$H157,"◆",""),IF(AND(U$11&gt;=$H157,U$11&lt;=$I157),1,"")))</f>
        <v/>
      </c>
      <c r="V157" s="448" t="str">
        <f aca="false">IF(FC_SUPUESTOS!$C$12=0,"",IF($G157=0,IF(V$11=$H157,"◆",""),IF(AND(V$11&gt;=$H157,V$11&lt;=$I157),1,"")))</f>
        <v/>
      </c>
      <c r="W157" s="448" t="str">
        <f aca="false">IF(FC_SUPUESTOS!$C$12=0,"",IF($G157=0,IF(W$11=$H157,"◆",""),IF(AND(W$11&gt;=$H157,W$11&lt;=$I157),1,"")))</f>
        <v/>
      </c>
      <c r="X157" s="448" t="str">
        <f aca="false">IF(FC_SUPUESTOS!$C$12=0,"",IF($G157=0,IF(X$11=$H157,"◆",""),IF(AND(X$11&gt;=$H157,X$11&lt;=$I157),1,"")))</f>
        <v/>
      </c>
      <c r="Y157" s="448" t="str">
        <f aca="false">IF(FC_SUPUESTOS!$C$12=0,"",IF($G157=0,IF(Y$11=$H157,"◆",""),IF(AND(Y$11&gt;=$H157,Y$11&lt;=$I157),1,"")))</f>
        <v/>
      </c>
      <c r="Z157" s="448" t="str">
        <f aca="false">IF(FC_SUPUESTOS!$C$12=0,"",IF($G157=0,IF(Z$11=$H157,"◆",""),IF(AND(Z$11&gt;=$H157,Z$11&lt;=$I157),1,"")))</f>
        <v/>
      </c>
      <c r="AA157" s="448" t="str">
        <f aca="false">IF(FC_SUPUESTOS!$C$12=0,"",IF($G157=0,IF(AA$11=$H157,"◆",""),IF(AND(AA$11&gt;=$H157,AA$11&lt;=$I157),1,"")))</f>
        <v/>
      </c>
      <c r="AB157" s="448" t="str">
        <f aca="false">IF(FC_SUPUESTOS!$C$12=0,"",IF($G157=0,IF(AB$11=$H157,"◆",""),IF(AND(AB$11&gt;=$H157,AB$11&lt;=$I157),1,"")))</f>
        <v/>
      </c>
      <c r="AC157" s="448" t="str">
        <f aca="false">IF(FC_SUPUESTOS!$C$12=0,"",IF($G157=0,IF(AC$11=$H157,"◆",""),IF(AND(AC$11&gt;=$H157,AC$11&lt;=$I157),1,"")))</f>
        <v/>
      </c>
      <c r="AD157" s="448" t="str">
        <f aca="false">IF(FC_SUPUESTOS!$C$12=0,"",IF($G157=0,IF(AD$11=$H157,"◆",""),IF(AND(AD$11&gt;=$H157,AD$11&lt;=$I157),1,"")))</f>
        <v/>
      </c>
      <c r="AE157" s="448" t="str">
        <f aca="false">IF(FC_SUPUESTOS!$C$12=0,"",IF($G157=0,IF(AE$11=$H157,"◆",""),IF(AND(AE$11&gt;=$H157,AE$11&lt;=$I157),1,"")))</f>
        <v/>
      </c>
      <c r="AF157" s="448" t="str">
        <f aca="false">IF(FC_SUPUESTOS!$C$12=0,"",IF($G157=0,IF(AF$11=$H157,"◆",""),IF(AND(AF$11&gt;=$H157,AF$11&lt;=$I157),1,"")))</f>
        <v/>
      </c>
      <c r="AG157" s="448" t="str">
        <f aca="false">IF(FC_SUPUESTOS!$C$12=0,"",IF($G157=0,IF(AG$11=$H157,"◆",""),IF(AND(AG$11&gt;=$H157,AG$11&lt;=$I157),1,"")))</f>
        <v/>
      </c>
      <c r="AH157" s="448" t="str">
        <f aca="false">IF(FC_SUPUESTOS!$C$12=0,"",IF($G157=0,IF(AH$11=$H157,"◆",""),IF(AND(AH$11&gt;=$H157,AH$11&lt;=$I157),1,"")))</f>
        <v/>
      </c>
      <c r="AI157" s="448" t="str">
        <f aca="false">IF(FC_SUPUESTOS!$C$12=0,"",IF($G157=0,IF(AI$11=$H157,"◆",""),IF(AND(AI$11&gt;=$H157,AI$11&lt;=$I157),1,"")))</f>
        <v/>
      </c>
      <c r="AJ157" s="448" t="str">
        <f aca="false">IF(FC_SUPUESTOS!$C$12=0,"",IF($G157=0,IF(AJ$11=$H157,"◆",""),IF(AND(AJ$11&gt;=$H157,AJ$11&lt;=$I157),1,"")))</f>
        <v/>
      </c>
      <c r="AK157" s="448" t="str">
        <f aca="false">IF(FC_SUPUESTOS!$C$12=0,"",IF($G157=0,IF(AK$11=$H157,"◆",""),IF(AND(AK$11&gt;=$H157,AK$11&lt;=$I157),1,"")))</f>
        <v/>
      </c>
      <c r="AL157" s="448" t="str">
        <f aca="false">IF(FC_SUPUESTOS!$C$12=0,"",IF($G157=0,IF(AL$11=$H157,"◆",""),IF(AND(AL$11&gt;=$H157,AL$11&lt;=$I157),1,"")))</f>
        <v/>
      </c>
      <c r="AM157" s="448" t="str">
        <f aca="false">IF(FC_SUPUESTOS!$C$12=0,"",IF($G157=0,IF(AM$11=$H157,"◆",""),IF(AND(AM$11&gt;=$H157,AM$11&lt;=$I157),1,"")))</f>
        <v/>
      </c>
      <c r="AN157" s="448" t="str">
        <f aca="false">IF(FC_SUPUESTOS!$C$12=0,"",IF($G157=0,IF(AN$11=$H157,"◆",""),IF(AND(AN$11&gt;=$H157,AN$11&lt;=$I157),1,"")))</f>
        <v/>
      </c>
      <c r="AO157" s="448" t="str">
        <f aca="false">IF(FC_SUPUESTOS!$C$12=0,"",IF($G157=0,IF(AO$11=$H157,"◆",""),IF(AND(AO$11&gt;=$H157,AO$11&lt;=$I157),1,"")))</f>
        <v/>
      </c>
      <c r="AP157" s="448" t="str">
        <f aca="false">IF(FC_SUPUESTOS!$C$12=0,"",IF($G157=0,IF(AP$11=$H157,"◆",""),IF(AND(AP$11&gt;=$H157,AP$11&lt;=$I157),1,"")))</f>
        <v/>
      </c>
      <c r="AQ157" s="448" t="str">
        <f aca="false">IF(FC_SUPUESTOS!$C$12=0,"",IF($G157=0,IF(AQ$11=$H157,"◆",""),IF(AND(AQ$11&gt;=$H157,AQ$11&lt;=$I157),1,"")))</f>
        <v/>
      </c>
      <c r="AR157" s="448" t="str">
        <f aca="false">IF(FC_SUPUESTOS!$C$12=0,"",IF($G157=0,IF(AR$11=$H157,"◆",""),IF(AND(AR$11&gt;=$H157,AR$11&lt;=$I157),1,"")))</f>
        <v/>
      </c>
      <c r="AS157" s="448" t="str">
        <f aca="false">IF(FC_SUPUESTOS!$C$12=0,"",IF($G157=0,IF(AS$11=$H157,"◆",""),IF(AND(AS$11&gt;=$H157,AS$11&lt;=$I157),1,"")))</f>
        <v/>
      </c>
      <c r="AT157" s="448" t="str">
        <f aca="false">IF(FC_SUPUESTOS!$C$12=0,"",IF($G157=0,IF(AT$11=$H157,"◆",""),IF(AND(AT$11&gt;=$H157,AT$11&lt;=$I157),1,"")))</f>
        <v/>
      </c>
      <c r="AU157" s="448" t="str">
        <f aca="false">IF(FC_SUPUESTOS!$C$12=0,"",IF($G157=0,IF(AU$11=$H157,"◆",""),IF(AND(AU$11&gt;=$H157,AU$11&lt;=$I157),1,"")))</f>
        <v/>
      </c>
      <c r="AV157" s="448" t="str">
        <f aca="false">IF(FC_SUPUESTOS!$C$12=0,"",IF($G157=0,IF(AV$11=$H157,"◆",""),IF(AND(AV$11&gt;=$H157,AV$11&lt;=$I157),1,"")))</f>
        <v/>
      </c>
      <c r="AW157" s="448" t="str">
        <f aca="false">IF(FC_SUPUESTOS!$C$12=0,"",IF($G157=0,IF(AW$11=$H157,"◆",""),IF(AND(AW$11&gt;=$H157,AW$11&lt;=$I157),1,"")))</f>
        <v/>
      </c>
      <c r="AX157" s="448" t="str">
        <f aca="false">IF(FC_SUPUESTOS!$C$12=0,"",IF($G157=0,IF(AX$11=$H157,"◆",""),IF(AND(AX$11&gt;=$H157,AX$11&lt;=$I157),1,"")))</f>
        <v/>
      </c>
      <c r="AY157" s="448" t="str">
        <f aca="false">IF(FC_SUPUESTOS!$C$12=0,"",IF($G157=0,IF(AY$11=$H157,"◆",""),IF(AND(AY$11&gt;=$H157,AY$11&lt;=$I157),1,"")))</f>
        <v/>
      </c>
      <c r="AZ157" s="448" t="str">
        <f aca="false">IF(FC_SUPUESTOS!$C$12=0,"",IF($G157=0,IF(AZ$11=$H157,"◆",""),IF(AND(AZ$11&gt;=$H157,AZ$11&lt;=$I157),1,"")))</f>
        <v/>
      </c>
      <c r="BA157" s="448" t="str">
        <f aca="false">IF(FC_SUPUESTOS!$C$12=0,"",IF($G157=0,IF(BA$11=$H157,"◆",""),IF(AND(BA$11&gt;=$H157,BA$11&lt;=$I157),1,"")))</f>
        <v/>
      </c>
      <c r="BB157" s="448" t="str">
        <f aca="false">IF(FC_SUPUESTOS!$C$12=0,"",IF($G157=0,IF(BB$11=$H157,"◆",""),IF(AND(BB$11&gt;=$H157,BB$11&lt;=$I157),1,"")))</f>
        <v/>
      </c>
      <c r="BC157" s="448" t="str">
        <f aca="false">IF(FC_SUPUESTOS!$C$12=0,"",IF($G157=0,IF(BC$11=$H157,"◆",""),IF(AND(BC$11&gt;=$H157,BC$11&lt;=$I157),1,"")))</f>
        <v/>
      </c>
      <c r="BD157" s="448" t="str">
        <f aca="false">IF(FC_SUPUESTOS!$C$12=0,"",IF($G157=0,IF(BD$11=$H157,"◆",""),IF(AND(BD$11&gt;=$H157,BD$11&lt;=$I157),1,"")))</f>
        <v/>
      </c>
      <c r="BE157" s="448" t="str">
        <f aca="false">IF(FC_SUPUESTOS!$C$12=0,"",IF($G157=0,IF(BE$11=$H157,"◆",""),IF(AND(BE$11&gt;=$H157,BE$11&lt;=$I157),1,"")))</f>
        <v/>
      </c>
      <c r="BF157" s="448" t="str">
        <f aca="false">IF(FC_SUPUESTOS!$C$12=0,"",IF($G157=0,IF(BF$11=$H157,"◆",""),IF(AND(BF$11&gt;=$H157,BF$11&lt;=$I157),1,"")))</f>
        <v/>
      </c>
      <c r="BG157" s="448" t="str">
        <f aca="false">IF(FC_SUPUESTOS!$C$12=0,"",IF($G157=0,IF(BG$11=$H157,"◆",""),IF(AND(BG$11&gt;=$H157,BG$11&lt;=$I157),1,"")))</f>
        <v/>
      </c>
      <c r="BH157" s="448" t="str">
        <f aca="false">IF(FC_SUPUESTOS!$C$12=0,"",IF($G157=0,IF(BH$11=$H157,"◆",""),IF(AND(BH$11&gt;=$H157,BH$11&lt;=$I157),1,"")))</f>
        <v/>
      </c>
      <c r="BI157" s="448" t="str">
        <f aca="false">IF(FC_SUPUESTOS!$C$12=0,"",IF($G157=0,IF(BI$11=$H157,"◆",""),IF(AND(BI$11&gt;=$H157,BI$11&lt;=$I157),1,"")))</f>
        <v/>
      </c>
      <c r="BJ157" s="448" t="str">
        <f aca="false">IF(FC_SUPUESTOS!$C$12=0,"",IF($G157=0,IF(BJ$11=$H157,"◆",""),IF(AND(BJ$11&gt;=$H157,BJ$11&lt;=$I157),1,"")))</f>
        <v/>
      </c>
      <c r="BK157" s="448" t="str">
        <f aca="false">IF(FC_SUPUESTOS!$C$12=0,"",IF($G157=0,IF(BK$11=$H157,"◆",""),IF(AND(BK$11&gt;=$H157,BK$11&lt;=$I157),1,"")))</f>
        <v/>
      </c>
      <c r="BL157" s="448" t="str">
        <f aca="false">IF(FC_SUPUESTOS!$C$12=0,"",IF($G157=0,IF(BL$11=$H157,"◆",""),IF(AND(BL$11&gt;=$H157,BL$11&lt;=$I157),1,"")))</f>
        <v/>
      </c>
      <c r="BM157" s="448" t="str">
        <f aca="false">IF(FC_SUPUESTOS!$C$12=0,"",IF($G157=0,IF(BM$11=$H157,"◆",""),IF(AND(BM$11&gt;=$H157,BM$11&lt;=$I157),1,"")))</f>
        <v/>
      </c>
      <c r="BN157" s="448" t="str">
        <f aca="false">IF(FC_SUPUESTOS!$C$12=0,"",IF($G157=0,IF(BN$11=$H157,"◆",""),IF(AND(BN$11&gt;=$H157,BN$11&lt;=$I157),1,"")))</f>
        <v/>
      </c>
      <c r="BO157" s="448" t="str">
        <f aca="false">IF(FC_SUPUESTOS!$C$12=0,"",IF($G157=0,IF(BO$11=$H157,"◆",""),IF(AND(BO$11&gt;=$H157,BO$11&lt;=$I157),1,"")))</f>
        <v/>
      </c>
      <c r="BP157" s="448" t="str">
        <f aca="false">IF(FC_SUPUESTOS!$C$12=0,"",IF($G157=0,IF(BP$11=$H157,"◆",""),IF(AND(BP$11&gt;=$H157,BP$11&lt;=$I157),1,"")))</f>
        <v/>
      </c>
      <c r="BQ157" s="448" t="str">
        <f aca="false">IF(FC_SUPUESTOS!$C$12=0,"",IF($G157=0,IF(BQ$11=$H157,"◆",""),IF(AND(BQ$11&gt;=$H157,BQ$11&lt;=$I157),1,"")))</f>
        <v/>
      </c>
      <c r="BR157" s="448" t="str">
        <f aca="false">IF(FC_SUPUESTOS!$C$12=0,"",IF($G157=0,IF(BR$11=$H157,"◆",""),IF(AND(BR$11&gt;=$H157,BR$11&lt;=$I157),1,"")))</f>
        <v/>
      </c>
      <c r="BS157" s="448" t="str">
        <f aca="false">IF(FC_SUPUESTOS!$C$12=0,"",IF($G157=0,IF(BS$11=$H157,"◆",""),IF(AND(BS$11&gt;=$H157,BS$11&lt;=$I157),1,"")))</f>
        <v/>
      </c>
      <c r="BT157" s="448" t="str">
        <f aca="false">IF(FC_SUPUESTOS!$C$12=0,"",IF($G157=0,IF(BT$11=$H157,"◆",""),IF(AND(BT$11&gt;=$H157,BT$11&lt;=$I157),1,"")))</f>
        <v/>
      </c>
      <c r="BU157" s="448" t="str">
        <f aca="false">IF(FC_SUPUESTOS!$C$12=0,"",IF($G157=0,IF(BU$11=$H157,"◆",""),IF(AND(BU$11&gt;=$H157,BU$11&lt;=$I157),1,"")))</f>
        <v/>
      </c>
      <c r="BV157" s="448" t="str">
        <f aca="false">IF(FC_SUPUESTOS!$C$12=0,"",IF($G157=0,IF(BV$11=$H157,"◆",""),IF(AND(BV$11&gt;=$H157,BV$11&lt;=$I157),1,"")))</f>
        <v/>
      </c>
      <c r="BW157" s="448" t="str">
        <f aca="false">IF(FC_SUPUESTOS!$C$12=0,"",IF($G157=0,IF(BW$11=$H157,"◆",""),IF(AND(BW$11&gt;=$H157,BW$11&lt;=$I157),1,"")))</f>
        <v/>
      </c>
      <c r="BX157" s="448" t="str">
        <f aca="false">IF(FC_SUPUESTOS!$C$12=0,"",IF($G157=0,IF(BX$11=$H157,"◆",""),IF(AND(BX$11&gt;=$H157,BX$11&lt;=$I157),1,"")))</f>
        <v/>
      </c>
      <c r="BY157" s="448" t="str">
        <f aca="false">IF(FC_SUPUESTOS!$C$12=0,"",IF($G157=0,IF(BY$11=$H157,"◆",""),IF(AND(BY$11&gt;=$H157,BY$11&lt;=$I157),1,"")))</f>
        <v/>
      </c>
      <c r="BZ157" s="448" t="str">
        <f aca="false">IF(FC_SUPUESTOS!$C$12=0,"",IF($G157=0,IF(BZ$11=$H157,"◆",""),IF(AND(BZ$11&gt;=$H157,BZ$11&lt;=$I157),1,"")))</f>
        <v/>
      </c>
      <c r="CA157" s="448" t="str">
        <f aca="false">IF(FC_SUPUESTOS!$C$12=0,"",IF($G157=0,IF(CA$11=$H157,"◆",""),IF(AND(CA$11&gt;=$H157,CA$11&lt;=$I157),1,"")))</f>
        <v/>
      </c>
      <c r="CB157" s="448" t="str">
        <f aca="false">IF(FC_SUPUESTOS!$C$12=0,"",IF($G157=0,IF(CB$11=$H157,"◆",""),IF(AND(CB$11&gt;=$H157,CB$11&lt;=$I157),1,"")))</f>
        <v/>
      </c>
      <c r="CC157" s="448" t="str">
        <f aca="false">IF(FC_SUPUESTOS!$C$12=0,"",IF($G157=0,IF(CC$11=$H157,"◆",""),IF(AND(CC$11&gt;=$H157,CC$11&lt;=$I157),1,"")))</f>
        <v/>
      </c>
      <c r="CD157" s="448" t="str">
        <f aca="false">IF(FC_SUPUESTOS!$C$12=0,"",IF($G157=0,IF(CD$11=$H157,"◆",""),IF(AND(CD$11&gt;=$H157,CD$11&lt;=$I157),1,"")))</f>
        <v/>
      </c>
      <c r="CE157" s="448" t="str">
        <f aca="false">IF(FC_SUPUESTOS!$C$12=0,"",IF($G157=0,IF(CE$11=$H157,"◆",""),IF(AND(CE$11&gt;=$H157,CE$11&lt;=$I157),1,"")))</f>
        <v/>
      </c>
      <c r="CF157" s="448" t="str">
        <f aca="false">IF(FC_SUPUESTOS!$C$12=0,"",IF($G157=0,IF(CF$11=$H157,"◆",""),IF(AND(CF$11&gt;=$H157,CF$11&lt;=$I157),1,"")))</f>
        <v/>
      </c>
      <c r="CG157" s="448" t="str">
        <f aca="false">IF(FC_SUPUESTOS!$C$12=0,"",IF($G157=0,IF(CG$11=$H157,"◆",""),IF(AND(CG$11&gt;=$H157,CG$11&lt;=$I157),1,"")))</f>
        <v/>
      </c>
      <c r="CH157" s="448" t="str">
        <f aca="false">IF(FC_SUPUESTOS!$C$12=0,"",IF($G157=0,IF(CH$11=$H157,"◆",""),IF(AND(CH$11&gt;=$H157,CH$11&lt;=$I157),1,"")))</f>
        <v/>
      </c>
      <c r="CI157" s="448" t="str">
        <f aca="false">IF(FC_SUPUESTOS!$C$12=0,"",IF($G157=0,IF(CI$11=$H157,"◆",""),IF(AND(CI$11&gt;=$H157,CI$11&lt;=$I157),1,"")))</f>
        <v/>
      </c>
      <c r="CJ157" s="448" t="str">
        <f aca="false">IF(FC_SUPUESTOS!$C$12=0,"",IF($G157=0,IF(CJ$11=$H157,"◆",""),IF(AND(CJ$11&gt;=$H157,CJ$11&lt;=$I157),1,"")))</f>
        <v/>
      </c>
      <c r="CK157" s="448" t="str">
        <f aca="false">IF(FC_SUPUESTOS!$C$12=0,"",IF($G157=0,IF(CK$11=$H157,"◆",""),IF(AND(CK$11&gt;=$H157,CK$11&lt;=$I157),1,"")))</f>
        <v/>
      </c>
      <c r="CL157" s="448" t="str">
        <f aca="false">IF(FC_SUPUESTOS!$C$12=0,"",IF($G157=0,IF(CL$11=$H157,"◆",""),IF(AND(CL$11&gt;=$H157,CL$11&lt;=$I157),1,"")))</f>
        <v/>
      </c>
      <c r="CM157" s="448" t="str">
        <f aca="false">IF(FC_SUPUESTOS!$C$12=0,"",IF($G157=0,IF(CM$11=$H157,"◆",""),IF(AND(CM$11&gt;=$H157,CM$11&lt;=$I157),1,"")))</f>
        <v/>
      </c>
      <c r="CN157" s="448" t="str">
        <f aca="false">IF(FC_SUPUESTOS!$C$12=0,"",IF($G157=0,IF(CN$11=$H157,"◆",""),IF(AND(CN$11&gt;=$H157,CN$11&lt;=$I157),1,"")))</f>
        <v/>
      </c>
      <c r="CO157" s="448" t="str">
        <f aca="false">IF(FC_SUPUESTOS!$C$12=0,"",IF($G157=0,IF(CO$11=$H157,"◆",""),IF(AND(CO$11&gt;=$H157,CO$11&lt;=$I157),1,"")))</f>
        <v/>
      </c>
      <c r="CP157" s="448" t="str">
        <f aca="false">IF(FC_SUPUESTOS!$C$12=0,"",IF($G157=0,IF(CP$11=$H157,"◆",""),IF(AND(CP$11&gt;=$H157,CP$11&lt;=$I157),1,"")))</f>
        <v/>
      </c>
      <c r="CQ157" s="448" t="str">
        <f aca="false">IF(FC_SUPUESTOS!$C$12=0,"",IF($G157=0,IF(CQ$11=$H157,"◆",""),IF(AND(CQ$11&gt;=$H157,CQ$11&lt;=$I157),1,"")))</f>
        <v/>
      </c>
      <c r="CR157" s="448" t="str">
        <f aca="false">IF(FC_SUPUESTOS!$C$12=0,"",IF($G157=0,IF(CR$11=$H157,"◆",""),IF(AND(CR$11&gt;=$H157,CR$11&lt;=$I157),1,"")))</f>
        <v/>
      </c>
      <c r="CS157" s="448" t="str">
        <f aca="false">IF(FC_SUPUESTOS!$C$12=0,"",IF($G157=0,IF(CS$11=$H157,"◆",""),IF(AND(CS$11&gt;=$H157,CS$11&lt;=$I157),1,"")))</f>
        <v/>
      </c>
      <c r="CT157" s="448" t="str">
        <f aca="false">IF(FC_SUPUESTOS!$C$12=0,"",IF($G157=0,IF(CT$11=$H157,"◆",""),IF(AND(CT$11&gt;=$H157,CT$11&lt;=$I157),1,"")))</f>
        <v/>
      </c>
      <c r="CU157" s="448" t="str">
        <f aca="false">IF(FC_SUPUESTOS!$C$12=0,"",IF($G157=0,IF(CU$11=$H157,"◆",""),IF(AND(CU$11&gt;=$H157,CU$11&lt;=$I157),1,"")))</f>
        <v/>
      </c>
      <c r="CV157" s="448" t="str">
        <f aca="false">IF(FC_SUPUESTOS!$C$12=0,"",IF($G157=0,IF(CV$11=$H157,"◆",""),IF(AND(CV$11&gt;=$H157,CV$11&lt;=$I157),1,"")))</f>
        <v/>
      </c>
      <c r="CW157" s="448" t="str">
        <f aca="false">IF(FC_SUPUESTOS!$C$12=0,"",IF($G157=0,IF(CW$11=$H157,"◆",""),IF(AND(CW$11&gt;=$H157,CW$11&lt;=$I157),1,"")))</f>
        <v/>
      </c>
      <c r="CX157" s="448" t="str">
        <f aca="false">IF(FC_SUPUESTOS!$C$12=0,"",IF($G157=0,IF(CX$11=$H157,"◆",""),IF(AND(CX$11&gt;=$H157,CX$11&lt;=$I157),1,"")))</f>
        <v/>
      </c>
      <c r="CY157" s="448" t="str">
        <f aca="false">IF(FC_SUPUESTOS!$C$12=0,"",IF($G157=0,IF(CY$11=$H157,"◆",""),IF(AND(CY$11&gt;=$H157,CY$11&lt;=$I157),1,"")))</f>
        <v/>
      </c>
      <c r="CZ157" s="448" t="str">
        <f aca="false">IF(FC_SUPUESTOS!$C$12=0,"",IF($G157=0,IF(CZ$11=$H157,"◆",""),IF(AND(CZ$11&gt;=$H157,CZ$11&lt;=$I157),1,"")))</f>
        <v/>
      </c>
      <c r="DA157" s="448" t="str">
        <f aca="false">IF(FC_SUPUESTOS!$C$12=0,"",IF($G157=0,IF(DA$11=$H157,"◆",""),IF(AND(DA$11&gt;=$H157,DA$11&lt;=$I157),1,"")))</f>
        <v/>
      </c>
      <c r="DB157" s="448" t="str">
        <f aca="false">IF(FC_SUPUESTOS!$C$12=0,"",IF($G157=0,IF(DB$11=$H157,"◆",""),IF(AND(DB$11&gt;=$H157,DB$11&lt;=$I157),1,"")))</f>
        <v/>
      </c>
      <c r="DC157" s="448" t="str">
        <f aca="false">IF(FC_SUPUESTOS!$C$12=0,"",IF($G157=0,IF(DC$11=$H157,"◆",""),IF(AND(DC$11&gt;=$H157,DC$11&lt;=$I157),1,"")))</f>
        <v/>
      </c>
      <c r="DD157" s="448" t="str">
        <f aca="false">IF(FC_SUPUESTOS!$C$12=0,"",IF($G157=0,IF(DD$11=$H157,"◆",""),IF(AND(DD$11&gt;=$H157,DD$11&lt;=$I157),1,"")))</f>
        <v/>
      </c>
      <c r="DE157" s="448" t="str">
        <f aca="false">IF(FC_SUPUESTOS!$C$12=0,"",IF($G157=0,IF(DE$11=$H157,"◆",""),IF(AND(DE$11&gt;=$H157,DE$11&lt;=$I157),1,"")))</f>
        <v/>
      </c>
      <c r="DF157" s="448" t="str">
        <f aca="false">IF(FC_SUPUESTOS!$C$12=0,"",IF($G157=0,IF(DF$11=$H157,"◆",""),IF(AND(DF$11&gt;=$H157,DF$11&lt;=$I157),1,"")))</f>
        <v/>
      </c>
      <c r="DG157" s="448" t="str">
        <f aca="false">IF(FC_SUPUESTOS!$C$12=0,"",IF($G157=0,IF(DG$11=$H157,"◆",""),IF(AND(DG$11&gt;=$H157,DG$11&lt;=$I157),1,"")))</f>
        <v/>
      </c>
      <c r="DH157" s="448" t="str">
        <f aca="false">IF(FC_SUPUESTOS!$C$12=0,"",IF($G157=0,IF(DH$11=$H157,"◆",""),IF(AND(DH$11&gt;=$H157,DH$11&lt;=$I157),1,"")))</f>
        <v/>
      </c>
      <c r="DI157" s="448" t="str">
        <f aca="false">IF(FC_SUPUESTOS!$C$12=0,"",IF($G157=0,IF(DI$11=$H157,"◆",""),IF(AND(DI$11&gt;=$H157,DI$11&lt;=$I157),1,"")))</f>
        <v/>
      </c>
      <c r="DJ157" s="448" t="str">
        <f aca="false">IF(FC_SUPUESTOS!$C$12=0,"",IF($G157=0,IF(DJ$11=$H157,"◆",""),IF(AND(DJ$11&gt;=$H157,DJ$11&lt;=$I157),1,"")))</f>
        <v/>
      </c>
      <c r="DK157" s="448" t="str">
        <f aca="false">IF(FC_SUPUESTOS!$C$12=0,"",IF($G157=0,IF(DK$11=$H157,"◆",""),IF(AND(DK$11&gt;=$H157,DK$11&lt;=$I157),1,"")))</f>
        <v/>
      </c>
      <c r="DL157" s="448" t="str">
        <f aca="false">IF(FC_SUPUESTOS!$C$12=0,"",IF($G157=0,IF(DL$11=$H157,"◆",""),IF(AND(DL$11&gt;=$H157,DL$11&lt;=$I157),1,"")))</f>
        <v/>
      </c>
      <c r="DM157" s="448" t="str">
        <f aca="false">IF(FC_SUPUESTOS!$C$12=0,"",IF($G157=0,IF(DM$11=$H157,"◆",""),IF(AND(DM$11&gt;=$H157,DM$11&lt;=$I157),1,"")))</f>
        <v/>
      </c>
      <c r="DN157" s="448" t="str">
        <f aca="false">IF(FC_SUPUESTOS!$C$12=0,"",IF($G157=0,IF(DN$11=$H157,"◆",""),IF(AND(DN$11&gt;=$H157,DN$11&lt;=$I157),1,"")))</f>
        <v/>
      </c>
      <c r="DO157" s="448" t="str">
        <f aca="false">IF(FC_SUPUESTOS!$C$12=0,"",IF($G157=0,IF(DO$11=$H157,"◆",""),IF(AND(DO$11&gt;=$H157,DO$11&lt;=$I157),1,"")))</f>
        <v/>
      </c>
      <c r="DP157" s="448" t="str">
        <f aca="false">IF(FC_SUPUESTOS!$C$12=0,"",IF($G157=0,IF(DP$11=$H157,"◆",""),IF(AND(DP$11&gt;=$H157,DP$11&lt;=$I157),1,"")))</f>
        <v/>
      </c>
      <c r="DQ157" s="448" t="str">
        <f aca="false">IF(FC_SUPUESTOS!$C$12=0,"",IF($G157=0,IF(DQ$11=$H157,"◆",""),IF(AND(DQ$11&gt;=$H157,DQ$11&lt;=$I157),1,"")))</f>
        <v/>
      </c>
      <c r="DR157" s="448" t="str">
        <f aca="false">IF(FC_SUPUESTOS!$C$12=0,"",IF($G157=0,IF(DR$11=$H157,"◆",""),IF(AND(DR$11&gt;=$H157,DR$11&lt;=$I157),1,"")))</f>
        <v/>
      </c>
      <c r="DS157" s="448" t="str">
        <f aca="false">IF(FC_SUPUESTOS!$C$12=0,"",IF($G157=0,IF(DS$11=$H157,"◆",""),IF(AND(DS$11&gt;=$H157,DS$11&lt;=$I157),1,"")))</f>
        <v/>
      </c>
      <c r="DT157" s="448" t="str">
        <f aca="false">IF(FC_SUPUESTOS!$C$12=0,"",IF($G157=0,IF(DT$11=$H157,"◆",""),IF(AND(DT$11&gt;=$H157,DT$11&lt;=$I157),1,"")))</f>
        <v/>
      </c>
      <c r="DU157" s="448" t="str">
        <f aca="false">IF(FC_SUPUESTOS!$C$12=0,"",IF($G157=0,IF(DU$11=$H157,"◆",""),IF(AND(DU$11&gt;=$H157,DU$11&lt;=$I157),1,"")))</f>
        <v/>
      </c>
      <c r="DV157" s="448" t="str">
        <f aca="false">IF(FC_SUPUESTOS!$C$12=0,"",IF($G157=0,IF(DV$11=$H157,"◆",""),IF(AND(DV$11&gt;=$H157,DV$11&lt;=$I157),1,"")))</f>
        <v/>
      </c>
      <c r="DW157" s="448" t="str">
        <f aca="false">IF(FC_SUPUESTOS!$C$12=0,"",IF($G157=0,IF(DW$11=$H157,"◆",""),IF(AND(DW$11&gt;=$H157,DW$11&lt;=$I157),1,"")))</f>
        <v/>
      </c>
      <c r="DX157" s="448" t="str">
        <f aca="false">IF(FC_SUPUESTOS!$C$12=0,"",IF($G157=0,IF(DX$11=$H157,"◆",""),IF(AND(DX$11&gt;=$H157,DX$11&lt;=$I157),1,"")))</f>
        <v/>
      </c>
      <c r="DY157" s="448" t="str">
        <f aca="false">IF(FC_SUPUESTOS!$C$12=0,"",IF($G157=0,IF(DY$11=$H157,"◆",""),IF(AND(DY$11&gt;=$H157,DY$11&lt;=$I157),1,"")))</f>
        <v/>
      </c>
      <c r="DZ157" s="448" t="str">
        <f aca="false">IF(FC_SUPUESTOS!$C$12=0,"",IF($G157=0,IF(DZ$11=$H157,"◆",""),IF(AND(DZ$11&gt;=$H157,DZ$11&lt;=$I157),1,"")))</f>
        <v/>
      </c>
      <c r="EA157" s="448" t="str">
        <f aca="false">IF(FC_SUPUESTOS!$C$12=0,"",IF($G157=0,IF(EA$11=$H157,"◆",""),IF(AND(EA$11&gt;=$H157,EA$11&lt;=$I157),1,"")))</f>
        <v/>
      </c>
      <c r="EB157" s="448" t="str">
        <f aca="false">IF(FC_SUPUESTOS!$C$12=0,"",IF($G157=0,IF(EB$11=$H157,"◆",""),IF(AND(EB$11&gt;=$H157,EB$11&lt;=$I157),1,"")))</f>
        <v/>
      </c>
      <c r="EC157" s="448" t="str">
        <f aca="false">IF(FC_SUPUESTOS!$C$12=0,"",IF($G157=0,IF(EC$11=$H157,"◆",""),IF(AND(EC$11&gt;=$H157,EC$11&lt;=$I157),1,"")))</f>
        <v/>
      </c>
      <c r="ED157" s="448" t="str">
        <f aca="false">IF(FC_SUPUESTOS!$C$12=0,"",IF($G157=0,IF(ED$11=$H157,"◆",""),IF(AND(ED$11&gt;=$H157,ED$11&lt;=$I157),1,"")))</f>
        <v/>
      </c>
    </row>
    <row r="158" customFormat="false" ht="15" hidden="false" customHeight="true" outlineLevel="0" collapsed="false">
      <c r="A158" s="441" t="s">
        <v>2772</v>
      </c>
      <c r="B158" s="297" t="s">
        <v>2773</v>
      </c>
      <c r="C158" s="442" t="s">
        <v>2646</v>
      </c>
      <c r="D158" s="443" t="s">
        <v>2771</v>
      </c>
      <c r="E158" s="354" t="n">
        <f aca="false">FC_SUPUESTOS!$C$13-FC_SUPUESTOS!$C$31</f>
        <v>14</v>
      </c>
      <c r="F158" s="352" t="n">
        <v>-6</v>
      </c>
      <c r="G158" s="352" t="n">
        <v>8</v>
      </c>
      <c r="H158" s="367" t="n">
        <f aca="false">MAX(1,ROUND(($E158-1)*$D$5,0)+1+$F158)</f>
        <v>51</v>
      </c>
      <c r="I158" s="367" t="n">
        <f aca="false">MAX($H158,$H158+$G158-1)</f>
        <v>58</v>
      </c>
      <c r="J158" s="444" t="str">
        <f aca="false">IF(FC_SUPUESTOS!$C$12=0,"—",$D$4+($H158-1)*7)</f>
        <v>—</v>
      </c>
      <c r="K158" s="444" t="str">
        <f aca="false">IF(FC_SUPUESTOS!$C$12=0,"—",$D$4+$I158*7-1)</f>
        <v>—</v>
      </c>
      <c r="L158" s="445" t="str">
        <f aca="false">IF(FC_SUPUESTOS!$C$12=0,"—",ROUNDUP($H158/$D$5,0))</f>
        <v>—</v>
      </c>
      <c r="M158" s="446"/>
      <c r="N158" s="447" t="n">
        <v>0</v>
      </c>
      <c r="O158" s="448" t="str">
        <f aca="false">IF(FC_SUPUESTOS!$C$12=0,"",IF($G158=0,IF(O$11=$H158,"◆",""),IF(AND(O$11&gt;=$H158,O$11&lt;=$I158),1,"")))</f>
        <v/>
      </c>
      <c r="P158" s="448" t="str">
        <f aca="false">IF(FC_SUPUESTOS!$C$12=0,"",IF($G158=0,IF(P$11=$H158,"◆",""),IF(AND(P$11&gt;=$H158,P$11&lt;=$I158),1,"")))</f>
        <v/>
      </c>
      <c r="Q158" s="448" t="str">
        <f aca="false">IF(FC_SUPUESTOS!$C$12=0,"",IF($G158=0,IF(Q$11=$H158,"◆",""),IF(AND(Q$11&gt;=$H158,Q$11&lt;=$I158),1,"")))</f>
        <v/>
      </c>
      <c r="R158" s="448" t="str">
        <f aca="false">IF(FC_SUPUESTOS!$C$12=0,"",IF($G158=0,IF(R$11=$H158,"◆",""),IF(AND(R$11&gt;=$H158,R$11&lt;=$I158),1,"")))</f>
        <v/>
      </c>
      <c r="S158" s="448" t="str">
        <f aca="false">IF(FC_SUPUESTOS!$C$12=0,"",IF($G158=0,IF(S$11=$H158,"◆",""),IF(AND(S$11&gt;=$H158,S$11&lt;=$I158),1,"")))</f>
        <v/>
      </c>
      <c r="T158" s="448" t="str">
        <f aca="false">IF(FC_SUPUESTOS!$C$12=0,"",IF($G158=0,IF(T$11=$H158,"◆",""),IF(AND(T$11&gt;=$H158,T$11&lt;=$I158),1,"")))</f>
        <v/>
      </c>
      <c r="U158" s="448" t="str">
        <f aca="false">IF(FC_SUPUESTOS!$C$12=0,"",IF($G158=0,IF(U$11=$H158,"◆",""),IF(AND(U$11&gt;=$H158,U$11&lt;=$I158),1,"")))</f>
        <v/>
      </c>
      <c r="V158" s="448" t="str">
        <f aca="false">IF(FC_SUPUESTOS!$C$12=0,"",IF($G158=0,IF(V$11=$H158,"◆",""),IF(AND(V$11&gt;=$H158,V$11&lt;=$I158),1,"")))</f>
        <v/>
      </c>
      <c r="W158" s="448" t="str">
        <f aca="false">IF(FC_SUPUESTOS!$C$12=0,"",IF($G158=0,IF(W$11=$H158,"◆",""),IF(AND(W$11&gt;=$H158,W$11&lt;=$I158),1,"")))</f>
        <v/>
      </c>
      <c r="X158" s="448" t="str">
        <f aca="false">IF(FC_SUPUESTOS!$C$12=0,"",IF($G158=0,IF(X$11=$H158,"◆",""),IF(AND(X$11&gt;=$H158,X$11&lt;=$I158),1,"")))</f>
        <v/>
      </c>
      <c r="Y158" s="448" t="str">
        <f aca="false">IF(FC_SUPUESTOS!$C$12=0,"",IF($G158=0,IF(Y$11=$H158,"◆",""),IF(AND(Y$11&gt;=$H158,Y$11&lt;=$I158),1,"")))</f>
        <v/>
      </c>
      <c r="Z158" s="448" t="str">
        <f aca="false">IF(FC_SUPUESTOS!$C$12=0,"",IF($G158=0,IF(Z$11=$H158,"◆",""),IF(AND(Z$11&gt;=$H158,Z$11&lt;=$I158),1,"")))</f>
        <v/>
      </c>
      <c r="AA158" s="448" t="str">
        <f aca="false">IF(FC_SUPUESTOS!$C$12=0,"",IF($G158=0,IF(AA$11=$H158,"◆",""),IF(AND(AA$11&gt;=$H158,AA$11&lt;=$I158),1,"")))</f>
        <v/>
      </c>
      <c r="AB158" s="448" t="str">
        <f aca="false">IF(FC_SUPUESTOS!$C$12=0,"",IF($G158=0,IF(AB$11=$H158,"◆",""),IF(AND(AB$11&gt;=$H158,AB$11&lt;=$I158),1,"")))</f>
        <v/>
      </c>
      <c r="AC158" s="448" t="str">
        <f aca="false">IF(FC_SUPUESTOS!$C$12=0,"",IF($G158=0,IF(AC$11=$H158,"◆",""),IF(AND(AC$11&gt;=$H158,AC$11&lt;=$I158),1,"")))</f>
        <v/>
      </c>
      <c r="AD158" s="448" t="str">
        <f aca="false">IF(FC_SUPUESTOS!$C$12=0,"",IF($G158=0,IF(AD$11=$H158,"◆",""),IF(AND(AD$11&gt;=$H158,AD$11&lt;=$I158),1,"")))</f>
        <v/>
      </c>
      <c r="AE158" s="448" t="str">
        <f aca="false">IF(FC_SUPUESTOS!$C$12=0,"",IF($G158=0,IF(AE$11=$H158,"◆",""),IF(AND(AE$11&gt;=$H158,AE$11&lt;=$I158),1,"")))</f>
        <v/>
      </c>
      <c r="AF158" s="448" t="str">
        <f aca="false">IF(FC_SUPUESTOS!$C$12=0,"",IF($G158=0,IF(AF$11=$H158,"◆",""),IF(AND(AF$11&gt;=$H158,AF$11&lt;=$I158),1,"")))</f>
        <v/>
      </c>
      <c r="AG158" s="448" t="str">
        <f aca="false">IF(FC_SUPUESTOS!$C$12=0,"",IF($G158=0,IF(AG$11=$H158,"◆",""),IF(AND(AG$11&gt;=$H158,AG$11&lt;=$I158),1,"")))</f>
        <v/>
      </c>
      <c r="AH158" s="448" t="str">
        <f aca="false">IF(FC_SUPUESTOS!$C$12=0,"",IF($G158=0,IF(AH$11=$H158,"◆",""),IF(AND(AH$11&gt;=$H158,AH$11&lt;=$I158),1,"")))</f>
        <v/>
      </c>
      <c r="AI158" s="448" t="str">
        <f aca="false">IF(FC_SUPUESTOS!$C$12=0,"",IF($G158=0,IF(AI$11=$H158,"◆",""),IF(AND(AI$11&gt;=$H158,AI$11&lt;=$I158),1,"")))</f>
        <v/>
      </c>
      <c r="AJ158" s="448" t="str">
        <f aca="false">IF(FC_SUPUESTOS!$C$12=0,"",IF($G158=0,IF(AJ$11=$H158,"◆",""),IF(AND(AJ$11&gt;=$H158,AJ$11&lt;=$I158),1,"")))</f>
        <v/>
      </c>
      <c r="AK158" s="448" t="str">
        <f aca="false">IF(FC_SUPUESTOS!$C$12=0,"",IF($G158=0,IF(AK$11=$H158,"◆",""),IF(AND(AK$11&gt;=$H158,AK$11&lt;=$I158),1,"")))</f>
        <v/>
      </c>
      <c r="AL158" s="448" t="str">
        <f aca="false">IF(FC_SUPUESTOS!$C$12=0,"",IF($G158=0,IF(AL$11=$H158,"◆",""),IF(AND(AL$11&gt;=$H158,AL$11&lt;=$I158),1,"")))</f>
        <v/>
      </c>
      <c r="AM158" s="448" t="str">
        <f aca="false">IF(FC_SUPUESTOS!$C$12=0,"",IF($G158=0,IF(AM$11=$H158,"◆",""),IF(AND(AM$11&gt;=$H158,AM$11&lt;=$I158),1,"")))</f>
        <v/>
      </c>
      <c r="AN158" s="448" t="str">
        <f aca="false">IF(FC_SUPUESTOS!$C$12=0,"",IF($G158=0,IF(AN$11=$H158,"◆",""),IF(AND(AN$11&gt;=$H158,AN$11&lt;=$I158),1,"")))</f>
        <v/>
      </c>
      <c r="AO158" s="448" t="str">
        <f aca="false">IF(FC_SUPUESTOS!$C$12=0,"",IF($G158=0,IF(AO$11=$H158,"◆",""),IF(AND(AO$11&gt;=$H158,AO$11&lt;=$I158),1,"")))</f>
        <v/>
      </c>
      <c r="AP158" s="448" t="str">
        <f aca="false">IF(FC_SUPUESTOS!$C$12=0,"",IF($G158=0,IF(AP$11=$H158,"◆",""),IF(AND(AP$11&gt;=$H158,AP$11&lt;=$I158),1,"")))</f>
        <v/>
      </c>
      <c r="AQ158" s="448" t="str">
        <f aca="false">IF(FC_SUPUESTOS!$C$12=0,"",IF($G158=0,IF(AQ$11=$H158,"◆",""),IF(AND(AQ$11&gt;=$H158,AQ$11&lt;=$I158),1,"")))</f>
        <v/>
      </c>
      <c r="AR158" s="448" t="str">
        <f aca="false">IF(FC_SUPUESTOS!$C$12=0,"",IF($G158=0,IF(AR$11=$H158,"◆",""),IF(AND(AR$11&gt;=$H158,AR$11&lt;=$I158),1,"")))</f>
        <v/>
      </c>
      <c r="AS158" s="448" t="str">
        <f aca="false">IF(FC_SUPUESTOS!$C$12=0,"",IF($G158=0,IF(AS$11=$H158,"◆",""),IF(AND(AS$11&gt;=$H158,AS$11&lt;=$I158),1,"")))</f>
        <v/>
      </c>
      <c r="AT158" s="448" t="str">
        <f aca="false">IF(FC_SUPUESTOS!$C$12=0,"",IF($G158=0,IF(AT$11=$H158,"◆",""),IF(AND(AT$11&gt;=$H158,AT$11&lt;=$I158),1,"")))</f>
        <v/>
      </c>
      <c r="AU158" s="448" t="str">
        <f aca="false">IF(FC_SUPUESTOS!$C$12=0,"",IF($G158=0,IF(AU$11=$H158,"◆",""),IF(AND(AU$11&gt;=$H158,AU$11&lt;=$I158),1,"")))</f>
        <v/>
      </c>
      <c r="AV158" s="448" t="str">
        <f aca="false">IF(FC_SUPUESTOS!$C$12=0,"",IF($G158=0,IF(AV$11=$H158,"◆",""),IF(AND(AV$11&gt;=$H158,AV$11&lt;=$I158),1,"")))</f>
        <v/>
      </c>
      <c r="AW158" s="448" t="str">
        <f aca="false">IF(FC_SUPUESTOS!$C$12=0,"",IF($G158=0,IF(AW$11=$H158,"◆",""),IF(AND(AW$11&gt;=$H158,AW$11&lt;=$I158),1,"")))</f>
        <v/>
      </c>
      <c r="AX158" s="448" t="str">
        <f aca="false">IF(FC_SUPUESTOS!$C$12=0,"",IF($G158=0,IF(AX$11=$H158,"◆",""),IF(AND(AX$11&gt;=$H158,AX$11&lt;=$I158),1,"")))</f>
        <v/>
      </c>
      <c r="AY158" s="448" t="str">
        <f aca="false">IF(FC_SUPUESTOS!$C$12=0,"",IF($G158=0,IF(AY$11=$H158,"◆",""),IF(AND(AY$11&gt;=$H158,AY$11&lt;=$I158),1,"")))</f>
        <v/>
      </c>
      <c r="AZ158" s="448" t="str">
        <f aca="false">IF(FC_SUPUESTOS!$C$12=0,"",IF($G158=0,IF(AZ$11=$H158,"◆",""),IF(AND(AZ$11&gt;=$H158,AZ$11&lt;=$I158),1,"")))</f>
        <v/>
      </c>
      <c r="BA158" s="448" t="str">
        <f aca="false">IF(FC_SUPUESTOS!$C$12=0,"",IF($G158=0,IF(BA$11=$H158,"◆",""),IF(AND(BA$11&gt;=$H158,BA$11&lt;=$I158),1,"")))</f>
        <v/>
      </c>
      <c r="BB158" s="448" t="str">
        <f aca="false">IF(FC_SUPUESTOS!$C$12=0,"",IF($G158=0,IF(BB$11=$H158,"◆",""),IF(AND(BB$11&gt;=$H158,BB$11&lt;=$I158),1,"")))</f>
        <v/>
      </c>
      <c r="BC158" s="448" t="str">
        <f aca="false">IF(FC_SUPUESTOS!$C$12=0,"",IF($G158=0,IF(BC$11=$H158,"◆",""),IF(AND(BC$11&gt;=$H158,BC$11&lt;=$I158),1,"")))</f>
        <v/>
      </c>
      <c r="BD158" s="448" t="str">
        <f aca="false">IF(FC_SUPUESTOS!$C$12=0,"",IF($G158=0,IF(BD$11=$H158,"◆",""),IF(AND(BD$11&gt;=$H158,BD$11&lt;=$I158),1,"")))</f>
        <v/>
      </c>
      <c r="BE158" s="448" t="str">
        <f aca="false">IF(FC_SUPUESTOS!$C$12=0,"",IF($G158=0,IF(BE$11=$H158,"◆",""),IF(AND(BE$11&gt;=$H158,BE$11&lt;=$I158),1,"")))</f>
        <v/>
      </c>
      <c r="BF158" s="448" t="str">
        <f aca="false">IF(FC_SUPUESTOS!$C$12=0,"",IF($G158=0,IF(BF$11=$H158,"◆",""),IF(AND(BF$11&gt;=$H158,BF$11&lt;=$I158),1,"")))</f>
        <v/>
      </c>
      <c r="BG158" s="448" t="str">
        <f aca="false">IF(FC_SUPUESTOS!$C$12=0,"",IF($G158=0,IF(BG$11=$H158,"◆",""),IF(AND(BG$11&gt;=$H158,BG$11&lt;=$I158),1,"")))</f>
        <v/>
      </c>
      <c r="BH158" s="448" t="str">
        <f aca="false">IF(FC_SUPUESTOS!$C$12=0,"",IF($G158=0,IF(BH$11=$H158,"◆",""),IF(AND(BH$11&gt;=$H158,BH$11&lt;=$I158),1,"")))</f>
        <v/>
      </c>
      <c r="BI158" s="448" t="str">
        <f aca="false">IF(FC_SUPUESTOS!$C$12=0,"",IF($G158=0,IF(BI$11=$H158,"◆",""),IF(AND(BI$11&gt;=$H158,BI$11&lt;=$I158),1,"")))</f>
        <v/>
      </c>
      <c r="BJ158" s="448" t="str">
        <f aca="false">IF(FC_SUPUESTOS!$C$12=0,"",IF($G158=0,IF(BJ$11=$H158,"◆",""),IF(AND(BJ$11&gt;=$H158,BJ$11&lt;=$I158),1,"")))</f>
        <v/>
      </c>
      <c r="BK158" s="448" t="str">
        <f aca="false">IF(FC_SUPUESTOS!$C$12=0,"",IF($G158=0,IF(BK$11=$H158,"◆",""),IF(AND(BK$11&gt;=$H158,BK$11&lt;=$I158),1,"")))</f>
        <v/>
      </c>
      <c r="BL158" s="448" t="str">
        <f aca="false">IF(FC_SUPUESTOS!$C$12=0,"",IF($G158=0,IF(BL$11=$H158,"◆",""),IF(AND(BL$11&gt;=$H158,BL$11&lt;=$I158),1,"")))</f>
        <v/>
      </c>
      <c r="BM158" s="448" t="str">
        <f aca="false">IF(FC_SUPUESTOS!$C$12=0,"",IF($G158=0,IF(BM$11=$H158,"◆",""),IF(AND(BM$11&gt;=$H158,BM$11&lt;=$I158),1,"")))</f>
        <v/>
      </c>
      <c r="BN158" s="448" t="str">
        <f aca="false">IF(FC_SUPUESTOS!$C$12=0,"",IF($G158=0,IF(BN$11=$H158,"◆",""),IF(AND(BN$11&gt;=$H158,BN$11&lt;=$I158),1,"")))</f>
        <v/>
      </c>
      <c r="BO158" s="448" t="str">
        <f aca="false">IF(FC_SUPUESTOS!$C$12=0,"",IF($G158=0,IF(BO$11=$H158,"◆",""),IF(AND(BO$11&gt;=$H158,BO$11&lt;=$I158),1,"")))</f>
        <v/>
      </c>
      <c r="BP158" s="448" t="str">
        <f aca="false">IF(FC_SUPUESTOS!$C$12=0,"",IF($G158=0,IF(BP$11=$H158,"◆",""),IF(AND(BP$11&gt;=$H158,BP$11&lt;=$I158),1,"")))</f>
        <v/>
      </c>
      <c r="BQ158" s="448" t="str">
        <f aca="false">IF(FC_SUPUESTOS!$C$12=0,"",IF($G158=0,IF(BQ$11=$H158,"◆",""),IF(AND(BQ$11&gt;=$H158,BQ$11&lt;=$I158),1,"")))</f>
        <v/>
      </c>
      <c r="BR158" s="448" t="str">
        <f aca="false">IF(FC_SUPUESTOS!$C$12=0,"",IF($G158=0,IF(BR$11=$H158,"◆",""),IF(AND(BR$11&gt;=$H158,BR$11&lt;=$I158),1,"")))</f>
        <v/>
      </c>
      <c r="BS158" s="448" t="str">
        <f aca="false">IF(FC_SUPUESTOS!$C$12=0,"",IF($G158=0,IF(BS$11=$H158,"◆",""),IF(AND(BS$11&gt;=$H158,BS$11&lt;=$I158),1,"")))</f>
        <v/>
      </c>
      <c r="BT158" s="448" t="str">
        <f aca="false">IF(FC_SUPUESTOS!$C$12=0,"",IF($G158=0,IF(BT$11=$H158,"◆",""),IF(AND(BT$11&gt;=$H158,BT$11&lt;=$I158),1,"")))</f>
        <v/>
      </c>
      <c r="BU158" s="448" t="str">
        <f aca="false">IF(FC_SUPUESTOS!$C$12=0,"",IF($G158=0,IF(BU$11=$H158,"◆",""),IF(AND(BU$11&gt;=$H158,BU$11&lt;=$I158),1,"")))</f>
        <v/>
      </c>
      <c r="BV158" s="448" t="str">
        <f aca="false">IF(FC_SUPUESTOS!$C$12=0,"",IF($G158=0,IF(BV$11=$H158,"◆",""),IF(AND(BV$11&gt;=$H158,BV$11&lt;=$I158),1,"")))</f>
        <v/>
      </c>
      <c r="BW158" s="448" t="str">
        <f aca="false">IF(FC_SUPUESTOS!$C$12=0,"",IF($G158=0,IF(BW$11=$H158,"◆",""),IF(AND(BW$11&gt;=$H158,BW$11&lt;=$I158),1,"")))</f>
        <v/>
      </c>
      <c r="BX158" s="448" t="str">
        <f aca="false">IF(FC_SUPUESTOS!$C$12=0,"",IF($G158=0,IF(BX$11=$H158,"◆",""),IF(AND(BX$11&gt;=$H158,BX$11&lt;=$I158),1,"")))</f>
        <v/>
      </c>
      <c r="BY158" s="448" t="str">
        <f aca="false">IF(FC_SUPUESTOS!$C$12=0,"",IF($G158=0,IF(BY$11=$H158,"◆",""),IF(AND(BY$11&gt;=$H158,BY$11&lt;=$I158),1,"")))</f>
        <v/>
      </c>
      <c r="BZ158" s="448" t="str">
        <f aca="false">IF(FC_SUPUESTOS!$C$12=0,"",IF($G158=0,IF(BZ$11=$H158,"◆",""),IF(AND(BZ$11&gt;=$H158,BZ$11&lt;=$I158),1,"")))</f>
        <v/>
      </c>
      <c r="CA158" s="448" t="str">
        <f aca="false">IF(FC_SUPUESTOS!$C$12=0,"",IF($G158=0,IF(CA$11=$H158,"◆",""),IF(AND(CA$11&gt;=$H158,CA$11&lt;=$I158),1,"")))</f>
        <v/>
      </c>
      <c r="CB158" s="448" t="str">
        <f aca="false">IF(FC_SUPUESTOS!$C$12=0,"",IF($G158=0,IF(CB$11=$H158,"◆",""),IF(AND(CB$11&gt;=$H158,CB$11&lt;=$I158),1,"")))</f>
        <v/>
      </c>
      <c r="CC158" s="448" t="str">
        <f aca="false">IF(FC_SUPUESTOS!$C$12=0,"",IF($G158=0,IF(CC$11=$H158,"◆",""),IF(AND(CC$11&gt;=$H158,CC$11&lt;=$I158),1,"")))</f>
        <v/>
      </c>
      <c r="CD158" s="448" t="str">
        <f aca="false">IF(FC_SUPUESTOS!$C$12=0,"",IF($G158=0,IF(CD$11=$H158,"◆",""),IF(AND(CD$11&gt;=$H158,CD$11&lt;=$I158),1,"")))</f>
        <v/>
      </c>
      <c r="CE158" s="448" t="str">
        <f aca="false">IF(FC_SUPUESTOS!$C$12=0,"",IF($G158=0,IF(CE$11=$H158,"◆",""),IF(AND(CE$11&gt;=$H158,CE$11&lt;=$I158),1,"")))</f>
        <v/>
      </c>
      <c r="CF158" s="448" t="str">
        <f aca="false">IF(FC_SUPUESTOS!$C$12=0,"",IF($G158=0,IF(CF$11=$H158,"◆",""),IF(AND(CF$11&gt;=$H158,CF$11&lt;=$I158),1,"")))</f>
        <v/>
      </c>
      <c r="CG158" s="448" t="str">
        <f aca="false">IF(FC_SUPUESTOS!$C$12=0,"",IF($G158=0,IF(CG$11=$H158,"◆",""),IF(AND(CG$11&gt;=$H158,CG$11&lt;=$I158),1,"")))</f>
        <v/>
      </c>
      <c r="CH158" s="448" t="str">
        <f aca="false">IF(FC_SUPUESTOS!$C$12=0,"",IF($G158=0,IF(CH$11=$H158,"◆",""),IF(AND(CH$11&gt;=$H158,CH$11&lt;=$I158),1,"")))</f>
        <v/>
      </c>
      <c r="CI158" s="448" t="str">
        <f aca="false">IF(FC_SUPUESTOS!$C$12=0,"",IF($G158=0,IF(CI$11=$H158,"◆",""),IF(AND(CI$11&gt;=$H158,CI$11&lt;=$I158),1,"")))</f>
        <v/>
      </c>
      <c r="CJ158" s="448" t="str">
        <f aca="false">IF(FC_SUPUESTOS!$C$12=0,"",IF($G158=0,IF(CJ$11=$H158,"◆",""),IF(AND(CJ$11&gt;=$H158,CJ$11&lt;=$I158),1,"")))</f>
        <v/>
      </c>
      <c r="CK158" s="448" t="str">
        <f aca="false">IF(FC_SUPUESTOS!$C$12=0,"",IF($G158=0,IF(CK$11=$H158,"◆",""),IF(AND(CK$11&gt;=$H158,CK$11&lt;=$I158),1,"")))</f>
        <v/>
      </c>
      <c r="CL158" s="448" t="str">
        <f aca="false">IF(FC_SUPUESTOS!$C$12=0,"",IF($G158=0,IF(CL$11=$H158,"◆",""),IF(AND(CL$11&gt;=$H158,CL$11&lt;=$I158),1,"")))</f>
        <v/>
      </c>
      <c r="CM158" s="448" t="str">
        <f aca="false">IF(FC_SUPUESTOS!$C$12=0,"",IF($G158=0,IF(CM$11=$H158,"◆",""),IF(AND(CM$11&gt;=$H158,CM$11&lt;=$I158),1,"")))</f>
        <v/>
      </c>
      <c r="CN158" s="448" t="str">
        <f aca="false">IF(FC_SUPUESTOS!$C$12=0,"",IF($G158=0,IF(CN$11=$H158,"◆",""),IF(AND(CN$11&gt;=$H158,CN$11&lt;=$I158),1,"")))</f>
        <v/>
      </c>
      <c r="CO158" s="448" t="str">
        <f aca="false">IF(FC_SUPUESTOS!$C$12=0,"",IF($G158=0,IF(CO$11=$H158,"◆",""),IF(AND(CO$11&gt;=$H158,CO$11&lt;=$I158),1,"")))</f>
        <v/>
      </c>
      <c r="CP158" s="448" t="str">
        <f aca="false">IF(FC_SUPUESTOS!$C$12=0,"",IF($G158=0,IF(CP$11=$H158,"◆",""),IF(AND(CP$11&gt;=$H158,CP$11&lt;=$I158),1,"")))</f>
        <v/>
      </c>
      <c r="CQ158" s="448" t="str">
        <f aca="false">IF(FC_SUPUESTOS!$C$12=0,"",IF($G158=0,IF(CQ$11=$H158,"◆",""),IF(AND(CQ$11&gt;=$H158,CQ$11&lt;=$I158),1,"")))</f>
        <v/>
      </c>
      <c r="CR158" s="448" t="str">
        <f aca="false">IF(FC_SUPUESTOS!$C$12=0,"",IF($G158=0,IF(CR$11=$H158,"◆",""),IF(AND(CR$11&gt;=$H158,CR$11&lt;=$I158),1,"")))</f>
        <v/>
      </c>
      <c r="CS158" s="448" t="str">
        <f aca="false">IF(FC_SUPUESTOS!$C$12=0,"",IF($G158=0,IF(CS$11=$H158,"◆",""),IF(AND(CS$11&gt;=$H158,CS$11&lt;=$I158),1,"")))</f>
        <v/>
      </c>
      <c r="CT158" s="448" t="str">
        <f aca="false">IF(FC_SUPUESTOS!$C$12=0,"",IF($G158=0,IF(CT$11=$H158,"◆",""),IF(AND(CT$11&gt;=$H158,CT$11&lt;=$I158),1,"")))</f>
        <v/>
      </c>
      <c r="CU158" s="448" t="str">
        <f aca="false">IF(FC_SUPUESTOS!$C$12=0,"",IF($G158=0,IF(CU$11=$H158,"◆",""),IF(AND(CU$11&gt;=$H158,CU$11&lt;=$I158),1,"")))</f>
        <v/>
      </c>
      <c r="CV158" s="448" t="str">
        <f aca="false">IF(FC_SUPUESTOS!$C$12=0,"",IF($G158=0,IF(CV$11=$H158,"◆",""),IF(AND(CV$11&gt;=$H158,CV$11&lt;=$I158),1,"")))</f>
        <v/>
      </c>
      <c r="CW158" s="448" t="str">
        <f aca="false">IF(FC_SUPUESTOS!$C$12=0,"",IF($G158=0,IF(CW$11=$H158,"◆",""),IF(AND(CW$11&gt;=$H158,CW$11&lt;=$I158),1,"")))</f>
        <v/>
      </c>
      <c r="CX158" s="448" t="str">
        <f aca="false">IF(FC_SUPUESTOS!$C$12=0,"",IF($G158=0,IF(CX$11=$H158,"◆",""),IF(AND(CX$11&gt;=$H158,CX$11&lt;=$I158),1,"")))</f>
        <v/>
      </c>
      <c r="CY158" s="448" t="str">
        <f aca="false">IF(FC_SUPUESTOS!$C$12=0,"",IF($G158=0,IF(CY$11=$H158,"◆",""),IF(AND(CY$11&gt;=$H158,CY$11&lt;=$I158),1,"")))</f>
        <v/>
      </c>
      <c r="CZ158" s="448" t="str">
        <f aca="false">IF(FC_SUPUESTOS!$C$12=0,"",IF($G158=0,IF(CZ$11=$H158,"◆",""),IF(AND(CZ$11&gt;=$H158,CZ$11&lt;=$I158),1,"")))</f>
        <v/>
      </c>
      <c r="DA158" s="448" t="str">
        <f aca="false">IF(FC_SUPUESTOS!$C$12=0,"",IF($G158=0,IF(DA$11=$H158,"◆",""),IF(AND(DA$11&gt;=$H158,DA$11&lt;=$I158),1,"")))</f>
        <v/>
      </c>
      <c r="DB158" s="448" t="str">
        <f aca="false">IF(FC_SUPUESTOS!$C$12=0,"",IF($G158=0,IF(DB$11=$H158,"◆",""),IF(AND(DB$11&gt;=$H158,DB$11&lt;=$I158),1,"")))</f>
        <v/>
      </c>
      <c r="DC158" s="448" t="str">
        <f aca="false">IF(FC_SUPUESTOS!$C$12=0,"",IF($G158=0,IF(DC$11=$H158,"◆",""),IF(AND(DC$11&gt;=$H158,DC$11&lt;=$I158),1,"")))</f>
        <v/>
      </c>
      <c r="DD158" s="448" t="str">
        <f aca="false">IF(FC_SUPUESTOS!$C$12=0,"",IF($G158=0,IF(DD$11=$H158,"◆",""),IF(AND(DD$11&gt;=$H158,DD$11&lt;=$I158),1,"")))</f>
        <v/>
      </c>
      <c r="DE158" s="448" t="str">
        <f aca="false">IF(FC_SUPUESTOS!$C$12=0,"",IF($G158=0,IF(DE$11=$H158,"◆",""),IF(AND(DE$11&gt;=$H158,DE$11&lt;=$I158),1,"")))</f>
        <v/>
      </c>
      <c r="DF158" s="448" t="str">
        <f aca="false">IF(FC_SUPUESTOS!$C$12=0,"",IF($G158=0,IF(DF$11=$H158,"◆",""),IF(AND(DF$11&gt;=$H158,DF$11&lt;=$I158),1,"")))</f>
        <v/>
      </c>
      <c r="DG158" s="448" t="str">
        <f aca="false">IF(FC_SUPUESTOS!$C$12=0,"",IF($G158=0,IF(DG$11=$H158,"◆",""),IF(AND(DG$11&gt;=$H158,DG$11&lt;=$I158),1,"")))</f>
        <v/>
      </c>
      <c r="DH158" s="448" t="str">
        <f aca="false">IF(FC_SUPUESTOS!$C$12=0,"",IF($G158=0,IF(DH$11=$H158,"◆",""),IF(AND(DH$11&gt;=$H158,DH$11&lt;=$I158),1,"")))</f>
        <v/>
      </c>
      <c r="DI158" s="448" t="str">
        <f aca="false">IF(FC_SUPUESTOS!$C$12=0,"",IF($G158=0,IF(DI$11=$H158,"◆",""),IF(AND(DI$11&gt;=$H158,DI$11&lt;=$I158),1,"")))</f>
        <v/>
      </c>
      <c r="DJ158" s="448" t="str">
        <f aca="false">IF(FC_SUPUESTOS!$C$12=0,"",IF($G158=0,IF(DJ$11=$H158,"◆",""),IF(AND(DJ$11&gt;=$H158,DJ$11&lt;=$I158),1,"")))</f>
        <v/>
      </c>
      <c r="DK158" s="448" t="str">
        <f aca="false">IF(FC_SUPUESTOS!$C$12=0,"",IF($G158=0,IF(DK$11=$H158,"◆",""),IF(AND(DK$11&gt;=$H158,DK$11&lt;=$I158),1,"")))</f>
        <v/>
      </c>
      <c r="DL158" s="448" t="str">
        <f aca="false">IF(FC_SUPUESTOS!$C$12=0,"",IF($G158=0,IF(DL$11=$H158,"◆",""),IF(AND(DL$11&gt;=$H158,DL$11&lt;=$I158),1,"")))</f>
        <v/>
      </c>
      <c r="DM158" s="448" t="str">
        <f aca="false">IF(FC_SUPUESTOS!$C$12=0,"",IF($G158=0,IF(DM$11=$H158,"◆",""),IF(AND(DM$11&gt;=$H158,DM$11&lt;=$I158),1,"")))</f>
        <v/>
      </c>
      <c r="DN158" s="448" t="str">
        <f aca="false">IF(FC_SUPUESTOS!$C$12=0,"",IF($G158=0,IF(DN$11=$H158,"◆",""),IF(AND(DN$11&gt;=$H158,DN$11&lt;=$I158),1,"")))</f>
        <v/>
      </c>
      <c r="DO158" s="448" t="str">
        <f aca="false">IF(FC_SUPUESTOS!$C$12=0,"",IF($G158=0,IF(DO$11=$H158,"◆",""),IF(AND(DO$11&gt;=$H158,DO$11&lt;=$I158),1,"")))</f>
        <v/>
      </c>
      <c r="DP158" s="448" t="str">
        <f aca="false">IF(FC_SUPUESTOS!$C$12=0,"",IF($G158=0,IF(DP$11=$H158,"◆",""),IF(AND(DP$11&gt;=$H158,DP$11&lt;=$I158),1,"")))</f>
        <v/>
      </c>
      <c r="DQ158" s="448" t="str">
        <f aca="false">IF(FC_SUPUESTOS!$C$12=0,"",IF($G158=0,IF(DQ$11=$H158,"◆",""),IF(AND(DQ$11&gt;=$H158,DQ$11&lt;=$I158),1,"")))</f>
        <v/>
      </c>
      <c r="DR158" s="448" t="str">
        <f aca="false">IF(FC_SUPUESTOS!$C$12=0,"",IF($G158=0,IF(DR$11=$H158,"◆",""),IF(AND(DR$11&gt;=$H158,DR$11&lt;=$I158),1,"")))</f>
        <v/>
      </c>
      <c r="DS158" s="448" t="str">
        <f aca="false">IF(FC_SUPUESTOS!$C$12=0,"",IF($G158=0,IF(DS$11=$H158,"◆",""),IF(AND(DS$11&gt;=$H158,DS$11&lt;=$I158),1,"")))</f>
        <v/>
      </c>
      <c r="DT158" s="448" t="str">
        <f aca="false">IF(FC_SUPUESTOS!$C$12=0,"",IF($G158=0,IF(DT$11=$H158,"◆",""),IF(AND(DT$11&gt;=$H158,DT$11&lt;=$I158),1,"")))</f>
        <v/>
      </c>
      <c r="DU158" s="448" t="str">
        <f aca="false">IF(FC_SUPUESTOS!$C$12=0,"",IF($G158=0,IF(DU$11=$H158,"◆",""),IF(AND(DU$11&gt;=$H158,DU$11&lt;=$I158),1,"")))</f>
        <v/>
      </c>
      <c r="DV158" s="448" t="str">
        <f aca="false">IF(FC_SUPUESTOS!$C$12=0,"",IF($G158=0,IF(DV$11=$H158,"◆",""),IF(AND(DV$11&gt;=$H158,DV$11&lt;=$I158),1,"")))</f>
        <v/>
      </c>
      <c r="DW158" s="448" t="str">
        <f aca="false">IF(FC_SUPUESTOS!$C$12=0,"",IF($G158=0,IF(DW$11=$H158,"◆",""),IF(AND(DW$11&gt;=$H158,DW$11&lt;=$I158),1,"")))</f>
        <v/>
      </c>
      <c r="DX158" s="448" t="str">
        <f aca="false">IF(FC_SUPUESTOS!$C$12=0,"",IF($G158=0,IF(DX$11=$H158,"◆",""),IF(AND(DX$11&gt;=$H158,DX$11&lt;=$I158),1,"")))</f>
        <v/>
      </c>
      <c r="DY158" s="448" t="str">
        <f aca="false">IF(FC_SUPUESTOS!$C$12=0,"",IF($G158=0,IF(DY$11=$H158,"◆",""),IF(AND(DY$11&gt;=$H158,DY$11&lt;=$I158),1,"")))</f>
        <v/>
      </c>
      <c r="DZ158" s="448" t="str">
        <f aca="false">IF(FC_SUPUESTOS!$C$12=0,"",IF($G158=0,IF(DZ$11=$H158,"◆",""),IF(AND(DZ$11&gt;=$H158,DZ$11&lt;=$I158),1,"")))</f>
        <v/>
      </c>
      <c r="EA158" s="448" t="str">
        <f aca="false">IF(FC_SUPUESTOS!$C$12=0,"",IF($G158=0,IF(EA$11=$H158,"◆",""),IF(AND(EA$11&gt;=$H158,EA$11&lt;=$I158),1,"")))</f>
        <v/>
      </c>
      <c r="EB158" s="448" t="str">
        <f aca="false">IF(FC_SUPUESTOS!$C$12=0,"",IF($G158=0,IF(EB$11=$H158,"◆",""),IF(AND(EB$11&gt;=$H158,EB$11&lt;=$I158),1,"")))</f>
        <v/>
      </c>
      <c r="EC158" s="448" t="str">
        <f aca="false">IF(FC_SUPUESTOS!$C$12=0,"",IF($G158=0,IF(EC$11=$H158,"◆",""),IF(AND(EC$11&gt;=$H158,EC$11&lt;=$I158),1,"")))</f>
        <v/>
      </c>
      <c r="ED158" s="448" t="str">
        <f aca="false">IF(FC_SUPUESTOS!$C$12=0,"",IF($G158=0,IF(ED$11=$H158,"◆",""),IF(AND(ED$11&gt;=$H158,ED$11&lt;=$I158),1,"")))</f>
        <v/>
      </c>
    </row>
    <row r="159" customFormat="false" ht="15" hidden="false" customHeight="true" outlineLevel="0" collapsed="false">
      <c r="A159" s="441" t="s">
        <v>2774</v>
      </c>
      <c r="B159" s="297" t="s">
        <v>2775</v>
      </c>
      <c r="C159" s="442" t="s">
        <v>2480</v>
      </c>
      <c r="D159" s="443" t="s">
        <v>2771</v>
      </c>
      <c r="E159" s="354" t="n">
        <f aca="false">FC_SUPUESTOS!$C$13-FC_SUPUESTOS!$C$31</f>
        <v>14</v>
      </c>
      <c r="F159" s="352" t="n">
        <v>-4</v>
      </c>
      <c r="G159" s="352" t="n">
        <v>6</v>
      </c>
      <c r="H159" s="367" t="n">
        <f aca="false">MAX(1,ROUND(($E159-1)*$D$5,0)+1+$F159)</f>
        <v>53</v>
      </c>
      <c r="I159" s="367" t="n">
        <f aca="false">MAX($H159,$H159+$G159-1)</f>
        <v>58</v>
      </c>
      <c r="J159" s="444" t="str">
        <f aca="false">IF(FC_SUPUESTOS!$C$12=0,"—",$D$4+($H159-1)*7)</f>
        <v>—</v>
      </c>
      <c r="K159" s="444" t="str">
        <f aca="false">IF(FC_SUPUESTOS!$C$12=0,"—",$D$4+$I159*7-1)</f>
        <v>—</v>
      </c>
      <c r="L159" s="445" t="str">
        <f aca="false">IF(FC_SUPUESTOS!$C$12=0,"—",ROUNDUP($H159/$D$5,0))</f>
        <v>—</v>
      </c>
      <c r="M159" s="446"/>
      <c r="N159" s="447" t="n">
        <v>0</v>
      </c>
      <c r="O159" s="448" t="str">
        <f aca="false">IF(FC_SUPUESTOS!$C$12=0,"",IF($G159=0,IF(O$11=$H159,"◆",""),IF(AND(O$11&gt;=$H159,O$11&lt;=$I159),1,"")))</f>
        <v/>
      </c>
      <c r="P159" s="448" t="str">
        <f aca="false">IF(FC_SUPUESTOS!$C$12=0,"",IF($G159=0,IF(P$11=$H159,"◆",""),IF(AND(P$11&gt;=$H159,P$11&lt;=$I159),1,"")))</f>
        <v/>
      </c>
      <c r="Q159" s="448" t="str">
        <f aca="false">IF(FC_SUPUESTOS!$C$12=0,"",IF($G159=0,IF(Q$11=$H159,"◆",""),IF(AND(Q$11&gt;=$H159,Q$11&lt;=$I159),1,"")))</f>
        <v/>
      </c>
      <c r="R159" s="448" t="str">
        <f aca="false">IF(FC_SUPUESTOS!$C$12=0,"",IF($G159=0,IF(R$11=$H159,"◆",""),IF(AND(R$11&gt;=$H159,R$11&lt;=$I159),1,"")))</f>
        <v/>
      </c>
      <c r="S159" s="448" t="str">
        <f aca="false">IF(FC_SUPUESTOS!$C$12=0,"",IF($G159=0,IF(S$11=$H159,"◆",""),IF(AND(S$11&gt;=$H159,S$11&lt;=$I159),1,"")))</f>
        <v/>
      </c>
      <c r="T159" s="448" t="str">
        <f aca="false">IF(FC_SUPUESTOS!$C$12=0,"",IF($G159=0,IF(T$11=$H159,"◆",""),IF(AND(T$11&gt;=$H159,T$11&lt;=$I159),1,"")))</f>
        <v/>
      </c>
      <c r="U159" s="448" t="str">
        <f aca="false">IF(FC_SUPUESTOS!$C$12=0,"",IF($G159=0,IF(U$11=$H159,"◆",""),IF(AND(U$11&gt;=$H159,U$11&lt;=$I159),1,"")))</f>
        <v/>
      </c>
      <c r="V159" s="448" t="str">
        <f aca="false">IF(FC_SUPUESTOS!$C$12=0,"",IF($G159=0,IF(V$11=$H159,"◆",""),IF(AND(V$11&gt;=$H159,V$11&lt;=$I159),1,"")))</f>
        <v/>
      </c>
      <c r="W159" s="448" t="str">
        <f aca="false">IF(FC_SUPUESTOS!$C$12=0,"",IF($G159=0,IF(W$11=$H159,"◆",""),IF(AND(W$11&gt;=$H159,W$11&lt;=$I159),1,"")))</f>
        <v/>
      </c>
      <c r="X159" s="448" t="str">
        <f aca="false">IF(FC_SUPUESTOS!$C$12=0,"",IF($G159=0,IF(X$11=$H159,"◆",""),IF(AND(X$11&gt;=$H159,X$11&lt;=$I159),1,"")))</f>
        <v/>
      </c>
      <c r="Y159" s="448" t="str">
        <f aca="false">IF(FC_SUPUESTOS!$C$12=0,"",IF($G159=0,IF(Y$11=$H159,"◆",""),IF(AND(Y$11&gt;=$H159,Y$11&lt;=$I159),1,"")))</f>
        <v/>
      </c>
      <c r="Z159" s="448" t="str">
        <f aca="false">IF(FC_SUPUESTOS!$C$12=0,"",IF($G159=0,IF(Z$11=$H159,"◆",""),IF(AND(Z$11&gt;=$H159,Z$11&lt;=$I159),1,"")))</f>
        <v/>
      </c>
      <c r="AA159" s="448" t="str">
        <f aca="false">IF(FC_SUPUESTOS!$C$12=0,"",IF($G159=0,IF(AA$11=$H159,"◆",""),IF(AND(AA$11&gt;=$H159,AA$11&lt;=$I159),1,"")))</f>
        <v/>
      </c>
      <c r="AB159" s="448" t="str">
        <f aca="false">IF(FC_SUPUESTOS!$C$12=0,"",IF($G159=0,IF(AB$11=$H159,"◆",""),IF(AND(AB$11&gt;=$H159,AB$11&lt;=$I159),1,"")))</f>
        <v/>
      </c>
      <c r="AC159" s="448" t="str">
        <f aca="false">IF(FC_SUPUESTOS!$C$12=0,"",IF($G159=0,IF(AC$11=$H159,"◆",""),IF(AND(AC$11&gt;=$H159,AC$11&lt;=$I159),1,"")))</f>
        <v/>
      </c>
      <c r="AD159" s="448" t="str">
        <f aca="false">IF(FC_SUPUESTOS!$C$12=0,"",IF($G159=0,IF(AD$11=$H159,"◆",""),IF(AND(AD$11&gt;=$H159,AD$11&lt;=$I159),1,"")))</f>
        <v/>
      </c>
      <c r="AE159" s="448" t="str">
        <f aca="false">IF(FC_SUPUESTOS!$C$12=0,"",IF($G159=0,IF(AE$11=$H159,"◆",""),IF(AND(AE$11&gt;=$H159,AE$11&lt;=$I159),1,"")))</f>
        <v/>
      </c>
      <c r="AF159" s="448" t="str">
        <f aca="false">IF(FC_SUPUESTOS!$C$12=0,"",IF($G159=0,IF(AF$11=$H159,"◆",""),IF(AND(AF$11&gt;=$H159,AF$11&lt;=$I159),1,"")))</f>
        <v/>
      </c>
      <c r="AG159" s="448" t="str">
        <f aca="false">IF(FC_SUPUESTOS!$C$12=0,"",IF($G159=0,IF(AG$11=$H159,"◆",""),IF(AND(AG$11&gt;=$H159,AG$11&lt;=$I159),1,"")))</f>
        <v/>
      </c>
      <c r="AH159" s="448" t="str">
        <f aca="false">IF(FC_SUPUESTOS!$C$12=0,"",IF($G159=0,IF(AH$11=$H159,"◆",""),IF(AND(AH$11&gt;=$H159,AH$11&lt;=$I159),1,"")))</f>
        <v/>
      </c>
      <c r="AI159" s="448" t="str">
        <f aca="false">IF(FC_SUPUESTOS!$C$12=0,"",IF($G159=0,IF(AI$11=$H159,"◆",""),IF(AND(AI$11&gt;=$H159,AI$11&lt;=$I159),1,"")))</f>
        <v/>
      </c>
      <c r="AJ159" s="448" t="str">
        <f aca="false">IF(FC_SUPUESTOS!$C$12=0,"",IF($G159=0,IF(AJ$11=$H159,"◆",""),IF(AND(AJ$11&gt;=$H159,AJ$11&lt;=$I159),1,"")))</f>
        <v/>
      </c>
      <c r="AK159" s="448" t="str">
        <f aca="false">IF(FC_SUPUESTOS!$C$12=0,"",IF($G159=0,IF(AK$11=$H159,"◆",""),IF(AND(AK$11&gt;=$H159,AK$11&lt;=$I159),1,"")))</f>
        <v/>
      </c>
      <c r="AL159" s="448" t="str">
        <f aca="false">IF(FC_SUPUESTOS!$C$12=0,"",IF($G159=0,IF(AL$11=$H159,"◆",""),IF(AND(AL$11&gt;=$H159,AL$11&lt;=$I159),1,"")))</f>
        <v/>
      </c>
      <c r="AM159" s="448" t="str">
        <f aca="false">IF(FC_SUPUESTOS!$C$12=0,"",IF($G159=0,IF(AM$11=$H159,"◆",""),IF(AND(AM$11&gt;=$H159,AM$11&lt;=$I159),1,"")))</f>
        <v/>
      </c>
      <c r="AN159" s="448" t="str">
        <f aca="false">IF(FC_SUPUESTOS!$C$12=0,"",IF($G159=0,IF(AN$11=$H159,"◆",""),IF(AND(AN$11&gt;=$H159,AN$11&lt;=$I159),1,"")))</f>
        <v/>
      </c>
      <c r="AO159" s="448" t="str">
        <f aca="false">IF(FC_SUPUESTOS!$C$12=0,"",IF($G159=0,IF(AO$11=$H159,"◆",""),IF(AND(AO$11&gt;=$H159,AO$11&lt;=$I159),1,"")))</f>
        <v/>
      </c>
      <c r="AP159" s="448" t="str">
        <f aca="false">IF(FC_SUPUESTOS!$C$12=0,"",IF($G159=0,IF(AP$11=$H159,"◆",""),IF(AND(AP$11&gt;=$H159,AP$11&lt;=$I159),1,"")))</f>
        <v/>
      </c>
      <c r="AQ159" s="448" t="str">
        <f aca="false">IF(FC_SUPUESTOS!$C$12=0,"",IF($G159=0,IF(AQ$11=$H159,"◆",""),IF(AND(AQ$11&gt;=$H159,AQ$11&lt;=$I159),1,"")))</f>
        <v/>
      </c>
      <c r="AR159" s="448" t="str">
        <f aca="false">IF(FC_SUPUESTOS!$C$12=0,"",IF($G159=0,IF(AR$11=$H159,"◆",""),IF(AND(AR$11&gt;=$H159,AR$11&lt;=$I159),1,"")))</f>
        <v/>
      </c>
      <c r="AS159" s="448" t="str">
        <f aca="false">IF(FC_SUPUESTOS!$C$12=0,"",IF($G159=0,IF(AS$11=$H159,"◆",""),IF(AND(AS$11&gt;=$H159,AS$11&lt;=$I159),1,"")))</f>
        <v/>
      </c>
      <c r="AT159" s="448" t="str">
        <f aca="false">IF(FC_SUPUESTOS!$C$12=0,"",IF($G159=0,IF(AT$11=$H159,"◆",""),IF(AND(AT$11&gt;=$H159,AT$11&lt;=$I159),1,"")))</f>
        <v/>
      </c>
      <c r="AU159" s="448" t="str">
        <f aca="false">IF(FC_SUPUESTOS!$C$12=0,"",IF($G159=0,IF(AU$11=$H159,"◆",""),IF(AND(AU$11&gt;=$H159,AU$11&lt;=$I159),1,"")))</f>
        <v/>
      </c>
      <c r="AV159" s="448" t="str">
        <f aca="false">IF(FC_SUPUESTOS!$C$12=0,"",IF($G159=0,IF(AV$11=$H159,"◆",""),IF(AND(AV$11&gt;=$H159,AV$11&lt;=$I159),1,"")))</f>
        <v/>
      </c>
      <c r="AW159" s="448" t="str">
        <f aca="false">IF(FC_SUPUESTOS!$C$12=0,"",IF($G159=0,IF(AW$11=$H159,"◆",""),IF(AND(AW$11&gt;=$H159,AW$11&lt;=$I159),1,"")))</f>
        <v/>
      </c>
      <c r="AX159" s="448" t="str">
        <f aca="false">IF(FC_SUPUESTOS!$C$12=0,"",IF($G159=0,IF(AX$11=$H159,"◆",""),IF(AND(AX$11&gt;=$H159,AX$11&lt;=$I159),1,"")))</f>
        <v/>
      </c>
      <c r="AY159" s="448" t="str">
        <f aca="false">IF(FC_SUPUESTOS!$C$12=0,"",IF($G159=0,IF(AY$11=$H159,"◆",""),IF(AND(AY$11&gt;=$H159,AY$11&lt;=$I159),1,"")))</f>
        <v/>
      </c>
      <c r="AZ159" s="448" t="str">
        <f aca="false">IF(FC_SUPUESTOS!$C$12=0,"",IF($G159=0,IF(AZ$11=$H159,"◆",""),IF(AND(AZ$11&gt;=$H159,AZ$11&lt;=$I159),1,"")))</f>
        <v/>
      </c>
      <c r="BA159" s="448" t="str">
        <f aca="false">IF(FC_SUPUESTOS!$C$12=0,"",IF($G159=0,IF(BA$11=$H159,"◆",""),IF(AND(BA$11&gt;=$H159,BA$11&lt;=$I159),1,"")))</f>
        <v/>
      </c>
      <c r="BB159" s="448" t="str">
        <f aca="false">IF(FC_SUPUESTOS!$C$12=0,"",IF($G159=0,IF(BB$11=$H159,"◆",""),IF(AND(BB$11&gt;=$H159,BB$11&lt;=$I159),1,"")))</f>
        <v/>
      </c>
      <c r="BC159" s="448" t="str">
        <f aca="false">IF(FC_SUPUESTOS!$C$12=0,"",IF($G159=0,IF(BC$11=$H159,"◆",""),IF(AND(BC$11&gt;=$H159,BC$11&lt;=$I159),1,"")))</f>
        <v/>
      </c>
      <c r="BD159" s="448" t="str">
        <f aca="false">IF(FC_SUPUESTOS!$C$12=0,"",IF($G159=0,IF(BD$11=$H159,"◆",""),IF(AND(BD$11&gt;=$H159,BD$11&lt;=$I159),1,"")))</f>
        <v/>
      </c>
      <c r="BE159" s="448" t="str">
        <f aca="false">IF(FC_SUPUESTOS!$C$12=0,"",IF($G159=0,IF(BE$11=$H159,"◆",""),IF(AND(BE$11&gt;=$H159,BE$11&lt;=$I159),1,"")))</f>
        <v/>
      </c>
      <c r="BF159" s="448" t="str">
        <f aca="false">IF(FC_SUPUESTOS!$C$12=0,"",IF($G159=0,IF(BF$11=$H159,"◆",""),IF(AND(BF$11&gt;=$H159,BF$11&lt;=$I159),1,"")))</f>
        <v/>
      </c>
      <c r="BG159" s="448" t="str">
        <f aca="false">IF(FC_SUPUESTOS!$C$12=0,"",IF($G159=0,IF(BG$11=$H159,"◆",""),IF(AND(BG$11&gt;=$H159,BG$11&lt;=$I159),1,"")))</f>
        <v/>
      </c>
      <c r="BH159" s="448" t="str">
        <f aca="false">IF(FC_SUPUESTOS!$C$12=0,"",IF($G159=0,IF(BH$11=$H159,"◆",""),IF(AND(BH$11&gt;=$H159,BH$11&lt;=$I159),1,"")))</f>
        <v/>
      </c>
      <c r="BI159" s="448" t="str">
        <f aca="false">IF(FC_SUPUESTOS!$C$12=0,"",IF($G159=0,IF(BI$11=$H159,"◆",""),IF(AND(BI$11&gt;=$H159,BI$11&lt;=$I159),1,"")))</f>
        <v/>
      </c>
      <c r="BJ159" s="448" t="str">
        <f aca="false">IF(FC_SUPUESTOS!$C$12=0,"",IF($G159=0,IF(BJ$11=$H159,"◆",""),IF(AND(BJ$11&gt;=$H159,BJ$11&lt;=$I159),1,"")))</f>
        <v/>
      </c>
      <c r="BK159" s="448" t="str">
        <f aca="false">IF(FC_SUPUESTOS!$C$12=0,"",IF($G159=0,IF(BK$11=$H159,"◆",""),IF(AND(BK$11&gt;=$H159,BK$11&lt;=$I159),1,"")))</f>
        <v/>
      </c>
      <c r="BL159" s="448" t="str">
        <f aca="false">IF(FC_SUPUESTOS!$C$12=0,"",IF($G159=0,IF(BL$11=$H159,"◆",""),IF(AND(BL$11&gt;=$H159,BL$11&lt;=$I159),1,"")))</f>
        <v/>
      </c>
      <c r="BM159" s="448" t="str">
        <f aca="false">IF(FC_SUPUESTOS!$C$12=0,"",IF($G159=0,IF(BM$11=$H159,"◆",""),IF(AND(BM$11&gt;=$H159,BM$11&lt;=$I159),1,"")))</f>
        <v/>
      </c>
      <c r="BN159" s="448" t="str">
        <f aca="false">IF(FC_SUPUESTOS!$C$12=0,"",IF($G159=0,IF(BN$11=$H159,"◆",""),IF(AND(BN$11&gt;=$H159,BN$11&lt;=$I159),1,"")))</f>
        <v/>
      </c>
      <c r="BO159" s="448" t="str">
        <f aca="false">IF(FC_SUPUESTOS!$C$12=0,"",IF($G159=0,IF(BO$11=$H159,"◆",""),IF(AND(BO$11&gt;=$H159,BO$11&lt;=$I159),1,"")))</f>
        <v/>
      </c>
      <c r="BP159" s="448" t="str">
        <f aca="false">IF(FC_SUPUESTOS!$C$12=0,"",IF($G159=0,IF(BP$11=$H159,"◆",""),IF(AND(BP$11&gt;=$H159,BP$11&lt;=$I159),1,"")))</f>
        <v/>
      </c>
      <c r="BQ159" s="448" t="str">
        <f aca="false">IF(FC_SUPUESTOS!$C$12=0,"",IF($G159=0,IF(BQ$11=$H159,"◆",""),IF(AND(BQ$11&gt;=$H159,BQ$11&lt;=$I159),1,"")))</f>
        <v/>
      </c>
      <c r="BR159" s="448" t="str">
        <f aca="false">IF(FC_SUPUESTOS!$C$12=0,"",IF($G159=0,IF(BR$11=$H159,"◆",""),IF(AND(BR$11&gt;=$H159,BR$11&lt;=$I159),1,"")))</f>
        <v/>
      </c>
      <c r="BS159" s="448" t="str">
        <f aca="false">IF(FC_SUPUESTOS!$C$12=0,"",IF($G159=0,IF(BS$11=$H159,"◆",""),IF(AND(BS$11&gt;=$H159,BS$11&lt;=$I159),1,"")))</f>
        <v/>
      </c>
      <c r="BT159" s="448" t="str">
        <f aca="false">IF(FC_SUPUESTOS!$C$12=0,"",IF($G159=0,IF(BT$11=$H159,"◆",""),IF(AND(BT$11&gt;=$H159,BT$11&lt;=$I159),1,"")))</f>
        <v/>
      </c>
      <c r="BU159" s="448" t="str">
        <f aca="false">IF(FC_SUPUESTOS!$C$12=0,"",IF($G159=0,IF(BU$11=$H159,"◆",""),IF(AND(BU$11&gt;=$H159,BU$11&lt;=$I159),1,"")))</f>
        <v/>
      </c>
      <c r="BV159" s="448" t="str">
        <f aca="false">IF(FC_SUPUESTOS!$C$12=0,"",IF($G159=0,IF(BV$11=$H159,"◆",""),IF(AND(BV$11&gt;=$H159,BV$11&lt;=$I159),1,"")))</f>
        <v/>
      </c>
      <c r="BW159" s="448" t="str">
        <f aca="false">IF(FC_SUPUESTOS!$C$12=0,"",IF($G159=0,IF(BW$11=$H159,"◆",""),IF(AND(BW$11&gt;=$H159,BW$11&lt;=$I159),1,"")))</f>
        <v/>
      </c>
      <c r="BX159" s="448" t="str">
        <f aca="false">IF(FC_SUPUESTOS!$C$12=0,"",IF($G159=0,IF(BX$11=$H159,"◆",""),IF(AND(BX$11&gt;=$H159,BX$11&lt;=$I159),1,"")))</f>
        <v/>
      </c>
      <c r="BY159" s="448" t="str">
        <f aca="false">IF(FC_SUPUESTOS!$C$12=0,"",IF($G159=0,IF(BY$11=$H159,"◆",""),IF(AND(BY$11&gt;=$H159,BY$11&lt;=$I159),1,"")))</f>
        <v/>
      </c>
      <c r="BZ159" s="448" t="str">
        <f aca="false">IF(FC_SUPUESTOS!$C$12=0,"",IF($G159=0,IF(BZ$11=$H159,"◆",""),IF(AND(BZ$11&gt;=$H159,BZ$11&lt;=$I159),1,"")))</f>
        <v/>
      </c>
      <c r="CA159" s="448" t="str">
        <f aca="false">IF(FC_SUPUESTOS!$C$12=0,"",IF($G159=0,IF(CA$11=$H159,"◆",""),IF(AND(CA$11&gt;=$H159,CA$11&lt;=$I159),1,"")))</f>
        <v/>
      </c>
      <c r="CB159" s="448" t="str">
        <f aca="false">IF(FC_SUPUESTOS!$C$12=0,"",IF($G159=0,IF(CB$11=$H159,"◆",""),IF(AND(CB$11&gt;=$H159,CB$11&lt;=$I159),1,"")))</f>
        <v/>
      </c>
      <c r="CC159" s="448" t="str">
        <f aca="false">IF(FC_SUPUESTOS!$C$12=0,"",IF($G159=0,IF(CC$11=$H159,"◆",""),IF(AND(CC$11&gt;=$H159,CC$11&lt;=$I159),1,"")))</f>
        <v/>
      </c>
      <c r="CD159" s="448" t="str">
        <f aca="false">IF(FC_SUPUESTOS!$C$12=0,"",IF($G159=0,IF(CD$11=$H159,"◆",""),IF(AND(CD$11&gt;=$H159,CD$11&lt;=$I159),1,"")))</f>
        <v/>
      </c>
      <c r="CE159" s="448" t="str">
        <f aca="false">IF(FC_SUPUESTOS!$C$12=0,"",IF($G159=0,IF(CE$11=$H159,"◆",""),IF(AND(CE$11&gt;=$H159,CE$11&lt;=$I159),1,"")))</f>
        <v/>
      </c>
      <c r="CF159" s="448" t="str">
        <f aca="false">IF(FC_SUPUESTOS!$C$12=0,"",IF($G159=0,IF(CF$11=$H159,"◆",""),IF(AND(CF$11&gt;=$H159,CF$11&lt;=$I159),1,"")))</f>
        <v/>
      </c>
      <c r="CG159" s="448" t="str">
        <f aca="false">IF(FC_SUPUESTOS!$C$12=0,"",IF($G159=0,IF(CG$11=$H159,"◆",""),IF(AND(CG$11&gt;=$H159,CG$11&lt;=$I159),1,"")))</f>
        <v/>
      </c>
      <c r="CH159" s="448" t="str">
        <f aca="false">IF(FC_SUPUESTOS!$C$12=0,"",IF($G159=0,IF(CH$11=$H159,"◆",""),IF(AND(CH$11&gt;=$H159,CH$11&lt;=$I159),1,"")))</f>
        <v/>
      </c>
      <c r="CI159" s="448" t="str">
        <f aca="false">IF(FC_SUPUESTOS!$C$12=0,"",IF($G159=0,IF(CI$11=$H159,"◆",""),IF(AND(CI$11&gt;=$H159,CI$11&lt;=$I159),1,"")))</f>
        <v/>
      </c>
      <c r="CJ159" s="448" t="str">
        <f aca="false">IF(FC_SUPUESTOS!$C$12=0,"",IF($G159=0,IF(CJ$11=$H159,"◆",""),IF(AND(CJ$11&gt;=$H159,CJ$11&lt;=$I159),1,"")))</f>
        <v/>
      </c>
      <c r="CK159" s="448" t="str">
        <f aca="false">IF(FC_SUPUESTOS!$C$12=0,"",IF($G159=0,IF(CK$11=$H159,"◆",""),IF(AND(CK$11&gt;=$H159,CK$11&lt;=$I159),1,"")))</f>
        <v/>
      </c>
      <c r="CL159" s="448" t="str">
        <f aca="false">IF(FC_SUPUESTOS!$C$12=0,"",IF($G159=0,IF(CL$11=$H159,"◆",""),IF(AND(CL$11&gt;=$H159,CL$11&lt;=$I159),1,"")))</f>
        <v/>
      </c>
      <c r="CM159" s="448" t="str">
        <f aca="false">IF(FC_SUPUESTOS!$C$12=0,"",IF($G159=0,IF(CM$11=$H159,"◆",""),IF(AND(CM$11&gt;=$H159,CM$11&lt;=$I159),1,"")))</f>
        <v/>
      </c>
      <c r="CN159" s="448" t="str">
        <f aca="false">IF(FC_SUPUESTOS!$C$12=0,"",IF($G159=0,IF(CN$11=$H159,"◆",""),IF(AND(CN$11&gt;=$H159,CN$11&lt;=$I159),1,"")))</f>
        <v/>
      </c>
      <c r="CO159" s="448" t="str">
        <f aca="false">IF(FC_SUPUESTOS!$C$12=0,"",IF($G159=0,IF(CO$11=$H159,"◆",""),IF(AND(CO$11&gt;=$H159,CO$11&lt;=$I159),1,"")))</f>
        <v/>
      </c>
      <c r="CP159" s="448" t="str">
        <f aca="false">IF(FC_SUPUESTOS!$C$12=0,"",IF($G159=0,IF(CP$11=$H159,"◆",""),IF(AND(CP$11&gt;=$H159,CP$11&lt;=$I159),1,"")))</f>
        <v/>
      </c>
      <c r="CQ159" s="448" t="str">
        <f aca="false">IF(FC_SUPUESTOS!$C$12=0,"",IF($G159=0,IF(CQ$11=$H159,"◆",""),IF(AND(CQ$11&gt;=$H159,CQ$11&lt;=$I159),1,"")))</f>
        <v/>
      </c>
      <c r="CR159" s="448" t="str">
        <f aca="false">IF(FC_SUPUESTOS!$C$12=0,"",IF($G159=0,IF(CR$11=$H159,"◆",""),IF(AND(CR$11&gt;=$H159,CR$11&lt;=$I159),1,"")))</f>
        <v/>
      </c>
      <c r="CS159" s="448" t="str">
        <f aca="false">IF(FC_SUPUESTOS!$C$12=0,"",IF($G159=0,IF(CS$11=$H159,"◆",""),IF(AND(CS$11&gt;=$H159,CS$11&lt;=$I159),1,"")))</f>
        <v/>
      </c>
      <c r="CT159" s="448" t="str">
        <f aca="false">IF(FC_SUPUESTOS!$C$12=0,"",IF($G159=0,IF(CT$11=$H159,"◆",""),IF(AND(CT$11&gt;=$H159,CT$11&lt;=$I159),1,"")))</f>
        <v/>
      </c>
      <c r="CU159" s="448" t="str">
        <f aca="false">IF(FC_SUPUESTOS!$C$12=0,"",IF($G159=0,IF(CU$11=$H159,"◆",""),IF(AND(CU$11&gt;=$H159,CU$11&lt;=$I159),1,"")))</f>
        <v/>
      </c>
      <c r="CV159" s="448" t="str">
        <f aca="false">IF(FC_SUPUESTOS!$C$12=0,"",IF($G159=0,IF(CV$11=$H159,"◆",""),IF(AND(CV$11&gt;=$H159,CV$11&lt;=$I159),1,"")))</f>
        <v/>
      </c>
      <c r="CW159" s="448" t="str">
        <f aca="false">IF(FC_SUPUESTOS!$C$12=0,"",IF($G159=0,IF(CW$11=$H159,"◆",""),IF(AND(CW$11&gt;=$H159,CW$11&lt;=$I159),1,"")))</f>
        <v/>
      </c>
      <c r="CX159" s="448" t="str">
        <f aca="false">IF(FC_SUPUESTOS!$C$12=0,"",IF($G159=0,IF(CX$11=$H159,"◆",""),IF(AND(CX$11&gt;=$H159,CX$11&lt;=$I159),1,"")))</f>
        <v/>
      </c>
      <c r="CY159" s="448" t="str">
        <f aca="false">IF(FC_SUPUESTOS!$C$12=0,"",IF($G159=0,IF(CY$11=$H159,"◆",""),IF(AND(CY$11&gt;=$H159,CY$11&lt;=$I159),1,"")))</f>
        <v/>
      </c>
      <c r="CZ159" s="448" t="str">
        <f aca="false">IF(FC_SUPUESTOS!$C$12=0,"",IF($G159=0,IF(CZ$11=$H159,"◆",""),IF(AND(CZ$11&gt;=$H159,CZ$11&lt;=$I159),1,"")))</f>
        <v/>
      </c>
      <c r="DA159" s="448" t="str">
        <f aca="false">IF(FC_SUPUESTOS!$C$12=0,"",IF($G159=0,IF(DA$11=$H159,"◆",""),IF(AND(DA$11&gt;=$H159,DA$11&lt;=$I159),1,"")))</f>
        <v/>
      </c>
      <c r="DB159" s="448" t="str">
        <f aca="false">IF(FC_SUPUESTOS!$C$12=0,"",IF($G159=0,IF(DB$11=$H159,"◆",""),IF(AND(DB$11&gt;=$H159,DB$11&lt;=$I159),1,"")))</f>
        <v/>
      </c>
      <c r="DC159" s="448" t="str">
        <f aca="false">IF(FC_SUPUESTOS!$C$12=0,"",IF($G159=0,IF(DC$11=$H159,"◆",""),IF(AND(DC$11&gt;=$H159,DC$11&lt;=$I159),1,"")))</f>
        <v/>
      </c>
      <c r="DD159" s="448" t="str">
        <f aca="false">IF(FC_SUPUESTOS!$C$12=0,"",IF($G159=0,IF(DD$11=$H159,"◆",""),IF(AND(DD$11&gt;=$H159,DD$11&lt;=$I159),1,"")))</f>
        <v/>
      </c>
      <c r="DE159" s="448" t="str">
        <f aca="false">IF(FC_SUPUESTOS!$C$12=0,"",IF($G159=0,IF(DE$11=$H159,"◆",""),IF(AND(DE$11&gt;=$H159,DE$11&lt;=$I159),1,"")))</f>
        <v/>
      </c>
      <c r="DF159" s="448" t="str">
        <f aca="false">IF(FC_SUPUESTOS!$C$12=0,"",IF($G159=0,IF(DF$11=$H159,"◆",""),IF(AND(DF$11&gt;=$H159,DF$11&lt;=$I159),1,"")))</f>
        <v/>
      </c>
      <c r="DG159" s="448" t="str">
        <f aca="false">IF(FC_SUPUESTOS!$C$12=0,"",IF($G159=0,IF(DG$11=$H159,"◆",""),IF(AND(DG$11&gt;=$H159,DG$11&lt;=$I159),1,"")))</f>
        <v/>
      </c>
      <c r="DH159" s="448" t="str">
        <f aca="false">IF(FC_SUPUESTOS!$C$12=0,"",IF($G159=0,IF(DH$11=$H159,"◆",""),IF(AND(DH$11&gt;=$H159,DH$11&lt;=$I159),1,"")))</f>
        <v/>
      </c>
      <c r="DI159" s="448" t="str">
        <f aca="false">IF(FC_SUPUESTOS!$C$12=0,"",IF($G159=0,IF(DI$11=$H159,"◆",""),IF(AND(DI$11&gt;=$H159,DI$11&lt;=$I159),1,"")))</f>
        <v/>
      </c>
      <c r="DJ159" s="448" t="str">
        <f aca="false">IF(FC_SUPUESTOS!$C$12=0,"",IF($G159=0,IF(DJ$11=$H159,"◆",""),IF(AND(DJ$11&gt;=$H159,DJ$11&lt;=$I159),1,"")))</f>
        <v/>
      </c>
      <c r="DK159" s="448" t="str">
        <f aca="false">IF(FC_SUPUESTOS!$C$12=0,"",IF($G159=0,IF(DK$11=$H159,"◆",""),IF(AND(DK$11&gt;=$H159,DK$11&lt;=$I159),1,"")))</f>
        <v/>
      </c>
      <c r="DL159" s="448" t="str">
        <f aca="false">IF(FC_SUPUESTOS!$C$12=0,"",IF($G159=0,IF(DL$11=$H159,"◆",""),IF(AND(DL$11&gt;=$H159,DL$11&lt;=$I159),1,"")))</f>
        <v/>
      </c>
      <c r="DM159" s="448" t="str">
        <f aca="false">IF(FC_SUPUESTOS!$C$12=0,"",IF($G159=0,IF(DM$11=$H159,"◆",""),IF(AND(DM$11&gt;=$H159,DM$11&lt;=$I159),1,"")))</f>
        <v/>
      </c>
      <c r="DN159" s="448" t="str">
        <f aca="false">IF(FC_SUPUESTOS!$C$12=0,"",IF($G159=0,IF(DN$11=$H159,"◆",""),IF(AND(DN$11&gt;=$H159,DN$11&lt;=$I159),1,"")))</f>
        <v/>
      </c>
      <c r="DO159" s="448" t="str">
        <f aca="false">IF(FC_SUPUESTOS!$C$12=0,"",IF($G159=0,IF(DO$11=$H159,"◆",""),IF(AND(DO$11&gt;=$H159,DO$11&lt;=$I159),1,"")))</f>
        <v/>
      </c>
      <c r="DP159" s="448" t="str">
        <f aca="false">IF(FC_SUPUESTOS!$C$12=0,"",IF($G159=0,IF(DP$11=$H159,"◆",""),IF(AND(DP$11&gt;=$H159,DP$11&lt;=$I159),1,"")))</f>
        <v/>
      </c>
      <c r="DQ159" s="448" t="str">
        <f aca="false">IF(FC_SUPUESTOS!$C$12=0,"",IF($G159=0,IF(DQ$11=$H159,"◆",""),IF(AND(DQ$11&gt;=$H159,DQ$11&lt;=$I159),1,"")))</f>
        <v/>
      </c>
      <c r="DR159" s="448" t="str">
        <f aca="false">IF(FC_SUPUESTOS!$C$12=0,"",IF($G159=0,IF(DR$11=$H159,"◆",""),IF(AND(DR$11&gt;=$H159,DR$11&lt;=$I159),1,"")))</f>
        <v/>
      </c>
      <c r="DS159" s="448" t="str">
        <f aca="false">IF(FC_SUPUESTOS!$C$12=0,"",IF($G159=0,IF(DS$11=$H159,"◆",""),IF(AND(DS$11&gt;=$H159,DS$11&lt;=$I159),1,"")))</f>
        <v/>
      </c>
      <c r="DT159" s="448" t="str">
        <f aca="false">IF(FC_SUPUESTOS!$C$12=0,"",IF($G159=0,IF(DT$11=$H159,"◆",""),IF(AND(DT$11&gt;=$H159,DT$11&lt;=$I159),1,"")))</f>
        <v/>
      </c>
      <c r="DU159" s="448" t="str">
        <f aca="false">IF(FC_SUPUESTOS!$C$12=0,"",IF($G159=0,IF(DU$11=$H159,"◆",""),IF(AND(DU$11&gt;=$H159,DU$11&lt;=$I159),1,"")))</f>
        <v/>
      </c>
      <c r="DV159" s="448" t="str">
        <f aca="false">IF(FC_SUPUESTOS!$C$12=0,"",IF($G159=0,IF(DV$11=$H159,"◆",""),IF(AND(DV$11&gt;=$H159,DV$11&lt;=$I159),1,"")))</f>
        <v/>
      </c>
      <c r="DW159" s="448" t="str">
        <f aca="false">IF(FC_SUPUESTOS!$C$12=0,"",IF($G159=0,IF(DW$11=$H159,"◆",""),IF(AND(DW$11&gt;=$H159,DW$11&lt;=$I159),1,"")))</f>
        <v/>
      </c>
      <c r="DX159" s="448" t="str">
        <f aca="false">IF(FC_SUPUESTOS!$C$12=0,"",IF($G159=0,IF(DX$11=$H159,"◆",""),IF(AND(DX$11&gt;=$H159,DX$11&lt;=$I159),1,"")))</f>
        <v/>
      </c>
      <c r="DY159" s="448" t="str">
        <f aca="false">IF(FC_SUPUESTOS!$C$12=0,"",IF($G159=0,IF(DY$11=$H159,"◆",""),IF(AND(DY$11&gt;=$H159,DY$11&lt;=$I159),1,"")))</f>
        <v/>
      </c>
      <c r="DZ159" s="448" t="str">
        <f aca="false">IF(FC_SUPUESTOS!$C$12=0,"",IF($G159=0,IF(DZ$11=$H159,"◆",""),IF(AND(DZ$11&gt;=$H159,DZ$11&lt;=$I159),1,"")))</f>
        <v/>
      </c>
      <c r="EA159" s="448" t="str">
        <f aca="false">IF(FC_SUPUESTOS!$C$12=0,"",IF($G159=0,IF(EA$11=$H159,"◆",""),IF(AND(EA$11&gt;=$H159,EA$11&lt;=$I159),1,"")))</f>
        <v/>
      </c>
      <c r="EB159" s="448" t="str">
        <f aca="false">IF(FC_SUPUESTOS!$C$12=0,"",IF($G159=0,IF(EB$11=$H159,"◆",""),IF(AND(EB$11&gt;=$H159,EB$11&lt;=$I159),1,"")))</f>
        <v/>
      </c>
      <c r="EC159" s="448" t="str">
        <f aca="false">IF(FC_SUPUESTOS!$C$12=0,"",IF($G159=0,IF(EC$11=$H159,"◆",""),IF(AND(EC$11&gt;=$H159,EC$11&lt;=$I159),1,"")))</f>
        <v/>
      </c>
      <c r="ED159" s="448" t="str">
        <f aca="false">IF(FC_SUPUESTOS!$C$12=0,"",IF($G159=0,IF(ED$11=$H159,"◆",""),IF(AND(ED$11&gt;=$H159,ED$11&lt;=$I159),1,"")))</f>
        <v/>
      </c>
    </row>
    <row r="160" customFormat="false" ht="15" hidden="false" customHeight="true" outlineLevel="0" collapsed="false">
      <c r="A160" s="441" t="s">
        <v>2776</v>
      </c>
      <c r="B160" s="297" t="s">
        <v>2777</v>
      </c>
      <c r="C160" s="442" t="s">
        <v>2480</v>
      </c>
      <c r="D160" s="443" t="s">
        <v>2778</v>
      </c>
      <c r="E160" s="354" t="n">
        <f aca="false">FC_SUPUESTOS!$C$13-FC_SUPUESTOS!$C$33</f>
        <v>16</v>
      </c>
      <c r="F160" s="352" t="n">
        <v>-8</v>
      </c>
      <c r="G160" s="352" t="n">
        <v>14</v>
      </c>
      <c r="H160" s="367" t="n">
        <f aca="false">MAX(1,ROUND(($E160-1)*$D$5,0)+1+$F160)</f>
        <v>58</v>
      </c>
      <c r="I160" s="367" t="n">
        <f aca="false">MAX($H160,$H160+$G160-1)</f>
        <v>71</v>
      </c>
      <c r="J160" s="444" t="str">
        <f aca="false">IF(FC_SUPUESTOS!$C$12=0,"—",$D$4+($H160-1)*7)</f>
        <v>—</v>
      </c>
      <c r="K160" s="444" t="str">
        <f aca="false">IF(FC_SUPUESTOS!$C$12=0,"—",$D$4+$I160*7-1)</f>
        <v>—</v>
      </c>
      <c r="L160" s="445" t="str">
        <f aca="false">IF(FC_SUPUESTOS!$C$12=0,"—",ROUNDUP($H160/$D$5,0))</f>
        <v>—</v>
      </c>
      <c r="M160" s="446"/>
      <c r="N160" s="447" t="n">
        <v>0</v>
      </c>
      <c r="O160" s="448" t="str">
        <f aca="false">IF(FC_SUPUESTOS!$C$12=0,"",IF($G160=0,IF(O$11=$H160,"◆",""),IF(AND(O$11&gt;=$H160,O$11&lt;=$I160),1,"")))</f>
        <v/>
      </c>
      <c r="P160" s="448" t="str">
        <f aca="false">IF(FC_SUPUESTOS!$C$12=0,"",IF($G160=0,IF(P$11=$H160,"◆",""),IF(AND(P$11&gt;=$H160,P$11&lt;=$I160),1,"")))</f>
        <v/>
      </c>
      <c r="Q160" s="448" t="str">
        <f aca="false">IF(FC_SUPUESTOS!$C$12=0,"",IF($G160=0,IF(Q$11=$H160,"◆",""),IF(AND(Q$11&gt;=$H160,Q$11&lt;=$I160),1,"")))</f>
        <v/>
      </c>
      <c r="R160" s="448" t="str">
        <f aca="false">IF(FC_SUPUESTOS!$C$12=0,"",IF($G160=0,IF(R$11=$H160,"◆",""),IF(AND(R$11&gt;=$H160,R$11&lt;=$I160),1,"")))</f>
        <v/>
      </c>
      <c r="S160" s="448" t="str">
        <f aca="false">IF(FC_SUPUESTOS!$C$12=0,"",IF($G160=0,IF(S$11=$H160,"◆",""),IF(AND(S$11&gt;=$H160,S$11&lt;=$I160),1,"")))</f>
        <v/>
      </c>
      <c r="T160" s="448" t="str">
        <f aca="false">IF(FC_SUPUESTOS!$C$12=0,"",IF($G160=0,IF(T$11=$H160,"◆",""),IF(AND(T$11&gt;=$H160,T$11&lt;=$I160),1,"")))</f>
        <v/>
      </c>
      <c r="U160" s="448" t="str">
        <f aca="false">IF(FC_SUPUESTOS!$C$12=0,"",IF($G160=0,IF(U$11=$H160,"◆",""),IF(AND(U$11&gt;=$H160,U$11&lt;=$I160),1,"")))</f>
        <v/>
      </c>
      <c r="V160" s="448" t="str">
        <f aca="false">IF(FC_SUPUESTOS!$C$12=0,"",IF($G160=0,IF(V$11=$H160,"◆",""),IF(AND(V$11&gt;=$H160,V$11&lt;=$I160),1,"")))</f>
        <v/>
      </c>
      <c r="W160" s="448" t="str">
        <f aca="false">IF(FC_SUPUESTOS!$C$12=0,"",IF($G160=0,IF(W$11=$H160,"◆",""),IF(AND(W$11&gt;=$H160,W$11&lt;=$I160),1,"")))</f>
        <v/>
      </c>
      <c r="X160" s="448" t="str">
        <f aca="false">IF(FC_SUPUESTOS!$C$12=0,"",IF($G160=0,IF(X$11=$H160,"◆",""),IF(AND(X$11&gt;=$H160,X$11&lt;=$I160),1,"")))</f>
        <v/>
      </c>
      <c r="Y160" s="448" t="str">
        <f aca="false">IF(FC_SUPUESTOS!$C$12=0,"",IF($G160=0,IF(Y$11=$H160,"◆",""),IF(AND(Y$11&gt;=$H160,Y$11&lt;=$I160),1,"")))</f>
        <v/>
      </c>
      <c r="Z160" s="448" t="str">
        <f aca="false">IF(FC_SUPUESTOS!$C$12=0,"",IF($G160=0,IF(Z$11=$H160,"◆",""),IF(AND(Z$11&gt;=$H160,Z$11&lt;=$I160),1,"")))</f>
        <v/>
      </c>
      <c r="AA160" s="448" t="str">
        <f aca="false">IF(FC_SUPUESTOS!$C$12=0,"",IF($G160=0,IF(AA$11=$H160,"◆",""),IF(AND(AA$11&gt;=$H160,AA$11&lt;=$I160),1,"")))</f>
        <v/>
      </c>
      <c r="AB160" s="448" t="str">
        <f aca="false">IF(FC_SUPUESTOS!$C$12=0,"",IF($G160=0,IF(AB$11=$H160,"◆",""),IF(AND(AB$11&gt;=$H160,AB$11&lt;=$I160),1,"")))</f>
        <v/>
      </c>
      <c r="AC160" s="448" t="str">
        <f aca="false">IF(FC_SUPUESTOS!$C$12=0,"",IF($G160=0,IF(AC$11=$H160,"◆",""),IF(AND(AC$11&gt;=$H160,AC$11&lt;=$I160),1,"")))</f>
        <v/>
      </c>
      <c r="AD160" s="448" t="str">
        <f aca="false">IF(FC_SUPUESTOS!$C$12=0,"",IF($G160=0,IF(AD$11=$H160,"◆",""),IF(AND(AD$11&gt;=$H160,AD$11&lt;=$I160),1,"")))</f>
        <v/>
      </c>
      <c r="AE160" s="448" t="str">
        <f aca="false">IF(FC_SUPUESTOS!$C$12=0,"",IF($G160=0,IF(AE$11=$H160,"◆",""),IF(AND(AE$11&gt;=$H160,AE$11&lt;=$I160),1,"")))</f>
        <v/>
      </c>
      <c r="AF160" s="448" t="str">
        <f aca="false">IF(FC_SUPUESTOS!$C$12=0,"",IF($G160=0,IF(AF$11=$H160,"◆",""),IF(AND(AF$11&gt;=$H160,AF$11&lt;=$I160),1,"")))</f>
        <v/>
      </c>
      <c r="AG160" s="448" t="str">
        <f aca="false">IF(FC_SUPUESTOS!$C$12=0,"",IF($G160=0,IF(AG$11=$H160,"◆",""),IF(AND(AG$11&gt;=$H160,AG$11&lt;=$I160),1,"")))</f>
        <v/>
      </c>
      <c r="AH160" s="448" t="str">
        <f aca="false">IF(FC_SUPUESTOS!$C$12=0,"",IF($G160=0,IF(AH$11=$H160,"◆",""),IF(AND(AH$11&gt;=$H160,AH$11&lt;=$I160),1,"")))</f>
        <v/>
      </c>
      <c r="AI160" s="448" t="str">
        <f aca="false">IF(FC_SUPUESTOS!$C$12=0,"",IF($G160=0,IF(AI$11=$H160,"◆",""),IF(AND(AI$11&gt;=$H160,AI$11&lt;=$I160),1,"")))</f>
        <v/>
      </c>
      <c r="AJ160" s="448" t="str">
        <f aca="false">IF(FC_SUPUESTOS!$C$12=0,"",IF($G160=0,IF(AJ$11=$H160,"◆",""),IF(AND(AJ$11&gt;=$H160,AJ$11&lt;=$I160),1,"")))</f>
        <v/>
      </c>
      <c r="AK160" s="448" t="str">
        <f aca="false">IF(FC_SUPUESTOS!$C$12=0,"",IF($G160=0,IF(AK$11=$H160,"◆",""),IF(AND(AK$11&gt;=$H160,AK$11&lt;=$I160),1,"")))</f>
        <v/>
      </c>
      <c r="AL160" s="448" t="str">
        <f aca="false">IF(FC_SUPUESTOS!$C$12=0,"",IF($G160=0,IF(AL$11=$H160,"◆",""),IF(AND(AL$11&gt;=$H160,AL$11&lt;=$I160),1,"")))</f>
        <v/>
      </c>
      <c r="AM160" s="448" t="str">
        <f aca="false">IF(FC_SUPUESTOS!$C$12=0,"",IF($G160=0,IF(AM$11=$H160,"◆",""),IF(AND(AM$11&gt;=$H160,AM$11&lt;=$I160),1,"")))</f>
        <v/>
      </c>
      <c r="AN160" s="448" t="str">
        <f aca="false">IF(FC_SUPUESTOS!$C$12=0,"",IF($G160=0,IF(AN$11=$H160,"◆",""),IF(AND(AN$11&gt;=$H160,AN$11&lt;=$I160),1,"")))</f>
        <v/>
      </c>
      <c r="AO160" s="448" t="str">
        <f aca="false">IF(FC_SUPUESTOS!$C$12=0,"",IF($G160=0,IF(AO$11=$H160,"◆",""),IF(AND(AO$11&gt;=$H160,AO$11&lt;=$I160),1,"")))</f>
        <v/>
      </c>
      <c r="AP160" s="448" t="str">
        <f aca="false">IF(FC_SUPUESTOS!$C$12=0,"",IF($G160=0,IF(AP$11=$H160,"◆",""),IF(AND(AP$11&gt;=$H160,AP$11&lt;=$I160),1,"")))</f>
        <v/>
      </c>
      <c r="AQ160" s="448" t="str">
        <f aca="false">IF(FC_SUPUESTOS!$C$12=0,"",IF($G160=0,IF(AQ$11=$H160,"◆",""),IF(AND(AQ$11&gt;=$H160,AQ$11&lt;=$I160),1,"")))</f>
        <v/>
      </c>
      <c r="AR160" s="448" t="str">
        <f aca="false">IF(FC_SUPUESTOS!$C$12=0,"",IF($G160=0,IF(AR$11=$H160,"◆",""),IF(AND(AR$11&gt;=$H160,AR$11&lt;=$I160),1,"")))</f>
        <v/>
      </c>
      <c r="AS160" s="448" t="str">
        <f aca="false">IF(FC_SUPUESTOS!$C$12=0,"",IF($G160=0,IF(AS$11=$H160,"◆",""),IF(AND(AS$11&gt;=$H160,AS$11&lt;=$I160),1,"")))</f>
        <v/>
      </c>
      <c r="AT160" s="448" t="str">
        <f aca="false">IF(FC_SUPUESTOS!$C$12=0,"",IF($G160=0,IF(AT$11=$H160,"◆",""),IF(AND(AT$11&gt;=$H160,AT$11&lt;=$I160),1,"")))</f>
        <v/>
      </c>
      <c r="AU160" s="448" t="str">
        <f aca="false">IF(FC_SUPUESTOS!$C$12=0,"",IF($G160=0,IF(AU$11=$H160,"◆",""),IF(AND(AU$11&gt;=$H160,AU$11&lt;=$I160),1,"")))</f>
        <v/>
      </c>
      <c r="AV160" s="448" t="str">
        <f aca="false">IF(FC_SUPUESTOS!$C$12=0,"",IF($G160=0,IF(AV$11=$H160,"◆",""),IF(AND(AV$11&gt;=$H160,AV$11&lt;=$I160),1,"")))</f>
        <v/>
      </c>
      <c r="AW160" s="448" t="str">
        <f aca="false">IF(FC_SUPUESTOS!$C$12=0,"",IF($G160=0,IF(AW$11=$H160,"◆",""),IF(AND(AW$11&gt;=$H160,AW$11&lt;=$I160),1,"")))</f>
        <v/>
      </c>
      <c r="AX160" s="448" t="str">
        <f aca="false">IF(FC_SUPUESTOS!$C$12=0,"",IF($G160=0,IF(AX$11=$H160,"◆",""),IF(AND(AX$11&gt;=$H160,AX$11&lt;=$I160),1,"")))</f>
        <v/>
      </c>
      <c r="AY160" s="448" t="str">
        <f aca="false">IF(FC_SUPUESTOS!$C$12=0,"",IF($G160=0,IF(AY$11=$H160,"◆",""),IF(AND(AY$11&gt;=$H160,AY$11&lt;=$I160),1,"")))</f>
        <v/>
      </c>
      <c r="AZ160" s="448" t="str">
        <f aca="false">IF(FC_SUPUESTOS!$C$12=0,"",IF($G160=0,IF(AZ$11=$H160,"◆",""),IF(AND(AZ$11&gt;=$H160,AZ$11&lt;=$I160),1,"")))</f>
        <v/>
      </c>
      <c r="BA160" s="448" t="str">
        <f aca="false">IF(FC_SUPUESTOS!$C$12=0,"",IF($G160=0,IF(BA$11=$H160,"◆",""),IF(AND(BA$11&gt;=$H160,BA$11&lt;=$I160),1,"")))</f>
        <v/>
      </c>
      <c r="BB160" s="448" t="str">
        <f aca="false">IF(FC_SUPUESTOS!$C$12=0,"",IF($G160=0,IF(BB$11=$H160,"◆",""),IF(AND(BB$11&gt;=$H160,BB$11&lt;=$I160),1,"")))</f>
        <v/>
      </c>
      <c r="BC160" s="448" t="str">
        <f aca="false">IF(FC_SUPUESTOS!$C$12=0,"",IF($G160=0,IF(BC$11=$H160,"◆",""),IF(AND(BC$11&gt;=$H160,BC$11&lt;=$I160),1,"")))</f>
        <v/>
      </c>
      <c r="BD160" s="448" t="str">
        <f aca="false">IF(FC_SUPUESTOS!$C$12=0,"",IF($G160=0,IF(BD$11=$H160,"◆",""),IF(AND(BD$11&gt;=$H160,BD$11&lt;=$I160),1,"")))</f>
        <v/>
      </c>
      <c r="BE160" s="448" t="str">
        <f aca="false">IF(FC_SUPUESTOS!$C$12=0,"",IF($G160=0,IF(BE$11=$H160,"◆",""),IF(AND(BE$11&gt;=$H160,BE$11&lt;=$I160),1,"")))</f>
        <v/>
      </c>
      <c r="BF160" s="448" t="str">
        <f aca="false">IF(FC_SUPUESTOS!$C$12=0,"",IF($G160=0,IF(BF$11=$H160,"◆",""),IF(AND(BF$11&gt;=$H160,BF$11&lt;=$I160),1,"")))</f>
        <v/>
      </c>
      <c r="BG160" s="448" t="str">
        <f aca="false">IF(FC_SUPUESTOS!$C$12=0,"",IF($G160=0,IF(BG$11=$H160,"◆",""),IF(AND(BG$11&gt;=$H160,BG$11&lt;=$I160),1,"")))</f>
        <v/>
      </c>
      <c r="BH160" s="448" t="str">
        <f aca="false">IF(FC_SUPUESTOS!$C$12=0,"",IF($G160=0,IF(BH$11=$H160,"◆",""),IF(AND(BH$11&gt;=$H160,BH$11&lt;=$I160),1,"")))</f>
        <v/>
      </c>
      <c r="BI160" s="448" t="str">
        <f aca="false">IF(FC_SUPUESTOS!$C$12=0,"",IF($G160=0,IF(BI$11=$H160,"◆",""),IF(AND(BI$11&gt;=$H160,BI$11&lt;=$I160),1,"")))</f>
        <v/>
      </c>
      <c r="BJ160" s="448" t="str">
        <f aca="false">IF(FC_SUPUESTOS!$C$12=0,"",IF($G160=0,IF(BJ$11=$H160,"◆",""),IF(AND(BJ$11&gt;=$H160,BJ$11&lt;=$I160),1,"")))</f>
        <v/>
      </c>
      <c r="BK160" s="448" t="str">
        <f aca="false">IF(FC_SUPUESTOS!$C$12=0,"",IF($G160=0,IF(BK$11=$H160,"◆",""),IF(AND(BK$11&gt;=$H160,BK$11&lt;=$I160),1,"")))</f>
        <v/>
      </c>
      <c r="BL160" s="448" t="str">
        <f aca="false">IF(FC_SUPUESTOS!$C$12=0,"",IF($G160=0,IF(BL$11=$H160,"◆",""),IF(AND(BL$11&gt;=$H160,BL$11&lt;=$I160),1,"")))</f>
        <v/>
      </c>
      <c r="BM160" s="448" t="str">
        <f aca="false">IF(FC_SUPUESTOS!$C$12=0,"",IF($G160=0,IF(BM$11=$H160,"◆",""),IF(AND(BM$11&gt;=$H160,BM$11&lt;=$I160),1,"")))</f>
        <v/>
      </c>
      <c r="BN160" s="448" t="str">
        <f aca="false">IF(FC_SUPUESTOS!$C$12=0,"",IF($G160=0,IF(BN$11=$H160,"◆",""),IF(AND(BN$11&gt;=$H160,BN$11&lt;=$I160),1,"")))</f>
        <v/>
      </c>
      <c r="BO160" s="448" t="str">
        <f aca="false">IF(FC_SUPUESTOS!$C$12=0,"",IF($G160=0,IF(BO$11=$H160,"◆",""),IF(AND(BO$11&gt;=$H160,BO$11&lt;=$I160),1,"")))</f>
        <v/>
      </c>
      <c r="BP160" s="448" t="str">
        <f aca="false">IF(FC_SUPUESTOS!$C$12=0,"",IF($G160=0,IF(BP$11=$H160,"◆",""),IF(AND(BP$11&gt;=$H160,BP$11&lt;=$I160),1,"")))</f>
        <v/>
      </c>
      <c r="BQ160" s="448" t="str">
        <f aca="false">IF(FC_SUPUESTOS!$C$12=0,"",IF($G160=0,IF(BQ$11=$H160,"◆",""),IF(AND(BQ$11&gt;=$H160,BQ$11&lt;=$I160),1,"")))</f>
        <v/>
      </c>
      <c r="BR160" s="448" t="str">
        <f aca="false">IF(FC_SUPUESTOS!$C$12=0,"",IF($G160=0,IF(BR$11=$H160,"◆",""),IF(AND(BR$11&gt;=$H160,BR$11&lt;=$I160),1,"")))</f>
        <v/>
      </c>
      <c r="BS160" s="448" t="str">
        <f aca="false">IF(FC_SUPUESTOS!$C$12=0,"",IF($G160=0,IF(BS$11=$H160,"◆",""),IF(AND(BS$11&gt;=$H160,BS$11&lt;=$I160),1,"")))</f>
        <v/>
      </c>
      <c r="BT160" s="448" t="str">
        <f aca="false">IF(FC_SUPUESTOS!$C$12=0,"",IF($G160=0,IF(BT$11=$H160,"◆",""),IF(AND(BT$11&gt;=$H160,BT$11&lt;=$I160),1,"")))</f>
        <v/>
      </c>
      <c r="BU160" s="448" t="str">
        <f aca="false">IF(FC_SUPUESTOS!$C$12=0,"",IF($G160=0,IF(BU$11=$H160,"◆",""),IF(AND(BU$11&gt;=$H160,BU$11&lt;=$I160),1,"")))</f>
        <v/>
      </c>
      <c r="BV160" s="448" t="str">
        <f aca="false">IF(FC_SUPUESTOS!$C$12=0,"",IF($G160=0,IF(BV$11=$H160,"◆",""),IF(AND(BV$11&gt;=$H160,BV$11&lt;=$I160),1,"")))</f>
        <v/>
      </c>
      <c r="BW160" s="448" t="str">
        <f aca="false">IF(FC_SUPUESTOS!$C$12=0,"",IF($G160=0,IF(BW$11=$H160,"◆",""),IF(AND(BW$11&gt;=$H160,BW$11&lt;=$I160),1,"")))</f>
        <v/>
      </c>
      <c r="BX160" s="448" t="str">
        <f aca="false">IF(FC_SUPUESTOS!$C$12=0,"",IF($G160=0,IF(BX$11=$H160,"◆",""),IF(AND(BX$11&gt;=$H160,BX$11&lt;=$I160),1,"")))</f>
        <v/>
      </c>
      <c r="BY160" s="448" t="str">
        <f aca="false">IF(FC_SUPUESTOS!$C$12=0,"",IF($G160=0,IF(BY$11=$H160,"◆",""),IF(AND(BY$11&gt;=$H160,BY$11&lt;=$I160),1,"")))</f>
        <v/>
      </c>
      <c r="BZ160" s="448" t="str">
        <f aca="false">IF(FC_SUPUESTOS!$C$12=0,"",IF($G160=0,IF(BZ$11=$H160,"◆",""),IF(AND(BZ$11&gt;=$H160,BZ$11&lt;=$I160),1,"")))</f>
        <v/>
      </c>
      <c r="CA160" s="448" t="str">
        <f aca="false">IF(FC_SUPUESTOS!$C$12=0,"",IF($G160=0,IF(CA$11=$H160,"◆",""),IF(AND(CA$11&gt;=$H160,CA$11&lt;=$I160),1,"")))</f>
        <v/>
      </c>
      <c r="CB160" s="448" t="str">
        <f aca="false">IF(FC_SUPUESTOS!$C$12=0,"",IF($G160=0,IF(CB$11=$H160,"◆",""),IF(AND(CB$11&gt;=$H160,CB$11&lt;=$I160),1,"")))</f>
        <v/>
      </c>
      <c r="CC160" s="448" t="str">
        <f aca="false">IF(FC_SUPUESTOS!$C$12=0,"",IF($G160=0,IF(CC$11=$H160,"◆",""),IF(AND(CC$11&gt;=$H160,CC$11&lt;=$I160),1,"")))</f>
        <v/>
      </c>
      <c r="CD160" s="448" t="str">
        <f aca="false">IF(FC_SUPUESTOS!$C$12=0,"",IF($G160=0,IF(CD$11=$H160,"◆",""),IF(AND(CD$11&gt;=$H160,CD$11&lt;=$I160),1,"")))</f>
        <v/>
      </c>
      <c r="CE160" s="448" t="str">
        <f aca="false">IF(FC_SUPUESTOS!$C$12=0,"",IF($G160=0,IF(CE$11=$H160,"◆",""),IF(AND(CE$11&gt;=$H160,CE$11&lt;=$I160),1,"")))</f>
        <v/>
      </c>
      <c r="CF160" s="448" t="str">
        <f aca="false">IF(FC_SUPUESTOS!$C$12=0,"",IF($G160=0,IF(CF$11=$H160,"◆",""),IF(AND(CF$11&gt;=$H160,CF$11&lt;=$I160),1,"")))</f>
        <v/>
      </c>
      <c r="CG160" s="448" t="str">
        <f aca="false">IF(FC_SUPUESTOS!$C$12=0,"",IF($G160=0,IF(CG$11=$H160,"◆",""),IF(AND(CG$11&gt;=$H160,CG$11&lt;=$I160),1,"")))</f>
        <v/>
      </c>
      <c r="CH160" s="448" t="str">
        <f aca="false">IF(FC_SUPUESTOS!$C$12=0,"",IF($G160=0,IF(CH$11=$H160,"◆",""),IF(AND(CH$11&gt;=$H160,CH$11&lt;=$I160),1,"")))</f>
        <v/>
      </c>
      <c r="CI160" s="448" t="str">
        <f aca="false">IF(FC_SUPUESTOS!$C$12=0,"",IF($G160=0,IF(CI$11=$H160,"◆",""),IF(AND(CI$11&gt;=$H160,CI$11&lt;=$I160),1,"")))</f>
        <v/>
      </c>
      <c r="CJ160" s="448" t="str">
        <f aca="false">IF(FC_SUPUESTOS!$C$12=0,"",IF($G160=0,IF(CJ$11=$H160,"◆",""),IF(AND(CJ$11&gt;=$H160,CJ$11&lt;=$I160),1,"")))</f>
        <v/>
      </c>
      <c r="CK160" s="448" t="str">
        <f aca="false">IF(FC_SUPUESTOS!$C$12=0,"",IF($G160=0,IF(CK$11=$H160,"◆",""),IF(AND(CK$11&gt;=$H160,CK$11&lt;=$I160),1,"")))</f>
        <v/>
      </c>
      <c r="CL160" s="448" t="str">
        <f aca="false">IF(FC_SUPUESTOS!$C$12=0,"",IF($G160=0,IF(CL$11=$H160,"◆",""),IF(AND(CL$11&gt;=$H160,CL$11&lt;=$I160),1,"")))</f>
        <v/>
      </c>
      <c r="CM160" s="448" t="str">
        <f aca="false">IF(FC_SUPUESTOS!$C$12=0,"",IF($G160=0,IF(CM$11=$H160,"◆",""),IF(AND(CM$11&gt;=$H160,CM$11&lt;=$I160),1,"")))</f>
        <v/>
      </c>
      <c r="CN160" s="448" t="str">
        <f aca="false">IF(FC_SUPUESTOS!$C$12=0,"",IF($G160=0,IF(CN$11=$H160,"◆",""),IF(AND(CN$11&gt;=$H160,CN$11&lt;=$I160),1,"")))</f>
        <v/>
      </c>
      <c r="CO160" s="448" t="str">
        <f aca="false">IF(FC_SUPUESTOS!$C$12=0,"",IF($G160=0,IF(CO$11=$H160,"◆",""),IF(AND(CO$11&gt;=$H160,CO$11&lt;=$I160),1,"")))</f>
        <v/>
      </c>
      <c r="CP160" s="448" t="str">
        <f aca="false">IF(FC_SUPUESTOS!$C$12=0,"",IF($G160=0,IF(CP$11=$H160,"◆",""),IF(AND(CP$11&gt;=$H160,CP$11&lt;=$I160),1,"")))</f>
        <v/>
      </c>
      <c r="CQ160" s="448" t="str">
        <f aca="false">IF(FC_SUPUESTOS!$C$12=0,"",IF($G160=0,IF(CQ$11=$H160,"◆",""),IF(AND(CQ$11&gt;=$H160,CQ$11&lt;=$I160),1,"")))</f>
        <v/>
      </c>
      <c r="CR160" s="448" t="str">
        <f aca="false">IF(FC_SUPUESTOS!$C$12=0,"",IF($G160=0,IF(CR$11=$H160,"◆",""),IF(AND(CR$11&gt;=$H160,CR$11&lt;=$I160),1,"")))</f>
        <v/>
      </c>
      <c r="CS160" s="448" t="str">
        <f aca="false">IF(FC_SUPUESTOS!$C$12=0,"",IF($G160=0,IF(CS$11=$H160,"◆",""),IF(AND(CS$11&gt;=$H160,CS$11&lt;=$I160),1,"")))</f>
        <v/>
      </c>
      <c r="CT160" s="448" t="str">
        <f aca="false">IF(FC_SUPUESTOS!$C$12=0,"",IF($G160=0,IF(CT$11=$H160,"◆",""),IF(AND(CT$11&gt;=$H160,CT$11&lt;=$I160),1,"")))</f>
        <v/>
      </c>
      <c r="CU160" s="448" t="str">
        <f aca="false">IF(FC_SUPUESTOS!$C$12=0,"",IF($G160=0,IF(CU$11=$H160,"◆",""),IF(AND(CU$11&gt;=$H160,CU$11&lt;=$I160),1,"")))</f>
        <v/>
      </c>
      <c r="CV160" s="448" t="str">
        <f aca="false">IF(FC_SUPUESTOS!$C$12=0,"",IF($G160=0,IF(CV$11=$H160,"◆",""),IF(AND(CV$11&gt;=$H160,CV$11&lt;=$I160),1,"")))</f>
        <v/>
      </c>
      <c r="CW160" s="448" t="str">
        <f aca="false">IF(FC_SUPUESTOS!$C$12=0,"",IF($G160=0,IF(CW$11=$H160,"◆",""),IF(AND(CW$11&gt;=$H160,CW$11&lt;=$I160),1,"")))</f>
        <v/>
      </c>
      <c r="CX160" s="448" t="str">
        <f aca="false">IF(FC_SUPUESTOS!$C$12=0,"",IF($G160=0,IF(CX$11=$H160,"◆",""),IF(AND(CX$11&gt;=$H160,CX$11&lt;=$I160),1,"")))</f>
        <v/>
      </c>
      <c r="CY160" s="448" t="str">
        <f aca="false">IF(FC_SUPUESTOS!$C$12=0,"",IF($G160=0,IF(CY$11=$H160,"◆",""),IF(AND(CY$11&gt;=$H160,CY$11&lt;=$I160),1,"")))</f>
        <v/>
      </c>
      <c r="CZ160" s="448" t="str">
        <f aca="false">IF(FC_SUPUESTOS!$C$12=0,"",IF($G160=0,IF(CZ$11=$H160,"◆",""),IF(AND(CZ$11&gt;=$H160,CZ$11&lt;=$I160),1,"")))</f>
        <v/>
      </c>
      <c r="DA160" s="448" t="str">
        <f aca="false">IF(FC_SUPUESTOS!$C$12=0,"",IF($G160=0,IF(DA$11=$H160,"◆",""),IF(AND(DA$11&gt;=$H160,DA$11&lt;=$I160),1,"")))</f>
        <v/>
      </c>
      <c r="DB160" s="448" t="str">
        <f aca="false">IF(FC_SUPUESTOS!$C$12=0,"",IF($G160=0,IF(DB$11=$H160,"◆",""),IF(AND(DB$11&gt;=$H160,DB$11&lt;=$I160),1,"")))</f>
        <v/>
      </c>
      <c r="DC160" s="448" t="str">
        <f aca="false">IF(FC_SUPUESTOS!$C$12=0,"",IF($G160=0,IF(DC$11=$H160,"◆",""),IF(AND(DC$11&gt;=$H160,DC$11&lt;=$I160),1,"")))</f>
        <v/>
      </c>
      <c r="DD160" s="448" t="str">
        <f aca="false">IF(FC_SUPUESTOS!$C$12=0,"",IF($G160=0,IF(DD$11=$H160,"◆",""),IF(AND(DD$11&gt;=$H160,DD$11&lt;=$I160),1,"")))</f>
        <v/>
      </c>
      <c r="DE160" s="448" t="str">
        <f aca="false">IF(FC_SUPUESTOS!$C$12=0,"",IF($G160=0,IF(DE$11=$H160,"◆",""),IF(AND(DE$11&gt;=$H160,DE$11&lt;=$I160),1,"")))</f>
        <v/>
      </c>
      <c r="DF160" s="448" t="str">
        <f aca="false">IF(FC_SUPUESTOS!$C$12=0,"",IF($G160=0,IF(DF$11=$H160,"◆",""),IF(AND(DF$11&gt;=$H160,DF$11&lt;=$I160),1,"")))</f>
        <v/>
      </c>
      <c r="DG160" s="448" t="str">
        <f aca="false">IF(FC_SUPUESTOS!$C$12=0,"",IF($G160=0,IF(DG$11=$H160,"◆",""),IF(AND(DG$11&gt;=$H160,DG$11&lt;=$I160),1,"")))</f>
        <v/>
      </c>
      <c r="DH160" s="448" t="str">
        <f aca="false">IF(FC_SUPUESTOS!$C$12=0,"",IF($G160=0,IF(DH$11=$H160,"◆",""),IF(AND(DH$11&gt;=$H160,DH$11&lt;=$I160),1,"")))</f>
        <v/>
      </c>
      <c r="DI160" s="448" t="str">
        <f aca="false">IF(FC_SUPUESTOS!$C$12=0,"",IF($G160=0,IF(DI$11=$H160,"◆",""),IF(AND(DI$11&gt;=$H160,DI$11&lt;=$I160),1,"")))</f>
        <v/>
      </c>
      <c r="DJ160" s="448" t="str">
        <f aca="false">IF(FC_SUPUESTOS!$C$12=0,"",IF($G160=0,IF(DJ$11=$H160,"◆",""),IF(AND(DJ$11&gt;=$H160,DJ$11&lt;=$I160),1,"")))</f>
        <v/>
      </c>
      <c r="DK160" s="448" t="str">
        <f aca="false">IF(FC_SUPUESTOS!$C$12=0,"",IF($G160=0,IF(DK$11=$H160,"◆",""),IF(AND(DK$11&gt;=$H160,DK$11&lt;=$I160),1,"")))</f>
        <v/>
      </c>
      <c r="DL160" s="448" t="str">
        <f aca="false">IF(FC_SUPUESTOS!$C$12=0,"",IF($G160=0,IF(DL$11=$H160,"◆",""),IF(AND(DL$11&gt;=$H160,DL$11&lt;=$I160),1,"")))</f>
        <v/>
      </c>
      <c r="DM160" s="448" t="str">
        <f aca="false">IF(FC_SUPUESTOS!$C$12=0,"",IF($G160=0,IF(DM$11=$H160,"◆",""),IF(AND(DM$11&gt;=$H160,DM$11&lt;=$I160),1,"")))</f>
        <v/>
      </c>
      <c r="DN160" s="448" t="str">
        <f aca="false">IF(FC_SUPUESTOS!$C$12=0,"",IF($G160=0,IF(DN$11=$H160,"◆",""),IF(AND(DN$11&gt;=$H160,DN$11&lt;=$I160),1,"")))</f>
        <v/>
      </c>
      <c r="DO160" s="448" t="str">
        <f aca="false">IF(FC_SUPUESTOS!$C$12=0,"",IF($G160=0,IF(DO$11=$H160,"◆",""),IF(AND(DO$11&gt;=$H160,DO$11&lt;=$I160),1,"")))</f>
        <v/>
      </c>
      <c r="DP160" s="448" t="str">
        <f aca="false">IF(FC_SUPUESTOS!$C$12=0,"",IF($G160=0,IF(DP$11=$H160,"◆",""),IF(AND(DP$11&gt;=$H160,DP$11&lt;=$I160),1,"")))</f>
        <v/>
      </c>
      <c r="DQ160" s="448" t="str">
        <f aca="false">IF(FC_SUPUESTOS!$C$12=0,"",IF($G160=0,IF(DQ$11=$H160,"◆",""),IF(AND(DQ$11&gt;=$H160,DQ$11&lt;=$I160),1,"")))</f>
        <v/>
      </c>
      <c r="DR160" s="448" t="str">
        <f aca="false">IF(FC_SUPUESTOS!$C$12=0,"",IF($G160=0,IF(DR$11=$H160,"◆",""),IF(AND(DR$11&gt;=$H160,DR$11&lt;=$I160),1,"")))</f>
        <v/>
      </c>
      <c r="DS160" s="448" t="str">
        <f aca="false">IF(FC_SUPUESTOS!$C$12=0,"",IF($G160=0,IF(DS$11=$H160,"◆",""),IF(AND(DS$11&gt;=$H160,DS$11&lt;=$I160),1,"")))</f>
        <v/>
      </c>
      <c r="DT160" s="448" t="str">
        <f aca="false">IF(FC_SUPUESTOS!$C$12=0,"",IF($G160=0,IF(DT$11=$H160,"◆",""),IF(AND(DT$11&gt;=$H160,DT$11&lt;=$I160),1,"")))</f>
        <v/>
      </c>
      <c r="DU160" s="448" t="str">
        <f aca="false">IF(FC_SUPUESTOS!$C$12=0,"",IF($G160=0,IF(DU$11=$H160,"◆",""),IF(AND(DU$11&gt;=$H160,DU$11&lt;=$I160),1,"")))</f>
        <v/>
      </c>
      <c r="DV160" s="448" t="str">
        <f aca="false">IF(FC_SUPUESTOS!$C$12=0,"",IF($G160=0,IF(DV$11=$H160,"◆",""),IF(AND(DV$11&gt;=$H160,DV$11&lt;=$I160),1,"")))</f>
        <v/>
      </c>
      <c r="DW160" s="448" t="str">
        <f aca="false">IF(FC_SUPUESTOS!$C$12=0,"",IF($G160=0,IF(DW$11=$H160,"◆",""),IF(AND(DW$11&gt;=$H160,DW$11&lt;=$I160),1,"")))</f>
        <v/>
      </c>
      <c r="DX160" s="448" t="str">
        <f aca="false">IF(FC_SUPUESTOS!$C$12=0,"",IF($G160=0,IF(DX$11=$H160,"◆",""),IF(AND(DX$11&gt;=$H160,DX$11&lt;=$I160),1,"")))</f>
        <v/>
      </c>
      <c r="DY160" s="448" t="str">
        <f aca="false">IF(FC_SUPUESTOS!$C$12=0,"",IF($G160=0,IF(DY$11=$H160,"◆",""),IF(AND(DY$11&gt;=$H160,DY$11&lt;=$I160),1,"")))</f>
        <v/>
      </c>
      <c r="DZ160" s="448" t="str">
        <f aca="false">IF(FC_SUPUESTOS!$C$12=0,"",IF($G160=0,IF(DZ$11=$H160,"◆",""),IF(AND(DZ$11&gt;=$H160,DZ$11&lt;=$I160),1,"")))</f>
        <v/>
      </c>
      <c r="EA160" s="448" t="str">
        <f aca="false">IF(FC_SUPUESTOS!$C$12=0,"",IF($G160=0,IF(EA$11=$H160,"◆",""),IF(AND(EA$11&gt;=$H160,EA$11&lt;=$I160),1,"")))</f>
        <v/>
      </c>
      <c r="EB160" s="448" t="str">
        <f aca="false">IF(FC_SUPUESTOS!$C$12=0,"",IF($G160=0,IF(EB$11=$H160,"◆",""),IF(AND(EB$11&gt;=$H160,EB$11&lt;=$I160),1,"")))</f>
        <v/>
      </c>
      <c r="EC160" s="448" t="str">
        <f aca="false">IF(FC_SUPUESTOS!$C$12=0,"",IF($G160=0,IF(EC$11=$H160,"◆",""),IF(AND(EC$11&gt;=$H160,EC$11&lt;=$I160),1,"")))</f>
        <v/>
      </c>
      <c r="ED160" s="448" t="str">
        <f aca="false">IF(FC_SUPUESTOS!$C$12=0,"",IF($G160=0,IF(ED$11=$H160,"◆",""),IF(AND(ED$11&gt;=$H160,ED$11&lt;=$I160),1,"")))</f>
        <v/>
      </c>
    </row>
    <row r="161" customFormat="false" ht="15" hidden="false" customHeight="true" outlineLevel="0" collapsed="false">
      <c r="A161" s="441" t="s">
        <v>2779</v>
      </c>
      <c r="B161" s="297" t="s">
        <v>2780</v>
      </c>
      <c r="C161" s="442" t="s">
        <v>2528</v>
      </c>
      <c r="D161" s="443" t="s">
        <v>2771</v>
      </c>
      <c r="E161" s="354" t="n">
        <f aca="false">FC_SUPUESTOS!$C$13-FC_SUPUESTOS!$C$31</f>
        <v>14</v>
      </c>
      <c r="F161" s="352" t="n">
        <v>0</v>
      </c>
      <c r="G161" s="352" t="n">
        <v>22</v>
      </c>
      <c r="H161" s="367" t="n">
        <f aca="false">MAX(1,ROUND(($E161-1)*$D$5,0)+1+$F161)</f>
        <v>57</v>
      </c>
      <c r="I161" s="367" t="n">
        <f aca="false">MAX($H161,$H161+$G161-1)</f>
        <v>78</v>
      </c>
      <c r="J161" s="444" t="str">
        <f aca="false">IF(FC_SUPUESTOS!$C$12=0,"—",$D$4+($H161-1)*7)</f>
        <v>—</v>
      </c>
      <c r="K161" s="444" t="str">
        <f aca="false">IF(FC_SUPUESTOS!$C$12=0,"—",$D$4+$I161*7-1)</f>
        <v>—</v>
      </c>
      <c r="L161" s="445" t="str">
        <f aca="false">IF(FC_SUPUESTOS!$C$12=0,"—",ROUNDUP($H161/$D$5,0))</f>
        <v>—</v>
      </c>
      <c r="M161" s="446"/>
      <c r="N161" s="447" t="n">
        <v>0</v>
      </c>
      <c r="O161" s="448" t="str">
        <f aca="false">IF(FC_SUPUESTOS!$C$12=0,"",IF($G161=0,IF(O$11=$H161,"◆",""),IF(AND(O$11&gt;=$H161,O$11&lt;=$I161),1,"")))</f>
        <v/>
      </c>
      <c r="P161" s="448" t="str">
        <f aca="false">IF(FC_SUPUESTOS!$C$12=0,"",IF($G161=0,IF(P$11=$H161,"◆",""),IF(AND(P$11&gt;=$H161,P$11&lt;=$I161),1,"")))</f>
        <v/>
      </c>
      <c r="Q161" s="448" t="str">
        <f aca="false">IF(FC_SUPUESTOS!$C$12=0,"",IF($G161=0,IF(Q$11=$H161,"◆",""),IF(AND(Q$11&gt;=$H161,Q$11&lt;=$I161),1,"")))</f>
        <v/>
      </c>
      <c r="R161" s="448" t="str">
        <f aca="false">IF(FC_SUPUESTOS!$C$12=0,"",IF($G161=0,IF(R$11=$H161,"◆",""),IF(AND(R$11&gt;=$H161,R$11&lt;=$I161),1,"")))</f>
        <v/>
      </c>
      <c r="S161" s="448" t="str">
        <f aca="false">IF(FC_SUPUESTOS!$C$12=0,"",IF($G161=0,IF(S$11=$H161,"◆",""),IF(AND(S$11&gt;=$H161,S$11&lt;=$I161),1,"")))</f>
        <v/>
      </c>
      <c r="T161" s="448" t="str">
        <f aca="false">IF(FC_SUPUESTOS!$C$12=0,"",IF($G161=0,IF(T$11=$H161,"◆",""),IF(AND(T$11&gt;=$H161,T$11&lt;=$I161),1,"")))</f>
        <v/>
      </c>
      <c r="U161" s="448" t="str">
        <f aca="false">IF(FC_SUPUESTOS!$C$12=0,"",IF($G161=0,IF(U$11=$H161,"◆",""),IF(AND(U$11&gt;=$H161,U$11&lt;=$I161),1,"")))</f>
        <v/>
      </c>
      <c r="V161" s="448" t="str">
        <f aca="false">IF(FC_SUPUESTOS!$C$12=0,"",IF($G161=0,IF(V$11=$H161,"◆",""),IF(AND(V$11&gt;=$H161,V$11&lt;=$I161),1,"")))</f>
        <v/>
      </c>
      <c r="W161" s="448" t="str">
        <f aca="false">IF(FC_SUPUESTOS!$C$12=0,"",IF($G161=0,IF(W$11=$H161,"◆",""),IF(AND(W$11&gt;=$H161,W$11&lt;=$I161),1,"")))</f>
        <v/>
      </c>
      <c r="X161" s="448" t="str">
        <f aca="false">IF(FC_SUPUESTOS!$C$12=0,"",IF($G161=0,IF(X$11=$H161,"◆",""),IF(AND(X$11&gt;=$H161,X$11&lt;=$I161),1,"")))</f>
        <v/>
      </c>
      <c r="Y161" s="448" t="str">
        <f aca="false">IF(FC_SUPUESTOS!$C$12=0,"",IF($G161=0,IF(Y$11=$H161,"◆",""),IF(AND(Y$11&gt;=$H161,Y$11&lt;=$I161),1,"")))</f>
        <v/>
      </c>
      <c r="Z161" s="448" t="str">
        <f aca="false">IF(FC_SUPUESTOS!$C$12=0,"",IF($G161=0,IF(Z$11=$H161,"◆",""),IF(AND(Z$11&gt;=$H161,Z$11&lt;=$I161),1,"")))</f>
        <v/>
      </c>
      <c r="AA161" s="448" t="str">
        <f aca="false">IF(FC_SUPUESTOS!$C$12=0,"",IF($G161=0,IF(AA$11=$H161,"◆",""),IF(AND(AA$11&gt;=$H161,AA$11&lt;=$I161),1,"")))</f>
        <v/>
      </c>
      <c r="AB161" s="448" t="str">
        <f aca="false">IF(FC_SUPUESTOS!$C$12=0,"",IF($G161=0,IF(AB$11=$H161,"◆",""),IF(AND(AB$11&gt;=$H161,AB$11&lt;=$I161),1,"")))</f>
        <v/>
      </c>
      <c r="AC161" s="448" t="str">
        <f aca="false">IF(FC_SUPUESTOS!$C$12=0,"",IF($G161=0,IF(AC$11=$H161,"◆",""),IF(AND(AC$11&gt;=$H161,AC$11&lt;=$I161),1,"")))</f>
        <v/>
      </c>
      <c r="AD161" s="448" t="str">
        <f aca="false">IF(FC_SUPUESTOS!$C$12=0,"",IF($G161=0,IF(AD$11=$H161,"◆",""),IF(AND(AD$11&gt;=$H161,AD$11&lt;=$I161),1,"")))</f>
        <v/>
      </c>
      <c r="AE161" s="448" t="str">
        <f aca="false">IF(FC_SUPUESTOS!$C$12=0,"",IF($G161=0,IF(AE$11=$H161,"◆",""),IF(AND(AE$11&gt;=$H161,AE$11&lt;=$I161),1,"")))</f>
        <v/>
      </c>
      <c r="AF161" s="448" t="str">
        <f aca="false">IF(FC_SUPUESTOS!$C$12=0,"",IF($G161=0,IF(AF$11=$H161,"◆",""),IF(AND(AF$11&gt;=$H161,AF$11&lt;=$I161),1,"")))</f>
        <v/>
      </c>
      <c r="AG161" s="448" t="str">
        <f aca="false">IF(FC_SUPUESTOS!$C$12=0,"",IF($G161=0,IF(AG$11=$H161,"◆",""),IF(AND(AG$11&gt;=$H161,AG$11&lt;=$I161),1,"")))</f>
        <v/>
      </c>
      <c r="AH161" s="448" t="str">
        <f aca="false">IF(FC_SUPUESTOS!$C$12=0,"",IF($G161=0,IF(AH$11=$H161,"◆",""),IF(AND(AH$11&gt;=$H161,AH$11&lt;=$I161),1,"")))</f>
        <v/>
      </c>
      <c r="AI161" s="448" t="str">
        <f aca="false">IF(FC_SUPUESTOS!$C$12=0,"",IF($G161=0,IF(AI$11=$H161,"◆",""),IF(AND(AI$11&gt;=$H161,AI$11&lt;=$I161),1,"")))</f>
        <v/>
      </c>
      <c r="AJ161" s="448" t="str">
        <f aca="false">IF(FC_SUPUESTOS!$C$12=0,"",IF($G161=0,IF(AJ$11=$H161,"◆",""),IF(AND(AJ$11&gt;=$H161,AJ$11&lt;=$I161),1,"")))</f>
        <v/>
      </c>
      <c r="AK161" s="448" t="str">
        <f aca="false">IF(FC_SUPUESTOS!$C$12=0,"",IF($G161=0,IF(AK$11=$H161,"◆",""),IF(AND(AK$11&gt;=$H161,AK$11&lt;=$I161),1,"")))</f>
        <v/>
      </c>
      <c r="AL161" s="448" t="str">
        <f aca="false">IF(FC_SUPUESTOS!$C$12=0,"",IF($G161=0,IF(AL$11=$H161,"◆",""),IF(AND(AL$11&gt;=$H161,AL$11&lt;=$I161),1,"")))</f>
        <v/>
      </c>
      <c r="AM161" s="448" t="str">
        <f aca="false">IF(FC_SUPUESTOS!$C$12=0,"",IF($G161=0,IF(AM$11=$H161,"◆",""),IF(AND(AM$11&gt;=$H161,AM$11&lt;=$I161),1,"")))</f>
        <v/>
      </c>
      <c r="AN161" s="448" t="str">
        <f aca="false">IF(FC_SUPUESTOS!$C$12=0,"",IF($G161=0,IF(AN$11=$H161,"◆",""),IF(AND(AN$11&gt;=$H161,AN$11&lt;=$I161),1,"")))</f>
        <v/>
      </c>
      <c r="AO161" s="448" t="str">
        <f aca="false">IF(FC_SUPUESTOS!$C$12=0,"",IF($G161=0,IF(AO$11=$H161,"◆",""),IF(AND(AO$11&gt;=$H161,AO$11&lt;=$I161),1,"")))</f>
        <v/>
      </c>
      <c r="AP161" s="448" t="str">
        <f aca="false">IF(FC_SUPUESTOS!$C$12=0,"",IF($G161=0,IF(AP$11=$H161,"◆",""),IF(AND(AP$11&gt;=$H161,AP$11&lt;=$I161),1,"")))</f>
        <v/>
      </c>
      <c r="AQ161" s="448" t="str">
        <f aca="false">IF(FC_SUPUESTOS!$C$12=0,"",IF($G161=0,IF(AQ$11=$H161,"◆",""),IF(AND(AQ$11&gt;=$H161,AQ$11&lt;=$I161),1,"")))</f>
        <v/>
      </c>
      <c r="AR161" s="448" t="str">
        <f aca="false">IF(FC_SUPUESTOS!$C$12=0,"",IF($G161=0,IF(AR$11=$H161,"◆",""),IF(AND(AR$11&gt;=$H161,AR$11&lt;=$I161),1,"")))</f>
        <v/>
      </c>
      <c r="AS161" s="448" t="str">
        <f aca="false">IF(FC_SUPUESTOS!$C$12=0,"",IF($G161=0,IF(AS$11=$H161,"◆",""),IF(AND(AS$11&gt;=$H161,AS$11&lt;=$I161),1,"")))</f>
        <v/>
      </c>
      <c r="AT161" s="448" t="str">
        <f aca="false">IF(FC_SUPUESTOS!$C$12=0,"",IF($G161=0,IF(AT$11=$H161,"◆",""),IF(AND(AT$11&gt;=$H161,AT$11&lt;=$I161),1,"")))</f>
        <v/>
      </c>
      <c r="AU161" s="448" t="str">
        <f aca="false">IF(FC_SUPUESTOS!$C$12=0,"",IF($G161=0,IF(AU$11=$H161,"◆",""),IF(AND(AU$11&gt;=$H161,AU$11&lt;=$I161),1,"")))</f>
        <v/>
      </c>
      <c r="AV161" s="448" t="str">
        <f aca="false">IF(FC_SUPUESTOS!$C$12=0,"",IF($G161=0,IF(AV$11=$H161,"◆",""),IF(AND(AV$11&gt;=$H161,AV$11&lt;=$I161),1,"")))</f>
        <v/>
      </c>
      <c r="AW161" s="448" t="str">
        <f aca="false">IF(FC_SUPUESTOS!$C$12=0,"",IF($G161=0,IF(AW$11=$H161,"◆",""),IF(AND(AW$11&gt;=$H161,AW$11&lt;=$I161),1,"")))</f>
        <v/>
      </c>
      <c r="AX161" s="448" t="str">
        <f aca="false">IF(FC_SUPUESTOS!$C$12=0,"",IF($G161=0,IF(AX$11=$H161,"◆",""),IF(AND(AX$11&gt;=$H161,AX$11&lt;=$I161),1,"")))</f>
        <v/>
      </c>
      <c r="AY161" s="448" t="str">
        <f aca="false">IF(FC_SUPUESTOS!$C$12=0,"",IF($G161=0,IF(AY$11=$H161,"◆",""),IF(AND(AY$11&gt;=$H161,AY$11&lt;=$I161),1,"")))</f>
        <v/>
      </c>
      <c r="AZ161" s="448" t="str">
        <f aca="false">IF(FC_SUPUESTOS!$C$12=0,"",IF($G161=0,IF(AZ$11=$H161,"◆",""),IF(AND(AZ$11&gt;=$H161,AZ$11&lt;=$I161),1,"")))</f>
        <v/>
      </c>
      <c r="BA161" s="448" t="str">
        <f aca="false">IF(FC_SUPUESTOS!$C$12=0,"",IF($G161=0,IF(BA$11=$H161,"◆",""),IF(AND(BA$11&gt;=$H161,BA$11&lt;=$I161),1,"")))</f>
        <v/>
      </c>
      <c r="BB161" s="448" t="str">
        <f aca="false">IF(FC_SUPUESTOS!$C$12=0,"",IF($G161=0,IF(BB$11=$H161,"◆",""),IF(AND(BB$11&gt;=$H161,BB$11&lt;=$I161),1,"")))</f>
        <v/>
      </c>
      <c r="BC161" s="448" t="str">
        <f aca="false">IF(FC_SUPUESTOS!$C$12=0,"",IF($G161=0,IF(BC$11=$H161,"◆",""),IF(AND(BC$11&gt;=$H161,BC$11&lt;=$I161),1,"")))</f>
        <v/>
      </c>
      <c r="BD161" s="448" t="str">
        <f aca="false">IF(FC_SUPUESTOS!$C$12=0,"",IF($G161=0,IF(BD$11=$H161,"◆",""),IF(AND(BD$11&gt;=$H161,BD$11&lt;=$I161),1,"")))</f>
        <v/>
      </c>
      <c r="BE161" s="448" t="str">
        <f aca="false">IF(FC_SUPUESTOS!$C$12=0,"",IF($G161=0,IF(BE$11=$H161,"◆",""),IF(AND(BE$11&gt;=$H161,BE$11&lt;=$I161),1,"")))</f>
        <v/>
      </c>
      <c r="BF161" s="448" t="str">
        <f aca="false">IF(FC_SUPUESTOS!$C$12=0,"",IF($G161=0,IF(BF$11=$H161,"◆",""),IF(AND(BF$11&gt;=$H161,BF$11&lt;=$I161),1,"")))</f>
        <v/>
      </c>
      <c r="BG161" s="448" t="str">
        <f aca="false">IF(FC_SUPUESTOS!$C$12=0,"",IF($G161=0,IF(BG$11=$H161,"◆",""),IF(AND(BG$11&gt;=$H161,BG$11&lt;=$I161),1,"")))</f>
        <v/>
      </c>
      <c r="BH161" s="448" t="str">
        <f aca="false">IF(FC_SUPUESTOS!$C$12=0,"",IF($G161=0,IF(BH$11=$H161,"◆",""),IF(AND(BH$11&gt;=$H161,BH$11&lt;=$I161),1,"")))</f>
        <v/>
      </c>
      <c r="BI161" s="448" t="str">
        <f aca="false">IF(FC_SUPUESTOS!$C$12=0,"",IF($G161=0,IF(BI$11=$H161,"◆",""),IF(AND(BI$11&gt;=$H161,BI$11&lt;=$I161),1,"")))</f>
        <v/>
      </c>
      <c r="BJ161" s="448" t="str">
        <f aca="false">IF(FC_SUPUESTOS!$C$12=0,"",IF($G161=0,IF(BJ$11=$H161,"◆",""),IF(AND(BJ$11&gt;=$H161,BJ$11&lt;=$I161),1,"")))</f>
        <v/>
      </c>
      <c r="BK161" s="448" t="str">
        <f aca="false">IF(FC_SUPUESTOS!$C$12=0,"",IF($G161=0,IF(BK$11=$H161,"◆",""),IF(AND(BK$11&gt;=$H161,BK$11&lt;=$I161),1,"")))</f>
        <v/>
      </c>
      <c r="BL161" s="448" t="str">
        <f aca="false">IF(FC_SUPUESTOS!$C$12=0,"",IF($G161=0,IF(BL$11=$H161,"◆",""),IF(AND(BL$11&gt;=$H161,BL$11&lt;=$I161),1,"")))</f>
        <v/>
      </c>
      <c r="BM161" s="448" t="str">
        <f aca="false">IF(FC_SUPUESTOS!$C$12=0,"",IF($G161=0,IF(BM$11=$H161,"◆",""),IF(AND(BM$11&gt;=$H161,BM$11&lt;=$I161),1,"")))</f>
        <v/>
      </c>
      <c r="BN161" s="448" t="str">
        <f aca="false">IF(FC_SUPUESTOS!$C$12=0,"",IF($G161=0,IF(BN$11=$H161,"◆",""),IF(AND(BN$11&gt;=$H161,BN$11&lt;=$I161),1,"")))</f>
        <v/>
      </c>
      <c r="BO161" s="448" t="str">
        <f aca="false">IF(FC_SUPUESTOS!$C$12=0,"",IF($G161=0,IF(BO$11=$H161,"◆",""),IF(AND(BO$11&gt;=$H161,BO$11&lt;=$I161),1,"")))</f>
        <v/>
      </c>
      <c r="BP161" s="448" t="str">
        <f aca="false">IF(FC_SUPUESTOS!$C$12=0,"",IF($G161=0,IF(BP$11=$H161,"◆",""),IF(AND(BP$11&gt;=$H161,BP$11&lt;=$I161),1,"")))</f>
        <v/>
      </c>
      <c r="BQ161" s="448" t="str">
        <f aca="false">IF(FC_SUPUESTOS!$C$12=0,"",IF($G161=0,IF(BQ$11=$H161,"◆",""),IF(AND(BQ$11&gt;=$H161,BQ$11&lt;=$I161),1,"")))</f>
        <v/>
      </c>
      <c r="BR161" s="448" t="str">
        <f aca="false">IF(FC_SUPUESTOS!$C$12=0,"",IF($G161=0,IF(BR$11=$H161,"◆",""),IF(AND(BR$11&gt;=$H161,BR$11&lt;=$I161),1,"")))</f>
        <v/>
      </c>
      <c r="BS161" s="448" t="str">
        <f aca="false">IF(FC_SUPUESTOS!$C$12=0,"",IF($G161=0,IF(BS$11=$H161,"◆",""),IF(AND(BS$11&gt;=$H161,BS$11&lt;=$I161),1,"")))</f>
        <v/>
      </c>
      <c r="BT161" s="448" t="str">
        <f aca="false">IF(FC_SUPUESTOS!$C$12=0,"",IF($G161=0,IF(BT$11=$H161,"◆",""),IF(AND(BT$11&gt;=$H161,BT$11&lt;=$I161),1,"")))</f>
        <v/>
      </c>
      <c r="BU161" s="448" t="str">
        <f aca="false">IF(FC_SUPUESTOS!$C$12=0,"",IF($G161=0,IF(BU$11=$H161,"◆",""),IF(AND(BU$11&gt;=$H161,BU$11&lt;=$I161),1,"")))</f>
        <v/>
      </c>
      <c r="BV161" s="448" t="str">
        <f aca="false">IF(FC_SUPUESTOS!$C$12=0,"",IF($G161=0,IF(BV$11=$H161,"◆",""),IF(AND(BV$11&gt;=$H161,BV$11&lt;=$I161),1,"")))</f>
        <v/>
      </c>
      <c r="BW161" s="448" t="str">
        <f aca="false">IF(FC_SUPUESTOS!$C$12=0,"",IF($G161=0,IF(BW$11=$H161,"◆",""),IF(AND(BW$11&gt;=$H161,BW$11&lt;=$I161),1,"")))</f>
        <v/>
      </c>
      <c r="BX161" s="448" t="str">
        <f aca="false">IF(FC_SUPUESTOS!$C$12=0,"",IF($G161=0,IF(BX$11=$H161,"◆",""),IF(AND(BX$11&gt;=$H161,BX$11&lt;=$I161),1,"")))</f>
        <v/>
      </c>
      <c r="BY161" s="448" t="str">
        <f aca="false">IF(FC_SUPUESTOS!$C$12=0,"",IF($G161=0,IF(BY$11=$H161,"◆",""),IF(AND(BY$11&gt;=$H161,BY$11&lt;=$I161),1,"")))</f>
        <v/>
      </c>
      <c r="BZ161" s="448" t="str">
        <f aca="false">IF(FC_SUPUESTOS!$C$12=0,"",IF($G161=0,IF(BZ$11=$H161,"◆",""),IF(AND(BZ$11&gt;=$H161,BZ$11&lt;=$I161),1,"")))</f>
        <v/>
      </c>
      <c r="CA161" s="448" t="str">
        <f aca="false">IF(FC_SUPUESTOS!$C$12=0,"",IF($G161=0,IF(CA$11=$H161,"◆",""),IF(AND(CA$11&gt;=$H161,CA$11&lt;=$I161),1,"")))</f>
        <v/>
      </c>
      <c r="CB161" s="448" t="str">
        <f aca="false">IF(FC_SUPUESTOS!$C$12=0,"",IF($G161=0,IF(CB$11=$H161,"◆",""),IF(AND(CB$11&gt;=$H161,CB$11&lt;=$I161),1,"")))</f>
        <v/>
      </c>
      <c r="CC161" s="448" t="str">
        <f aca="false">IF(FC_SUPUESTOS!$C$12=0,"",IF($G161=0,IF(CC$11=$H161,"◆",""),IF(AND(CC$11&gt;=$H161,CC$11&lt;=$I161),1,"")))</f>
        <v/>
      </c>
      <c r="CD161" s="448" t="str">
        <f aca="false">IF(FC_SUPUESTOS!$C$12=0,"",IF($G161=0,IF(CD$11=$H161,"◆",""),IF(AND(CD$11&gt;=$H161,CD$11&lt;=$I161),1,"")))</f>
        <v/>
      </c>
      <c r="CE161" s="448" t="str">
        <f aca="false">IF(FC_SUPUESTOS!$C$12=0,"",IF($G161=0,IF(CE$11=$H161,"◆",""),IF(AND(CE$11&gt;=$H161,CE$11&lt;=$I161),1,"")))</f>
        <v/>
      </c>
      <c r="CF161" s="448" t="str">
        <f aca="false">IF(FC_SUPUESTOS!$C$12=0,"",IF($G161=0,IF(CF$11=$H161,"◆",""),IF(AND(CF$11&gt;=$H161,CF$11&lt;=$I161),1,"")))</f>
        <v/>
      </c>
      <c r="CG161" s="448" t="str">
        <f aca="false">IF(FC_SUPUESTOS!$C$12=0,"",IF($G161=0,IF(CG$11=$H161,"◆",""),IF(AND(CG$11&gt;=$H161,CG$11&lt;=$I161),1,"")))</f>
        <v/>
      </c>
      <c r="CH161" s="448" t="str">
        <f aca="false">IF(FC_SUPUESTOS!$C$12=0,"",IF($G161=0,IF(CH$11=$H161,"◆",""),IF(AND(CH$11&gt;=$H161,CH$11&lt;=$I161),1,"")))</f>
        <v/>
      </c>
      <c r="CI161" s="448" t="str">
        <f aca="false">IF(FC_SUPUESTOS!$C$12=0,"",IF($G161=0,IF(CI$11=$H161,"◆",""),IF(AND(CI$11&gt;=$H161,CI$11&lt;=$I161),1,"")))</f>
        <v/>
      </c>
      <c r="CJ161" s="448" t="str">
        <f aca="false">IF(FC_SUPUESTOS!$C$12=0,"",IF($G161=0,IF(CJ$11=$H161,"◆",""),IF(AND(CJ$11&gt;=$H161,CJ$11&lt;=$I161),1,"")))</f>
        <v/>
      </c>
      <c r="CK161" s="448" t="str">
        <f aca="false">IF(FC_SUPUESTOS!$C$12=0,"",IF($G161=0,IF(CK$11=$H161,"◆",""),IF(AND(CK$11&gt;=$H161,CK$11&lt;=$I161),1,"")))</f>
        <v/>
      </c>
      <c r="CL161" s="448" t="str">
        <f aca="false">IF(FC_SUPUESTOS!$C$12=0,"",IF($G161=0,IF(CL$11=$H161,"◆",""),IF(AND(CL$11&gt;=$H161,CL$11&lt;=$I161),1,"")))</f>
        <v/>
      </c>
      <c r="CM161" s="448" t="str">
        <f aca="false">IF(FC_SUPUESTOS!$C$12=0,"",IF($G161=0,IF(CM$11=$H161,"◆",""),IF(AND(CM$11&gt;=$H161,CM$11&lt;=$I161),1,"")))</f>
        <v/>
      </c>
      <c r="CN161" s="448" t="str">
        <f aca="false">IF(FC_SUPUESTOS!$C$12=0,"",IF($G161=0,IF(CN$11=$H161,"◆",""),IF(AND(CN$11&gt;=$H161,CN$11&lt;=$I161),1,"")))</f>
        <v/>
      </c>
      <c r="CO161" s="448" t="str">
        <f aca="false">IF(FC_SUPUESTOS!$C$12=0,"",IF($G161=0,IF(CO$11=$H161,"◆",""),IF(AND(CO$11&gt;=$H161,CO$11&lt;=$I161),1,"")))</f>
        <v/>
      </c>
      <c r="CP161" s="448" t="str">
        <f aca="false">IF(FC_SUPUESTOS!$C$12=0,"",IF($G161=0,IF(CP$11=$H161,"◆",""),IF(AND(CP$11&gt;=$H161,CP$11&lt;=$I161),1,"")))</f>
        <v/>
      </c>
      <c r="CQ161" s="448" t="str">
        <f aca="false">IF(FC_SUPUESTOS!$C$12=0,"",IF($G161=0,IF(CQ$11=$H161,"◆",""),IF(AND(CQ$11&gt;=$H161,CQ$11&lt;=$I161),1,"")))</f>
        <v/>
      </c>
      <c r="CR161" s="448" t="str">
        <f aca="false">IF(FC_SUPUESTOS!$C$12=0,"",IF($G161=0,IF(CR$11=$H161,"◆",""),IF(AND(CR$11&gt;=$H161,CR$11&lt;=$I161),1,"")))</f>
        <v/>
      </c>
      <c r="CS161" s="448" t="str">
        <f aca="false">IF(FC_SUPUESTOS!$C$12=0,"",IF($G161=0,IF(CS$11=$H161,"◆",""),IF(AND(CS$11&gt;=$H161,CS$11&lt;=$I161),1,"")))</f>
        <v/>
      </c>
      <c r="CT161" s="448" t="str">
        <f aca="false">IF(FC_SUPUESTOS!$C$12=0,"",IF($G161=0,IF(CT$11=$H161,"◆",""),IF(AND(CT$11&gt;=$H161,CT$11&lt;=$I161),1,"")))</f>
        <v/>
      </c>
      <c r="CU161" s="448" t="str">
        <f aca="false">IF(FC_SUPUESTOS!$C$12=0,"",IF($G161=0,IF(CU$11=$H161,"◆",""),IF(AND(CU$11&gt;=$H161,CU$11&lt;=$I161),1,"")))</f>
        <v/>
      </c>
      <c r="CV161" s="448" t="str">
        <f aca="false">IF(FC_SUPUESTOS!$C$12=0,"",IF($G161=0,IF(CV$11=$H161,"◆",""),IF(AND(CV$11&gt;=$H161,CV$11&lt;=$I161),1,"")))</f>
        <v/>
      </c>
      <c r="CW161" s="448" t="str">
        <f aca="false">IF(FC_SUPUESTOS!$C$12=0,"",IF($G161=0,IF(CW$11=$H161,"◆",""),IF(AND(CW$11&gt;=$H161,CW$11&lt;=$I161),1,"")))</f>
        <v/>
      </c>
      <c r="CX161" s="448" t="str">
        <f aca="false">IF(FC_SUPUESTOS!$C$12=0,"",IF($G161=0,IF(CX$11=$H161,"◆",""),IF(AND(CX$11&gt;=$H161,CX$11&lt;=$I161),1,"")))</f>
        <v/>
      </c>
      <c r="CY161" s="448" t="str">
        <f aca="false">IF(FC_SUPUESTOS!$C$12=0,"",IF($G161=0,IF(CY$11=$H161,"◆",""),IF(AND(CY$11&gt;=$H161,CY$11&lt;=$I161),1,"")))</f>
        <v/>
      </c>
      <c r="CZ161" s="448" t="str">
        <f aca="false">IF(FC_SUPUESTOS!$C$12=0,"",IF($G161=0,IF(CZ$11=$H161,"◆",""),IF(AND(CZ$11&gt;=$H161,CZ$11&lt;=$I161),1,"")))</f>
        <v/>
      </c>
      <c r="DA161" s="448" t="str">
        <f aca="false">IF(FC_SUPUESTOS!$C$12=0,"",IF($G161=0,IF(DA$11=$H161,"◆",""),IF(AND(DA$11&gt;=$H161,DA$11&lt;=$I161),1,"")))</f>
        <v/>
      </c>
      <c r="DB161" s="448" t="str">
        <f aca="false">IF(FC_SUPUESTOS!$C$12=0,"",IF($G161=0,IF(DB$11=$H161,"◆",""),IF(AND(DB$11&gt;=$H161,DB$11&lt;=$I161),1,"")))</f>
        <v/>
      </c>
      <c r="DC161" s="448" t="str">
        <f aca="false">IF(FC_SUPUESTOS!$C$12=0,"",IF($G161=0,IF(DC$11=$H161,"◆",""),IF(AND(DC$11&gt;=$H161,DC$11&lt;=$I161),1,"")))</f>
        <v/>
      </c>
      <c r="DD161" s="448" t="str">
        <f aca="false">IF(FC_SUPUESTOS!$C$12=0,"",IF($G161=0,IF(DD$11=$H161,"◆",""),IF(AND(DD$11&gt;=$H161,DD$11&lt;=$I161),1,"")))</f>
        <v/>
      </c>
      <c r="DE161" s="448" t="str">
        <f aca="false">IF(FC_SUPUESTOS!$C$12=0,"",IF($G161=0,IF(DE$11=$H161,"◆",""),IF(AND(DE$11&gt;=$H161,DE$11&lt;=$I161),1,"")))</f>
        <v/>
      </c>
      <c r="DF161" s="448" t="str">
        <f aca="false">IF(FC_SUPUESTOS!$C$12=0,"",IF($G161=0,IF(DF$11=$H161,"◆",""),IF(AND(DF$11&gt;=$H161,DF$11&lt;=$I161),1,"")))</f>
        <v/>
      </c>
      <c r="DG161" s="448" t="str">
        <f aca="false">IF(FC_SUPUESTOS!$C$12=0,"",IF($G161=0,IF(DG$11=$H161,"◆",""),IF(AND(DG$11&gt;=$H161,DG$11&lt;=$I161),1,"")))</f>
        <v/>
      </c>
      <c r="DH161" s="448" t="str">
        <f aca="false">IF(FC_SUPUESTOS!$C$12=0,"",IF($G161=0,IF(DH$11=$H161,"◆",""),IF(AND(DH$11&gt;=$H161,DH$11&lt;=$I161),1,"")))</f>
        <v/>
      </c>
      <c r="DI161" s="448" t="str">
        <f aca="false">IF(FC_SUPUESTOS!$C$12=0,"",IF($G161=0,IF(DI$11=$H161,"◆",""),IF(AND(DI$11&gt;=$H161,DI$11&lt;=$I161),1,"")))</f>
        <v/>
      </c>
      <c r="DJ161" s="448" t="str">
        <f aca="false">IF(FC_SUPUESTOS!$C$12=0,"",IF($G161=0,IF(DJ$11=$H161,"◆",""),IF(AND(DJ$11&gt;=$H161,DJ$11&lt;=$I161),1,"")))</f>
        <v/>
      </c>
      <c r="DK161" s="448" t="str">
        <f aca="false">IF(FC_SUPUESTOS!$C$12=0,"",IF($G161=0,IF(DK$11=$H161,"◆",""),IF(AND(DK$11&gt;=$H161,DK$11&lt;=$I161),1,"")))</f>
        <v/>
      </c>
      <c r="DL161" s="448" t="str">
        <f aca="false">IF(FC_SUPUESTOS!$C$12=0,"",IF($G161=0,IF(DL$11=$H161,"◆",""),IF(AND(DL$11&gt;=$H161,DL$11&lt;=$I161),1,"")))</f>
        <v/>
      </c>
      <c r="DM161" s="448" t="str">
        <f aca="false">IF(FC_SUPUESTOS!$C$12=0,"",IF($G161=0,IF(DM$11=$H161,"◆",""),IF(AND(DM$11&gt;=$H161,DM$11&lt;=$I161),1,"")))</f>
        <v/>
      </c>
      <c r="DN161" s="448" t="str">
        <f aca="false">IF(FC_SUPUESTOS!$C$12=0,"",IF($G161=0,IF(DN$11=$H161,"◆",""),IF(AND(DN$11&gt;=$H161,DN$11&lt;=$I161),1,"")))</f>
        <v/>
      </c>
      <c r="DO161" s="448" t="str">
        <f aca="false">IF(FC_SUPUESTOS!$C$12=0,"",IF($G161=0,IF(DO$11=$H161,"◆",""),IF(AND(DO$11&gt;=$H161,DO$11&lt;=$I161),1,"")))</f>
        <v/>
      </c>
      <c r="DP161" s="448" t="str">
        <f aca="false">IF(FC_SUPUESTOS!$C$12=0,"",IF($G161=0,IF(DP$11=$H161,"◆",""),IF(AND(DP$11&gt;=$H161,DP$11&lt;=$I161),1,"")))</f>
        <v/>
      </c>
      <c r="DQ161" s="448" t="str">
        <f aca="false">IF(FC_SUPUESTOS!$C$12=0,"",IF($G161=0,IF(DQ$11=$H161,"◆",""),IF(AND(DQ$11&gt;=$H161,DQ$11&lt;=$I161),1,"")))</f>
        <v/>
      </c>
      <c r="DR161" s="448" t="str">
        <f aca="false">IF(FC_SUPUESTOS!$C$12=0,"",IF($G161=0,IF(DR$11=$H161,"◆",""),IF(AND(DR$11&gt;=$H161,DR$11&lt;=$I161),1,"")))</f>
        <v/>
      </c>
      <c r="DS161" s="448" t="str">
        <f aca="false">IF(FC_SUPUESTOS!$C$12=0,"",IF($G161=0,IF(DS$11=$H161,"◆",""),IF(AND(DS$11&gt;=$H161,DS$11&lt;=$I161),1,"")))</f>
        <v/>
      </c>
      <c r="DT161" s="448" t="str">
        <f aca="false">IF(FC_SUPUESTOS!$C$12=0,"",IF($G161=0,IF(DT$11=$H161,"◆",""),IF(AND(DT$11&gt;=$H161,DT$11&lt;=$I161),1,"")))</f>
        <v/>
      </c>
      <c r="DU161" s="448" t="str">
        <f aca="false">IF(FC_SUPUESTOS!$C$12=0,"",IF($G161=0,IF(DU$11=$H161,"◆",""),IF(AND(DU$11&gt;=$H161,DU$11&lt;=$I161),1,"")))</f>
        <v/>
      </c>
      <c r="DV161" s="448" t="str">
        <f aca="false">IF(FC_SUPUESTOS!$C$12=0,"",IF($G161=0,IF(DV$11=$H161,"◆",""),IF(AND(DV$11&gt;=$H161,DV$11&lt;=$I161),1,"")))</f>
        <v/>
      </c>
      <c r="DW161" s="448" t="str">
        <f aca="false">IF(FC_SUPUESTOS!$C$12=0,"",IF($G161=0,IF(DW$11=$H161,"◆",""),IF(AND(DW$11&gt;=$H161,DW$11&lt;=$I161),1,"")))</f>
        <v/>
      </c>
      <c r="DX161" s="448" t="str">
        <f aca="false">IF(FC_SUPUESTOS!$C$12=0,"",IF($G161=0,IF(DX$11=$H161,"◆",""),IF(AND(DX$11&gt;=$H161,DX$11&lt;=$I161),1,"")))</f>
        <v/>
      </c>
      <c r="DY161" s="448" t="str">
        <f aca="false">IF(FC_SUPUESTOS!$C$12=0,"",IF($G161=0,IF(DY$11=$H161,"◆",""),IF(AND(DY$11&gt;=$H161,DY$11&lt;=$I161),1,"")))</f>
        <v/>
      </c>
      <c r="DZ161" s="448" t="str">
        <f aca="false">IF(FC_SUPUESTOS!$C$12=0,"",IF($G161=0,IF(DZ$11=$H161,"◆",""),IF(AND(DZ$11&gt;=$H161,DZ$11&lt;=$I161),1,"")))</f>
        <v/>
      </c>
      <c r="EA161" s="448" t="str">
        <f aca="false">IF(FC_SUPUESTOS!$C$12=0,"",IF($G161=0,IF(EA$11=$H161,"◆",""),IF(AND(EA$11&gt;=$H161,EA$11&lt;=$I161),1,"")))</f>
        <v/>
      </c>
      <c r="EB161" s="448" t="str">
        <f aca="false">IF(FC_SUPUESTOS!$C$12=0,"",IF($G161=0,IF(EB$11=$H161,"◆",""),IF(AND(EB$11&gt;=$H161,EB$11&lt;=$I161),1,"")))</f>
        <v/>
      </c>
      <c r="EC161" s="448" t="str">
        <f aca="false">IF(FC_SUPUESTOS!$C$12=0,"",IF($G161=0,IF(EC$11=$H161,"◆",""),IF(AND(EC$11&gt;=$H161,EC$11&lt;=$I161),1,"")))</f>
        <v/>
      </c>
      <c r="ED161" s="448" t="str">
        <f aca="false">IF(FC_SUPUESTOS!$C$12=0,"",IF($G161=0,IF(ED$11=$H161,"◆",""),IF(AND(ED$11&gt;=$H161,ED$11&lt;=$I161),1,"")))</f>
        <v/>
      </c>
    </row>
    <row r="162" customFormat="false" ht="15" hidden="false" customHeight="true" outlineLevel="0" collapsed="false">
      <c r="A162" s="441" t="s">
        <v>2781</v>
      </c>
      <c r="B162" s="297" t="s">
        <v>2782</v>
      </c>
      <c r="C162" s="442" t="s">
        <v>2531</v>
      </c>
      <c r="D162" s="443" t="s">
        <v>2778</v>
      </c>
      <c r="E162" s="354" t="n">
        <f aca="false">FC_SUPUESTOS!$C$13-FC_SUPUESTOS!$C$33</f>
        <v>16</v>
      </c>
      <c r="F162" s="352" t="n">
        <v>0</v>
      </c>
      <c r="G162" s="352" t="n">
        <v>16</v>
      </c>
      <c r="H162" s="367" t="n">
        <f aca="false">MAX(1,ROUND(($E162-1)*$D$5,0)+1+$F162)</f>
        <v>66</v>
      </c>
      <c r="I162" s="367" t="n">
        <f aca="false">MAX($H162,$H162+$G162-1)</f>
        <v>81</v>
      </c>
      <c r="J162" s="444" t="str">
        <f aca="false">IF(FC_SUPUESTOS!$C$12=0,"—",$D$4+($H162-1)*7)</f>
        <v>—</v>
      </c>
      <c r="K162" s="444" t="str">
        <f aca="false">IF(FC_SUPUESTOS!$C$12=0,"—",$D$4+$I162*7-1)</f>
        <v>—</v>
      </c>
      <c r="L162" s="445" t="str">
        <f aca="false">IF(FC_SUPUESTOS!$C$12=0,"—",ROUNDUP($H162/$D$5,0))</f>
        <v>—</v>
      </c>
      <c r="M162" s="446"/>
      <c r="N162" s="447" t="n">
        <v>0</v>
      </c>
      <c r="O162" s="448" t="str">
        <f aca="false">IF(FC_SUPUESTOS!$C$12=0,"",IF($G162=0,IF(O$11=$H162,"◆",""),IF(AND(O$11&gt;=$H162,O$11&lt;=$I162),1,"")))</f>
        <v/>
      </c>
      <c r="P162" s="448" t="str">
        <f aca="false">IF(FC_SUPUESTOS!$C$12=0,"",IF($G162=0,IF(P$11=$H162,"◆",""),IF(AND(P$11&gt;=$H162,P$11&lt;=$I162),1,"")))</f>
        <v/>
      </c>
      <c r="Q162" s="448" t="str">
        <f aca="false">IF(FC_SUPUESTOS!$C$12=0,"",IF($G162=0,IF(Q$11=$H162,"◆",""),IF(AND(Q$11&gt;=$H162,Q$11&lt;=$I162),1,"")))</f>
        <v/>
      </c>
      <c r="R162" s="448" t="str">
        <f aca="false">IF(FC_SUPUESTOS!$C$12=0,"",IF($G162=0,IF(R$11=$H162,"◆",""),IF(AND(R$11&gt;=$H162,R$11&lt;=$I162),1,"")))</f>
        <v/>
      </c>
      <c r="S162" s="448" t="str">
        <f aca="false">IF(FC_SUPUESTOS!$C$12=0,"",IF($G162=0,IF(S$11=$H162,"◆",""),IF(AND(S$11&gt;=$H162,S$11&lt;=$I162),1,"")))</f>
        <v/>
      </c>
      <c r="T162" s="448" t="str">
        <f aca="false">IF(FC_SUPUESTOS!$C$12=0,"",IF($G162=0,IF(T$11=$H162,"◆",""),IF(AND(T$11&gt;=$H162,T$11&lt;=$I162),1,"")))</f>
        <v/>
      </c>
      <c r="U162" s="448" t="str">
        <f aca="false">IF(FC_SUPUESTOS!$C$12=0,"",IF($G162=0,IF(U$11=$H162,"◆",""),IF(AND(U$11&gt;=$H162,U$11&lt;=$I162),1,"")))</f>
        <v/>
      </c>
      <c r="V162" s="448" t="str">
        <f aca="false">IF(FC_SUPUESTOS!$C$12=0,"",IF($G162=0,IF(V$11=$H162,"◆",""),IF(AND(V$11&gt;=$H162,V$11&lt;=$I162),1,"")))</f>
        <v/>
      </c>
      <c r="W162" s="448" t="str">
        <f aca="false">IF(FC_SUPUESTOS!$C$12=0,"",IF($G162=0,IF(W$11=$H162,"◆",""),IF(AND(W$11&gt;=$H162,W$11&lt;=$I162),1,"")))</f>
        <v/>
      </c>
      <c r="X162" s="448" t="str">
        <f aca="false">IF(FC_SUPUESTOS!$C$12=0,"",IF($G162=0,IF(X$11=$H162,"◆",""),IF(AND(X$11&gt;=$H162,X$11&lt;=$I162),1,"")))</f>
        <v/>
      </c>
      <c r="Y162" s="448" t="str">
        <f aca="false">IF(FC_SUPUESTOS!$C$12=0,"",IF($G162=0,IF(Y$11=$H162,"◆",""),IF(AND(Y$11&gt;=$H162,Y$11&lt;=$I162),1,"")))</f>
        <v/>
      </c>
      <c r="Z162" s="448" t="str">
        <f aca="false">IF(FC_SUPUESTOS!$C$12=0,"",IF($G162=0,IF(Z$11=$H162,"◆",""),IF(AND(Z$11&gt;=$H162,Z$11&lt;=$I162),1,"")))</f>
        <v/>
      </c>
      <c r="AA162" s="448" t="str">
        <f aca="false">IF(FC_SUPUESTOS!$C$12=0,"",IF($G162=0,IF(AA$11=$H162,"◆",""),IF(AND(AA$11&gt;=$H162,AA$11&lt;=$I162),1,"")))</f>
        <v/>
      </c>
      <c r="AB162" s="448" t="str">
        <f aca="false">IF(FC_SUPUESTOS!$C$12=0,"",IF($G162=0,IF(AB$11=$H162,"◆",""),IF(AND(AB$11&gt;=$H162,AB$11&lt;=$I162),1,"")))</f>
        <v/>
      </c>
      <c r="AC162" s="448" t="str">
        <f aca="false">IF(FC_SUPUESTOS!$C$12=0,"",IF($G162=0,IF(AC$11=$H162,"◆",""),IF(AND(AC$11&gt;=$H162,AC$11&lt;=$I162),1,"")))</f>
        <v/>
      </c>
      <c r="AD162" s="448" t="str">
        <f aca="false">IF(FC_SUPUESTOS!$C$12=0,"",IF($G162=0,IF(AD$11=$H162,"◆",""),IF(AND(AD$11&gt;=$H162,AD$11&lt;=$I162),1,"")))</f>
        <v/>
      </c>
      <c r="AE162" s="448" t="str">
        <f aca="false">IF(FC_SUPUESTOS!$C$12=0,"",IF($G162=0,IF(AE$11=$H162,"◆",""),IF(AND(AE$11&gt;=$H162,AE$11&lt;=$I162),1,"")))</f>
        <v/>
      </c>
      <c r="AF162" s="448" t="str">
        <f aca="false">IF(FC_SUPUESTOS!$C$12=0,"",IF($G162=0,IF(AF$11=$H162,"◆",""),IF(AND(AF$11&gt;=$H162,AF$11&lt;=$I162),1,"")))</f>
        <v/>
      </c>
      <c r="AG162" s="448" t="str">
        <f aca="false">IF(FC_SUPUESTOS!$C$12=0,"",IF($G162=0,IF(AG$11=$H162,"◆",""),IF(AND(AG$11&gt;=$H162,AG$11&lt;=$I162),1,"")))</f>
        <v/>
      </c>
      <c r="AH162" s="448" t="str">
        <f aca="false">IF(FC_SUPUESTOS!$C$12=0,"",IF($G162=0,IF(AH$11=$H162,"◆",""),IF(AND(AH$11&gt;=$H162,AH$11&lt;=$I162),1,"")))</f>
        <v/>
      </c>
      <c r="AI162" s="448" t="str">
        <f aca="false">IF(FC_SUPUESTOS!$C$12=0,"",IF($G162=0,IF(AI$11=$H162,"◆",""),IF(AND(AI$11&gt;=$H162,AI$11&lt;=$I162),1,"")))</f>
        <v/>
      </c>
      <c r="AJ162" s="448" t="str">
        <f aca="false">IF(FC_SUPUESTOS!$C$12=0,"",IF($G162=0,IF(AJ$11=$H162,"◆",""),IF(AND(AJ$11&gt;=$H162,AJ$11&lt;=$I162),1,"")))</f>
        <v/>
      </c>
      <c r="AK162" s="448" t="str">
        <f aca="false">IF(FC_SUPUESTOS!$C$12=0,"",IF($G162=0,IF(AK$11=$H162,"◆",""),IF(AND(AK$11&gt;=$H162,AK$11&lt;=$I162),1,"")))</f>
        <v/>
      </c>
      <c r="AL162" s="448" t="str">
        <f aca="false">IF(FC_SUPUESTOS!$C$12=0,"",IF($G162=0,IF(AL$11=$H162,"◆",""),IF(AND(AL$11&gt;=$H162,AL$11&lt;=$I162),1,"")))</f>
        <v/>
      </c>
      <c r="AM162" s="448" t="str">
        <f aca="false">IF(FC_SUPUESTOS!$C$12=0,"",IF($G162=0,IF(AM$11=$H162,"◆",""),IF(AND(AM$11&gt;=$H162,AM$11&lt;=$I162),1,"")))</f>
        <v/>
      </c>
      <c r="AN162" s="448" t="str">
        <f aca="false">IF(FC_SUPUESTOS!$C$12=0,"",IF($G162=0,IF(AN$11=$H162,"◆",""),IF(AND(AN$11&gt;=$H162,AN$11&lt;=$I162),1,"")))</f>
        <v/>
      </c>
      <c r="AO162" s="448" t="str">
        <f aca="false">IF(FC_SUPUESTOS!$C$12=0,"",IF($G162=0,IF(AO$11=$H162,"◆",""),IF(AND(AO$11&gt;=$H162,AO$11&lt;=$I162),1,"")))</f>
        <v/>
      </c>
      <c r="AP162" s="448" t="str">
        <f aca="false">IF(FC_SUPUESTOS!$C$12=0,"",IF($G162=0,IF(AP$11=$H162,"◆",""),IF(AND(AP$11&gt;=$H162,AP$11&lt;=$I162),1,"")))</f>
        <v/>
      </c>
      <c r="AQ162" s="448" t="str">
        <f aca="false">IF(FC_SUPUESTOS!$C$12=0,"",IF($G162=0,IF(AQ$11=$H162,"◆",""),IF(AND(AQ$11&gt;=$H162,AQ$11&lt;=$I162),1,"")))</f>
        <v/>
      </c>
      <c r="AR162" s="448" t="str">
        <f aca="false">IF(FC_SUPUESTOS!$C$12=0,"",IF($G162=0,IF(AR$11=$H162,"◆",""),IF(AND(AR$11&gt;=$H162,AR$11&lt;=$I162),1,"")))</f>
        <v/>
      </c>
      <c r="AS162" s="448" t="str">
        <f aca="false">IF(FC_SUPUESTOS!$C$12=0,"",IF($G162=0,IF(AS$11=$H162,"◆",""),IF(AND(AS$11&gt;=$H162,AS$11&lt;=$I162),1,"")))</f>
        <v/>
      </c>
      <c r="AT162" s="448" t="str">
        <f aca="false">IF(FC_SUPUESTOS!$C$12=0,"",IF($G162=0,IF(AT$11=$H162,"◆",""),IF(AND(AT$11&gt;=$H162,AT$11&lt;=$I162),1,"")))</f>
        <v/>
      </c>
      <c r="AU162" s="448" t="str">
        <f aca="false">IF(FC_SUPUESTOS!$C$12=0,"",IF($G162=0,IF(AU$11=$H162,"◆",""),IF(AND(AU$11&gt;=$H162,AU$11&lt;=$I162),1,"")))</f>
        <v/>
      </c>
      <c r="AV162" s="448" t="str">
        <f aca="false">IF(FC_SUPUESTOS!$C$12=0,"",IF($G162=0,IF(AV$11=$H162,"◆",""),IF(AND(AV$11&gt;=$H162,AV$11&lt;=$I162),1,"")))</f>
        <v/>
      </c>
      <c r="AW162" s="448" t="str">
        <f aca="false">IF(FC_SUPUESTOS!$C$12=0,"",IF($G162=0,IF(AW$11=$H162,"◆",""),IF(AND(AW$11&gt;=$H162,AW$11&lt;=$I162),1,"")))</f>
        <v/>
      </c>
      <c r="AX162" s="448" t="str">
        <f aca="false">IF(FC_SUPUESTOS!$C$12=0,"",IF($G162=0,IF(AX$11=$H162,"◆",""),IF(AND(AX$11&gt;=$H162,AX$11&lt;=$I162),1,"")))</f>
        <v/>
      </c>
      <c r="AY162" s="448" t="str">
        <f aca="false">IF(FC_SUPUESTOS!$C$12=0,"",IF($G162=0,IF(AY$11=$H162,"◆",""),IF(AND(AY$11&gt;=$H162,AY$11&lt;=$I162),1,"")))</f>
        <v/>
      </c>
      <c r="AZ162" s="448" t="str">
        <f aca="false">IF(FC_SUPUESTOS!$C$12=0,"",IF($G162=0,IF(AZ$11=$H162,"◆",""),IF(AND(AZ$11&gt;=$H162,AZ$11&lt;=$I162),1,"")))</f>
        <v/>
      </c>
      <c r="BA162" s="448" t="str">
        <f aca="false">IF(FC_SUPUESTOS!$C$12=0,"",IF($G162=0,IF(BA$11=$H162,"◆",""),IF(AND(BA$11&gt;=$H162,BA$11&lt;=$I162),1,"")))</f>
        <v/>
      </c>
      <c r="BB162" s="448" t="str">
        <f aca="false">IF(FC_SUPUESTOS!$C$12=0,"",IF($G162=0,IF(BB$11=$H162,"◆",""),IF(AND(BB$11&gt;=$H162,BB$11&lt;=$I162),1,"")))</f>
        <v/>
      </c>
      <c r="BC162" s="448" t="str">
        <f aca="false">IF(FC_SUPUESTOS!$C$12=0,"",IF($G162=0,IF(BC$11=$H162,"◆",""),IF(AND(BC$11&gt;=$H162,BC$11&lt;=$I162),1,"")))</f>
        <v/>
      </c>
      <c r="BD162" s="448" t="str">
        <f aca="false">IF(FC_SUPUESTOS!$C$12=0,"",IF($G162=0,IF(BD$11=$H162,"◆",""),IF(AND(BD$11&gt;=$H162,BD$11&lt;=$I162),1,"")))</f>
        <v/>
      </c>
      <c r="BE162" s="448" t="str">
        <f aca="false">IF(FC_SUPUESTOS!$C$12=0,"",IF($G162=0,IF(BE$11=$H162,"◆",""),IF(AND(BE$11&gt;=$H162,BE$11&lt;=$I162),1,"")))</f>
        <v/>
      </c>
      <c r="BF162" s="448" t="str">
        <f aca="false">IF(FC_SUPUESTOS!$C$12=0,"",IF($G162=0,IF(BF$11=$H162,"◆",""),IF(AND(BF$11&gt;=$H162,BF$11&lt;=$I162),1,"")))</f>
        <v/>
      </c>
      <c r="BG162" s="448" t="str">
        <f aca="false">IF(FC_SUPUESTOS!$C$12=0,"",IF($G162=0,IF(BG$11=$H162,"◆",""),IF(AND(BG$11&gt;=$H162,BG$11&lt;=$I162),1,"")))</f>
        <v/>
      </c>
      <c r="BH162" s="448" t="str">
        <f aca="false">IF(FC_SUPUESTOS!$C$12=0,"",IF($G162=0,IF(BH$11=$H162,"◆",""),IF(AND(BH$11&gt;=$H162,BH$11&lt;=$I162),1,"")))</f>
        <v/>
      </c>
      <c r="BI162" s="448" t="str">
        <f aca="false">IF(FC_SUPUESTOS!$C$12=0,"",IF($G162=0,IF(BI$11=$H162,"◆",""),IF(AND(BI$11&gt;=$H162,BI$11&lt;=$I162),1,"")))</f>
        <v/>
      </c>
      <c r="BJ162" s="448" t="str">
        <f aca="false">IF(FC_SUPUESTOS!$C$12=0,"",IF($G162=0,IF(BJ$11=$H162,"◆",""),IF(AND(BJ$11&gt;=$H162,BJ$11&lt;=$I162),1,"")))</f>
        <v/>
      </c>
      <c r="BK162" s="448" t="str">
        <f aca="false">IF(FC_SUPUESTOS!$C$12=0,"",IF($G162=0,IF(BK$11=$H162,"◆",""),IF(AND(BK$11&gt;=$H162,BK$11&lt;=$I162),1,"")))</f>
        <v/>
      </c>
      <c r="BL162" s="448" t="str">
        <f aca="false">IF(FC_SUPUESTOS!$C$12=0,"",IF($G162=0,IF(BL$11=$H162,"◆",""),IF(AND(BL$11&gt;=$H162,BL$11&lt;=$I162),1,"")))</f>
        <v/>
      </c>
      <c r="BM162" s="448" t="str">
        <f aca="false">IF(FC_SUPUESTOS!$C$12=0,"",IF($G162=0,IF(BM$11=$H162,"◆",""),IF(AND(BM$11&gt;=$H162,BM$11&lt;=$I162),1,"")))</f>
        <v/>
      </c>
      <c r="BN162" s="448" t="str">
        <f aca="false">IF(FC_SUPUESTOS!$C$12=0,"",IF($G162=0,IF(BN$11=$H162,"◆",""),IF(AND(BN$11&gt;=$H162,BN$11&lt;=$I162),1,"")))</f>
        <v/>
      </c>
      <c r="BO162" s="448" t="str">
        <f aca="false">IF(FC_SUPUESTOS!$C$12=0,"",IF($G162=0,IF(BO$11=$H162,"◆",""),IF(AND(BO$11&gt;=$H162,BO$11&lt;=$I162),1,"")))</f>
        <v/>
      </c>
      <c r="BP162" s="448" t="str">
        <f aca="false">IF(FC_SUPUESTOS!$C$12=0,"",IF($G162=0,IF(BP$11=$H162,"◆",""),IF(AND(BP$11&gt;=$H162,BP$11&lt;=$I162),1,"")))</f>
        <v/>
      </c>
      <c r="BQ162" s="448" t="str">
        <f aca="false">IF(FC_SUPUESTOS!$C$12=0,"",IF($G162=0,IF(BQ$11=$H162,"◆",""),IF(AND(BQ$11&gt;=$H162,BQ$11&lt;=$I162),1,"")))</f>
        <v/>
      </c>
      <c r="BR162" s="448" t="str">
        <f aca="false">IF(FC_SUPUESTOS!$C$12=0,"",IF($G162=0,IF(BR$11=$H162,"◆",""),IF(AND(BR$11&gt;=$H162,BR$11&lt;=$I162),1,"")))</f>
        <v/>
      </c>
      <c r="BS162" s="448" t="str">
        <f aca="false">IF(FC_SUPUESTOS!$C$12=0,"",IF($G162=0,IF(BS$11=$H162,"◆",""),IF(AND(BS$11&gt;=$H162,BS$11&lt;=$I162),1,"")))</f>
        <v/>
      </c>
      <c r="BT162" s="448" t="str">
        <f aca="false">IF(FC_SUPUESTOS!$C$12=0,"",IF($G162=0,IF(BT$11=$H162,"◆",""),IF(AND(BT$11&gt;=$H162,BT$11&lt;=$I162),1,"")))</f>
        <v/>
      </c>
      <c r="BU162" s="448" t="str">
        <f aca="false">IF(FC_SUPUESTOS!$C$12=0,"",IF($G162=0,IF(BU$11=$H162,"◆",""),IF(AND(BU$11&gt;=$H162,BU$11&lt;=$I162),1,"")))</f>
        <v/>
      </c>
      <c r="BV162" s="448" t="str">
        <f aca="false">IF(FC_SUPUESTOS!$C$12=0,"",IF($G162=0,IF(BV$11=$H162,"◆",""),IF(AND(BV$11&gt;=$H162,BV$11&lt;=$I162),1,"")))</f>
        <v/>
      </c>
      <c r="BW162" s="448" t="str">
        <f aca="false">IF(FC_SUPUESTOS!$C$12=0,"",IF($G162=0,IF(BW$11=$H162,"◆",""),IF(AND(BW$11&gt;=$H162,BW$11&lt;=$I162),1,"")))</f>
        <v/>
      </c>
      <c r="BX162" s="448" t="str">
        <f aca="false">IF(FC_SUPUESTOS!$C$12=0,"",IF($G162=0,IF(BX$11=$H162,"◆",""),IF(AND(BX$11&gt;=$H162,BX$11&lt;=$I162),1,"")))</f>
        <v/>
      </c>
      <c r="BY162" s="448" t="str">
        <f aca="false">IF(FC_SUPUESTOS!$C$12=0,"",IF($G162=0,IF(BY$11=$H162,"◆",""),IF(AND(BY$11&gt;=$H162,BY$11&lt;=$I162),1,"")))</f>
        <v/>
      </c>
      <c r="BZ162" s="448" t="str">
        <f aca="false">IF(FC_SUPUESTOS!$C$12=0,"",IF($G162=0,IF(BZ$11=$H162,"◆",""),IF(AND(BZ$11&gt;=$H162,BZ$11&lt;=$I162),1,"")))</f>
        <v/>
      </c>
      <c r="CA162" s="448" t="str">
        <f aca="false">IF(FC_SUPUESTOS!$C$12=0,"",IF($G162=0,IF(CA$11=$H162,"◆",""),IF(AND(CA$11&gt;=$H162,CA$11&lt;=$I162),1,"")))</f>
        <v/>
      </c>
      <c r="CB162" s="448" t="str">
        <f aca="false">IF(FC_SUPUESTOS!$C$12=0,"",IF($G162=0,IF(CB$11=$H162,"◆",""),IF(AND(CB$11&gt;=$H162,CB$11&lt;=$I162),1,"")))</f>
        <v/>
      </c>
      <c r="CC162" s="448" t="str">
        <f aca="false">IF(FC_SUPUESTOS!$C$12=0,"",IF($G162=0,IF(CC$11=$H162,"◆",""),IF(AND(CC$11&gt;=$H162,CC$11&lt;=$I162),1,"")))</f>
        <v/>
      </c>
      <c r="CD162" s="448" t="str">
        <f aca="false">IF(FC_SUPUESTOS!$C$12=0,"",IF($G162=0,IF(CD$11=$H162,"◆",""),IF(AND(CD$11&gt;=$H162,CD$11&lt;=$I162),1,"")))</f>
        <v/>
      </c>
      <c r="CE162" s="448" t="str">
        <f aca="false">IF(FC_SUPUESTOS!$C$12=0,"",IF($G162=0,IF(CE$11=$H162,"◆",""),IF(AND(CE$11&gt;=$H162,CE$11&lt;=$I162),1,"")))</f>
        <v/>
      </c>
      <c r="CF162" s="448" t="str">
        <f aca="false">IF(FC_SUPUESTOS!$C$12=0,"",IF($G162=0,IF(CF$11=$H162,"◆",""),IF(AND(CF$11&gt;=$H162,CF$11&lt;=$I162),1,"")))</f>
        <v/>
      </c>
      <c r="CG162" s="448" t="str">
        <f aca="false">IF(FC_SUPUESTOS!$C$12=0,"",IF($G162=0,IF(CG$11=$H162,"◆",""),IF(AND(CG$11&gt;=$H162,CG$11&lt;=$I162),1,"")))</f>
        <v/>
      </c>
      <c r="CH162" s="448" t="str">
        <f aca="false">IF(FC_SUPUESTOS!$C$12=0,"",IF($G162=0,IF(CH$11=$H162,"◆",""),IF(AND(CH$11&gt;=$H162,CH$11&lt;=$I162),1,"")))</f>
        <v/>
      </c>
      <c r="CI162" s="448" t="str">
        <f aca="false">IF(FC_SUPUESTOS!$C$12=0,"",IF($G162=0,IF(CI$11=$H162,"◆",""),IF(AND(CI$11&gt;=$H162,CI$11&lt;=$I162),1,"")))</f>
        <v/>
      </c>
      <c r="CJ162" s="448" t="str">
        <f aca="false">IF(FC_SUPUESTOS!$C$12=0,"",IF($G162=0,IF(CJ$11=$H162,"◆",""),IF(AND(CJ$11&gt;=$H162,CJ$11&lt;=$I162),1,"")))</f>
        <v/>
      </c>
      <c r="CK162" s="448" t="str">
        <f aca="false">IF(FC_SUPUESTOS!$C$12=0,"",IF($G162=0,IF(CK$11=$H162,"◆",""),IF(AND(CK$11&gt;=$H162,CK$11&lt;=$I162),1,"")))</f>
        <v/>
      </c>
      <c r="CL162" s="448" t="str">
        <f aca="false">IF(FC_SUPUESTOS!$C$12=0,"",IF($G162=0,IF(CL$11=$H162,"◆",""),IF(AND(CL$11&gt;=$H162,CL$11&lt;=$I162),1,"")))</f>
        <v/>
      </c>
      <c r="CM162" s="448" t="str">
        <f aca="false">IF(FC_SUPUESTOS!$C$12=0,"",IF($G162=0,IF(CM$11=$H162,"◆",""),IF(AND(CM$11&gt;=$H162,CM$11&lt;=$I162),1,"")))</f>
        <v/>
      </c>
      <c r="CN162" s="448" t="str">
        <f aca="false">IF(FC_SUPUESTOS!$C$12=0,"",IF($G162=0,IF(CN$11=$H162,"◆",""),IF(AND(CN$11&gt;=$H162,CN$11&lt;=$I162),1,"")))</f>
        <v/>
      </c>
      <c r="CO162" s="448" t="str">
        <f aca="false">IF(FC_SUPUESTOS!$C$12=0,"",IF($G162=0,IF(CO$11=$H162,"◆",""),IF(AND(CO$11&gt;=$H162,CO$11&lt;=$I162),1,"")))</f>
        <v/>
      </c>
      <c r="CP162" s="448" t="str">
        <f aca="false">IF(FC_SUPUESTOS!$C$12=0,"",IF($G162=0,IF(CP$11=$H162,"◆",""),IF(AND(CP$11&gt;=$H162,CP$11&lt;=$I162),1,"")))</f>
        <v/>
      </c>
      <c r="CQ162" s="448" t="str">
        <f aca="false">IF(FC_SUPUESTOS!$C$12=0,"",IF($G162=0,IF(CQ$11=$H162,"◆",""),IF(AND(CQ$11&gt;=$H162,CQ$11&lt;=$I162),1,"")))</f>
        <v/>
      </c>
      <c r="CR162" s="448" t="str">
        <f aca="false">IF(FC_SUPUESTOS!$C$12=0,"",IF($G162=0,IF(CR$11=$H162,"◆",""),IF(AND(CR$11&gt;=$H162,CR$11&lt;=$I162),1,"")))</f>
        <v/>
      </c>
      <c r="CS162" s="448" t="str">
        <f aca="false">IF(FC_SUPUESTOS!$C$12=0,"",IF($G162=0,IF(CS$11=$H162,"◆",""),IF(AND(CS$11&gt;=$H162,CS$11&lt;=$I162),1,"")))</f>
        <v/>
      </c>
      <c r="CT162" s="448" t="str">
        <f aca="false">IF(FC_SUPUESTOS!$C$12=0,"",IF($G162=0,IF(CT$11=$H162,"◆",""),IF(AND(CT$11&gt;=$H162,CT$11&lt;=$I162),1,"")))</f>
        <v/>
      </c>
      <c r="CU162" s="448" t="str">
        <f aca="false">IF(FC_SUPUESTOS!$C$12=0,"",IF($G162=0,IF(CU$11=$H162,"◆",""),IF(AND(CU$11&gt;=$H162,CU$11&lt;=$I162),1,"")))</f>
        <v/>
      </c>
      <c r="CV162" s="448" t="str">
        <f aca="false">IF(FC_SUPUESTOS!$C$12=0,"",IF($G162=0,IF(CV$11=$H162,"◆",""),IF(AND(CV$11&gt;=$H162,CV$11&lt;=$I162),1,"")))</f>
        <v/>
      </c>
      <c r="CW162" s="448" t="str">
        <f aca="false">IF(FC_SUPUESTOS!$C$12=0,"",IF($G162=0,IF(CW$11=$H162,"◆",""),IF(AND(CW$11&gt;=$H162,CW$11&lt;=$I162),1,"")))</f>
        <v/>
      </c>
      <c r="CX162" s="448" t="str">
        <f aca="false">IF(FC_SUPUESTOS!$C$12=0,"",IF($G162=0,IF(CX$11=$H162,"◆",""),IF(AND(CX$11&gt;=$H162,CX$11&lt;=$I162),1,"")))</f>
        <v/>
      </c>
      <c r="CY162" s="448" t="str">
        <f aca="false">IF(FC_SUPUESTOS!$C$12=0,"",IF($G162=0,IF(CY$11=$H162,"◆",""),IF(AND(CY$11&gt;=$H162,CY$11&lt;=$I162),1,"")))</f>
        <v/>
      </c>
      <c r="CZ162" s="448" t="str">
        <f aca="false">IF(FC_SUPUESTOS!$C$12=0,"",IF($G162=0,IF(CZ$11=$H162,"◆",""),IF(AND(CZ$11&gt;=$H162,CZ$11&lt;=$I162),1,"")))</f>
        <v/>
      </c>
      <c r="DA162" s="448" t="str">
        <f aca="false">IF(FC_SUPUESTOS!$C$12=0,"",IF($G162=0,IF(DA$11=$H162,"◆",""),IF(AND(DA$11&gt;=$H162,DA$11&lt;=$I162),1,"")))</f>
        <v/>
      </c>
      <c r="DB162" s="448" t="str">
        <f aca="false">IF(FC_SUPUESTOS!$C$12=0,"",IF($G162=0,IF(DB$11=$H162,"◆",""),IF(AND(DB$11&gt;=$H162,DB$11&lt;=$I162),1,"")))</f>
        <v/>
      </c>
      <c r="DC162" s="448" t="str">
        <f aca="false">IF(FC_SUPUESTOS!$C$12=0,"",IF($G162=0,IF(DC$11=$H162,"◆",""),IF(AND(DC$11&gt;=$H162,DC$11&lt;=$I162),1,"")))</f>
        <v/>
      </c>
      <c r="DD162" s="448" t="str">
        <f aca="false">IF(FC_SUPUESTOS!$C$12=0,"",IF($G162=0,IF(DD$11=$H162,"◆",""),IF(AND(DD$11&gt;=$H162,DD$11&lt;=$I162),1,"")))</f>
        <v/>
      </c>
      <c r="DE162" s="448" t="str">
        <f aca="false">IF(FC_SUPUESTOS!$C$12=0,"",IF($G162=0,IF(DE$11=$H162,"◆",""),IF(AND(DE$11&gt;=$H162,DE$11&lt;=$I162),1,"")))</f>
        <v/>
      </c>
      <c r="DF162" s="448" t="str">
        <f aca="false">IF(FC_SUPUESTOS!$C$12=0,"",IF($G162=0,IF(DF$11=$H162,"◆",""),IF(AND(DF$11&gt;=$H162,DF$11&lt;=$I162),1,"")))</f>
        <v/>
      </c>
      <c r="DG162" s="448" t="str">
        <f aca="false">IF(FC_SUPUESTOS!$C$12=0,"",IF($G162=0,IF(DG$11=$H162,"◆",""),IF(AND(DG$11&gt;=$H162,DG$11&lt;=$I162),1,"")))</f>
        <v/>
      </c>
      <c r="DH162" s="448" t="str">
        <f aca="false">IF(FC_SUPUESTOS!$C$12=0,"",IF($G162=0,IF(DH$11=$H162,"◆",""),IF(AND(DH$11&gt;=$H162,DH$11&lt;=$I162),1,"")))</f>
        <v/>
      </c>
      <c r="DI162" s="448" t="str">
        <f aca="false">IF(FC_SUPUESTOS!$C$12=0,"",IF($G162=0,IF(DI$11=$H162,"◆",""),IF(AND(DI$11&gt;=$H162,DI$11&lt;=$I162),1,"")))</f>
        <v/>
      </c>
      <c r="DJ162" s="448" t="str">
        <f aca="false">IF(FC_SUPUESTOS!$C$12=0,"",IF($G162=0,IF(DJ$11=$H162,"◆",""),IF(AND(DJ$11&gt;=$H162,DJ$11&lt;=$I162),1,"")))</f>
        <v/>
      </c>
      <c r="DK162" s="448" t="str">
        <f aca="false">IF(FC_SUPUESTOS!$C$12=0,"",IF($G162=0,IF(DK$11=$H162,"◆",""),IF(AND(DK$11&gt;=$H162,DK$11&lt;=$I162),1,"")))</f>
        <v/>
      </c>
      <c r="DL162" s="448" t="str">
        <f aca="false">IF(FC_SUPUESTOS!$C$12=0,"",IF($G162=0,IF(DL$11=$H162,"◆",""),IF(AND(DL$11&gt;=$H162,DL$11&lt;=$I162),1,"")))</f>
        <v/>
      </c>
      <c r="DM162" s="448" t="str">
        <f aca="false">IF(FC_SUPUESTOS!$C$12=0,"",IF($G162=0,IF(DM$11=$H162,"◆",""),IF(AND(DM$11&gt;=$H162,DM$11&lt;=$I162),1,"")))</f>
        <v/>
      </c>
      <c r="DN162" s="448" t="str">
        <f aca="false">IF(FC_SUPUESTOS!$C$12=0,"",IF($G162=0,IF(DN$11=$H162,"◆",""),IF(AND(DN$11&gt;=$H162,DN$11&lt;=$I162),1,"")))</f>
        <v/>
      </c>
      <c r="DO162" s="448" t="str">
        <f aca="false">IF(FC_SUPUESTOS!$C$12=0,"",IF($G162=0,IF(DO$11=$H162,"◆",""),IF(AND(DO$11&gt;=$H162,DO$11&lt;=$I162),1,"")))</f>
        <v/>
      </c>
      <c r="DP162" s="448" t="str">
        <f aca="false">IF(FC_SUPUESTOS!$C$12=0,"",IF($G162=0,IF(DP$11=$H162,"◆",""),IF(AND(DP$11&gt;=$H162,DP$11&lt;=$I162),1,"")))</f>
        <v/>
      </c>
      <c r="DQ162" s="448" t="str">
        <f aca="false">IF(FC_SUPUESTOS!$C$12=0,"",IF($G162=0,IF(DQ$11=$H162,"◆",""),IF(AND(DQ$11&gt;=$H162,DQ$11&lt;=$I162),1,"")))</f>
        <v/>
      </c>
      <c r="DR162" s="448" t="str">
        <f aca="false">IF(FC_SUPUESTOS!$C$12=0,"",IF($G162=0,IF(DR$11=$H162,"◆",""),IF(AND(DR$11&gt;=$H162,DR$11&lt;=$I162),1,"")))</f>
        <v/>
      </c>
      <c r="DS162" s="448" t="str">
        <f aca="false">IF(FC_SUPUESTOS!$C$12=0,"",IF($G162=0,IF(DS$11=$H162,"◆",""),IF(AND(DS$11&gt;=$H162,DS$11&lt;=$I162),1,"")))</f>
        <v/>
      </c>
      <c r="DT162" s="448" t="str">
        <f aca="false">IF(FC_SUPUESTOS!$C$12=0,"",IF($G162=0,IF(DT$11=$H162,"◆",""),IF(AND(DT$11&gt;=$H162,DT$11&lt;=$I162),1,"")))</f>
        <v/>
      </c>
      <c r="DU162" s="448" t="str">
        <f aca="false">IF(FC_SUPUESTOS!$C$12=0,"",IF($G162=0,IF(DU$11=$H162,"◆",""),IF(AND(DU$11&gt;=$H162,DU$11&lt;=$I162),1,"")))</f>
        <v/>
      </c>
      <c r="DV162" s="448" t="str">
        <f aca="false">IF(FC_SUPUESTOS!$C$12=0,"",IF($G162=0,IF(DV$11=$H162,"◆",""),IF(AND(DV$11&gt;=$H162,DV$11&lt;=$I162),1,"")))</f>
        <v/>
      </c>
      <c r="DW162" s="448" t="str">
        <f aca="false">IF(FC_SUPUESTOS!$C$12=0,"",IF($G162=0,IF(DW$11=$H162,"◆",""),IF(AND(DW$11&gt;=$H162,DW$11&lt;=$I162),1,"")))</f>
        <v/>
      </c>
      <c r="DX162" s="448" t="str">
        <f aca="false">IF(FC_SUPUESTOS!$C$12=0,"",IF($G162=0,IF(DX$11=$H162,"◆",""),IF(AND(DX$11&gt;=$H162,DX$11&lt;=$I162),1,"")))</f>
        <v/>
      </c>
      <c r="DY162" s="448" t="str">
        <f aca="false">IF(FC_SUPUESTOS!$C$12=0,"",IF($G162=0,IF(DY$11=$H162,"◆",""),IF(AND(DY$11&gt;=$H162,DY$11&lt;=$I162),1,"")))</f>
        <v/>
      </c>
      <c r="DZ162" s="448" t="str">
        <f aca="false">IF(FC_SUPUESTOS!$C$12=0,"",IF($G162=0,IF(DZ$11=$H162,"◆",""),IF(AND(DZ$11&gt;=$H162,DZ$11&lt;=$I162),1,"")))</f>
        <v/>
      </c>
      <c r="EA162" s="448" t="str">
        <f aca="false">IF(FC_SUPUESTOS!$C$12=0,"",IF($G162=0,IF(EA$11=$H162,"◆",""),IF(AND(EA$11&gt;=$H162,EA$11&lt;=$I162),1,"")))</f>
        <v/>
      </c>
      <c r="EB162" s="448" t="str">
        <f aca="false">IF(FC_SUPUESTOS!$C$12=0,"",IF($G162=0,IF(EB$11=$H162,"◆",""),IF(AND(EB$11&gt;=$H162,EB$11&lt;=$I162),1,"")))</f>
        <v/>
      </c>
      <c r="EC162" s="448" t="str">
        <f aca="false">IF(FC_SUPUESTOS!$C$12=0,"",IF($G162=0,IF(EC$11=$H162,"◆",""),IF(AND(EC$11&gt;=$H162,EC$11&lt;=$I162),1,"")))</f>
        <v/>
      </c>
      <c r="ED162" s="448" t="str">
        <f aca="false">IF(FC_SUPUESTOS!$C$12=0,"",IF($G162=0,IF(ED$11=$H162,"◆",""),IF(AND(ED$11&gt;=$H162,ED$11&lt;=$I162),1,"")))</f>
        <v/>
      </c>
    </row>
    <row r="163" customFormat="false" ht="15" hidden="false" customHeight="true" outlineLevel="0" collapsed="false">
      <c r="A163" s="441" t="s">
        <v>2783</v>
      </c>
      <c r="B163" s="297" t="s">
        <v>2784</v>
      </c>
      <c r="C163" s="442" t="s">
        <v>2480</v>
      </c>
      <c r="D163" s="443" t="s">
        <v>2778</v>
      </c>
      <c r="E163" s="354" t="n">
        <f aca="false">FC_SUPUESTOS!$C$13-FC_SUPUESTOS!$C$33</f>
        <v>16</v>
      </c>
      <c r="F163" s="352" t="n">
        <v>0</v>
      </c>
      <c r="G163" s="352" t="n">
        <v>14</v>
      </c>
      <c r="H163" s="367" t="n">
        <f aca="false">MAX(1,ROUND(($E163-1)*$D$5,0)+1+$F163)</f>
        <v>66</v>
      </c>
      <c r="I163" s="367" t="n">
        <f aca="false">MAX($H163,$H163+$G163-1)</f>
        <v>79</v>
      </c>
      <c r="J163" s="444" t="str">
        <f aca="false">IF(FC_SUPUESTOS!$C$12=0,"—",$D$4+($H163-1)*7)</f>
        <v>—</v>
      </c>
      <c r="K163" s="444" t="str">
        <f aca="false">IF(FC_SUPUESTOS!$C$12=0,"—",$D$4+$I163*7-1)</f>
        <v>—</v>
      </c>
      <c r="L163" s="445" t="str">
        <f aca="false">IF(FC_SUPUESTOS!$C$12=0,"—",ROUNDUP($H163/$D$5,0))</f>
        <v>—</v>
      </c>
      <c r="M163" s="446"/>
      <c r="N163" s="447" t="n">
        <v>0</v>
      </c>
      <c r="O163" s="448" t="str">
        <f aca="false">IF(FC_SUPUESTOS!$C$12=0,"",IF($G163=0,IF(O$11=$H163,"◆",""),IF(AND(O$11&gt;=$H163,O$11&lt;=$I163),1,"")))</f>
        <v/>
      </c>
      <c r="P163" s="448" t="str">
        <f aca="false">IF(FC_SUPUESTOS!$C$12=0,"",IF($G163=0,IF(P$11=$H163,"◆",""),IF(AND(P$11&gt;=$H163,P$11&lt;=$I163),1,"")))</f>
        <v/>
      </c>
      <c r="Q163" s="448" t="str">
        <f aca="false">IF(FC_SUPUESTOS!$C$12=0,"",IF($G163=0,IF(Q$11=$H163,"◆",""),IF(AND(Q$11&gt;=$H163,Q$11&lt;=$I163),1,"")))</f>
        <v/>
      </c>
      <c r="R163" s="448" t="str">
        <f aca="false">IF(FC_SUPUESTOS!$C$12=0,"",IF($G163=0,IF(R$11=$H163,"◆",""),IF(AND(R$11&gt;=$H163,R$11&lt;=$I163),1,"")))</f>
        <v/>
      </c>
      <c r="S163" s="448" t="str">
        <f aca="false">IF(FC_SUPUESTOS!$C$12=0,"",IF($G163=0,IF(S$11=$H163,"◆",""),IF(AND(S$11&gt;=$H163,S$11&lt;=$I163),1,"")))</f>
        <v/>
      </c>
      <c r="T163" s="448" t="str">
        <f aca="false">IF(FC_SUPUESTOS!$C$12=0,"",IF($G163=0,IF(T$11=$H163,"◆",""),IF(AND(T$11&gt;=$H163,T$11&lt;=$I163),1,"")))</f>
        <v/>
      </c>
      <c r="U163" s="448" t="str">
        <f aca="false">IF(FC_SUPUESTOS!$C$12=0,"",IF($G163=0,IF(U$11=$H163,"◆",""),IF(AND(U$11&gt;=$H163,U$11&lt;=$I163),1,"")))</f>
        <v/>
      </c>
      <c r="V163" s="448" t="str">
        <f aca="false">IF(FC_SUPUESTOS!$C$12=0,"",IF($G163=0,IF(V$11=$H163,"◆",""),IF(AND(V$11&gt;=$H163,V$11&lt;=$I163),1,"")))</f>
        <v/>
      </c>
      <c r="W163" s="448" t="str">
        <f aca="false">IF(FC_SUPUESTOS!$C$12=0,"",IF($G163=0,IF(W$11=$H163,"◆",""),IF(AND(W$11&gt;=$H163,W$11&lt;=$I163),1,"")))</f>
        <v/>
      </c>
      <c r="X163" s="448" t="str">
        <f aca="false">IF(FC_SUPUESTOS!$C$12=0,"",IF($G163=0,IF(X$11=$H163,"◆",""),IF(AND(X$11&gt;=$H163,X$11&lt;=$I163),1,"")))</f>
        <v/>
      </c>
      <c r="Y163" s="448" t="str">
        <f aca="false">IF(FC_SUPUESTOS!$C$12=0,"",IF($G163=0,IF(Y$11=$H163,"◆",""),IF(AND(Y$11&gt;=$H163,Y$11&lt;=$I163),1,"")))</f>
        <v/>
      </c>
      <c r="Z163" s="448" t="str">
        <f aca="false">IF(FC_SUPUESTOS!$C$12=0,"",IF($G163=0,IF(Z$11=$H163,"◆",""),IF(AND(Z$11&gt;=$H163,Z$11&lt;=$I163),1,"")))</f>
        <v/>
      </c>
      <c r="AA163" s="448" t="str">
        <f aca="false">IF(FC_SUPUESTOS!$C$12=0,"",IF($G163=0,IF(AA$11=$H163,"◆",""),IF(AND(AA$11&gt;=$H163,AA$11&lt;=$I163),1,"")))</f>
        <v/>
      </c>
      <c r="AB163" s="448" t="str">
        <f aca="false">IF(FC_SUPUESTOS!$C$12=0,"",IF($G163=0,IF(AB$11=$H163,"◆",""),IF(AND(AB$11&gt;=$H163,AB$11&lt;=$I163),1,"")))</f>
        <v/>
      </c>
      <c r="AC163" s="448" t="str">
        <f aca="false">IF(FC_SUPUESTOS!$C$12=0,"",IF($G163=0,IF(AC$11=$H163,"◆",""),IF(AND(AC$11&gt;=$H163,AC$11&lt;=$I163),1,"")))</f>
        <v/>
      </c>
      <c r="AD163" s="448" t="str">
        <f aca="false">IF(FC_SUPUESTOS!$C$12=0,"",IF($G163=0,IF(AD$11=$H163,"◆",""),IF(AND(AD$11&gt;=$H163,AD$11&lt;=$I163),1,"")))</f>
        <v/>
      </c>
      <c r="AE163" s="448" t="str">
        <f aca="false">IF(FC_SUPUESTOS!$C$12=0,"",IF($G163=0,IF(AE$11=$H163,"◆",""),IF(AND(AE$11&gt;=$H163,AE$11&lt;=$I163),1,"")))</f>
        <v/>
      </c>
      <c r="AF163" s="448" t="str">
        <f aca="false">IF(FC_SUPUESTOS!$C$12=0,"",IF($G163=0,IF(AF$11=$H163,"◆",""),IF(AND(AF$11&gt;=$H163,AF$11&lt;=$I163),1,"")))</f>
        <v/>
      </c>
      <c r="AG163" s="448" t="str">
        <f aca="false">IF(FC_SUPUESTOS!$C$12=0,"",IF($G163=0,IF(AG$11=$H163,"◆",""),IF(AND(AG$11&gt;=$H163,AG$11&lt;=$I163),1,"")))</f>
        <v/>
      </c>
      <c r="AH163" s="448" t="str">
        <f aca="false">IF(FC_SUPUESTOS!$C$12=0,"",IF($G163=0,IF(AH$11=$H163,"◆",""),IF(AND(AH$11&gt;=$H163,AH$11&lt;=$I163),1,"")))</f>
        <v/>
      </c>
      <c r="AI163" s="448" t="str">
        <f aca="false">IF(FC_SUPUESTOS!$C$12=0,"",IF($G163=0,IF(AI$11=$H163,"◆",""),IF(AND(AI$11&gt;=$H163,AI$11&lt;=$I163),1,"")))</f>
        <v/>
      </c>
      <c r="AJ163" s="448" t="str">
        <f aca="false">IF(FC_SUPUESTOS!$C$12=0,"",IF($G163=0,IF(AJ$11=$H163,"◆",""),IF(AND(AJ$11&gt;=$H163,AJ$11&lt;=$I163),1,"")))</f>
        <v/>
      </c>
      <c r="AK163" s="448" t="str">
        <f aca="false">IF(FC_SUPUESTOS!$C$12=0,"",IF($G163=0,IF(AK$11=$H163,"◆",""),IF(AND(AK$11&gt;=$H163,AK$11&lt;=$I163),1,"")))</f>
        <v/>
      </c>
      <c r="AL163" s="448" t="str">
        <f aca="false">IF(FC_SUPUESTOS!$C$12=0,"",IF($G163=0,IF(AL$11=$H163,"◆",""),IF(AND(AL$11&gt;=$H163,AL$11&lt;=$I163),1,"")))</f>
        <v/>
      </c>
      <c r="AM163" s="448" t="str">
        <f aca="false">IF(FC_SUPUESTOS!$C$12=0,"",IF($G163=0,IF(AM$11=$H163,"◆",""),IF(AND(AM$11&gt;=$H163,AM$11&lt;=$I163),1,"")))</f>
        <v/>
      </c>
      <c r="AN163" s="448" t="str">
        <f aca="false">IF(FC_SUPUESTOS!$C$12=0,"",IF($G163=0,IF(AN$11=$H163,"◆",""),IF(AND(AN$11&gt;=$H163,AN$11&lt;=$I163),1,"")))</f>
        <v/>
      </c>
      <c r="AO163" s="448" t="str">
        <f aca="false">IF(FC_SUPUESTOS!$C$12=0,"",IF($G163=0,IF(AO$11=$H163,"◆",""),IF(AND(AO$11&gt;=$H163,AO$11&lt;=$I163),1,"")))</f>
        <v/>
      </c>
      <c r="AP163" s="448" t="str">
        <f aca="false">IF(FC_SUPUESTOS!$C$12=0,"",IF($G163=0,IF(AP$11=$H163,"◆",""),IF(AND(AP$11&gt;=$H163,AP$11&lt;=$I163),1,"")))</f>
        <v/>
      </c>
      <c r="AQ163" s="448" t="str">
        <f aca="false">IF(FC_SUPUESTOS!$C$12=0,"",IF($G163=0,IF(AQ$11=$H163,"◆",""),IF(AND(AQ$11&gt;=$H163,AQ$11&lt;=$I163),1,"")))</f>
        <v/>
      </c>
      <c r="AR163" s="448" t="str">
        <f aca="false">IF(FC_SUPUESTOS!$C$12=0,"",IF($G163=0,IF(AR$11=$H163,"◆",""),IF(AND(AR$11&gt;=$H163,AR$11&lt;=$I163),1,"")))</f>
        <v/>
      </c>
      <c r="AS163" s="448" t="str">
        <f aca="false">IF(FC_SUPUESTOS!$C$12=0,"",IF($G163=0,IF(AS$11=$H163,"◆",""),IF(AND(AS$11&gt;=$H163,AS$11&lt;=$I163),1,"")))</f>
        <v/>
      </c>
      <c r="AT163" s="448" t="str">
        <f aca="false">IF(FC_SUPUESTOS!$C$12=0,"",IF($G163=0,IF(AT$11=$H163,"◆",""),IF(AND(AT$11&gt;=$H163,AT$11&lt;=$I163),1,"")))</f>
        <v/>
      </c>
      <c r="AU163" s="448" t="str">
        <f aca="false">IF(FC_SUPUESTOS!$C$12=0,"",IF($G163=0,IF(AU$11=$H163,"◆",""),IF(AND(AU$11&gt;=$H163,AU$11&lt;=$I163),1,"")))</f>
        <v/>
      </c>
      <c r="AV163" s="448" t="str">
        <f aca="false">IF(FC_SUPUESTOS!$C$12=0,"",IF($G163=0,IF(AV$11=$H163,"◆",""),IF(AND(AV$11&gt;=$H163,AV$11&lt;=$I163),1,"")))</f>
        <v/>
      </c>
      <c r="AW163" s="448" t="str">
        <f aca="false">IF(FC_SUPUESTOS!$C$12=0,"",IF($G163=0,IF(AW$11=$H163,"◆",""),IF(AND(AW$11&gt;=$H163,AW$11&lt;=$I163),1,"")))</f>
        <v/>
      </c>
      <c r="AX163" s="448" t="str">
        <f aca="false">IF(FC_SUPUESTOS!$C$12=0,"",IF($G163=0,IF(AX$11=$H163,"◆",""),IF(AND(AX$11&gt;=$H163,AX$11&lt;=$I163),1,"")))</f>
        <v/>
      </c>
      <c r="AY163" s="448" t="str">
        <f aca="false">IF(FC_SUPUESTOS!$C$12=0,"",IF($G163=0,IF(AY$11=$H163,"◆",""),IF(AND(AY$11&gt;=$H163,AY$11&lt;=$I163),1,"")))</f>
        <v/>
      </c>
      <c r="AZ163" s="448" t="str">
        <f aca="false">IF(FC_SUPUESTOS!$C$12=0,"",IF($G163=0,IF(AZ$11=$H163,"◆",""),IF(AND(AZ$11&gt;=$H163,AZ$11&lt;=$I163),1,"")))</f>
        <v/>
      </c>
      <c r="BA163" s="448" t="str">
        <f aca="false">IF(FC_SUPUESTOS!$C$12=0,"",IF($G163=0,IF(BA$11=$H163,"◆",""),IF(AND(BA$11&gt;=$H163,BA$11&lt;=$I163),1,"")))</f>
        <v/>
      </c>
      <c r="BB163" s="448" t="str">
        <f aca="false">IF(FC_SUPUESTOS!$C$12=0,"",IF($G163=0,IF(BB$11=$H163,"◆",""),IF(AND(BB$11&gt;=$H163,BB$11&lt;=$I163),1,"")))</f>
        <v/>
      </c>
      <c r="BC163" s="448" t="str">
        <f aca="false">IF(FC_SUPUESTOS!$C$12=0,"",IF($G163=0,IF(BC$11=$H163,"◆",""),IF(AND(BC$11&gt;=$H163,BC$11&lt;=$I163),1,"")))</f>
        <v/>
      </c>
      <c r="BD163" s="448" t="str">
        <f aca="false">IF(FC_SUPUESTOS!$C$12=0,"",IF($G163=0,IF(BD$11=$H163,"◆",""),IF(AND(BD$11&gt;=$H163,BD$11&lt;=$I163),1,"")))</f>
        <v/>
      </c>
      <c r="BE163" s="448" t="str">
        <f aca="false">IF(FC_SUPUESTOS!$C$12=0,"",IF($G163=0,IF(BE$11=$H163,"◆",""),IF(AND(BE$11&gt;=$H163,BE$11&lt;=$I163),1,"")))</f>
        <v/>
      </c>
      <c r="BF163" s="448" t="str">
        <f aca="false">IF(FC_SUPUESTOS!$C$12=0,"",IF($G163=0,IF(BF$11=$H163,"◆",""),IF(AND(BF$11&gt;=$H163,BF$11&lt;=$I163),1,"")))</f>
        <v/>
      </c>
      <c r="BG163" s="448" t="str">
        <f aca="false">IF(FC_SUPUESTOS!$C$12=0,"",IF($G163=0,IF(BG$11=$H163,"◆",""),IF(AND(BG$11&gt;=$H163,BG$11&lt;=$I163),1,"")))</f>
        <v/>
      </c>
      <c r="BH163" s="448" t="str">
        <f aca="false">IF(FC_SUPUESTOS!$C$12=0,"",IF($G163=0,IF(BH$11=$H163,"◆",""),IF(AND(BH$11&gt;=$H163,BH$11&lt;=$I163),1,"")))</f>
        <v/>
      </c>
      <c r="BI163" s="448" t="str">
        <f aca="false">IF(FC_SUPUESTOS!$C$12=0,"",IF($G163=0,IF(BI$11=$H163,"◆",""),IF(AND(BI$11&gt;=$H163,BI$11&lt;=$I163),1,"")))</f>
        <v/>
      </c>
      <c r="BJ163" s="448" t="str">
        <f aca="false">IF(FC_SUPUESTOS!$C$12=0,"",IF($G163=0,IF(BJ$11=$H163,"◆",""),IF(AND(BJ$11&gt;=$H163,BJ$11&lt;=$I163),1,"")))</f>
        <v/>
      </c>
      <c r="BK163" s="448" t="str">
        <f aca="false">IF(FC_SUPUESTOS!$C$12=0,"",IF($G163=0,IF(BK$11=$H163,"◆",""),IF(AND(BK$11&gt;=$H163,BK$11&lt;=$I163),1,"")))</f>
        <v/>
      </c>
      <c r="BL163" s="448" t="str">
        <f aca="false">IF(FC_SUPUESTOS!$C$12=0,"",IF($G163=0,IF(BL$11=$H163,"◆",""),IF(AND(BL$11&gt;=$H163,BL$11&lt;=$I163),1,"")))</f>
        <v/>
      </c>
      <c r="BM163" s="448" t="str">
        <f aca="false">IF(FC_SUPUESTOS!$C$12=0,"",IF($G163=0,IF(BM$11=$H163,"◆",""),IF(AND(BM$11&gt;=$H163,BM$11&lt;=$I163),1,"")))</f>
        <v/>
      </c>
      <c r="BN163" s="448" t="str">
        <f aca="false">IF(FC_SUPUESTOS!$C$12=0,"",IF($G163=0,IF(BN$11=$H163,"◆",""),IF(AND(BN$11&gt;=$H163,BN$11&lt;=$I163),1,"")))</f>
        <v/>
      </c>
      <c r="BO163" s="448" t="str">
        <f aca="false">IF(FC_SUPUESTOS!$C$12=0,"",IF($G163=0,IF(BO$11=$H163,"◆",""),IF(AND(BO$11&gt;=$H163,BO$11&lt;=$I163),1,"")))</f>
        <v/>
      </c>
      <c r="BP163" s="448" t="str">
        <f aca="false">IF(FC_SUPUESTOS!$C$12=0,"",IF($G163=0,IF(BP$11=$H163,"◆",""),IF(AND(BP$11&gt;=$H163,BP$11&lt;=$I163),1,"")))</f>
        <v/>
      </c>
      <c r="BQ163" s="448" t="str">
        <f aca="false">IF(FC_SUPUESTOS!$C$12=0,"",IF($G163=0,IF(BQ$11=$H163,"◆",""),IF(AND(BQ$11&gt;=$H163,BQ$11&lt;=$I163),1,"")))</f>
        <v/>
      </c>
      <c r="BR163" s="448" t="str">
        <f aca="false">IF(FC_SUPUESTOS!$C$12=0,"",IF($G163=0,IF(BR$11=$H163,"◆",""),IF(AND(BR$11&gt;=$H163,BR$11&lt;=$I163),1,"")))</f>
        <v/>
      </c>
      <c r="BS163" s="448" t="str">
        <f aca="false">IF(FC_SUPUESTOS!$C$12=0,"",IF($G163=0,IF(BS$11=$H163,"◆",""),IF(AND(BS$11&gt;=$H163,BS$11&lt;=$I163),1,"")))</f>
        <v/>
      </c>
      <c r="BT163" s="448" t="str">
        <f aca="false">IF(FC_SUPUESTOS!$C$12=0,"",IF($G163=0,IF(BT$11=$H163,"◆",""),IF(AND(BT$11&gt;=$H163,BT$11&lt;=$I163),1,"")))</f>
        <v/>
      </c>
      <c r="BU163" s="448" t="str">
        <f aca="false">IF(FC_SUPUESTOS!$C$12=0,"",IF($G163=0,IF(BU$11=$H163,"◆",""),IF(AND(BU$11&gt;=$H163,BU$11&lt;=$I163),1,"")))</f>
        <v/>
      </c>
      <c r="BV163" s="448" t="str">
        <f aca="false">IF(FC_SUPUESTOS!$C$12=0,"",IF($G163=0,IF(BV$11=$H163,"◆",""),IF(AND(BV$11&gt;=$H163,BV$11&lt;=$I163),1,"")))</f>
        <v/>
      </c>
      <c r="BW163" s="448" t="str">
        <f aca="false">IF(FC_SUPUESTOS!$C$12=0,"",IF($G163=0,IF(BW$11=$H163,"◆",""),IF(AND(BW$11&gt;=$H163,BW$11&lt;=$I163),1,"")))</f>
        <v/>
      </c>
      <c r="BX163" s="448" t="str">
        <f aca="false">IF(FC_SUPUESTOS!$C$12=0,"",IF($G163=0,IF(BX$11=$H163,"◆",""),IF(AND(BX$11&gt;=$H163,BX$11&lt;=$I163),1,"")))</f>
        <v/>
      </c>
      <c r="BY163" s="448" t="str">
        <f aca="false">IF(FC_SUPUESTOS!$C$12=0,"",IF($G163=0,IF(BY$11=$H163,"◆",""),IF(AND(BY$11&gt;=$H163,BY$11&lt;=$I163),1,"")))</f>
        <v/>
      </c>
      <c r="BZ163" s="448" t="str">
        <f aca="false">IF(FC_SUPUESTOS!$C$12=0,"",IF($G163=0,IF(BZ$11=$H163,"◆",""),IF(AND(BZ$11&gt;=$H163,BZ$11&lt;=$I163),1,"")))</f>
        <v/>
      </c>
      <c r="CA163" s="448" t="str">
        <f aca="false">IF(FC_SUPUESTOS!$C$12=0,"",IF($G163=0,IF(CA$11=$H163,"◆",""),IF(AND(CA$11&gt;=$H163,CA$11&lt;=$I163),1,"")))</f>
        <v/>
      </c>
      <c r="CB163" s="448" t="str">
        <f aca="false">IF(FC_SUPUESTOS!$C$12=0,"",IF($G163=0,IF(CB$11=$H163,"◆",""),IF(AND(CB$11&gt;=$H163,CB$11&lt;=$I163),1,"")))</f>
        <v/>
      </c>
      <c r="CC163" s="448" t="str">
        <f aca="false">IF(FC_SUPUESTOS!$C$12=0,"",IF($G163=0,IF(CC$11=$H163,"◆",""),IF(AND(CC$11&gt;=$H163,CC$11&lt;=$I163),1,"")))</f>
        <v/>
      </c>
      <c r="CD163" s="448" t="str">
        <f aca="false">IF(FC_SUPUESTOS!$C$12=0,"",IF($G163=0,IF(CD$11=$H163,"◆",""),IF(AND(CD$11&gt;=$H163,CD$11&lt;=$I163),1,"")))</f>
        <v/>
      </c>
      <c r="CE163" s="448" t="str">
        <f aca="false">IF(FC_SUPUESTOS!$C$12=0,"",IF($G163=0,IF(CE$11=$H163,"◆",""),IF(AND(CE$11&gt;=$H163,CE$11&lt;=$I163),1,"")))</f>
        <v/>
      </c>
      <c r="CF163" s="448" t="str">
        <f aca="false">IF(FC_SUPUESTOS!$C$12=0,"",IF($G163=0,IF(CF$11=$H163,"◆",""),IF(AND(CF$11&gt;=$H163,CF$11&lt;=$I163),1,"")))</f>
        <v/>
      </c>
      <c r="CG163" s="448" t="str">
        <f aca="false">IF(FC_SUPUESTOS!$C$12=0,"",IF($G163=0,IF(CG$11=$H163,"◆",""),IF(AND(CG$11&gt;=$H163,CG$11&lt;=$I163),1,"")))</f>
        <v/>
      </c>
      <c r="CH163" s="448" t="str">
        <f aca="false">IF(FC_SUPUESTOS!$C$12=0,"",IF($G163=0,IF(CH$11=$H163,"◆",""),IF(AND(CH$11&gt;=$H163,CH$11&lt;=$I163),1,"")))</f>
        <v/>
      </c>
      <c r="CI163" s="448" t="str">
        <f aca="false">IF(FC_SUPUESTOS!$C$12=0,"",IF($G163=0,IF(CI$11=$H163,"◆",""),IF(AND(CI$11&gt;=$H163,CI$11&lt;=$I163),1,"")))</f>
        <v/>
      </c>
      <c r="CJ163" s="448" t="str">
        <f aca="false">IF(FC_SUPUESTOS!$C$12=0,"",IF($G163=0,IF(CJ$11=$H163,"◆",""),IF(AND(CJ$11&gt;=$H163,CJ$11&lt;=$I163),1,"")))</f>
        <v/>
      </c>
      <c r="CK163" s="448" t="str">
        <f aca="false">IF(FC_SUPUESTOS!$C$12=0,"",IF($G163=0,IF(CK$11=$H163,"◆",""),IF(AND(CK$11&gt;=$H163,CK$11&lt;=$I163),1,"")))</f>
        <v/>
      </c>
      <c r="CL163" s="448" t="str">
        <f aca="false">IF(FC_SUPUESTOS!$C$12=0,"",IF($G163=0,IF(CL$11=$H163,"◆",""),IF(AND(CL$11&gt;=$H163,CL$11&lt;=$I163),1,"")))</f>
        <v/>
      </c>
      <c r="CM163" s="448" t="str">
        <f aca="false">IF(FC_SUPUESTOS!$C$12=0,"",IF($G163=0,IF(CM$11=$H163,"◆",""),IF(AND(CM$11&gt;=$H163,CM$11&lt;=$I163),1,"")))</f>
        <v/>
      </c>
      <c r="CN163" s="448" t="str">
        <f aca="false">IF(FC_SUPUESTOS!$C$12=0,"",IF($G163=0,IF(CN$11=$H163,"◆",""),IF(AND(CN$11&gt;=$H163,CN$11&lt;=$I163),1,"")))</f>
        <v/>
      </c>
      <c r="CO163" s="448" t="str">
        <f aca="false">IF(FC_SUPUESTOS!$C$12=0,"",IF($G163=0,IF(CO$11=$H163,"◆",""),IF(AND(CO$11&gt;=$H163,CO$11&lt;=$I163),1,"")))</f>
        <v/>
      </c>
      <c r="CP163" s="448" t="str">
        <f aca="false">IF(FC_SUPUESTOS!$C$12=0,"",IF($G163=0,IF(CP$11=$H163,"◆",""),IF(AND(CP$11&gt;=$H163,CP$11&lt;=$I163),1,"")))</f>
        <v/>
      </c>
      <c r="CQ163" s="448" t="str">
        <f aca="false">IF(FC_SUPUESTOS!$C$12=0,"",IF($G163=0,IF(CQ$11=$H163,"◆",""),IF(AND(CQ$11&gt;=$H163,CQ$11&lt;=$I163),1,"")))</f>
        <v/>
      </c>
      <c r="CR163" s="448" t="str">
        <f aca="false">IF(FC_SUPUESTOS!$C$12=0,"",IF($G163=0,IF(CR$11=$H163,"◆",""),IF(AND(CR$11&gt;=$H163,CR$11&lt;=$I163),1,"")))</f>
        <v/>
      </c>
      <c r="CS163" s="448" t="str">
        <f aca="false">IF(FC_SUPUESTOS!$C$12=0,"",IF($G163=0,IF(CS$11=$H163,"◆",""),IF(AND(CS$11&gt;=$H163,CS$11&lt;=$I163),1,"")))</f>
        <v/>
      </c>
      <c r="CT163" s="448" t="str">
        <f aca="false">IF(FC_SUPUESTOS!$C$12=0,"",IF($G163=0,IF(CT$11=$H163,"◆",""),IF(AND(CT$11&gt;=$H163,CT$11&lt;=$I163),1,"")))</f>
        <v/>
      </c>
      <c r="CU163" s="448" t="str">
        <f aca="false">IF(FC_SUPUESTOS!$C$12=0,"",IF($G163=0,IF(CU$11=$H163,"◆",""),IF(AND(CU$11&gt;=$H163,CU$11&lt;=$I163),1,"")))</f>
        <v/>
      </c>
      <c r="CV163" s="448" t="str">
        <f aca="false">IF(FC_SUPUESTOS!$C$12=0,"",IF($G163=0,IF(CV$11=$H163,"◆",""),IF(AND(CV$11&gt;=$H163,CV$11&lt;=$I163),1,"")))</f>
        <v/>
      </c>
      <c r="CW163" s="448" t="str">
        <f aca="false">IF(FC_SUPUESTOS!$C$12=0,"",IF($G163=0,IF(CW$11=$H163,"◆",""),IF(AND(CW$11&gt;=$H163,CW$11&lt;=$I163),1,"")))</f>
        <v/>
      </c>
      <c r="CX163" s="448" t="str">
        <f aca="false">IF(FC_SUPUESTOS!$C$12=0,"",IF($G163=0,IF(CX$11=$H163,"◆",""),IF(AND(CX$11&gt;=$H163,CX$11&lt;=$I163),1,"")))</f>
        <v/>
      </c>
      <c r="CY163" s="448" t="str">
        <f aca="false">IF(FC_SUPUESTOS!$C$12=0,"",IF($G163=0,IF(CY$11=$H163,"◆",""),IF(AND(CY$11&gt;=$H163,CY$11&lt;=$I163),1,"")))</f>
        <v/>
      </c>
      <c r="CZ163" s="448" t="str">
        <f aca="false">IF(FC_SUPUESTOS!$C$12=0,"",IF($G163=0,IF(CZ$11=$H163,"◆",""),IF(AND(CZ$11&gt;=$H163,CZ$11&lt;=$I163),1,"")))</f>
        <v/>
      </c>
      <c r="DA163" s="448" t="str">
        <f aca="false">IF(FC_SUPUESTOS!$C$12=0,"",IF($G163=0,IF(DA$11=$H163,"◆",""),IF(AND(DA$11&gt;=$H163,DA$11&lt;=$I163),1,"")))</f>
        <v/>
      </c>
      <c r="DB163" s="448" t="str">
        <f aca="false">IF(FC_SUPUESTOS!$C$12=0,"",IF($G163=0,IF(DB$11=$H163,"◆",""),IF(AND(DB$11&gt;=$H163,DB$11&lt;=$I163),1,"")))</f>
        <v/>
      </c>
      <c r="DC163" s="448" t="str">
        <f aca="false">IF(FC_SUPUESTOS!$C$12=0,"",IF($G163=0,IF(DC$11=$H163,"◆",""),IF(AND(DC$11&gt;=$H163,DC$11&lt;=$I163),1,"")))</f>
        <v/>
      </c>
      <c r="DD163" s="448" t="str">
        <f aca="false">IF(FC_SUPUESTOS!$C$12=0,"",IF($G163=0,IF(DD$11=$H163,"◆",""),IF(AND(DD$11&gt;=$H163,DD$11&lt;=$I163),1,"")))</f>
        <v/>
      </c>
      <c r="DE163" s="448" t="str">
        <f aca="false">IF(FC_SUPUESTOS!$C$12=0,"",IF($G163=0,IF(DE$11=$H163,"◆",""),IF(AND(DE$11&gt;=$H163,DE$11&lt;=$I163),1,"")))</f>
        <v/>
      </c>
      <c r="DF163" s="448" t="str">
        <f aca="false">IF(FC_SUPUESTOS!$C$12=0,"",IF($G163=0,IF(DF$11=$H163,"◆",""),IF(AND(DF$11&gt;=$H163,DF$11&lt;=$I163),1,"")))</f>
        <v/>
      </c>
      <c r="DG163" s="448" t="str">
        <f aca="false">IF(FC_SUPUESTOS!$C$12=0,"",IF($G163=0,IF(DG$11=$H163,"◆",""),IF(AND(DG$11&gt;=$H163,DG$11&lt;=$I163),1,"")))</f>
        <v/>
      </c>
      <c r="DH163" s="448" t="str">
        <f aca="false">IF(FC_SUPUESTOS!$C$12=0,"",IF($G163=0,IF(DH$11=$H163,"◆",""),IF(AND(DH$11&gt;=$H163,DH$11&lt;=$I163),1,"")))</f>
        <v/>
      </c>
      <c r="DI163" s="448" t="str">
        <f aca="false">IF(FC_SUPUESTOS!$C$12=0,"",IF($G163=0,IF(DI$11=$H163,"◆",""),IF(AND(DI$11&gt;=$H163,DI$11&lt;=$I163),1,"")))</f>
        <v/>
      </c>
      <c r="DJ163" s="448" t="str">
        <f aca="false">IF(FC_SUPUESTOS!$C$12=0,"",IF($G163=0,IF(DJ$11=$H163,"◆",""),IF(AND(DJ$11&gt;=$H163,DJ$11&lt;=$I163),1,"")))</f>
        <v/>
      </c>
      <c r="DK163" s="448" t="str">
        <f aca="false">IF(FC_SUPUESTOS!$C$12=0,"",IF($G163=0,IF(DK$11=$H163,"◆",""),IF(AND(DK$11&gt;=$H163,DK$11&lt;=$I163),1,"")))</f>
        <v/>
      </c>
      <c r="DL163" s="448" t="str">
        <f aca="false">IF(FC_SUPUESTOS!$C$12=0,"",IF($G163=0,IF(DL$11=$H163,"◆",""),IF(AND(DL$11&gt;=$H163,DL$11&lt;=$I163),1,"")))</f>
        <v/>
      </c>
      <c r="DM163" s="448" t="str">
        <f aca="false">IF(FC_SUPUESTOS!$C$12=0,"",IF($G163=0,IF(DM$11=$H163,"◆",""),IF(AND(DM$11&gt;=$H163,DM$11&lt;=$I163),1,"")))</f>
        <v/>
      </c>
      <c r="DN163" s="448" t="str">
        <f aca="false">IF(FC_SUPUESTOS!$C$12=0,"",IF($G163=0,IF(DN$11=$H163,"◆",""),IF(AND(DN$11&gt;=$H163,DN$11&lt;=$I163),1,"")))</f>
        <v/>
      </c>
      <c r="DO163" s="448" t="str">
        <f aca="false">IF(FC_SUPUESTOS!$C$12=0,"",IF($G163=0,IF(DO$11=$H163,"◆",""),IF(AND(DO$11&gt;=$H163,DO$11&lt;=$I163),1,"")))</f>
        <v/>
      </c>
      <c r="DP163" s="448" t="str">
        <f aca="false">IF(FC_SUPUESTOS!$C$12=0,"",IF($G163=0,IF(DP$11=$H163,"◆",""),IF(AND(DP$11&gt;=$H163,DP$11&lt;=$I163),1,"")))</f>
        <v/>
      </c>
      <c r="DQ163" s="448" t="str">
        <f aca="false">IF(FC_SUPUESTOS!$C$12=0,"",IF($G163=0,IF(DQ$11=$H163,"◆",""),IF(AND(DQ$11&gt;=$H163,DQ$11&lt;=$I163),1,"")))</f>
        <v/>
      </c>
      <c r="DR163" s="448" t="str">
        <f aca="false">IF(FC_SUPUESTOS!$C$12=0,"",IF($G163=0,IF(DR$11=$H163,"◆",""),IF(AND(DR$11&gt;=$H163,DR$11&lt;=$I163),1,"")))</f>
        <v/>
      </c>
      <c r="DS163" s="448" t="str">
        <f aca="false">IF(FC_SUPUESTOS!$C$12=0,"",IF($G163=0,IF(DS$11=$H163,"◆",""),IF(AND(DS$11&gt;=$H163,DS$11&lt;=$I163),1,"")))</f>
        <v/>
      </c>
      <c r="DT163" s="448" t="str">
        <f aca="false">IF(FC_SUPUESTOS!$C$12=0,"",IF($G163=0,IF(DT$11=$H163,"◆",""),IF(AND(DT$11&gt;=$H163,DT$11&lt;=$I163),1,"")))</f>
        <v/>
      </c>
      <c r="DU163" s="448" t="str">
        <f aca="false">IF(FC_SUPUESTOS!$C$12=0,"",IF($G163=0,IF(DU$11=$H163,"◆",""),IF(AND(DU$11&gt;=$H163,DU$11&lt;=$I163),1,"")))</f>
        <v/>
      </c>
      <c r="DV163" s="448" t="str">
        <f aca="false">IF(FC_SUPUESTOS!$C$12=0,"",IF($G163=0,IF(DV$11=$H163,"◆",""),IF(AND(DV$11&gt;=$H163,DV$11&lt;=$I163),1,"")))</f>
        <v/>
      </c>
      <c r="DW163" s="448" t="str">
        <f aca="false">IF(FC_SUPUESTOS!$C$12=0,"",IF($G163=0,IF(DW$11=$H163,"◆",""),IF(AND(DW$11&gt;=$H163,DW$11&lt;=$I163),1,"")))</f>
        <v/>
      </c>
      <c r="DX163" s="448" t="str">
        <f aca="false">IF(FC_SUPUESTOS!$C$12=0,"",IF($G163=0,IF(DX$11=$H163,"◆",""),IF(AND(DX$11&gt;=$H163,DX$11&lt;=$I163),1,"")))</f>
        <v/>
      </c>
      <c r="DY163" s="448" t="str">
        <f aca="false">IF(FC_SUPUESTOS!$C$12=0,"",IF($G163=0,IF(DY$11=$H163,"◆",""),IF(AND(DY$11&gt;=$H163,DY$11&lt;=$I163),1,"")))</f>
        <v/>
      </c>
      <c r="DZ163" s="448" t="str">
        <f aca="false">IF(FC_SUPUESTOS!$C$12=0,"",IF($G163=0,IF(DZ$11=$H163,"◆",""),IF(AND(DZ$11&gt;=$H163,DZ$11&lt;=$I163),1,"")))</f>
        <v/>
      </c>
      <c r="EA163" s="448" t="str">
        <f aca="false">IF(FC_SUPUESTOS!$C$12=0,"",IF($G163=0,IF(EA$11=$H163,"◆",""),IF(AND(EA$11&gt;=$H163,EA$11&lt;=$I163),1,"")))</f>
        <v/>
      </c>
      <c r="EB163" s="448" t="str">
        <f aca="false">IF(FC_SUPUESTOS!$C$12=0,"",IF($G163=0,IF(EB$11=$H163,"◆",""),IF(AND(EB$11&gt;=$H163,EB$11&lt;=$I163),1,"")))</f>
        <v/>
      </c>
      <c r="EC163" s="448" t="str">
        <f aca="false">IF(FC_SUPUESTOS!$C$12=0,"",IF($G163=0,IF(EC$11=$H163,"◆",""),IF(AND(EC$11&gt;=$H163,EC$11&lt;=$I163),1,"")))</f>
        <v/>
      </c>
      <c r="ED163" s="448" t="str">
        <f aca="false">IF(FC_SUPUESTOS!$C$12=0,"",IF($G163=0,IF(ED$11=$H163,"◆",""),IF(AND(ED$11&gt;=$H163,ED$11&lt;=$I163),1,"")))</f>
        <v/>
      </c>
    </row>
    <row r="164" customFormat="false" ht="15" hidden="false" customHeight="true" outlineLevel="0" collapsed="false">
      <c r="A164" s="441" t="s">
        <v>2785</v>
      </c>
      <c r="B164" s="297" t="s">
        <v>2786</v>
      </c>
      <c r="C164" s="442" t="s">
        <v>2733</v>
      </c>
      <c r="D164" s="443" t="s">
        <v>2787</v>
      </c>
      <c r="E164" s="354" t="n">
        <f aca="false">FC_SUPUESTOS!$C$13</f>
        <v>20</v>
      </c>
      <c r="F164" s="352" t="n">
        <v>-8</v>
      </c>
      <c r="G164" s="352" t="n">
        <v>7</v>
      </c>
      <c r="H164" s="367" t="n">
        <f aca="false">MAX(1,ROUND(($E164-1)*$D$5,0)+1+$F164)</f>
        <v>75</v>
      </c>
      <c r="I164" s="367" t="n">
        <f aca="false">MAX($H164,$H164+$G164-1)</f>
        <v>81</v>
      </c>
      <c r="J164" s="444" t="str">
        <f aca="false">IF(FC_SUPUESTOS!$C$12=0,"—",$D$4+($H164-1)*7)</f>
        <v>—</v>
      </c>
      <c r="K164" s="444" t="str">
        <f aca="false">IF(FC_SUPUESTOS!$C$12=0,"—",$D$4+$I164*7-1)</f>
        <v>—</v>
      </c>
      <c r="L164" s="445" t="str">
        <f aca="false">IF(FC_SUPUESTOS!$C$12=0,"—",ROUNDUP($H164/$D$5,0))</f>
        <v>—</v>
      </c>
      <c r="M164" s="446"/>
      <c r="N164" s="447" t="n">
        <v>0</v>
      </c>
      <c r="O164" s="448" t="str">
        <f aca="false">IF(FC_SUPUESTOS!$C$12=0,"",IF($G164=0,IF(O$11=$H164,"◆",""),IF(AND(O$11&gt;=$H164,O$11&lt;=$I164),1,"")))</f>
        <v/>
      </c>
      <c r="P164" s="448" t="str">
        <f aca="false">IF(FC_SUPUESTOS!$C$12=0,"",IF($G164=0,IF(P$11=$H164,"◆",""),IF(AND(P$11&gt;=$H164,P$11&lt;=$I164),1,"")))</f>
        <v/>
      </c>
      <c r="Q164" s="448" t="str">
        <f aca="false">IF(FC_SUPUESTOS!$C$12=0,"",IF($G164=0,IF(Q$11=$H164,"◆",""),IF(AND(Q$11&gt;=$H164,Q$11&lt;=$I164),1,"")))</f>
        <v/>
      </c>
      <c r="R164" s="448" t="str">
        <f aca="false">IF(FC_SUPUESTOS!$C$12=0,"",IF($G164=0,IF(R$11=$H164,"◆",""),IF(AND(R$11&gt;=$H164,R$11&lt;=$I164),1,"")))</f>
        <v/>
      </c>
      <c r="S164" s="448" t="str">
        <f aca="false">IF(FC_SUPUESTOS!$C$12=0,"",IF($G164=0,IF(S$11=$H164,"◆",""),IF(AND(S$11&gt;=$H164,S$11&lt;=$I164),1,"")))</f>
        <v/>
      </c>
      <c r="T164" s="448" t="str">
        <f aca="false">IF(FC_SUPUESTOS!$C$12=0,"",IF($G164=0,IF(T$11=$H164,"◆",""),IF(AND(T$11&gt;=$H164,T$11&lt;=$I164),1,"")))</f>
        <v/>
      </c>
      <c r="U164" s="448" t="str">
        <f aca="false">IF(FC_SUPUESTOS!$C$12=0,"",IF($G164=0,IF(U$11=$H164,"◆",""),IF(AND(U$11&gt;=$H164,U$11&lt;=$I164),1,"")))</f>
        <v/>
      </c>
      <c r="V164" s="448" t="str">
        <f aca="false">IF(FC_SUPUESTOS!$C$12=0,"",IF($G164=0,IF(V$11=$H164,"◆",""),IF(AND(V$11&gt;=$H164,V$11&lt;=$I164),1,"")))</f>
        <v/>
      </c>
      <c r="W164" s="448" t="str">
        <f aca="false">IF(FC_SUPUESTOS!$C$12=0,"",IF($G164=0,IF(W$11=$H164,"◆",""),IF(AND(W$11&gt;=$H164,W$11&lt;=$I164),1,"")))</f>
        <v/>
      </c>
      <c r="X164" s="448" t="str">
        <f aca="false">IF(FC_SUPUESTOS!$C$12=0,"",IF($G164=0,IF(X$11=$H164,"◆",""),IF(AND(X$11&gt;=$H164,X$11&lt;=$I164),1,"")))</f>
        <v/>
      </c>
      <c r="Y164" s="448" t="str">
        <f aca="false">IF(FC_SUPUESTOS!$C$12=0,"",IF($G164=0,IF(Y$11=$H164,"◆",""),IF(AND(Y$11&gt;=$H164,Y$11&lt;=$I164),1,"")))</f>
        <v/>
      </c>
      <c r="Z164" s="448" t="str">
        <f aca="false">IF(FC_SUPUESTOS!$C$12=0,"",IF($G164=0,IF(Z$11=$H164,"◆",""),IF(AND(Z$11&gt;=$H164,Z$11&lt;=$I164),1,"")))</f>
        <v/>
      </c>
      <c r="AA164" s="448" t="str">
        <f aca="false">IF(FC_SUPUESTOS!$C$12=0,"",IF($G164=0,IF(AA$11=$H164,"◆",""),IF(AND(AA$11&gt;=$H164,AA$11&lt;=$I164),1,"")))</f>
        <v/>
      </c>
      <c r="AB164" s="448" t="str">
        <f aca="false">IF(FC_SUPUESTOS!$C$12=0,"",IF($G164=0,IF(AB$11=$H164,"◆",""),IF(AND(AB$11&gt;=$H164,AB$11&lt;=$I164),1,"")))</f>
        <v/>
      </c>
      <c r="AC164" s="448" t="str">
        <f aca="false">IF(FC_SUPUESTOS!$C$12=0,"",IF($G164=0,IF(AC$11=$H164,"◆",""),IF(AND(AC$11&gt;=$H164,AC$11&lt;=$I164),1,"")))</f>
        <v/>
      </c>
      <c r="AD164" s="448" t="str">
        <f aca="false">IF(FC_SUPUESTOS!$C$12=0,"",IF($G164=0,IF(AD$11=$H164,"◆",""),IF(AND(AD$11&gt;=$H164,AD$11&lt;=$I164),1,"")))</f>
        <v/>
      </c>
      <c r="AE164" s="448" t="str">
        <f aca="false">IF(FC_SUPUESTOS!$C$12=0,"",IF($G164=0,IF(AE$11=$H164,"◆",""),IF(AND(AE$11&gt;=$H164,AE$11&lt;=$I164),1,"")))</f>
        <v/>
      </c>
      <c r="AF164" s="448" t="str">
        <f aca="false">IF(FC_SUPUESTOS!$C$12=0,"",IF($G164=0,IF(AF$11=$H164,"◆",""),IF(AND(AF$11&gt;=$H164,AF$11&lt;=$I164),1,"")))</f>
        <v/>
      </c>
      <c r="AG164" s="448" t="str">
        <f aca="false">IF(FC_SUPUESTOS!$C$12=0,"",IF($G164=0,IF(AG$11=$H164,"◆",""),IF(AND(AG$11&gt;=$H164,AG$11&lt;=$I164),1,"")))</f>
        <v/>
      </c>
      <c r="AH164" s="448" t="str">
        <f aca="false">IF(FC_SUPUESTOS!$C$12=0,"",IF($G164=0,IF(AH$11=$H164,"◆",""),IF(AND(AH$11&gt;=$H164,AH$11&lt;=$I164),1,"")))</f>
        <v/>
      </c>
      <c r="AI164" s="448" t="str">
        <f aca="false">IF(FC_SUPUESTOS!$C$12=0,"",IF($G164=0,IF(AI$11=$H164,"◆",""),IF(AND(AI$11&gt;=$H164,AI$11&lt;=$I164),1,"")))</f>
        <v/>
      </c>
      <c r="AJ164" s="448" t="str">
        <f aca="false">IF(FC_SUPUESTOS!$C$12=0,"",IF($G164=0,IF(AJ$11=$H164,"◆",""),IF(AND(AJ$11&gt;=$H164,AJ$11&lt;=$I164),1,"")))</f>
        <v/>
      </c>
      <c r="AK164" s="448" t="str">
        <f aca="false">IF(FC_SUPUESTOS!$C$12=0,"",IF($G164=0,IF(AK$11=$H164,"◆",""),IF(AND(AK$11&gt;=$H164,AK$11&lt;=$I164),1,"")))</f>
        <v/>
      </c>
      <c r="AL164" s="448" t="str">
        <f aca="false">IF(FC_SUPUESTOS!$C$12=0,"",IF($G164=0,IF(AL$11=$H164,"◆",""),IF(AND(AL$11&gt;=$H164,AL$11&lt;=$I164),1,"")))</f>
        <v/>
      </c>
      <c r="AM164" s="448" t="str">
        <f aca="false">IF(FC_SUPUESTOS!$C$12=0,"",IF($G164=0,IF(AM$11=$H164,"◆",""),IF(AND(AM$11&gt;=$H164,AM$11&lt;=$I164),1,"")))</f>
        <v/>
      </c>
      <c r="AN164" s="448" t="str">
        <f aca="false">IF(FC_SUPUESTOS!$C$12=0,"",IF($G164=0,IF(AN$11=$H164,"◆",""),IF(AND(AN$11&gt;=$H164,AN$11&lt;=$I164),1,"")))</f>
        <v/>
      </c>
      <c r="AO164" s="448" t="str">
        <f aca="false">IF(FC_SUPUESTOS!$C$12=0,"",IF($G164=0,IF(AO$11=$H164,"◆",""),IF(AND(AO$11&gt;=$H164,AO$11&lt;=$I164),1,"")))</f>
        <v/>
      </c>
      <c r="AP164" s="448" t="str">
        <f aca="false">IF(FC_SUPUESTOS!$C$12=0,"",IF($G164=0,IF(AP$11=$H164,"◆",""),IF(AND(AP$11&gt;=$H164,AP$11&lt;=$I164),1,"")))</f>
        <v/>
      </c>
      <c r="AQ164" s="448" t="str">
        <f aca="false">IF(FC_SUPUESTOS!$C$12=0,"",IF($G164=0,IF(AQ$11=$H164,"◆",""),IF(AND(AQ$11&gt;=$H164,AQ$11&lt;=$I164),1,"")))</f>
        <v/>
      </c>
      <c r="AR164" s="448" t="str">
        <f aca="false">IF(FC_SUPUESTOS!$C$12=0,"",IF($G164=0,IF(AR$11=$H164,"◆",""),IF(AND(AR$11&gt;=$H164,AR$11&lt;=$I164),1,"")))</f>
        <v/>
      </c>
      <c r="AS164" s="448" t="str">
        <f aca="false">IF(FC_SUPUESTOS!$C$12=0,"",IF($G164=0,IF(AS$11=$H164,"◆",""),IF(AND(AS$11&gt;=$H164,AS$11&lt;=$I164),1,"")))</f>
        <v/>
      </c>
      <c r="AT164" s="448" t="str">
        <f aca="false">IF(FC_SUPUESTOS!$C$12=0,"",IF($G164=0,IF(AT$11=$H164,"◆",""),IF(AND(AT$11&gt;=$H164,AT$11&lt;=$I164),1,"")))</f>
        <v/>
      </c>
      <c r="AU164" s="448" t="str">
        <f aca="false">IF(FC_SUPUESTOS!$C$12=0,"",IF($G164=0,IF(AU$11=$H164,"◆",""),IF(AND(AU$11&gt;=$H164,AU$11&lt;=$I164),1,"")))</f>
        <v/>
      </c>
      <c r="AV164" s="448" t="str">
        <f aca="false">IF(FC_SUPUESTOS!$C$12=0,"",IF($G164=0,IF(AV$11=$H164,"◆",""),IF(AND(AV$11&gt;=$H164,AV$11&lt;=$I164),1,"")))</f>
        <v/>
      </c>
      <c r="AW164" s="448" t="str">
        <f aca="false">IF(FC_SUPUESTOS!$C$12=0,"",IF($G164=0,IF(AW$11=$H164,"◆",""),IF(AND(AW$11&gt;=$H164,AW$11&lt;=$I164),1,"")))</f>
        <v/>
      </c>
      <c r="AX164" s="448" t="str">
        <f aca="false">IF(FC_SUPUESTOS!$C$12=0,"",IF($G164=0,IF(AX$11=$H164,"◆",""),IF(AND(AX$11&gt;=$H164,AX$11&lt;=$I164),1,"")))</f>
        <v/>
      </c>
      <c r="AY164" s="448" t="str">
        <f aca="false">IF(FC_SUPUESTOS!$C$12=0,"",IF($G164=0,IF(AY$11=$H164,"◆",""),IF(AND(AY$11&gt;=$H164,AY$11&lt;=$I164),1,"")))</f>
        <v/>
      </c>
      <c r="AZ164" s="448" t="str">
        <f aca="false">IF(FC_SUPUESTOS!$C$12=0,"",IF($G164=0,IF(AZ$11=$H164,"◆",""),IF(AND(AZ$11&gt;=$H164,AZ$11&lt;=$I164),1,"")))</f>
        <v/>
      </c>
      <c r="BA164" s="448" t="str">
        <f aca="false">IF(FC_SUPUESTOS!$C$12=0,"",IF($G164=0,IF(BA$11=$H164,"◆",""),IF(AND(BA$11&gt;=$H164,BA$11&lt;=$I164),1,"")))</f>
        <v/>
      </c>
      <c r="BB164" s="448" t="str">
        <f aca="false">IF(FC_SUPUESTOS!$C$12=0,"",IF($G164=0,IF(BB$11=$H164,"◆",""),IF(AND(BB$11&gt;=$H164,BB$11&lt;=$I164),1,"")))</f>
        <v/>
      </c>
      <c r="BC164" s="448" t="str">
        <f aca="false">IF(FC_SUPUESTOS!$C$12=0,"",IF($G164=0,IF(BC$11=$H164,"◆",""),IF(AND(BC$11&gt;=$H164,BC$11&lt;=$I164),1,"")))</f>
        <v/>
      </c>
      <c r="BD164" s="448" t="str">
        <f aca="false">IF(FC_SUPUESTOS!$C$12=0,"",IF($G164=0,IF(BD$11=$H164,"◆",""),IF(AND(BD$11&gt;=$H164,BD$11&lt;=$I164),1,"")))</f>
        <v/>
      </c>
      <c r="BE164" s="448" t="str">
        <f aca="false">IF(FC_SUPUESTOS!$C$12=0,"",IF($G164=0,IF(BE$11=$H164,"◆",""),IF(AND(BE$11&gt;=$H164,BE$11&lt;=$I164),1,"")))</f>
        <v/>
      </c>
      <c r="BF164" s="448" t="str">
        <f aca="false">IF(FC_SUPUESTOS!$C$12=0,"",IF($G164=0,IF(BF$11=$H164,"◆",""),IF(AND(BF$11&gt;=$H164,BF$11&lt;=$I164),1,"")))</f>
        <v/>
      </c>
      <c r="BG164" s="448" t="str">
        <f aca="false">IF(FC_SUPUESTOS!$C$12=0,"",IF($G164=0,IF(BG$11=$H164,"◆",""),IF(AND(BG$11&gt;=$H164,BG$11&lt;=$I164),1,"")))</f>
        <v/>
      </c>
      <c r="BH164" s="448" t="str">
        <f aca="false">IF(FC_SUPUESTOS!$C$12=0,"",IF($G164=0,IF(BH$11=$H164,"◆",""),IF(AND(BH$11&gt;=$H164,BH$11&lt;=$I164),1,"")))</f>
        <v/>
      </c>
      <c r="BI164" s="448" t="str">
        <f aca="false">IF(FC_SUPUESTOS!$C$12=0,"",IF($G164=0,IF(BI$11=$H164,"◆",""),IF(AND(BI$11&gt;=$H164,BI$11&lt;=$I164),1,"")))</f>
        <v/>
      </c>
      <c r="BJ164" s="448" t="str">
        <f aca="false">IF(FC_SUPUESTOS!$C$12=0,"",IF($G164=0,IF(BJ$11=$H164,"◆",""),IF(AND(BJ$11&gt;=$H164,BJ$11&lt;=$I164),1,"")))</f>
        <v/>
      </c>
      <c r="BK164" s="448" t="str">
        <f aca="false">IF(FC_SUPUESTOS!$C$12=0,"",IF($G164=0,IF(BK$11=$H164,"◆",""),IF(AND(BK$11&gt;=$H164,BK$11&lt;=$I164),1,"")))</f>
        <v/>
      </c>
      <c r="BL164" s="448" t="str">
        <f aca="false">IF(FC_SUPUESTOS!$C$12=0,"",IF($G164=0,IF(BL$11=$H164,"◆",""),IF(AND(BL$11&gt;=$H164,BL$11&lt;=$I164),1,"")))</f>
        <v/>
      </c>
      <c r="BM164" s="448" t="str">
        <f aca="false">IF(FC_SUPUESTOS!$C$12=0,"",IF($G164=0,IF(BM$11=$H164,"◆",""),IF(AND(BM$11&gt;=$H164,BM$11&lt;=$I164),1,"")))</f>
        <v/>
      </c>
      <c r="BN164" s="448" t="str">
        <f aca="false">IF(FC_SUPUESTOS!$C$12=0,"",IF($G164=0,IF(BN$11=$H164,"◆",""),IF(AND(BN$11&gt;=$H164,BN$11&lt;=$I164),1,"")))</f>
        <v/>
      </c>
      <c r="BO164" s="448" t="str">
        <f aca="false">IF(FC_SUPUESTOS!$C$12=0,"",IF($G164=0,IF(BO$11=$H164,"◆",""),IF(AND(BO$11&gt;=$H164,BO$11&lt;=$I164),1,"")))</f>
        <v/>
      </c>
      <c r="BP164" s="448" t="str">
        <f aca="false">IF(FC_SUPUESTOS!$C$12=0,"",IF($G164=0,IF(BP$11=$H164,"◆",""),IF(AND(BP$11&gt;=$H164,BP$11&lt;=$I164),1,"")))</f>
        <v/>
      </c>
      <c r="BQ164" s="448" t="str">
        <f aca="false">IF(FC_SUPUESTOS!$C$12=0,"",IF($G164=0,IF(BQ$11=$H164,"◆",""),IF(AND(BQ$11&gt;=$H164,BQ$11&lt;=$I164),1,"")))</f>
        <v/>
      </c>
      <c r="BR164" s="448" t="str">
        <f aca="false">IF(FC_SUPUESTOS!$C$12=0,"",IF($G164=0,IF(BR$11=$H164,"◆",""),IF(AND(BR$11&gt;=$H164,BR$11&lt;=$I164),1,"")))</f>
        <v/>
      </c>
      <c r="BS164" s="448" t="str">
        <f aca="false">IF(FC_SUPUESTOS!$C$12=0,"",IF($G164=0,IF(BS$11=$H164,"◆",""),IF(AND(BS$11&gt;=$H164,BS$11&lt;=$I164),1,"")))</f>
        <v/>
      </c>
      <c r="BT164" s="448" t="str">
        <f aca="false">IF(FC_SUPUESTOS!$C$12=0,"",IF($G164=0,IF(BT$11=$H164,"◆",""),IF(AND(BT$11&gt;=$H164,BT$11&lt;=$I164),1,"")))</f>
        <v/>
      </c>
      <c r="BU164" s="448" t="str">
        <f aca="false">IF(FC_SUPUESTOS!$C$12=0,"",IF($G164=0,IF(BU$11=$H164,"◆",""),IF(AND(BU$11&gt;=$H164,BU$11&lt;=$I164),1,"")))</f>
        <v/>
      </c>
      <c r="BV164" s="448" t="str">
        <f aca="false">IF(FC_SUPUESTOS!$C$12=0,"",IF($G164=0,IF(BV$11=$H164,"◆",""),IF(AND(BV$11&gt;=$H164,BV$11&lt;=$I164),1,"")))</f>
        <v/>
      </c>
      <c r="BW164" s="448" t="str">
        <f aca="false">IF(FC_SUPUESTOS!$C$12=0,"",IF($G164=0,IF(BW$11=$H164,"◆",""),IF(AND(BW$11&gt;=$H164,BW$11&lt;=$I164),1,"")))</f>
        <v/>
      </c>
      <c r="BX164" s="448" t="str">
        <f aca="false">IF(FC_SUPUESTOS!$C$12=0,"",IF($G164=0,IF(BX$11=$H164,"◆",""),IF(AND(BX$11&gt;=$H164,BX$11&lt;=$I164),1,"")))</f>
        <v/>
      </c>
      <c r="BY164" s="448" t="str">
        <f aca="false">IF(FC_SUPUESTOS!$C$12=0,"",IF($G164=0,IF(BY$11=$H164,"◆",""),IF(AND(BY$11&gt;=$H164,BY$11&lt;=$I164),1,"")))</f>
        <v/>
      </c>
      <c r="BZ164" s="448" t="str">
        <f aca="false">IF(FC_SUPUESTOS!$C$12=0,"",IF($G164=0,IF(BZ$11=$H164,"◆",""),IF(AND(BZ$11&gt;=$H164,BZ$11&lt;=$I164),1,"")))</f>
        <v/>
      </c>
      <c r="CA164" s="448" t="str">
        <f aca="false">IF(FC_SUPUESTOS!$C$12=0,"",IF($G164=0,IF(CA$11=$H164,"◆",""),IF(AND(CA$11&gt;=$H164,CA$11&lt;=$I164),1,"")))</f>
        <v/>
      </c>
      <c r="CB164" s="448" t="str">
        <f aca="false">IF(FC_SUPUESTOS!$C$12=0,"",IF($G164=0,IF(CB$11=$H164,"◆",""),IF(AND(CB$11&gt;=$H164,CB$11&lt;=$I164),1,"")))</f>
        <v/>
      </c>
      <c r="CC164" s="448" t="str">
        <f aca="false">IF(FC_SUPUESTOS!$C$12=0,"",IF($G164=0,IF(CC$11=$H164,"◆",""),IF(AND(CC$11&gt;=$H164,CC$11&lt;=$I164),1,"")))</f>
        <v/>
      </c>
      <c r="CD164" s="448" t="str">
        <f aca="false">IF(FC_SUPUESTOS!$C$12=0,"",IF($G164=0,IF(CD$11=$H164,"◆",""),IF(AND(CD$11&gt;=$H164,CD$11&lt;=$I164),1,"")))</f>
        <v/>
      </c>
      <c r="CE164" s="448" t="str">
        <f aca="false">IF(FC_SUPUESTOS!$C$12=0,"",IF($G164=0,IF(CE$11=$H164,"◆",""),IF(AND(CE$11&gt;=$H164,CE$11&lt;=$I164),1,"")))</f>
        <v/>
      </c>
      <c r="CF164" s="448" t="str">
        <f aca="false">IF(FC_SUPUESTOS!$C$12=0,"",IF($G164=0,IF(CF$11=$H164,"◆",""),IF(AND(CF$11&gt;=$H164,CF$11&lt;=$I164),1,"")))</f>
        <v/>
      </c>
      <c r="CG164" s="448" t="str">
        <f aca="false">IF(FC_SUPUESTOS!$C$12=0,"",IF($G164=0,IF(CG$11=$H164,"◆",""),IF(AND(CG$11&gt;=$H164,CG$11&lt;=$I164),1,"")))</f>
        <v/>
      </c>
      <c r="CH164" s="448" t="str">
        <f aca="false">IF(FC_SUPUESTOS!$C$12=0,"",IF($G164=0,IF(CH$11=$H164,"◆",""),IF(AND(CH$11&gt;=$H164,CH$11&lt;=$I164),1,"")))</f>
        <v/>
      </c>
      <c r="CI164" s="448" t="str">
        <f aca="false">IF(FC_SUPUESTOS!$C$12=0,"",IF($G164=0,IF(CI$11=$H164,"◆",""),IF(AND(CI$11&gt;=$H164,CI$11&lt;=$I164),1,"")))</f>
        <v/>
      </c>
      <c r="CJ164" s="448" t="str">
        <f aca="false">IF(FC_SUPUESTOS!$C$12=0,"",IF($G164=0,IF(CJ$11=$H164,"◆",""),IF(AND(CJ$11&gt;=$H164,CJ$11&lt;=$I164),1,"")))</f>
        <v/>
      </c>
      <c r="CK164" s="448" t="str">
        <f aca="false">IF(FC_SUPUESTOS!$C$12=0,"",IF($G164=0,IF(CK$11=$H164,"◆",""),IF(AND(CK$11&gt;=$H164,CK$11&lt;=$I164),1,"")))</f>
        <v/>
      </c>
      <c r="CL164" s="448" t="str">
        <f aca="false">IF(FC_SUPUESTOS!$C$12=0,"",IF($G164=0,IF(CL$11=$H164,"◆",""),IF(AND(CL$11&gt;=$H164,CL$11&lt;=$I164),1,"")))</f>
        <v/>
      </c>
      <c r="CM164" s="448" t="str">
        <f aca="false">IF(FC_SUPUESTOS!$C$12=0,"",IF($G164=0,IF(CM$11=$H164,"◆",""),IF(AND(CM$11&gt;=$H164,CM$11&lt;=$I164),1,"")))</f>
        <v/>
      </c>
      <c r="CN164" s="448" t="str">
        <f aca="false">IF(FC_SUPUESTOS!$C$12=0,"",IF($G164=0,IF(CN$11=$H164,"◆",""),IF(AND(CN$11&gt;=$H164,CN$11&lt;=$I164),1,"")))</f>
        <v/>
      </c>
      <c r="CO164" s="448" t="str">
        <f aca="false">IF(FC_SUPUESTOS!$C$12=0,"",IF($G164=0,IF(CO$11=$H164,"◆",""),IF(AND(CO$11&gt;=$H164,CO$11&lt;=$I164),1,"")))</f>
        <v/>
      </c>
      <c r="CP164" s="448" t="str">
        <f aca="false">IF(FC_SUPUESTOS!$C$12=0,"",IF($G164=0,IF(CP$11=$H164,"◆",""),IF(AND(CP$11&gt;=$H164,CP$11&lt;=$I164),1,"")))</f>
        <v/>
      </c>
      <c r="CQ164" s="448" t="str">
        <f aca="false">IF(FC_SUPUESTOS!$C$12=0,"",IF($G164=0,IF(CQ$11=$H164,"◆",""),IF(AND(CQ$11&gt;=$H164,CQ$11&lt;=$I164),1,"")))</f>
        <v/>
      </c>
      <c r="CR164" s="448" t="str">
        <f aca="false">IF(FC_SUPUESTOS!$C$12=0,"",IF($G164=0,IF(CR$11=$H164,"◆",""),IF(AND(CR$11&gt;=$H164,CR$11&lt;=$I164),1,"")))</f>
        <v/>
      </c>
      <c r="CS164" s="448" t="str">
        <f aca="false">IF(FC_SUPUESTOS!$C$12=0,"",IF($G164=0,IF(CS$11=$H164,"◆",""),IF(AND(CS$11&gt;=$H164,CS$11&lt;=$I164),1,"")))</f>
        <v/>
      </c>
      <c r="CT164" s="448" t="str">
        <f aca="false">IF(FC_SUPUESTOS!$C$12=0,"",IF($G164=0,IF(CT$11=$H164,"◆",""),IF(AND(CT$11&gt;=$H164,CT$11&lt;=$I164),1,"")))</f>
        <v/>
      </c>
      <c r="CU164" s="448" t="str">
        <f aca="false">IF(FC_SUPUESTOS!$C$12=0,"",IF($G164=0,IF(CU$11=$H164,"◆",""),IF(AND(CU$11&gt;=$H164,CU$11&lt;=$I164),1,"")))</f>
        <v/>
      </c>
      <c r="CV164" s="448" t="str">
        <f aca="false">IF(FC_SUPUESTOS!$C$12=0,"",IF($G164=0,IF(CV$11=$H164,"◆",""),IF(AND(CV$11&gt;=$H164,CV$11&lt;=$I164),1,"")))</f>
        <v/>
      </c>
      <c r="CW164" s="448" t="str">
        <f aca="false">IF(FC_SUPUESTOS!$C$12=0,"",IF($G164=0,IF(CW$11=$H164,"◆",""),IF(AND(CW$11&gt;=$H164,CW$11&lt;=$I164),1,"")))</f>
        <v/>
      </c>
      <c r="CX164" s="448" t="str">
        <f aca="false">IF(FC_SUPUESTOS!$C$12=0,"",IF($G164=0,IF(CX$11=$H164,"◆",""),IF(AND(CX$11&gt;=$H164,CX$11&lt;=$I164),1,"")))</f>
        <v/>
      </c>
      <c r="CY164" s="448" t="str">
        <f aca="false">IF(FC_SUPUESTOS!$C$12=0,"",IF($G164=0,IF(CY$11=$H164,"◆",""),IF(AND(CY$11&gt;=$H164,CY$11&lt;=$I164),1,"")))</f>
        <v/>
      </c>
      <c r="CZ164" s="448" t="str">
        <f aca="false">IF(FC_SUPUESTOS!$C$12=0,"",IF($G164=0,IF(CZ$11=$H164,"◆",""),IF(AND(CZ$11&gt;=$H164,CZ$11&lt;=$I164),1,"")))</f>
        <v/>
      </c>
      <c r="DA164" s="448" t="str">
        <f aca="false">IF(FC_SUPUESTOS!$C$12=0,"",IF($G164=0,IF(DA$11=$H164,"◆",""),IF(AND(DA$11&gt;=$H164,DA$11&lt;=$I164),1,"")))</f>
        <v/>
      </c>
      <c r="DB164" s="448" t="str">
        <f aca="false">IF(FC_SUPUESTOS!$C$12=0,"",IF($G164=0,IF(DB$11=$H164,"◆",""),IF(AND(DB$11&gt;=$H164,DB$11&lt;=$I164),1,"")))</f>
        <v/>
      </c>
      <c r="DC164" s="448" t="str">
        <f aca="false">IF(FC_SUPUESTOS!$C$12=0,"",IF($G164=0,IF(DC$11=$H164,"◆",""),IF(AND(DC$11&gt;=$H164,DC$11&lt;=$I164),1,"")))</f>
        <v/>
      </c>
      <c r="DD164" s="448" t="str">
        <f aca="false">IF(FC_SUPUESTOS!$C$12=0,"",IF($G164=0,IF(DD$11=$H164,"◆",""),IF(AND(DD$11&gt;=$H164,DD$11&lt;=$I164),1,"")))</f>
        <v/>
      </c>
      <c r="DE164" s="448" t="str">
        <f aca="false">IF(FC_SUPUESTOS!$C$12=0,"",IF($G164=0,IF(DE$11=$H164,"◆",""),IF(AND(DE$11&gt;=$H164,DE$11&lt;=$I164),1,"")))</f>
        <v/>
      </c>
      <c r="DF164" s="448" t="str">
        <f aca="false">IF(FC_SUPUESTOS!$C$12=0,"",IF($G164=0,IF(DF$11=$H164,"◆",""),IF(AND(DF$11&gt;=$H164,DF$11&lt;=$I164),1,"")))</f>
        <v/>
      </c>
      <c r="DG164" s="448" t="str">
        <f aca="false">IF(FC_SUPUESTOS!$C$12=0,"",IF($G164=0,IF(DG$11=$H164,"◆",""),IF(AND(DG$11&gt;=$H164,DG$11&lt;=$I164),1,"")))</f>
        <v/>
      </c>
      <c r="DH164" s="448" t="str">
        <f aca="false">IF(FC_SUPUESTOS!$C$12=0,"",IF($G164=0,IF(DH$11=$H164,"◆",""),IF(AND(DH$11&gt;=$H164,DH$11&lt;=$I164),1,"")))</f>
        <v/>
      </c>
      <c r="DI164" s="448" t="str">
        <f aca="false">IF(FC_SUPUESTOS!$C$12=0,"",IF($G164=0,IF(DI$11=$H164,"◆",""),IF(AND(DI$11&gt;=$H164,DI$11&lt;=$I164),1,"")))</f>
        <v/>
      </c>
      <c r="DJ164" s="448" t="str">
        <f aca="false">IF(FC_SUPUESTOS!$C$12=0,"",IF($G164=0,IF(DJ$11=$H164,"◆",""),IF(AND(DJ$11&gt;=$H164,DJ$11&lt;=$I164),1,"")))</f>
        <v/>
      </c>
      <c r="DK164" s="448" t="str">
        <f aca="false">IF(FC_SUPUESTOS!$C$12=0,"",IF($G164=0,IF(DK$11=$H164,"◆",""),IF(AND(DK$11&gt;=$H164,DK$11&lt;=$I164),1,"")))</f>
        <v/>
      </c>
      <c r="DL164" s="448" t="str">
        <f aca="false">IF(FC_SUPUESTOS!$C$12=0,"",IF($G164=0,IF(DL$11=$H164,"◆",""),IF(AND(DL$11&gt;=$H164,DL$11&lt;=$I164),1,"")))</f>
        <v/>
      </c>
      <c r="DM164" s="448" t="str">
        <f aca="false">IF(FC_SUPUESTOS!$C$12=0,"",IF($G164=0,IF(DM$11=$H164,"◆",""),IF(AND(DM$11&gt;=$H164,DM$11&lt;=$I164),1,"")))</f>
        <v/>
      </c>
      <c r="DN164" s="448" t="str">
        <f aca="false">IF(FC_SUPUESTOS!$C$12=0,"",IF($G164=0,IF(DN$11=$H164,"◆",""),IF(AND(DN$11&gt;=$H164,DN$11&lt;=$I164),1,"")))</f>
        <v/>
      </c>
      <c r="DO164" s="448" t="str">
        <f aca="false">IF(FC_SUPUESTOS!$C$12=0,"",IF($G164=0,IF(DO$11=$H164,"◆",""),IF(AND(DO$11&gt;=$H164,DO$11&lt;=$I164),1,"")))</f>
        <v/>
      </c>
      <c r="DP164" s="448" t="str">
        <f aca="false">IF(FC_SUPUESTOS!$C$12=0,"",IF($G164=0,IF(DP$11=$H164,"◆",""),IF(AND(DP$11&gt;=$H164,DP$11&lt;=$I164),1,"")))</f>
        <v/>
      </c>
      <c r="DQ164" s="448" t="str">
        <f aca="false">IF(FC_SUPUESTOS!$C$12=0,"",IF($G164=0,IF(DQ$11=$H164,"◆",""),IF(AND(DQ$11&gt;=$H164,DQ$11&lt;=$I164),1,"")))</f>
        <v/>
      </c>
      <c r="DR164" s="448" t="str">
        <f aca="false">IF(FC_SUPUESTOS!$C$12=0,"",IF($G164=0,IF(DR$11=$H164,"◆",""),IF(AND(DR$11&gt;=$H164,DR$11&lt;=$I164),1,"")))</f>
        <v/>
      </c>
      <c r="DS164" s="448" t="str">
        <f aca="false">IF(FC_SUPUESTOS!$C$12=0,"",IF($G164=0,IF(DS$11=$H164,"◆",""),IF(AND(DS$11&gt;=$H164,DS$11&lt;=$I164),1,"")))</f>
        <v/>
      </c>
      <c r="DT164" s="448" t="str">
        <f aca="false">IF(FC_SUPUESTOS!$C$12=0,"",IF($G164=0,IF(DT$11=$H164,"◆",""),IF(AND(DT$11&gt;=$H164,DT$11&lt;=$I164),1,"")))</f>
        <v/>
      </c>
      <c r="DU164" s="448" t="str">
        <f aca="false">IF(FC_SUPUESTOS!$C$12=0,"",IF($G164=0,IF(DU$11=$H164,"◆",""),IF(AND(DU$11&gt;=$H164,DU$11&lt;=$I164),1,"")))</f>
        <v/>
      </c>
      <c r="DV164" s="448" t="str">
        <f aca="false">IF(FC_SUPUESTOS!$C$12=0,"",IF($G164=0,IF(DV$11=$H164,"◆",""),IF(AND(DV$11&gt;=$H164,DV$11&lt;=$I164),1,"")))</f>
        <v/>
      </c>
      <c r="DW164" s="448" t="str">
        <f aca="false">IF(FC_SUPUESTOS!$C$12=0,"",IF($G164=0,IF(DW$11=$H164,"◆",""),IF(AND(DW$11&gt;=$H164,DW$11&lt;=$I164),1,"")))</f>
        <v/>
      </c>
      <c r="DX164" s="448" t="str">
        <f aca="false">IF(FC_SUPUESTOS!$C$12=0,"",IF($G164=0,IF(DX$11=$H164,"◆",""),IF(AND(DX$11&gt;=$H164,DX$11&lt;=$I164),1,"")))</f>
        <v/>
      </c>
      <c r="DY164" s="448" t="str">
        <f aca="false">IF(FC_SUPUESTOS!$C$12=0,"",IF($G164=0,IF(DY$11=$H164,"◆",""),IF(AND(DY$11&gt;=$H164,DY$11&lt;=$I164),1,"")))</f>
        <v/>
      </c>
      <c r="DZ164" s="448" t="str">
        <f aca="false">IF(FC_SUPUESTOS!$C$12=0,"",IF($G164=0,IF(DZ$11=$H164,"◆",""),IF(AND(DZ$11&gt;=$H164,DZ$11&lt;=$I164),1,"")))</f>
        <v/>
      </c>
      <c r="EA164" s="448" t="str">
        <f aca="false">IF(FC_SUPUESTOS!$C$12=0,"",IF($G164=0,IF(EA$11=$H164,"◆",""),IF(AND(EA$11&gt;=$H164,EA$11&lt;=$I164),1,"")))</f>
        <v/>
      </c>
      <c r="EB164" s="448" t="str">
        <f aca="false">IF(FC_SUPUESTOS!$C$12=0,"",IF($G164=0,IF(EB$11=$H164,"◆",""),IF(AND(EB$11&gt;=$H164,EB$11&lt;=$I164),1,"")))</f>
        <v/>
      </c>
      <c r="EC164" s="448" t="str">
        <f aca="false">IF(FC_SUPUESTOS!$C$12=0,"",IF($G164=0,IF(EC$11=$H164,"◆",""),IF(AND(EC$11&gt;=$H164,EC$11&lt;=$I164),1,"")))</f>
        <v/>
      </c>
      <c r="ED164" s="448" t="str">
        <f aca="false">IF(FC_SUPUESTOS!$C$12=0,"",IF($G164=0,IF(ED$11=$H164,"◆",""),IF(AND(ED$11&gt;=$H164,ED$11&lt;=$I164),1,"")))</f>
        <v/>
      </c>
    </row>
    <row r="165" customFormat="false" ht="15" hidden="false" customHeight="true" outlineLevel="0" collapsed="false">
      <c r="A165" s="441" t="s">
        <v>2788</v>
      </c>
      <c r="B165" s="297" t="s">
        <v>2789</v>
      </c>
      <c r="C165" s="442" t="s">
        <v>2435</v>
      </c>
      <c r="D165" s="443" t="s">
        <v>2787</v>
      </c>
      <c r="E165" s="354" t="n">
        <f aca="false">FC_SUPUESTOS!$C$13</f>
        <v>20</v>
      </c>
      <c r="F165" s="352" t="n">
        <v>-6</v>
      </c>
      <c r="G165" s="352" t="n">
        <v>10</v>
      </c>
      <c r="H165" s="367" t="n">
        <f aca="false">MAX(1,ROUND(($E165-1)*$D$5,0)+1+$F165)</f>
        <v>77</v>
      </c>
      <c r="I165" s="367" t="n">
        <f aca="false">MAX($H165,$H165+$G165-1)</f>
        <v>86</v>
      </c>
      <c r="J165" s="444" t="str">
        <f aca="false">IF(FC_SUPUESTOS!$C$12=0,"—",$D$4+($H165-1)*7)</f>
        <v>—</v>
      </c>
      <c r="K165" s="444" t="str">
        <f aca="false">IF(FC_SUPUESTOS!$C$12=0,"—",$D$4+$I165*7-1)</f>
        <v>—</v>
      </c>
      <c r="L165" s="445" t="str">
        <f aca="false">IF(FC_SUPUESTOS!$C$12=0,"—",ROUNDUP($H165/$D$5,0))</f>
        <v>—</v>
      </c>
      <c r="M165" s="446"/>
      <c r="N165" s="447" t="n">
        <v>0</v>
      </c>
      <c r="O165" s="448" t="str">
        <f aca="false">IF(FC_SUPUESTOS!$C$12=0,"",IF($G165=0,IF(O$11=$H165,"◆",""),IF(AND(O$11&gt;=$H165,O$11&lt;=$I165),1,"")))</f>
        <v/>
      </c>
      <c r="P165" s="448" t="str">
        <f aca="false">IF(FC_SUPUESTOS!$C$12=0,"",IF($G165=0,IF(P$11=$H165,"◆",""),IF(AND(P$11&gt;=$H165,P$11&lt;=$I165),1,"")))</f>
        <v/>
      </c>
      <c r="Q165" s="448" t="str">
        <f aca="false">IF(FC_SUPUESTOS!$C$12=0,"",IF($G165=0,IF(Q$11=$H165,"◆",""),IF(AND(Q$11&gt;=$H165,Q$11&lt;=$I165),1,"")))</f>
        <v/>
      </c>
      <c r="R165" s="448" t="str">
        <f aca="false">IF(FC_SUPUESTOS!$C$12=0,"",IF($G165=0,IF(R$11=$H165,"◆",""),IF(AND(R$11&gt;=$H165,R$11&lt;=$I165),1,"")))</f>
        <v/>
      </c>
      <c r="S165" s="448" t="str">
        <f aca="false">IF(FC_SUPUESTOS!$C$12=0,"",IF($G165=0,IF(S$11=$H165,"◆",""),IF(AND(S$11&gt;=$H165,S$11&lt;=$I165),1,"")))</f>
        <v/>
      </c>
      <c r="T165" s="448" t="str">
        <f aca="false">IF(FC_SUPUESTOS!$C$12=0,"",IF($G165=0,IF(T$11=$H165,"◆",""),IF(AND(T$11&gt;=$H165,T$11&lt;=$I165),1,"")))</f>
        <v/>
      </c>
      <c r="U165" s="448" t="str">
        <f aca="false">IF(FC_SUPUESTOS!$C$12=0,"",IF($G165=0,IF(U$11=$H165,"◆",""),IF(AND(U$11&gt;=$H165,U$11&lt;=$I165),1,"")))</f>
        <v/>
      </c>
      <c r="V165" s="448" t="str">
        <f aca="false">IF(FC_SUPUESTOS!$C$12=0,"",IF($G165=0,IF(V$11=$H165,"◆",""),IF(AND(V$11&gt;=$H165,V$11&lt;=$I165),1,"")))</f>
        <v/>
      </c>
      <c r="W165" s="448" t="str">
        <f aca="false">IF(FC_SUPUESTOS!$C$12=0,"",IF($G165=0,IF(W$11=$H165,"◆",""),IF(AND(W$11&gt;=$H165,W$11&lt;=$I165),1,"")))</f>
        <v/>
      </c>
      <c r="X165" s="448" t="str">
        <f aca="false">IF(FC_SUPUESTOS!$C$12=0,"",IF($G165=0,IF(X$11=$H165,"◆",""),IF(AND(X$11&gt;=$H165,X$11&lt;=$I165),1,"")))</f>
        <v/>
      </c>
      <c r="Y165" s="448" t="str">
        <f aca="false">IF(FC_SUPUESTOS!$C$12=0,"",IF($G165=0,IF(Y$11=$H165,"◆",""),IF(AND(Y$11&gt;=$H165,Y$11&lt;=$I165),1,"")))</f>
        <v/>
      </c>
      <c r="Z165" s="448" t="str">
        <f aca="false">IF(FC_SUPUESTOS!$C$12=0,"",IF($G165=0,IF(Z$11=$H165,"◆",""),IF(AND(Z$11&gt;=$H165,Z$11&lt;=$I165),1,"")))</f>
        <v/>
      </c>
      <c r="AA165" s="448" t="str">
        <f aca="false">IF(FC_SUPUESTOS!$C$12=0,"",IF($G165=0,IF(AA$11=$H165,"◆",""),IF(AND(AA$11&gt;=$H165,AA$11&lt;=$I165),1,"")))</f>
        <v/>
      </c>
      <c r="AB165" s="448" t="str">
        <f aca="false">IF(FC_SUPUESTOS!$C$12=0,"",IF($G165=0,IF(AB$11=$H165,"◆",""),IF(AND(AB$11&gt;=$H165,AB$11&lt;=$I165),1,"")))</f>
        <v/>
      </c>
      <c r="AC165" s="448" t="str">
        <f aca="false">IF(FC_SUPUESTOS!$C$12=0,"",IF($G165=0,IF(AC$11=$H165,"◆",""),IF(AND(AC$11&gt;=$H165,AC$11&lt;=$I165),1,"")))</f>
        <v/>
      </c>
      <c r="AD165" s="448" t="str">
        <f aca="false">IF(FC_SUPUESTOS!$C$12=0,"",IF($G165=0,IF(AD$11=$H165,"◆",""),IF(AND(AD$11&gt;=$H165,AD$11&lt;=$I165),1,"")))</f>
        <v/>
      </c>
      <c r="AE165" s="448" t="str">
        <f aca="false">IF(FC_SUPUESTOS!$C$12=0,"",IF($G165=0,IF(AE$11=$H165,"◆",""),IF(AND(AE$11&gt;=$H165,AE$11&lt;=$I165),1,"")))</f>
        <v/>
      </c>
      <c r="AF165" s="448" t="str">
        <f aca="false">IF(FC_SUPUESTOS!$C$12=0,"",IF($G165=0,IF(AF$11=$H165,"◆",""),IF(AND(AF$11&gt;=$H165,AF$11&lt;=$I165),1,"")))</f>
        <v/>
      </c>
      <c r="AG165" s="448" t="str">
        <f aca="false">IF(FC_SUPUESTOS!$C$12=0,"",IF($G165=0,IF(AG$11=$H165,"◆",""),IF(AND(AG$11&gt;=$H165,AG$11&lt;=$I165),1,"")))</f>
        <v/>
      </c>
      <c r="AH165" s="448" t="str">
        <f aca="false">IF(FC_SUPUESTOS!$C$12=0,"",IF($G165=0,IF(AH$11=$H165,"◆",""),IF(AND(AH$11&gt;=$H165,AH$11&lt;=$I165),1,"")))</f>
        <v/>
      </c>
      <c r="AI165" s="448" t="str">
        <f aca="false">IF(FC_SUPUESTOS!$C$12=0,"",IF($G165=0,IF(AI$11=$H165,"◆",""),IF(AND(AI$11&gt;=$H165,AI$11&lt;=$I165),1,"")))</f>
        <v/>
      </c>
      <c r="AJ165" s="448" t="str">
        <f aca="false">IF(FC_SUPUESTOS!$C$12=0,"",IF($G165=0,IF(AJ$11=$H165,"◆",""),IF(AND(AJ$11&gt;=$H165,AJ$11&lt;=$I165),1,"")))</f>
        <v/>
      </c>
      <c r="AK165" s="448" t="str">
        <f aca="false">IF(FC_SUPUESTOS!$C$12=0,"",IF($G165=0,IF(AK$11=$H165,"◆",""),IF(AND(AK$11&gt;=$H165,AK$11&lt;=$I165),1,"")))</f>
        <v/>
      </c>
      <c r="AL165" s="448" t="str">
        <f aca="false">IF(FC_SUPUESTOS!$C$12=0,"",IF($G165=0,IF(AL$11=$H165,"◆",""),IF(AND(AL$11&gt;=$H165,AL$11&lt;=$I165),1,"")))</f>
        <v/>
      </c>
      <c r="AM165" s="448" t="str">
        <f aca="false">IF(FC_SUPUESTOS!$C$12=0,"",IF($G165=0,IF(AM$11=$H165,"◆",""),IF(AND(AM$11&gt;=$H165,AM$11&lt;=$I165),1,"")))</f>
        <v/>
      </c>
      <c r="AN165" s="448" t="str">
        <f aca="false">IF(FC_SUPUESTOS!$C$12=0,"",IF($G165=0,IF(AN$11=$H165,"◆",""),IF(AND(AN$11&gt;=$H165,AN$11&lt;=$I165),1,"")))</f>
        <v/>
      </c>
      <c r="AO165" s="448" t="str">
        <f aca="false">IF(FC_SUPUESTOS!$C$12=0,"",IF($G165=0,IF(AO$11=$H165,"◆",""),IF(AND(AO$11&gt;=$H165,AO$11&lt;=$I165),1,"")))</f>
        <v/>
      </c>
      <c r="AP165" s="448" t="str">
        <f aca="false">IF(FC_SUPUESTOS!$C$12=0,"",IF($G165=0,IF(AP$11=$H165,"◆",""),IF(AND(AP$11&gt;=$H165,AP$11&lt;=$I165),1,"")))</f>
        <v/>
      </c>
      <c r="AQ165" s="448" t="str">
        <f aca="false">IF(FC_SUPUESTOS!$C$12=0,"",IF($G165=0,IF(AQ$11=$H165,"◆",""),IF(AND(AQ$11&gt;=$H165,AQ$11&lt;=$I165),1,"")))</f>
        <v/>
      </c>
      <c r="AR165" s="448" t="str">
        <f aca="false">IF(FC_SUPUESTOS!$C$12=0,"",IF($G165=0,IF(AR$11=$H165,"◆",""),IF(AND(AR$11&gt;=$H165,AR$11&lt;=$I165),1,"")))</f>
        <v/>
      </c>
      <c r="AS165" s="448" t="str">
        <f aca="false">IF(FC_SUPUESTOS!$C$12=0,"",IF($G165=0,IF(AS$11=$H165,"◆",""),IF(AND(AS$11&gt;=$H165,AS$11&lt;=$I165),1,"")))</f>
        <v/>
      </c>
      <c r="AT165" s="448" t="str">
        <f aca="false">IF(FC_SUPUESTOS!$C$12=0,"",IF($G165=0,IF(AT$11=$H165,"◆",""),IF(AND(AT$11&gt;=$H165,AT$11&lt;=$I165),1,"")))</f>
        <v/>
      </c>
      <c r="AU165" s="448" t="str">
        <f aca="false">IF(FC_SUPUESTOS!$C$12=0,"",IF($G165=0,IF(AU$11=$H165,"◆",""),IF(AND(AU$11&gt;=$H165,AU$11&lt;=$I165),1,"")))</f>
        <v/>
      </c>
      <c r="AV165" s="448" t="str">
        <f aca="false">IF(FC_SUPUESTOS!$C$12=0,"",IF($G165=0,IF(AV$11=$H165,"◆",""),IF(AND(AV$11&gt;=$H165,AV$11&lt;=$I165),1,"")))</f>
        <v/>
      </c>
      <c r="AW165" s="448" t="str">
        <f aca="false">IF(FC_SUPUESTOS!$C$12=0,"",IF($G165=0,IF(AW$11=$H165,"◆",""),IF(AND(AW$11&gt;=$H165,AW$11&lt;=$I165),1,"")))</f>
        <v/>
      </c>
      <c r="AX165" s="448" t="str">
        <f aca="false">IF(FC_SUPUESTOS!$C$12=0,"",IF($G165=0,IF(AX$11=$H165,"◆",""),IF(AND(AX$11&gt;=$H165,AX$11&lt;=$I165),1,"")))</f>
        <v/>
      </c>
      <c r="AY165" s="448" t="str">
        <f aca="false">IF(FC_SUPUESTOS!$C$12=0,"",IF($G165=0,IF(AY$11=$H165,"◆",""),IF(AND(AY$11&gt;=$H165,AY$11&lt;=$I165),1,"")))</f>
        <v/>
      </c>
      <c r="AZ165" s="448" t="str">
        <f aca="false">IF(FC_SUPUESTOS!$C$12=0,"",IF($G165=0,IF(AZ$11=$H165,"◆",""),IF(AND(AZ$11&gt;=$H165,AZ$11&lt;=$I165),1,"")))</f>
        <v/>
      </c>
      <c r="BA165" s="448" t="str">
        <f aca="false">IF(FC_SUPUESTOS!$C$12=0,"",IF($G165=0,IF(BA$11=$H165,"◆",""),IF(AND(BA$11&gt;=$H165,BA$11&lt;=$I165),1,"")))</f>
        <v/>
      </c>
      <c r="BB165" s="448" t="str">
        <f aca="false">IF(FC_SUPUESTOS!$C$12=0,"",IF($G165=0,IF(BB$11=$H165,"◆",""),IF(AND(BB$11&gt;=$H165,BB$11&lt;=$I165),1,"")))</f>
        <v/>
      </c>
      <c r="BC165" s="448" t="str">
        <f aca="false">IF(FC_SUPUESTOS!$C$12=0,"",IF($G165=0,IF(BC$11=$H165,"◆",""),IF(AND(BC$11&gt;=$H165,BC$11&lt;=$I165),1,"")))</f>
        <v/>
      </c>
      <c r="BD165" s="448" t="str">
        <f aca="false">IF(FC_SUPUESTOS!$C$12=0,"",IF($G165=0,IF(BD$11=$H165,"◆",""),IF(AND(BD$11&gt;=$H165,BD$11&lt;=$I165),1,"")))</f>
        <v/>
      </c>
      <c r="BE165" s="448" t="str">
        <f aca="false">IF(FC_SUPUESTOS!$C$12=0,"",IF($G165=0,IF(BE$11=$H165,"◆",""),IF(AND(BE$11&gt;=$H165,BE$11&lt;=$I165),1,"")))</f>
        <v/>
      </c>
      <c r="BF165" s="448" t="str">
        <f aca="false">IF(FC_SUPUESTOS!$C$12=0,"",IF($G165=0,IF(BF$11=$H165,"◆",""),IF(AND(BF$11&gt;=$H165,BF$11&lt;=$I165),1,"")))</f>
        <v/>
      </c>
      <c r="BG165" s="448" t="str">
        <f aca="false">IF(FC_SUPUESTOS!$C$12=0,"",IF($G165=0,IF(BG$11=$H165,"◆",""),IF(AND(BG$11&gt;=$H165,BG$11&lt;=$I165),1,"")))</f>
        <v/>
      </c>
      <c r="BH165" s="448" t="str">
        <f aca="false">IF(FC_SUPUESTOS!$C$12=0,"",IF($G165=0,IF(BH$11=$H165,"◆",""),IF(AND(BH$11&gt;=$H165,BH$11&lt;=$I165),1,"")))</f>
        <v/>
      </c>
      <c r="BI165" s="448" t="str">
        <f aca="false">IF(FC_SUPUESTOS!$C$12=0,"",IF($G165=0,IF(BI$11=$H165,"◆",""),IF(AND(BI$11&gt;=$H165,BI$11&lt;=$I165),1,"")))</f>
        <v/>
      </c>
      <c r="BJ165" s="448" t="str">
        <f aca="false">IF(FC_SUPUESTOS!$C$12=0,"",IF($G165=0,IF(BJ$11=$H165,"◆",""),IF(AND(BJ$11&gt;=$H165,BJ$11&lt;=$I165),1,"")))</f>
        <v/>
      </c>
      <c r="BK165" s="448" t="str">
        <f aca="false">IF(FC_SUPUESTOS!$C$12=0,"",IF($G165=0,IF(BK$11=$H165,"◆",""),IF(AND(BK$11&gt;=$H165,BK$11&lt;=$I165),1,"")))</f>
        <v/>
      </c>
      <c r="BL165" s="448" t="str">
        <f aca="false">IF(FC_SUPUESTOS!$C$12=0,"",IF($G165=0,IF(BL$11=$H165,"◆",""),IF(AND(BL$11&gt;=$H165,BL$11&lt;=$I165),1,"")))</f>
        <v/>
      </c>
      <c r="BM165" s="448" t="str">
        <f aca="false">IF(FC_SUPUESTOS!$C$12=0,"",IF($G165=0,IF(BM$11=$H165,"◆",""),IF(AND(BM$11&gt;=$H165,BM$11&lt;=$I165),1,"")))</f>
        <v/>
      </c>
      <c r="BN165" s="448" t="str">
        <f aca="false">IF(FC_SUPUESTOS!$C$12=0,"",IF($G165=0,IF(BN$11=$H165,"◆",""),IF(AND(BN$11&gt;=$H165,BN$11&lt;=$I165),1,"")))</f>
        <v/>
      </c>
      <c r="BO165" s="448" t="str">
        <f aca="false">IF(FC_SUPUESTOS!$C$12=0,"",IF($G165=0,IF(BO$11=$H165,"◆",""),IF(AND(BO$11&gt;=$H165,BO$11&lt;=$I165),1,"")))</f>
        <v/>
      </c>
      <c r="BP165" s="448" t="str">
        <f aca="false">IF(FC_SUPUESTOS!$C$12=0,"",IF($G165=0,IF(BP$11=$H165,"◆",""),IF(AND(BP$11&gt;=$H165,BP$11&lt;=$I165),1,"")))</f>
        <v/>
      </c>
      <c r="BQ165" s="448" t="str">
        <f aca="false">IF(FC_SUPUESTOS!$C$12=0,"",IF($G165=0,IF(BQ$11=$H165,"◆",""),IF(AND(BQ$11&gt;=$H165,BQ$11&lt;=$I165),1,"")))</f>
        <v/>
      </c>
      <c r="BR165" s="448" t="str">
        <f aca="false">IF(FC_SUPUESTOS!$C$12=0,"",IF($G165=0,IF(BR$11=$H165,"◆",""),IF(AND(BR$11&gt;=$H165,BR$11&lt;=$I165),1,"")))</f>
        <v/>
      </c>
      <c r="BS165" s="448" t="str">
        <f aca="false">IF(FC_SUPUESTOS!$C$12=0,"",IF($G165=0,IF(BS$11=$H165,"◆",""),IF(AND(BS$11&gt;=$H165,BS$11&lt;=$I165),1,"")))</f>
        <v/>
      </c>
      <c r="BT165" s="448" t="str">
        <f aca="false">IF(FC_SUPUESTOS!$C$12=0,"",IF($G165=0,IF(BT$11=$H165,"◆",""),IF(AND(BT$11&gt;=$H165,BT$11&lt;=$I165),1,"")))</f>
        <v/>
      </c>
      <c r="BU165" s="448" t="str">
        <f aca="false">IF(FC_SUPUESTOS!$C$12=0,"",IF($G165=0,IF(BU$11=$H165,"◆",""),IF(AND(BU$11&gt;=$H165,BU$11&lt;=$I165),1,"")))</f>
        <v/>
      </c>
      <c r="BV165" s="448" t="str">
        <f aca="false">IF(FC_SUPUESTOS!$C$12=0,"",IF($G165=0,IF(BV$11=$H165,"◆",""),IF(AND(BV$11&gt;=$H165,BV$11&lt;=$I165),1,"")))</f>
        <v/>
      </c>
      <c r="BW165" s="448" t="str">
        <f aca="false">IF(FC_SUPUESTOS!$C$12=0,"",IF($G165=0,IF(BW$11=$H165,"◆",""),IF(AND(BW$11&gt;=$H165,BW$11&lt;=$I165),1,"")))</f>
        <v/>
      </c>
      <c r="BX165" s="448" t="str">
        <f aca="false">IF(FC_SUPUESTOS!$C$12=0,"",IF($G165=0,IF(BX$11=$H165,"◆",""),IF(AND(BX$11&gt;=$H165,BX$11&lt;=$I165),1,"")))</f>
        <v/>
      </c>
      <c r="BY165" s="448" t="str">
        <f aca="false">IF(FC_SUPUESTOS!$C$12=0,"",IF($G165=0,IF(BY$11=$H165,"◆",""),IF(AND(BY$11&gt;=$H165,BY$11&lt;=$I165),1,"")))</f>
        <v/>
      </c>
      <c r="BZ165" s="448" t="str">
        <f aca="false">IF(FC_SUPUESTOS!$C$12=0,"",IF($G165=0,IF(BZ$11=$H165,"◆",""),IF(AND(BZ$11&gt;=$H165,BZ$11&lt;=$I165),1,"")))</f>
        <v/>
      </c>
      <c r="CA165" s="448" t="str">
        <f aca="false">IF(FC_SUPUESTOS!$C$12=0,"",IF($G165=0,IF(CA$11=$H165,"◆",""),IF(AND(CA$11&gt;=$H165,CA$11&lt;=$I165),1,"")))</f>
        <v/>
      </c>
      <c r="CB165" s="448" t="str">
        <f aca="false">IF(FC_SUPUESTOS!$C$12=0,"",IF($G165=0,IF(CB$11=$H165,"◆",""),IF(AND(CB$11&gt;=$H165,CB$11&lt;=$I165),1,"")))</f>
        <v/>
      </c>
      <c r="CC165" s="448" t="str">
        <f aca="false">IF(FC_SUPUESTOS!$C$12=0,"",IF($G165=0,IF(CC$11=$H165,"◆",""),IF(AND(CC$11&gt;=$H165,CC$11&lt;=$I165),1,"")))</f>
        <v/>
      </c>
      <c r="CD165" s="448" t="str">
        <f aca="false">IF(FC_SUPUESTOS!$C$12=0,"",IF($G165=0,IF(CD$11=$H165,"◆",""),IF(AND(CD$11&gt;=$H165,CD$11&lt;=$I165),1,"")))</f>
        <v/>
      </c>
      <c r="CE165" s="448" t="str">
        <f aca="false">IF(FC_SUPUESTOS!$C$12=0,"",IF($G165=0,IF(CE$11=$H165,"◆",""),IF(AND(CE$11&gt;=$H165,CE$11&lt;=$I165),1,"")))</f>
        <v/>
      </c>
      <c r="CF165" s="448" t="str">
        <f aca="false">IF(FC_SUPUESTOS!$C$12=0,"",IF($G165=0,IF(CF$11=$H165,"◆",""),IF(AND(CF$11&gt;=$H165,CF$11&lt;=$I165),1,"")))</f>
        <v/>
      </c>
      <c r="CG165" s="448" t="str">
        <f aca="false">IF(FC_SUPUESTOS!$C$12=0,"",IF($G165=0,IF(CG$11=$H165,"◆",""),IF(AND(CG$11&gt;=$H165,CG$11&lt;=$I165),1,"")))</f>
        <v/>
      </c>
      <c r="CH165" s="448" t="str">
        <f aca="false">IF(FC_SUPUESTOS!$C$12=0,"",IF($G165=0,IF(CH$11=$H165,"◆",""),IF(AND(CH$11&gt;=$H165,CH$11&lt;=$I165),1,"")))</f>
        <v/>
      </c>
      <c r="CI165" s="448" t="str">
        <f aca="false">IF(FC_SUPUESTOS!$C$12=0,"",IF($G165=0,IF(CI$11=$H165,"◆",""),IF(AND(CI$11&gt;=$H165,CI$11&lt;=$I165),1,"")))</f>
        <v/>
      </c>
      <c r="CJ165" s="448" t="str">
        <f aca="false">IF(FC_SUPUESTOS!$C$12=0,"",IF($G165=0,IF(CJ$11=$H165,"◆",""),IF(AND(CJ$11&gt;=$H165,CJ$11&lt;=$I165),1,"")))</f>
        <v/>
      </c>
      <c r="CK165" s="448" t="str">
        <f aca="false">IF(FC_SUPUESTOS!$C$12=0,"",IF($G165=0,IF(CK$11=$H165,"◆",""),IF(AND(CK$11&gt;=$H165,CK$11&lt;=$I165),1,"")))</f>
        <v/>
      </c>
      <c r="CL165" s="448" t="str">
        <f aca="false">IF(FC_SUPUESTOS!$C$12=0,"",IF($G165=0,IF(CL$11=$H165,"◆",""),IF(AND(CL$11&gt;=$H165,CL$11&lt;=$I165),1,"")))</f>
        <v/>
      </c>
      <c r="CM165" s="448" t="str">
        <f aca="false">IF(FC_SUPUESTOS!$C$12=0,"",IF($G165=0,IF(CM$11=$H165,"◆",""),IF(AND(CM$11&gt;=$H165,CM$11&lt;=$I165),1,"")))</f>
        <v/>
      </c>
      <c r="CN165" s="448" t="str">
        <f aca="false">IF(FC_SUPUESTOS!$C$12=0,"",IF($G165=0,IF(CN$11=$H165,"◆",""),IF(AND(CN$11&gt;=$H165,CN$11&lt;=$I165),1,"")))</f>
        <v/>
      </c>
      <c r="CO165" s="448" t="str">
        <f aca="false">IF(FC_SUPUESTOS!$C$12=0,"",IF($G165=0,IF(CO$11=$H165,"◆",""),IF(AND(CO$11&gt;=$H165,CO$11&lt;=$I165),1,"")))</f>
        <v/>
      </c>
      <c r="CP165" s="448" t="str">
        <f aca="false">IF(FC_SUPUESTOS!$C$12=0,"",IF($G165=0,IF(CP$11=$H165,"◆",""),IF(AND(CP$11&gt;=$H165,CP$11&lt;=$I165),1,"")))</f>
        <v/>
      </c>
      <c r="CQ165" s="448" t="str">
        <f aca="false">IF(FC_SUPUESTOS!$C$12=0,"",IF($G165=0,IF(CQ$11=$H165,"◆",""),IF(AND(CQ$11&gt;=$H165,CQ$11&lt;=$I165),1,"")))</f>
        <v/>
      </c>
      <c r="CR165" s="448" t="str">
        <f aca="false">IF(FC_SUPUESTOS!$C$12=0,"",IF($G165=0,IF(CR$11=$H165,"◆",""),IF(AND(CR$11&gt;=$H165,CR$11&lt;=$I165),1,"")))</f>
        <v/>
      </c>
      <c r="CS165" s="448" t="str">
        <f aca="false">IF(FC_SUPUESTOS!$C$12=0,"",IF($G165=0,IF(CS$11=$H165,"◆",""),IF(AND(CS$11&gt;=$H165,CS$11&lt;=$I165),1,"")))</f>
        <v/>
      </c>
      <c r="CT165" s="448" t="str">
        <f aca="false">IF(FC_SUPUESTOS!$C$12=0,"",IF($G165=0,IF(CT$11=$H165,"◆",""),IF(AND(CT$11&gt;=$H165,CT$11&lt;=$I165),1,"")))</f>
        <v/>
      </c>
      <c r="CU165" s="448" t="str">
        <f aca="false">IF(FC_SUPUESTOS!$C$12=0,"",IF($G165=0,IF(CU$11=$H165,"◆",""),IF(AND(CU$11&gt;=$H165,CU$11&lt;=$I165),1,"")))</f>
        <v/>
      </c>
      <c r="CV165" s="448" t="str">
        <f aca="false">IF(FC_SUPUESTOS!$C$12=0,"",IF($G165=0,IF(CV$11=$H165,"◆",""),IF(AND(CV$11&gt;=$H165,CV$11&lt;=$I165),1,"")))</f>
        <v/>
      </c>
      <c r="CW165" s="448" t="str">
        <f aca="false">IF(FC_SUPUESTOS!$C$12=0,"",IF($G165=0,IF(CW$11=$H165,"◆",""),IF(AND(CW$11&gt;=$H165,CW$11&lt;=$I165),1,"")))</f>
        <v/>
      </c>
      <c r="CX165" s="448" t="str">
        <f aca="false">IF(FC_SUPUESTOS!$C$12=0,"",IF($G165=0,IF(CX$11=$H165,"◆",""),IF(AND(CX$11&gt;=$H165,CX$11&lt;=$I165),1,"")))</f>
        <v/>
      </c>
      <c r="CY165" s="448" t="str">
        <f aca="false">IF(FC_SUPUESTOS!$C$12=0,"",IF($G165=0,IF(CY$11=$H165,"◆",""),IF(AND(CY$11&gt;=$H165,CY$11&lt;=$I165),1,"")))</f>
        <v/>
      </c>
      <c r="CZ165" s="448" t="str">
        <f aca="false">IF(FC_SUPUESTOS!$C$12=0,"",IF($G165=0,IF(CZ$11=$H165,"◆",""),IF(AND(CZ$11&gt;=$H165,CZ$11&lt;=$I165),1,"")))</f>
        <v/>
      </c>
      <c r="DA165" s="448" t="str">
        <f aca="false">IF(FC_SUPUESTOS!$C$12=0,"",IF($G165=0,IF(DA$11=$H165,"◆",""),IF(AND(DA$11&gt;=$H165,DA$11&lt;=$I165),1,"")))</f>
        <v/>
      </c>
      <c r="DB165" s="448" t="str">
        <f aca="false">IF(FC_SUPUESTOS!$C$12=0,"",IF($G165=0,IF(DB$11=$H165,"◆",""),IF(AND(DB$11&gt;=$H165,DB$11&lt;=$I165),1,"")))</f>
        <v/>
      </c>
      <c r="DC165" s="448" t="str">
        <f aca="false">IF(FC_SUPUESTOS!$C$12=0,"",IF($G165=0,IF(DC$11=$H165,"◆",""),IF(AND(DC$11&gt;=$H165,DC$11&lt;=$I165),1,"")))</f>
        <v/>
      </c>
      <c r="DD165" s="448" t="str">
        <f aca="false">IF(FC_SUPUESTOS!$C$12=0,"",IF($G165=0,IF(DD$11=$H165,"◆",""),IF(AND(DD$11&gt;=$H165,DD$11&lt;=$I165),1,"")))</f>
        <v/>
      </c>
      <c r="DE165" s="448" t="str">
        <f aca="false">IF(FC_SUPUESTOS!$C$12=0,"",IF($G165=0,IF(DE$11=$H165,"◆",""),IF(AND(DE$11&gt;=$H165,DE$11&lt;=$I165),1,"")))</f>
        <v/>
      </c>
      <c r="DF165" s="448" t="str">
        <f aca="false">IF(FC_SUPUESTOS!$C$12=0,"",IF($G165=0,IF(DF$11=$H165,"◆",""),IF(AND(DF$11&gt;=$H165,DF$11&lt;=$I165),1,"")))</f>
        <v/>
      </c>
      <c r="DG165" s="448" t="str">
        <f aca="false">IF(FC_SUPUESTOS!$C$12=0,"",IF($G165=0,IF(DG$11=$H165,"◆",""),IF(AND(DG$11&gt;=$H165,DG$11&lt;=$I165),1,"")))</f>
        <v/>
      </c>
      <c r="DH165" s="448" t="str">
        <f aca="false">IF(FC_SUPUESTOS!$C$12=0,"",IF($G165=0,IF(DH$11=$H165,"◆",""),IF(AND(DH$11&gt;=$H165,DH$11&lt;=$I165),1,"")))</f>
        <v/>
      </c>
      <c r="DI165" s="448" t="str">
        <f aca="false">IF(FC_SUPUESTOS!$C$12=0,"",IF($G165=0,IF(DI$11=$H165,"◆",""),IF(AND(DI$11&gt;=$H165,DI$11&lt;=$I165),1,"")))</f>
        <v/>
      </c>
      <c r="DJ165" s="448" t="str">
        <f aca="false">IF(FC_SUPUESTOS!$C$12=0,"",IF($G165=0,IF(DJ$11=$H165,"◆",""),IF(AND(DJ$11&gt;=$H165,DJ$11&lt;=$I165),1,"")))</f>
        <v/>
      </c>
      <c r="DK165" s="448" t="str">
        <f aca="false">IF(FC_SUPUESTOS!$C$12=0,"",IF($G165=0,IF(DK$11=$H165,"◆",""),IF(AND(DK$11&gt;=$H165,DK$11&lt;=$I165),1,"")))</f>
        <v/>
      </c>
      <c r="DL165" s="448" t="str">
        <f aca="false">IF(FC_SUPUESTOS!$C$12=0,"",IF($G165=0,IF(DL$11=$H165,"◆",""),IF(AND(DL$11&gt;=$H165,DL$11&lt;=$I165),1,"")))</f>
        <v/>
      </c>
      <c r="DM165" s="448" t="str">
        <f aca="false">IF(FC_SUPUESTOS!$C$12=0,"",IF($G165=0,IF(DM$11=$H165,"◆",""),IF(AND(DM$11&gt;=$H165,DM$11&lt;=$I165),1,"")))</f>
        <v/>
      </c>
      <c r="DN165" s="448" t="str">
        <f aca="false">IF(FC_SUPUESTOS!$C$12=0,"",IF($G165=0,IF(DN$11=$H165,"◆",""),IF(AND(DN$11&gt;=$H165,DN$11&lt;=$I165),1,"")))</f>
        <v/>
      </c>
      <c r="DO165" s="448" t="str">
        <f aca="false">IF(FC_SUPUESTOS!$C$12=0,"",IF($G165=0,IF(DO$11=$H165,"◆",""),IF(AND(DO$11&gt;=$H165,DO$11&lt;=$I165),1,"")))</f>
        <v/>
      </c>
      <c r="DP165" s="448" t="str">
        <f aca="false">IF(FC_SUPUESTOS!$C$12=0,"",IF($G165=0,IF(DP$11=$H165,"◆",""),IF(AND(DP$11&gt;=$H165,DP$11&lt;=$I165),1,"")))</f>
        <v/>
      </c>
      <c r="DQ165" s="448" t="str">
        <f aca="false">IF(FC_SUPUESTOS!$C$12=0,"",IF($G165=0,IF(DQ$11=$H165,"◆",""),IF(AND(DQ$11&gt;=$H165,DQ$11&lt;=$I165),1,"")))</f>
        <v/>
      </c>
      <c r="DR165" s="448" t="str">
        <f aca="false">IF(FC_SUPUESTOS!$C$12=0,"",IF($G165=0,IF(DR$11=$H165,"◆",""),IF(AND(DR$11&gt;=$H165,DR$11&lt;=$I165),1,"")))</f>
        <v/>
      </c>
      <c r="DS165" s="448" t="str">
        <f aca="false">IF(FC_SUPUESTOS!$C$12=0,"",IF($G165=0,IF(DS$11=$H165,"◆",""),IF(AND(DS$11&gt;=$H165,DS$11&lt;=$I165),1,"")))</f>
        <v/>
      </c>
      <c r="DT165" s="448" t="str">
        <f aca="false">IF(FC_SUPUESTOS!$C$12=0,"",IF($G165=0,IF(DT$11=$H165,"◆",""),IF(AND(DT$11&gt;=$H165,DT$11&lt;=$I165),1,"")))</f>
        <v/>
      </c>
      <c r="DU165" s="448" t="str">
        <f aca="false">IF(FC_SUPUESTOS!$C$12=0,"",IF($G165=0,IF(DU$11=$H165,"◆",""),IF(AND(DU$11&gt;=$H165,DU$11&lt;=$I165),1,"")))</f>
        <v/>
      </c>
      <c r="DV165" s="448" t="str">
        <f aca="false">IF(FC_SUPUESTOS!$C$12=0,"",IF($G165=0,IF(DV$11=$H165,"◆",""),IF(AND(DV$11&gt;=$H165,DV$11&lt;=$I165),1,"")))</f>
        <v/>
      </c>
      <c r="DW165" s="448" t="str">
        <f aca="false">IF(FC_SUPUESTOS!$C$12=0,"",IF($G165=0,IF(DW$11=$H165,"◆",""),IF(AND(DW$11&gt;=$H165,DW$11&lt;=$I165),1,"")))</f>
        <v/>
      </c>
      <c r="DX165" s="448" t="str">
        <f aca="false">IF(FC_SUPUESTOS!$C$12=0,"",IF($G165=0,IF(DX$11=$H165,"◆",""),IF(AND(DX$11&gt;=$H165,DX$11&lt;=$I165),1,"")))</f>
        <v/>
      </c>
      <c r="DY165" s="448" t="str">
        <f aca="false">IF(FC_SUPUESTOS!$C$12=0,"",IF($G165=0,IF(DY$11=$H165,"◆",""),IF(AND(DY$11&gt;=$H165,DY$11&lt;=$I165),1,"")))</f>
        <v/>
      </c>
      <c r="DZ165" s="448" t="str">
        <f aca="false">IF(FC_SUPUESTOS!$C$12=0,"",IF($G165=0,IF(DZ$11=$H165,"◆",""),IF(AND(DZ$11&gt;=$H165,DZ$11&lt;=$I165),1,"")))</f>
        <v/>
      </c>
      <c r="EA165" s="448" t="str">
        <f aca="false">IF(FC_SUPUESTOS!$C$12=0,"",IF($G165=0,IF(EA$11=$H165,"◆",""),IF(AND(EA$11&gt;=$H165,EA$11&lt;=$I165),1,"")))</f>
        <v/>
      </c>
      <c r="EB165" s="448" t="str">
        <f aca="false">IF(FC_SUPUESTOS!$C$12=0,"",IF($G165=0,IF(EB$11=$H165,"◆",""),IF(AND(EB$11&gt;=$H165,EB$11&lt;=$I165),1,"")))</f>
        <v/>
      </c>
      <c r="EC165" s="448" t="str">
        <f aca="false">IF(FC_SUPUESTOS!$C$12=0,"",IF($G165=0,IF(EC$11=$H165,"◆",""),IF(AND(EC$11&gt;=$H165,EC$11&lt;=$I165),1,"")))</f>
        <v/>
      </c>
      <c r="ED165" s="448" t="str">
        <f aca="false">IF(FC_SUPUESTOS!$C$12=0,"",IF($G165=0,IF(ED$11=$H165,"◆",""),IF(AND(ED$11&gt;=$H165,ED$11&lt;=$I165),1,"")))</f>
        <v/>
      </c>
    </row>
    <row r="166" customFormat="false" ht="15" hidden="false" customHeight="true" outlineLevel="0" collapsed="false">
      <c r="A166" s="450" t="s">
        <v>2790</v>
      </c>
      <c r="B166" s="421" t="s">
        <v>2791</v>
      </c>
      <c r="C166" s="442" t="s">
        <v>2758</v>
      </c>
      <c r="D166" s="443" t="s">
        <v>2787</v>
      </c>
      <c r="E166" s="354" t="n">
        <f aca="false">FC_SUPUESTOS!$C$13</f>
        <v>20</v>
      </c>
      <c r="F166" s="352" t="n">
        <v>0</v>
      </c>
      <c r="G166" s="352" t="n">
        <v>0</v>
      </c>
      <c r="H166" s="358" t="n">
        <f aca="false">MAX(1,ROUND(($E166-1)*$D$5,0)+1+$F166)</f>
        <v>83</v>
      </c>
      <c r="I166" s="358" t="n">
        <f aca="false">MAX($H166,$H166+$G166-1)</f>
        <v>83</v>
      </c>
      <c r="J166" s="451" t="str">
        <f aca="false">IF(FC_SUPUESTOS!$C$12=0,"—",$D$4+($H166-1)*7)</f>
        <v>—</v>
      </c>
      <c r="K166" s="451" t="str">
        <f aca="false">IF(FC_SUPUESTOS!$C$12=0,"—",$D$4+$I166*7-1)</f>
        <v>—</v>
      </c>
      <c r="L166" s="445" t="str">
        <f aca="false">IF(FC_SUPUESTOS!$C$12=0,"—",ROUNDUP($H166/$D$5,0))</f>
        <v>—</v>
      </c>
      <c r="M166" s="446"/>
      <c r="N166" s="447" t="n">
        <v>0</v>
      </c>
      <c r="O166" s="448" t="str">
        <f aca="false">IF(FC_SUPUESTOS!$C$12=0,"",IF($G166=0,IF(O$11=$H166,"◆",""),IF(AND(O$11&gt;=$H166,O$11&lt;=$I166),1,"")))</f>
        <v/>
      </c>
      <c r="P166" s="448" t="str">
        <f aca="false">IF(FC_SUPUESTOS!$C$12=0,"",IF($G166=0,IF(P$11=$H166,"◆",""),IF(AND(P$11&gt;=$H166,P$11&lt;=$I166),1,"")))</f>
        <v/>
      </c>
      <c r="Q166" s="448" t="str">
        <f aca="false">IF(FC_SUPUESTOS!$C$12=0,"",IF($G166=0,IF(Q$11=$H166,"◆",""),IF(AND(Q$11&gt;=$H166,Q$11&lt;=$I166),1,"")))</f>
        <v/>
      </c>
      <c r="R166" s="448" t="str">
        <f aca="false">IF(FC_SUPUESTOS!$C$12=0,"",IF($G166=0,IF(R$11=$H166,"◆",""),IF(AND(R$11&gt;=$H166,R$11&lt;=$I166),1,"")))</f>
        <v/>
      </c>
      <c r="S166" s="448" t="str">
        <f aca="false">IF(FC_SUPUESTOS!$C$12=0,"",IF($G166=0,IF(S$11=$H166,"◆",""),IF(AND(S$11&gt;=$H166,S$11&lt;=$I166),1,"")))</f>
        <v/>
      </c>
      <c r="T166" s="448" t="str">
        <f aca="false">IF(FC_SUPUESTOS!$C$12=0,"",IF($G166=0,IF(T$11=$H166,"◆",""),IF(AND(T$11&gt;=$H166,T$11&lt;=$I166),1,"")))</f>
        <v/>
      </c>
      <c r="U166" s="448" t="str">
        <f aca="false">IF(FC_SUPUESTOS!$C$12=0,"",IF($G166=0,IF(U$11=$H166,"◆",""),IF(AND(U$11&gt;=$H166,U$11&lt;=$I166),1,"")))</f>
        <v/>
      </c>
      <c r="V166" s="448" t="str">
        <f aca="false">IF(FC_SUPUESTOS!$C$12=0,"",IF($G166=0,IF(V$11=$H166,"◆",""),IF(AND(V$11&gt;=$H166,V$11&lt;=$I166),1,"")))</f>
        <v/>
      </c>
      <c r="W166" s="448" t="str">
        <f aca="false">IF(FC_SUPUESTOS!$C$12=0,"",IF($G166=0,IF(W$11=$H166,"◆",""),IF(AND(W$11&gt;=$H166,W$11&lt;=$I166),1,"")))</f>
        <v/>
      </c>
      <c r="X166" s="448" t="str">
        <f aca="false">IF(FC_SUPUESTOS!$C$12=0,"",IF($G166=0,IF(X$11=$H166,"◆",""),IF(AND(X$11&gt;=$H166,X$11&lt;=$I166),1,"")))</f>
        <v/>
      </c>
      <c r="Y166" s="448" t="str">
        <f aca="false">IF(FC_SUPUESTOS!$C$12=0,"",IF($G166=0,IF(Y$11=$H166,"◆",""),IF(AND(Y$11&gt;=$H166,Y$11&lt;=$I166),1,"")))</f>
        <v/>
      </c>
      <c r="Z166" s="448" t="str">
        <f aca="false">IF(FC_SUPUESTOS!$C$12=0,"",IF($G166=0,IF(Z$11=$H166,"◆",""),IF(AND(Z$11&gt;=$H166,Z$11&lt;=$I166),1,"")))</f>
        <v/>
      </c>
      <c r="AA166" s="448" t="str">
        <f aca="false">IF(FC_SUPUESTOS!$C$12=0,"",IF($G166=0,IF(AA$11=$H166,"◆",""),IF(AND(AA$11&gt;=$H166,AA$11&lt;=$I166),1,"")))</f>
        <v/>
      </c>
      <c r="AB166" s="448" t="str">
        <f aca="false">IF(FC_SUPUESTOS!$C$12=0,"",IF($G166=0,IF(AB$11=$H166,"◆",""),IF(AND(AB$11&gt;=$H166,AB$11&lt;=$I166),1,"")))</f>
        <v/>
      </c>
      <c r="AC166" s="448" t="str">
        <f aca="false">IF(FC_SUPUESTOS!$C$12=0,"",IF($G166=0,IF(AC$11=$H166,"◆",""),IF(AND(AC$11&gt;=$H166,AC$11&lt;=$I166),1,"")))</f>
        <v/>
      </c>
      <c r="AD166" s="448" t="str">
        <f aca="false">IF(FC_SUPUESTOS!$C$12=0,"",IF($G166=0,IF(AD$11=$H166,"◆",""),IF(AND(AD$11&gt;=$H166,AD$11&lt;=$I166),1,"")))</f>
        <v/>
      </c>
      <c r="AE166" s="448" t="str">
        <f aca="false">IF(FC_SUPUESTOS!$C$12=0,"",IF($G166=0,IF(AE$11=$H166,"◆",""),IF(AND(AE$11&gt;=$H166,AE$11&lt;=$I166),1,"")))</f>
        <v/>
      </c>
      <c r="AF166" s="448" t="str">
        <f aca="false">IF(FC_SUPUESTOS!$C$12=0,"",IF($G166=0,IF(AF$11=$H166,"◆",""),IF(AND(AF$11&gt;=$H166,AF$11&lt;=$I166),1,"")))</f>
        <v/>
      </c>
      <c r="AG166" s="448" t="str">
        <f aca="false">IF(FC_SUPUESTOS!$C$12=0,"",IF($G166=0,IF(AG$11=$H166,"◆",""),IF(AND(AG$11&gt;=$H166,AG$11&lt;=$I166),1,"")))</f>
        <v/>
      </c>
      <c r="AH166" s="448" t="str">
        <f aca="false">IF(FC_SUPUESTOS!$C$12=0,"",IF($G166=0,IF(AH$11=$H166,"◆",""),IF(AND(AH$11&gt;=$H166,AH$11&lt;=$I166),1,"")))</f>
        <v/>
      </c>
      <c r="AI166" s="448" t="str">
        <f aca="false">IF(FC_SUPUESTOS!$C$12=0,"",IF($G166=0,IF(AI$11=$H166,"◆",""),IF(AND(AI$11&gt;=$H166,AI$11&lt;=$I166),1,"")))</f>
        <v/>
      </c>
      <c r="AJ166" s="448" t="str">
        <f aca="false">IF(FC_SUPUESTOS!$C$12=0,"",IF($G166=0,IF(AJ$11=$H166,"◆",""),IF(AND(AJ$11&gt;=$H166,AJ$11&lt;=$I166),1,"")))</f>
        <v/>
      </c>
      <c r="AK166" s="448" t="str">
        <f aca="false">IF(FC_SUPUESTOS!$C$12=0,"",IF($G166=0,IF(AK$11=$H166,"◆",""),IF(AND(AK$11&gt;=$H166,AK$11&lt;=$I166),1,"")))</f>
        <v/>
      </c>
      <c r="AL166" s="448" t="str">
        <f aca="false">IF(FC_SUPUESTOS!$C$12=0,"",IF($G166=0,IF(AL$11=$H166,"◆",""),IF(AND(AL$11&gt;=$H166,AL$11&lt;=$I166),1,"")))</f>
        <v/>
      </c>
      <c r="AM166" s="448" t="str">
        <f aca="false">IF(FC_SUPUESTOS!$C$12=0,"",IF($G166=0,IF(AM$11=$H166,"◆",""),IF(AND(AM$11&gt;=$H166,AM$11&lt;=$I166),1,"")))</f>
        <v/>
      </c>
      <c r="AN166" s="448" t="str">
        <f aca="false">IF(FC_SUPUESTOS!$C$12=0,"",IF($G166=0,IF(AN$11=$H166,"◆",""),IF(AND(AN$11&gt;=$H166,AN$11&lt;=$I166),1,"")))</f>
        <v/>
      </c>
      <c r="AO166" s="448" t="str">
        <f aca="false">IF(FC_SUPUESTOS!$C$12=0,"",IF($G166=0,IF(AO$11=$H166,"◆",""),IF(AND(AO$11&gt;=$H166,AO$11&lt;=$I166),1,"")))</f>
        <v/>
      </c>
      <c r="AP166" s="448" t="str">
        <f aca="false">IF(FC_SUPUESTOS!$C$12=0,"",IF($G166=0,IF(AP$11=$H166,"◆",""),IF(AND(AP$11&gt;=$H166,AP$11&lt;=$I166),1,"")))</f>
        <v/>
      </c>
      <c r="AQ166" s="448" t="str">
        <f aca="false">IF(FC_SUPUESTOS!$C$12=0,"",IF($G166=0,IF(AQ$11=$H166,"◆",""),IF(AND(AQ$11&gt;=$H166,AQ$11&lt;=$I166),1,"")))</f>
        <v/>
      </c>
      <c r="AR166" s="448" t="str">
        <f aca="false">IF(FC_SUPUESTOS!$C$12=0,"",IF($G166=0,IF(AR$11=$H166,"◆",""),IF(AND(AR$11&gt;=$H166,AR$11&lt;=$I166),1,"")))</f>
        <v/>
      </c>
      <c r="AS166" s="448" t="str">
        <f aca="false">IF(FC_SUPUESTOS!$C$12=0,"",IF($G166=0,IF(AS$11=$H166,"◆",""),IF(AND(AS$11&gt;=$H166,AS$11&lt;=$I166),1,"")))</f>
        <v/>
      </c>
      <c r="AT166" s="448" t="str">
        <f aca="false">IF(FC_SUPUESTOS!$C$12=0,"",IF($G166=0,IF(AT$11=$H166,"◆",""),IF(AND(AT$11&gt;=$H166,AT$11&lt;=$I166),1,"")))</f>
        <v/>
      </c>
      <c r="AU166" s="448" t="str">
        <f aca="false">IF(FC_SUPUESTOS!$C$12=0,"",IF($G166=0,IF(AU$11=$H166,"◆",""),IF(AND(AU$11&gt;=$H166,AU$11&lt;=$I166),1,"")))</f>
        <v/>
      </c>
      <c r="AV166" s="448" t="str">
        <f aca="false">IF(FC_SUPUESTOS!$C$12=0,"",IF($G166=0,IF(AV$11=$H166,"◆",""),IF(AND(AV$11&gt;=$H166,AV$11&lt;=$I166),1,"")))</f>
        <v/>
      </c>
      <c r="AW166" s="448" t="str">
        <f aca="false">IF(FC_SUPUESTOS!$C$12=0,"",IF($G166=0,IF(AW$11=$H166,"◆",""),IF(AND(AW$11&gt;=$H166,AW$11&lt;=$I166),1,"")))</f>
        <v/>
      </c>
      <c r="AX166" s="448" t="str">
        <f aca="false">IF(FC_SUPUESTOS!$C$12=0,"",IF($G166=0,IF(AX$11=$H166,"◆",""),IF(AND(AX$11&gt;=$H166,AX$11&lt;=$I166),1,"")))</f>
        <v/>
      </c>
      <c r="AY166" s="448" t="str">
        <f aca="false">IF(FC_SUPUESTOS!$C$12=0,"",IF($G166=0,IF(AY$11=$H166,"◆",""),IF(AND(AY$11&gt;=$H166,AY$11&lt;=$I166),1,"")))</f>
        <v/>
      </c>
      <c r="AZ166" s="448" t="str">
        <f aca="false">IF(FC_SUPUESTOS!$C$12=0,"",IF($G166=0,IF(AZ$11=$H166,"◆",""),IF(AND(AZ$11&gt;=$H166,AZ$11&lt;=$I166),1,"")))</f>
        <v/>
      </c>
      <c r="BA166" s="448" t="str">
        <f aca="false">IF(FC_SUPUESTOS!$C$12=0,"",IF($G166=0,IF(BA$11=$H166,"◆",""),IF(AND(BA$11&gt;=$H166,BA$11&lt;=$I166),1,"")))</f>
        <v/>
      </c>
      <c r="BB166" s="448" t="str">
        <f aca="false">IF(FC_SUPUESTOS!$C$12=0,"",IF($G166=0,IF(BB$11=$H166,"◆",""),IF(AND(BB$11&gt;=$H166,BB$11&lt;=$I166),1,"")))</f>
        <v/>
      </c>
      <c r="BC166" s="448" t="str">
        <f aca="false">IF(FC_SUPUESTOS!$C$12=0,"",IF($G166=0,IF(BC$11=$H166,"◆",""),IF(AND(BC$11&gt;=$H166,BC$11&lt;=$I166),1,"")))</f>
        <v/>
      </c>
      <c r="BD166" s="448" t="str">
        <f aca="false">IF(FC_SUPUESTOS!$C$12=0,"",IF($G166=0,IF(BD$11=$H166,"◆",""),IF(AND(BD$11&gt;=$H166,BD$11&lt;=$I166),1,"")))</f>
        <v/>
      </c>
      <c r="BE166" s="448" t="str">
        <f aca="false">IF(FC_SUPUESTOS!$C$12=0,"",IF($G166=0,IF(BE$11=$H166,"◆",""),IF(AND(BE$11&gt;=$H166,BE$11&lt;=$I166),1,"")))</f>
        <v/>
      </c>
      <c r="BF166" s="448" t="str">
        <f aca="false">IF(FC_SUPUESTOS!$C$12=0,"",IF($G166=0,IF(BF$11=$H166,"◆",""),IF(AND(BF$11&gt;=$H166,BF$11&lt;=$I166),1,"")))</f>
        <v/>
      </c>
      <c r="BG166" s="448" t="str">
        <f aca="false">IF(FC_SUPUESTOS!$C$12=0,"",IF($G166=0,IF(BG$11=$H166,"◆",""),IF(AND(BG$11&gt;=$H166,BG$11&lt;=$I166),1,"")))</f>
        <v/>
      </c>
      <c r="BH166" s="448" t="str">
        <f aca="false">IF(FC_SUPUESTOS!$C$12=0,"",IF($G166=0,IF(BH$11=$H166,"◆",""),IF(AND(BH$11&gt;=$H166,BH$11&lt;=$I166),1,"")))</f>
        <v/>
      </c>
      <c r="BI166" s="448" t="str">
        <f aca="false">IF(FC_SUPUESTOS!$C$12=0,"",IF($G166=0,IF(BI$11=$H166,"◆",""),IF(AND(BI$11&gt;=$H166,BI$11&lt;=$I166),1,"")))</f>
        <v/>
      </c>
      <c r="BJ166" s="448" t="str">
        <f aca="false">IF(FC_SUPUESTOS!$C$12=0,"",IF($G166=0,IF(BJ$11=$H166,"◆",""),IF(AND(BJ$11&gt;=$H166,BJ$11&lt;=$I166),1,"")))</f>
        <v/>
      </c>
      <c r="BK166" s="448" t="str">
        <f aca="false">IF(FC_SUPUESTOS!$C$12=0,"",IF($G166=0,IF(BK$11=$H166,"◆",""),IF(AND(BK$11&gt;=$H166,BK$11&lt;=$I166),1,"")))</f>
        <v/>
      </c>
      <c r="BL166" s="448" t="str">
        <f aca="false">IF(FC_SUPUESTOS!$C$12=0,"",IF($G166=0,IF(BL$11=$H166,"◆",""),IF(AND(BL$11&gt;=$H166,BL$11&lt;=$I166),1,"")))</f>
        <v/>
      </c>
      <c r="BM166" s="448" t="str">
        <f aca="false">IF(FC_SUPUESTOS!$C$12=0,"",IF($G166=0,IF(BM$11=$H166,"◆",""),IF(AND(BM$11&gt;=$H166,BM$11&lt;=$I166),1,"")))</f>
        <v/>
      </c>
      <c r="BN166" s="448" t="str">
        <f aca="false">IF(FC_SUPUESTOS!$C$12=0,"",IF($G166=0,IF(BN$11=$H166,"◆",""),IF(AND(BN$11&gt;=$H166,BN$11&lt;=$I166),1,"")))</f>
        <v/>
      </c>
      <c r="BO166" s="448" t="str">
        <f aca="false">IF(FC_SUPUESTOS!$C$12=0,"",IF($G166=0,IF(BO$11=$H166,"◆",""),IF(AND(BO$11&gt;=$H166,BO$11&lt;=$I166),1,"")))</f>
        <v/>
      </c>
      <c r="BP166" s="448" t="str">
        <f aca="false">IF(FC_SUPUESTOS!$C$12=0,"",IF($G166=0,IF(BP$11=$H166,"◆",""),IF(AND(BP$11&gt;=$H166,BP$11&lt;=$I166),1,"")))</f>
        <v/>
      </c>
      <c r="BQ166" s="448" t="str">
        <f aca="false">IF(FC_SUPUESTOS!$C$12=0,"",IF($G166=0,IF(BQ$11=$H166,"◆",""),IF(AND(BQ$11&gt;=$H166,BQ$11&lt;=$I166),1,"")))</f>
        <v/>
      </c>
      <c r="BR166" s="448" t="str">
        <f aca="false">IF(FC_SUPUESTOS!$C$12=0,"",IF($G166=0,IF(BR$11=$H166,"◆",""),IF(AND(BR$11&gt;=$H166,BR$11&lt;=$I166),1,"")))</f>
        <v/>
      </c>
      <c r="BS166" s="448" t="str">
        <f aca="false">IF(FC_SUPUESTOS!$C$12=0,"",IF($G166=0,IF(BS$11=$H166,"◆",""),IF(AND(BS$11&gt;=$H166,BS$11&lt;=$I166),1,"")))</f>
        <v/>
      </c>
      <c r="BT166" s="448" t="str">
        <f aca="false">IF(FC_SUPUESTOS!$C$12=0,"",IF($G166=0,IF(BT$11=$H166,"◆",""),IF(AND(BT$11&gt;=$H166,BT$11&lt;=$I166),1,"")))</f>
        <v/>
      </c>
      <c r="BU166" s="448" t="str">
        <f aca="false">IF(FC_SUPUESTOS!$C$12=0,"",IF($G166=0,IF(BU$11=$H166,"◆",""),IF(AND(BU$11&gt;=$H166,BU$11&lt;=$I166),1,"")))</f>
        <v/>
      </c>
      <c r="BV166" s="448" t="str">
        <f aca="false">IF(FC_SUPUESTOS!$C$12=0,"",IF($G166=0,IF(BV$11=$H166,"◆",""),IF(AND(BV$11&gt;=$H166,BV$11&lt;=$I166),1,"")))</f>
        <v/>
      </c>
      <c r="BW166" s="448" t="str">
        <f aca="false">IF(FC_SUPUESTOS!$C$12=0,"",IF($G166=0,IF(BW$11=$H166,"◆",""),IF(AND(BW$11&gt;=$H166,BW$11&lt;=$I166),1,"")))</f>
        <v/>
      </c>
      <c r="BX166" s="448" t="str">
        <f aca="false">IF(FC_SUPUESTOS!$C$12=0,"",IF($G166=0,IF(BX$11=$H166,"◆",""),IF(AND(BX$11&gt;=$H166,BX$11&lt;=$I166),1,"")))</f>
        <v/>
      </c>
      <c r="BY166" s="448" t="str">
        <f aca="false">IF(FC_SUPUESTOS!$C$12=0,"",IF($G166=0,IF(BY$11=$H166,"◆",""),IF(AND(BY$11&gt;=$H166,BY$11&lt;=$I166),1,"")))</f>
        <v/>
      </c>
      <c r="BZ166" s="448" t="str">
        <f aca="false">IF(FC_SUPUESTOS!$C$12=0,"",IF($G166=0,IF(BZ$11=$H166,"◆",""),IF(AND(BZ$11&gt;=$H166,BZ$11&lt;=$I166),1,"")))</f>
        <v/>
      </c>
      <c r="CA166" s="448" t="str">
        <f aca="false">IF(FC_SUPUESTOS!$C$12=0,"",IF($G166=0,IF(CA$11=$H166,"◆",""),IF(AND(CA$11&gt;=$H166,CA$11&lt;=$I166),1,"")))</f>
        <v/>
      </c>
      <c r="CB166" s="448" t="str">
        <f aca="false">IF(FC_SUPUESTOS!$C$12=0,"",IF($G166=0,IF(CB$11=$H166,"◆",""),IF(AND(CB$11&gt;=$H166,CB$11&lt;=$I166),1,"")))</f>
        <v/>
      </c>
      <c r="CC166" s="448" t="str">
        <f aca="false">IF(FC_SUPUESTOS!$C$12=0,"",IF($G166=0,IF(CC$11=$H166,"◆",""),IF(AND(CC$11&gt;=$H166,CC$11&lt;=$I166),1,"")))</f>
        <v/>
      </c>
      <c r="CD166" s="448" t="str">
        <f aca="false">IF(FC_SUPUESTOS!$C$12=0,"",IF($G166=0,IF(CD$11=$H166,"◆",""),IF(AND(CD$11&gt;=$H166,CD$11&lt;=$I166),1,"")))</f>
        <v/>
      </c>
      <c r="CE166" s="448" t="str">
        <f aca="false">IF(FC_SUPUESTOS!$C$12=0,"",IF($G166=0,IF(CE$11=$H166,"◆",""),IF(AND(CE$11&gt;=$H166,CE$11&lt;=$I166),1,"")))</f>
        <v/>
      </c>
      <c r="CF166" s="448" t="str">
        <f aca="false">IF(FC_SUPUESTOS!$C$12=0,"",IF($G166=0,IF(CF$11=$H166,"◆",""),IF(AND(CF$11&gt;=$H166,CF$11&lt;=$I166),1,"")))</f>
        <v/>
      </c>
      <c r="CG166" s="448" t="str">
        <f aca="false">IF(FC_SUPUESTOS!$C$12=0,"",IF($G166=0,IF(CG$11=$H166,"◆",""),IF(AND(CG$11&gt;=$H166,CG$11&lt;=$I166),1,"")))</f>
        <v/>
      </c>
      <c r="CH166" s="448" t="str">
        <f aca="false">IF(FC_SUPUESTOS!$C$12=0,"",IF($G166=0,IF(CH$11=$H166,"◆",""),IF(AND(CH$11&gt;=$H166,CH$11&lt;=$I166),1,"")))</f>
        <v/>
      </c>
      <c r="CI166" s="448" t="str">
        <f aca="false">IF(FC_SUPUESTOS!$C$12=0,"",IF($G166=0,IF(CI$11=$H166,"◆",""),IF(AND(CI$11&gt;=$H166,CI$11&lt;=$I166),1,"")))</f>
        <v/>
      </c>
      <c r="CJ166" s="448" t="str">
        <f aca="false">IF(FC_SUPUESTOS!$C$12=0,"",IF($G166=0,IF(CJ$11=$H166,"◆",""),IF(AND(CJ$11&gt;=$H166,CJ$11&lt;=$I166),1,"")))</f>
        <v/>
      </c>
      <c r="CK166" s="448" t="str">
        <f aca="false">IF(FC_SUPUESTOS!$C$12=0,"",IF($G166=0,IF(CK$11=$H166,"◆",""),IF(AND(CK$11&gt;=$H166,CK$11&lt;=$I166),1,"")))</f>
        <v/>
      </c>
      <c r="CL166" s="448" t="str">
        <f aca="false">IF(FC_SUPUESTOS!$C$12=0,"",IF($G166=0,IF(CL$11=$H166,"◆",""),IF(AND(CL$11&gt;=$H166,CL$11&lt;=$I166),1,"")))</f>
        <v/>
      </c>
      <c r="CM166" s="448" t="str">
        <f aca="false">IF(FC_SUPUESTOS!$C$12=0,"",IF($G166=0,IF(CM$11=$H166,"◆",""),IF(AND(CM$11&gt;=$H166,CM$11&lt;=$I166),1,"")))</f>
        <v/>
      </c>
      <c r="CN166" s="448" t="str">
        <f aca="false">IF(FC_SUPUESTOS!$C$12=0,"",IF($G166=0,IF(CN$11=$H166,"◆",""),IF(AND(CN$11&gt;=$H166,CN$11&lt;=$I166),1,"")))</f>
        <v/>
      </c>
      <c r="CO166" s="448" t="str">
        <f aca="false">IF(FC_SUPUESTOS!$C$12=0,"",IF($G166=0,IF(CO$11=$H166,"◆",""),IF(AND(CO$11&gt;=$H166,CO$11&lt;=$I166),1,"")))</f>
        <v/>
      </c>
      <c r="CP166" s="448" t="str">
        <f aca="false">IF(FC_SUPUESTOS!$C$12=0,"",IF($G166=0,IF(CP$11=$H166,"◆",""),IF(AND(CP$11&gt;=$H166,CP$11&lt;=$I166),1,"")))</f>
        <v/>
      </c>
      <c r="CQ166" s="448" t="str">
        <f aca="false">IF(FC_SUPUESTOS!$C$12=0,"",IF($G166=0,IF(CQ$11=$H166,"◆",""),IF(AND(CQ$11&gt;=$H166,CQ$11&lt;=$I166),1,"")))</f>
        <v/>
      </c>
      <c r="CR166" s="448" t="str">
        <f aca="false">IF(FC_SUPUESTOS!$C$12=0,"",IF($G166=0,IF(CR$11=$H166,"◆",""),IF(AND(CR$11&gt;=$H166,CR$11&lt;=$I166),1,"")))</f>
        <v/>
      </c>
      <c r="CS166" s="448" t="str">
        <f aca="false">IF(FC_SUPUESTOS!$C$12=0,"",IF($G166=0,IF(CS$11=$H166,"◆",""),IF(AND(CS$11&gt;=$H166,CS$11&lt;=$I166),1,"")))</f>
        <v/>
      </c>
      <c r="CT166" s="448" t="str">
        <f aca="false">IF(FC_SUPUESTOS!$C$12=0,"",IF($G166=0,IF(CT$11=$H166,"◆",""),IF(AND(CT$11&gt;=$H166,CT$11&lt;=$I166),1,"")))</f>
        <v/>
      </c>
      <c r="CU166" s="448" t="str">
        <f aca="false">IF(FC_SUPUESTOS!$C$12=0,"",IF($G166=0,IF(CU$11=$H166,"◆",""),IF(AND(CU$11&gt;=$H166,CU$11&lt;=$I166),1,"")))</f>
        <v/>
      </c>
      <c r="CV166" s="448" t="str">
        <f aca="false">IF(FC_SUPUESTOS!$C$12=0,"",IF($G166=0,IF(CV$11=$H166,"◆",""),IF(AND(CV$11&gt;=$H166,CV$11&lt;=$I166),1,"")))</f>
        <v/>
      </c>
      <c r="CW166" s="448" t="str">
        <f aca="false">IF(FC_SUPUESTOS!$C$12=0,"",IF($G166=0,IF(CW$11=$H166,"◆",""),IF(AND(CW$11&gt;=$H166,CW$11&lt;=$I166),1,"")))</f>
        <v/>
      </c>
      <c r="CX166" s="448" t="str">
        <f aca="false">IF(FC_SUPUESTOS!$C$12=0,"",IF($G166=0,IF(CX$11=$H166,"◆",""),IF(AND(CX$11&gt;=$H166,CX$11&lt;=$I166),1,"")))</f>
        <v/>
      </c>
      <c r="CY166" s="448" t="str">
        <f aca="false">IF(FC_SUPUESTOS!$C$12=0,"",IF($G166=0,IF(CY$11=$H166,"◆",""),IF(AND(CY$11&gt;=$H166,CY$11&lt;=$I166),1,"")))</f>
        <v/>
      </c>
      <c r="CZ166" s="448" t="str">
        <f aca="false">IF(FC_SUPUESTOS!$C$12=0,"",IF($G166=0,IF(CZ$11=$H166,"◆",""),IF(AND(CZ$11&gt;=$H166,CZ$11&lt;=$I166),1,"")))</f>
        <v/>
      </c>
      <c r="DA166" s="448" t="str">
        <f aca="false">IF(FC_SUPUESTOS!$C$12=0,"",IF($G166=0,IF(DA$11=$H166,"◆",""),IF(AND(DA$11&gt;=$H166,DA$11&lt;=$I166),1,"")))</f>
        <v/>
      </c>
      <c r="DB166" s="448" t="str">
        <f aca="false">IF(FC_SUPUESTOS!$C$12=0,"",IF($G166=0,IF(DB$11=$H166,"◆",""),IF(AND(DB$11&gt;=$H166,DB$11&lt;=$I166),1,"")))</f>
        <v/>
      </c>
      <c r="DC166" s="448" t="str">
        <f aca="false">IF(FC_SUPUESTOS!$C$12=0,"",IF($G166=0,IF(DC$11=$H166,"◆",""),IF(AND(DC$11&gt;=$H166,DC$11&lt;=$I166),1,"")))</f>
        <v/>
      </c>
      <c r="DD166" s="448" t="str">
        <f aca="false">IF(FC_SUPUESTOS!$C$12=0,"",IF($G166=0,IF(DD$11=$H166,"◆",""),IF(AND(DD$11&gt;=$H166,DD$11&lt;=$I166),1,"")))</f>
        <v/>
      </c>
      <c r="DE166" s="448" t="str">
        <f aca="false">IF(FC_SUPUESTOS!$C$12=0,"",IF($G166=0,IF(DE$11=$H166,"◆",""),IF(AND(DE$11&gt;=$H166,DE$11&lt;=$I166),1,"")))</f>
        <v/>
      </c>
      <c r="DF166" s="448" t="str">
        <f aca="false">IF(FC_SUPUESTOS!$C$12=0,"",IF($G166=0,IF(DF$11=$H166,"◆",""),IF(AND(DF$11&gt;=$H166,DF$11&lt;=$I166),1,"")))</f>
        <v/>
      </c>
      <c r="DG166" s="448" t="str">
        <f aca="false">IF(FC_SUPUESTOS!$C$12=0,"",IF($G166=0,IF(DG$11=$H166,"◆",""),IF(AND(DG$11&gt;=$H166,DG$11&lt;=$I166),1,"")))</f>
        <v/>
      </c>
      <c r="DH166" s="448" t="str">
        <f aca="false">IF(FC_SUPUESTOS!$C$12=0,"",IF($G166=0,IF(DH$11=$H166,"◆",""),IF(AND(DH$11&gt;=$H166,DH$11&lt;=$I166),1,"")))</f>
        <v/>
      </c>
      <c r="DI166" s="448" t="str">
        <f aca="false">IF(FC_SUPUESTOS!$C$12=0,"",IF($G166=0,IF(DI$11=$H166,"◆",""),IF(AND(DI$11&gt;=$H166,DI$11&lt;=$I166),1,"")))</f>
        <v/>
      </c>
      <c r="DJ166" s="448" t="str">
        <f aca="false">IF(FC_SUPUESTOS!$C$12=0,"",IF($G166=0,IF(DJ$11=$H166,"◆",""),IF(AND(DJ$11&gt;=$H166,DJ$11&lt;=$I166),1,"")))</f>
        <v/>
      </c>
      <c r="DK166" s="448" t="str">
        <f aca="false">IF(FC_SUPUESTOS!$C$12=0,"",IF($G166=0,IF(DK$11=$H166,"◆",""),IF(AND(DK$11&gt;=$H166,DK$11&lt;=$I166),1,"")))</f>
        <v/>
      </c>
      <c r="DL166" s="448" t="str">
        <f aca="false">IF(FC_SUPUESTOS!$C$12=0,"",IF($G166=0,IF(DL$11=$H166,"◆",""),IF(AND(DL$11&gt;=$H166,DL$11&lt;=$I166),1,"")))</f>
        <v/>
      </c>
      <c r="DM166" s="448" t="str">
        <f aca="false">IF(FC_SUPUESTOS!$C$12=0,"",IF($G166=0,IF(DM$11=$H166,"◆",""),IF(AND(DM$11&gt;=$H166,DM$11&lt;=$I166),1,"")))</f>
        <v/>
      </c>
      <c r="DN166" s="448" t="str">
        <f aca="false">IF(FC_SUPUESTOS!$C$12=0,"",IF($G166=0,IF(DN$11=$H166,"◆",""),IF(AND(DN$11&gt;=$H166,DN$11&lt;=$I166),1,"")))</f>
        <v/>
      </c>
      <c r="DO166" s="448" t="str">
        <f aca="false">IF(FC_SUPUESTOS!$C$12=0,"",IF($G166=0,IF(DO$11=$H166,"◆",""),IF(AND(DO$11&gt;=$H166,DO$11&lt;=$I166),1,"")))</f>
        <v/>
      </c>
      <c r="DP166" s="448" t="str">
        <f aca="false">IF(FC_SUPUESTOS!$C$12=0,"",IF($G166=0,IF(DP$11=$H166,"◆",""),IF(AND(DP$11&gt;=$H166,DP$11&lt;=$I166),1,"")))</f>
        <v/>
      </c>
      <c r="DQ166" s="448" t="str">
        <f aca="false">IF(FC_SUPUESTOS!$C$12=0,"",IF($G166=0,IF(DQ$11=$H166,"◆",""),IF(AND(DQ$11&gt;=$H166,DQ$11&lt;=$I166),1,"")))</f>
        <v/>
      </c>
      <c r="DR166" s="448" t="str">
        <f aca="false">IF(FC_SUPUESTOS!$C$12=0,"",IF($G166=0,IF(DR$11=$H166,"◆",""),IF(AND(DR$11&gt;=$H166,DR$11&lt;=$I166),1,"")))</f>
        <v/>
      </c>
      <c r="DS166" s="448" t="str">
        <f aca="false">IF(FC_SUPUESTOS!$C$12=0,"",IF($G166=0,IF(DS$11=$H166,"◆",""),IF(AND(DS$11&gt;=$H166,DS$11&lt;=$I166),1,"")))</f>
        <v/>
      </c>
      <c r="DT166" s="448" t="str">
        <f aca="false">IF(FC_SUPUESTOS!$C$12=0,"",IF($G166=0,IF(DT$11=$H166,"◆",""),IF(AND(DT$11&gt;=$H166,DT$11&lt;=$I166),1,"")))</f>
        <v/>
      </c>
      <c r="DU166" s="448" t="str">
        <f aca="false">IF(FC_SUPUESTOS!$C$12=0,"",IF($G166=0,IF(DU$11=$H166,"◆",""),IF(AND(DU$11&gt;=$H166,DU$11&lt;=$I166),1,"")))</f>
        <v/>
      </c>
      <c r="DV166" s="448" t="str">
        <f aca="false">IF(FC_SUPUESTOS!$C$12=0,"",IF($G166=0,IF(DV$11=$H166,"◆",""),IF(AND(DV$11&gt;=$H166,DV$11&lt;=$I166),1,"")))</f>
        <v/>
      </c>
      <c r="DW166" s="448" t="str">
        <f aca="false">IF(FC_SUPUESTOS!$C$12=0,"",IF($G166=0,IF(DW$11=$H166,"◆",""),IF(AND(DW$11&gt;=$H166,DW$11&lt;=$I166),1,"")))</f>
        <v/>
      </c>
      <c r="DX166" s="448" t="str">
        <f aca="false">IF(FC_SUPUESTOS!$C$12=0,"",IF($G166=0,IF(DX$11=$H166,"◆",""),IF(AND(DX$11&gt;=$H166,DX$11&lt;=$I166),1,"")))</f>
        <v/>
      </c>
      <c r="DY166" s="448" t="str">
        <f aca="false">IF(FC_SUPUESTOS!$C$12=0,"",IF($G166=0,IF(DY$11=$H166,"◆",""),IF(AND(DY$11&gt;=$H166,DY$11&lt;=$I166),1,"")))</f>
        <v/>
      </c>
      <c r="DZ166" s="448" t="str">
        <f aca="false">IF(FC_SUPUESTOS!$C$12=0,"",IF($G166=0,IF(DZ$11=$H166,"◆",""),IF(AND(DZ$11&gt;=$H166,DZ$11&lt;=$I166),1,"")))</f>
        <v/>
      </c>
      <c r="EA166" s="448" t="str">
        <f aca="false">IF(FC_SUPUESTOS!$C$12=0,"",IF($G166=0,IF(EA$11=$H166,"◆",""),IF(AND(EA$11&gt;=$H166,EA$11&lt;=$I166),1,"")))</f>
        <v/>
      </c>
      <c r="EB166" s="448" t="str">
        <f aca="false">IF(FC_SUPUESTOS!$C$12=0,"",IF($G166=0,IF(EB$11=$H166,"◆",""),IF(AND(EB$11&gt;=$H166,EB$11&lt;=$I166),1,"")))</f>
        <v/>
      </c>
      <c r="EC166" s="448" t="str">
        <f aca="false">IF(FC_SUPUESTOS!$C$12=0,"",IF($G166=0,IF(EC$11=$H166,"◆",""),IF(AND(EC$11&gt;=$H166,EC$11&lt;=$I166),1,"")))</f>
        <v/>
      </c>
      <c r="ED166" s="448" t="str">
        <f aca="false">IF(FC_SUPUESTOS!$C$12=0,"",IF($G166=0,IF(ED$11=$H166,"◆",""),IF(AND(ED$11&gt;=$H166,ED$11&lt;=$I166),1,"")))</f>
        <v/>
      </c>
    </row>
    <row r="168" customFormat="false" ht="15" hidden="false" customHeight="true" outlineLevel="0" collapsed="false">
      <c r="A168" s="351" t="s">
        <v>2792</v>
      </c>
      <c r="B168" s="25"/>
      <c r="C168" s="25"/>
      <c r="D168" s="25"/>
      <c r="E168" s="25"/>
      <c r="F168" s="25"/>
      <c r="G168" s="25"/>
      <c r="H168" s="25"/>
      <c r="I168" s="25"/>
      <c r="J168" s="25"/>
      <c r="K168" s="25"/>
      <c r="L168" s="25"/>
      <c r="M168" s="25"/>
      <c r="N168" s="25"/>
    </row>
    <row r="169" customFormat="false" ht="15" hidden="false" customHeight="true" outlineLevel="0" collapsed="false">
      <c r="B169" s="484" t="s">
        <v>2793</v>
      </c>
      <c r="E169" s="485" t="s">
        <v>2794</v>
      </c>
      <c r="H169" s="485" t="s">
        <v>2795</v>
      </c>
      <c r="J169" s="485" t="s">
        <v>2796</v>
      </c>
      <c r="M169" s="485" t="s">
        <v>2797</v>
      </c>
    </row>
    <row r="170" customFormat="false" ht="15" hidden="false" customHeight="true" outlineLevel="0" collapsed="false">
      <c r="B170" s="357" t="s">
        <v>2798</v>
      </c>
      <c r="E170" s="367" t="n">
        <f aca="false">$L30</f>
        <v>3</v>
      </c>
      <c r="H170" s="367" t="n">
        <f aca="false">$H30</f>
        <v>11</v>
      </c>
      <c r="J170" s="486" t="n">
        <f aca="false">$J30</f>
        <v>46370</v>
      </c>
      <c r="M170" s="446" t="str">
        <f aca="false">$M30</f>
        <v>◆ CRÍTICA</v>
      </c>
    </row>
    <row r="171" customFormat="false" ht="15" hidden="false" customHeight="true" outlineLevel="0" collapsed="false">
      <c r="B171" s="357" t="s">
        <v>2799</v>
      </c>
      <c r="E171" s="367" t="n">
        <f aca="false">$L50</f>
        <v>10</v>
      </c>
      <c r="H171" s="367" t="n">
        <f aca="false">$H50</f>
        <v>40</v>
      </c>
      <c r="J171" s="486" t="n">
        <f aca="false">$J50</f>
        <v>46573</v>
      </c>
      <c r="M171" s="446" t="str">
        <f aca="false">$M50</f>
        <v>◆ CRÍTICA</v>
      </c>
    </row>
    <row r="172" customFormat="false" ht="15" hidden="false" customHeight="true" outlineLevel="0" collapsed="false">
      <c r="B172" s="357" t="s">
        <v>2800</v>
      </c>
      <c r="E172" s="367" t="n">
        <f aca="false">$L60</f>
        <v>10</v>
      </c>
      <c r="H172" s="367" t="n">
        <f aca="false">$H60</f>
        <v>40</v>
      </c>
      <c r="J172" s="486" t="n">
        <f aca="false">$J60</f>
        <v>46573</v>
      </c>
      <c r="M172" s="446" t="str">
        <f aca="false">$M60</f>
        <v>◆ CRÍTICA</v>
      </c>
    </row>
    <row r="173" customFormat="false" ht="15" hidden="false" customHeight="true" outlineLevel="0" collapsed="false">
      <c r="B173" s="357" t="s">
        <v>2801</v>
      </c>
      <c r="E173" s="367" t="n">
        <f aca="false">$L75</f>
        <v>6</v>
      </c>
      <c r="H173" s="367" t="n">
        <f aca="false">$H75</f>
        <v>25</v>
      </c>
      <c r="J173" s="486" t="n">
        <f aca="false">$J75</f>
        <v>46468</v>
      </c>
      <c r="M173" s="446" t="n">
        <f aca="false">$M75</f>
        <v>0</v>
      </c>
    </row>
    <row r="174" customFormat="false" ht="15" hidden="false" customHeight="true" outlineLevel="0" collapsed="false">
      <c r="B174" s="357" t="s">
        <v>2802</v>
      </c>
      <c r="E174" s="367" t="n">
        <f aca="false">$L85</f>
        <v>9</v>
      </c>
      <c r="H174" s="367" t="n">
        <f aca="false">$H85</f>
        <v>39</v>
      </c>
      <c r="J174" s="486" t="n">
        <f aca="false">$J85</f>
        <v>46566</v>
      </c>
      <c r="M174" s="446" t="str">
        <f aca="false">$M85</f>
        <v>◆ CRÍTICA</v>
      </c>
    </row>
    <row r="175" customFormat="false" ht="15" hidden="false" customHeight="true" outlineLevel="0" collapsed="false">
      <c r="B175" s="357" t="s">
        <v>2803</v>
      </c>
      <c r="E175" s="367" t="n">
        <f aca="false">$L119</f>
        <v>9</v>
      </c>
      <c r="H175" s="367" t="n">
        <f aca="false">$H119</f>
        <v>39</v>
      </c>
      <c r="J175" s="486" t="n">
        <f aca="false">$J119</f>
        <v>46566</v>
      </c>
      <c r="M175" s="446" t="str">
        <f aca="false">$M119</f>
        <v>◆ CRÍTICA</v>
      </c>
    </row>
    <row r="176" customFormat="false" ht="15" hidden="false" customHeight="true" outlineLevel="0" collapsed="false">
      <c r="B176" s="357" t="s">
        <v>2804</v>
      </c>
      <c r="E176" s="367" t="n">
        <f aca="false">$L152</f>
        <v>10</v>
      </c>
      <c r="H176" s="367" t="n">
        <f aca="false">$H152</f>
        <v>42</v>
      </c>
      <c r="J176" s="486" t="n">
        <f aca="false">$J152</f>
        <v>46587</v>
      </c>
      <c r="M176" s="446" t="str">
        <f aca="false">$M152</f>
        <v>◆ CRÍTICA</v>
      </c>
    </row>
    <row r="177" customFormat="false" ht="15" hidden="false" customHeight="true" outlineLevel="0" collapsed="false">
      <c r="B177" s="357" t="s">
        <v>2805</v>
      </c>
      <c r="E177" s="367" t="n">
        <f aca="false">$L154</f>
        <v>14</v>
      </c>
      <c r="H177" s="367" t="n">
        <f aca="false">$H154</f>
        <v>57</v>
      </c>
      <c r="J177" s="486" t="n">
        <f aca="false">$J154</f>
        <v>46692</v>
      </c>
      <c r="M177" s="446" t="str">
        <f aca="false">$M154</f>
        <v>◆ CRÍTICA</v>
      </c>
    </row>
    <row r="178" customFormat="false" ht="15" hidden="false" customHeight="true" outlineLevel="0" collapsed="false">
      <c r="B178" s="357" t="s">
        <v>2806</v>
      </c>
      <c r="E178" s="367" t="str">
        <f aca="false">IF(FC_SUPUESTOS!$C$12=0,"—",$L166)</f>
        <v>—</v>
      </c>
      <c r="H178" s="367" t="str">
        <f aca="false">IF(FC_SUPUESTOS!$C$12=0,"—",$H166)</f>
        <v>—</v>
      </c>
      <c r="J178" s="486" t="str">
        <f aca="false">$J166</f>
        <v>—</v>
      </c>
      <c r="M178" s="446" t="str">
        <f aca="false">IF(FC_SUPUESTOS!$C$12=0,"fuera del alcance",$M166)</f>
        <v>fuera del alcance</v>
      </c>
    </row>
    <row r="180" customFormat="false" ht="15" hidden="false" customHeight="true" outlineLevel="0" collapsed="false">
      <c r="A180" s="351" t="s">
        <v>2807</v>
      </c>
      <c r="B180" s="25"/>
      <c r="C180" s="25"/>
      <c r="D180" s="25"/>
      <c r="E180" s="25"/>
      <c r="F180" s="25"/>
      <c r="G180" s="25"/>
      <c r="H180" s="25"/>
      <c r="I180" s="25"/>
      <c r="J180" s="25"/>
      <c r="K180" s="25"/>
      <c r="L180" s="25"/>
      <c r="M180" s="25"/>
      <c r="N180" s="25"/>
    </row>
    <row r="181" customFormat="false" ht="15" hidden="false" customHeight="true" outlineLevel="0" collapsed="false">
      <c r="B181" s="297" t="s">
        <v>2808</v>
      </c>
      <c r="E181" s="354" t="n">
        <f aca="false">FC_SUPUESTOS!$C$23</f>
        <v>10</v>
      </c>
      <c r="H181" s="367" t="n">
        <f aca="false">FC_SUPUESTOS!$C$23</f>
        <v>10</v>
      </c>
      <c r="J181" s="355" t="str">
        <f aca="false">IF($E181=$H181,"✓","✗")</f>
        <v>✓</v>
      </c>
    </row>
    <row r="182" customFormat="false" ht="15" hidden="false" customHeight="true" outlineLevel="0" collapsed="false">
      <c r="B182" s="297" t="s">
        <v>2809</v>
      </c>
      <c r="E182" s="354" t="n">
        <f aca="false">FC_SUPUESTOS!$C$40</f>
        <v>10</v>
      </c>
      <c r="H182" s="367" t="n">
        <f aca="false">FC_SUPUESTOS!$C$40</f>
        <v>10</v>
      </c>
      <c r="J182" s="355" t="str">
        <f aca="false">IF($E182=$H182,"✓","✗")</f>
        <v>✓</v>
      </c>
    </row>
    <row r="183" customFormat="false" ht="15" hidden="false" customHeight="true" outlineLevel="0" collapsed="false">
      <c r="B183" s="297" t="s">
        <v>2810</v>
      </c>
      <c r="E183" s="354" t="n">
        <f aca="false">FC_SUPUESTOS!$C$13</f>
        <v>20</v>
      </c>
      <c r="H183" s="367" t="n">
        <f aca="false">FC_SUPUESTOS!$C$13</f>
        <v>20</v>
      </c>
      <c r="J183" s="355" t="str">
        <f aca="false">IF($E183=$H183,"✓","✗")</f>
        <v>✓</v>
      </c>
    </row>
    <row r="184" customFormat="false" ht="15" hidden="false" customHeight="true" outlineLevel="0" collapsed="false">
      <c r="B184" s="297" t="s">
        <v>2811</v>
      </c>
      <c r="E184" s="367" t="n">
        <f aca="false">MAX($I$14:$I$166)</f>
        <v>86</v>
      </c>
      <c r="H184" s="367" t="n">
        <v>120</v>
      </c>
      <c r="J184" s="355" t="str">
        <f aca="false">IF($E184&lt;=120,"✓","✗ ampliar el tablero")</f>
        <v>✓</v>
      </c>
    </row>
    <row r="186" customFormat="false" ht="15" hidden="false" customHeight="true" outlineLevel="0" collapsed="false">
      <c r="A186" s="351" t="s">
        <v>2812</v>
      </c>
      <c r="B186" s="25"/>
      <c r="C186" s="25"/>
      <c r="D186" s="25"/>
      <c r="E186" s="25"/>
      <c r="F186" s="25"/>
      <c r="G186" s="25"/>
      <c r="H186" s="25"/>
      <c r="I186" s="25"/>
      <c r="J186" s="25"/>
      <c r="K186" s="25"/>
      <c r="L186" s="25"/>
      <c r="M186" s="25"/>
      <c r="N186" s="25"/>
    </row>
    <row r="187" customFormat="false" ht="15" hidden="false" customHeight="true" outlineLevel="0" collapsed="false">
      <c r="B187" s="94" t="s">
        <v>2813</v>
      </c>
    </row>
    <row r="188" customFormat="false" ht="15" hidden="false" customHeight="true" outlineLevel="0" collapsed="false">
      <c r="A188" s="484" t="s">
        <v>2814</v>
      </c>
      <c r="B188" s="484" t="s">
        <v>2815</v>
      </c>
      <c r="C188" s="484" t="s">
        <v>2816</v>
      </c>
      <c r="D188" s="487" t="s">
        <v>2817</v>
      </c>
      <c r="E188" s="487"/>
      <c r="F188" s="487"/>
      <c r="G188" s="487"/>
      <c r="H188" s="487"/>
      <c r="I188" s="487"/>
      <c r="J188" s="487"/>
      <c r="K188" s="487"/>
      <c r="L188" s="487"/>
      <c r="M188" s="487"/>
    </row>
    <row r="189" customFormat="false" ht="24" hidden="false" customHeight="true" outlineLevel="0" collapsed="false">
      <c r="A189" s="488" t="s">
        <v>2818</v>
      </c>
      <c r="B189" s="489" t="s">
        <v>2819</v>
      </c>
      <c r="C189" s="442" t="s">
        <v>2820</v>
      </c>
      <c r="D189" s="490" t="s">
        <v>2821</v>
      </c>
      <c r="E189" s="490"/>
      <c r="F189" s="490"/>
      <c r="G189" s="490"/>
      <c r="H189" s="490"/>
      <c r="I189" s="490"/>
      <c r="J189" s="490"/>
      <c r="K189" s="490"/>
      <c r="L189" s="490"/>
      <c r="M189" s="490"/>
    </row>
    <row r="190" customFormat="false" ht="24" hidden="false" customHeight="true" outlineLevel="0" collapsed="false">
      <c r="A190" s="488" t="s">
        <v>2818</v>
      </c>
      <c r="B190" s="489" t="s">
        <v>2822</v>
      </c>
      <c r="C190" s="442" t="s">
        <v>2823</v>
      </c>
      <c r="D190" s="490" t="s">
        <v>2824</v>
      </c>
      <c r="E190" s="490"/>
      <c r="F190" s="490"/>
      <c r="G190" s="490"/>
      <c r="H190" s="490"/>
      <c r="I190" s="490"/>
      <c r="J190" s="490"/>
      <c r="K190" s="490"/>
      <c r="L190" s="490"/>
      <c r="M190" s="490"/>
    </row>
    <row r="191" customFormat="false" ht="24" hidden="false" customHeight="true" outlineLevel="0" collapsed="false">
      <c r="A191" s="488" t="s">
        <v>2818</v>
      </c>
      <c r="B191" s="489" t="s">
        <v>2825</v>
      </c>
      <c r="C191" s="442" t="s">
        <v>2826</v>
      </c>
      <c r="D191" s="490" t="s">
        <v>2827</v>
      </c>
      <c r="E191" s="490"/>
      <c r="F191" s="490"/>
      <c r="G191" s="490"/>
      <c r="H191" s="490"/>
      <c r="I191" s="490"/>
      <c r="J191" s="490"/>
      <c r="K191" s="490"/>
      <c r="L191" s="490"/>
      <c r="M191" s="490"/>
    </row>
    <row r="192" customFormat="false" ht="24" hidden="false" customHeight="true" outlineLevel="0" collapsed="false">
      <c r="A192" s="488" t="s">
        <v>2818</v>
      </c>
      <c r="B192" s="489" t="s">
        <v>2828</v>
      </c>
      <c r="C192" s="442" t="s">
        <v>2829</v>
      </c>
      <c r="D192" s="490" t="s">
        <v>2830</v>
      </c>
      <c r="E192" s="490"/>
      <c r="F192" s="490"/>
      <c r="G192" s="490"/>
      <c r="H192" s="490"/>
      <c r="I192" s="490"/>
      <c r="J192" s="490"/>
      <c r="K192" s="490"/>
      <c r="L192" s="490"/>
      <c r="M192" s="490"/>
    </row>
    <row r="193" customFormat="false" ht="24" hidden="false" customHeight="true" outlineLevel="0" collapsed="false">
      <c r="A193" s="488" t="s">
        <v>2818</v>
      </c>
      <c r="B193" s="489" t="s">
        <v>2831</v>
      </c>
      <c r="C193" s="442" t="s">
        <v>2832</v>
      </c>
      <c r="D193" s="490" t="s">
        <v>2833</v>
      </c>
      <c r="E193" s="490"/>
      <c r="F193" s="490"/>
      <c r="G193" s="490"/>
      <c r="H193" s="490"/>
      <c r="I193" s="490"/>
      <c r="J193" s="490"/>
      <c r="K193" s="490"/>
      <c r="L193" s="490"/>
      <c r="M193" s="490"/>
    </row>
    <row r="194" customFormat="false" ht="24" hidden="false" customHeight="true" outlineLevel="0" collapsed="false">
      <c r="A194" s="488" t="s">
        <v>2818</v>
      </c>
      <c r="B194" s="489" t="s">
        <v>2834</v>
      </c>
      <c r="C194" s="442" t="s">
        <v>2835</v>
      </c>
      <c r="D194" s="490" t="s">
        <v>2836</v>
      </c>
      <c r="E194" s="490"/>
      <c r="F194" s="490"/>
      <c r="G194" s="490"/>
      <c r="H194" s="490"/>
      <c r="I194" s="490"/>
      <c r="J194" s="490"/>
      <c r="K194" s="490"/>
      <c r="L194" s="490"/>
      <c r="M194" s="490"/>
    </row>
    <row r="195" customFormat="false" ht="24" hidden="false" customHeight="true" outlineLevel="0" collapsed="false">
      <c r="A195" s="488" t="s">
        <v>2818</v>
      </c>
      <c r="B195" s="489" t="s">
        <v>2837</v>
      </c>
      <c r="C195" s="442" t="s">
        <v>2838</v>
      </c>
      <c r="D195" s="490" t="s">
        <v>2839</v>
      </c>
      <c r="E195" s="490"/>
      <c r="F195" s="490"/>
      <c r="G195" s="490"/>
      <c r="H195" s="490"/>
      <c r="I195" s="490"/>
      <c r="J195" s="490"/>
      <c r="K195" s="490"/>
      <c r="L195" s="490"/>
      <c r="M195" s="490"/>
    </row>
    <row r="196" customFormat="false" ht="24" hidden="false" customHeight="true" outlineLevel="0" collapsed="false">
      <c r="A196" s="488" t="s">
        <v>2818</v>
      </c>
      <c r="B196" s="489" t="s">
        <v>2840</v>
      </c>
      <c r="C196" s="442" t="s">
        <v>2841</v>
      </c>
      <c r="D196" s="490" t="s">
        <v>2842</v>
      </c>
      <c r="E196" s="490"/>
      <c r="F196" s="490"/>
      <c r="G196" s="490"/>
      <c r="H196" s="490"/>
      <c r="I196" s="490"/>
      <c r="J196" s="490"/>
      <c r="K196" s="490"/>
      <c r="L196" s="490"/>
      <c r="M196" s="490"/>
    </row>
    <row r="197" customFormat="false" ht="24" hidden="false" customHeight="true" outlineLevel="0" collapsed="false">
      <c r="A197" s="488" t="s">
        <v>2818</v>
      </c>
      <c r="B197" s="489" t="s">
        <v>2843</v>
      </c>
      <c r="C197" s="442" t="s">
        <v>2844</v>
      </c>
      <c r="D197" s="490" t="s">
        <v>2845</v>
      </c>
      <c r="E197" s="490"/>
      <c r="F197" s="490"/>
      <c r="G197" s="490"/>
      <c r="H197" s="490"/>
      <c r="I197" s="490"/>
      <c r="J197" s="490"/>
      <c r="K197" s="490"/>
      <c r="L197" s="490"/>
      <c r="M197" s="490"/>
    </row>
    <row r="198" customFormat="false" ht="24" hidden="false" customHeight="true" outlineLevel="0" collapsed="false">
      <c r="A198" s="488" t="s">
        <v>2818</v>
      </c>
      <c r="B198" s="489" t="s">
        <v>2846</v>
      </c>
      <c r="C198" s="442" t="s">
        <v>2835</v>
      </c>
      <c r="D198" s="490" t="s">
        <v>2847</v>
      </c>
      <c r="E198" s="490"/>
      <c r="F198" s="490"/>
      <c r="G198" s="490"/>
      <c r="H198" s="490"/>
      <c r="I198" s="490"/>
      <c r="J198" s="490"/>
      <c r="K198" s="490"/>
      <c r="L198" s="490"/>
      <c r="M198" s="490"/>
    </row>
    <row r="199" customFormat="false" ht="24" hidden="false" customHeight="true" outlineLevel="0" collapsed="false">
      <c r="A199" s="488" t="s">
        <v>2818</v>
      </c>
      <c r="B199" s="489" t="s">
        <v>2848</v>
      </c>
      <c r="C199" s="442" t="s">
        <v>2849</v>
      </c>
      <c r="D199" s="490" t="s">
        <v>2850</v>
      </c>
      <c r="E199" s="490"/>
      <c r="F199" s="490"/>
      <c r="G199" s="490"/>
      <c r="H199" s="490"/>
      <c r="I199" s="490"/>
      <c r="J199" s="490"/>
      <c r="K199" s="490"/>
      <c r="L199" s="490"/>
      <c r="M199" s="490"/>
    </row>
    <row r="200" customFormat="false" ht="24" hidden="false" customHeight="true" outlineLevel="0" collapsed="false">
      <c r="A200" s="488" t="s">
        <v>2818</v>
      </c>
      <c r="B200" s="489" t="s">
        <v>2851</v>
      </c>
      <c r="C200" s="442" t="s">
        <v>2852</v>
      </c>
      <c r="D200" s="490" t="s">
        <v>2853</v>
      </c>
      <c r="E200" s="490"/>
      <c r="F200" s="490"/>
      <c r="G200" s="490"/>
      <c r="H200" s="490"/>
      <c r="I200" s="490"/>
      <c r="J200" s="490"/>
      <c r="K200" s="490"/>
      <c r="L200" s="490"/>
      <c r="M200" s="490"/>
    </row>
    <row r="201" customFormat="false" ht="24" hidden="false" customHeight="true" outlineLevel="0" collapsed="false">
      <c r="A201" s="488" t="s">
        <v>2818</v>
      </c>
      <c r="B201" s="489" t="s">
        <v>2854</v>
      </c>
      <c r="C201" s="442" t="s">
        <v>2855</v>
      </c>
      <c r="D201" s="490" t="s">
        <v>2856</v>
      </c>
      <c r="E201" s="490"/>
      <c r="F201" s="490"/>
      <c r="G201" s="490"/>
      <c r="H201" s="490"/>
      <c r="I201" s="490"/>
      <c r="J201" s="490"/>
      <c r="K201" s="490"/>
      <c r="L201" s="490"/>
      <c r="M201" s="490"/>
    </row>
    <row r="202" customFormat="false" ht="24" hidden="false" customHeight="true" outlineLevel="0" collapsed="false">
      <c r="A202" s="488" t="s">
        <v>2818</v>
      </c>
      <c r="B202" s="489" t="s">
        <v>2857</v>
      </c>
      <c r="C202" s="442" t="s">
        <v>2858</v>
      </c>
      <c r="D202" s="490" t="s">
        <v>2859</v>
      </c>
      <c r="E202" s="490"/>
      <c r="F202" s="490"/>
      <c r="G202" s="490"/>
      <c r="H202" s="490"/>
      <c r="I202" s="490"/>
      <c r="J202" s="490"/>
      <c r="K202" s="490"/>
      <c r="L202" s="490"/>
      <c r="M202" s="490"/>
    </row>
    <row r="203" customFormat="false" ht="24" hidden="false" customHeight="true" outlineLevel="0" collapsed="false">
      <c r="A203" s="488" t="s">
        <v>2818</v>
      </c>
      <c r="B203" s="489" t="s">
        <v>2860</v>
      </c>
      <c r="C203" s="442" t="s">
        <v>2861</v>
      </c>
      <c r="D203" s="490" t="s">
        <v>2862</v>
      </c>
      <c r="E203" s="490"/>
      <c r="F203" s="490"/>
      <c r="G203" s="490"/>
      <c r="H203" s="490"/>
      <c r="I203" s="490"/>
      <c r="J203" s="490"/>
      <c r="K203" s="490"/>
      <c r="L203" s="490"/>
      <c r="M203" s="490"/>
    </row>
    <row r="204" customFormat="false" ht="24" hidden="false" customHeight="true" outlineLevel="0" collapsed="false">
      <c r="A204" s="488" t="s">
        <v>2818</v>
      </c>
      <c r="B204" s="489" t="s">
        <v>2863</v>
      </c>
      <c r="C204" s="442" t="s">
        <v>2864</v>
      </c>
      <c r="D204" s="490" t="s">
        <v>2865</v>
      </c>
      <c r="E204" s="490"/>
      <c r="F204" s="490"/>
      <c r="G204" s="490"/>
      <c r="H204" s="490"/>
      <c r="I204" s="490"/>
      <c r="J204" s="490"/>
      <c r="K204" s="490"/>
      <c r="L204" s="490"/>
      <c r="M204" s="490"/>
    </row>
    <row r="205" customFormat="false" ht="24" hidden="false" customHeight="true" outlineLevel="0" collapsed="false">
      <c r="A205" s="491" t="s">
        <v>2866</v>
      </c>
      <c r="B205" s="489" t="s">
        <v>2867</v>
      </c>
      <c r="C205" s="442" t="s">
        <v>2868</v>
      </c>
      <c r="D205" s="490" t="s">
        <v>2869</v>
      </c>
      <c r="E205" s="490"/>
      <c r="F205" s="490"/>
      <c r="G205" s="490"/>
      <c r="H205" s="490"/>
      <c r="I205" s="490"/>
      <c r="J205" s="490"/>
      <c r="K205" s="490"/>
      <c r="L205" s="490"/>
      <c r="M205" s="490"/>
    </row>
    <row r="206" customFormat="false" ht="24" hidden="false" customHeight="true" outlineLevel="0" collapsed="false">
      <c r="A206" s="491" t="s">
        <v>2866</v>
      </c>
      <c r="B206" s="489" t="s">
        <v>2870</v>
      </c>
      <c r="C206" s="442" t="s">
        <v>2871</v>
      </c>
      <c r="D206" s="490" t="s">
        <v>2872</v>
      </c>
      <c r="E206" s="490"/>
      <c r="F206" s="490"/>
      <c r="G206" s="490"/>
      <c r="H206" s="490"/>
      <c r="I206" s="490"/>
      <c r="J206" s="490"/>
      <c r="K206" s="490"/>
      <c r="L206" s="490"/>
      <c r="M206" s="490"/>
    </row>
    <row r="207" customFormat="false" ht="24" hidden="false" customHeight="true" outlineLevel="0" collapsed="false">
      <c r="A207" s="491" t="s">
        <v>2866</v>
      </c>
      <c r="B207" s="489" t="s">
        <v>2825</v>
      </c>
      <c r="C207" s="442" t="s">
        <v>2826</v>
      </c>
      <c r="D207" s="490" t="s">
        <v>2873</v>
      </c>
      <c r="E207" s="490"/>
      <c r="F207" s="490"/>
      <c r="G207" s="490"/>
      <c r="H207" s="490"/>
      <c r="I207" s="490"/>
      <c r="J207" s="490"/>
      <c r="K207" s="490"/>
      <c r="L207" s="490"/>
      <c r="M207" s="490"/>
    </row>
    <row r="208" customFormat="false" ht="24" hidden="false" customHeight="true" outlineLevel="0" collapsed="false">
      <c r="A208" s="491" t="s">
        <v>2866</v>
      </c>
      <c r="B208" s="489" t="s">
        <v>2874</v>
      </c>
      <c r="C208" s="442" t="s">
        <v>2835</v>
      </c>
      <c r="D208" s="490" t="s">
        <v>2875</v>
      </c>
      <c r="E208" s="490"/>
      <c r="F208" s="490"/>
      <c r="G208" s="490"/>
      <c r="H208" s="490"/>
      <c r="I208" s="490"/>
      <c r="J208" s="490"/>
      <c r="K208" s="490"/>
      <c r="L208" s="490"/>
      <c r="M208" s="490"/>
    </row>
    <row r="209" customFormat="false" ht="24" hidden="false" customHeight="true" outlineLevel="0" collapsed="false">
      <c r="A209" s="491" t="s">
        <v>2866</v>
      </c>
      <c r="B209" s="489" t="s">
        <v>2822</v>
      </c>
      <c r="C209" s="442" t="s">
        <v>2823</v>
      </c>
      <c r="D209" s="490" t="s">
        <v>2876</v>
      </c>
      <c r="E209" s="490"/>
      <c r="F209" s="490"/>
      <c r="G209" s="490"/>
      <c r="H209" s="490"/>
      <c r="I209" s="490"/>
      <c r="J209" s="490"/>
      <c r="K209" s="490"/>
      <c r="L209" s="490"/>
      <c r="M209" s="490"/>
    </row>
    <row r="210" customFormat="false" ht="24" hidden="false" customHeight="true" outlineLevel="0" collapsed="false">
      <c r="A210" s="491" t="s">
        <v>2866</v>
      </c>
      <c r="B210" s="489" t="s">
        <v>2877</v>
      </c>
      <c r="C210" s="442" t="s">
        <v>2878</v>
      </c>
      <c r="D210" s="490" t="s">
        <v>2879</v>
      </c>
      <c r="E210" s="490"/>
      <c r="F210" s="490"/>
      <c r="G210" s="490"/>
      <c r="H210" s="490"/>
      <c r="I210" s="490"/>
      <c r="J210" s="490"/>
      <c r="K210" s="490"/>
      <c r="L210" s="490"/>
      <c r="M210" s="490"/>
    </row>
    <row r="211" customFormat="false" ht="24" hidden="false" customHeight="true" outlineLevel="0" collapsed="false">
      <c r="A211" s="491" t="s">
        <v>2866</v>
      </c>
      <c r="B211" s="489" t="s">
        <v>2880</v>
      </c>
      <c r="C211" s="442" t="s">
        <v>2881</v>
      </c>
      <c r="D211" s="490" t="s">
        <v>2882</v>
      </c>
      <c r="E211" s="490"/>
      <c r="F211" s="490"/>
      <c r="G211" s="490"/>
      <c r="H211" s="490"/>
      <c r="I211" s="490"/>
      <c r="J211" s="490"/>
      <c r="K211" s="490"/>
      <c r="L211" s="490"/>
      <c r="M211" s="490"/>
    </row>
    <row r="212" customFormat="false" ht="24" hidden="false" customHeight="true" outlineLevel="0" collapsed="false">
      <c r="A212" s="491" t="s">
        <v>2866</v>
      </c>
      <c r="B212" s="489" t="s">
        <v>2883</v>
      </c>
      <c r="C212" s="442" t="s">
        <v>2884</v>
      </c>
      <c r="D212" s="490" t="s">
        <v>2885</v>
      </c>
      <c r="E212" s="490"/>
      <c r="F212" s="490"/>
      <c r="G212" s="490"/>
      <c r="H212" s="490"/>
      <c r="I212" s="490"/>
      <c r="J212" s="490"/>
      <c r="K212" s="490"/>
      <c r="L212" s="490"/>
      <c r="M212" s="490"/>
    </row>
    <row r="213" customFormat="false" ht="24" hidden="false" customHeight="true" outlineLevel="0" collapsed="false">
      <c r="A213" s="491" t="s">
        <v>2866</v>
      </c>
      <c r="B213" s="489" t="s">
        <v>2886</v>
      </c>
      <c r="C213" s="442" t="s">
        <v>2887</v>
      </c>
      <c r="D213" s="490" t="s">
        <v>2888</v>
      </c>
      <c r="E213" s="490"/>
      <c r="F213" s="490"/>
      <c r="G213" s="490"/>
      <c r="H213" s="490"/>
      <c r="I213" s="490"/>
      <c r="J213" s="490"/>
      <c r="K213" s="490"/>
      <c r="L213" s="490"/>
      <c r="M213" s="490"/>
    </row>
    <row r="214" customFormat="false" ht="24" hidden="false" customHeight="true" outlineLevel="0" collapsed="false">
      <c r="A214" s="491" t="s">
        <v>2866</v>
      </c>
      <c r="B214" s="489" t="s">
        <v>2889</v>
      </c>
      <c r="C214" s="442" t="s">
        <v>2890</v>
      </c>
      <c r="D214" s="490" t="s">
        <v>2891</v>
      </c>
      <c r="E214" s="490"/>
      <c r="F214" s="490"/>
      <c r="G214" s="490"/>
      <c r="H214" s="490"/>
      <c r="I214" s="490"/>
      <c r="J214" s="490"/>
      <c r="K214" s="490"/>
      <c r="L214" s="490"/>
      <c r="M214" s="490"/>
    </row>
    <row r="215" customFormat="false" ht="24" hidden="false" customHeight="true" outlineLevel="0" collapsed="false">
      <c r="A215" s="492" t="s">
        <v>2892</v>
      </c>
      <c r="B215" s="489" t="s">
        <v>2893</v>
      </c>
      <c r="C215" s="442" t="s">
        <v>2894</v>
      </c>
      <c r="D215" s="490" t="s">
        <v>2895</v>
      </c>
      <c r="E215" s="490"/>
      <c r="F215" s="490"/>
      <c r="G215" s="490"/>
      <c r="H215" s="490"/>
      <c r="I215" s="490"/>
      <c r="J215" s="490"/>
      <c r="K215" s="490"/>
      <c r="L215" s="490"/>
      <c r="M215" s="490"/>
    </row>
    <row r="216" customFormat="false" ht="24" hidden="false" customHeight="true" outlineLevel="0" collapsed="false">
      <c r="A216" s="492" t="s">
        <v>2892</v>
      </c>
      <c r="B216" s="489" t="s">
        <v>2896</v>
      </c>
      <c r="C216" s="442" t="s">
        <v>2897</v>
      </c>
      <c r="D216" s="490" t="s">
        <v>2898</v>
      </c>
      <c r="E216" s="490"/>
      <c r="F216" s="490"/>
      <c r="G216" s="490"/>
      <c r="H216" s="490"/>
      <c r="I216" s="490"/>
      <c r="J216" s="490"/>
      <c r="K216" s="490"/>
      <c r="L216" s="490"/>
      <c r="M216" s="490"/>
    </row>
    <row r="218" customFormat="false" ht="15" hidden="false" customHeight="true" outlineLevel="0" collapsed="false">
      <c r="B218" s="421" t="s">
        <v>2899</v>
      </c>
    </row>
    <row r="219" customFormat="false" ht="15" hidden="false" customHeight="true" outlineLevel="0" collapsed="false">
      <c r="B219" s="388" t="s">
        <v>2900</v>
      </c>
    </row>
    <row r="220" customFormat="false" ht="15" hidden="false" customHeight="true" outlineLevel="0" collapsed="false">
      <c r="B220" s="388" t="s">
        <v>2901</v>
      </c>
    </row>
    <row r="221" customFormat="false" ht="15" hidden="false" customHeight="true" outlineLevel="0" collapsed="false">
      <c r="B221" s="388" t="s">
        <v>2902</v>
      </c>
    </row>
    <row r="222" customFormat="false" ht="15" hidden="false" customHeight="true" outlineLevel="0" collapsed="false">
      <c r="B222" s="388" t="s">
        <v>2903</v>
      </c>
    </row>
    <row r="223" customFormat="false" ht="15" hidden="false" customHeight="true" outlineLevel="0" collapsed="false">
      <c r="B223" s="388" t="s">
        <v>2904</v>
      </c>
    </row>
    <row r="224" customFormat="false" ht="15" hidden="false" customHeight="true" outlineLevel="0" collapsed="false">
      <c r="B224" s="388" t="s">
        <v>2905</v>
      </c>
    </row>
  </sheetData>
  <mergeCells count="30">
    <mergeCell ref="D8:M8"/>
    <mergeCell ref="D188:M188"/>
    <mergeCell ref="D189:M189"/>
    <mergeCell ref="D190:M190"/>
    <mergeCell ref="D191:M191"/>
    <mergeCell ref="D192:M192"/>
    <mergeCell ref="D193:M193"/>
    <mergeCell ref="D194:M194"/>
    <mergeCell ref="D195:M195"/>
    <mergeCell ref="D196:M196"/>
    <mergeCell ref="D197:M197"/>
    <mergeCell ref="D198:M198"/>
    <mergeCell ref="D199:M199"/>
    <mergeCell ref="D200:M200"/>
    <mergeCell ref="D201:M201"/>
    <mergeCell ref="D202:M202"/>
    <mergeCell ref="D203:M203"/>
    <mergeCell ref="D204:M204"/>
    <mergeCell ref="D205:M205"/>
    <mergeCell ref="D206:M206"/>
    <mergeCell ref="D207:M207"/>
    <mergeCell ref="D208:M208"/>
    <mergeCell ref="D209:M209"/>
    <mergeCell ref="D210:M210"/>
    <mergeCell ref="D211:M211"/>
    <mergeCell ref="D212:M212"/>
    <mergeCell ref="D213:M213"/>
    <mergeCell ref="D214:M214"/>
    <mergeCell ref="D215:M215"/>
    <mergeCell ref="D216:M216"/>
  </mergeCells>
  <conditionalFormatting sqref="O15:ED19">
    <cfRule type="cellIs" priority="2" operator="equal" aboveAverage="0" equalAverage="0" bottom="0" percent="0" rank="0" text="" dxfId="4">
      <formula>1</formula>
    </cfRule>
  </conditionalFormatting>
  <conditionalFormatting sqref="O21:ED30">
    <cfRule type="cellIs" priority="3" operator="equal" aboveAverage="0" equalAverage="0" bottom="0" percent="0" rank="0" text="" dxfId="5">
      <formula>1</formula>
    </cfRule>
  </conditionalFormatting>
  <conditionalFormatting sqref="O32:ED50">
    <cfRule type="cellIs" priority="4" operator="equal" aboveAverage="0" equalAverage="0" bottom="0" percent="0" rank="0" text="" dxfId="6">
      <formula>1</formula>
    </cfRule>
  </conditionalFormatting>
  <conditionalFormatting sqref="O52:ED60">
    <cfRule type="cellIs" priority="5" operator="equal" aboveAverage="0" equalAverage="0" bottom="0" percent="0" rank="0" text="" dxfId="7">
      <formula>1</formula>
    </cfRule>
  </conditionalFormatting>
  <conditionalFormatting sqref="O62:ED67">
    <cfRule type="cellIs" priority="6" operator="equal" aboveAverage="0" equalAverage="0" bottom="0" percent="0" rank="0" text="" dxfId="8">
      <formula>1</formula>
    </cfRule>
  </conditionalFormatting>
  <conditionalFormatting sqref="O69:ED75">
    <cfRule type="cellIs" priority="7" operator="equal" aboveAverage="0" equalAverage="0" bottom="0" percent="0" rank="0" text="" dxfId="9">
      <formula>1</formula>
    </cfRule>
  </conditionalFormatting>
  <conditionalFormatting sqref="O77:ED85">
    <cfRule type="cellIs" priority="8" operator="equal" aboveAverage="0" equalAverage="0" bottom="0" percent="0" rank="0" text="" dxfId="10">
      <formula>1</formula>
    </cfRule>
  </conditionalFormatting>
  <conditionalFormatting sqref="O87:ED96">
    <cfRule type="cellIs" priority="9" operator="equal" aboveAverage="0" equalAverage="0" bottom="0" percent="0" rank="0" text="" dxfId="11">
      <formula>1</formula>
    </cfRule>
  </conditionalFormatting>
  <conditionalFormatting sqref="O98:ED107">
    <cfRule type="cellIs" priority="10" operator="equal" aboveAverage="0" equalAverage="0" bottom="0" percent="0" rank="0" text="" dxfId="12">
      <formula>1</formula>
    </cfRule>
  </conditionalFormatting>
  <conditionalFormatting sqref="O109:ED120">
    <cfRule type="cellIs" priority="11" operator="equal" aboveAverage="0" equalAverage="0" bottom="0" percent="0" rank="0" text="" dxfId="13">
      <formula>1</formula>
    </cfRule>
  </conditionalFormatting>
  <conditionalFormatting sqref="O122:ED131">
    <cfRule type="cellIs" priority="12" operator="equal" aboveAverage="0" equalAverage="0" bottom="0" percent="0" rank="0" text="" dxfId="14">
      <formula>1</formula>
    </cfRule>
  </conditionalFormatting>
  <conditionalFormatting sqref="O133:ED141">
    <cfRule type="cellIs" priority="13" operator="equal" aboveAverage="0" equalAverage="0" bottom="0" percent="0" rank="0" text="" dxfId="15">
      <formula>1</formula>
    </cfRule>
  </conditionalFormatting>
  <conditionalFormatting sqref="O143:ED146">
    <cfRule type="cellIs" priority="14" operator="equal" aboveAverage="0" equalAverage="0" bottom="0" percent="0" rank="0" text="" dxfId="16">
      <formula>1</formula>
    </cfRule>
  </conditionalFormatting>
  <conditionalFormatting sqref="O148:ED155">
    <cfRule type="cellIs" priority="15" operator="equal" aboveAverage="0" equalAverage="0" bottom="0" percent="0" rank="0" text="" dxfId="4">
      <formula>1</formula>
    </cfRule>
  </conditionalFormatting>
  <conditionalFormatting sqref="O157:ED166">
    <cfRule type="cellIs" priority="16" operator="equal" aboveAverage="0" equalAverage="0" bottom="0" percent="0" rank="0" text="" dxfId="10">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BK1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D74" activeCellId="0" sqref="D74"/>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74"/>
    <col collapsed="false" customWidth="true" hidden="false" outlineLevel="0" max="3" min="3" style="1" width="13"/>
    <col collapsed="false" customWidth="true" hidden="false" outlineLevel="0" max="63" min="4" style="1" width="11.5"/>
  </cols>
  <sheetData>
    <row r="1" customFormat="false" ht="15.75" hidden="false" customHeight="true" outlineLevel="0" collapsed="false">
      <c r="A1" s="185" t="s">
        <v>2906</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row>
    <row r="2" customFormat="false" ht="15" hidden="false" customHeight="true" outlineLevel="0" collapsed="false">
      <c r="A2" s="350" t="s">
        <v>2907</v>
      </c>
    </row>
    <row r="3" customFormat="false" ht="15" hidden="false" customHeight="true" outlineLevel="0" collapsed="false">
      <c r="A3" s="94" t="s">
        <v>1958</v>
      </c>
    </row>
    <row r="4" customFormat="false" ht="15" hidden="false" customHeight="true" outlineLevel="0" collapsed="false">
      <c r="B4" s="417" t="s">
        <v>1423</v>
      </c>
      <c r="D4" s="386" t="n">
        <f aca="false">ROUNDUP(D5/12,0)</f>
        <v>1</v>
      </c>
      <c r="E4" s="386" t="n">
        <f aca="false">ROUNDUP(E5/12,0)</f>
        <v>1</v>
      </c>
      <c r="F4" s="386" t="n">
        <f aca="false">ROUNDUP(F5/12,0)</f>
        <v>1</v>
      </c>
      <c r="G4" s="386" t="n">
        <f aca="false">ROUNDUP(G5/12,0)</f>
        <v>1</v>
      </c>
      <c r="H4" s="386" t="n">
        <f aca="false">ROUNDUP(H5/12,0)</f>
        <v>1</v>
      </c>
      <c r="I4" s="386" t="n">
        <f aca="false">ROUNDUP(I5/12,0)</f>
        <v>1</v>
      </c>
      <c r="J4" s="386" t="n">
        <f aca="false">ROUNDUP(J5/12,0)</f>
        <v>1</v>
      </c>
      <c r="K4" s="386" t="n">
        <f aca="false">ROUNDUP(K5/12,0)</f>
        <v>1</v>
      </c>
      <c r="L4" s="386" t="n">
        <f aca="false">ROUNDUP(L5/12,0)</f>
        <v>1</v>
      </c>
      <c r="M4" s="386" t="n">
        <f aca="false">ROUNDUP(M5/12,0)</f>
        <v>1</v>
      </c>
      <c r="N4" s="386" t="n">
        <f aca="false">ROUNDUP(N5/12,0)</f>
        <v>1</v>
      </c>
      <c r="O4" s="386" t="n">
        <f aca="false">ROUNDUP(O5/12,0)</f>
        <v>1</v>
      </c>
      <c r="P4" s="386" t="n">
        <f aca="false">ROUNDUP(P5/12,0)</f>
        <v>2</v>
      </c>
      <c r="Q4" s="386" t="n">
        <f aca="false">ROUNDUP(Q5/12,0)</f>
        <v>2</v>
      </c>
      <c r="R4" s="386" t="n">
        <f aca="false">ROUNDUP(R5/12,0)</f>
        <v>2</v>
      </c>
      <c r="S4" s="386" t="n">
        <f aca="false">ROUNDUP(S5/12,0)</f>
        <v>2</v>
      </c>
      <c r="T4" s="386" t="n">
        <f aca="false">ROUNDUP(T5/12,0)</f>
        <v>2</v>
      </c>
      <c r="U4" s="386" t="n">
        <f aca="false">ROUNDUP(U5/12,0)</f>
        <v>2</v>
      </c>
      <c r="V4" s="386" t="n">
        <f aca="false">ROUNDUP(V5/12,0)</f>
        <v>2</v>
      </c>
      <c r="W4" s="386" t="n">
        <f aca="false">ROUNDUP(W5/12,0)</f>
        <v>2</v>
      </c>
      <c r="X4" s="386" t="n">
        <f aca="false">ROUNDUP(X5/12,0)</f>
        <v>2</v>
      </c>
      <c r="Y4" s="386" t="n">
        <f aca="false">ROUNDUP(Y5/12,0)</f>
        <v>2</v>
      </c>
      <c r="Z4" s="386" t="n">
        <f aca="false">ROUNDUP(Z5/12,0)</f>
        <v>2</v>
      </c>
      <c r="AA4" s="386" t="n">
        <f aca="false">ROUNDUP(AA5/12,0)</f>
        <v>2</v>
      </c>
      <c r="AB4" s="386" t="n">
        <f aca="false">ROUNDUP(AB5/12,0)</f>
        <v>3</v>
      </c>
      <c r="AC4" s="386" t="n">
        <f aca="false">ROUNDUP(AC5/12,0)</f>
        <v>3</v>
      </c>
      <c r="AD4" s="386" t="n">
        <f aca="false">ROUNDUP(AD5/12,0)</f>
        <v>3</v>
      </c>
      <c r="AE4" s="386" t="n">
        <f aca="false">ROUNDUP(AE5/12,0)</f>
        <v>3</v>
      </c>
      <c r="AF4" s="386" t="n">
        <f aca="false">ROUNDUP(AF5/12,0)</f>
        <v>3</v>
      </c>
      <c r="AG4" s="386" t="n">
        <f aca="false">ROUNDUP(AG5/12,0)</f>
        <v>3</v>
      </c>
      <c r="AH4" s="386" t="n">
        <f aca="false">ROUNDUP(AH5/12,0)</f>
        <v>3</v>
      </c>
      <c r="AI4" s="386" t="n">
        <f aca="false">ROUNDUP(AI5/12,0)</f>
        <v>3</v>
      </c>
      <c r="AJ4" s="386" t="n">
        <f aca="false">ROUNDUP(AJ5/12,0)</f>
        <v>3</v>
      </c>
      <c r="AK4" s="386" t="n">
        <f aca="false">ROUNDUP(AK5/12,0)</f>
        <v>3</v>
      </c>
      <c r="AL4" s="386" t="n">
        <f aca="false">ROUNDUP(AL5/12,0)</f>
        <v>3</v>
      </c>
      <c r="AM4" s="386" t="n">
        <f aca="false">ROUNDUP(AM5/12,0)</f>
        <v>3</v>
      </c>
      <c r="AN4" s="386" t="n">
        <f aca="false">ROUNDUP(AN5/12,0)</f>
        <v>4</v>
      </c>
      <c r="AO4" s="386" t="n">
        <f aca="false">ROUNDUP(AO5/12,0)</f>
        <v>4</v>
      </c>
      <c r="AP4" s="386" t="n">
        <f aca="false">ROUNDUP(AP5/12,0)</f>
        <v>4</v>
      </c>
      <c r="AQ4" s="386" t="n">
        <f aca="false">ROUNDUP(AQ5/12,0)</f>
        <v>4</v>
      </c>
      <c r="AR4" s="386" t="n">
        <f aca="false">ROUNDUP(AR5/12,0)</f>
        <v>4</v>
      </c>
      <c r="AS4" s="386" t="n">
        <f aca="false">ROUNDUP(AS5/12,0)</f>
        <v>4</v>
      </c>
      <c r="AT4" s="386" t="n">
        <f aca="false">ROUNDUP(AT5/12,0)</f>
        <v>4</v>
      </c>
      <c r="AU4" s="386" t="n">
        <f aca="false">ROUNDUP(AU5/12,0)</f>
        <v>4</v>
      </c>
      <c r="AV4" s="386" t="n">
        <f aca="false">ROUNDUP(AV5/12,0)</f>
        <v>4</v>
      </c>
      <c r="AW4" s="386" t="n">
        <f aca="false">ROUNDUP(AW5/12,0)</f>
        <v>4</v>
      </c>
      <c r="AX4" s="386" t="n">
        <f aca="false">ROUNDUP(AX5/12,0)</f>
        <v>4</v>
      </c>
      <c r="AY4" s="386" t="n">
        <f aca="false">ROUNDUP(AY5/12,0)</f>
        <v>4</v>
      </c>
      <c r="AZ4" s="386" t="n">
        <f aca="false">ROUNDUP(AZ5/12,0)</f>
        <v>5</v>
      </c>
      <c r="BA4" s="386" t="n">
        <f aca="false">ROUNDUP(BA5/12,0)</f>
        <v>5</v>
      </c>
      <c r="BB4" s="386" t="n">
        <f aca="false">ROUNDUP(BB5/12,0)</f>
        <v>5</v>
      </c>
      <c r="BC4" s="386" t="n">
        <f aca="false">ROUNDUP(BC5/12,0)</f>
        <v>5</v>
      </c>
      <c r="BD4" s="386" t="n">
        <f aca="false">ROUNDUP(BD5/12,0)</f>
        <v>5</v>
      </c>
      <c r="BE4" s="386" t="n">
        <f aca="false">ROUNDUP(BE5/12,0)</f>
        <v>5</v>
      </c>
      <c r="BF4" s="386" t="n">
        <f aca="false">ROUNDUP(BF5/12,0)</f>
        <v>5</v>
      </c>
      <c r="BG4" s="386" t="n">
        <f aca="false">ROUNDUP(BG5/12,0)</f>
        <v>5</v>
      </c>
      <c r="BH4" s="386" t="n">
        <f aca="false">ROUNDUP(BH5/12,0)</f>
        <v>5</v>
      </c>
      <c r="BI4" s="386" t="n">
        <f aca="false">ROUNDUP(BI5/12,0)</f>
        <v>5</v>
      </c>
      <c r="BJ4" s="386" t="n">
        <f aca="false">ROUNDUP(BJ5/12,0)</f>
        <v>5</v>
      </c>
      <c r="BK4" s="386" t="n">
        <f aca="false">ROUNDUP(BK5/12,0)</f>
        <v>5</v>
      </c>
    </row>
    <row r="5" customFormat="false" ht="15" hidden="false" customHeight="true" outlineLevel="0" collapsed="false">
      <c r="B5" s="357" t="s">
        <v>1430</v>
      </c>
      <c r="D5" s="416" t="n">
        <v>1</v>
      </c>
      <c r="E5" s="416" t="n">
        <v>2</v>
      </c>
      <c r="F5" s="416" t="n">
        <v>3</v>
      </c>
      <c r="G5" s="416" t="n">
        <v>4</v>
      </c>
      <c r="H5" s="416" t="n">
        <v>5</v>
      </c>
      <c r="I5" s="416" t="n">
        <v>6</v>
      </c>
      <c r="J5" s="416" t="n">
        <v>7</v>
      </c>
      <c r="K5" s="416" t="n">
        <v>8</v>
      </c>
      <c r="L5" s="416" t="n">
        <v>9</v>
      </c>
      <c r="M5" s="416" t="n">
        <v>10</v>
      </c>
      <c r="N5" s="416" t="n">
        <v>11</v>
      </c>
      <c r="O5" s="416" t="n">
        <v>12</v>
      </c>
      <c r="P5" s="416" t="n">
        <v>13</v>
      </c>
      <c r="Q5" s="416" t="n">
        <v>14</v>
      </c>
      <c r="R5" s="416" t="n">
        <v>15</v>
      </c>
      <c r="S5" s="416" t="n">
        <v>16</v>
      </c>
      <c r="T5" s="416" t="n">
        <v>17</v>
      </c>
      <c r="U5" s="416" t="n">
        <v>18</v>
      </c>
      <c r="V5" s="416" t="n">
        <v>19</v>
      </c>
      <c r="W5" s="416" t="n">
        <v>20</v>
      </c>
      <c r="X5" s="416" t="n">
        <v>21</v>
      </c>
      <c r="Y5" s="416" t="n">
        <v>22</v>
      </c>
      <c r="Z5" s="416" t="n">
        <v>23</v>
      </c>
      <c r="AA5" s="416" t="n">
        <v>24</v>
      </c>
      <c r="AB5" s="416" t="n">
        <v>25</v>
      </c>
      <c r="AC5" s="416" t="n">
        <v>26</v>
      </c>
      <c r="AD5" s="416" t="n">
        <v>27</v>
      </c>
      <c r="AE5" s="416" t="n">
        <v>28</v>
      </c>
      <c r="AF5" s="416" t="n">
        <v>29</v>
      </c>
      <c r="AG5" s="416" t="n">
        <v>30</v>
      </c>
      <c r="AH5" s="416" t="n">
        <v>31</v>
      </c>
      <c r="AI5" s="416" t="n">
        <v>32</v>
      </c>
      <c r="AJ5" s="416" t="n">
        <v>33</v>
      </c>
      <c r="AK5" s="416" t="n">
        <v>34</v>
      </c>
      <c r="AL5" s="416" t="n">
        <v>35</v>
      </c>
      <c r="AM5" s="416" t="n">
        <v>36</v>
      </c>
      <c r="AN5" s="416" t="n">
        <v>37</v>
      </c>
      <c r="AO5" s="416" t="n">
        <v>38</v>
      </c>
      <c r="AP5" s="416" t="n">
        <v>39</v>
      </c>
      <c r="AQ5" s="416" t="n">
        <v>40</v>
      </c>
      <c r="AR5" s="416" t="n">
        <v>41</v>
      </c>
      <c r="AS5" s="416" t="n">
        <v>42</v>
      </c>
      <c r="AT5" s="416" t="n">
        <v>43</v>
      </c>
      <c r="AU5" s="416" t="n">
        <v>44</v>
      </c>
      <c r="AV5" s="416" t="n">
        <v>45</v>
      </c>
      <c r="AW5" s="416" t="n">
        <v>46</v>
      </c>
      <c r="AX5" s="416" t="n">
        <v>47</v>
      </c>
      <c r="AY5" s="416" t="n">
        <v>48</v>
      </c>
      <c r="AZ5" s="416" t="n">
        <v>49</v>
      </c>
      <c r="BA5" s="416" t="n">
        <v>50</v>
      </c>
      <c r="BB5" s="416" t="n">
        <v>51</v>
      </c>
      <c r="BC5" s="416" t="n">
        <v>52</v>
      </c>
      <c r="BD5" s="416" t="n">
        <v>53</v>
      </c>
      <c r="BE5" s="416" t="n">
        <v>54</v>
      </c>
      <c r="BF5" s="416" t="n">
        <v>55</v>
      </c>
      <c r="BG5" s="416" t="n">
        <v>56</v>
      </c>
      <c r="BH5" s="416" t="n">
        <v>57</v>
      </c>
      <c r="BI5" s="416" t="n">
        <v>58</v>
      </c>
      <c r="BJ5" s="416" t="n">
        <v>59</v>
      </c>
      <c r="BK5" s="416" t="n">
        <v>60</v>
      </c>
    </row>
    <row r="6" customFormat="false" ht="15" hidden="false" customHeight="true" outlineLevel="0" collapsed="false">
      <c r="B6" s="418" t="s">
        <v>2349</v>
      </c>
      <c r="D6" s="419" t="n">
        <f aca="false">EDATE(DATE(YEAR(FC_SUPUESTOS!$D$14),MONTH(FC_SUPUESTOS!$D$14),1),D$5-1)</f>
        <v>46296</v>
      </c>
      <c r="E6" s="419" t="n">
        <f aca="false">EDATE(DATE(YEAR(FC_SUPUESTOS!$D$14),MONTH(FC_SUPUESTOS!$D$14),1),E$5-1)</f>
        <v>46327</v>
      </c>
      <c r="F6" s="419" t="n">
        <f aca="false">EDATE(DATE(YEAR(FC_SUPUESTOS!$D$14),MONTH(FC_SUPUESTOS!$D$14),1),F$5-1)</f>
        <v>46357</v>
      </c>
      <c r="G6" s="419" t="n">
        <f aca="false">EDATE(DATE(YEAR(FC_SUPUESTOS!$D$14),MONTH(FC_SUPUESTOS!$D$14),1),G$5-1)</f>
        <v>46388</v>
      </c>
      <c r="H6" s="419" t="n">
        <f aca="false">EDATE(DATE(YEAR(FC_SUPUESTOS!$D$14),MONTH(FC_SUPUESTOS!$D$14),1),H$5-1)</f>
        <v>46419</v>
      </c>
      <c r="I6" s="419" t="n">
        <f aca="false">EDATE(DATE(YEAR(FC_SUPUESTOS!$D$14),MONTH(FC_SUPUESTOS!$D$14),1),I$5-1)</f>
        <v>46447</v>
      </c>
      <c r="J6" s="419" t="n">
        <f aca="false">EDATE(DATE(YEAR(FC_SUPUESTOS!$D$14),MONTH(FC_SUPUESTOS!$D$14),1),J$5-1)</f>
        <v>46478</v>
      </c>
      <c r="K6" s="419" t="n">
        <f aca="false">EDATE(DATE(YEAR(FC_SUPUESTOS!$D$14),MONTH(FC_SUPUESTOS!$D$14),1),K$5-1)</f>
        <v>46508</v>
      </c>
      <c r="L6" s="419" t="n">
        <f aca="false">EDATE(DATE(YEAR(FC_SUPUESTOS!$D$14),MONTH(FC_SUPUESTOS!$D$14),1),L$5-1)</f>
        <v>46539</v>
      </c>
      <c r="M6" s="419" t="n">
        <f aca="false">EDATE(DATE(YEAR(FC_SUPUESTOS!$D$14),MONTH(FC_SUPUESTOS!$D$14),1),M$5-1)</f>
        <v>46569</v>
      </c>
      <c r="N6" s="419" t="n">
        <f aca="false">EDATE(DATE(YEAR(FC_SUPUESTOS!$D$14),MONTH(FC_SUPUESTOS!$D$14),1),N$5-1)</f>
        <v>46600</v>
      </c>
      <c r="O6" s="419" t="n">
        <f aca="false">EDATE(DATE(YEAR(FC_SUPUESTOS!$D$14),MONTH(FC_SUPUESTOS!$D$14),1),O$5-1)</f>
        <v>46631</v>
      </c>
      <c r="P6" s="419" t="n">
        <f aca="false">EDATE(DATE(YEAR(FC_SUPUESTOS!$D$14),MONTH(FC_SUPUESTOS!$D$14),1),P$5-1)</f>
        <v>46661</v>
      </c>
      <c r="Q6" s="419" t="n">
        <f aca="false">EDATE(DATE(YEAR(FC_SUPUESTOS!$D$14),MONTH(FC_SUPUESTOS!$D$14),1),Q$5-1)</f>
        <v>46692</v>
      </c>
      <c r="R6" s="419" t="n">
        <f aca="false">EDATE(DATE(YEAR(FC_SUPUESTOS!$D$14),MONTH(FC_SUPUESTOS!$D$14),1),R$5-1)</f>
        <v>46722</v>
      </c>
      <c r="S6" s="419" t="n">
        <f aca="false">EDATE(DATE(YEAR(FC_SUPUESTOS!$D$14),MONTH(FC_SUPUESTOS!$D$14),1),S$5-1)</f>
        <v>46753</v>
      </c>
      <c r="T6" s="419" t="n">
        <f aca="false">EDATE(DATE(YEAR(FC_SUPUESTOS!$D$14),MONTH(FC_SUPUESTOS!$D$14),1),T$5-1)</f>
        <v>46784</v>
      </c>
      <c r="U6" s="419" t="n">
        <f aca="false">EDATE(DATE(YEAR(FC_SUPUESTOS!$D$14),MONTH(FC_SUPUESTOS!$D$14),1),U$5-1)</f>
        <v>46813</v>
      </c>
      <c r="V6" s="419" t="n">
        <f aca="false">EDATE(DATE(YEAR(FC_SUPUESTOS!$D$14),MONTH(FC_SUPUESTOS!$D$14),1),V$5-1)</f>
        <v>46844</v>
      </c>
      <c r="W6" s="419" t="n">
        <f aca="false">EDATE(DATE(YEAR(FC_SUPUESTOS!$D$14),MONTH(FC_SUPUESTOS!$D$14),1),W$5-1)</f>
        <v>46874</v>
      </c>
      <c r="X6" s="419" t="n">
        <f aca="false">EDATE(DATE(YEAR(FC_SUPUESTOS!$D$14),MONTH(FC_SUPUESTOS!$D$14),1),X$5-1)</f>
        <v>46905</v>
      </c>
      <c r="Y6" s="419" t="n">
        <f aca="false">EDATE(DATE(YEAR(FC_SUPUESTOS!$D$14),MONTH(FC_SUPUESTOS!$D$14),1),Y$5-1)</f>
        <v>46935</v>
      </c>
      <c r="Z6" s="419" t="n">
        <f aca="false">EDATE(DATE(YEAR(FC_SUPUESTOS!$D$14),MONTH(FC_SUPUESTOS!$D$14),1),Z$5-1)</f>
        <v>46966</v>
      </c>
      <c r="AA6" s="419" t="n">
        <f aca="false">EDATE(DATE(YEAR(FC_SUPUESTOS!$D$14),MONTH(FC_SUPUESTOS!$D$14),1),AA$5-1)</f>
        <v>46997</v>
      </c>
      <c r="AB6" s="419" t="n">
        <f aca="false">EDATE(DATE(YEAR(FC_SUPUESTOS!$D$14),MONTH(FC_SUPUESTOS!$D$14),1),AB$5-1)</f>
        <v>47027</v>
      </c>
      <c r="AC6" s="419" t="n">
        <f aca="false">EDATE(DATE(YEAR(FC_SUPUESTOS!$D$14),MONTH(FC_SUPUESTOS!$D$14),1),AC$5-1)</f>
        <v>47058</v>
      </c>
      <c r="AD6" s="419" t="n">
        <f aca="false">EDATE(DATE(YEAR(FC_SUPUESTOS!$D$14),MONTH(FC_SUPUESTOS!$D$14),1),AD$5-1)</f>
        <v>47088</v>
      </c>
      <c r="AE6" s="419" t="n">
        <f aca="false">EDATE(DATE(YEAR(FC_SUPUESTOS!$D$14),MONTH(FC_SUPUESTOS!$D$14),1),AE$5-1)</f>
        <v>47119</v>
      </c>
      <c r="AF6" s="419" t="n">
        <f aca="false">EDATE(DATE(YEAR(FC_SUPUESTOS!$D$14),MONTH(FC_SUPUESTOS!$D$14),1),AF$5-1)</f>
        <v>47150</v>
      </c>
      <c r="AG6" s="419" t="n">
        <f aca="false">EDATE(DATE(YEAR(FC_SUPUESTOS!$D$14),MONTH(FC_SUPUESTOS!$D$14),1),AG$5-1)</f>
        <v>47178</v>
      </c>
      <c r="AH6" s="419" t="n">
        <f aca="false">EDATE(DATE(YEAR(FC_SUPUESTOS!$D$14),MONTH(FC_SUPUESTOS!$D$14),1),AH$5-1)</f>
        <v>47209</v>
      </c>
      <c r="AI6" s="419" t="n">
        <f aca="false">EDATE(DATE(YEAR(FC_SUPUESTOS!$D$14),MONTH(FC_SUPUESTOS!$D$14),1),AI$5-1)</f>
        <v>47239</v>
      </c>
      <c r="AJ6" s="419" t="n">
        <f aca="false">EDATE(DATE(YEAR(FC_SUPUESTOS!$D$14),MONTH(FC_SUPUESTOS!$D$14),1),AJ$5-1)</f>
        <v>47270</v>
      </c>
      <c r="AK6" s="419" t="n">
        <f aca="false">EDATE(DATE(YEAR(FC_SUPUESTOS!$D$14),MONTH(FC_SUPUESTOS!$D$14),1),AK$5-1)</f>
        <v>47300</v>
      </c>
      <c r="AL6" s="419" t="n">
        <f aca="false">EDATE(DATE(YEAR(FC_SUPUESTOS!$D$14),MONTH(FC_SUPUESTOS!$D$14),1),AL$5-1)</f>
        <v>47331</v>
      </c>
      <c r="AM6" s="419" t="n">
        <f aca="false">EDATE(DATE(YEAR(FC_SUPUESTOS!$D$14),MONTH(FC_SUPUESTOS!$D$14),1),AM$5-1)</f>
        <v>47362</v>
      </c>
      <c r="AN6" s="419" t="n">
        <f aca="false">EDATE(DATE(YEAR(FC_SUPUESTOS!$D$14),MONTH(FC_SUPUESTOS!$D$14),1),AN$5-1)</f>
        <v>47392</v>
      </c>
      <c r="AO6" s="419" t="n">
        <f aca="false">EDATE(DATE(YEAR(FC_SUPUESTOS!$D$14),MONTH(FC_SUPUESTOS!$D$14),1),AO$5-1)</f>
        <v>47423</v>
      </c>
      <c r="AP6" s="419" t="n">
        <f aca="false">EDATE(DATE(YEAR(FC_SUPUESTOS!$D$14),MONTH(FC_SUPUESTOS!$D$14),1),AP$5-1)</f>
        <v>47453</v>
      </c>
      <c r="AQ6" s="419" t="n">
        <f aca="false">EDATE(DATE(YEAR(FC_SUPUESTOS!$D$14),MONTH(FC_SUPUESTOS!$D$14),1),AQ$5-1)</f>
        <v>47484</v>
      </c>
      <c r="AR6" s="419" t="n">
        <f aca="false">EDATE(DATE(YEAR(FC_SUPUESTOS!$D$14),MONTH(FC_SUPUESTOS!$D$14),1),AR$5-1)</f>
        <v>47515</v>
      </c>
      <c r="AS6" s="419" t="n">
        <f aca="false">EDATE(DATE(YEAR(FC_SUPUESTOS!$D$14),MONTH(FC_SUPUESTOS!$D$14),1),AS$5-1)</f>
        <v>47543</v>
      </c>
      <c r="AT6" s="419" t="n">
        <f aca="false">EDATE(DATE(YEAR(FC_SUPUESTOS!$D$14),MONTH(FC_SUPUESTOS!$D$14),1),AT$5-1)</f>
        <v>47574</v>
      </c>
      <c r="AU6" s="419" t="n">
        <f aca="false">EDATE(DATE(YEAR(FC_SUPUESTOS!$D$14),MONTH(FC_SUPUESTOS!$D$14),1),AU$5-1)</f>
        <v>47604</v>
      </c>
      <c r="AV6" s="419" t="n">
        <f aca="false">EDATE(DATE(YEAR(FC_SUPUESTOS!$D$14),MONTH(FC_SUPUESTOS!$D$14),1),AV$5-1)</f>
        <v>47635</v>
      </c>
      <c r="AW6" s="419" t="n">
        <f aca="false">EDATE(DATE(YEAR(FC_SUPUESTOS!$D$14),MONTH(FC_SUPUESTOS!$D$14),1),AW$5-1)</f>
        <v>47665</v>
      </c>
      <c r="AX6" s="419" t="n">
        <f aca="false">EDATE(DATE(YEAR(FC_SUPUESTOS!$D$14),MONTH(FC_SUPUESTOS!$D$14),1),AX$5-1)</f>
        <v>47696</v>
      </c>
      <c r="AY6" s="419" t="n">
        <f aca="false">EDATE(DATE(YEAR(FC_SUPUESTOS!$D$14),MONTH(FC_SUPUESTOS!$D$14),1),AY$5-1)</f>
        <v>47727</v>
      </c>
      <c r="AZ6" s="419" t="n">
        <f aca="false">EDATE(DATE(YEAR(FC_SUPUESTOS!$D$14),MONTH(FC_SUPUESTOS!$D$14),1),AZ$5-1)</f>
        <v>47757</v>
      </c>
      <c r="BA6" s="419" t="n">
        <f aca="false">EDATE(DATE(YEAR(FC_SUPUESTOS!$D$14),MONTH(FC_SUPUESTOS!$D$14),1),BA$5-1)</f>
        <v>47788</v>
      </c>
      <c r="BB6" s="419" t="n">
        <f aca="false">EDATE(DATE(YEAR(FC_SUPUESTOS!$D$14),MONTH(FC_SUPUESTOS!$D$14),1),BB$5-1)</f>
        <v>47818</v>
      </c>
      <c r="BC6" s="419" t="n">
        <f aca="false">EDATE(DATE(YEAR(FC_SUPUESTOS!$D$14),MONTH(FC_SUPUESTOS!$D$14),1),BC$5-1)</f>
        <v>47849</v>
      </c>
      <c r="BD6" s="419" t="n">
        <f aca="false">EDATE(DATE(YEAR(FC_SUPUESTOS!$D$14),MONTH(FC_SUPUESTOS!$D$14),1),BD$5-1)</f>
        <v>47880</v>
      </c>
      <c r="BE6" s="419" t="n">
        <f aca="false">EDATE(DATE(YEAR(FC_SUPUESTOS!$D$14),MONTH(FC_SUPUESTOS!$D$14),1),BE$5-1)</f>
        <v>47908</v>
      </c>
      <c r="BF6" s="419" t="n">
        <f aca="false">EDATE(DATE(YEAR(FC_SUPUESTOS!$D$14),MONTH(FC_SUPUESTOS!$D$14),1),BF$5-1)</f>
        <v>47939</v>
      </c>
      <c r="BG6" s="419" t="n">
        <f aca="false">EDATE(DATE(YEAR(FC_SUPUESTOS!$D$14),MONTH(FC_SUPUESTOS!$D$14),1),BG$5-1)</f>
        <v>47969</v>
      </c>
      <c r="BH6" s="419" t="n">
        <f aca="false">EDATE(DATE(YEAR(FC_SUPUESTOS!$D$14),MONTH(FC_SUPUESTOS!$D$14),1),BH$5-1)</f>
        <v>48000</v>
      </c>
      <c r="BI6" s="419" t="n">
        <f aca="false">EDATE(DATE(YEAR(FC_SUPUESTOS!$D$14),MONTH(FC_SUPUESTOS!$D$14),1),BI$5-1)</f>
        <v>48030</v>
      </c>
      <c r="BJ6" s="419" t="n">
        <f aca="false">EDATE(DATE(YEAR(FC_SUPUESTOS!$D$14),MONTH(FC_SUPUESTOS!$D$14),1),BJ$5-1)</f>
        <v>48061</v>
      </c>
      <c r="BK6" s="419" t="n">
        <f aca="false">EDATE(DATE(YEAR(FC_SUPUESTOS!$D$14),MONTH(FC_SUPUESTOS!$D$14),1),BK$5-1)</f>
        <v>48092</v>
      </c>
    </row>
    <row r="7" customFormat="false" ht="15" hidden="false" customHeight="true" outlineLevel="0" collapsed="false">
      <c r="A7" s="351" t="s">
        <v>2908</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row>
    <row r="8" customFormat="false" ht="15" hidden="false" customHeight="true" outlineLevel="0" collapsed="false">
      <c r="B8" s="297" t="s">
        <v>2909</v>
      </c>
      <c r="D8" s="380" t="n">
        <f aca="false">FC_CRONOGRAMA!D57*SUP_CONTROL!$C$26</f>
        <v>0</v>
      </c>
      <c r="E8" s="380" t="n">
        <f aca="false">FC_CRONOGRAMA!E57*SUP_CONTROL!$C$26</f>
        <v>0</v>
      </c>
      <c r="F8" s="380" t="n">
        <f aca="false">FC_CRONOGRAMA!F57*SUP_CONTROL!$C$26</f>
        <v>0</v>
      </c>
      <c r="G8" s="380" t="n">
        <f aca="false">FC_CRONOGRAMA!G57*SUP_CONTROL!$C$26</f>
        <v>0</v>
      </c>
      <c r="H8" s="380" t="n">
        <f aca="false">FC_CRONOGRAMA!H57*SUP_CONTROL!$C$26</f>
        <v>0</v>
      </c>
      <c r="I8" s="380" t="n">
        <f aca="false">FC_CRONOGRAMA!I57*SUP_CONTROL!$C$26</f>
        <v>0</v>
      </c>
      <c r="J8" s="380" t="n">
        <f aca="false">FC_CRONOGRAMA!J57*SUP_CONTROL!$C$26</f>
        <v>0</v>
      </c>
      <c r="K8" s="380" t="n">
        <f aca="false">FC_CRONOGRAMA!K57*SUP_CONTROL!$C$26</f>
        <v>0</v>
      </c>
      <c r="L8" s="380" t="n">
        <f aca="false">FC_CRONOGRAMA!L57*SUP_CONTROL!$C$26</f>
        <v>0</v>
      </c>
      <c r="M8" s="380" t="n">
        <f aca="false">FC_CRONOGRAMA!M57*SUP_CONTROL!$C$26</f>
        <v>75993.6651800203</v>
      </c>
      <c r="N8" s="380" t="n">
        <f aca="false">FC_CRONOGRAMA!N57*SUP_CONTROL!$C$26</f>
        <v>168271.687184331</v>
      </c>
      <c r="O8" s="380" t="n">
        <f aca="false">FC_CRONOGRAMA!O57*SUP_CONTROL!$C$26</f>
        <v>276834.066012931</v>
      </c>
      <c r="P8" s="380" t="n">
        <f aca="false">FC_CRONOGRAMA!P57*SUP_CONTROL!$C$26</f>
        <v>396795.494618535</v>
      </c>
      <c r="Q8" s="380" t="n">
        <f aca="false">FC_CRONOGRAMA!Q57*SUP_CONTROL!$C$26</f>
        <v>530598.626524785</v>
      </c>
      <c r="R8" s="380" t="n">
        <f aca="false">FC_CRONOGRAMA!R57*SUP_CONTROL!$C$26</f>
        <v>570495.300744295</v>
      </c>
      <c r="S8" s="380" t="n">
        <f aca="false">FC_CRONOGRAMA!S57*SUP_CONTROL!$C$26</f>
        <v>591664.964615872</v>
      </c>
      <c r="T8" s="380" t="n">
        <f aca="false">FC_CRONOGRAMA!T57*SUP_CONTROL!$C$26</f>
        <v>591664.964615872</v>
      </c>
      <c r="U8" s="380" t="n">
        <f aca="false">FC_CRONOGRAMA!U57*SUP_CONTROL!$C$26</f>
        <v>591664.964615872</v>
      </c>
      <c r="V8" s="380" t="n">
        <f aca="false">FC_CRONOGRAMA!V57*SUP_CONTROL!$C$26</f>
        <v>591664.964615872</v>
      </c>
      <c r="W8" s="380" t="n">
        <f aca="false">FC_CRONOGRAMA!W57*SUP_CONTROL!$C$26</f>
        <v>591664.964615872</v>
      </c>
      <c r="X8" s="380" t="n">
        <f aca="false">FC_CRONOGRAMA!X57*SUP_CONTROL!$C$26</f>
        <v>591664.964615872</v>
      </c>
      <c r="Y8" s="380" t="n">
        <f aca="false">FC_CRONOGRAMA!Y57*SUP_CONTROL!$C$26</f>
        <v>591664.964615872</v>
      </c>
      <c r="Z8" s="380" t="n">
        <f aca="false">FC_CRONOGRAMA!Z57*SUP_CONTROL!$C$26</f>
        <v>591664.964615872</v>
      </c>
      <c r="AA8" s="380" t="n">
        <f aca="false">FC_CRONOGRAMA!AA57*SUP_CONTROL!$C$26</f>
        <v>591664.964615872</v>
      </c>
      <c r="AB8" s="380" t="n">
        <f aca="false">FC_CRONOGRAMA!AB57*SUP_CONTROL!$C$26</f>
        <v>591664.964615872</v>
      </c>
      <c r="AC8" s="380" t="n">
        <f aca="false">FC_CRONOGRAMA!AC57*SUP_CONTROL!$C$26</f>
        <v>591664.964615872</v>
      </c>
      <c r="AD8" s="380" t="n">
        <f aca="false">FC_CRONOGRAMA!AD57*SUP_CONTROL!$C$26</f>
        <v>591664.964615872</v>
      </c>
      <c r="AE8" s="380" t="n">
        <f aca="false">FC_CRONOGRAMA!AE57*SUP_CONTROL!$C$26</f>
        <v>591664.964615872</v>
      </c>
      <c r="AF8" s="380" t="n">
        <f aca="false">FC_CRONOGRAMA!AF57*SUP_CONTROL!$C$26</f>
        <v>591664.964615872</v>
      </c>
      <c r="AG8" s="380" t="n">
        <f aca="false">FC_CRONOGRAMA!AG57*SUP_CONTROL!$C$26</f>
        <v>591664.964615872</v>
      </c>
      <c r="AH8" s="380" t="n">
        <f aca="false">FC_CRONOGRAMA!AH57*SUP_CONTROL!$C$26</f>
        <v>591664.964615872</v>
      </c>
      <c r="AI8" s="380" t="n">
        <f aca="false">FC_CRONOGRAMA!AI57*SUP_CONTROL!$C$26</f>
        <v>591664.964615872</v>
      </c>
      <c r="AJ8" s="380" t="n">
        <f aca="false">FC_CRONOGRAMA!AJ57*SUP_CONTROL!$C$26</f>
        <v>591664.964615872</v>
      </c>
      <c r="AK8" s="380" t="n">
        <f aca="false">FC_CRONOGRAMA!AK57*SUP_CONTROL!$C$26</f>
        <v>591664.964615872</v>
      </c>
      <c r="AL8" s="380" t="n">
        <f aca="false">FC_CRONOGRAMA!AL57*SUP_CONTROL!$C$26</f>
        <v>591664.964615872</v>
      </c>
      <c r="AM8" s="380" t="n">
        <f aca="false">FC_CRONOGRAMA!AM57*SUP_CONTROL!$C$26</f>
        <v>591664.964615872</v>
      </c>
      <c r="AN8" s="380" t="n">
        <f aca="false">FC_CRONOGRAMA!AN57*SUP_CONTROL!$C$26</f>
        <v>591664.964615872</v>
      </c>
      <c r="AO8" s="380" t="n">
        <f aca="false">FC_CRONOGRAMA!AO57*SUP_CONTROL!$C$26</f>
        <v>591664.964615872</v>
      </c>
      <c r="AP8" s="380" t="n">
        <f aca="false">FC_CRONOGRAMA!AP57*SUP_CONTROL!$C$26</f>
        <v>591664.964615872</v>
      </c>
      <c r="AQ8" s="380" t="n">
        <f aca="false">FC_CRONOGRAMA!AQ57*SUP_CONTROL!$C$26</f>
        <v>591664.964615872</v>
      </c>
      <c r="AR8" s="380" t="n">
        <f aca="false">FC_CRONOGRAMA!AR57*SUP_CONTROL!$C$26</f>
        <v>591664.964615872</v>
      </c>
      <c r="AS8" s="380" t="n">
        <f aca="false">FC_CRONOGRAMA!AS57*SUP_CONTROL!$C$26</f>
        <v>591664.964615872</v>
      </c>
      <c r="AT8" s="380" t="n">
        <f aca="false">FC_CRONOGRAMA!AT57*SUP_CONTROL!$C$26</f>
        <v>591664.964615872</v>
      </c>
      <c r="AU8" s="380" t="n">
        <f aca="false">FC_CRONOGRAMA!AU57*SUP_CONTROL!$C$26</f>
        <v>591664.964615872</v>
      </c>
      <c r="AV8" s="380" t="n">
        <f aca="false">FC_CRONOGRAMA!AV57*SUP_CONTROL!$C$26</f>
        <v>591664.964615872</v>
      </c>
      <c r="AW8" s="380" t="n">
        <f aca="false">FC_CRONOGRAMA!AW57*SUP_CONTROL!$C$26</f>
        <v>591664.964615872</v>
      </c>
      <c r="AX8" s="380" t="n">
        <f aca="false">FC_CRONOGRAMA!AX57*SUP_CONTROL!$C$26</f>
        <v>591664.964615872</v>
      </c>
      <c r="AY8" s="380" t="n">
        <f aca="false">FC_CRONOGRAMA!AY57*SUP_CONTROL!$C$26</f>
        <v>591664.964615872</v>
      </c>
      <c r="AZ8" s="380" t="n">
        <f aca="false">FC_CRONOGRAMA!AZ57*SUP_CONTROL!$C$26</f>
        <v>591664.964615872</v>
      </c>
      <c r="BA8" s="380" t="n">
        <f aca="false">FC_CRONOGRAMA!BA57*SUP_CONTROL!$C$26</f>
        <v>591664.964615872</v>
      </c>
      <c r="BB8" s="380" t="n">
        <f aca="false">FC_CRONOGRAMA!BB57*SUP_CONTROL!$C$26</f>
        <v>591664.964615872</v>
      </c>
      <c r="BC8" s="380" t="n">
        <f aca="false">FC_CRONOGRAMA!BC57*SUP_CONTROL!$C$26</f>
        <v>591664.964615872</v>
      </c>
      <c r="BD8" s="380" t="n">
        <f aca="false">FC_CRONOGRAMA!BD57*SUP_CONTROL!$C$26</f>
        <v>591664.964615872</v>
      </c>
      <c r="BE8" s="380" t="n">
        <f aca="false">FC_CRONOGRAMA!BE57*SUP_CONTROL!$C$26</f>
        <v>591664.964615872</v>
      </c>
      <c r="BF8" s="380" t="n">
        <f aca="false">FC_CRONOGRAMA!BF57*SUP_CONTROL!$C$26</f>
        <v>591664.964615872</v>
      </c>
      <c r="BG8" s="380" t="n">
        <f aca="false">FC_CRONOGRAMA!BG57*SUP_CONTROL!$C$26</f>
        <v>591664.964615872</v>
      </c>
      <c r="BH8" s="380" t="n">
        <f aca="false">FC_CRONOGRAMA!BH57*SUP_CONTROL!$C$26</f>
        <v>591664.964615872</v>
      </c>
      <c r="BI8" s="380" t="n">
        <f aca="false">FC_CRONOGRAMA!BI57*SUP_CONTROL!$C$26</f>
        <v>591664.964615872</v>
      </c>
      <c r="BJ8" s="380" t="n">
        <f aca="false">FC_CRONOGRAMA!BJ57*SUP_CONTROL!$C$26</f>
        <v>591664.964615872</v>
      </c>
      <c r="BK8" s="380" t="n">
        <f aca="false">FC_CRONOGRAMA!BK57*SUP_CONTROL!$C$26</f>
        <v>591664.964615872</v>
      </c>
    </row>
    <row r="9" customFormat="false" ht="15" hidden="false" customHeight="true" outlineLevel="0" collapsed="false">
      <c r="B9" s="297" t="s">
        <v>2910</v>
      </c>
      <c r="D9" s="380" t="n">
        <f aca="false">FC_CRONOGRAMA!D58*SUP_CONTROL!$C$26</f>
        <v>0</v>
      </c>
      <c r="E9" s="380" t="n">
        <f aca="false">FC_CRONOGRAMA!E58*SUP_CONTROL!$C$26</f>
        <v>0</v>
      </c>
      <c r="F9" s="380" t="n">
        <f aca="false">FC_CRONOGRAMA!F58*SUP_CONTROL!$C$26</f>
        <v>0</v>
      </c>
      <c r="G9" s="380" t="n">
        <f aca="false">FC_CRONOGRAMA!G58*SUP_CONTROL!$C$26</f>
        <v>0</v>
      </c>
      <c r="H9" s="380" t="n">
        <f aca="false">FC_CRONOGRAMA!H58*SUP_CONTROL!$C$26</f>
        <v>0</v>
      </c>
      <c r="I9" s="380" t="n">
        <f aca="false">FC_CRONOGRAMA!I58*SUP_CONTROL!$C$26</f>
        <v>0</v>
      </c>
      <c r="J9" s="380" t="n">
        <f aca="false">FC_CRONOGRAMA!J58*SUP_CONTROL!$C$26</f>
        <v>0</v>
      </c>
      <c r="K9" s="380" t="n">
        <f aca="false">FC_CRONOGRAMA!K58*SUP_CONTROL!$C$26</f>
        <v>0</v>
      </c>
      <c r="L9" s="380" t="n">
        <f aca="false">FC_CRONOGRAMA!L58*SUP_CONTROL!$C$26</f>
        <v>0</v>
      </c>
      <c r="M9" s="380" t="n">
        <f aca="false">FC_CRONOGRAMA!M58*SUP_CONTROL!$C$26</f>
        <v>0</v>
      </c>
      <c r="N9" s="380" t="n">
        <f aca="false">FC_CRONOGRAMA!N58*SUP_CONTROL!$C$26</f>
        <v>0</v>
      </c>
      <c r="O9" s="380" t="n">
        <f aca="false">FC_CRONOGRAMA!O58*SUP_CONTROL!$C$26</f>
        <v>0</v>
      </c>
      <c r="P9" s="380" t="n">
        <f aca="false">FC_CRONOGRAMA!P58*SUP_CONTROL!$C$26</f>
        <v>0</v>
      </c>
      <c r="Q9" s="380" t="n">
        <f aca="false">FC_CRONOGRAMA!Q58*SUP_CONTROL!$C$26</f>
        <v>0</v>
      </c>
      <c r="R9" s="380" t="n">
        <f aca="false">FC_CRONOGRAMA!R58*SUP_CONTROL!$C$26</f>
        <v>0</v>
      </c>
      <c r="S9" s="380" t="n">
        <f aca="false">FC_CRONOGRAMA!S58*SUP_CONTROL!$C$26</f>
        <v>0</v>
      </c>
      <c r="T9" s="380" t="n">
        <f aca="false">FC_CRONOGRAMA!T58*SUP_CONTROL!$C$26</f>
        <v>0</v>
      </c>
      <c r="U9" s="380" t="n">
        <f aca="false">FC_CRONOGRAMA!U58*SUP_CONTROL!$C$26</f>
        <v>0</v>
      </c>
      <c r="V9" s="380" t="n">
        <f aca="false">FC_CRONOGRAMA!V58*SUP_CONTROL!$C$26</f>
        <v>0</v>
      </c>
      <c r="W9" s="380" t="n">
        <f aca="false">FC_CRONOGRAMA!W58*SUP_CONTROL!$C$26</f>
        <v>0</v>
      </c>
      <c r="X9" s="380" t="n">
        <f aca="false">FC_CRONOGRAMA!X58*SUP_CONTROL!$C$26</f>
        <v>0</v>
      </c>
      <c r="Y9" s="380" t="n">
        <f aca="false">FC_CRONOGRAMA!Y58*SUP_CONTROL!$C$26</f>
        <v>0</v>
      </c>
      <c r="Z9" s="380" t="n">
        <f aca="false">FC_CRONOGRAMA!Z58*SUP_CONTROL!$C$26</f>
        <v>0</v>
      </c>
      <c r="AA9" s="380" t="n">
        <f aca="false">FC_CRONOGRAMA!AA58*SUP_CONTROL!$C$26</f>
        <v>0</v>
      </c>
      <c r="AB9" s="380" t="n">
        <f aca="false">FC_CRONOGRAMA!AB58*SUP_CONTROL!$C$26</f>
        <v>0</v>
      </c>
      <c r="AC9" s="380" t="n">
        <f aca="false">FC_CRONOGRAMA!AC58*SUP_CONTROL!$C$26</f>
        <v>0</v>
      </c>
      <c r="AD9" s="380" t="n">
        <f aca="false">FC_CRONOGRAMA!AD58*SUP_CONTROL!$C$26</f>
        <v>0</v>
      </c>
      <c r="AE9" s="380" t="n">
        <f aca="false">FC_CRONOGRAMA!AE58*SUP_CONTROL!$C$26</f>
        <v>0</v>
      </c>
      <c r="AF9" s="380" t="n">
        <f aca="false">FC_CRONOGRAMA!AF58*SUP_CONTROL!$C$26</f>
        <v>0</v>
      </c>
      <c r="AG9" s="380" t="n">
        <f aca="false">FC_CRONOGRAMA!AG58*SUP_CONTROL!$C$26</f>
        <v>0</v>
      </c>
      <c r="AH9" s="380" t="n">
        <f aca="false">FC_CRONOGRAMA!AH58*SUP_CONTROL!$C$26</f>
        <v>0</v>
      </c>
      <c r="AI9" s="380" t="n">
        <f aca="false">FC_CRONOGRAMA!AI58*SUP_CONTROL!$C$26</f>
        <v>0</v>
      </c>
      <c r="AJ9" s="380" t="n">
        <f aca="false">FC_CRONOGRAMA!AJ58*SUP_CONTROL!$C$26</f>
        <v>0</v>
      </c>
      <c r="AK9" s="380" t="n">
        <f aca="false">FC_CRONOGRAMA!AK58*SUP_CONTROL!$C$26</f>
        <v>0</v>
      </c>
      <c r="AL9" s="380" t="n">
        <f aca="false">FC_CRONOGRAMA!AL58*SUP_CONTROL!$C$26</f>
        <v>0</v>
      </c>
      <c r="AM9" s="380" t="n">
        <f aca="false">FC_CRONOGRAMA!AM58*SUP_CONTROL!$C$26</f>
        <v>0</v>
      </c>
      <c r="AN9" s="380" t="n">
        <f aca="false">FC_CRONOGRAMA!AN58*SUP_CONTROL!$C$26</f>
        <v>0</v>
      </c>
      <c r="AO9" s="380" t="n">
        <f aca="false">FC_CRONOGRAMA!AO58*SUP_CONTROL!$C$26</f>
        <v>0</v>
      </c>
      <c r="AP9" s="380" t="n">
        <f aca="false">FC_CRONOGRAMA!AP58*SUP_CONTROL!$C$26</f>
        <v>0</v>
      </c>
      <c r="AQ9" s="380" t="n">
        <f aca="false">FC_CRONOGRAMA!AQ58*SUP_CONTROL!$C$26</f>
        <v>0</v>
      </c>
      <c r="AR9" s="380" t="n">
        <f aca="false">FC_CRONOGRAMA!AR58*SUP_CONTROL!$C$26</f>
        <v>0</v>
      </c>
      <c r="AS9" s="380" t="n">
        <f aca="false">FC_CRONOGRAMA!AS58*SUP_CONTROL!$C$26</f>
        <v>0</v>
      </c>
      <c r="AT9" s="380" t="n">
        <f aca="false">FC_CRONOGRAMA!AT58*SUP_CONTROL!$C$26</f>
        <v>0</v>
      </c>
      <c r="AU9" s="380" t="n">
        <f aca="false">FC_CRONOGRAMA!AU58*SUP_CONTROL!$C$26</f>
        <v>0</v>
      </c>
      <c r="AV9" s="380" t="n">
        <f aca="false">FC_CRONOGRAMA!AV58*SUP_CONTROL!$C$26</f>
        <v>0</v>
      </c>
      <c r="AW9" s="380" t="n">
        <f aca="false">FC_CRONOGRAMA!AW58*SUP_CONTROL!$C$26</f>
        <v>0</v>
      </c>
      <c r="AX9" s="380" t="n">
        <f aca="false">FC_CRONOGRAMA!AX58*SUP_CONTROL!$C$26</f>
        <v>0</v>
      </c>
      <c r="AY9" s="380" t="n">
        <f aca="false">FC_CRONOGRAMA!AY58*SUP_CONTROL!$C$26</f>
        <v>0</v>
      </c>
      <c r="AZ9" s="380" t="n">
        <f aca="false">FC_CRONOGRAMA!AZ58*SUP_CONTROL!$C$26</f>
        <v>0</v>
      </c>
      <c r="BA9" s="380" t="n">
        <f aca="false">FC_CRONOGRAMA!BA58*SUP_CONTROL!$C$26</f>
        <v>0</v>
      </c>
      <c r="BB9" s="380" t="n">
        <f aca="false">FC_CRONOGRAMA!BB58*SUP_CONTROL!$C$26</f>
        <v>0</v>
      </c>
      <c r="BC9" s="380" t="n">
        <f aca="false">FC_CRONOGRAMA!BC58*SUP_CONTROL!$C$26</f>
        <v>0</v>
      </c>
      <c r="BD9" s="380" t="n">
        <f aca="false">FC_CRONOGRAMA!BD58*SUP_CONTROL!$C$26</f>
        <v>0</v>
      </c>
      <c r="BE9" s="380" t="n">
        <f aca="false">FC_CRONOGRAMA!BE58*SUP_CONTROL!$C$26</f>
        <v>0</v>
      </c>
      <c r="BF9" s="380" t="n">
        <f aca="false">FC_CRONOGRAMA!BF58*SUP_CONTROL!$C$26</f>
        <v>0</v>
      </c>
      <c r="BG9" s="380" t="n">
        <f aca="false">FC_CRONOGRAMA!BG58*SUP_CONTROL!$C$26</f>
        <v>0</v>
      </c>
      <c r="BH9" s="380" t="n">
        <f aca="false">FC_CRONOGRAMA!BH58*SUP_CONTROL!$C$26</f>
        <v>0</v>
      </c>
      <c r="BI9" s="380" t="n">
        <f aca="false">FC_CRONOGRAMA!BI58*SUP_CONTROL!$C$26</f>
        <v>0</v>
      </c>
      <c r="BJ9" s="380" t="n">
        <f aca="false">FC_CRONOGRAMA!BJ58*SUP_CONTROL!$C$26</f>
        <v>0</v>
      </c>
      <c r="BK9" s="380" t="n">
        <f aca="false">FC_CRONOGRAMA!BK58*SUP_CONTROL!$C$26</f>
        <v>0</v>
      </c>
    </row>
    <row r="10" customFormat="false" ht="15" hidden="false" customHeight="true" outlineLevel="0" collapsed="false">
      <c r="B10" s="297" t="s">
        <v>2911</v>
      </c>
      <c r="D10" s="380" t="n">
        <f aca="false">D9*SUP_CONTROL!$C$37</f>
        <v>0</v>
      </c>
      <c r="E10" s="380" t="n">
        <f aca="false">E9*SUP_CONTROL!$C$37</f>
        <v>0</v>
      </c>
      <c r="F10" s="380" t="n">
        <f aca="false">F9*SUP_CONTROL!$C$37</f>
        <v>0</v>
      </c>
      <c r="G10" s="380" t="n">
        <f aca="false">G9*SUP_CONTROL!$C$37</f>
        <v>0</v>
      </c>
      <c r="H10" s="380" t="n">
        <f aca="false">H9*SUP_CONTROL!$C$37</f>
        <v>0</v>
      </c>
      <c r="I10" s="380" t="n">
        <f aca="false">I9*SUP_CONTROL!$C$37</f>
        <v>0</v>
      </c>
      <c r="J10" s="380" t="n">
        <f aca="false">J9*SUP_CONTROL!$C$37</f>
        <v>0</v>
      </c>
      <c r="K10" s="380" t="n">
        <f aca="false">K9*SUP_CONTROL!$C$37</f>
        <v>0</v>
      </c>
      <c r="L10" s="380" t="n">
        <f aca="false">L9*SUP_CONTROL!$C$37</f>
        <v>0</v>
      </c>
      <c r="M10" s="380" t="n">
        <f aca="false">M9*SUP_CONTROL!$C$37</f>
        <v>0</v>
      </c>
      <c r="N10" s="380" t="n">
        <f aca="false">N9*SUP_CONTROL!$C$37</f>
        <v>0</v>
      </c>
      <c r="O10" s="380" t="n">
        <f aca="false">O9*SUP_CONTROL!$C$37</f>
        <v>0</v>
      </c>
      <c r="P10" s="380" t="n">
        <f aca="false">P9*SUP_CONTROL!$C$37</f>
        <v>0</v>
      </c>
      <c r="Q10" s="380" t="n">
        <f aca="false">Q9*SUP_CONTROL!$C$37</f>
        <v>0</v>
      </c>
      <c r="R10" s="380" t="n">
        <f aca="false">R9*SUP_CONTROL!$C$37</f>
        <v>0</v>
      </c>
      <c r="S10" s="380" t="n">
        <f aca="false">S9*SUP_CONTROL!$C$37</f>
        <v>0</v>
      </c>
      <c r="T10" s="380" t="n">
        <f aca="false">T9*SUP_CONTROL!$C$37</f>
        <v>0</v>
      </c>
      <c r="U10" s="380" t="n">
        <f aca="false">U9*SUP_CONTROL!$C$37</f>
        <v>0</v>
      </c>
      <c r="V10" s="380" t="n">
        <f aca="false">V9*SUP_CONTROL!$C$37</f>
        <v>0</v>
      </c>
      <c r="W10" s="380" t="n">
        <f aca="false">W9*SUP_CONTROL!$C$37</f>
        <v>0</v>
      </c>
      <c r="X10" s="380" t="n">
        <f aca="false">X9*SUP_CONTROL!$C$37</f>
        <v>0</v>
      </c>
      <c r="Y10" s="380" t="n">
        <f aca="false">Y9*SUP_CONTROL!$C$37</f>
        <v>0</v>
      </c>
      <c r="Z10" s="380" t="n">
        <f aca="false">Z9*SUP_CONTROL!$C$37</f>
        <v>0</v>
      </c>
      <c r="AA10" s="380" t="n">
        <f aca="false">AA9*SUP_CONTROL!$C$37</f>
        <v>0</v>
      </c>
      <c r="AB10" s="380" t="n">
        <f aca="false">AB9*SUP_CONTROL!$C$37</f>
        <v>0</v>
      </c>
      <c r="AC10" s="380" t="n">
        <f aca="false">AC9*SUP_CONTROL!$C$37</f>
        <v>0</v>
      </c>
      <c r="AD10" s="380" t="n">
        <f aca="false">AD9*SUP_CONTROL!$C$37</f>
        <v>0</v>
      </c>
      <c r="AE10" s="380" t="n">
        <f aca="false">AE9*SUP_CONTROL!$C$37</f>
        <v>0</v>
      </c>
      <c r="AF10" s="380" t="n">
        <f aca="false">AF9*SUP_CONTROL!$C$37</f>
        <v>0</v>
      </c>
      <c r="AG10" s="380" t="n">
        <f aca="false">AG9*SUP_CONTROL!$C$37</f>
        <v>0</v>
      </c>
      <c r="AH10" s="380" t="n">
        <f aca="false">AH9*SUP_CONTROL!$C$37</f>
        <v>0</v>
      </c>
      <c r="AI10" s="380" t="n">
        <f aca="false">AI9*SUP_CONTROL!$C$37</f>
        <v>0</v>
      </c>
      <c r="AJ10" s="380" t="n">
        <f aca="false">AJ9*SUP_CONTROL!$C$37</f>
        <v>0</v>
      </c>
      <c r="AK10" s="380" t="n">
        <f aca="false">AK9*SUP_CONTROL!$C$37</f>
        <v>0</v>
      </c>
      <c r="AL10" s="380" t="n">
        <f aca="false">AL9*SUP_CONTROL!$C$37</f>
        <v>0</v>
      </c>
      <c r="AM10" s="380" t="n">
        <f aca="false">AM9*SUP_CONTROL!$C$37</f>
        <v>0</v>
      </c>
      <c r="AN10" s="380" t="n">
        <f aca="false">AN9*SUP_CONTROL!$C$37</f>
        <v>0</v>
      </c>
      <c r="AO10" s="380" t="n">
        <f aca="false">AO9*SUP_CONTROL!$C$37</f>
        <v>0</v>
      </c>
      <c r="AP10" s="380" t="n">
        <f aca="false">AP9*SUP_CONTROL!$C$37</f>
        <v>0</v>
      </c>
      <c r="AQ10" s="380" t="n">
        <f aca="false">AQ9*SUP_CONTROL!$C$37</f>
        <v>0</v>
      </c>
      <c r="AR10" s="380" t="n">
        <f aca="false">AR9*SUP_CONTROL!$C$37</f>
        <v>0</v>
      </c>
      <c r="AS10" s="380" t="n">
        <f aca="false">AS9*SUP_CONTROL!$C$37</f>
        <v>0</v>
      </c>
      <c r="AT10" s="380" t="n">
        <f aca="false">AT9*SUP_CONTROL!$C$37</f>
        <v>0</v>
      </c>
      <c r="AU10" s="380" t="n">
        <f aca="false">AU9*SUP_CONTROL!$C$37</f>
        <v>0</v>
      </c>
      <c r="AV10" s="380" t="n">
        <f aca="false">AV9*SUP_CONTROL!$C$37</f>
        <v>0</v>
      </c>
      <c r="AW10" s="380" t="n">
        <f aca="false">AW9*SUP_CONTROL!$C$37</f>
        <v>0</v>
      </c>
      <c r="AX10" s="380" t="n">
        <f aca="false">AX9*SUP_CONTROL!$C$37</f>
        <v>0</v>
      </c>
      <c r="AY10" s="380" t="n">
        <f aca="false">AY9*SUP_CONTROL!$C$37</f>
        <v>0</v>
      </c>
      <c r="AZ10" s="380" t="n">
        <f aca="false">AZ9*SUP_CONTROL!$C$37</f>
        <v>0</v>
      </c>
      <c r="BA10" s="380" t="n">
        <f aca="false">BA9*SUP_CONTROL!$C$37</f>
        <v>0</v>
      </c>
      <c r="BB10" s="380" t="n">
        <f aca="false">BB9*SUP_CONTROL!$C$37</f>
        <v>0</v>
      </c>
      <c r="BC10" s="380" t="n">
        <f aca="false">BC9*SUP_CONTROL!$C$37</f>
        <v>0</v>
      </c>
      <c r="BD10" s="380" t="n">
        <f aca="false">BD9*SUP_CONTROL!$C$37</f>
        <v>0</v>
      </c>
      <c r="BE10" s="380" t="n">
        <f aca="false">BE9*SUP_CONTROL!$C$37</f>
        <v>0</v>
      </c>
      <c r="BF10" s="380" t="n">
        <f aca="false">BF9*SUP_CONTROL!$C$37</f>
        <v>0</v>
      </c>
      <c r="BG10" s="380" t="n">
        <f aca="false">BG9*SUP_CONTROL!$C$37</f>
        <v>0</v>
      </c>
      <c r="BH10" s="380" t="n">
        <f aca="false">BH9*SUP_CONTROL!$C$37</f>
        <v>0</v>
      </c>
      <c r="BI10" s="380" t="n">
        <f aca="false">BI9*SUP_CONTROL!$C$37</f>
        <v>0</v>
      </c>
      <c r="BJ10" s="380" t="n">
        <f aca="false">BJ9*SUP_CONTROL!$C$37</f>
        <v>0</v>
      </c>
      <c r="BK10" s="380" t="n">
        <f aca="false">BK9*SUP_CONTROL!$C$37</f>
        <v>0</v>
      </c>
    </row>
    <row r="11" customFormat="false" ht="15" hidden="false" customHeight="true" outlineLevel="0" collapsed="false">
      <c r="A11" s="218"/>
      <c r="B11" s="493" t="s">
        <v>2912</v>
      </c>
      <c r="C11" s="218"/>
      <c r="D11" s="494" t="n">
        <f aca="false">SUM(D8:D10)</f>
        <v>0</v>
      </c>
      <c r="E11" s="494" t="n">
        <f aca="false">SUM(E8:E10)</f>
        <v>0</v>
      </c>
      <c r="F11" s="494" t="n">
        <f aca="false">SUM(F8:F10)</f>
        <v>0</v>
      </c>
      <c r="G11" s="494" t="n">
        <f aca="false">SUM(G8:G10)</f>
        <v>0</v>
      </c>
      <c r="H11" s="494" t="n">
        <f aca="false">SUM(H8:H10)</f>
        <v>0</v>
      </c>
      <c r="I11" s="494" t="n">
        <f aca="false">SUM(I8:I10)</f>
        <v>0</v>
      </c>
      <c r="J11" s="494" t="n">
        <f aca="false">SUM(J8:J10)</f>
        <v>0</v>
      </c>
      <c r="K11" s="494" t="n">
        <f aca="false">SUM(K8:K10)</f>
        <v>0</v>
      </c>
      <c r="L11" s="494" t="n">
        <f aca="false">SUM(L8:L10)</f>
        <v>0</v>
      </c>
      <c r="M11" s="494" t="n">
        <f aca="false">SUM(M8:M10)</f>
        <v>75993.6651800203</v>
      </c>
      <c r="N11" s="494" t="n">
        <f aca="false">SUM(N8:N10)</f>
        <v>168271.687184331</v>
      </c>
      <c r="O11" s="494" t="n">
        <f aca="false">SUM(O8:O10)</f>
        <v>276834.066012931</v>
      </c>
      <c r="P11" s="494" t="n">
        <f aca="false">SUM(P8:P10)</f>
        <v>396795.494618535</v>
      </c>
      <c r="Q11" s="494" t="n">
        <f aca="false">SUM(Q8:Q10)</f>
        <v>530598.626524785</v>
      </c>
      <c r="R11" s="494" t="n">
        <f aca="false">SUM(R8:R10)</f>
        <v>570495.300744295</v>
      </c>
      <c r="S11" s="494" t="n">
        <f aca="false">SUM(S8:S10)</f>
        <v>591664.964615872</v>
      </c>
      <c r="T11" s="494" t="n">
        <f aca="false">SUM(T8:T10)</f>
        <v>591664.964615872</v>
      </c>
      <c r="U11" s="494" t="n">
        <f aca="false">SUM(U8:U10)</f>
        <v>591664.964615872</v>
      </c>
      <c r="V11" s="494" t="n">
        <f aca="false">SUM(V8:V10)</f>
        <v>591664.964615872</v>
      </c>
      <c r="W11" s="494" t="n">
        <f aca="false">SUM(W8:W10)</f>
        <v>591664.964615872</v>
      </c>
      <c r="X11" s="494" t="n">
        <f aca="false">SUM(X8:X10)</f>
        <v>591664.964615872</v>
      </c>
      <c r="Y11" s="494" t="n">
        <f aca="false">SUM(Y8:Y10)</f>
        <v>591664.964615872</v>
      </c>
      <c r="Z11" s="494" t="n">
        <f aca="false">SUM(Z8:Z10)</f>
        <v>591664.964615872</v>
      </c>
      <c r="AA11" s="494" t="n">
        <f aca="false">SUM(AA8:AA10)</f>
        <v>591664.964615872</v>
      </c>
      <c r="AB11" s="494" t="n">
        <f aca="false">SUM(AB8:AB10)</f>
        <v>591664.964615872</v>
      </c>
      <c r="AC11" s="494" t="n">
        <f aca="false">SUM(AC8:AC10)</f>
        <v>591664.964615872</v>
      </c>
      <c r="AD11" s="494" t="n">
        <f aca="false">SUM(AD8:AD10)</f>
        <v>591664.964615872</v>
      </c>
      <c r="AE11" s="494" t="n">
        <f aca="false">SUM(AE8:AE10)</f>
        <v>591664.964615872</v>
      </c>
      <c r="AF11" s="494" t="n">
        <f aca="false">SUM(AF8:AF10)</f>
        <v>591664.964615872</v>
      </c>
      <c r="AG11" s="494" t="n">
        <f aca="false">SUM(AG8:AG10)</f>
        <v>591664.964615872</v>
      </c>
      <c r="AH11" s="494" t="n">
        <f aca="false">SUM(AH8:AH10)</f>
        <v>591664.964615872</v>
      </c>
      <c r="AI11" s="494" t="n">
        <f aca="false">SUM(AI8:AI10)</f>
        <v>591664.964615872</v>
      </c>
      <c r="AJ11" s="494" t="n">
        <f aca="false">SUM(AJ8:AJ10)</f>
        <v>591664.964615872</v>
      </c>
      <c r="AK11" s="494" t="n">
        <f aca="false">SUM(AK8:AK10)</f>
        <v>591664.964615872</v>
      </c>
      <c r="AL11" s="494" t="n">
        <f aca="false">SUM(AL8:AL10)</f>
        <v>591664.964615872</v>
      </c>
      <c r="AM11" s="494" t="n">
        <f aca="false">SUM(AM8:AM10)</f>
        <v>591664.964615872</v>
      </c>
      <c r="AN11" s="494" t="n">
        <f aca="false">SUM(AN8:AN10)</f>
        <v>591664.964615872</v>
      </c>
      <c r="AO11" s="494" t="n">
        <f aca="false">SUM(AO8:AO10)</f>
        <v>591664.964615872</v>
      </c>
      <c r="AP11" s="494" t="n">
        <f aca="false">SUM(AP8:AP10)</f>
        <v>591664.964615872</v>
      </c>
      <c r="AQ11" s="494" t="n">
        <f aca="false">SUM(AQ8:AQ10)</f>
        <v>591664.964615872</v>
      </c>
      <c r="AR11" s="494" t="n">
        <f aca="false">SUM(AR8:AR10)</f>
        <v>591664.964615872</v>
      </c>
      <c r="AS11" s="494" t="n">
        <f aca="false">SUM(AS8:AS10)</f>
        <v>591664.964615872</v>
      </c>
      <c r="AT11" s="494" t="n">
        <f aca="false">SUM(AT8:AT10)</f>
        <v>591664.964615872</v>
      </c>
      <c r="AU11" s="494" t="n">
        <f aca="false">SUM(AU8:AU10)</f>
        <v>591664.964615872</v>
      </c>
      <c r="AV11" s="494" t="n">
        <f aca="false">SUM(AV8:AV10)</f>
        <v>591664.964615872</v>
      </c>
      <c r="AW11" s="494" t="n">
        <f aca="false">SUM(AW8:AW10)</f>
        <v>591664.964615872</v>
      </c>
      <c r="AX11" s="494" t="n">
        <f aca="false">SUM(AX8:AX10)</f>
        <v>591664.964615872</v>
      </c>
      <c r="AY11" s="494" t="n">
        <f aca="false">SUM(AY8:AY10)</f>
        <v>591664.964615872</v>
      </c>
      <c r="AZ11" s="494" t="n">
        <f aca="false">SUM(AZ8:AZ10)</f>
        <v>591664.964615872</v>
      </c>
      <c r="BA11" s="494" t="n">
        <f aca="false">SUM(BA8:BA10)</f>
        <v>591664.964615872</v>
      </c>
      <c r="BB11" s="494" t="n">
        <f aca="false">SUM(BB8:BB10)</f>
        <v>591664.964615872</v>
      </c>
      <c r="BC11" s="494" t="n">
        <f aca="false">SUM(BC8:BC10)</f>
        <v>591664.964615872</v>
      </c>
      <c r="BD11" s="494" t="n">
        <f aca="false">SUM(BD8:BD10)</f>
        <v>591664.964615872</v>
      </c>
      <c r="BE11" s="494" t="n">
        <f aca="false">SUM(BE8:BE10)</f>
        <v>591664.964615872</v>
      </c>
      <c r="BF11" s="494" t="n">
        <f aca="false">SUM(BF8:BF10)</f>
        <v>591664.964615872</v>
      </c>
      <c r="BG11" s="494" t="n">
        <f aca="false">SUM(BG8:BG10)</f>
        <v>591664.964615872</v>
      </c>
      <c r="BH11" s="494" t="n">
        <f aca="false">SUM(BH8:BH10)</f>
        <v>591664.964615872</v>
      </c>
      <c r="BI11" s="494" t="n">
        <f aca="false">SUM(BI8:BI10)</f>
        <v>591664.964615872</v>
      </c>
      <c r="BJ11" s="494" t="n">
        <f aca="false">SUM(BJ8:BJ10)</f>
        <v>591664.964615872</v>
      </c>
      <c r="BK11" s="494" t="n">
        <f aca="false">SUM(BK8:BK10)</f>
        <v>591664.964615872</v>
      </c>
    </row>
    <row r="12" customFormat="false" ht="15" hidden="false" customHeight="true" outlineLevel="0" collapsed="false">
      <c r="B12" s="297" t="s">
        <v>2913</v>
      </c>
      <c r="D12" s="495" t="n">
        <f aca="false">D11*FC_SUPUESTOS!$C$60/30</f>
        <v>0</v>
      </c>
      <c r="E12" s="495" t="n">
        <f aca="false">E11*FC_SUPUESTOS!$C$60/30</f>
        <v>0</v>
      </c>
      <c r="F12" s="495" t="n">
        <f aca="false">F11*FC_SUPUESTOS!$C$60/30</f>
        <v>0</v>
      </c>
      <c r="G12" s="495" t="n">
        <f aca="false">G11*FC_SUPUESTOS!$C$60/30</f>
        <v>0</v>
      </c>
      <c r="H12" s="495" t="n">
        <f aca="false">H11*FC_SUPUESTOS!$C$60/30</f>
        <v>0</v>
      </c>
      <c r="I12" s="495" t="n">
        <f aca="false">I11*FC_SUPUESTOS!$C$60/30</f>
        <v>0</v>
      </c>
      <c r="J12" s="495" t="n">
        <f aca="false">J11*FC_SUPUESTOS!$C$60/30</f>
        <v>0</v>
      </c>
      <c r="K12" s="495" t="n">
        <f aca="false">K11*FC_SUPUESTOS!$C$60/30</f>
        <v>0</v>
      </c>
      <c r="L12" s="495" t="n">
        <f aca="false">L11*FC_SUPUESTOS!$C$60/30</f>
        <v>0</v>
      </c>
      <c r="M12" s="495" t="n">
        <f aca="false">M11*FC_SUPUESTOS!$C$60/30</f>
        <v>5066.24434533469</v>
      </c>
      <c r="N12" s="495" t="n">
        <f aca="false">N11*FC_SUPUESTOS!$C$60/30</f>
        <v>11218.1124789554</v>
      </c>
      <c r="O12" s="495" t="n">
        <f aca="false">O11*FC_SUPUESTOS!$C$60/30</f>
        <v>18455.6044008621</v>
      </c>
      <c r="P12" s="495" t="n">
        <f aca="false">P11*FC_SUPUESTOS!$C$60/30</f>
        <v>26453.032974569</v>
      </c>
      <c r="Q12" s="495" t="n">
        <f aca="false">Q11*FC_SUPUESTOS!$C$60/30</f>
        <v>35373.241768319</v>
      </c>
      <c r="R12" s="495" t="n">
        <f aca="false">R11*FC_SUPUESTOS!$C$60/30</f>
        <v>38033.0200496197</v>
      </c>
      <c r="S12" s="495" t="n">
        <f aca="false">S11*FC_SUPUESTOS!$C$60/30</f>
        <v>39444.3309743915</v>
      </c>
      <c r="T12" s="495" t="n">
        <f aca="false">T11*FC_SUPUESTOS!$C$60/30</f>
        <v>39444.3309743915</v>
      </c>
      <c r="U12" s="495" t="n">
        <f aca="false">U11*FC_SUPUESTOS!$C$60/30</f>
        <v>39444.3309743915</v>
      </c>
      <c r="V12" s="495" t="n">
        <f aca="false">V11*FC_SUPUESTOS!$C$60/30</f>
        <v>39444.3309743915</v>
      </c>
      <c r="W12" s="495" t="n">
        <f aca="false">W11*FC_SUPUESTOS!$C$60/30</f>
        <v>39444.3309743915</v>
      </c>
      <c r="X12" s="495" t="n">
        <f aca="false">X11*FC_SUPUESTOS!$C$60/30</f>
        <v>39444.3309743915</v>
      </c>
      <c r="Y12" s="495" t="n">
        <f aca="false">Y11*FC_SUPUESTOS!$C$60/30</f>
        <v>39444.3309743915</v>
      </c>
      <c r="Z12" s="495" t="n">
        <f aca="false">Z11*FC_SUPUESTOS!$C$60/30</f>
        <v>39444.3309743915</v>
      </c>
      <c r="AA12" s="495" t="n">
        <f aca="false">AA11*FC_SUPUESTOS!$C$60/30</f>
        <v>39444.3309743915</v>
      </c>
      <c r="AB12" s="495" t="n">
        <f aca="false">AB11*FC_SUPUESTOS!$C$60/30</f>
        <v>39444.3309743915</v>
      </c>
      <c r="AC12" s="495" t="n">
        <f aca="false">AC11*FC_SUPUESTOS!$C$60/30</f>
        <v>39444.3309743915</v>
      </c>
      <c r="AD12" s="495" t="n">
        <f aca="false">AD11*FC_SUPUESTOS!$C$60/30</f>
        <v>39444.3309743915</v>
      </c>
      <c r="AE12" s="495" t="n">
        <f aca="false">AE11*FC_SUPUESTOS!$C$60/30</f>
        <v>39444.3309743915</v>
      </c>
      <c r="AF12" s="495" t="n">
        <f aca="false">AF11*FC_SUPUESTOS!$C$60/30</f>
        <v>39444.3309743915</v>
      </c>
      <c r="AG12" s="495" t="n">
        <f aca="false">AG11*FC_SUPUESTOS!$C$60/30</f>
        <v>39444.3309743915</v>
      </c>
      <c r="AH12" s="495" t="n">
        <f aca="false">AH11*FC_SUPUESTOS!$C$60/30</f>
        <v>39444.3309743915</v>
      </c>
      <c r="AI12" s="495" t="n">
        <f aca="false">AI11*FC_SUPUESTOS!$C$60/30</f>
        <v>39444.3309743915</v>
      </c>
      <c r="AJ12" s="495" t="n">
        <f aca="false">AJ11*FC_SUPUESTOS!$C$60/30</f>
        <v>39444.3309743915</v>
      </c>
      <c r="AK12" s="495" t="n">
        <f aca="false">AK11*FC_SUPUESTOS!$C$60/30</f>
        <v>39444.3309743915</v>
      </c>
      <c r="AL12" s="495" t="n">
        <f aca="false">AL11*FC_SUPUESTOS!$C$60/30</f>
        <v>39444.3309743915</v>
      </c>
      <c r="AM12" s="495" t="n">
        <f aca="false">AM11*FC_SUPUESTOS!$C$60/30</f>
        <v>39444.3309743915</v>
      </c>
      <c r="AN12" s="495" t="n">
        <f aca="false">AN11*FC_SUPUESTOS!$C$60/30</f>
        <v>39444.3309743915</v>
      </c>
      <c r="AO12" s="495" t="n">
        <f aca="false">AO11*FC_SUPUESTOS!$C$60/30</f>
        <v>39444.3309743915</v>
      </c>
      <c r="AP12" s="495" t="n">
        <f aca="false">AP11*FC_SUPUESTOS!$C$60/30</f>
        <v>39444.3309743915</v>
      </c>
      <c r="AQ12" s="495" t="n">
        <f aca="false">AQ11*FC_SUPUESTOS!$C$60/30</f>
        <v>39444.3309743915</v>
      </c>
      <c r="AR12" s="495" t="n">
        <f aca="false">AR11*FC_SUPUESTOS!$C$60/30</f>
        <v>39444.3309743915</v>
      </c>
      <c r="AS12" s="495" t="n">
        <f aca="false">AS11*FC_SUPUESTOS!$C$60/30</f>
        <v>39444.3309743915</v>
      </c>
      <c r="AT12" s="495" t="n">
        <f aca="false">AT11*FC_SUPUESTOS!$C$60/30</f>
        <v>39444.3309743915</v>
      </c>
      <c r="AU12" s="495" t="n">
        <f aca="false">AU11*FC_SUPUESTOS!$C$60/30</f>
        <v>39444.3309743915</v>
      </c>
      <c r="AV12" s="495" t="n">
        <f aca="false">AV11*FC_SUPUESTOS!$C$60/30</f>
        <v>39444.3309743915</v>
      </c>
      <c r="AW12" s="495" t="n">
        <f aca="false">AW11*FC_SUPUESTOS!$C$60/30</f>
        <v>39444.3309743915</v>
      </c>
      <c r="AX12" s="495" t="n">
        <f aca="false">AX11*FC_SUPUESTOS!$C$60/30</f>
        <v>39444.3309743915</v>
      </c>
      <c r="AY12" s="495" t="n">
        <f aca="false">AY11*FC_SUPUESTOS!$C$60/30</f>
        <v>39444.3309743915</v>
      </c>
      <c r="AZ12" s="495" t="n">
        <f aca="false">AZ11*FC_SUPUESTOS!$C$60/30</f>
        <v>39444.3309743915</v>
      </c>
      <c r="BA12" s="495" t="n">
        <f aca="false">BA11*FC_SUPUESTOS!$C$60/30</f>
        <v>39444.3309743915</v>
      </c>
      <c r="BB12" s="495" t="n">
        <f aca="false">BB11*FC_SUPUESTOS!$C$60/30</f>
        <v>39444.3309743915</v>
      </c>
      <c r="BC12" s="495" t="n">
        <f aca="false">BC11*FC_SUPUESTOS!$C$60/30</f>
        <v>39444.3309743915</v>
      </c>
      <c r="BD12" s="495" t="n">
        <f aca="false">BD11*FC_SUPUESTOS!$C$60/30</f>
        <v>39444.3309743915</v>
      </c>
      <c r="BE12" s="495" t="n">
        <f aca="false">BE11*FC_SUPUESTOS!$C$60/30</f>
        <v>39444.3309743915</v>
      </c>
      <c r="BF12" s="495" t="n">
        <f aca="false">BF11*FC_SUPUESTOS!$C$60/30</f>
        <v>39444.3309743915</v>
      </c>
      <c r="BG12" s="495" t="n">
        <f aca="false">BG11*FC_SUPUESTOS!$C$60/30</f>
        <v>39444.3309743915</v>
      </c>
      <c r="BH12" s="495" t="n">
        <f aca="false">BH11*FC_SUPUESTOS!$C$60/30</f>
        <v>39444.3309743915</v>
      </c>
      <c r="BI12" s="495" t="n">
        <f aca="false">BI11*FC_SUPUESTOS!$C$60/30</f>
        <v>39444.3309743915</v>
      </c>
      <c r="BJ12" s="495" t="n">
        <f aca="false">BJ11*FC_SUPUESTOS!$C$60/30</f>
        <v>39444.3309743915</v>
      </c>
      <c r="BK12" s="495" t="n">
        <f aca="false">BK11*FC_SUPUESTOS!$C$60/30</f>
        <v>39444.3309743915</v>
      </c>
    </row>
    <row r="13" customFormat="false" ht="15" hidden="false" customHeight="true" outlineLevel="0" collapsed="false">
      <c r="B13" s="297" t="s">
        <v>2914</v>
      </c>
      <c r="D13" s="380" t="n">
        <f aca="false">-D12</f>
        <v>-0</v>
      </c>
      <c r="E13" s="380" t="n">
        <f aca="false">-(E12-D12)</f>
        <v>-0</v>
      </c>
      <c r="F13" s="380" t="n">
        <f aca="false">-(F12-E12)</f>
        <v>-0</v>
      </c>
      <c r="G13" s="380" t="n">
        <f aca="false">-(G12-F12)</f>
        <v>-0</v>
      </c>
      <c r="H13" s="380" t="n">
        <f aca="false">-(H12-G12)</f>
        <v>-0</v>
      </c>
      <c r="I13" s="380" t="n">
        <f aca="false">-(I12-H12)</f>
        <v>-0</v>
      </c>
      <c r="J13" s="380" t="n">
        <f aca="false">-(J12-I12)</f>
        <v>-0</v>
      </c>
      <c r="K13" s="380" t="n">
        <f aca="false">-(K12-J12)</f>
        <v>-0</v>
      </c>
      <c r="L13" s="380" t="n">
        <f aca="false">-(L12-K12)</f>
        <v>-0</v>
      </c>
      <c r="M13" s="380" t="n">
        <f aca="false">-(M12-L12)</f>
        <v>-5066.24434533469</v>
      </c>
      <c r="N13" s="380" t="n">
        <f aca="false">-(N12-M12)</f>
        <v>-6151.86813362069</v>
      </c>
      <c r="O13" s="380" t="n">
        <f aca="false">-(O12-N12)</f>
        <v>-7237.4919219067</v>
      </c>
      <c r="P13" s="380" t="n">
        <f aca="false">-(P12-O12)</f>
        <v>-7997.4285737069</v>
      </c>
      <c r="Q13" s="380" t="n">
        <f aca="false">-(Q12-P12)</f>
        <v>-8920.20879374999</v>
      </c>
      <c r="R13" s="380" t="n">
        <f aca="false">-(R12-Q12)</f>
        <v>-2659.77828130072</v>
      </c>
      <c r="S13" s="380" t="n">
        <f aca="false">-(S12-R12)</f>
        <v>-1411.31092477179</v>
      </c>
      <c r="T13" s="380" t="n">
        <f aca="false">-(T12-S12)</f>
        <v>-0</v>
      </c>
      <c r="U13" s="380" t="n">
        <f aca="false">-(U12-T12)</f>
        <v>-0</v>
      </c>
      <c r="V13" s="380" t="n">
        <f aca="false">-(V12-U12)</f>
        <v>-0</v>
      </c>
      <c r="W13" s="380" t="n">
        <f aca="false">-(W12-V12)</f>
        <v>-0</v>
      </c>
      <c r="X13" s="380" t="n">
        <f aca="false">-(X12-W12)</f>
        <v>-0</v>
      </c>
      <c r="Y13" s="380" t="n">
        <f aca="false">-(Y12-X12)</f>
        <v>-0</v>
      </c>
      <c r="Z13" s="380" t="n">
        <f aca="false">-(Z12-Y12)</f>
        <v>-0</v>
      </c>
      <c r="AA13" s="380" t="n">
        <f aca="false">-(AA12-Z12)</f>
        <v>-0</v>
      </c>
      <c r="AB13" s="380" t="n">
        <f aca="false">-(AB12-AA12)</f>
        <v>-0</v>
      </c>
      <c r="AC13" s="380" t="n">
        <f aca="false">-(AC12-AB12)</f>
        <v>-0</v>
      </c>
      <c r="AD13" s="380" t="n">
        <f aca="false">-(AD12-AC12)</f>
        <v>-0</v>
      </c>
      <c r="AE13" s="380" t="n">
        <f aca="false">-(AE12-AD12)</f>
        <v>-0</v>
      </c>
      <c r="AF13" s="380" t="n">
        <f aca="false">-(AF12-AE12)</f>
        <v>-0</v>
      </c>
      <c r="AG13" s="380" t="n">
        <f aca="false">-(AG12-AF12)</f>
        <v>-0</v>
      </c>
      <c r="AH13" s="380" t="n">
        <f aca="false">-(AH12-AG12)</f>
        <v>-0</v>
      </c>
      <c r="AI13" s="380" t="n">
        <f aca="false">-(AI12-AH12)</f>
        <v>-0</v>
      </c>
      <c r="AJ13" s="380" t="n">
        <f aca="false">-(AJ12-AI12)</f>
        <v>-0</v>
      </c>
      <c r="AK13" s="380" t="n">
        <f aca="false">-(AK12-AJ12)</f>
        <v>-0</v>
      </c>
      <c r="AL13" s="380" t="n">
        <f aca="false">-(AL12-AK12)</f>
        <v>-0</v>
      </c>
      <c r="AM13" s="380" t="n">
        <f aca="false">-(AM12-AL12)</f>
        <v>-0</v>
      </c>
      <c r="AN13" s="380" t="n">
        <f aca="false">-(AN12-AM12)</f>
        <v>-0</v>
      </c>
      <c r="AO13" s="380" t="n">
        <f aca="false">-(AO12-AN12)</f>
        <v>-0</v>
      </c>
      <c r="AP13" s="380" t="n">
        <f aca="false">-(AP12-AO12)</f>
        <v>-0</v>
      </c>
      <c r="AQ13" s="380" t="n">
        <f aca="false">-(AQ12-AP12)</f>
        <v>-0</v>
      </c>
      <c r="AR13" s="380" t="n">
        <f aca="false">-(AR12-AQ12)</f>
        <v>-0</v>
      </c>
      <c r="AS13" s="380" t="n">
        <f aca="false">-(AS12-AR12)</f>
        <v>-0</v>
      </c>
      <c r="AT13" s="380" t="n">
        <f aca="false">-(AT12-AS12)</f>
        <v>-0</v>
      </c>
      <c r="AU13" s="380" t="n">
        <f aca="false">-(AU12-AT12)</f>
        <v>-0</v>
      </c>
      <c r="AV13" s="380" t="n">
        <f aca="false">-(AV12-AU12)</f>
        <v>-0</v>
      </c>
      <c r="AW13" s="380" t="n">
        <f aca="false">-(AW12-AV12)</f>
        <v>-0</v>
      </c>
      <c r="AX13" s="380" t="n">
        <f aca="false">-(AX12-AW12)</f>
        <v>-0</v>
      </c>
      <c r="AY13" s="380" t="n">
        <f aca="false">-(AY12-AX12)</f>
        <v>-0</v>
      </c>
      <c r="AZ13" s="380" t="n">
        <f aca="false">-(AZ12-AY12)</f>
        <v>-0</v>
      </c>
      <c r="BA13" s="380" t="n">
        <f aca="false">-(BA12-AZ12)</f>
        <v>-0</v>
      </c>
      <c r="BB13" s="380" t="n">
        <f aca="false">-(BB12-BA12)</f>
        <v>-0</v>
      </c>
      <c r="BC13" s="380" t="n">
        <f aca="false">-(BC12-BB12)</f>
        <v>-0</v>
      </c>
      <c r="BD13" s="380" t="n">
        <f aca="false">-(BD12-BC12)</f>
        <v>-0</v>
      </c>
      <c r="BE13" s="380" t="n">
        <f aca="false">-(BE12-BD12)</f>
        <v>-0</v>
      </c>
      <c r="BF13" s="380" t="n">
        <f aca="false">-(BF12-BE12)</f>
        <v>-0</v>
      </c>
      <c r="BG13" s="380" t="n">
        <f aca="false">-(BG12-BF12)</f>
        <v>-0</v>
      </c>
      <c r="BH13" s="380" t="n">
        <f aca="false">-(BH12-BG12)</f>
        <v>-0</v>
      </c>
      <c r="BI13" s="380" t="n">
        <f aca="false">-(BI12-BH12)</f>
        <v>-0</v>
      </c>
      <c r="BJ13" s="380" t="n">
        <f aca="false">-(BJ12-BI12)</f>
        <v>-0</v>
      </c>
      <c r="BK13" s="380" t="n">
        <f aca="false">-(BK12-BJ12)</f>
        <v>-0</v>
      </c>
    </row>
    <row r="14" customFormat="false" ht="15" hidden="false" customHeight="true" outlineLevel="0" collapsed="false">
      <c r="A14" s="218"/>
      <c r="B14" s="493" t="s">
        <v>2915</v>
      </c>
      <c r="C14" s="218"/>
      <c r="D14" s="494" t="n">
        <f aca="false">D11+D13</f>
        <v>0</v>
      </c>
      <c r="E14" s="494" t="n">
        <f aca="false">E11+E13</f>
        <v>0</v>
      </c>
      <c r="F14" s="494" t="n">
        <f aca="false">F11+F13</f>
        <v>0</v>
      </c>
      <c r="G14" s="494" t="n">
        <f aca="false">G11+G13</f>
        <v>0</v>
      </c>
      <c r="H14" s="494" t="n">
        <f aca="false">H11+H13</f>
        <v>0</v>
      </c>
      <c r="I14" s="494" t="n">
        <f aca="false">I11+I13</f>
        <v>0</v>
      </c>
      <c r="J14" s="494" t="n">
        <f aca="false">J11+J13</f>
        <v>0</v>
      </c>
      <c r="K14" s="494" t="n">
        <f aca="false">K11+K13</f>
        <v>0</v>
      </c>
      <c r="L14" s="494" t="n">
        <f aca="false">L11+L13</f>
        <v>0</v>
      </c>
      <c r="M14" s="494" t="n">
        <f aca="false">M11+M13</f>
        <v>70927.4208346856</v>
      </c>
      <c r="N14" s="494" t="n">
        <f aca="false">N11+N13</f>
        <v>162119.81905071</v>
      </c>
      <c r="O14" s="494" t="n">
        <f aca="false">O11+O13</f>
        <v>269596.574091024</v>
      </c>
      <c r="P14" s="494" t="n">
        <f aca="false">P11+P13</f>
        <v>388798.066044828</v>
      </c>
      <c r="Q14" s="494" t="n">
        <f aca="false">Q11+Q13</f>
        <v>521678.417731035</v>
      </c>
      <c r="R14" s="494" t="n">
        <f aca="false">R11+R13</f>
        <v>567835.522462995</v>
      </c>
      <c r="S14" s="494" t="n">
        <f aca="false">S11+S13</f>
        <v>590253.6536911</v>
      </c>
      <c r="T14" s="494" t="n">
        <f aca="false">T11+T13</f>
        <v>591664.964615872</v>
      </c>
      <c r="U14" s="494" t="n">
        <f aca="false">U11+U13</f>
        <v>591664.964615872</v>
      </c>
      <c r="V14" s="494" t="n">
        <f aca="false">V11+V13</f>
        <v>591664.964615872</v>
      </c>
      <c r="W14" s="494" t="n">
        <f aca="false">W11+W13</f>
        <v>591664.964615872</v>
      </c>
      <c r="X14" s="494" t="n">
        <f aca="false">X11+X13</f>
        <v>591664.964615872</v>
      </c>
      <c r="Y14" s="494" t="n">
        <f aca="false">Y11+Y13</f>
        <v>591664.964615872</v>
      </c>
      <c r="Z14" s="494" t="n">
        <f aca="false">Z11+Z13</f>
        <v>591664.964615872</v>
      </c>
      <c r="AA14" s="494" t="n">
        <f aca="false">AA11+AA13</f>
        <v>591664.964615872</v>
      </c>
      <c r="AB14" s="494" t="n">
        <f aca="false">AB11+AB13</f>
        <v>591664.964615872</v>
      </c>
      <c r="AC14" s="494" t="n">
        <f aca="false">AC11+AC13</f>
        <v>591664.964615872</v>
      </c>
      <c r="AD14" s="494" t="n">
        <f aca="false">AD11+AD13</f>
        <v>591664.964615872</v>
      </c>
      <c r="AE14" s="494" t="n">
        <f aca="false">AE11+AE13</f>
        <v>591664.964615872</v>
      </c>
      <c r="AF14" s="494" t="n">
        <f aca="false">AF11+AF13</f>
        <v>591664.964615872</v>
      </c>
      <c r="AG14" s="494" t="n">
        <f aca="false">AG11+AG13</f>
        <v>591664.964615872</v>
      </c>
      <c r="AH14" s="494" t="n">
        <f aca="false">AH11+AH13</f>
        <v>591664.964615872</v>
      </c>
      <c r="AI14" s="494" t="n">
        <f aca="false">AI11+AI13</f>
        <v>591664.964615872</v>
      </c>
      <c r="AJ14" s="494" t="n">
        <f aca="false">AJ11+AJ13</f>
        <v>591664.964615872</v>
      </c>
      <c r="AK14" s="494" t="n">
        <f aca="false">AK11+AK13</f>
        <v>591664.964615872</v>
      </c>
      <c r="AL14" s="494" t="n">
        <f aca="false">AL11+AL13</f>
        <v>591664.964615872</v>
      </c>
      <c r="AM14" s="494" t="n">
        <f aca="false">AM11+AM13</f>
        <v>591664.964615872</v>
      </c>
      <c r="AN14" s="494" t="n">
        <f aca="false">AN11+AN13</f>
        <v>591664.964615872</v>
      </c>
      <c r="AO14" s="494" t="n">
        <f aca="false">AO11+AO13</f>
        <v>591664.964615872</v>
      </c>
      <c r="AP14" s="494" t="n">
        <f aca="false">AP11+AP13</f>
        <v>591664.964615872</v>
      </c>
      <c r="AQ14" s="494" t="n">
        <f aca="false">AQ11+AQ13</f>
        <v>591664.964615872</v>
      </c>
      <c r="AR14" s="494" t="n">
        <f aca="false">AR11+AR13</f>
        <v>591664.964615872</v>
      </c>
      <c r="AS14" s="494" t="n">
        <f aca="false">AS11+AS13</f>
        <v>591664.964615872</v>
      </c>
      <c r="AT14" s="494" t="n">
        <f aca="false">AT11+AT13</f>
        <v>591664.964615872</v>
      </c>
      <c r="AU14" s="494" t="n">
        <f aca="false">AU11+AU13</f>
        <v>591664.964615872</v>
      </c>
      <c r="AV14" s="494" t="n">
        <f aca="false">AV11+AV13</f>
        <v>591664.964615872</v>
      </c>
      <c r="AW14" s="494" t="n">
        <f aca="false">AW11+AW13</f>
        <v>591664.964615872</v>
      </c>
      <c r="AX14" s="494" t="n">
        <f aca="false">AX11+AX13</f>
        <v>591664.964615872</v>
      </c>
      <c r="AY14" s="494" t="n">
        <f aca="false">AY11+AY13</f>
        <v>591664.964615872</v>
      </c>
      <c r="AZ14" s="494" t="n">
        <f aca="false">AZ11+AZ13</f>
        <v>591664.964615872</v>
      </c>
      <c r="BA14" s="494" t="n">
        <f aca="false">BA11+BA13</f>
        <v>591664.964615872</v>
      </c>
      <c r="BB14" s="494" t="n">
        <f aca="false">BB11+BB13</f>
        <v>591664.964615872</v>
      </c>
      <c r="BC14" s="494" t="n">
        <f aca="false">BC11+BC13</f>
        <v>591664.964615872</v>
      </c>
      <c r="BD14" s="494" t="n">
        <f aca="false">BD11+BD13</f>
        <v>591664.964615872</v>
      </c>
      <c r="BE14" s="494" t="n">
        <f aca="false">BE11+BE13</f>
        <v>591664.964615872</v>
      </c>
      <c r="BF14" s="494" t="n">
        <f aca="false">BF11+BF13</f>
        <v>591664.964615872</v>
      </c>
      <c r="BG14" s="494" t="n">
        <f aca="false">BG11+BG13</f>
        <v>591664.964615872</v>
      </c>
      <c r="BH14" s="494" t="n">
        <f aca="false">BH11+BH13</f>
        <v>591664.964615872</v>
      </c>
      <c r="BI14" s="494" t="n">
        <f aca="false">BI11+BI13</f>
        <v>591664.964615872</v>
      </c>
      <c r="BJ14" s="494" t="n">
        <f aca="false">BJ11+BJ13</f>
        <v>591664.964615872</v>
      </c>
      <c r="BK14" s="494" t="n">
        <f aca="false">BK11+BK13</f>
        <v>591664.964615872</v>
      </c>
    </row>
    <row r="16" customFormat="false" ht="15" hidden="false" customHeight="true" outlineLevel="0" collapsed="false">
      <c r="A16" s="351" t="s">
        <v>2916</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row>
    <row r="17" customFormat="false" ht="15" hidden="false" customHeight="true" outlineLevel="0" collapsed="false">
      <c r="B17" s="297" t="s">
        <v>2917</v>
      </c>
      <c r="D17" s="380" t="n">
        <f aca="false">(FC_CRONOGRAMA!D57+FC_CRONOGRAMA!D58)*(SUP_CONTROL!$C$26-SUP_CONTROL!$C$27)+D10*(1-SUP_CONTROL!$C$38)</f>
        <v>0</v>
      </c>
      <c r="E17" s="380" t="n">
        <f aca="false">(FC_CRONOGRAMA!E57+FC_CRONOGRAMA!E58)*(SUP_CONTROL!$C$26-SUP_CONTROL!$C$27)+E10*(1-SUP_CONTROL!$C$38)</f>
        <v>0</v>
      </c>
      <c r="F17" s="380" t="n">
        <f aca="false">(FC_CRONOGRAMA!F57+FC_CRONOGRAMA!F58)*(SUP_CONTROL!$C$26-SUP_CONTROL!$C$27)+F10*(1-SUP_CONTROL!$C$38)</f>
        <v>0</v>
      </c>
      <c r="G17" s="380" t="n">
        <f aca="false">(FC_CRONOGRAMA!G57+FC_CRONOGRAMA!G58)*(SUP_CONTROL!$C$26-SUP_CONTROL!$C$27)+G10*(1-SUP_CONTROL!$C$38)</f>
        <v>0</v>
      </c>
      <c r="H17" s="380" t="n">
        <f aca="false">(FC_CRONOGRAMA!H57+FC_CRONOGRAMA!H58)*(SUP_CONTROL!$C$26-SUP_CONTROL!$C$27)+H10*(1-SUP_CONTROL!$C$38)</f>
        <v>0</v>
      </c>
      <c r="I17" s="380" t="n">
        <f aca="false">(FC_CRONOGRAMA!I57+FC_CRONOGRAMA!I58)*(SUP_CONTROL!$C$26-SUP_CONTROL!$C$27)+I10*(1-SUP_CONTROL!$C$38)</f>
        <v>0</v>
      </c>
      <c r="J17" s="380" t="n">
        <f aca="false">(FC_CRONOGRAMA!J57+FC_CRONOGRAMA!J58)*(SUP_CONTROL!$C$26-SUP_CONTROL!$C$27)+J10*(1-SUP_CONTROL!$C$38)</f>
        <v>0</v>
      </c>
      <c r="K17" s="380" t="n">
        <f aca="false">(FC_CRONOGRAMA!K57+FC_CRONOGRAMA!K58)*(SUP_CONTROL!$C$26-SUP_CONTROL!$C$27)+K10*(1-SUP_CONTROL!$C$38)</f>
        <v>0</v>
      </c>
      <c r="L17" s="380" t="n">
        <f aca="false">(FC_CRONOGRAMA!L57+FC_CRONOGRAMA!L58)*(SUP_CONTROL!$C$26-SUP_CONTROL!$C$27)+L10*(1-SUP_CONTROL!$C$38)</f>
        <v>0</v>
      </c>
      <c r="M17" s="380" t="n">
        <f aca="false">(FC_CRONOGRAMA!M57+FC_CRONOGRAMA!M58)*(SUP_CONTROL!$C$26-SUP_CONTROL!$C$27)+M10*(1-SUP_CONTROL!$C$38)</f>
        <v>42571.5292438964</v>
      </c>
      <c r="N17" s="380" t="n">
        <f aca="false">(FC_CRONOGRAMA!N57+FC_CRONOGRAMA!N58)*(SUP_CONTROL!$C$26-SUP_CONTROL!$C$27)+N10*(1-SUP_CONTROL!$C$38)</f>
        <v>94265.5290400562</v>
      </c>
      <c r="O17" s="380" t="n">
        <f aca="false">(FC_CRONOGRAMA!O57+FC_CRONOGRAMA!O58)*(SUP_CONTROL!$C$26-SUP_CONTROL!$C$27)+O10*(1-SUP_CONTROL!$C$38)</f>
        <v>155081.99938848</v>
      </c>
      <c r="P17" s="380" t="n">
        <f aca="false">(FC_CRONOGRAMA!P57+FC_CRONOGRAMA!P58)*(SUP_CONTROL!$C$26-SUP_CONTROL!$C$27)+P10*(1-SUP_CONTROL!$C$38)</f>
        <v>222284.199123488</v>
      </c>
      <c r="Q17" s="380" t="n">
        <f aca="false">(FC_CRONOGRAMA!Q57+FC_CRONOGRAMA!Q58)*(SUP_CONTROL!$C$26-SUP_CONTROL!$C$27)+Q10*(1-SUP_CONTROL!$C$38)</f>
        <v>297240.498827919</v>
      </c>
      <c r="R17" s="380" t="n">
        <f aca="false">(FC_CRONOGRAMA!R57+FC_CRONOGRAMA!R58)*(SUP_CONTROL!$C$26-SUP_CONTROL!$C$27)+R10*(1-SUP_CONTROL!$C$38)</f>
        <v>319590.551680965</v>
      </c>
      <c r="S17" s="380" t="n">
        <f aca="false">(FC_CRONOGRAMA!S57+FC_CRONOGRAMA!S58)*(SUP_CONTROL!$C$26-SUP_CONTROL!$C$27)+S10*(1-SUP_CONTROL!$C$38)</f>
        <v>331449.763398907</v>
      </c>
      <c r="T17" s="380" t="n">
        <f aca="false">(FC_CRONOGRAMA!T57+FC_CRONOGRAMA!T58)*(SUP_CONTROL!$C$26-SUP_CONTROL!$C$27)+T10*(1-SUP_CONTROL!$C$38)</f>
        <v>331449.763398907</v>
      </c>
      <c r="U17" s="380" t="n">
        <f aca="false">(FC_CRONOGRAMA!U57+FC_CRONOGRAMA!U58)*(SUP_CONTROL!$C$26-SUP_CONTROL!$C$27)+U10*(1-SUP_CONTROL!$C$38)</f>
        <v>331449.763398907</v>
      </c>
      <c r="V17" s="380" t="n">
        <f aca="false">(FC_CRONOGRAMA!V57+FC_CRONOGRAMA!V58)*(SUP_CONTROL!$C$26-SUP_CONTROL!$C$27)+V10*(1-SUP_CONTROL!$C$38)</f>
        <v>331449.763398907</v>
      </c>
      <c r="W17" s="380" t="n">
        <f aca="false">(FC_CRONOGRAMA!W57+FC_CRONOGRAMA!W58)*(SUP_CONTROL!$C$26-SUP_CONTROL!$C$27)+W10*(1-SUP_CONTROL!$C$38)</f>
        <v>331449.763398907</v>
      </c>
      <c r="X17" s="380" t="n">
        <f aca="false">(FC_CRONOGRAMA!X57+FC_CRONOGRAMA!X58)*(SUP_CONTROL!$C$26-SUP_CONTROL!$C$27)+X10*(1-SUP_CONTROL!$C$38)</f>
        <v>331449.763398907</v>
      </c>
      <c r="Y17" s="380" t="n">
        <f aca="false">(FC_CRONOGRAMA!Y57+FC_CRONOGRAMA!Y58)*(SUP_CONTROL!$C$26-SUP_CONTROL!$C$27)+Y10*(1-SUP_CONTROL!$C$38)</f>
        <v>331449.763398907</v>
      </c>
      <c r="Z17" s="380" t="n">
        <f aca="false">(FC_CRONOGRAMA!Z57+FC_CRONOGRAMA!Z58)*(SUP_CONTROL!$C$26-SUP_CONTROL!$C$27)+Z10*(1-SUP_CONTROL!$C$38)</f>
        <v>331449.763398907</v>
      </c>
      <c r="AA17" s="380" t="n">
        <f aca="false">(FC_CRONOGRAMA!AA57+FC_CRONOGRAMA!AA58)*(SUP_CONTROL!$C$26-SUP_CONTROL!$C$27)+AA10*(1-SUP_CONTROL!$C$38)</f>
        <v>331449.763398907</v>
      </c>
      <c r="AB17" s="380" t="n">
        <f aca="false">(FC_CRONOGRAMA!AB57+FC_CRONOGRAMA!AB58)*(SUP_CONTROL!$C$26-SUP_CONTROL!$C$27)+AB10*(1-SUP_CONTROL!$C$38)</f>
        <v>331449.763398907</v>
      </c>
      <c r="AC17" s="380" t="n">
        <f aca="false">(FC_CRONOGRAMA!AC57+FC_CRONOGRAMA!AC58)*(SUP_CONTROL!$C$26-SUP_CONTROL!$C$27)+AC10*(1-SUP_CONTROL!$C$38)</f>
        <v>331449.763398907</v>
      </c>
      <c r="AD17" s="380" t="n">
        <f aca="false">(FC_CRONOGRAMA!AD57+FC_CRONOGRAMA!AD58)*(SUP_CONTROL!$C$26-SUP_CONTROL!$C$27)+AD10*(1-SUP_CONTROL!$C$38)</f>
        <v>331449.763398907</v>
      </c>
      <c r="AE17" s="380" t="n">
        <f aca="false">(FC_CRONOGRAMA!AE57+FC_CRONOGRAMA!AE58)*(SUP_CONTROL!$C$26-SUP_CONTROL!$C$27)+AE10*(1-SUP_CONTROL!$C$38)</f>
        <v>331449.763398907</v>
      </c>
      <c r="AF17" s="380" t="n">
        <f aca="false">(FC_CRONOGRAMA!AF57+FC_CRONOGRAMA!AF58)*(SUP_CONTROL!$C$26-SUP_CONTROL!$C$27)+AF10*(1-SUP_CONTROL!$C$38)</f>
        <v>331449.763398907</v>
      </c>
      <c r="AG17" s="380" t="n">
        <f aca="false">(FC_CRONOGRAMA!AG57+FC_CRONOGRAMA!AG58)*(SUP_CONTROL!$C$26-SUP_CONTROL!$C$27)+AG10*(1-SUP_CONTROL!$C$38)</f>
        <v>331449.763398907</v>
      </c>
      <c r="AH17" s="380" t="n">
        <f aca="false">(FC_CRONOGRAMA!AH57+FC_CRONOGRAMA!AH58)*(SUP_CONTROL!$C$26-SUP_CONTROL!$C$27)+AH10*(1-SUP_CONTROL!$C$38)</f>
        <v>331449.763398907</v>
      </c>
      <c r="AI17" s="380" t="n">
        <f aca="false">(FC_CRONOGRAMA!AI57+FC_CRONOGRAMA!AI58)*(SUP_CONTROL!$C$26-SUP_CONTROL!$C$27)+AI10*(1-SUP_CONTROL!$C$38)</f>
        <v>331449.763398907</v>
      </c>
      <c r="AJ17" s="380" t="n">
        <f aca="false">(FC_CRONOGRAMA!AJ57+FC_CRONOGRAMA!AJ58)*(SUP_CONTROL!$C$26-SUP_CONTROL!$C$27)+AJ10*(1-SUP_CONTROL!$C$38)</f>
        <v>331449.763398907</v>
      </c>
      <c r="AK17" s="380" t="n">
        <f aca="false">(FC_CRONOGRAMA!AK57+FC_CRONOGRAMA!AK58)*(SUP_CONTROL!$C$26-SUP_CONTROL!$C$27)+AK10*(1-SUP_CONTROL!$C$38)</f>
        <v>331449.763398907</v>
      </c>
      <c r="AL17" s="380" t="n">
        <f aca="false">(FC_CRONOGRAMA!AL57+FC_CRONOGRAMA!AL58)*(SUP_CONTROL!$C$26-SUP_CONTROL!$C$27)+AL10*(1-SUP_CONTROL!$C$38)</f>
        <v>331449.763398907</v>
      </c>
      <c r="AM17" s="380" t="n">
        <f aca="false">(FC_CRONOGRAMA!AM57+FC_CRONOGRAMA!AM58)*(SUP_CONTROL!$C$26-SUP_CONTROL!$C$27)+AM10*(1-SUP_CONTROL!$C$38)</f>
        <v>331449.763398907</v>
      </c>
      <c r="AN17" s="380" t="n">
        <f aca="false">(FC_CRONOGRAMA!AN57+FC_CRONOGRAMA!AN58)*(SUP_CONTROL!$C$26-SUP_CONTROL!$C$27)+AN10*(1-SUP_CONTROL!$C$38)</f>
        <v>331449.763398907</v>
      </c>
      <c r="AO17" s="380" t="n">
        <f aca="false">(FC_CRONOGRAMA!AO57+FC_CRONOGRAMA!AO58)*(SUP_CONTROL!$C$26-SUP_CONTROL!$C$27)+AO10*(1-SUP_CONTROL!$C$38)</f>
        <v>331449.763398907</v>
      </c>
      <c r="AP17" s="380" t="n">
        <f aca="false">(FC_CRONOGRAMA!AP57+FC_CRONOGRAMA!AP58)*(SUP_CONTROL!$C$26-SUP_CONTROL!$C$27)+AP10*(1-SUP_CONTROL!$C$38)</f>
        <v>331449.763398907</v>
      </c>
      <c r="AQ17" s="380" t="n">
        <f aca="false">(FC_CRONOGRAMA!AQ57+FC_CRONOGRAMA!AQ58)*(SUP_CONTROL!$C$26-SUP_CONTROL!$C$27)+AQ10*(1-SUP_CONTROL!$C$38)</f>
        <v>331449.763398907</v>
      </c>
      <c r="AR17" s="380" t="n">
        <f aca="false">(FC_CRONOGRAMA!AR57+FC_CRONOGRAMA!AR58)*(SUP_CONTROL!$C$26-SUP_CONTROL!$C$27)+AR10*(1-SUP_CONTROL!$C$38)</f>
        <v>331449.763398907</v>
      </c>
      <c r="AS17" s="380" t="n">
        <f aca="false">(FC_CRONOGRAMA!AS57+FC_CRONOGRAMA!AS58)*(SUP_CONTROL!$C$26-SUP_CONTROL!$C$27)+AS10*(1-SUP_CONTROL!$C$38)</f>
        <v>331449.763398907</v>
      </c>
      <c r="AT17" s="380" t="n">
        <f aca="false">(FC_CRONOGRAMA!AT57+FC_CRONOGRAMA!AT58)*(SUP_CONTROL!$C$26-SUP_CONTROL!$C$27)+AT10*(1-SUP_CONTROL!$C$38)</f>
        <v>331449.763398907</v>
      </c>
      <c r="AU17" s="380" t="n">
        <f aca="false">(FC_CRONOGRAMA!AU57+FC_CRONOGRAMA!AU58)*(SUP_CONTROL!$C$26-SUP_CONTROL!$C$27)+AU10*(1-SUP_CONTROL!$C$38)</f>
        <v>331449.763398907</v>
      </c>
      <c r="AV17" s="380" t="n">
        <f aca="false">(FC_CRONOGRAMA!AV57+FC_CRONOGRAMA!AV58)*(SUP_CONTROL!$C$26-SUP_CONTROL!$C$27)+AV10*(1-SUP_CONTROL!$C$38)</f>
        <v>331449.763398907</v>
      </c>
      <c r="AW17" s="380" t="n">
        <f aca="false">(FC_CRONOGRAMA!AW57+FC_CRONOGRAMA!AW58)*(SUP_CONTROL!$C$26-SUP_CONTROL!$C$27)+AW10*(1-SUP_CONTROL!$C$38)</f>
        <v>331449.763398907</v>
      </c>
      <c r="AX17" s="380" t="n">
        <f aca="false">(FC_CRONOGRAMA!AX57+FC_CRONOGRAMA!AX58)*(SUP_CONTROL!$C$26-SUP_CONTROL!$C$27)+AX10*(1-SUP_CONTROL!$C$38)</f>
        <v>331449.763398907</v>
      </c>
      <c r="AY17" s="380" t="n">
        <f aca="false">(FC_CRONOGRAMA!AY57+FC_CRONOGRAMA!AY58)*(SUP_CONTROL!$C$26-SUP_CONTROL!$C$27)+AY10*(1-SUP_CONTROL!$C$38)</f>
        <v>331449.763398907</v>
      </c>
      <c r="AZ17" s="380" t="n">
        <f aca="false">(FC_CRONOGRAMA!AZ57+FC_CRONOGRAMA!AZ58)*(SUP_CONTROL!$C$26-SUP_CONTROL!$C$27)+AZ10*(1-SUP_CONTROL!$C$38)</f>
        <v>331449.763398907</v>
      </c>
      <c r="BA17" s="380" t="n">
        <f aca="false">(FC_CRONOGRAMA!BA57+FC_CRONOGRAMA!BA58)*(SUP_CONTROL!$C$26-SUP_CONTROL!$C$27)+BA10*(1-SUP_CONTROL!$C$38)</f>
        <v>331449.763398907</v>
      </c>
      <c r="BB17" s="380" t="n">
        <f aca="false">(FC_CRONOGRAMA!BB57+FC_CRONOGRAMA!BB58)*(SUP_CONTROL!$C$26-SUP_CONTROL!$C$27)+BB10*(1-SUP_CONTROL!$C$38)</f>
        <v>331449.763398907</v>
      </c>
      <c r="BC17" s="380" t="n">
        <f aca="false">(FC_CRONOGRAMA!BC57+FC_CRONOGRAMA!BC58)*(SUP_CONTROL!$C$26-SUP_CONTROL!$C$27)+BC10*(1-SUP_CONTROL!$C$38)</f>
        <v>331449.763398907</v>
      </c>
      <c r="BD17" s="380" t="n">
        <f aca="false">(FC_CRONOGRAMA!BD57+FC_CRONOGRAMA!BD58)*(SUP_CONTROL!$C$26-SUP_CONTROL!$C$27)+BD10*(1-SUP_CONTROL!$C$38)</f>
        <v>331449.763398907</v>
      </c>
      <c r="BE17" s="380" t="n">
        <f aca="false">(FC_CRONOGRAMA!BE57+FC_CRONOGRAMA!BE58)*(SUP_CONTROL!$C$26-SUP_CONTROL!$C$27)+BE10*(1-SUP_CONTROL!$C$38)</f>
        <v>331449.763398907</v>
      </c>
      <c r="BF17" s="380" t="n">
        <f aca="false">(FC_CRONOGRAMA!BF57+FC_CRONOGRAMA!BF58)*(SUP_CONTROL!$C$26-SUP_CONTROL!$C$27)+BF10*(1-SUP_CONTROL!$C$38)</f>
        <v>331449.763398907</v>
      </c>
      <c r="BG17" s="380" t="n">
        <f aca="false">(FC_CRONOGRAMA!BG57+FC_CRONOGRAMA!BG58)*(SUP_CONTROL!$C$26-SUP_CONTROL!$C$27)+BG10*(1-SUP_CONTROL!$C$38)</f>
        <v>331449.763398907</v>
      </c>
      <c r="BH17" s="380" t="n">
        <f aca="false">(FC_CRONOGRAMA!BH57+FC_CRONOGRAMA!BH58)*(SUP_CONTROL!$C$26-SUP_CONTROL!$C$27)+BH10*(1-SUP_CONTROL!$C$38)</f>
        <v>331449.763398907</v>
      </c>
      <c r="BI17" s="380" t="n">
        <f aca="false">(FC_CRONOGRAMA!BI57+FC_CRONOGRAMA!BI58)*(SUP_CONTROL!$C$26-SUP_CONTROL!$C$27)+BI10*(1-SUP_CONTROL!$C$38)</f>
        <v>331449.763398907</v>
      </c>
      <c r="BJ17" s="380" t="n">
        <f aca="false">(FC_CRONOGRAMA!BJ57+FC_CRONOGRAMA!BJ58)*(SUP_CONTROL!$C$26-SUP_CONTROL!$C$27)+BJ10*(1-SUP_CONTROL!$C$38)</f>
        <v>331449.763398907</v>
      </c>
      <c r="BK17" s="380" t="n">
        <f aca="false">(FC_CRONOGRAMA!BK57+FC_CRONOGRAMA!BK58)*(SUP_CONTROL!$C$26-SUP_CONTROL!$C$27)+BK10*(1-SUP_CONTROL!$C$38)</f>
        <v>331449.763398907</v>
      </c>
    </row>
    <row r="18" customFormat="false" ht="15" hidden="false" customHeight="true" outlineLevel="0" collapsed="false">
      <c r="B18" s="297" t="s">
        <v>2918</v>
      </c>
      <c r="D18" s="380" t="n">
        <f aca="false">SUM(D121:D126)</f>
        <v>0</v>
      </c>
      <c r="E18" s="380" t="n">
        <f aca="false">SUM(E121:E126)</f>
        <v>0</v>
      </c>
      <c r="F18" s="380" t="n">
        <f aca="false">SUM(F121:F126)</f>
        <v>0</v>
      </c>
      <c r="G18" s="380" t="n">
        <f aca="false">SUM(G121:G126)</f>
        <v>0</v>
      </c>
      <c r="H18" s="380" t="n">
        <f aca="false">SUM(H121:H126)</f>
        <v>0</v>
      </c>
      <c r="I18" s="380" t="n">
        <f aca="false">SUM(I121:I126)</f>
        <v>0</v>
      </c>
      <c r="J18" s="380" t="n">
        <f aca="false">SUM(J121:J126)</f>
        <v>1000</v>
      </c>
      <c r="K18" s="380" t="n">
        <f aca="false">SUM(K121:K126)</f>
        <v>5230.565625</v>
      </c>
      <c r="L18" s="380" t="n">
        <f aca="false">SUM(L121:L126)</f>
        <v>10965.565625</v>
      </c>
      <c r="M18" s="380" t="n">
        <f aca="false">SUM(M121:M126)</f>
        <v>10965.565625</v>
      </c>
      <c r="N18" s="380" t="n">
        <f aca="false">SUM(N121:N126)</f>
        <v>10965.565625</v>
      </c>
      <c r="O18" s="380" t="n">
        <f aca="false">SUM(O121:O126)</f>
        <v>10965.565625</v>
      </c>
      <c r="P18" s="380" t="n">
        <f aca="false">SUM(P121:P126)</f>
        <v>10965.565625</v>
      </c>
      <c r="Q18" s="380" t="n">
        <f aca="false">SUM(Q121:Q126)</f>
        <v>10965.565625</v>
      </c>
      <c r="R18" s="380" t="n">
        <f aca="false">SUM(R121:R126)</f>
        <v>10965.565625</v>
      </c>
      <c r="S18" s="380" t="n">
        <f aca="false">SUM(S121:S126)</f>
        <v>10965.565625</v>
      </c>
      <c r="T18" s="380" t="n">
        <f aca="false">SUM(T121:T126)</f>
        <v>10965.565625</v>
      </c>
      <c r="U18" s="380" t="n">
        <f aca="false">SUM(U121:U126)</f>
        <v>10965.565625</v>
      </c>
      <c r="V18" s="380" t="n">
        <f aca="false">SUM(V121:V126)</f>
        <v>10965.565625</v>
      </c>
      <c r="W18" s="380" t="n">
        <f aca="false">SUM(W121:W126)</f>
        <v>10965.565625</v>
      </c>
      <c r="X18" s="380" t="n">
        <f aca="false">SUM(X121:X126)</f>
        <v>10965.565625</v>
      </c>
      <c r="Y18" s="380" t="n">
        <f aca="false">SUM(Y121:Y126)</f>
        <v>10965.565625</v>
      </c>
      <c r="Z18" s="380" t="n">
        <f aca="false">SUM(Z121:Z126)</f>
        <v>10965.565625</v>
      </c>
      <c r="AA18" s="380" t="n">
        <f aca="false">SUM(AA121:AA126)</f>
        <v>10965.565625</v>
      </c>
      <c r="AB18" s="380" t="n">
        <f aca="false">SUM(AB121:AB126)</f>
        <v>10965.565625</v>
      </c>
      <c r="AC18" s="380" t="n">
        <f aca="false">SUM(AC121:AC126)</f>
        <v>10965.565625</v>
      </c>
      <c r="AD18" s="380" t="n">
        <f aca="false">SUM(AD121:AD126)</f>
        <v>10965.565625</v>
      </c>
      <c r="AE18" s="380" t="n">
        <f aca="false">SUM(AE121:AE126)</f>
        <v>10965.565625</v>
      </c>
      <c r="AF18" s="380" t="n">
        <f aca="false">SUM(AF121:AF126)</f>
        <v>10965.565625</v>
      </c>
      <c r="AG18" s="380" t="n">
        <f aca="false">SUM(AG121:AG126)</f>
        <v>10965.565625</v>
      </c>
      <c r="AH18" s="380" t="n">
        <f aca="false">SUM(AH121:AH126)</f>
        <v>10965.565625</v>
      </c>
      <c r="AI18" s="380" t="n">
        <f aca="false">SUM(AI121:AI126)</f>
        <v>10965.565625</v>
      </c>
      <c r="AJ18" s="380" t="n">
        <f aca="false">SUM(AJ121:AJ126)</f>
        <v>10965.565625</v>
      </c>
      <c r="AK18" s="380" t="n">
        <f aca="false">SUM(AK121:AK126)</f>
        <v>10965.565625</v>
      </c>
      <c r="AL18" s="380" t="n">
        <f aca="false">SUM(AL121:AL126)</f>
        <v>10965.565625</v>
      </c>
      <c r="AM18" s="380" t="n">
        <f aca="false">SUM(AM121:AM126)</f>
        <v>10965.565625</v>
      </c>
      <c r="AN18" s="380" t="n">
        <f aca="false">SUM(AN121:AN126)</f>
        <v>10965.565625</v>
      </c>
      <c r="AO18" s="380" t="n">
        <f aca="false">SUM(AO121:AO126)</f>
        <v>10965.565625</v>
      </c>
      <c r="AP18" s="380" t="n">
        <f aca="false">SUM(AP121:AP126)</f>
        <v>10965.565625</v>
      </c>
      <c r="AQ18" s="380" t="n">
        <f aca="false">SUM(AQ121:AQ126)</f>
        <v>10965.565625</v>
      </c>
      <c r="AR18" s="380" t="n">
        <f aca="false">SUM(AR121:AR126)</f>
        <v>10965.565625</v>
      </c>
      <c r="AS18" s="380" t="n">
        <f aca="false">SUM(AS121:AS126)</f>
        <v>10965.565625</v>
      </c>
      <c r="AT18" s="380" t="n">
        <f aca="false">SUM(AT121:AT126)</f>
        <v>10965.565625</v>
      </c>
      <c r="AU18" s="380" t="n">
        <f aca="false">SUM(AU121:AU126)</f>
        <v>10965.565625</v>
      </c>
      <c r="AV18" s="380" t="n">
        <f aca="false">SUM(AV121:AV126)</f>
        <v>10965.565625</v>
      </c>
      <c r="AW18" s="380" t="n">
        <f aca="false">SUM(AW121:AW126)</f>
        <v>10965.565625</v>
      </c>
      <c r="AX18" s="380" t="n">
        <f aca="false">SUM(AX121:AX126)</f>
        <v>10965.565625</v>
      </c>
      <c r="AY18" s="380" t="n">
        <f aca="false">SUM(AY121:AY126)</f>
        <v>10965.565625</v>
      </c>
      <c r="AZ18" s="380" t="n">
        <f aca="false">SUM(AZ121:AZ126)</f>
        <v>10965.565625</v>
      </c>
      <c r="BA18" s="380" t="n">
        <f aca="false">SUM(BA121:BA126)</f>
        <v>10965.565625</v>
      </c>
      <c r="BB18" s="380" t="n">
        <f aca="false">SUM(BB121:BB126)</f>
        <v>10965.565625</v>
      </c>
      <c r="BC18" s="380" t="n">
        <f aca="false">SUM(BC121:BC126)</f>
        <v>10965.565625</v>
      </c>
      <c r="BD18" s="380" t="n">
        <f aca="false">SUM(BD121:BD126)</f>
        <v>10965.565625</v>
      </c>
      <c r="BE18" s="380" t="n">
        <f aca="false">SUM(BE121:BE126)</f>
        <v>10965.565625</v>
      </c>
      <c r="BF18" s="380" t="n">
        <f aca="false">SUM(BF121:BF126)</f>
        <v>10965.565625</v>
      </c>
      <c r="BG18" s="380" t="n">
        <f aca="false">SUM(BG121:BG126)</f>
        <v>10965.565625</v>
      </c>
      <c r="BH18" s="380" t="n">
        <f aca="false">SUM(BH121:BH126)</f>
        <v>10965.565625</v>
      </c>
      <c r="BI18" s="380" t="n">
        <f aca="false">SUM(BI121:BI126)</f>
        <v>10965.565625</v>
      </c>
      <c r="BJ18" s="380" t="n">
        <f aca="false">SUM(BJ121:BJ126)</f>
        <v>10965.565625</v>
      </c>
      <c r="BK18" s="380" t="n">
        <f aca="false">SUM(BK121:BK126)</f>
        <v>10965.565625</v>
      </c>
    </row>
    <row r="19" customFormat="false" ht="15" hidden="false" customHeight="true" outlineLevel="0" collapsed="false">
      <c r="B19" s="297" t="s">
        <v>2919</v>
      </c>
      <c r="D19" s="380" t="n">
        <f aca="false">FC_CRONOGRAMA!D62*SUP_PLANTA_OPEX!$C$30</f>
        <v>0</v>
      </c>
      <c r="E19" s="380" t="n">
        <f aca="false">FC_CRONOGRAMA!E62*SUP_PLANTA_OPEX!$C$30</f>
        <v>0</v>
      </c>
      <c r="F19" s="380" t="n">
        <f aca="false">FC_CRONOGRAMA!F62*SUP_PLANTA_OPEX!$C$30</f>
        <v>0</v>
      </c>
      <c r="G19" s="380" t="n">
        <f aca="false">FC_CRONOGRAMA!G62*SUP_PLANTA_OPEX!$C$30</f>
        <v>0</v>
      </c>
      <c r="H19" s="380" t="n">
        <f aca="false">FC_CRONOGRAMA!H62*SUP_PLANTA_OPEX!$C$30</f>
        <v>0</v>
      </c>
      <c r="I19" s="380" t="n">
        <f aca="false">FC_CRONOGRAMA!I62*SUP_PLANTA_OPEX!$C$30</f>
        <v>0</v>
      </c>
      <c r="J19" s="380" t="n">
        <f aca="false">FC_CRONOGRAMA!J62*SUP_PLANTA_OPEX!$C$30</f>
        <v>0</v>
      </c>
      <c r="K19" s="380" t="n">
        <f aca="false">FC_CRONOGRAMA!K62*SUP_PLANTA_OPEX!$C$30</f>
        <v>0</v>
      </c>
      <c r="L19" s="380" t="n">
        <f aca="false">FC_CRONOGRAMA!L62*SUP_PLANTA_OPEX!$C$30</f>
        <v>0</v>
      </c>
      <c r="M19" s="380" t="n">
        <f aca="false">FC_CRONOGRAMA!M62*SUP_PLANTA_OPEX!$C$30</f>
        <v>194.04</v>
      </c>
      <c r="N19" s="380" t="n">
        <f aca="false">FC_CRONOGRAMA!N62*SUP_PLANTA_OPEX!$C$30</f>
        <v>429.66</v>
      </c>
      <c r="O19" s="380" t="n">
        <f aca="false">FC_CRONOGRAMA!O62*SUP_PLANTA_OPEX!$C$30</f>
        <v>706.86</v>
      </c>
      <c r="P19" s="380" t="n">
        <f aca="false">FC_CRONOGRAMA!P62*SUP_PLANTA_OPEX!$C$30</f>
        <v>1013.166</v>
      </c>
      <c r="Q19" s="380" t="n">
        <f aca="false">FC_CRONOGRAMA!Q62*SUP_PLANTA_OPEX!$C$30</f>
        <v>1354.815</v>
      </c>
      <c r="R19" s="380" t="n">
        <f aca="false">FC_CRONOGRAMA!R62*SUP_PLANTA_OPEX!$C$30</f>
        <v>1456.686</v>
      </c>
      <c r="S19" s="380" t="n">
        <f aca="false">FC_CRONOGRAMA!S62*SUP_PLANTA_OPEX!$C$30</f>
        <v>1510.74</v>
      </c>
      <c r="T19" s="380" t="n">
        <f aca="false">FC_CRONOGRAMA!T62*SUP_PLANTA_OPEX!$C$30</f>
        <v>1510.74</v>
      </c>
      <c r="U19" s="380" t="n">
        <f aca="false">FC_CRONOGRAMA!U62*SUP_PLANTA_OPEX!$C$30</f>
        <v>1510.74</v>
      </c>
      <c r="V19" s="380" t="n">
        <f aca="false">FC_CRONOGRAMA!V62*SUP_PLANTA_OPEX!$C$30</f>
        <v>1510.74</v>
      </c>
      <c r="W19" s="380" t="n">
        <f aca="false">FC_CRONOGRAMA!W62*SUP_PLANTA_OPEX!$C$30</f>
        <v>1510.74</v>
      </c>
      <c r="X19" s="380" t="n">
        <f aca="false">FC_CRONOGRAMA!X62*SUP_PLANTA_OPEX!$C$30</f>
        <v>1510.74</v>
      </c>
      <c r="Y19" s="380" t="n">
        <f aca="false">FC_CRONOGRAMA!Y62*SUP_PLANTA_OPEX!$C$30</f>
        <v>1510.74</v>
      </c>
      <c r="Z19" s="380" t="n">
        <f aca="false">FC_CRONOGRAMA!Z62*SUP_PLANTA_OPEX!$C$30</f>
        <v>1510.74</v>
      </c>
      <c r="AA19" s="380" t="n">
        <f aca="false">FC_CRONOGRAMA!AA62*SUP_PLANTA_OPEX!$C$30</f>
        <v>1510.74</v>
      </c>
      <c r="AB19" s="380" t="n">
        <f aca="false">FC_CRONOGRAMA!AB62*SUP_PLANTA_OPEX!$C$30</f>
        <v>1510.74</v>
      </c>
      <c r="AC19" s="380" t="n">
        <f aca="false">FC_CRONOGRAMA!AC62*SUP_PLANTA_OPEX!$C$30</f>
        <v>1510.74</v>
      </c>
      <c r="AD19" s="380" t="n">
        <f aca="false">FC_CRONOGRAMA!AD62*SUP_PLANTA_OPEX!$C$30</f>
        <v>1510.74</v>
      </c>
      <c r="AE19" s="380" t="n">
        <f aca="false">FC_CRONOGRAMA!AE62*SUP_PLANTA_OPEX!$C$30</f>
        <v>1510.74</v>
      </c>
      <c r="AF19" s="380" t="n">
        <f aca="false">FC_CRONOGRAMA!AF62*SUP_PLANTA_OPEX!$C$30</f>
        <v>1510.74</v>
      </c>
      <c r="AG19" s="380" t="n">
        <f aca="false">FC_CRONOGRAMA!AG62*SUP_PLANTA_OPEX!$C$30</f>
        <v>1510.74</v>
      </c>
      <c r="AH19" s="380" t="n">
        <f aca="false">FC_CRONOGRAMA!AH62*SUP_PLANTA_OPEX!$C$30</f>
        <v>1510.74</v>
      </c>
      <c r="AI19" s="380" t="n">
        <f aca="false">FC_CRONOGRAMA!AI62*SUP_PLANTA_OPEX!$C$30</f>
        <v>1510.74</v>
      </c>
      <c r="AJ19" s="380" t="n">
        <f aca="false">FC_CRONOGRAMA!AJ62*SUP_PLANTA_OPEX!$C$30</f>
        <v>1510.74</v>
      </c>
      <c r="AK19" s="380" t="n">
        <f aca="false">FC_CRONOGRAMA!AK62*SUP_PLANTA_OPEX!$C$30</f>
        <v>1510.74</v>
      </c>
      <c r="AL19" s="380" t="n">
        <f aca="false">FC_CRONOGRAMA!AL62*SUP_PLANTA_OPEX!$C$30</f>
        <v>1510.74</v>
      </c>
      <c r="AM19" s="380" t="n">
        <f aca="false">FC_CRONOGRAMA!AM62*SUP_PLANTA_OPEX!$C$30</f>
        <v>1510.74</v>
      </c>
      <c r="AN19" s="380" t="n">
        <f aca="false">FC_CRONOGRAMA!AN62*SUP_PLANTA_OPEX!$C$30</f>
        <v>1510.74</v>
      </c>
      <c r="AO19" s="380" t="n">
        <f aca="false">FC_CRONOGRAMA!AO62*SUP_PLANTA_OPEX!$C$30</f>
        <v>1510.74</v>
      </c>
      <c r="AP19" s="380" t="n">
        <f aca="false">FC_CRONOGRAMA!AP62*SUP_PLANTA_OPEX!$C$30</f>
        <v>1510.74</v>
      </c>
      <c r="AQ19" s="380" t="n">
        <f aca="false">FC_CRONOGRAMA!AQ62*SUP_PLANTA_OPEX!$C$30</f>
        <v>1510.74</v>
      </c>
      <c r="AR19" s="380" t="n">
        <f aca="false">FC_CRONOGRAMA!AR62*SUP_PLANTA_OPEX!$C$30</f>
        <v>1510.74</v>
      </c>
      <c r="AS19" s="380" t="n">
        <f aca="false">FC_CRONOGRAMA!AS62*SUP_PLANTA_OPEX!$C$30</f>
        <v>1510.74</v>
      </c>
      <c r="AT19" s="380" t="n">
        <f aca="false">FC_CRONOGRAMA!AT62*SUP_PLANTA_OPEX!$C$30</f>
        <v>1510.74</v>
      </c>
      <c r="AU19" s="380" t="n">
        <f aca="false">FC_CRONOGRAMA!AU62*SUP_PLANTA_OPEX!$C$30</f>
        <v>1510.74</v>
      </c>
      <c r="AV19" s="380" t="n">
        <f aca="false">FC_CRONOGRAMA!AV62*SUP_PLANTA_OPEX!$C$30</f>
        <v>1510.74</v>
      </c>
      <c r="AW19" s="380" t="n">
        <f aca="false">FC_CRONOGRAMA!AW62*SUP_PLANTA_OPEX!$C$30</f>
        <v>1510.74</v>
      </c>
      <c r="AX19" s="380" t="n">
        <f aca="false">FC_CRONOGRAMA!AX62*SUP_PLANTA_OPEX!$C$30</f>
        <v>1510.74</v>
      </c>
      <c r="AY19" s="380" t="n">
        <f aca="false">FC_CRONOGRAMA!AY62*SUP_PLANTA_OPEX!$C$30</f>
        <v>1510.74</v>
      </c>
      <c r="AZ19" s="380" t="n">
        <f aca="false">FC_CRONOGRAMA!AZ62*SUP_PLANTA_OPEX!$C$30</f>
        <v>1510.74</v>
      </c>
      <c r="BA19" s="380" t="n">
        <f aca="false">FC_CRONOGRAMA!BA62*SUP_PLANTA_OPEX!$C$30</f>
        <v>1510.74</v>
      </c>
      <c r="BB19" s="380" t="n">
        <f aca="false">FC_CRONOGRAMA!BB62*SUP_PLANTA_OPEX!$C$30</f>
        <v>1510.74</v>
      </c>
      <c r="BC19" s="380" t="n">
        <f aca="false">FC_CRONOGRAMA!BC62*SUP_PLANTA_OPEX!$C$30</f>
        <v>1510.74</v>
      </c>
      <c r="BD19" s="380" t="n">
        <f aca="false">FC_CRONOGRAMA!BD62*SUP_PLANTA_OPEX!$C$30</f>
        <v>1510.74</v>
      </c>
      <c r="BE19" s="380" t="n">
        <f aca="false">FC_CRONOGRAMA!BE62*SUP_PLANTA_OPEX!$C$30</f>
        <v>1510.74</v>
      </c>
      <c r="BF19" s="380" t="n">
        <f aca="false">FC_CRONOGRAMA!BF62*SUP_PLANTA_OPEX!$C$30</f>
        <v>1510.74</v>
      </c>
      <c r="BG19" s="380" t="n">
        <f aca="false">FC_CRONOGRAMA!BG62*SUP_PLANTA_OPEX!$C$30</f>
        <v>1510.74</v>
      </c>
      <c r="BH19" s="380" t="n">
        <f aca="false">FC_CRONOGRAMA!BH62*SUP_PLANTA_OPEX!$C$30</f>
        <v>1510.74</v>
      </c>
      <c r="BI19" s="380" t="n">
        <f aca="false">FC_CRONOGRAMA!BI62*SUP_PLANTA_OPEX!$C$30</f>
        <v>1510.74</v>
      </c>
      <c r="BJ19" s="380" t="n">
        <f aca="false">FC_CRONOGRAMA!BJ62*SUP_PLANTA_OPEX!$C$30</f>
        <v>1510.74</v>
      </c>
      <c r="BK19" s="380" t="n">
        <f aca="false">FC_CRONOGRAMA!BK62*SUP_PLANTA_OPEX!$C$30</f>
        <v>1510.74</v>
      </c>
    </row>
    <row r="20" customFormat="false" ht="15" hidden="false" customHeight="true" outlineLevel="0" collapsed="false">
      <c r="B20" s="297" t="s">
        <v>2920</v>
      </c>
      <c r="D20" s="380" t="n">
        <f aca="false">FC_CRONOGRAMA!D62*SUP_PRODUCCION!$C$79</f>
        <v>0</v>
      </c>
      <c r="E20" s="380" t="n">
        <f aca="false">FC_CRONOGRAMA!E62*SUP_PRODUCCION!$C$79</f>
        <v>0</v>
      </c>
      <c r="F20" s="380" t="n">
        <f aca="false">FC_CRONOGRAMA!F62*SUP_PRODUCCION!$C$79</f>
        <v>0</v>
      </c>
      <c r="G20" s="380" t="n">
        <f aca="false">FC_CRONOGRAMA!G62*SUP_PRODUCCION!$C$79</f>
        <v>0</v>
      </c>
      <c r="H20" s="380" t="n">
        <f aca="false">FC_CRONOGRAMA!H62*SUP_PRODUCCION!$C$79</f>
        <v>0</v>
      </c>
      <c r="I20" s="380" t="n">
        <f aca="false">FC_CRONOGRAMA!I62*SUP_PRODUCCION!$C$79</f>
        <v>0</v>
      </c>
      <c r="J20" s="380" t="n">
        <f aca="false">FC_CRONOGRAMA!J62*SUP_PRODUCCION!$C$79</f>
        <v>0</v>
      </c>
      <c r="K20" s="380" t="n">
        <f aca="false">FC_CRONOGRAMA!K62*SUP_PRODUCCION!$C$79</f>
        <v>0</v>
      </c>
      <c r="L20" s="380" t="n">
        <f aca="false">FC_CRONOGRAMA!L62*SUP_PRODUCCION!$C$79</f>
        <v>0</v>
      </c>
      <c r="M20" s="380" t="n">
        <f aca="false">FC_CRONOGRAMA!M62*SUP_PRODUCCION!$C$79</f>
        <v>582.12</v>
      </c>
      <c r="N20" s="380" t="n">
        <f aca="false">FC_CRONOGRAMA!N62*SUP_PRODUCCION!$C$79</f>
        <v>1288.98</v>
      </c>
      <c r="O20" s="380" t="n">
        <f aca="false">FC_CRONOGRAMA!O62*SUP_PRODUCCION!$C$79</f>
        <v>2120.58</v>
      </c>
      <c r="P20" s="380" t="n">
        <f aca="false">FC_CRONOGRAMA!P62*SUP_PRODUCCION!$C$79</f>
        <v>3039.498</v>
      </c>
      <c r="Q20" s="380" t="n">
        <f aca="false">FC_CRONOGRAMA!Q62*SUP_PRODUCCION!$C$79</f>
        <v>4064.445</v>
      </c>
      <c r="R20" s="380" t="n">
        <f aca="false">FC_CRONOGRAMA!R62*SUP_PRODUCCION!$C$79</f>
        <v>4370.058</v>
      </c>
      <c r="S20" s="380" t="n">
        <f aca="false">FC_CRONOGRAMA!S62*SUP_PRODUCCION!$C$79</f>
        <v>4532.22</v>
      </c>
      <c r="T20" s="380" t="n">
        <f aca="false">FC_CRONOGRAMA!T62*SUP_PRODUCCION!$C$79</f>
        <v>4532.22</v>
      </c>
      <c r="U20" s="380" t="n">
        <f aca="false">FC_CRONOGRAMA!U62*SUP_PRODUCCION!$C$79</f>
        <v>4532.22</v>
      </c>
      <c r="V20" s="380" t="n">
        <f aca="false">FC_CRONOGRAMA!V62*SUP_PRODUCCION!$C$79</f>
        <v>4532.22</v>
      </c>
      <c r="W20" s="380" t="n">
        <f aca="false">FC_CRONOGRAMA!W62*SUP_PRODUCCION!$C$79</f>
        <v>4532.22</v>
      </c>
      <c r="X20" s="380" t="n">
        <f aca="false">FC_CRONOGRAMA!X62*SUP_PRODUCCION!$C$79</f>
        <v>4532.22</v>
      </c>
      <c r="Y20" s="380" t="n">
        <f aca="false">FC_CRONOGRAMA!Y62*SUP_PRODUCCION!$C$79</f>
        <v>4532.22</v>
      </c>
      <c r="Z20" s="380" t="n">
        <f aca="false">FC_CRONOGRAMA!Z62*SUP_PRODUCCION!$C$79</f>
        <v>4532.22</v>
      </c>
      <c r="AA20" s="380" t="n">
        <f aca="false">FC_CRONOGRAMA!AA62*SUP_PRODUCCION!$C$79</f>
        <v>4532.22</v>
      </c>
      <c r="AB20" s="380" t="n">
        <f aca="false">FC_CRONOGRAMA!AB62*SUP_PRODUCCION!$C$79</f>
        <v>4532.22</v>
      </c>
      <c r="AC20" s="380" t="n">
        <f aca="false">FC_CRONOGRAMA!AC62*SUP_PRODUCCION!$C$79</f>
        <v>4532.22</v>
      </c>
      <c r="AD20" s="380" t="n">
        <f aca="false">FC_CRONOGRAMA!AD62*SUP_PRODUCCION!$C$79</f>
        <v>4532.22</v>
      </c>
      <c r="AE20" s="380" t="n">
        <f aca="false">FC_CRONOGRAMA!AE62*SUP_PRODUCCION!$C$79</f>
        <v>4532.22</v>
      </c>
      <c r="AF20" s="380" t="n">
        <f aca="false">FC_CRONOGRAMA!AF62*SUP_PRODUCCION!$C$79</f>
        <v>4532.22</v>
      </c>
      <c r="AG20" s="380" t="n">
        <f aca="false">FC_CRONOGRAMA!AG62*SUP_PRODUCCION!$C$79</f>
        <v>4532.22</v>
      </c>
      <c r="AH20" s="380" t="n">
        <f aca="false">FC_CRONOGRAMA!AH62*SUP_PRODUCCION!$C$79</f>
        <v>4532.22</v>
      </c>
      <c r="AI20" s="380" t="n">
        <f aca="false">FC_CRONOGRAMA!AI62*SUP_PRODUCCION!$C$79</f>
        <v>4532.22</v>
      </c>
      <c r="AJ20" s="380" t="n">
        <f aca="false">FC_CRONOGRAMA!AJ62*SUP_PRODUCCION!$C$79</f>
        <v>4532.22</v>
      </c>
      <c r="AK20" s="380" t="n">
        <f aca="false">FC_CRONOGRAMA!AK62*SUP_PRODUCCION!$C$79</f>
        <v>4532.22</v>
      </c>
      <c r="AL20" s="380" t="n">
        <f aca="false">FC_CRONOGRAMA!AL62*SUP_PRODUCCION!$C$79</f>
        <v>4532.22</v>
      </c>
      <c r="AM20" s="380" t="n">
        <f aca="false">FC_CRONOGRAMA!AM62*SUP_PRODUCCION!$C$79</f>
        <v>4532.22</v>
      </c>
      <c r="AN20" s="380" t="n">
        <f aca="false">FC_CRONOGRAMA!AN62*SUP_PRODUCCION!$C$79</f>
        <v>4532.22</v>
      </c>
      <c r="AO20" s="380" t="n">
        <f aca="false">FC_CRONOGRAMA!AO62*SUP_PRODUCCION!$C$79</f>
        <v>4532.22</v>
      </c>
      <c r="AP20" s="380" t="n">
        <f aca="false">FC_CRONOGRAMA!AP62*SUP_PRODUCCION!$C$79</f>
        <v>4532.22</v>
      </c>
      <c r="AQ20" s="380" t="n">
        <f aca="false">FC_CRONOGRAMA!AQ62*SUP_PRODUCCION!$C$79</f>
        <v>4532.22</v>
      </c>
      <c r="AR20" s="380" t="n">
        <f aca="false">FC_CRONOGRAMA!AR62*SUP_PRODUCCION!$C$79</f>
        <v>4532.22</v>
      </c>
      <c r="AS20" s="380" t="n">
        <f aca="false">FC_CRONOGRAMA!AS62*SUP_PRODUCCION!$C$79</f>
        <v>4532.22</v>
      </c>
      <c r="AT20" s="380" t="n">
        <f aca="false">FC_CRONOGRAMA!AT62*SUP_PRODUCCION!$C$79</f>
        <v>4532.22</v>
      </c>
      <c r="AU20" s="380" t="n">
        <f aca="false">FC_CRONOGRAMA!AU62*SUP_PRODUCCION!$C$79</f>
        <v>4532.22</v>
      </c>
      <c r="AV20" s="380" t="n">
        <f aca="false">FC_CRONOGRAMA!AV62*SUP_PRODUCCION!$C$79</f>
        <v>4532.22</v>
      </c>
      <c r="AW20" s="380" t="n">
        <f aca="false">FC_CRONOGRAMA!AW62*SUP_PRODUCCION!$C$79</f>
        <v>4532.22</v>
      </c>
      <c r="AX20" s="380" t="n">
        <f aca="false">FC_CRONOGRAMA!AX62*SUP_PRODUCCION!$C$79</f>
        <v>4532.22</v>
      </c>
      <c r="AY20" s="380" t="n">
        <f aca="false">FC_CRONOGRAMA!AY62*SUP_PRODUCCION!$C$79</f>
        <v>4532.22</v>
      </c>
      <c r="AZ20" s="380" t="n">
        <f aca="false">FC_CRONOGRAMA!AZ62*SUP_PRODUCCION!$C$79</f>
        <v>4532.22</v>
      </c>
      <c r="BA20" s="380" t="n">
        <f aca="false">FC_CRONOGRAMA!BA62*SUP_PRODUCCION!$C$79</f>
        <v>4532.22</v>
      </c>
      <c r="BB20" s="380" t="n">
        <f aca="false">FC_CRONOGRAMA!BB62*SUP_PRODUCCION!$C$79</f>
        <v>4532.22</v>
      </c>
      <c r="BC20" s="380" t="n">
        <f aca="false">FC_CRONOGRAMA!BC62*SUP_PRODUCCION!$C$79</f>
        <v>4532.22</v>
      </c>
      <c r="BD20" s="380" t="n">
        <f aca="false">FC_CRONOGRAMA!BD62*SUP_PRODUCCION!$C$79</f>
        <v>4532.22</v>
      </c>
      <c r="BE20" s="380" t="n">
        <f aca="false">FC_CRONOGRAMA!BE62*SUP_PRODUCCION!$C$79</f>
        <v>4532.22</v>
      </c>
      <c r="BF20" s="380" t="n">
        <f aca="false">FC_CRONOGRAMA!BF62*SUP_PRODUCCION!$C$79</f>
        <v>4532.22</v>
      </c>
      <c r="BG20" s="380" t="n">
        <f aca="false">FC_CRONOGRAMA!BG62*SUP_PRODUCCION!$C$79</f>
        <v>4532.22</v>
      </c>
      <c r="BH20" s="380" t="n">
        <f aca="false">FC_CRONOGRAMA!BH62*SUP_PRODUCCION!$C$79</f>
        <v>4532.22</v>
      </c>
      <c r="BI20" s="380" t="n">
        <f aca="false">FC_CRONOGRAMA!BI62*SUP_PRODUCCION!$C$79</f>
        <v>4532.22</v>
      </c>
      <c r="BJ20" s="380" t="n">
        <f aca="false">FC_CRONOGRAMA!BJ62*SUP_PRODUCCION!$C$79</f>
        <v>4532.22</v>
      </c>
      <c r="BK20" s="380" t="n">
        <f aca="false">FC_CRONOGRAMA!BK62*SUP_PRODUCCION!$C$79</f>
        <v>4532.22</v>
      </c>
    </row>
    <row r="21" customFormat="false" ht="15" hidden="false" customHeight="true" outlineLevel="0" collapsed="false">
      <c r="A21" s="218"/>
      <c r="B21" s="493" t="s">
        <v>2921</v>
      </c>
      <c r="C21" s="218"/>
      <c r="D21" s="494" t="n">
        <f aca="false">SUM(D17:D20)</f>
        <v>0</v>
      </c>
      <c r="E21" s="494" t="n">
        <f aca="false">SUM(E17:E20)</f>
        <v>0</v>
      </c>
      <c r="F21" s="494" t="n">
        <f aca="false">SUM(F17:F20)</f>
        <v>0</v>
      </c>
      <c r="G21" s="494" t="n">
        <f aca="false">SUM(G17:G20)</f>
        <v>0</v>
      </c>
      <c r="H21" s="494" t="n">
        <f aca="false">SUM(H17:H20)</f>
        <v>0</v>
      </c>
      <c r="I21" s="494" t="n">
        <f aca="false">SUM(I17:I20)</f>
        <v>0</v>
      </c>
      <c r="J21" s="494" t="n">
        <f aca="false">SUM(J17:J20)</f>
        <v>1000</v>
      </c>
      <c r="K21" s="494" t="n">
        <f aca="false">SUM(K17:K20)</f>
        <v>5230.565625</v>
      </c>
      <c r="L21" s="494" t="n">
        <f aca="false">SUM(L17:L20)</f>
        <v>10965.565625</v>
      </c>
      <c r="M21" s="494" t="n">
        <f aca="false">SUM(M17:M20)</f>
        <v>54313.2548688964</v>
      </c>
      <c r="N21" s="494" t="n">
        <f aca="false">SUM(N17:N20)</f>
        <v>106949.734665056</v>
      </c>
      <c r="O21" s="494" t="n">
        <f aca="false">SUM(O17:O20)</f>
        <v>168875.00501348</v>
      </c>
      <c r="P21" s="494" t="n">
        <f aca="false">SUM(P17:P20)</f>
        <v>237302.428748487</v>
      </c>
      <c r="Q21" s="494" t="n">
        <f aca="false">SUM(Q17:Q20)</f>
        <v>313625.324452919</v>
      </c>
      <c r="R21" s="494" t="n">
        <f aca="false">SUM(R17:R20)</f>
        <v>336382.861305965</v>
      </c>
      <c r="S21" s="494" t="n">
        <f aca="false">SUM(S17:S20)</f>
        <v>348458.289023907</v>
      </c>
      <c r="T21" s="494" t="n">
        <f aca="false">SUM(T17:T20)</f>
        <v>348458.289023907</v>
      </c>
      <c r="U21" s="494" t="n">
        <f aca="false">SUM(U17:U20)</f>
        <v>348458.289023907</v>
      </c>
      <c r="V21" s="494" t="n">
        <f aca="false">SUM(V17:V20)</f>
        <v>348458.289023907</v>
      </c>
      <c r="W21" s="494" t="n">
        <f aca="false">SUM(W17:W20)</f>
        <v>348458.289023907</v>
      </c>
      <c r="X21" s="494" t="n">
        <f aca="false">SUM(X17:X20)</f>
        <v>348458.289023907</v>
      </c>
      <c r="Y21" s="494" t="n">
        <f aca="false">SUM(Y17:Y20)</f>
        <v>348458.289023907</v>
      </c>
      <c r="Z21" s="494" t="n">
        <f aca="false">SUM(Z17:Z20)</f>
        <v>348458.289023907</v>
      </c>
      <c r="AA21" s="494" t="n">
        <f aca="false">SUM(AA17:AA20)</f>
        <v>348458.289023907</v>
      </c>
      <c r="AB21" s="494" t="n">
        <f aca="false">SUM(AB17:AB20)</f>
        <v>348458.289023907</v>
      </c>
      <c r="AC21" s="494" t="n">
        <f aca="false">SUM(AC17:AC20)</f>
        <v>348458.289023907</v>
      </c>
      <c r="AD21" s="494" t="n">
        <f aca="false">SUM(AD17:AD20)</f>
        <v>348458.289023907</v>
      </c>
      <c r="AE21" s="494" t="n">
        <f aca="false">SUM(AE17:AE20)</f>
        <v>348458.289023907</v>
      </c>
      <c r="AF21" s="494" t="n">
        <f aca="false">SUM(AF17:AF20)</f>
        <v>348458.289023907</v>
      </c>
      <c r="AG21" s="494" t="n">
        <f aca="false">SUM(AG17:AG20)</f>
        <v>348458.289023907</v>
      </c>
      <c r="AH21" s="494" t="n">
        <f aca="false">SUM(AH17:AH20)</f>
        <v>348458.289023907</v>
      </c>
      <c r="AI21" s="494" t="n">
        <f aca="false">SUM(AI17:AI20)</f>
        <v>348458.289023907</v>
      </c>
      <c r="AJ21" s="494" t="n">
        <f aca="false">SUM(AJ17:AJ20)</f>
        <v>348458.289023907</v>
      </c>
      <c r="AK21" s="494" t="n">
        <f aca="false">SUM(AK17:AK20)</f>
        <v>348458.289023907</v>
      </c>
      <c r="AL21" s="494" t="n">
        <f aca="false">SUM(AL17:AL20)</f>
        <v>348458.289023907</v>
      </c>
      <c r="AM21" s="494" t="n">
        <f aca="false">SUM(AM17:AM20)</f>
        <v>348458.289023907</v>
      </c>
      <c r="AN21" s="494" t="n">
        <f aca="false">SUM(AN17:AN20)</f>
        <v>348458.289023907</v>
      </c>
      <c r="AO21" s="494" t="n">
        <f aca="false">SUM(AO17:AO20)</f>
        <v>348458.289023907</v>
      </c>
      <c r="AP21" s="494" t="n">
        <f aca="false">SUM(AP17:AP20)</f>
        <v>348458.289023907</v>
      </c>
      <c r="AQ21" s="494" t="n">
        <f aca="false">SUM(AQ17:AQ20)</f>
        <v>348458.289023907</v>
      </c>
      <c r="AR21" s="494" t="n">
        <f aca="false">SUM(AR17:AR20)</f>
        <v>348458.289023907</v>
      </c>
      <c r="AS21" s="494" t="n">
        <f aca="false">SUM(AS17:AS20)</f>
        <v>348458.289023907</v>
      </c>
      <c r="AT21" s="494" t="n">
        <f aca="false">SUM(AT17:AT20)</f>
        <v>348458.289023907</v>
      </c>
      <c r="AU21" s="494" t="n">
        <f aca="false">SUM(AU17:AU20)</f>
        <v>348458.289023907</v>
      </c>
      <c r="AV21" s="494" t="n">
        <f aca="false">SUM(AV17:AV20)</f>
        <v>348458.289023907</v>
      </c>
      <c r="AW21" s="494" t="n">
        <f aca="false">SUM(AW17:AW20)</f>
        <v>348458.289023907</v>
      </c>
      <c r="AX21" s="494" t="n">
        <f aca="false">SUM(AX17:AX20)</f>
        <v>348458.289023907</v>
      </c>
      <c r="AY21" s="494" t="n">
        <f aca="false">SUM(AY17:AY20)</f>
        <v>348458.289023907</v>
      </c>
      <c r="AZ21" s="494" t="n">
        <f aca="false">SUM(AZ17:AZ20)</f>
        <v>348458.289023907</v>
      </c>
      <c r="BA21" s="494" t="n">
        <f aca="false">SUM(BA17:BA20)</f>
        <v>348458.289023907</v>
      </c>
      <c r="BB21" s="494" t="n">
        <f aca="false">SUM(BB17:BB20)</f>
        <v>348458.289023907</v>
      </c>
      <c r="BC21" s="494" t="n">
        <f aca="false">SUM(BC17:BC20)</f>
        <v>348458.289023907</v>
      </c>
      <c r="BD21" s="494" t="n">
        <f aca="false">SUM(BD17:BD20)</f>
        <v>348458.289023907</v>
      </c>
      <c r="BE21" s="494" t="n">
        <f aca="false">SUM(BE17:BE20)</f>
        <v>348458.289023907</v>
      </c>
      <c r="BF21" s="494" t="n">
        <f aca="false">SUM(BF17:BF20)</f>
        <v>348458.289023907</v>
      </c>
      <c r="BG21" s="494" t="n">
        <f aca="false">SUM(BG17:BG20)</f>
        <v>348458.289023907</v>
      </c>
      <c r="BH21" s="494" t="n">
        <f aca="false">SUM(BH17:BH20)</f>
        <v>348458.289023907</v>
      </c>
      <c r="BI21" s="494" t="n">
        <f aca="false">SUM(BI17:BI20)</f>
        <v>348458.289023907</v>
      </c>
      <c r="BJ21" s="494" t="n">
        <f aca="false">SUM(BJ17:BJ20)</f>
        <v>348458.289023907</v>
      </c>
      <c r="BK21" s="494" t="n">
        <f aca="false">SUM(BK17:BK20)</f>
        <v>348458.289023907</v>
      </c>
    </row>
    <row r="22" customFormat="false" ht="15" hidden="false" customHeight="true" outlineLevel="0" collapsed="false">
      <c r="B22" s="297" t="s">
        <v>2922</v>
      </c>
      <c r="D22" s="380" t="n">
        <f aca="false">FC_CRONOGRAMA!D20*SUP_OPEX!$D$23+FC_CRONOGRAMA!D21*SUP_OPEX!$E$23+D129+D130</f>
        <v>0</v>
      </c>
      <c r="E22" s="380" t="n">
        <f aca="false">FC_CRONOGRAMA!E20*SUP_OPEX!$D$23+FC_CRONOGRAMA!E21*SUP_OPEX!$E$23+E129+E130</f>
        <v>0</v>
      </c>
      <c r="F22" s="380" t="n">
        <f aca="false">FC_CRONOGRAMA!F20*SUP_OPEX!$D$23+FC_CRONOGRAMA!F21*SUP_OPEX!$E$23+F129+F130</f>
        <v>0</v>
      </c>
      <c r="G22" s="380" t="n">
        <f aca="false">FC_CRONOGRAMA!G20*SUP_OPEX!$D$23+FC_CRONOGRAMA!G21*SUP_OPEX!$E$23+G129+G130</f>
        <v>0</v>
      </c>
      <c r="H22" s="380" t="n">
        <f aca="false">FC_CRONOGRAMA!H20*SUP_OPEX!$D$23+FC_CRONOGRAMA!H21*SUP_OPEX!$E$23+H129+H130</f>
        <v>0</v>
      </c>
      <c r="I22" s="380" t="n">
        <f aca="false">FC_CRONOGRAMA!I20*SUP_OPEX!$D$23+FC_CRONOGRAMA!I21*SUP_OPEX!$E$23+I129+I130</f>
        <v>0</v>
      </c>
      <c r="J22" s="380" t="n">
        <f aca="false">FC_CRONOGRAMA!J20*SUP_OPEX!$D$23+FC_CRONOGRAMA!J21*SUP_OPEX!$E$23+J129+J130</f>
        <v>0</v>
      </c>
      <c r="K22" s="380" t="n">
        <f aca="false">FC_CRONOGRAMA!K20*SUP_OPEX!$D$23+FC_CRONOGRAMA!K21*SUP_OPEX!$E$23+K129+K130</f>
        <v>0</v>
      </c>
      <c r="L22" s="380" t="n">
        <f aca="false">FC_CRONOGRAMA!L20*SUP_OPEX!$D$23+FC_CRONOGRAMA!L21*SUP_OPEX!$E$23+L129+L130</f>
        <v>8878</v>
      </c>
      <c r="M22" s="380" t="n">
        <f aca="false">FC_CRONOGRAMA!M20*SUP_OPEX!$D$23+FC_CRONOGRAMA!M21*SUP_OPEX!$E$23+M129+M130</f>
        <v>21756</v>
      </c>
      <c r="N22" s="380" t="n">
        <f aca="false">FC_CRONOGRAMA!N20*SUP_OPEX!$D$23+FC_CRONOGRAMA!N21*SUP_OPEX!$E$23+N129+N130</f>
        <v>34634</v>
      </c>
      <c r="O22" s="380" t="n">
        <f aca="false">FC_CRONOGRAMA!O20*SUP_OPEX!$D$23+FC_CRONOGRAMA!O21*SUP_OPEX!$E$23+O129+O130</f>
        <v>48648</v>
      </c>
      <c r="P22" s="380" t="n">
        <f aca="false">FC_CRONOGRAMA!P20*SUP_OPEX!$D$23+FC_CRONOGRAMA!P21*SUP_OPEX!$E$23+P129+P130</f>
        <v>64998</v>
      </c>
      <c r="Q22" s="380" t="n">
        <f aca="false">FC_CRONOGRAMA!Q20*SUP_OPEX!$D$23+FC_CRONOGRAMA!Q21*SUP_OPEX!$E$23+Q129+Q130</f>
        <v>71398</v>
      </c>
      <c r="R22" s="380" t="n">
        <f aca="false">FC_CRONOGRAMA!R20*SUP_OPEX!$D$23+FC_CRONOGRAMA!R21*SUP_OPEX!$E$23+R129+R130</f>
        <v>71398</v>
      </c>
      <c r="S22" s="380" t="n">
        <f aca="false">FC_CRONOGRAMA!S20*SUP_OPEX!$D$23+FC_CRONOGRAMA!S21*SUP_OPEX!$E$23+S129+S130</f>
        <v>71398</v>
      </c>
      <c r="T22" s="380" t="n">
        <f aca="false">FC_CRONOGRAMA!T20*SUP_OPEX!$D$23+FC_CRONOGRAMA!T21*SUP_OPEX!$E$23+T129+T130</f>
        <v>71398</v>
      </c>
      <c r="U22" s="380" t="n">
        <f aca="false">FC_CRONOGRAMA!U20*SUP_OPEX!$D$23+FC_CRONOGRAMA!U21*SUP_OPEX!$E$23+U129+U130</f>
        <v>71398</v>
      </c>
      <c r="V22" s="380" t="n">
        <f aca="false">FC_CRONOGRAMA!V20*SUP_OPEX!$D$23+FC_CRONOGRAMA!V21*SUP_OPEX!$E$23+V129+V130</f>
        <v>71398</v>
      </c>
      <c r="W22" s="380" t="n">
        <f aca="false">FC_CRONOGRAMA!W20*SUP_OPEX!$D$23+FC_CRONOGRAMA!W21*SUP_OPEX!$E$23+W129+W130</f>
        <v>71398</v>
      </c>
      <c r="X22" s="380" t="n">
        <f aca="false">FC_CRONOGRAMA!X20*SUP_OPEX!$D$23+FC_CRONOGRAMA!X21*SUP_OPEX!$E$23+X129+X130</f>
        <v>71398</v>
      </c>
      <c r="Y22" s="380" t="n">
        <f aca="false">FC_CRONOGRAMA!Y20*SUP_OPEX!$D$23+FC_CRONOGRAMA!Y21*SUP_OPEX!$E$23+Y129+Y130</f>
        <v>71398</v>
      </c>
      <c r="Z22" s="380" t="n">
        <f aca="false">FC_CRONOGRAMA!Z20*SUP_OPEX!$D$23+FC_CRONOGRAMA!Z21*SUP_OPEX!$E$23+Z129+Z130</f>
        <v>71398</v>
      </c>
      <c r="AA22" s="380" t="n">
        <f aca="false">FC_CRONOGRAMA!AA20*SUP_OPEX!$D$23+FC_CRONOGRAMA!AA21*SUP_OPEX!$E$23+AA129+AA130</f>
        <v>71398</v>
      </c>
      <c r="AB22" s="380" t="n">
        <f aca="false">FC_CRONOGRAMA!AB20*SUP_OPEX!$D$23+FC_CRONOGRAMA!AB21*SUP_OPEX!$E$23+AB129+AB130</f>
        <v>71398</v>
      </c>
      <c r="AC22" s="380" t="n">
        <f aca="false">FC_CRONOGRAMA!AC20*SUP_OPEX!$D$23+FC_CRONOGRAMA!AC21*SUP_OPEX!$E$23+AC129+AC130</f>
        <v>71398</v>
      </c>
      <c r="AD22" s="380" t="n">
        <f aca="false">FC_CRONOGRAMA!AD20*SUP_OPEX!$D$23+FC_CRONOGRAMA!AD21*SUP_OPEX!$E$23+AD129+AD130</f>
        <v>71398</v>
      </c>
      <c r="AE22" s="380" t="n">
        <f aca="false">FC_CRONOGRAMA!AE20*SUP_OPEX!$D$23+FC_CRONOGRAMA!AE21*SUP_OPEX!$E$23+AE129+AE130</f>
        <v>71398</v>
      </c>
      <c r="AF22" s="380" t="n">
        <f aca="false">FC_CRONOGRAMA!AF20*SUP_OPEX!$D$23+FC_CRONOGRAMA!AF21*SUP_OPEX!$E$23+AF129+AF130</f>
        <v>71398</v>
      </c>
      <c r="AG22" s="380" t="n">
        <f aca="false">FC_CRONOGRAMA!AG20*SUP_OPEX!$D$23+FC_CRONOGRAMA!AG21*SUP_OPEX!$E$23+AG129+AG130</f>
        <v>71398</v>
      </c>
      <c r="AH22" s="380" t="n">
        <f aca="false">FC_CRONOGRAMA!AH20*SUP_OPEX!$D$23+FC_CRONOGRAMA!AH21*SUP_OPEX!$E$23+AH129+AH130</f>
        <v>71398</v>
      </c>
      <c r="AI22" s="380" t="n">
        <f aca="false">FC_CRONOGRAMA!AI20*SUP_OPEX!$D$23+FC_CRONOGRAMA!AI21*SUP_OPEX!$E$23+AI129+AI130</f>
        <v>71398</v>
      </c>
      <c r="AJ22" s="380" t="n">
        <f aca="false">FC_CRONOGRAMA!AJ20*SUP_OPEX!$D$23+FC_CRONOGRAMA!AJ21*SUP_OPEX!$E$23+AJ129+AJ130</f>
        <v>71398</v>
      </c>
      <c r="AK22" s="380" t="n">
        <f aca="false">FC_CRONOGRAMA!AK20*SUP_OPEX!$D$23+FC_CRONOGRAMA!AK21*SUP_OPEX!$E$23+AK129+AK130</f>
        <v>71398</v>
      </c>
      <c r="AL22" s="380" t="n">
        <f aca="false">FC_CRONOGRAMA!AL20*SUP_OPEX!$D$23+FC_CRONOGRAMA!AL21*SUP_OPEX!$E$23+AL129+AL130</f>
        <v>71398</v>
      </c>
      <c r="AM22" s="380" t="n">
        <f aca="false">FC_CRONOGRAMA!AM20*SUP_OPEX!$D$23+FC_CRONOGRAMA!AM21*SUP_OPEX!$E$23+AM129+AM130</f>
        <v>71398</v>
      </c>
      <c r="AN22" s="380" t="n">
        <f aca="false">FC_CRONOGRAMA!AN20*SUP_OPEX!$D$23+FC_CRONOGRAMA!AN21*SUP_OPEX!$E$23+AN129+AN130</f>
        <v>71398</v>
      </c>
      <c r="AO22" s="380" t="n">
        <f aca="false">FC_CRONOGRAMA!AO20*SUP_OPEX!$D$23+FC_CRONOGRAMA!AO21*SUP_OPEX!$E$23+AO129+AO130</f>
        <v>71398</v>
      </c>
      <c r="AP22" s="380" t="n">
        <f aca="false">FC_CRONOGRAMA!AP20*SUP_OPEX!$D$23+FC_CRONOGRAMA!AP21*SUP_OPEX!$E$23+AP129+AP130</f>
        <v>71398</v>
      </c>
      <c r="AQ22" s="380" t="n">
        <f aca="false">FC_CRONOGRAMA!AQ20*SUP_OPEX!$D$23+FC_CRONOGRAMA!AQ21*SUP_OPEX!$E$23+AQ129+AQ130</f>
        <v>71398</v>
      </c>
      <c r="AR22" s="380" t="n">
        <f aca="false">FC_CRONOGRAMA!AR20*SUP_OPEX!$D$23+FC_CRONOGRAMA!AR21*SUP_OPEX!$E$23+AR129+AR130</f>
        <v>71398</v>
      </c>
      <c r="AS22" s="380" t="n">
        <f aca="false">FC_CRONOGRAMA!AS20*SUP_OPEX!$D$23+FC_CRONOGRAMA!AS21*SUP_OPEX!$E$23+AS129+AS130</f>
        <v>71398</v>
      </c>
      <c r="AT22" s="380" t="n">
        <f aca="false">FC_CRONOGRAMA!AT20*SUP_OPEX!$D$23+FC_CRONOGRAMA!AT21*SUP_OPEX!$E$23+AT129+AT130</f>
        <v>71398</v>
      </c>
      <c r="AU22" s="380" t="n">
        <f aca="false">FC_CRONOGRAMA!AU20*SUP_OPEX!$D$23+FC_CRONOGRAMA!AU21*SUP_OPEX!$E$23+AU129+AU130</f>
        <v>71398</v>
      </c>
      <c r="AV22" s="380" t="n">
        <f aca="false">FC_CRONOGRAMA!AV20*SUP_OPEX!$D$23+FC_CRONOGRAMA!AV21*SUP_OPEX!$E$23+AV129+AV130</f>
        <v>71398</v>
      </c>
      <c r="AW22" s="380" t="n">
        <f aca="false">FC_CRONOGRAMA!AW20*SUP_OPEX!$D$23+FC_CRONOGRAMA!AW21*SUP_OPEX!$E$23+AW129+AW130</f>
        <v>71398</v>
      </c>
      <c r="AX22" s="380" t="n">
        <f aca="false">FC_CRONOGRAMA!AX20*SUP_OPEX!$D$23+FC_CRONOGRAMA!AX21*SUP_OPEX!$E$23+AX129+AX130</f>
        <v>71398</v>
      </c>
      <c r="AY22" s="380" t="n">
        <f aca="false">FC_CRONOGRAMA!AY20*SUP_OPEX!$D$23+FC_CRONOGRAMA!AY21*SUP_OPEX!$E$23+AY129+AY130</f>
        <v>71398</v>
      </c>
      <c r="AZ22" s="380" t="n">
        <f aca="false">FC_CRONOGRAMA!AZ20*SUP_OPEX!$D$23+FC_CRONOGRAMA!AZ21*SUP_OPEX!$E$23+AZ129+AZ130</f>
        <v>71398</v>
      </c>
      <c r="BA22" s="380" t="n">
        <f aca="false">FC_CRONOGRAMA!BA20*SUP_OPEX!$D$23+FC_CRONOGRAMA!BA21*SUP_OPEX!$E$23+BA129+BA130</f>
        <v>71398</v>
      </c>
      <c r="BB22" s="380" t="n">
        <f aca="false">FC_CRONOGRAMA!BB20*SUP_OPEX!$D$23+FC_CRONOGRAMA!BB21*SUP_OPEX!$E$23+BB129+BB130</f>
        <v>71398</v>
      </c>
      <c r="BC22" s="380" t="n">
        <f aca="false">FC_CRONOGRAMA!BC20*SUP_OPEX!$D$23+FC_CRONOGRAMA!BC21*SUP_OPEX!$E$23+BC129+BC130</f>
        <v>71398</v>
      </c>
      <c r="BD22" s="380" t="n">
        <f aca="false">FC_CRONOGRAMA!BD20*SUP_OPEX!$D$23+FC_CRONOGRAMA!BD21*SUP_OPEX!$E$23+BD129+BD130</f>
        <v>71398</v>
      </c>
      <c r="BE22" s="380" t="n">
        <f aca="false">FC_CRONOGRAMA!BE20*SUP_OPEX!$D$23+FC_CRONOGRAMA!BE21*SUP_OPEX!$E$23+BE129+BE130</f>
        <v>71398</v>
      </c>
      <c r="BF22" s="380" t="n">
        <f aca="false">FC_CRONOGRAMA!BF20*SUP_OPEX!$D$23+FC_CRONOGRAMA!BF21*SUP_OPEX!$E$23+BF129+BF130</f>
        <v>71398</v>
      </c>
      <c r="BG22" s="380" t="n">
        <f aca="false">FC_CRONOGRAMA!BG20*SUP_OPEX!$D$23+FC_CRONOGRAMA!BG21*SUP_OPEX!$E$23+BG129+BG130</f>
        <v>71398</v>
      </c>
      <c r="BH22" s="380" t="n">
        <f aca="false">FC_CRONOGRAMA!BH20*SUP_OPEX!$D$23+FC_CRONOGRAMA!BH21*SUP_OPEX!$E$23+BH129+BH130</f>
        <v>71398</v>
      </c>
      <c r="BI22" s="380" t="n">
        <f aca="false">FC_CRONOGRAMA!BI20*SUP_OPEX!$D$23+FC_CRONOGRAMA!BI21*SUP_OPEX!$E$23+BI129+BI130</f>
        <v>71398</v>
      </c>
      <c r="BJ22" s="380" t="n">
        <f aca="false">FC_CRONOGRAMA!BJ20*SUP_OPEX!$D$23+FC_CRONOGRAMA!BJ21*SUP_OPEX!$E$23+BJ129+BJ130</f>
        <v>71398</v>
      </c>
      <c r="BK22" s="380" t="n">
        <f aca="false">FC_CRONOGRAMA!BK20*SUP_OPEX!$D$23+FC_CRONOGRAMA!BK21*SUP_OPEX!$E$23+BK129+BK130</f>
        <v>71398</v>
      </c>
    </row>
    <row r="23" customFormat="false" ht="15" hidden="false" customHeight="true" outlineLevel="0" collapsed="false">
      <c r="B23" s="297" t="s">
        <v>2923</v>
      </c>
      <c r="D23" s="380" t="n">
        <f aca="false">FC_CRONOGRAMA!D44*SUP_OPEX!$F$23</f>
        <v>0</v>
      </c>
      <c r="E23" s="380" t="n">
        <f aca="false">FC_CRONOGRAMA!E44*SUP_OPEX!$F$23</f>
        <v>0</v>
      </c>
      <c r="F23" s="380" t="n">
        <f aca="false">FC_CRONOGRAMA!F44*SUP_OPEX!$F$23</f>
        <v>0</v>
      </c>
      <c r="G23" s="380" t="n">
        <f aca="false">FC_CRONOGRAMA!G44*SUP_OPEX!$F$23</f>
        <v>0</v>
      </c>
      <c r="H23" s="380" t="n">
        <f aca="false">FC_CRONOGRAMA!H44*SUP_OPEX!$F$23</f>
        <v>0</v>
      </c>
      <c r="I23" s="380" t="n">
        <f aca="false">FC_CRONOGRAMA!I44*SUP_OPEX!$F$23</f>
        <v>0</v>
      </c>
      <c r="J23" s="380" t="n">
        <f aca="false">FC_CRONOGRAMA!J44*SUP_OPEX!$F$23</f>
        <v>0</v>
      </c>
      <c r="K23" s="380" t="n">
        <f aca="false">FC_CRONOGRAMA!K44*SUP_OPEX!$F$23</f>
        <v>0</v>
      </c>
      <c r="L23" s="380" t="n">
        <f aca="false">FC_CRONOGRAMA!L44*SUP_OPEX!$F$23</f>
        <v>0</v>
      </c>
      <c r="M23" s="380" t="n">
        <f aca="false">FC_CRONOGRAMA!M44*SUP_OPEX!$F$23</f>
        <v>0</v>
      </c>
      <c r="N23" s="380" t="n">
        <f aca="false">FC_CRONOGRAMA!N44*SUP_OPEX!$F$23</f>
        <v>0</v>
      </c>
      <c r="O23" s="380" t="n">
        <f aca="false">FC_CRONOGRAMA!O44*SUP_OPEX!$F$23</f>
        <v>0</v>
      </c>
      <c r="P23" s="380" t="n">
        <f aca="false">FC_CRONOGRAMA!P44*SUP_OPEX!$F$23</f>
        <v>0</v>
      </c>
      <c r="Q23" s="380" t="n">
        <f aca="false">FC_CRONOGRAMA!Q44*SUP_OPEX!$F$23</f>
        <v>0</v>
      </c>
      <c r="R23" s="380" t="n">
        <f aca="false">FC_CRONOGRAMA!R44*SUP_OPEX!$F$23</f>
        <v>0</v>
      </c>
      <c r="S23" s="380" t="n">
        <f aca="false">FC_CRONOGRAMA!S44*SUP_OPEX!$F$23</f>
        <v>0</v>
      </c>
      <c r="T23" s="380" t="n">
        <f aca="false">FC_CRONOGRAMA!T44*SUP_OPEX!$F$23</f>
        <v>0</v>
      </c>
      <c r="U23" s="380" t="n">
        <f aca="false">FC_CRONOGRAMA!U44*SUP_OPEX!$F$23</f>
        <v>0</v>
      </c>
      <c r="V23" s="380" t="n">
        <f aca="false">FC_CRONOGRAMA!V44*SUP_OPEX!$F$23</f>
        <v>0</v>
      </c>
      <c r="W23" s="380" t="n">
        <f aca="false">FC_CRONOGRAMA!W44*SUP_OPEX!$F$23</f>
        <v>0</v>
      </c>
      <c r="X23" s="380" t="n">
        <f aca="false">FC_CRONOGRAMA!X44*SUP_OPEX!$F$23</f>
        <v>0</v>
      </c>
      <c r="Y23" s="380" t="n">
        <f aca="false">FC_CRONOGRAMA!Y44*SUP_OPEX!$F$23</f>
        <v>0</v>
      </c>
      <c r="Z23" s="380" t="n">
        <f aca="false">FC_CRONOGRAMA!Z44*SUP_OPEX!$F$23</f>
        <v>0</v>
      </c>
      <c r="AA23" s="380" t="n">
        <f aca="false">FC_CRONOGRAMA!AA44*SUP_OPEX!$F$23</f>
        <v>0</v>
      </c>
      <c r="AB23" s="380" t="n">
        <f aca="false">FC_CRONOGRAMA!AB44*SUP_OPEX!$F$23</f>
        <v>0</v>
      </c>
      <c r="AC23" s="380" t="n">
        <f aca="false">FC_CRONOGRAMA!AC44*SUP_OPEX!$F$23</f>
        <v>0</v>
      </c>
      <c r="AD23" s="380" t="n">
        <f aca="false">FC_CRONOGRAMA!AD44*SUP_OPEX!$F$23</f>
        <v>0</v>
      </c>
      <c r="AE23" s="380" t="n">
        <f aca="false">FC_CRONOGRAMA!AE44*SUP_OPEX!$F$23</f>
        <v>0</v>
      </c>
      <c r="AF23" s="380" t="n">
        <f aca="false">FC_CRONOGRAMA!AF44*SUP_OPEX!$F$23</f>
        <v>0</v>
      </c>
      <c r="AG23" s="380" t="n">
        <f aca="false">FC_CRONOGRAMA!AG44*SUP_OPEX!$F$23</f>
        <v>0</v>
      </c>
      <c r="AH23" s="380" t="n">
        <f aca="false">FC_CRONOGRAMA!AH44*SUP_OPEX!$F$23</f>
        <v>0</v>
      </c>
      <c r="AI23" s="380" t="n">
        <f aca="false">FC_CRONOGRAMA!AI44*SUP_OPEX!$F$23</f>
        <v>0</v>
      </c>
      <c r="AJ23" s="380" t="n">
        <f aca="false">FC_CRONOGRAMA!AJ44*SUP_OPEX!$F$23</f>
        <v>0</v>
      </c>
      <c r="AK23" s="380" t="n">
        <f aca="false">FC_CRONOGRAMA!AK44*SUP_OPEX!$F$23</f>
        <v>0</v>
      </c>
      <c r="AL23" s="380" t="n">
        <f aca="false">FC_CRONOGRAMA!AL44*SUP_OPEX!$F$23</f>
        <v>0</v>
      </c>
      <c r="AM23" s="380" t="n">
        <f aca="false">FC_CRONOGRAMA!AM44*SUP_OPEX!$F$23</f>
        <v>0</v>
      </c>
      <c r="AN23" s="380" t="n">
        <f aca="false">FC_CRONOGRAMA!AN44*SUP_OPEX!$F$23</f>
        <v>0</v>
      </c>
      <c r="AO23" s="380" t="n">
        <f aca="false">FC_CRONOGRAMA!AO44*SUP_OPEX!$F$23</f>
        <v>0</v>
      </c>
      <c r="AP23" s="380" t="n">
        <f aca="false">FC_CRONOGRAMA!AP44*SUP_OPEX!$F$23</f>
        <v>0</v>
      </c>
      <c r="AQ23" s="380" t="n">
        <f aca="false">FC_CRONOGRAMA!AQ44*SUP_OPEX!$F$23</f>
        <v>0</v>
      </c>
      <c r="AR23" s="380" t="n">
        <f aca="false">FC_CRONOGRAMA!AR44*SUP_OPEX!$F$23</f>
        <v>0</v>
      </c>
      <c r="AS23" s="380" t="n">
        <f aca="false">FC_CRONOGRAMA!AS44*SUP_OPEX!$F$23</f>
        <v>0</v>
      </c>
      <c r="AT23" s="380" t="n">
        <f aca="false">FC_CRONOGRAMA!AT44*SUP_OPEX!$F$23</f>
        <v>0</v>
      </c>
      <c r="AU23" s="380" t="n">
        <f aca="false">FC_CRONOGRAMA!AU44*SUP_OPEX!$F$23</f>
        <v>0</v>
      </c>
      <c r="AV23" s="380" t="n">
        <f aca="false">FC_CRONOGRAMA!AV44*SUP_OPEX!$F$23</f>
        <v>0</v>
      </c>
      <c r="AW23" s="380" t="n">
        <f aca="false">FC_CRONOGRAMA!AW44*SUP_OPEX!$F$23</f>
        <v>0</v>
      </c>
      <c r="AX23" s="380" t="n">
        <f aca="false">FC_CRONOGRAMA!AX44*SUP_OPEX!$F$23</f>
        <v>0</v>
      </c>
      <c r="AY23" s="380" t="n">
        <f aca="false">FC_CRONOGRAMA!AY44*SUP_OPEX!$F$23</f>
        <v>0</v>
      </c>
      <c r="AZ23" s="380" t="n">
        <f aca="false">FC_CRONOGRAMA!AZ44*SUP_OPEX!$F$23</f>
        <v>0</v>
      </c>
      <c r="BA23" s="380" t="n">
        <f aca="false">FC_CRONOGRAMA!BA44*SUP_OPEX!$F$23</f>
        <v>0</v>
      </c>
      <c r="BB23" s="380" t="n">
        <f aca="false">FC_CRONOGRAMA!BB44*SUP_OPEX!$F$23</f>
        <v>0</v>
      </c>
      <c r="BC23" s="380" t="n">
        <f aca="false">FC_CRONOGRAMA!BC44*SUP_OPEX!$F$23</f>
        <v>0</v>
      </c>
      <c r="BD23" s="380" t="n">
        <f aca="false">FC_CRONOGRAMA!BD44*SUP_OPEX!$F$23</f>
        <v>0</v>
      </c>
      <c r="BE23" s="380" t="n">
        <f aca="false">FC_CRONOGRAMA!BE44*SUP_OPEX!$F$23</f>
        <v>0</v>
      </c>
      <c r="BF23" s="380" t="n">
        <f aca="false">FC_CRONOGRAMA!BF44*SUP_OPEX!$F$23</f>
        <v>0</v>
      </c>
      <c r="BG23" s="380" t="n">
        <f aca="false">FC_CRONOGRAMA!BG44*SUP_OPEX!$F$23</f>
        <v>0</v>
      </c>
      <c r="BH23" s="380" t="n">
        <f aca="false">FC_CRONOGRAMA!BH44*SUP_OPEX!$F$23</f>
        <v>0</v>
      </c>
      <c r="BI23" s="380" t="n">
        <f aca="false">FC_CRONOGRAMA!BI44*SUP_OPEX!$F$23</f>
        <v>0</v>
      </c>
      <c r="BJ23" s="380" t="n">
        <f aca="false">FC_CRONOGRAMA!BJ44*SUP_OPEX!$F$23</f>
        <v>0</v>
      </c>
      <c r="BK23" s="380" t="n">
        <f aca="false">FC_CRONOGRAMA!BK44*SUP_OPEX!$F$23</f>
        <v>0</v>
      </c>
    </row>
    <row r="24" customFormat="false" ht="15" hidden="false" customHeight="true" outlineLevel="0" collapsed="false">
      <c r="B24" s="297" t="s">
        <v>2924</v>
      </c>
      <c r="D24" s="380" t="n">
        <f aca="false">D11*SUP_OPEX!$C$30</f>
        <v>0</v>
      </c>
      <c r="E24" s="380" t="n">
        <f aca="false">E11*SUP_OPEX!$C$30</f>
        <v>0</v>
      </c>
      <c r="F24" s="380" t="n">
        <f aca="false">F11*SUP_OPEX!$C$30</f>
        <v>0</v>
      </c>
      <c r="G24" s="380" t="n">
        <f aca="false">G11*SUP_OPEX!$C$30</f>
        <v>0</v>
      </c>
      <c r="H24" s="380" t="n">
        <f aca="false">H11*SUP_OPEX!$C$30</f>
        <v>0</v>
      </c>
      <c r="I24" s="380" t="n">
        <f aca="false">I11*SUP_OPEX!$C$30</f>
        <v>0</v>
      </c>
      <c r="J24" s="380" t="n">
        <f aca="false">J11*SUP_OPEX!$C$30</f>
        <v>0</v>
      </c>
      <c r="K24" s="380" t="n">
        <f aca="false">K11*SUP_OPEX!$C$30</f>
        <v>0</v>
      </c>
      <c r="L24" s="380" t="n">
        <f aca="false">L11*SUP_OPEX!$C$30</f>
        <v>0</v>
      </c>
      <c r="M24" s="380" t="n">
        <f aca="false">M11*SUP_OPEX!$C$30</f>
        <v>7219.39819210193</v>
      </c>
      <c r="N24" s="380" t="n">
        <f aca="false">N11*SUP_OPEX!$C$30</f>
        <v>15985.8102825114</v>
      </c>
      <c r="O24" s="380" t="n">
        <f aca="false">O11*SUP_OPEX!$C$30</f>
        <v>26299.2362712285</v>
      </c>
      <c r="P24" s="380" t="n">
        <f aca="false">P11*SUP_OPEX!$C$30</f>
        <v>37695.5719887608</v>
      </c>
      <c r="Q24" s="380" t="n">
        <f aca="false">Q11*SUP_OPEX!$C$30</f>
        <v>50406.8695198545</v>
      </c>
      <c r="R24" s="380" t="n">
        <f aca="false">R11*SUP_OPEX!$C$30</f>
        <v>54197.0535707081</v>
      </c>
      <c r="S24" s="380" t="n">
        <f aca="false">S11*SUP_OPEX!$C$30</f>
        <v>56208.1716385079</v>
      </c>
      <c r="T24" s="380" t="n">
        <f aca="false">T11*SUP_OPEX!$C$30</f>
        <v>56208.1716385079</v>
      </c>
      <c r="U24" s="380" t="n">
        <f aca="false">U11*SUP_OPEX!$C$30</f>
        <v>56208.1716385079</v>
      </c>
      <c r="V24" s="380" t="n">
        <f aca="false">V11*SUP_OPEX!$C$30</f>
        <v>56208.1716385079</v>
      </c>
      <c r="W24" s="380" t="n">
        <f aca="false">W11*SUP_OPEX!$C$30</f>
        <v>56208.1716385079</v>
      </c>
      <c r="X24" s="380" t="n">
        <f aca="false">X11*SUP_OPEX!$C$30</f>
        <v>56208.1716385079</v>
      </c>
      <c r="Y24" s="380" t="n">
        <f aca="false">Y11*SUP_OPEX!$C$30</f>
        <v>56208.1716385079</v>
      </c>
      <c r="Z24" s="380" t="n">
        <f aca="false">Z11*SUP_OPEX!$C$30</f>
        <v>56208.1716385079</v>
      </c>
      <c r="AA24" s="380" t="n">
        <f aca="false">AA11*SUP_OPEX!$C$30</f>
        <v>56208.1716385079</v>
      </c>
      <c r="AB24" s="380" t="n">
        <f aca="false">AB11*SUP_OPEX!$C$30</f>
        <v>56208.1716385079</v>
      </c>
      <c r="AC24" s="380" t="n">
        <f aca="false">AC11*SUP_OPEX!$C$30</f>
        <v>56208.1716385079</v>
      </c>
      <c r="AD24" s="380" t="n">
        <f aca="false">AD11*SUP_OPEX!$C$30</f>
        <v>56208.1716385079</v>
      </c>
      <c r="AE24" s="380" t="n">
        <f aca="false">AE11*SUP_OPEX!$C$30</f>
        <v>56208.1716385079</v>
      </c>
      <c r="AF24" s="380" t="n">
        <f aca="false">AF11*SUP_OPEX!$C$30</f>
        <v>56208.1716385079</v>
      </c>
      <c r="AG24" s="380" t="n">
        <f aca="false">AG11*SUP_OPEX!$C$30</f>
        <v>56208.1716385079</v>
      </c>
      <c r="AH24" s="380" t="n">
        <f aca="false">AH11*SUP_OPEX!$C$30</f>
        <v>56208.1716385079</v>
      </c>
      <c r="AI24" s="380" t="n">
        <f aca="false">AI11*SUP_OPEX!$C$30</f>
        <v>56208.1716385079</v>
      </c>
      <c r="AJ24" s="380" t="n">
        <f aca="false">AJ11*SUP_OPEX!$C$30</f>
        <v>56208.1716385079</v>
      </c>
      <c r="AK24" s="380" t="n">
        <f aca="false">AK11*SUP_OPEX!$C$30</f>
        <v>56208.1716385079</v>
      </c>
      <c r="AL24" s="380" t="n">
        <f aca="false">AL11*SUP_OPEX!$C$30</f>
        <v>56208.1716385079</v>
      </c>
      <c r="AM24" s="380" t="n">
        <f aca="false">AM11*SUP_OPEX!$C$30</f>
        <v>56208.1716385079</v>
      </c>
      <c r="AN24" s="380" t="n">
        <f aca="false">AN11*SUP_OPEX!$C$30</f>
        <v>56208.1716385079</v>
      </c>
      <c r="AO24" s="380" t="n">
        <f aca="false">AO11*SUP_OPEX!$C$30</f>
        <v>56208.1716385079</v>
      </c>
      <c r="AP24" s="380" t="n">
        <f aca="false">AP11*SUP_OPEX!$C$30</f>
        <v>56208.1716385079</v>
      </c>
      <c r="AQ24" s="380" t="n">
        <f aca="false">AQ11*SUP_OPEX!$C$30</f>
        <v>56208.1716385079</v>
      </c>
      <c r="AR24" s="380" t="n">
        <f aca="false">AR11*SUP_OPEX!$C$30</f>
        <v>56208.1716385079</v>
      </c>
      <c r="AS24" s="380" t="n">
        <f aca="false">AS11*SUP_OPEX!$C$30</f>
        <v>56208.1716385079</v>
      </c>
      <c r="AT24" s="380" t="n">
        <f aca="false">AT11*SUP_OPEX!$C$30</f>
        <v>56208.1716385079</v>
      </c>
      <c r="AU24" s="380" t="n">
        <f aca="false">AU11*SUP_OPEX!$C$30</f>
        <v>56208.1716385079</v>
      </c>
      <c r="AV24" s="380" t="n">
        <f aca="false">AV11*SUP_OPEX!$C$30</f>
        <v>56208.1716385079</v>
      </c>
      <c r="AW24" s="380" t="n">
        <f aca="false">AW11*SUP_OPEX!$C$30</f>
        <v>56208.1716385079</v>
      </c>
      <c r="AX24" s="380" t="n">
        <f aca="false">AX11*SUP_OPEX!$C$30</f>
        <v>56208.1716385079</v>
      </c>
      <c r="AY24" s="380" t="n">
        <f aca="false">AY11*SUP_OPEX!$C$30</f>
        <v>56208.1716385079</v>
      </c>
      <c r="AZ24" s="380" t="n">
        <f aca="false">AZ11*SUP_OPEX!$C$30</f>
        <v>56208.1716385079</v>
      </c>
      <c r="BA24" s="380" t="n">
        <f aca="false">BA11*SUP_OPEX!$C$30</f>
        <v>56208.1716385079</v>
      </c>
      <c r="BB24" s="380" t="n">
        <f aca="false">BB11*SUP_OPEX!$C$30</f>
        <v>56208.1716385079</v>
      </c>
      <c r="BC24" s="380" t="n">
        <f aca="false">BC11*SUP_OPEX!$C$30</f>
        <v>56208.1716385079</v>
      </c>
      <c r="BD24" s="380" t="n">
        <f aca="false">BD11*SUP_OPEX!$C$30</f>
        <v>56208.1716385079</v>
      </c>
      <c r="BE24" s="380" t="n">
        <f aca="false">BE11*SUP_OPEX!$C$30</f>
        <v>56208.1716385079</v>
      </c>
      <c r="BF24" s="380" t="n">
        <f aca="false">BF11*SUP_OPEX!$C$30</f>
        <v>56208.1716385079</v>
      </c>
      <c r="BG24" s="380" t="n">
        <f aca="false">BG11*SUP_OPEX!$C$30</f>
        <v>56208.1716385079</v>
      </c>
      <c r="BH24" s="380" t="n">
        <f aca="false">BH11*SUP_OPEX!$C$30</f>
        <v>56208.1716385079</v>
      </c>
      <c r="BI24" s="380" t="n">
        <f aca="false">BI11*SUP_OPEX!$C$30</f>
        <v>56208.1716385079</v>
      </c>
      <c r="BJ24" s="380" t="n">
        <f aca="false">BJ11*SUP_OPEX!$C$30</f>
        <v>56208.1716385079</v>
      </c>
      <c r="BK24" s="380" t="n">
        <f aca="false">BK11*SUP_OPEX!$C$30</f>
        <v>56208.1716385079</v>
      </c>
    </row>
    <row r="25" customFormat="false" ht="15" hidden="false" customHeight="true" outlineLevel="0" collapsed="false">
      <c r="B25" s="297" t="s">
        <v>2925</v>
      </c>
      <c r="D25" s="380" t="n">
        <f aca="false">(D9+D10)*SUP_OPEX!$C$31</f>
        <v>0</v>
      </c>
      <c r="E25" s="380" t="n">
        <f aca="false">(E9+E10)*SUP_OPEX!$C$31</f>
        <v>0</v>
      </c>
      <c r="F25" s="380" t="n">
        <f aca="false">(F9+F10)*SUP_OPEX!$C$31</f>
        <v>0</v>
      </c>
      <c r="G25" s="380" t="n">
        <f aca="false">(G9+G10)*SUP_OPEX!$C$31</f>
        <v>0</v>
      </c>
      <c r="H25" s="380" t="n">
        <f aca="false">(H9+H10)*SUP_OPEX!$C$31</f>
        <v>0</v>
      </c>
      <c r="I25" s="380" t="n">
        <f aca="false">(I9+I10)*SUP_OPEX!$C$31</f>
        <v>0</v>
      </c>
      <c r="J25" s="380" t="n">
        <f aca="false">(J9+J10)*SUP_OPEX!$C$31</f>
        <v>0</v>
      </c>
      <c r="K25" s="380" t="n">
        <f aca="false">(K9+K10)*SUP_OPEX!$C$31</f>
        <v>0</v>
      </c>
      <c r="L25" s="380" t="n">
        <f aca="false">(L9+L10)*SUP_OPEX!$C$31</f>
        <v>0</v>
      </c>
      <c r="M25" s="380" t="n">
        <f aca="false">(M9+M10)*SUP_OPEX!$C$31</f>
        <v>0</v>
      </c>
      <c r="N25" s="380" t="n">
        <f aca="false">(N9+N10)*SUP_OPEX!$C$31</f>
        <v>0</v>
      </c>
      <c r="O25" s="380" t="n">
        <f aca="false">(O9+O10)*SUP_OPEX!$C$31</f>
        <v>0</v>
      </c>
      <c r="P25" s="380" t="n">
        <f aca="false">(P9+P10)*SUP_OPEX!$C$31</f>
        <v>0</v>
      </c>
      <c r="Q25" s="380" t="n">
        <f aca="false">(Q9+Q10)*SUP_OPEX!$C$31</f>
        <v>0</v>
      </c>
      <c r="R25" s="380" t="n">
        <f aca="false">(R9+R10)*SUP_OPEX!$C$31</f>
        <v>0</v>
      </c>
      <c r="S25" s="380" t="n">
        <f aca="false">(S9+S10)*SUP_OPEX!$C$31</f>
        <v>0</v>
      </c>
      <c r="T25" s="380" t="n">
        <f aca="false">(T9+T10)*SUP_OPEX!$C$31</f>
        <v>0</v>
      </c>
      <c r="U25" s="380" t="n">
        <f aca="false">(U9+U10)*SUP_OPEX!$C$31</f>
        <v>0</v>
      </c>
      <c r="V25" s="380" t="n">
        <f aca="false">(V9+V10)*SUP_OPEX!$C$31</f>
        <v>0</v>
      </c>
      <c r="W25" s="380" t="n">
        <f aca="false">(W9+W10)*SUP_OPEX!$C$31</f>
        <v>0</v>
      </c>
      <c r="X25" s="380" t="n">
        <f aca="false">(X9+X10)*SUP_OPEX!$C$31</f>
        <v>0</v>
      </c>
      <c r="Y25" s="380" t="n">
        <f aca="false">(Y9+Y10)*SUP_OPEX!$C$31</f>
        <v>0</v>
      </c>
      <c r="Z25" s="380" t="n">
        <f aca="false">(Z9+Z10)*SUP_OPEX!$C$31</f>
        <v>0</v>
      </c>
      <c r="AA25" s="380" t="n">
        <f aca="false">(AA9+AA10)*SUP_OPEX!$C$31</f>
        <v>0</v>
      </c>
      <c r="AB25" s="380" t="n">
        <f aca="false">(AB9+AB10)*SUP_OPEX!$C$31</f>
        <v>0</v>
      </c>
      <c r="AC25" s="380" t="n">
        <f aca="false">(AC9+AC10)*SUP_OPEX!$C$31</f>
        <v>0</v>
      </c>
      <c r="AD25" s="380" t="n">
        <f aca="false">(AD9+AD10)*SUP_OPEX!$C$31</f>
        <v>0</v>
      </c>
      <c r="AE25" s="380" t="n">
        <f aca="false">(AE9+AE10)*SUP_OPEX!$C$31</f>
        <v>0</v>
      </c>
      <c r="AF25" s="380" t="n">
        <f aca="false">(AF9+AF10)*SUP_OPEX!$C$31</f>
        <v>0</v>
      </c>
      <c r="AG25" s="380" t="n">
        <f aca="false">(AG9+AG10)*SUP_OPEX!$C$31</f>
        <v>0</v>
      </c>
      <c r="AH25" s="380" t="n">
        <f aca="false">(AH9+AH10)*SUP_OPEX!$C$31</f>
        <v>0</v>
      </c>
      <c r="AI25" s="380" t="n">
        <f aca="false">(AI9+AI10)*SUP_OPEX!$C$31</f>
        <v>0</v>
      </c>
      <c r="AJ25" s="380" t="n">
        <f aca="false">(AJ9+AJ10)*SUP_OPEX!$C$31</f>
        <v>0</v>
      </c>
      <c r="AK25" s="380" t="n">
        <f aca="false">(AK9+AK10)*SUP_OPEX!$C$31</f>
        <v>0</v>
      </c>
      <c r="AL25" s="380" t="n">
        <f aca="false">(AL9+AL10)*SUP_OPEX!$C$31</f>
        <v>0</v>
      </c>
      <c r="AM25" s="380" t="n">
        <f aca="false">(AM9+AM10)*SUP_OPEX!$C$31</f>
        <v>0</v>
      </c>
      <c r="AN25" s="380" t="n">
        <f aca="false">(AN9+AN10)*SUP_OPEX!$C$31</f>
        <v>0</v>
      </c>
      <c r="AO25" s="380" t="n">
        <f aca="false">(AO9+AO10)*SUP_OPEX!$C$31</f>
        <v>0</v>
      </c>
      <c r="AP25" s="380" t="n">
        <f aca="false">(AP9+AP10)*SUP_OPEX!$C$31</f>
        <v>0</v>
      </c>
      <c r="AQ25" s="380" t="n">
        <f aca="false">(AQ9+AQ10)*SUP_OPEX!$C$31</f>
        <v>0</v>
      </c>
      <c r="AR25" s="380" t="n">
        <f aca="false">(AR9+AR10)*SUP_OPEX!$C$31</f>
        <v>0</v>
      </c>
      <c r="AS25" s="380" t="n">
        <f aca="false">(AS9+AS10)*SUP_OPEX!$C$31</f>
        <v>0</v>
      </c>
      <c r="AT25" s="380" t="n">
        <f aca="false">(AT9+AT10)*SUP_OPEX!$C$31</f>
        <v>0</v>
      </c>
      <c r="AU25" s="380" t="n">
        <f aca="false">(AU9+AU10)*SUP_OPEX!$C$31</f>
        <v>0</v>
      </c>
      <c r="AV25" s="380" t="n">
        <f aca="false">(AV9+AV10)*SUP_OPEX!$C$31</f>
        <v>0</v>
      </c>
      <c r="AW25" s="380" t="n">
        <f aca="false">(AW9+AW10)*SUP_OPEX!$C$31</f>
        <v>0</v>
      </c>
      <c r="AX25" s="380" t="n">
        <f aca="false">(AX9+AX10)*SUP_OPEX!$C$31</f>
        <v>0</v>
      </c>
      <c r="AY25" s="380" t="n">
        <f aca="false">(AY9+AY10)*SUP_OPEX!$C$31</f>
        <v>0</v>
      </c>
      <c r="AZ25" s="380" t="n">
        <f aca="false">(AZ9+AZ10)*SUP_OPEX!$C$31</f>
        <v>0</v>
      </c>
      <c r="BA25" s="380" t="n">
        <f aca="false">(BA9+BA10)*SUP_OPEX!$C$31</f>
        <v>0</v>
      </c>
      <c r="BB25" s="380" t="n">
        <f aca="false">(BB9+BB10)*SUP_OPEX!$C$31</f>
        <v>0</v>
      </c>
      <c r="BC25" s="380" t="n">
        <f aca="false">(BC9+BC10)*SUP_OPEX!$C$31</f>
        <v>0</v>
      </c>
      <c r="BD25" s="380" t="n">
        <f aca="false">(BD9+BD10)*SUP_OPEX!$C$31</f>
        <v>0</v>
      </c>
      <c r="BE25" s="380" t="n">
        <f aca="false">(BE9+BE10)*SUP_OPEX!$C$31</f>
        <v>0</v>
      </c>
      <c r="BF25" s="380" t="n">
        <f aca="false">(BF9+BF10)*SUP_OPEX!$C$31</f>
        <v>0</v>
      </c>
      <c r="BG25" s="380" t="n">
        <f aca="false">(BG9+BG10)*SUP_OPEX!$C$31</f>
        <v>0</v>
      </c>
      <c r="BH25" s="380" t="n">
        <f aca="false">(BH9+BH10)*SUP_OPEX!$C$31</f>
        <v>0</v>
      </c>
      <c r="BI25" s="380" t="n">
        <f aca="false">(BI9+BI10)*SUP_OPEX!$C$31</f>
        <v>0</v>
      </c>
      <c r="BJ25" s="380" t="n">
        <f aca="false">(BJ9+BJ10)*SUP_OPEX!$C$31</f>
        <v>0</v>
      </c>
      <c r="BK25" s="380" t="n">
        <f aca="false">(BK9+BK10)*SUP_OPEX!$C$31</f>
        <v>0</v>
      </c>
    </row>
    <row r="26" customFormat="false" ht="15" hidden="false" customHeight="true" outlineLevel="0" collapsed="false">
      <c r="B26" s="297" t="s">
        <v>2926</v>
      </c>
      <c r="D26" s="496" t="n">
        <f aca="false">IF(FC_CRONOGRAMA!D22+FC_CRONOGRAMA!D44&lt;=SUP_OVERHEAD!$C$17,0,ROUNDUP((FC_CRONOGRAMA!D22+FC_CRONOGRAMA!D44)/SUP_OVERHEAD!$C$16,0))</f>
        <v>0</v>
      </c>
      <c r="E26" s="496" t="n">
        <f aca="false">IF(FC_CRONOGRAMA!E22+FC_CRONOGRAMA!E44&lt;=SUP_OVERHEAD!$C$17,0,ROUNDUP((FC_CRONOGRAMA!E22+FC_CRONOGRAMA!E44)/SUP_OVERHEAD!$C$16,0))</f>
        <v>0</v>
      </c>
      <c r="F26" s="496" t="n">
        <f aca="false">IF(FC_CRONOGRAMA!F22+FC_CRONOGRAMA!F44&lt;=SUP_OVERHEAD!$C$17,0,ROUNDUP((FC_CRONOGRAMA!F22+FC_CRONOGRAMA!F44)/SUP_OVERHEAD!$C$16,0))</f>
        <v>0</v>
      </c>
      <c r="G26" s="496" t="n">
        <f aca="false">IF(FC_CRONOGRAMA!G22+FC_CRONOGRAMA!G44&lt;=SUP_OVERHEAD!$C$17,0,ROUNDUP((FC_CRONOGRAMA!G22+FC_CRONOGRAMA!G44)/SUP_OVERHEAD!$C$16,0))</f>
        <v>0</v>
      </c>
      <c r="H26" s="496" t="n">
        <f aca="false">IF(FC_CRONOGRAMA!H22+FC_CRONOGRAMA!H44&lt;=SUP_OVERHEAD!$C$17,0,ROUNDUP((FC_CRONOGRAMA!H22+FC_CRONOGRAMA!H44)/SUP_OVERHEAD!$C$16,0))</f>
        <v>0</v>
      </c>
      <c r="I26" s="496" t="n">
        <f aca="false">IF(FC_CRONOGRAMA!I22+FC_CRONOGRAMA!I44&lt;=SUP_OVERHEAD!$C$17,0,ROUNDUP((FC_CRONOGRAMA!I22+FC_CRONOGRAMA!I44)/SUP_OVERHEAD!$C$16,0))</f>
        <v>0</v>
      </c>
      <c r="J26" s="496" t="n">
        <f aca="false">IF(FC_CRONOGRAMA!J22+FC_CRONOGRAMA!J44&lt;=SUP_OVERHEAD!$C$17,0,ROUNDUP((FC_CRONOGRAMA!J22+FC_CRONOGRAMA!J44)/SUP_OVERHEAD!$C$16,0))</f>
        <v>0</v>
      </c>
      <c r="K26" s="496" t="n">
        <f aca="false">IF(FC_CRONOGRAMA!K22+FC_CRONOGRAMA!K44&lt;=SUP_OVERHEAD!$C$17,0,ROUNDUP((FC_CRONOGRAMA!K22+FC_CRONOGRAMA!K44)/SUP_OVERHEAD!$C$16,0))</f>
        <v>0</v>
      </c>
      <c r="L26" s="496" t="n">
        <f aca="false">IF(FC_CRONOGRAMA!L22+FC_CRONOGRAMA!L44&lt;=SUP_OVERHEAD!$C$17,0,ROUNDUP((FC_CRONOGRAMA!L22+FC_CRONOGRAMA!L44)/SUP_OVERHEAD!$C$16,0))</f>
        <v>0</v>
      </c>
      <c r="M26" s="496" t="n">
        <f aca="false">IF(FC_CRONOGRAMA!M22+FC_CRONOGRAMA!M44&lt;=SUP_OVERHEAD!$C$17,0,ROUNDUP((FC_CRONOGRAMA!M22+FC_CRONOGRAMA!M44)/SUP_OVERHEAD!$C$16,0))</f>
        <v>0</v>
      </c>
      <c r="N26" s="496" t="n">
        <f aca="false">IF(FC_CRONOGRAMA!N22+FC_CRONOGRAMA!N44&lt;=SUP_OVERHEAD!$C$17,0,ROUNDUP((FC_CRONOGRAMA!N22+FC_CRONOGRAMA!N44)/SUP_OVERHEAD!$C$16,0))</f>
        <v>0</v>
      </c>
      <c r="O26" s="496" t="n">
        <f aca="false">IF(FC_CRONOGRAMA!O22+FC_CRONOGRAMA!O44&lt;=SUP_OVERHEAD!$C$17,0,ROUNDUP((FC_CRONOGRAMA!O22+FC_CRONOGRAMA!O44)/SUP_OVERHEAD!$C$16,0))</f>
        <v>0</v>
      </c>
      <c r="P26" s="496" t="n">
        <f aca="false">IF(FC_CRONOGRAMA!P22+FC_CRONOGRAMA!P44&lt;=SUP_OVERHEAD!$C$17,0,ROUNDUP((FC_CRONOGRAMA!P22+FC_CRONOGRAMA!P44)/SUP_OVERHEAD!$C$16,0))</f>
        <v>0</v>
      </c>
      <c r="Q26" s="496" t="n">
        <f aca="false">IF(FC_CRONOGRAMA!Q22+FC_CRONOGRAMA!Q44&lt;=SUP_OVERHEAD!$C$17,0,ROUNDUP((FC_CRONOGRAMA!Q22+FC_CRONOGRAMA!Q44)/SUP_OVERHEAD!$C$16,0))</f>
        <v>0</v>
      </c>
      <c r="R26" s="496" t="n">
        <f aca="false">IF(FC_CRONOGRAMA!R22+FC_CRONOGRAMA!R44&lt;=SUP_OVERHEAD!$C$17,0,ROUNDUP((FC_CRONOGRAMA!R22+FC_CRONOGRAMA!R44)/SUP_OVERHEAD!$C$16,0))</f>
        <v>0</v>
      </c>
      <c r="S26" s="496" t="n">
        <f aca="false">IF(FC_CRONOGRAMA!S22+FC_CRONOGRAMA!S44&lt;=SUP_OVERHEAD!$C$17,0,ROUNDUP((FC_CRONOGRAMA!S22+FC_CRONOGRAMA!S44)/SUP_OVERHEAD!$C$16,0))</f>
        <v>0</v>
      </c>
      <c r="T26" s="496" t="n">
        <f aca="false">IF(FC_CRONOGRAMA!T22+FC_CRONOGRAMA!T44&lt;=SUP_OVERHEAD!$C$17,0,ROUNDUP((FC_CRONOGRAMA!T22+FC_CRONOGRAMA!T44)/SUP_OVERHEAD!$C$16,0))</f>
        <v>0</v>
      </c>
      <c r="U26" s="496" t="n">
        <f aca="false">IF(FC_CRONOGRAMA!U22+FC_CRONOGRAMA!U44&lt;=SUP_OVERHEAD!$C$17,0,ROUNDUP((FC_CRONOGRAMA!U22+FC_CRONOGRAMA!U44)/SUP_OVERHEAD!$C$16,0))</f>
        <v>0</v>
      </c>
      <c r="V26" s="496" t="n">
        <f aca="false">IF(FC_CRONOGRAMA!V22+FC_CRONOGRAMA!V44&lt;=SUP_OVERHEAD!$C$17,0,ROUNDUP((FC_CRONOGRAMA!V22+FC_CRONOGRAMA!V44)/SUP_OVERHEAD!$C$16,0))</f>
        <v>0</v>
      </c>
      <c r="W26" s="496" t="n">
        <f aca="false">IF(FC_CRONOGRAMA!W22+FC_CRONOGRAMA!W44&lt;=SUP_OVERHEAD!$C$17,0,ROUNDUP((FC_CRONOGRAMA!W22+FC_CRONOGRAMA!W44)/SUP_OVERHEAD!$C$16,0))</f>
        <v>0</v>
      </c>
      <c r="X26" s="496" t="n">
        <f aca="false">IF(FC_CRONOGRAMA!X22+FC_CRONOGRAMA!X44&lt;=SUP_OVERHEAD!$C$17,0,ROUNDUP((FC_CRONOGRAMA!X22+FC_CRONOGRAMA!X44)/SUP_OVERHEAD!$C$16,0))</f>
        <v>0</v>
      </c>
      <c r="Y26" s="496" t="n">
        <f aca="false">IF(FC_CRONOGRAMA!Y22+FC_CRONOGRAMA!Y44&lt;=SUP_OVERHEAD!$C$17,0,ROUNDUP((FC_CRONOGRAMA!Y22+FC_CRONOGRAMA!Y44)/SUP_OVERHEAD!$C$16,0))</f>
        <v>0</v>
      </c>
      <c r="Z26" s="496" t="n">
        <f aca="false">IF(FC_CRONOGRAMA!Z22+FC_CRONOGRAMA!Z44&lt;=SUP_OVERHEAD!$C$17,0,ROUNDUP((FC_CRONOGRAMA!Z22+FC_CRONOGRAMA!Z44)/SUP_OVERHEAD!$C$16,0))</f>
        <v>0</v>
      </c>
      <c r="AA26" s="496" t="n">
        <f aca="false">IF(FC_CRONOGRAMA!AA22+FC_CRONOGRAMA!AA44&lt;=SUP_OVERHEAD!$C$17,0,ROUNDUP((FC_CRONOGRAMA!AA22+FC_CRONOGRAMA!AA44)/SUP_OVERHEAD!$C$16,0))</f>
        <v>0</v>
      </c>
      <c r="AB26" s="496" t="n">
        <f aca="false">IF(FC_CRONOGRAMA!AB22+FC_CRONOGRAMA!AB44&lt;=SUP_OVERHEAD!$C$17,0,ROUNDUP((FC_CRONOGRAMA!AB22+FC_CRONOGRAMA!AB44)/SUP_OVERHEAD!$C$16,0))</f>
        <v>0</v>
      </c>
      <c r="AC26" s="496" t="n">
        <f aca="false">IF(FC_CRONOGRAMA!AC22+FC_CRONOGRAMA!AC44&lt;=SUP_OVERHEAD!$C$17,0,ROUNDUP((FC_CRONOGRAMA!AC22+FC_CRONOGRAMA!AC44)/SUP_OVERHEAD!$C$16,0))</f>
        <v>0</v>
      </c>
      <c r="AD26" s="496" t="n">
        <f aca="false">IF(FC_CRONOGRAMA!AD22+FC_CRONOGRAMA!AD44&lt;=SUP_OVERHEAD!$C$17,0,ROUNDUP((FC_CRONOGRAMA!AD22+FC_CRONOGRAMA!AD44)/SUP_OVERHEAD!$C$16,0))</f>
        <v>0</v>
      </c>
      <c r="AE26" s="496" t="n">
        <f aca="false">IF(FC_CRONOGRAMA!AE22+FC_CRONOGRAMA!AE44&lt;=SUP_OVERHEAD!$C$17,0,ROUNDUP((FC_CRONOGRAMA!AE22+FC_CRONOGRAMA!AE44)/SUP_OVERHEAD!$C$16,0))</f>
        <v>0</v>
      </c>
      <c r="AF26" s="496" t="n">
        <f aca="false">IF(FC_CRONOGRAMA!AF22+FC_CRONOGRAMA!AF44&lt;=SUP_OVERHEAD!$C$17,0,ROUNDUP((FC_CRONOGRAMA!AF22+FC_CRONOGRAMA!AF44)/SUP_OVERHEAD!$C$16,0))</f>
        <v>0</v>
      </c>
      <c r="AG26" s="496" t="n">
        <f aca="false">IF(FC_CRONOGRAMA!AG22+FC_CRONOGRAMA!AG44&lt;=SUP_OVERHEAD!$C$17,0,ROUNDUP((FC_CRONOGRAMA!AG22+FC_CRONOGRAMA!AG44)/SUP_OVERHEAD!$C$16,0))</f>
        <v>0</v>
      </c>
      <c r="AH26" s="496" t="n">
        <f aca="false">IF(FC_CRONOGRAMA!AH22+FC_CRONOGRAMA!AH44&lt;=SUP_OVERHEAD!$C$17,0,ROUNDUP((FC_CRONOGRAMA!AH22+FC_CRONOGRAMA!AH44)/SUP_OVERHEAD!$C$16,0))</f>
        <v>0</v>
      </c>
      <c r="AI26" s="496" t="n">
        <f aca="false">IF(FC_CRONOGRAMA!AI22+FC_CRONOGRAMA!AI44&lt;=SUP_OVERHEAD!$C$17,0,ROUNDUP((FC_CRONOGRAMA!AI22+FC_CRONOGRAMA!AI44)/SUP_OVERHEAD!$C$16,0))</f>
        <v>0</v>
      </c>
      <c r="AJ26" s="496" t="n">
        <f aca="false">IF(FC_CRONOGRAMA!AJ22+FC_CRONOGRAMA!AJ44&lt;=SUP_OVERHEAD!$C$17,0,ROUNDUP((FC_CRONOGRAMA!AJ22+FC_CRONOGRAMA!AJ44)/SUP_OVERHEAD!$C$16,0))</f>
        <v>0</v>
      </c>
      <c r="AK26" s="496" t="n">
        <f aca="false">IF(FC_CRONOGRAMA!AK22+FC_CRONOGRAMA!AK44&lt;=SUP_OVERHEAD!$C$17,0,ROUNDUP((FC_CRONOGRAMA!AK22+FC_CRONOGRAMA!AK44)/SUP_OVERHEAD!$C$16,0))</f>
        <v>0</v>
      </c>
      <c r="AL26" s="496" t="n">
        <f aca="false">IF(FC_CRONOGRAMA!AL22+FC_CRONOGRAMA!AL44&lt;=SUP_OVERHEAD!$C$17,0,ROUNDUP((FC_CRONOGRAMA!AL22+FC_CRONOGRAMA!AL44)/SUP_OVERHEAD!$C$16,0))</f>
        <v>0</v>
      </c>
      <c r="AM26" s="496" t="n">
        <f aca="false">IF(FC_CRONOGRAMA!AM22+FC_CRONOGRAMA!AM44&lt;=SUP_OVERHEAD!$C$17,0,ROUNDUP((FC_CRONOGRAMA!AM22+FC_CRONOGRAMA!AM44)/SUP_OVERHEAD!$C$16,0))</f>
        <v>0</v>
      </c>
      <c r="AN26" s="496" t="n">
        <f aca="false">IF(FC_CRONOGRAMA!AN22+FC_CRONOGRAMA!AN44&lt;=SUP_OVERHEAD!$C$17,0,ROUNDUP((FC_CRONOGRAMA!AN22+FC_CRONOGRAMA!AN44)/SUP_OVERHEAD!$C$16,0))</f>
        <v>0</v>
      </c>
      <c r="AO26" s="496" t="n">
        <f aca="false">IF(FC_CRONOGRAMA!AO22+FC_CRONOGRAMA!AO44&lt;=SUP_OVERHEAD!$C$17,0,ROUNDUP((FC_CRONOGRAMA!AO22+FC_CRONOGRAMA!AO44)/SUP_OVERHEAD!$C$16,0))</f>
        <v>0</v>
      </c>
      <c r="AP26" s="496" t="n">
        <f aca="false">IF(FC_CRONOGRAMA!AP22+FC_CRONOGRAMA!AP44&lt;=SUP_OVERHEAD!$C$17,0,ROUNDUP((FC_CRONOGRAMA!AP22+FC_CRONOGRAMA!AP44)/SUP_OVERHEAD!$C$16,0))</f>
        <v>0</v>
      </c>
      <c r="AQ26" s="496" t="n">
        <f aca="false">IF(FC_CRONOGRAMA!AQ22+FC_CRONOGRAMA!AQ44&lt;=SUP_OVERHEAD!$C$17,0,ROUNDUP((FC_CRONOGRAMA!AQ22+FC_CRONOGRAMA!AQ44)/SUP_OVERHEAD!$C$16,0))</f>
        <v>0</v>
      </c>
      <c r="AR26" s="496" t="n">
        <f aca="false">IF(FC_CRONOGRAMA!AR22+FC_CRONOGRAMA!AR44&lt;=SUP_OVERHEAD!$C$17,0,ROUNDUP((FC_CRONOGRAMA!AR22+FC_CRONOGRAMA!AR44)/SUP_OVERHEAD!$C$16,0))</f>
        <v>0</v>
      </c>
      <c r="AS26" s="496" t="n">
        <f aca="false">IF(FC_CRONOGRAMA!AS22+FC_CRONOGRAMA!AS44&lt;=SUP_OVERHEAD!$C$17,0,ROUNDUP((FC_CRONOGRAMA!AS22+FC_CRONOGRAMA!AS44)/SUP_OVERHEAD!$C$16,0))</f>
        <v>0</v>
      </c>
      <c r="AT26" s="496" t="n">
        <f aca="false">IF(FC_CRONOGRAMA!AT22+FC_CRONOGRAMA!AT44&lt;=SUP_OVERHEAD!$C$17,0,ROUNDUP((FC_CRONOGRAMA!AT22+FC_CRONOGRAMA!AT44)/SUP_OVERHEAD!$C$16,0))</f>
        <v>0</v>
      </c>
      <c r="AU26" s="496" t="n">
        <f aca="false">IF(FC_CRONOGRAMA!AU22+FC_CRONOGRAMA!AU44&lt;=SUP_OVERHEAD!$C$17,0,ROUNDUP((FC_CRONOGRAMA!AU22+FC_CRONOGRAMA!AU44)/SUP_OVERHEAD!$C$16,0))</f>
        <v>0</v>
      </c>
      <c r="AV26" s="496" t="n">
        <f aca="false">IF(FC_CRONOGRAMA!AV22+FC_CRONOGRAMA!AV44&lt;=SUP_OVERHEAD!$C$17,0,ROUNDUP((FC_CRONOGRAMA!AV22+FC_CRONOGRAMA!AV44)/SUP_OVERHEAD!$C$16,0))</f>
        <v>0</v>
      </c>
      <c r="AW26" s="496" t="n">
        <f aca="false">IF(FC_CRONOGRAMA!AW22+FC_CRONOGRAMA!AW44&lt;=SUP_OVERHEAD!$C$17,0,ROUNDUP((FC_CRONOGRAMA!AW22+FC_CRONOGRAMA!AW44)/SUP_OVERHEAD!$C$16,0))</f>
        <v>0</v>
      </c>
      <c r="AX26" s="496" t="n">
        <f aca="false">IF(FC_CRONOGRAMA!AX22+FC_CRONOGRAMA!AX44&lt;=SUP_OVERHEAD!$C$17,0,ROUNDUP((FC_CRONOGRAMA!AX22+FC_CRONOGRAMA!AX44)/SUP_OVERHEAD!$C$16,0))</f>
        <v>0</v>
      </c>
      <c r="AY26" s="496" t="n">
        <f aca="false">IF(FC_CRONOGRAMA!AY22+FC_CRONOGRAMA!AY44&lt;=SUP_OVERHEAD!$C$17,0,ROUNDUP((FC_CRONOGRAMA!AY22+FC_CRONOGRAMA!AY44)/SUP_OVERHEAD!$C$16,0))</f>
        <v>0</v>
      </c>
      <c r="AZ26" s="496" t="n">
        <f aca="false">IF(FC_CRONOGRAMA!AZ22+FC_CRONOGRAMA!AZ44&lt;=SUP_OVERHEAD!$C$17,0,ROUNDUP((FC_CRONOGRAMA!AZ22+FC_CRONOGRAMA!AZ44)/SUP_OVERHEAD!$C$16,0))</f>
        <v>0</v>
      </c>
      <c r="BA26" s="496" t="n">
        <f aca="false">IF(FC_CRONOGRAMA!BA22+FC_CRONOGRAMA!BA44&lt;=SUP_OVERHEAD!$C$17,0,ROUNDUP((FC_CRONOGRAMA!BA22+FC_CRONOGRAMA!BA44)/SUP_OVERHEAD!$C$16,0))</f>
        <v>0</v>
      </c>
      <c r="BB26" s="496" t="n">
        <f aca="false">IF(FC_CRONOGRAMA!BB22+FC_CRONOGRAMA!BB44&lt;=SUP_OVERHEAD!$C$17,0,ROUNDUP((FC_CRONOGRAMA!BB22+FC_CRONOGRAMA!BB44)/SUP_OVERHEAD!$C$16,0))</f>
        <v>0</v>
      </c>
      <c r="BC26" s="496" t="n">
        <f aca="false">IF(FC_CRONOGRAMA!BC22+FC_CRONOGRAMA!BC44&lt;=SUP_OVERHEAD!$C$17,0,ROUNDUP((FC_CRONOGRAMA!BC22+FC_CRONOGRAMA!BC44)/SUP_OVERHEAD!$C$16,0))</f>
        <v>0</v>
      </c>
      <c r="BD26" s="496" t="n">
        <f aca="false">IF(FC_CRONOGRAMA!BD22+FC_CRONOGRAMA!BD44&lt;=SUP_OVERHEAD!$C$17,0,ROUNDUP((FC_CRONOGRAMA!BD22+FC_CRONOGRAMA!BD44)/SUP_OVERHEAD!$C$16,0))</f>
        <v>0</v>
      </c>
      <c r="BE26" s="496" t="n">
        <f aca="false">IF(FC_CRONOGRAMA!BE22+FC_CRONOGRAMA!BE44&lt;=SUP_OVERHEAD!$C$17,0,ROUNDUP((FC_CRONOGRAMA!BE22+FC_CRONOGRAMA!BE44)/SUP_OVERHEAD!$C$16,0))</f>
        <v>0</v>
      </c>
      <c r="BF26" s="496" t="n">
        <f aca="false">IF(FC_CRONOGRAMA!BF22+FC_CRONOGRAMA!BF44&lt;=SUP_OVERHEAD!$C$17,0,ROUNDUP((FC_CRONOGRAMA!BF22+FC_CRONOGRAMA!BF44)/SUP_OVERHEAD!$C$16,0))</f>
        <v>0</v>
      </c>
      <c r="BG26" s="496" t="n">
        <f aca="false">IF(FC_CRONOGRAMA!BG22+FC_CRONOGRAMA!BG44&lt;=SUP_OVERHEAD!$C$17,0,ROUNDUP((FC_CRONOGRAMA!BG22+FC_CRONOGRAMA!BG44)/SUP_OVERHEAD!$C$16,0))</f>
        <v>0</v>
      </c>
      <c r="BH26" s="496" t="n">
        <f aca="false">IF(FC_CRONOGRAMA!BH22+FC_CRONOGRAMA!BH44&lt;=SUP_OVERHEAD!$C$17,0,ROUNDUP((FC_CRONOGRAMA!BH22+FC_CRONOGRAMA!BH44)/SUP_OVERHEAD!$C$16,0))</f>
        <v>0</v>
      </c>
      <c r="BI26" s="496" t="n">
        <f aca="false">IF(FC_CRONOGRAMA!BI22+FC_CRONOGRAMA!BI44&lt;=SUP_OVERHEAD!$C$17,0,ROUNDUP((FC_CRONOGRAMA!BI22+FC_CRONOGRAMA!BI44)/SUP_OVERHEAD!$C$16,0))</f>
        <v>0</v>
      </c>
      <c r="BJ26" s="496" t="n">
        <f aca="false">IF(FC_CRONOGRAMA!BJ22+FC_CRONOGRAMA!BJ44&lt;=SUP_OVERHEAD!$C$17,0,ROUNDUP((FC_CRONOGRAMA!BJ22+FC_CRONOGRAMA!BJ44)/SUP_OVERHEAD!$C$16,0))</f>
        <v>0</v>
      </c>
      <c r="BK26" s="496" t="n">
        <f aca="false">IF(FC_CRONOGRAMA!BK22+FC_CRONOGRAMA!BK44&lt;=SUP_OVERHEAD!$C$17,0,ROUNDUP((FC_CRONOGRAMA!BK22+FC_CRONOGRAMA!BK44)/SUP_OVERHEAD!$C$16,0))</f>
        <v>0</v>
      </c>
    </row>
    <row r="27" customFormat="false" ht="15" hidden="false" customHeight="true" outlineLevel="0" collapsed="false">
      <c r="B27" s="297" t="s">
        <v>2927</v>
      </c>
      <c r="D27" s="495" t="n">
        <f aca="false">SUM(D105:D117)</f>
        <v>2870</v>
      </c>
      <c r="E27" s="495" t="n">
        <f aca="false">SUM(E105:E117)</f>
        <v>15715</v>
      </c>
      <c r="F27" s="495" t="n">
        <f aca="false">SUM(F105:F117)</f>
        <v>15715</v>
      </c>
      <c r="G27" s="495" t="n">
        <f aca="false">SUM(G105:G117)</f>
        <v>15715</v>
      </c>
      <c r="H27" s="495" t="n">
        <f aca="false">SUM(H105:H117)</f>
        <v>15715</v>
      </c>
      <c r="I27" s="495" t="n">
        <f aca="false">SUM(I105:I117)</f>
        <v>15715</v>
      </c>
      <c r="J27" s="495" t="n">
        <f aca="false">SUM(J105:J117)</f>
        <v>15715</v>
      </c>
      <c r="K27" s="495" t="n">
        <f aca="false">SUM(K105:K117)</f>
        <v>15715</v>
      </c>
      <c r="L27" s="495" t="n">
        <f aca="false">SUM(L105:L117)</f>
        <v>15715</v>
      </c>
      <c r="M27" s="495" t="n">
        <f aca="false">SUM(M105:M117)</f>
        <v>15715</v>
      </c>
      <c r="N27" s="495" t="n">
        <f aca="false">SUM(N105:N117)</f>
        <v>15715</v>
      </c>
      <c r="O27" s="495" t="n">
        <f aca="false">SUM(O105:O117)</f>
        <v>15715</v>
      </c>
      <c r="P27" s="495" t="n">
        <f aca="false">SUM(P105:P117)</f>
        <v>17850</v>
      </c>
      <c r="Q27" s="495" t="n">
        <f aca="false">SUM(Q105:Q117)</f>
        <v>17850</v>
      </c>
      <c r="R27" s="495" t="n">
        <f aca="false">SUM(R105:R117)</f>
        <v>17850</v>
      </c>
      <c r="S27" s="495" t="n">
        <f aca="false">SUM(S105:S117)</f>
        <v>17850</v>
      </c>
      <c r="T27" s="495" t="n">
        <f aca="false">SUM(T105:T117)</f>
        <v>17850</v>
      </c>
      <c r="U27" s="495" t="n">
        <f aca="false">SUM(U105:U117)</f>
        <v>17850</v>
      </c>
      <c r="V27" s="495" t="n">
        <f aca="false">SUM(V105:V117)</f>
        <v>17850</v>
      </c>
      <c r="W27" s="495" t="n">
        <f aca="false">SUM(W105:W117)</f>
        <v>17850</v>
      </c>
      <c r="X27" s="495" t="n">
        <f aca="false">SUM(X105:X117)</f>
        <v>17850</v>
      </c>
      <c r="Y27" s="495" t="n">
        <f aca="false">SUM(Y105:Y117)</f>
        <v>17850</v>
      </c>
      <c r="Z27" s="495" t="n">
        <f aca="false">SUM(Z105:Z117)</f>
        <v>17850</v>
      </c>
      <c r="AA27" s="495" t="n">
        <f aca="false">SUM(AA105:AA117)</f>
        <v>17850</v>
      </c>
      <c r="AB27" s="495" t="n">
        <f aca="false">SUM(AB105:AB117)</f>
        <v>20750</v>
      </c>
      <c r="AC27" s="495" t="n">
        <f aca="false">SUM(AC105:AC117)</f>
        <v>20750</v>
      </c>
      <c r="AD27" s="495" t="n">
        <f aca="false">SUM(AD105:AD117)</f>
        <v>20750</v>
      </c>
      <c r="AE27" s="495" t="n">
        <f aca="false">SUM(AE105:AE117)</f>
        <v>20750</v>
      </c>
      <c r="AF27" s="495" t="n">
        <f aca="false">SUM(AF105:AF117)</f>
        <v>20750</v>
      </c>
      <c r="AG27" s="495" t="n">
        <f aca="false">SUM(AG105:AG117)</f>
        <v>20750</v>
      </c>
      <c r="AH27" s="495" t="n">
        <f aca="false">SUM(AH105:AH117)</f>
        <v>20750</v>
      </c>
      <c r="AI27" s="495" t="n">
        <f aca="false">SUM(AI105:AI117)</f>
        <v>20750</v>
      </c>
      <c r="AJ27" s="495" t="n">
        <f aca="false">SUM(AJ105:AJ117)</f>
        <v>20750</v>
      </c>
      <c r="AK27" s="495" t="n">
        <f aca="false">SUM(AK105:AK117)</f>
        <v>20750</v>
      </c>
      <c r="AL27" s="495" t="n">
        <f aca="false">SUM(AL105:AL117)</f>
        <v>20750</v>
      </c>
      <c r="AM27" s="495" t="n">
        <f aca="false">SUM(AM105:AM117)</f>
        <v>20750</v>
      </c>
      <c r="AN27" s="495" t="n">
        <f aca="false">SUM(AN105:AN117)</f>
        <v>20750</v>
      </c>
      <c r="AO27" s="495" t="n">
        <f aca="false">SUM(AO105:AO117)</f>
        <v>20750</v>
      </c>
      <c r="AP27" s="495" t="n">
        <f aca="false">SUM(AP105:AP117)</f>
        <v>20750</v>
      </c>
      <c r="AQ27" s="495" t="n">
        <f aca="false">SUM(AQ105:AQ117)</f>
        <v>20750</v>
      </c>
      <c r="AR27" s="495" t="n">
        <f aca="false">SUM(AR105:AR117)</f>
        <v>20750</v>
      </c>
      <c r="AS27" s="495" t="n">
        <f aca="false">SUM(AS105:AS117)</f>
        <v>20750</v>
      </c>
      <c r="AT27" s="495" t="n">
        <f aca="false">SUM(AT105:AT117)</f>
        <v>20750</v>
      </c>
      <c r="AU27" s="495" t="n">
        <f aca="false">SUM(AU105:AU117)</f>
        <v>20750</v>
      </c>
      <c r="AV27" s="495" t="n">
        <f aca="false">SUM(AV105:AV117)</f>
        <v>20750</v>
      </c>
      <c r="AW27" s="495" t="n">
        <f aca="false">SUM(AW105:AW117)</f>
        <v>20750</v>
      </c>
      <c r="AX27" s="495" t="n">
        <f aca="false">SUM(AX105:AX117)</f>
        <v>20750</v>
      </c>
      <c r="AY27" s="495" t="n">
        <f aca="false">SUM(AY105:AY117)</f>
        <v>20750</v>
      </c>
      <c r="AZ27" s="495" t="n">
        <f aca="false">SUM(AZ105:AZ117)</f>
        <v>20750</v>
      </c>
      <c r="BA27" s="495" t="n">
        <f aca="false">SUM(BA105:BA117)</f>
        <v>20750</v>
      </c>
      <c r="BB27" s="495" t="n">
        <f aca="false">SUM(BB105:BB117)</f>
        <v>20750</v>
      </c>
      <c r="BC27" s="495" t="n">
        <f aca="false">SUM(BC105:BC117)</f>
        <v>20750</v>
      </c>
      <c r="BD27" s="495" t="n">
        <f aca="false">SUM(BD105:BD117)</f>
        <v>20750</v>
      </c>
      <c r="BE27" s="495" t="n">
        <f aca="false">SUM(BE105:BE117)</f>
        <v>20750</v>
      </c>
      <c r="BF27" s="495" t="n">
        <f aca="false">SUM(BF105:BF117)</f>
        <v>20750</v>
      </c>
      <c r="BG27" s="495" t="n">
        <f aca="false">SUM(BG105:BG117)</f>
        <v>20750</v>
      </c>
      <c r="BH27" s="495" t="n">
        <f aca="false">SUM(BH105:BH117)</f>
        <v>20750</v>
      </c>
      <c r="BI27" s="495" t="n">
        <f aca="false">SUM(BI105:BI117)</f>
        <v>20750</v>
      </c>
      <c r="BJ27" s="495" t="n">
        <f aca="false">SUM(BJ105:BJ117)</f>
        <v>20750</v>
      </c>
      <c r="BK27" s="495" t="n">
        <f aca="false">SUM(BK105:BK117)</f>
        <v>20750</v>
      </c>
    </row>
    <row r="28" customFormat="false" ht="15" hidden="false" customHeight="true" outlineLevel="0" collapsed="false">
      <c r="B28" s="297" t="s">
        <v>2928</v>
      </c>
      <c r="D28" s="380" t="n">
        <f aca="false">MAX(D27,D11*INDEX(SUP_OVERHEAD!$C$21:$L$21,ROUNDUP(D$5/12,0)))</f>
        <v>2870</v>
      </c>
      <c r="E28" s="380" t="n">
        <f aca="false">MAX(E27,E11*INDEX(SUP_OVERHEAD!$C$21:$L$21,ROUNDUP(E$5/12,0)))</f>
        <v>15715</v>
      </c>
      <c r="F28" s="380" t="n">
        <f aca="false">MAX(F27,F11*INDEX(SUP_OVERHEAD!$C$21:$L$21,ROUNDUP(F$5/12,0)))</f>
        <v>15715</v>
      </c>
      <c r="G28" s="380" t="n">
        <f aca="false">MAX(G27,G11*INDEX(SUP_OVERHEAD!$C$21:$L$21,ROUNDUP(G$5/12,0)))</f>
        <v>15715</v>
      </c>
      <c r="H28" s="380" t="n">
        <f aca="false">MAX(H27,H11*INDEX(SUP_OVERHEAD!$C$21:$L$21,ROUNDUP(H$5/12,0)))</f>
        <v>15715</v>
      </c>
      <c r="I28" s="380" t="n">
        <f aca="false">MAX(I27,I11*INDEX(SUP_OVERHEAD!$C$21:$L$21,ROUNDUP(I$5/12,0)))</f>
        <v>15715</v>
      </c>
      <c r="J28" s="380" t="n">
        <f aca="false">MAX(J27,J11*INDEX(SUP_OVERHEAD!$C$21:$L$21,ROUNDUP(J$5/12,0)))</f>
        <v>15715</v>
      </c>
      <c r="K28" s="380" t="n">
        <f aca="false">MAX(K27,K11*INDEX(SUP_OVERHEAD!$C$21:$L$21,ROUNDUP(K$5/12,0)))</f>
        <v>15715</v>
      </c>
      <c r="L28" s="380" t="n">
        <f aca="false">MAX(L27,L11*INDEX(SUP_OVERHEAD!$C$21:$L$21,ROUNDUP(L$5/12,0)))</f>
        <v>15715</v>
      </c>
      <c r="M28" s="380" t="n">
        <f aca="false">MAX(M27,M11*INDEX(SUP_OVERHEAD!$C$21:$L$21,ROUNDUP(M$5/12,0)))</f>
        <v>15715</v>
      </c>
      <c r="N28" s="380" t="n">
        <f aca="false">MAX(N27,N11*INDEX(SUP_OVERHEAD!$C$21:$L$21,ROUNDUP(N$5/12,0)))</f>
        <v>15715</v>
      </c>
      <c r="O28" s="380" t="n">
        <f aca="false">MAX(O27,O11*INDEX(SUP_OVERHEAD!$C$21:$L$21,ROUNDUP(O$5/12,0)))</f>
        <v>22146.7252810345</v>
      </c>
      <c r="P28" s="380" t="n">
        <f aca="false">MAX(P27,P11*INDEX(SUP_OVERHEAD!$C$21:$L$21,ROUNDUP(P$5/12,0)))</f>
        <v>27775.6846232974</v>
      </c>
      <c r="Q28" s="380" t="n">
        <f aca="false">MAX(Q27,Q11*INDEX(SUP_OVERHEAD!$C$21:$L$21,ROUNDUP(Q$5/12,0)))</f>
        <v>37141.9038567349</v>
      </c>
      <c r="R28" s="380" t="n">
        <f aca="false">MAX(R27,R11*INDEX(SUP_OVERHEAD!$C$21:$L$21,ROUNDUP(R$5/12,0)))</f>
        <v>39934.6710521007</v>
      </c>
      <c r="S28" s="380" t="n">
        <f aca="false">MAX(S27,S11*INDEX(SUP_OVERHEAD!$C$21:$L$21,ROUNDUP(S$5/12,0)))</f>
        <v>41416.5475231111</v>
      </c>
      <c r="T28" s="380" t="n">
        <f aca="false">MAX(T27,T11*INDEX(SUP_OVERHEAD!$C$21:$L$21,ROUNDUP(T$5/12,0)))</f>
        <v>41416.5475231111</v>
      </c>
      <c r="U28" s="380" t="n">
        <f aca="false">MAX(U27,U11*INDEX(SUP_OVERHEAD!$C$21:$L$21,ROUNDUP(U$5/12,0)))</f>
        <v>41416.5475231111</v>
      </c>
      <c r="V28" s="380" t="n">
        <f aca="false">MAX(V27,V11*INDEX(SUP_OVERHEAD!$C$21:$L$21,ROUNDUP(V$5/12,0)))</f>
        <v>41416.5475231111</v>
      </c>
      <c r="W28" s="380" t="n">
        <f aca="false">MAX(W27,W11*INDEX(SUP_OVERHEAD!$C$21:$L$21,ROUNDUP(W$5/12,0)))</f>
        <v>41416.5475231111</v>
      </c>
      <c r="X28" s="380" t="n">
        <f aca="false">MAX(X27,X11*INDEX(SUP_OVERHEAD!$C$21:$L$21,ROUNDUP(X$5/12,0)))</f>
        <v>41416.5475231111</v>
      </c>
      <c r="Y28" s="380" t="n">
        <f aca="false">MAX(Y27,Y11*INDEX(SUP_OVERHEAD!$C$21:$L$21,ROUNDUP(Y$5/12,0)))</f>
        <v>41416.5475231111</v>
      </c>
      <c r="Z28" s="380" t="n">
        <f aca="false">MAX(Z27,Z11*INDEX(SUP_OVERHEAD!$C$21:$L$21,ROUNDUP(Z$5/12,0)))</f>
        <v>41416.5475231111</v>
      </c>
      <c r="AA28" s="380" t="n">
        <f aca="false">MAX(AA27,AA11*INDEX(SUP_OVERHEAD!$C$21:$L$21,ROUNDUP(AA$5/12,0)))</f>
        <v>41416.5475231111</v>
      </c>
      <c r="AB28" s="380" t="n">
        <f aca="false">MAX(AB27,AB11*INDEX(SUP_OVERHEAD!$C$21:$L$21,ROUNDUP(AB$5/12,0)))</f>
        <v>35499.8978769523</v>
      </c>
      <c r="AC28" s="380" t="n">
        <f aca="false">MAX(AC27,AC11*INDEX(SUP_OVERHEAD!$C$21:$L$21,ROUNDUP(AC$5/12,0)))</f>
        <v>35499.8978769523</v>
      </c>
      <c r="AD28" s="380" t="n">
        <f aca="false">MAX(AD27,AD11*INDEX(SUP_OVERHEAD!$C$21:$L$21,ROUNDUP(AD$5/12,0)))</f>
        <v>35499.8978769523</v>
      </c>
      <c r="AE28" s="380" t="n">
        <f aca="false">MAX(AE27,AE11*INDEX(SUP_OVERHEAD!$C$21:$L$21,ROUNDUP(AE$5/12,0)))</f>
        <v>35499.8978769523</v>
      </c>
      <c r="AF28" s="380" t="n">
        <f aca="false">MAX(AF27,AF11*INDEX(SUP_OVERHEAD!$C$21:$L$21,ROUNDUP(AF$5/12,0)))</f>
        <v>35499.8978769523</v>
      </c>
      <c r="AG28" s="380" t="n">
        <f aca="false">MAX(AG27,AG11*INDEX(SUP_OVERHEAD!$C$21:$L$21,ROUNDUP(AG$5/12,0)))</f>
        <v>35499.8978769523</v>
      </c>
      <c r="AH28" s="380" t="n">
        <f aca="false">MAX(AH27,AH11*INDEX(SUP_OVERHEAD!$C$21:$L$21,ROUNDUP(AH$5/12,0)))</f>
        <v>35499.8978769523</v>
      </c>
      <c r="AI28" s="380" t="n">
        <f aca="false">MAX(AI27,AI11*INDEX(SUP_OVERHEAD!$C$21:$L$21,ROUNDUP(AI$5/12,0)))</f>
        <v>35499.8978769523</v>
      </c>
      <c r="AJ28" s="380" t="n">
        <f aca="false">MAX(AJ27,AJ11*INDEX(SUP_OVERHEAD!$C$21:$L$21,ROUNDUP(AJ$5/12,0)))</f>
        <v>35499.8978769523</v>
      </c>
      <c r="AK28" s="380" t="n">
        <f aca="false">MAX(AK27,AK11*INDEX(SUP_OVERHEAD!$C$21:$L$21,ROUNDUP(AK$5/12,0)))</f>
        <v>35499.8978769523</v>
      </c>
      <c r="AL28" s="380" t="n">
        <f aca="false">MAX(AL27,AL11*INDEX(SUP_OVERHEAD!$C$21:$L$21,ROUNDUP(AL$5/12,0)))</f>
        <v>35499.8978769523</v>
      </c>
      <c r="AM28" s="380" t="n">
        <f aca="false">MAX(AM27,AM11*INDEX(SUP_OVERHEAD!$C$21:$L$21,ROUNDUP(AM$5/12,0)))</f>
        <v>35499.8978769523</v>
      </c>
      <c r="AN28" s="380" t="n">
        <f aca="false">MAX(AN27,AN11*INDEX(SUP_OVERHEAD!$C$21:$L$21,ROUNDUP(AN$5/12,0)))</f>
        <v>32541.573053873</v>
      </c>
      <c r="AO28" s="380" t="n">
        <f aca="false">MAX(AO27,AO11*INDEX(SUP_OVERHEAD!$C$21:$L$21,ROUNDUP(AO$5/12,0)))</f>
        <v>32541.573053873</v>
      </c>
      <c r="AP28" s="380" t="n">
        <f aca="false">MAX(AP27,AP11*INDEX(SUP_OVERHEAD!$C$21:$L$21,ROUNDUP(AP$5/12,0)))</f>
        <v>32541.573053873</v>
      </c>
      <c r="AQ28" s="380" t="n">
        <f aca="false">MAX(AQ27,AQ11*INDEX(SUP_OVERHEAD!$C$21:$L$21,ROUNDUP(AQ$5/12,0)))</f>
        <v>32541.573053873</v>
      </c>
      <c r="AR28" s="380" t="n">
        <f aca="false">MAX(AR27,AR11*INDEX(SUP_OVERHEAD!$C$21:$L$21,ROUNDUP(AR$5/12,0)))</f>
        <v>32541.573053873</v>
      </c>
      <c r="AS28" s="380" t="n">
        <f aca="false">MAX(AS27,AS11*INDEX(SUP_OVERHEAD!$C$21:$L$21,ROUNDUP(AS$5/12,0)))</f>
        <v>32541.573053873</v>
      </c>
      <c r="AT28" s="380" t="n">
        <f aca="false">MAX(AT27,AT11*INDEX(SUP_OVERHEAD!$C$21:$L$21,ROUNDUP(AT$5/12,0)))</f>
        <v>32541.573053873</v>
      </c>
      <c r="AU28" s="380" t="n">
        <f aca="false">MAX(AU27,AU11*INDEX(SUP_OVERHEAD!$C$21:$L$21,ROUNDUP(AU$5/12,0)))</f>
        <v>32541.573053873</v>
      </c>
      <c r="AV28" s="380" t="n">
        <f aca="false">MAX(AV27,AV11*INDEX(SUP_OVERHEAD!$C$21:$L$21,ROUNDUP(AV$5/12,0)))</f>
        <v>32541.573053873</v>
      </c>
      <c r="AW28" s="380" t="n">
        <f aca="false">MAX(AW27,AW11*INDEX(SUP_OVERHEAD!$C$21:$L$21,ROUNDUP(AW$5/12,0)))</f>
        <v>32541.573053873</v>
      </c>
      <c r="AX28" s="380" t="n">
        <f aca="false">MAX(AX27,AX11*INDEX(SUP_OVERHEAD!$C$21:$L$21,ROUNDUP(AX$5/12,0)))</f>
        <v>32541.573053873</v>
      </c>
      <c r="AY28" s="380" t="n">
        <f aca="false">MAX(AY27,AY11*INDEX(SUP_OVERHEAD!$C$21:$L$21,ROUNDUP(AY$5/12,0)))</f>
        <v>32541.573053873</v>
      </c>
      <c r="AZ28" s="380" t="n">
        <f aca="false">MAX(AZ27,AZ11*INDEX(SUP_OVERHEAD!$C$21:$L$21,ROUNDUP(AZ$5/12,0)))</f>
        <v>29583.2482307936</v>
      </c>
      <c r="BA28" s="380" t="n">
        <f aca="false">MAX(BA27,BA11*INDEX(SUP_OVERHEAD!$C$21:$L$21,ROUNDUP(BA$5/12,0)))</f>
        <v>29583.2482307936</v>
      </c>
      <c r="BB28" s="380" t="n">
        <f aca="false">MAX(BB27,BB11*INDEX(SUP_OVERHEAD!$C$21:$L$21,ROUNDUP(BB$5/12,0)))</f>
        <v>29583.2482307936</v>
      </c>
      <c r="BC28" s="380" t="n">
        <f aca="false">MAX(BC27,BC11*INDEX(SUP_OVERHEAD!$C$21:$L$21,ROUNDUP(BC$5/12,0)))</f>
        <v>29583.2482307936</v>
      </c>
      <c r="BD28" s="380" t="n">
        <f aca="false">MAX(BD27,BD11*INDEX(SUP_OVERHEAD!$C$21:$L$21,ROUNDUP(BD$5/12,0)))</f>
        <v>29583.2482307936</v>
      </c>
      <c r="BE28" s="380" t="n">
        <f aca="false">MAX(BE27,BE11*INDEX(SUP_OVERHEAD!$C$21:$L$21,ROUNDUP(BE$5/12,0)))</f>
        <v>29583.2482307936</v>
      </c>
      <c r="BF28" s="380" t="n">
        <f aca="false">MAX(BF27,BF11*INDEX(SUP_OVERHEAD!$C$21:$L$21,ROUNDUP(BF$5/12,0)))</f>
        <v>29583.2482307936</v>
      </c>
      <c r="BG28" s="380" t="n">
        <f aca="false">MAX(BG27,BG11*INDEX(SUP_OVERHEAD!$C$21:$L$21,ROUNDUP(BG$5/12,0)))</f>
        <v>29583.2482307936</v>
      </c>
      <c r="BH28" s="380" t="n">
        <f aca="false">MAX(BH27,BH11*INDEX(SUP_OVERHEAD!$C$21:$L$21,ROUNDUP(BH$5/12,0)))</f>
        <v>29583.2482307936</v>
      </c>
      <c r="BI28" s="380" t="n">
        <f aca="false">MAX(BI27,BI11*INDEX(SUP_OVERHEAD!$C$21:$L$21,ROUNDUP(BI$5/12,0)))</f>
        <v>29583.2482307936</v>
      </c>
      <c r="BJ28" s="380" t="n">
        <f aca="false">MAX(BJ27,BJ11*INDEX(SUP_OVERHEAD!$C$21:$L$21,ROUNDUP(BJ$5/12,0)))</f>
        <v>29583.2482307936</v>
      </c>
      <c r="BK28" s="380" t="n">
        <f aca="false">MAX(BK27,BK11*INDEX(SUP_OVERHEAD!$C$21:$L$21,ROUNDUP(BK$5/12,0)))</f>
        <v>29583.2482307936</v>
      </c>
    </row>
    <row r="29" customFormat="false" ht="15" hidden="false" customHeight="true" outlineLevel="0" collapsed="false">
      <c r="A29" s="218"/>
      <c r="B29" s="493" t="s">
        <v>2929</v>
      </c>
      <c r="C29" s="218"/>
      <c r="D29" s="494" t="n">
        <f aca="false">D21+D22+D23+D24+D25+D28</f>
        <v>2870</v>
      </c>
      <c r="E29" s="494" t="n">
        <f aca="false">E21+E22+E23+E24+E25+E28</f>
        <v>15715</v>
      </c>
      <c r="F29" s="494" t="n">
        <f aca="false">F21+F22+F23+F24+F25+F28</f>
        <v>15715</v>
      </c>
      <c r="G29" s="494" t="n">
        <f aca="false">G21+G22+G23+G24+G25+G28</f>
        <v>15715</v>
      </c>
      <c r="H29" s="494" t="n">
        <f aca="false">H21+H22+H23+H24+H25+H28</f>
        <v>15715</v>
      </c>
      <c r="I29" s="494" t="n">
        <f aca="false">I21+I22+I23+I24+I25+I28</f>
        <v>15715</v>
      </c>
      <c r="J29" s="494" t="n">
        <f aca="false">J21+J22+J23+J24+J25+J28</f>
        <v>16715</v>
      </c>
      <c r="K29" s="494" t="n">
        <f aca="false">K21+K22+K23+K24+K25+K28</f>
        <v>20945.565625</v>
      </c>
      <c r="L29" s="494" t="n">
        <f aca="false">L21+L22+L23+L24+L25+L28</f>
        <v>35558.565625</v>
      </c>
      <c r="M29" s="494" t="n">
        <f aca="false">M21+M22+M23+M24+M25+M28</f>
        <v>99003.6530609983</v>
      </c>
      <c r="N29" s="494" t="n">
        <f aca="false">N21+N22+N23+N24+N25+N28</f>
        <v>173284.544947568</v>
      </c>
      <c r="O29" s="494" t="n">
        <f aca="false">O21+O22+O23+O24+O25+O28</f>
        <v>265968.966565743</v>
      </c>
      <c r="P29" s="494" t="n">
        <f aca="false">P21+P22+P23+P24+P25+P28</f>
        <v>367771.685360546</v>
      </c>
      <c r="Q29" s="494" t="n">
        <f aca="false">Q21+Q22+Q23+Q24+Q25+Q28</f>
        <v>472572.097829509</v>
      </c>
      <c r="R29" s="494" t="n">
        <f aca="false">R21+R22+R23+R24+R25+R28</f>
        <v>501912.585928774</v>
      </c>
      <c r="S29" s="494" t="n">
        <f aca="false">S21+S22+S23+S24+S25+S28</f>
        <v>517481.008185526</v>
      </c>
      <c r="T29" s="494" t="n">
        <f aca="false">T21+T22+T23+T24+T25+T28</f>
        <v>517481.008185526</v>
      </c>
      <c r="U29" s="494" t="n">
        <f aca="false">U21+U22+U23+U24+U25+U28</f>
        <v>517481.008185526</v>
      </c>
      <c r="V29" s="494" t="n">
        <f aca="false">V21+V22+V23+V24+V25+V28</f>
        <v>517481.008185526</v>
      </c>
      <c r="W29" s="494" t="n">
        <f aca="false">W21+W22+W23+W24+W25+W28</f>
        <v>517481.008185526</v>
      </c>
      <c r="X29" s="494" t="n">
        <f aca="false">X21+X22+X23+X24+X25+X28</f>
        <v>517481.008185526</v>
      </c>
      <c r="Y29" s="494" t="n">
        <f aca="false">Y21+Y22+Y23+Y24+Y25+Y28</f>
        <v>517481.008185526</v>
      </c>
      <c r="Z29" s="494" t="n">
        <f aca="false">Z21+Z22+Z23+Z24+Z25+Z28</f>
        <v>517481.008185526</v>
      </c>
      <c r="AA29" s="494" t="n">
        <f aca="false">AA21+AA22+AA23+AA24+AA25+AA28</f>
        <v>517481.008185526</v>
      </c>
      <c r="AB29" s="494" t="n">
        <f aca="false">AB21+AB22+AB23+AB24+AB25+AB28</f>
        <v>511564.358539368</v>
      </c>
      <c r="AC29" s="494" t="n">
        <f aca="false">AC21+AC22+AC23+AC24+AC25+AC28</f>
        <v>511564.358539368</v>
      </c>
      <c r="AD29" s="494" t="n">
        <f aca="false">AD21+AD22+AD23+AD24+AD25+AD28</f>
        <v>511564.358539368</v>
      </c>
      <c r="AE29" s="494" t="n">
        <f aca="false">AE21+AE22+AE23+AE24+AE25+AE28</f>
        <v>511564.358539368</v>
      </c>
      <c r="AF29" s="494" t="n">
        <f aca="false">AF21+AF22+AF23+AF24+AF25+AF28</f>
        <v>511564.358539368</v>
      </c>
      <c r="AG29" s="494" t="n">
        <f aca="false">AG21+AG22+AG23+AG24+AG25+AG28</f>
        <v>511564.358539368</v>
      </c>
      <c r="AH29" s="494" t="n">
        <f aca="false">AH21+AH22+AH23+AH24+AH25+AH28</f>
        <v>511564.358539368</v>
      </c>
      <c r="AI29" s="494" t="n">
        <f aca="false">AI21+AI22+AI23+AI24+AI25+AI28</f>
        <v>511564.358539368</v>
      </c>
      <c r="AJ29" s="494" t="n">
        <f aca="false">AJ21+AJ22+AJ23+AJ24+AJ25+AJ28</f>
        <v>511564.358539368</v>
      </c>
      <c r="AK29" s="494" t="n">
        <f aca="false">AK21+AK22+AK23+AK24+AK25+AK28</f>
        <v>511564.358539368</v>
      </c>
      <c r="AL29" s="494" t="n">
        <f aca="false">AL21+AL22+AL23+AL24+AL25+AL28</f>
        <v>511564.358539368</v>
      </c>
      <c r="AM29" s="494" t="n">
        <f aca="false">AM21+AM22+AM23+AM24+AM25+AM28</f>
        <v>511564.358539368</v>
      </c>
      <c r="AN29" s="494" t="n">
        <f aca="false">AN21+AN22+AN23+AN24+AN25+AN28</f>
        <v>508606.033716288</v>
      </c>
      <c r="AO29" s="494" t="n">
        <f aca="false">AO21+AO22+AO23+AO24+AO25+AO28</f>
        <v>508606.033716288</v>
      </c>
      <c r="AP29" s="494" t="n">
        <f aca="false">AP21+AP22+AP23+AP24+AP25+AP28</f>
        <v>508606.033716288</v>
      </c>
      <c r="AQ29" s="494" t="n">
        <f aca="false">AQ21+AQ22+AQ23+AQ24+AQ25+AQ28</f>
        <v>508606.033716288</v>
      </c>
      <c r="AR29" s="494" t="n">
        <f aca="false">AR21+AR22+AR23+AR24+AR25+AR28</f>
        <v>508606.033716288</v>
      </c>
      <c r="AS29" s="494" t="n">
        <f aca="false">AS21+AS22+AS23+AS24+AS25+AS28</f>
        <v>508606.033716288</v>
      </c>
      <c r="AT29" s="494" t="n">
        <f aca="false">AT21+AT22+AT23+AT24+AT25+AT28</f>
        <v>508606.033716288</v>
      </c>
      <c r="AU29" s="494" t="n">
        <f aca="false">AU21+AU22+AU23+AU24+AU25+AU28</f>
        <v>508606.033716288</v>
      </c>
      <c r="AV29" s="494" t="n">
        <f aca="false">AV21+AV22+AV23+AV24+AV25+AV28</f>
        <v>508606.033716288</v>
      </c>
      <c r="AW29" s="494" t="n">
        <f aca="false">AW21+AW22+AW23+AW24+AW25+AW28</f>
        <v>508606.033716288</v>
      </c>
      <c r="AX29" s="494" t="n">
        <f aca="false">AX21+AX22+AX23+AX24+AX25+AX28</f>
        <v>508606.033716288</v>
      </c>
      <c r="AY29" s="494" t="n">
        <f aca="false">AY21+AY22+AY23+AY24+AY25+AY28</f>
        <v>508606.033716288</v>
      </c>
      <c r="AZ29" s="494" t="n">
        <f aca="false">AZ21+AZ22+AZ23+AZ24+AZ25+AZ28</f>
        <v>505647.708893209</v>
      </c>
      <c r="BA29" s="494" t="n">
        <f aca="false">BA21+BA22+BA23+BA24+BA25+BA28</f>
        <v>505647.708893209</v>
      </c>
      <c r="BB29" s="494" t="n">
        <f aca="false">BB21+BB22+BB23+BB24+BB25+BB28</f>
        <v>505647.708893209</v>
      </c>
      <c r="BC29" s="494" t="n">
        <f aca="false">BC21+BC22+BC23+BC24+BC25+BC28</f>
        <v>505647.708893209</v>
      </c>
      <c r="BD29" s="494" t="n">
        <f aca="false">BD21+BD22+BD23+BD24+BD25+BD28</f>
        <v>505647.708893209</v>
      </c>
      <c r="BE29" s="494" t="n">
        <f aca="false">BE21+BE22+BE23+BE24+BE25+BE28</f>
        <v>505647.708893209</v>
      </c>
      <c r="BF29" s="494" t="n">
        <f aca="false">BF21+BF22+BF23+BF24+BF25+BF28</f>
        <v>505647.708893209</v>
      </c>
      <c r="BG29" s="494" t="n">
        <f aca="false">BG21+BG22+BG23+BG24+BG25+BG28</f>
        <v>505647.708893209</v>
      </c>
      <c r="BH29" s="494" t="n">
        <f aca="false">BH21+BH22+BH23+BH24+BH25+BH28</f>
        <v>505647.708893209</v>
      </c>
      <c r="BI29" s="494" t="n">
        <f aca="false">BI21+BI22+BI23+BI24+BI25+BI28</f>
        <v>505647.708893209</v>
      </c>
      <c r="BJ29" s="494" t="n">
        <f aca="false">BJ21+BJ22+BJ23+BJ24+BJ25+BJ28</f>
        <v>505647.708893209</v>
      </c>
      <c r="BK29" s="494" t="n">
        <f aca="false">BK21+BK22+BK23+BK24+BK25+BK28</f>
        <v>505647.708893209</v>
      </c>
    </row>
    <row r="30" customFormat="false" ht="15" hidden="false" customHeight="true" outlineLevel="0" collapsed="false">
      <c r="A30" s="218"/>
      <c r="B30" s="493" t="s">
        <v>2930</v>
      </c>
      <c r="C30" s="218"/>
      <c r="D30" s="494" t="n">
        <f aca="false">D11-D29</f>
        <v>-2870</v>
      </c>
      <c r="E30" s="494" t="n">
        <f aca="false">E11-E29</f>
        <v>-15715</v>
      </c>
      <c r="F30" s="494" t="n">
        <f aca="false">F11-F29</f>
        <v>-15715</v>
      </c>
      <c r="G30" s="494" t="n">
        <f aca="false">G11-G29</f>
        <v>-15715</v>
      </c>
      <c r="H30" s="494" t="n">
        <f aca="false">H11-H29</f>
        <v>-15715</v>
      </c>
      <c r="I30" s="494" t="n">
        <f aca="false">I11-I29</f>
        <v>-15715</v>
      </c>
      <c r="J30" s="494" t="n">
        <f aca="false">J11-J29</f>
        <v>-16715</v>
      </c>
      <c r="K30" s="494" t="n">
        <f aca="false">K11-K29</f>
        <v>-20945.565625</v>
      </c>
      <c r="L30" s="494" t="n">
        <f aca="false">L11-L29</f>
        <v>-35558.565625</v>
      </c>
      <c r="M30" s="494" t="n">
        <f aca="false">M11-M29</f>
        <v>-23009.987880978</v>
      </c>
      <c r="N30" s="494" t="n">
        <f aca="false">N11-N29</f>
        <v>-5012.857763237</v>
      </c>
      <c r="O30" s="494" t="n">
        <f aca="false">O11-O29</f>
        <v>10865.0994471885</v>
      </c>
      <c r="P30" s="494" t="n">
        <f aca="false">P11-P29</f>
        <v>29023.8092579889</v>
      </c>
      <c r="Q30" s="494" t="n">
        <f aca="false">Q11-Q29</f>
        <v>58026.5286952757</v>
      </c>
      <c r="R30" s="494" t="n">
        <f aca="false">R11-R29</f>
        <v>68582.7148155217</v>
      </c>
      <c r="S30" s="494" t="n">
        <f aca="false">S11-S29</f>
        <v>74183.956430346</v>
      </c>
      <c r="T30" s="494" t="n">
        <f aca="false">T11-T29</f>
        <v>74183.956430346</v>
      </c>
      <c r="U30" s="494" t="n">
        <f aca="false">U11-U29</f>
        <v>74183.956430346</v>
      </c>
      <c r="V30" s="494" t="n">
        <f aca="false">V11-V29</f>
        <v>74183.956430346</v>
      </c>
      <c r="W30" s="494" t="n">
        <f aca="false">W11-W29</f>
        <v>74183.956430346</v>
      </c>
      <c r="X30" s="494" t="n">
        <f aca="false">X11-X29</f>
        <v>74183.956430346</v>
      </c>
      <c r="Y30" s="494" t="n">
        <f aca="false">Y11-Y29</f>
        <v>74183.956430346</v>
      </c>
      <c r="Z30" s="494" t="n">
        <f aca="false">Z11-Z29</f>
        <v>74183.956430346</v>
      </c>
      <c r="AA30" s="494" t="n">
        <f aca="false">AA11-AA29</f>
        <v>74183.956430346</v>
      </c>
      <c r="AB30" s="494" t="n">
        <f aca="false">AB11-AB29</f>
        <v>80100.6060765047</v>
      </c>
      <c r="AC30" s="494" t="n">
        <f aca="false">AC11-AC29</f>
        <v>80100.6060765047</v>
      </c>
      <c r="AD30" s="494" t="n">
        <f aca="false">AD11-AD29</f>
        <v>80100.6060765047</v>
      </c>
      <c r="AE30" s="494" t="n">
        <f aca="false">AE11-AE29</f>
        <v>80100.6060765047</v>
      </c>
      <c r="AF30" s="494" t="n">
        <f aca="false">AF11-AF29</f>
        <v>80100.6060765047</v>
      </c>
      <c r="AG30" s="494" t="n">
        <f aca="false">AG11-AG29</f>
        <v>80100.6060765047</v>
      </c>
      <c r="AH30" s="494" t="n">
        <f aca="false">AH11-AH29</f>
        <v>80100.6060765047</v>
      </c>
      <c r="AI30" s="494" t="n">
        <f aca="false">AI11-AI29</f>
        <v>80100.6060765047</v>
      </c>
      <c r="AJ30" s="494" t="n">
        <f aca="false">AJ11-AJ29</f>
        <v>80100.6060765047</v>
      </c>
      <c r="AK30" s="494" t="n">
        <f aca="false">AK11-AK29</f>
        <v>80100.6060765047</v>
      </c>
      <c r="AL30" s="494" t="n">
        <f aca="false">AL11-AL29</f>
        <v>80100.6060765047</v>
      </c>
      <c r="AM30" s="494" t="n">
        <f aca="false">AM11-AM29</f>
        <v>80100.6060765047</v>
      </c>
      <c r="AN30" s="494" t="n">
        <f aca="false">AN11-AN29</f>
        <v>83058.930899584</v>
      </c>
      <c r="AO30" s="494" t="n">
        <f aca="false">AO11-AO29</f>
        <v>83058.930899584</v>
      </c>
      <c r="AP30" s="494" t="n">
        <f aca="false">AP11-AP29</f>
        <v>83058.930899584</v>
      </c>
      <c r="AQ30" s="494" t="n">
        <f aca="false">AQ11-AQ29</f>
        <v>83058.930899584</v>
      </c>
      <c r="AR30" s="494" t="n">
        <f aca="false">AR11-AR29</f>
        <v>83058.930899584</v>
      </c>
      <c r="AS30" s="494" t="n">
        <f aca="false">AS11-AS29</f>
        <v>83058.930899584</v>
      </c>
      <c r="AT30" s="494" t="n">
        <f aca="false">AT11-AT29</f>
        <v>83058.930899584</v>
      </c>
      <c r="AU30" s="494" t="n">
        <f aca="false">AU11-AU29</f>
        <v>83058.930899584</v>
      </c>
      <c r="AV30" s="494" t="n">
        <f aca="false">AV11-AV29</f>
        <v>83058.930899584</v>
      </c>
      <c r="AW30" s="494" t="n">
        <f aca="false">AW11-AW29</f>
        <v>83058.930899584</v>
      </c>
      <c r="AX30" s="494" t="n">
        <f aca="false">AX11-AX29</f>
        <v>83058.930899584</v>
      </c>
      <c r="AY30" s="494" t="n">
        <f aca="false">AY11-AY29</f>
        <v>83058.930899584</v>
      </c>
      <c r="AZ30" s="494" t="n">
        <f aca="false">AZ11-AZ29</f>
        <v>86017.2557226634</v>
      </c>
      <c r="BA30" s="494" t="n">
        <f aca="false">BA11-BA29</f>
        <v>86017.2557226634</v>
      </c>
      <c r="BB30" s="494" t="n">
        <f aca="false">BB11-BB29</f>
        <v>86017.2557226634</v>
      </c>
      <c r="BC30" s="494" t="n">
        <f aca="false">BC11-BC29</f>
        <v>86017.2557226634</v>
      </c>
      <c r="BD30" s="494" t="n">
        <f aca="false">BD11-BD29</f>
        <v>86017.2557226634</v>
      </c>
      <c r="BE30" s="494" t="n">
        <f aca="false">BE11-BE29</f>
        <v>86017.2557226634</v>
      </c>
      <c r="BF30" s="494" t="n">
        <f aca="false">BF11-BF29</f>
        <v>86017.2557226634</v>
      </c>
      <c r="BG30" s="494" t="n">
        <f aca="false">BG11-BG29</f>
        <v>86017.2557226634</v>
      </c>
      <c r="BH30" s="494" t="n">
        <f aca="false">BH11-BH29</f>
        <v>86017.2557226634</v>
      </c>
      <c r="BI30" s="494" t="n">
        <f aca="false">BI11-BI29</f>
        <v>86017.2557226634</v>
      </c>
      <c r="BJ30" s="494" t="n">
        <f aca="false">BJ11-BJ29</f>
        <v>86017.2557226634</v>
      </c>
      <c r="BK30" s="494" t="n">
        <f aca="false">BK11-BK29</f>
        <v>86017.2557226634</v>
      </c>
    </row>
    <row r="31" customFormat="false" ht="15" hidden="false" customHeight="true" outlineLevel="0" collapsed="false">
      <c r="B31" s="297" t="s">
        <v>2931</v>
      </c>
      <c r="D31" s="495" t="n">
        <f aca="false">(D17+D19+D20)*FC_SUPUESTOS!$C$59/30</f>
        <v>0</v>
      </c>
      <c r="E31" s="495" t="n">
        <f aca="false">(E17+E19+E20)*FC_SUPUESTOS!$C$59/30</f>
        <v>0</v>
      </c>
      <c r="F31" s="495" t="n">
        <f aca="false">(F17+F19+F20)*FC_SUPUESTOS!$C$59/30</f>
        <v>0</v>
      </c>
      <c r="G31" s="495" t="n">
        <f aca="false">(G17+G19+G20)*FC_SUPUESTOS!$C$59/30</f>
        <v>0</v>
      </c>
      <c r="H31" s="495" t="n">
        <f aca="false">(H17+H19+H20)*FC_SUPUESTOS!$C$59/30</f>
        <v>0</v>
      </c>
      <c r="I31" s="495" t="n">
        <f aca="false">(I17+I19+I20)*FC_SUPUESTOS!$C$59/30</f>
        <v>0</v>
      </c>
      <c r="J31" s="495" t="n">
        <f aca="false">(J17+J19+J20)*FC_SUPUESTOS!$C$59/30</f>
        <v>0</v>
      </c>
      <c r="K31" s="495" t="n">
        <f aca="false">(K17+K19+K20)*FC_SUPUESTOS!$C$59/30</f>
        <v>0</v>
      </c>
      <c r="L31" s="495" t="n">
        <f aca="false">(L17+L19+L20)*FC_SUPUESTOS!$C$59/30</f>
        <v>0</v>
      </c>
      <c r="M31" s="495" t="n">
        <f aca="false">(M17+M19+M20)*FC_SUPUESTOS!$C$59/30</f>
        <v>10114.4608235758</v>
      </c>
      <c r="N31" s="495" t="n">
        <f aca="false">(N17+N19+N20)*FC_SUPUESTOS!$C$59/30</f>
        <v>22396.3061093465</v>
      </c>
      <c r="O31" s="495" t="n">
        <f aca="false">(O17+O19+O20)*FC_SUPUESTOS!$C$59/30</f>
        <v>36845.5358573119</v>
      </c>
      <c r="P31" s="495" t="n">
        <f aca="false">(P17+P19+P20)*FC_SUPUESTOS!$C$59/30</f>
        <v>52811.9347288137</v>
      </c>
      <c r="Q31" s="495" t="n">
        <f aca="false">(Q17+Q19+Q20)*FC_SUPUESTOS!$C$59/30</f>
        <v>70620.6103931812</v>
      </c>
      <c r="R31" s="495" t="n">
        <f aca="false">(R17+R19+R20)*FC_SUPUESTOS!$C$59/30</f>
        <v>75930.7023255585</v>
      </c>
      <c r="S31" s="495" t="n">
        <f aca="false">(S17+S19+S20)*FC_SUPUESTOS!$C$59/30</f>
        <v>78748.3021264117</v>
      </c>
      <c r="T31" s="495" t="n">
        <f aca="false">(T17+T19+T20)*FC_SUPUESTOS!$C$59/30</f>
        <v>78748.3021264117</v>
      </c>
      <c r="U31" s="495" t="n">
        <f aca="false">(U17+U19+U20)*FC_SUPUESTOS!$C$59/30</f>
        <v>78748.3021264117</v>
      </c>
      <c r="V31" s="495" t="n">
        <f aca="false">(V17+V19+V20)*FC_SUPUESTOS!$C$59/30</f>
        <v>78748.3021264117</v>
      </c>
      <c r="W31" s="495" t="n">
        <f aca="false">(W17+W19+W20)*FC_SUPUESTOS!$C$59/30</f>
        <v>78748.3021264117</v>
      </c>
      <c r="X31" s="495" t="n">
        <f aca="false">(X17+X19+X20)*FC_SUPUESTOS!$C$59/30</f>
        <v>78748.3021264117</v>
      </c>
      <c r="Y31" s="495" t="n">
        <f aca="false">(Y17+Y19+Y20)*FC_SUPUESTOS!$C$59/30</f>
        <v>78748.3021264117</v>
      </c>
      <c r="Z31" s="495" t="n">
        <f aca="false">(Z17+Z19+Z20)*FC_SUPUESTOS!$C$59/30</f>
        <v>78748.3021264117</v>
      </c>
      <c r="AA31" s="495" t="n">
        <f aca="false">(AA17+AA19+AA20)*FC_SUPUESTOS!$C$59/30</f>
        <v>78748.3021264117</v>
      </c>
      <c r="AB31" s="495" t="n">
        <f aca="false">(AB17+AB19+AB20)*FC_SUPUESTOS!$C$59/30</f>
        <v>78748.3021264117</v>
      </c>
      <c r="AC31" s="495" t="n">
        <f aca="false">(AC17+AC19+AC20)*FC_SUPUESTOS!$C$59/30</f>
        <v>78748.3021264117</v>
      </c>
      <c r="AD31" s="495" t="n">
        <f aca="false">(AD17+AD19+AD20)*FC_SUPUESTOS!$C$59/30</f>
        <v>78748.3021264117</v>
      </c>
      <c r="AE31" s="495" t="n">
        <f aca="false">(AE17+AE19+AE20)*FC_SUPUESTOS!$C$59/30</f>
        <v>78748.3021264117</v>
      </c>
      <c r="AF31" s="495" t="n">
        <f aca="false">(AF17+AF19+AF20)*FC_SUPUESTOS!$C$59/30</f>
        <v>78748.3021264117</v>
      </c>
      <c r="AG31" s="495" t="n">
        <f aca="false">(AG17+AG19+AG20)*FC_SUPUESTOS!$C$59/30</f>
        <v>78748.3021264117</v>
      </c>
      <c r="AH31" s="495" t="n">
        <f aca="false">(AH17+AH19+AH20)*FC_SUPUESTOS!$C$59/30</f>
        <v>78748.3021264117</v>
      </c>
      <c r="AI31" s="495" t="n">
        <f aca="false">(AI17+AI19+AI20)*FC_SUPUESTOS!$C$59/30</f>
        <v>78748.3021264117</v>
      </c>
      <c r="AJ31" s="495" t="n">
        <f aca="false">(AJ17+AJ19+AJ20)*FC_SUPUESTOS!$C$59/30</f>
        <v>78748.3021264117</v>
      </c>
      <c r="AK31" s="495" t="n">
        <f aca="false">(AK17+AK19+AK20)*FC_SUPUESTOS!$C$59/30</f>
        <v>78748.3021264117</v>
      </c>
      <c r="AL31" s="495" t="n">
        <f aca="false">(AL17+AL19+AL20)*FC_SUPUESTOS!$C$59/30</f>
        <v>78748.3021264117</v>
      </c>
      <c r="AM31" s="495" t="n">
        <f aca="false">(AM17+AM19+AM20)*FC_SUPUESTOS!$C$59/30</f>
        <v>78748.3021264117</v>
      </c>
      <c r="AN31" s="495" t="n">
        <f aca="false">(AN17+AN19+AN20)*FC_SUPUESTOS!$C$59/30</f>
        <v>78748.3021264117</v>
      </c>
      <c r="AO31" s="495" t="n">
        <f aca="false">(AO17+AO19+AO20)*FC_SUPUESTOS!$C$59/30</f>
        <v>78748.3021264117</v>
      </c>
      <c r="AP31" s="495" t="n">
        <f aca="false">(AP17+AP19+AP20)*FC_SUPUESTOS!$C$59/30</f>
        <v>78748.3021264117</v>
      </c>
      <c r="AQ31" s="495" t="n">
        <f aca="false">(AQ17+AQ19+AQ20)*FC_SUPUESTOS!$C$59/30</f>
        <v>78748.3021264117</v>
      </c>
      <c r="AR31" s="495" t="n">
        <f aca="false">(AR17+AR19+AR20)*FC_SUPUESTOS!$C$59/30</f>
        <v>78748.3021264117</v>
      </c>
      <c r="AS31" s="495" t="n">
        <f aca="false">(AS17+AS19+AS20)*FC_SUPUESTOS!$C$59/30</f>
        <v>78748.3021264117</v>
      </c>
      <c r="AT31" s="495" t="n">
        <f aca="false">(AT17+AT19+AT20)*FC_SUPUESTOS!$C$59/30</f>
        <v>78748.3021264117</v>
      </c>
      <c r="AU31" s="495" t="n">
        <f aca="false">(AU17+AU19+AU20)*FC_SUPUESTOS!$C$59/30</f>
        <v>78748.3021264117</v>
      </c>
      <c r="AV31" s="495" t="n">
        <f aca="false">(AV17+AV19+AV20)*FC_SUPUESTOS!$C$59/30</f>
        <v>78748.3021264117</v>
      </c>
      <c r="AW31" s="495" t="n">
        <f aca="false">(AW17+AW19+AW20)*FC_SUPUESTOS!$C$59/30</f>
        <v>78748.3021264117</v>
      </c>
      <c r="AX31" s="495" t="n">
        <f aca="false">(AX17+AX19+AX20)*FC_SUPUESTOS!$C$59/30</f>
        <v>78748.3021264117</v>
      </c>
      <c r="AY31" s="495" t="n">
        <f aca="false">(AY17+AY19+AY20)*FC_SUPUESTOS!$C$59/30</f>
        <v>78748.3021264117</v>
      </c>
      <c r="AZ31" s="495" t="n">
        <f aca="false">(AZ17+AZ19+AZ20)*FC_SUPUESTOS!$C$59/30</f>
        <v>78748.3021264117</v>
      </c>
      <c r="BA31" s="495" t="n">
        <f aca="false">(BA17+BA19+BA20)*FC_SUPUESTOS!$C$59/30</f>
        <v>78748.3021264117</v>
      </c>
      <c r="BB31" s="495" t="n">
        <f aca="false">(BB17+BB19+BB20)*FC_SUPUESTOS!$C$59/30</f>
        <v>78748.3021264117</v>
      </c>
      <c r="BC31" s="495" t="n">
        <f aca="false">(BC17+BC19+BC20)*FC_SUPUESTOS!$C$59/30</f>
        <v>78748.3021264117</v>
      </c>
      <c r="BD31" s="495" t="n">
        <f aca="false">(BD17+BD19+BD20)*FC_SUPUESTOS!$C$59/30</f>
        <v>78748.3021264117</v>
      </c>
      <c r="BE31" s="495" t="n">
        <f aca="false">(BE17+BE19+BE20)*FC_SUPUESTOS!$C$59/30</f>
        <v>78748.3021264117</v>
      </c>
      <c r="BF31" s="495" t="n">
        <f aca="false">(BF17+BF19+BF20)*FC_SUPUESTOS!$C$59/30</f>
        <v>78748.3021264117</v>
      </c>
      <c r="BG31" s="495" t="n">
        <f aca="false">(BG17+BG19+BG20)*FC_SUPUESTOS!$C$59/30</f>
        <v>78748.3021264117</v>
      </c>
      <c r="BH31" s="495" t="n">
        <f aca="false">(BH17+BH19+BH20)*FC_SUPUESTOS!$C$59/30</f>
        <v>78748.3021264117</v>
      </c>
      <c r="BI31" s="495" t="n">
        <f aca="false">(BI17+BI19+BI20)*FC_SUPUESTOS!$C$59/30</f>
        <v>78748.3021264117</v>
      </c>
      <c r="BJ31" s="495" t="n">
        <f aca="false">(BJ17+BJ19+BJ20)*FC_SUPUESTOS!$C$59/30</f>
        <v>78748.3021264117</v>
      </c>
      <c r="BK31" s="495" t="n">
        <f aca="false">(BK17+BK19+BK20)*FC_SUPUESTOS!$C$59/30</f>
        <v>78748.3021264117</v>
      </c>
    </row>
    <row r="32" customFormat="false" ht="15" hidden="false" customHeight="true" outlineLevel="0" collapsed="false">
      <c r="B32" s="297" t="s">
        <v>2932</v>
      </c>
      <c r="D32" s="380" t="n">
        <f aca="false">-D31</f>
        <v>-0</v>
      </c>
      <c r="E32" s="380" t="n">
        <f aca="false">-(E31-D31)</f>
        <v>-0</v>
      </c>
      <c r="F32" s="380" t="n">
        <f aca="false">-(F31-E31)</f>
        <v>-0</v>
      </c>
      <c r="G32" s="380" t="n">
        <f aca="false">-(G31-F31)</f>
        <v>-0</v>
      </c>
      <c r="H32" s="380" t="n">
        <f aca="false">-(H31-G31)</f>
        <v>-0</v>
      </c>
      <c r="I32" s="380" t="n">
        <f aca="false">-(I31-H31)</f>
        <v>-0</v>
      </c>
      <c r="J32" s="380" t="n">
        <f aca="false">-(J31-I31)</f>
        <v>-0</v>
      </c>
      <c r="K32" s="380" t="n">
        <f aca="false">-(K31-J31)</f>
        <v>-0</v>
      </c>
      <c r="L32" s="380" t="n">
        <f aca="false">-(L31-K31)</f>
        <v>-0</v>
      </c>
      <c r="M32" s="380" t="n">
        <f aca="false">-(M31-L31)</f>
        <v>-10114.4608235758</v>
      </c>
      <c r="N32" s="380" t="n">
        <f aca="false">-(N31-M31)</f>
        <v>-12281.8452857706</v>
      </c>
      <c r="O32" s="380" t="n">
        <f aca="false">-(O31-N31)</f>
        <v>-14449.2297479655</v>
      </c>
      <c r="P32" s="380" t="n">
        <f aca="false">-(P31-O31)</f>
        <v>-15966.3988715018</v>
      </c>
      <c r="Q32" s="380" t="n">
        <f aca="false">-(Q31-P31)</f>
        <v>-17808.6756643674</v>
      </c>
      <c r="R32" s="380" t="n">
        <f aca="false">-(R31-Q31)</f>
        <v>-5310.0919323773</v>
      </c>
      <c r="S32" s="380" t="n">
        <f aca="false">-(S31-R31)</f>
        <v>-2817.59980085325</v>
      </c>
      <c r="T32" s="380" t="n">
        <f aca="false">-(T31-S31)</f>
        <v>-0</v>
      </c>
      <c r="U32" s="380" t="n">
        <f aca="false">-(U31-T31)</f>
        <v>-0</v>
      </c>
      <c r="V32" s="380" t="n">
        <f aca="false">-(V31-U31)</f>
        <v>-0</v>
      </c>
      <c r="W32" s="380" t="n">
        <f aca="false">-(W31-V31)</f>
        <v>-0</v>
      </c>
      <c r="X32" s="380" t="n">
        <f aca="false">-(X31-W31)</f>
        <v>-0</v>
      </c>
      <c r="Y32" s="380" t="n">
        <f aca="false">-(Y31-X31)</f>
        <v>-0</v>
      </c>
      <c r="Z32" s="380" t="n">
        <f aca="false">-(Z31-Y31)</f>
        <v>-0</v>
      </c>
      <c r="AA32" s="380" t="n">
        <f aca="false">-(AA31-Z31)</f>
        <v>-0</v>
      </c>
      <c r="AB32" s="380" t="n">
        <f aca="false">-(AB31-AA31)</f>
        <v>-0</v>
      </c>
      <c r="AC32" s="380" t="n">
        <f aca="false">-(AC31-AB31)</f>
        <v>-0</v>
      </c>
      <c r="AD32" s="380" t="n">
        <f aca="false">-(AD31-AC31)</f>
        <v>-0</v>
      </c>
      <c r="AE32" s="380" t="n">
        <f aca="false">-(AE31-AD31)</f>
        <v>-0</v>
      </c>
      <c r="AF32" s="380" t="n">
        <f aca="false">-(AF31-AE31)</f>
        <v>-0</v>
      </c>
      <c r="AG32" s="380" t="n">
        <f aca="false">-(AG31-AF31)</f>
        <v>-0</v>
      </c>
      <c r="AH32" s="380" t="n">
        <f aca="false">-(AH31-AG31)</f>
        <v>-0</v>
      </c>
      <c r="AI32" s="380" t="n">
        <f aca="false">-(AI31-AH31)</f>
        <v>-0</v>
      </c>
      <c r="AJ32" s="380" t="n">
        <f aca="false">-(AJ31-AI31)</f>
        <v>-0</v>
      </c>
      <c r="AK32" s="380" t="n">
        <f aca="false">-(AK31-AJ31)</f>
        <v>-0</v>
      </c>
      <c r="AL32" s="380" t="n">
        <f aca="false">-(AL31-AK31)</f>
        <v>-0</v>
      </c>
      <c r="AM32" s="380" t="n">
        <f aca="false">-(AM31-AL31)</f>
        <v>-0</v>
      </c>
      <c r="AN32" s="380" t="n">
        <f aca="false">-(AN31-AM31)</f>
        <v>-0</v>
      </c>
      <c r="AO32" s="380" t="n">
        <f aca="false">-(AO31-AN31)</f>
        <v>-0</v>
      </c>
      <c r="AP32" s="380" t="n">
        <f aca="false">-(AP31-AO31)</f>
        <v>-0</v>
      </c>
      <c r="AQ32" s="380" t="n">
        <f aca="false">-(AQ31-AP31)</f>
        <v>-0</v>
      </c>
      <c r="AR32" s="380" t="n">
        <f aca="false">-(AR31-AQ31)</f>
        <v>-0</v>
      </c>
      <c r="AS32" s="380" t="n">
        <f aca="false">-(AS31-AR31)</f>
        <v>-0</v>
      </c>
      <c r="AT32" s="380" t="n">
        <f aca="false">-(AT31-AS31)</f>
        <v>-0</v>
      </c>
      <c r="AU32" s="380" t="n">
        <f aca="false">-(AU31-AT31)</f>
        <v>-0</v>
      </c>
      <c r="AV32" s="380" t="n">
        <f aca="false">-(AV31-AU31)</f>
        <v>-0</v>
      </c>
      <c r="AW32" s="380" t="n">
        <f aca="false">-(AW31-AV31)</f>
        <v>-0</v>
      </c>
      <c r="AX32" s="380" t="n">
        <f aca="false">-(AX31-AW31)</f>
        <v>-0</v>
      </c>
      <c r="AY32" s="380" t="n">
        <f aca="false">-(AY31-AX31)</f>
        <v>-0</v>
      </c>
      <c r="AZ32" s="380" t="n">
        <f aca="false">-(AZ31-AY31)</f>
        <v>-0</v>
      </c>
      <c r="BA32" s="380" t="n">
        <f aca="false">-(BA31-AZ31)</f>
        <v>-0</v>
      </c>
      <c r="BB32" s="380" t="n">
        <f aca="false">-(BB31-BA31)</f>
        <v>-0</v>
      </c>
      <c r="BC32" s="380" t="n">
        <f aca="false">-(BC31-BB31)</f>
        <v>-0</v>
      </c>
      <c r="BD32" s="380" t="n">
        <f aca="false">-(BD31-BC31)</f>
        <v>-0</v>
      </c>
      <c r="BE32" s="380" t="n">
        <f aca="false">-(BE31-BD31)</f>
        <v>-0</v>
      </c>
      <c r="BF32" s="380" t="n">
        <f aca="false">-(BF31-BE31)</f>
        <v>-0</v>
      </c>
      <c r="BG32" s="380" t="n">
        <f aca="false">-(BG31-BF31)</f>
        <v>-0</v>
      </c>
      <c r="BH32" s="380" t="n">
        <f aca="false">-(BH31-BG31)</f>
        <v>-0</v>
      </c>
      <c r="BI32" s="380" t="n">
        <f aca="false">-(BI31-BH31)</f>
        <v>-0</v>
      </c>
      <c r="BJ32" s="380" t="n">
        <f aca="false">-(BJ31-BI31)</f>
        <v>-0</v>
      </c>
      <c r="BK32" s="380" t="n">
        <f aca="false">-(BK31-BJ31)</f>
        <v>-0</v>
      </c>
    </row>
    <row r="33" customFormat="false" ht="15" hidden="false" customHeight="true" outlineLevel="0" collapsed="false">
      <c r="B33" s="297" t="s">
        <v>2933</v>
      </c>
      <c r="D33" s="495" t="n">
        <f aca="false">(D17+D19+D20+D24)*FC_SUPUESTOS!$C$61/30</f>
        <v>0</v>
      </c>
      <c r="E33" s="495" t="n">
        <f aca="false">(E17+E19+E20+E24)*FC_SUPUESTOS!$C$61/30</f>
        <v>0</v>
      </c>
      <c r="F33" s="495" t="n">
        <f aca="false">(F17+F19+F20+F24)*FC_SUPUESTOS!$C$61/30</f>
        <v>0</v>
      </c>
      <c r="G33" s="495" t="n">
        <f aca="false">(G17+G19+G20+G24)*FC_SUPUESTOS!$C$61/30</f>
        <v>0</v>
      </c>
      <c r="H33" s="495" t="n">
        <f aca="false">(H17+H19+H20+H24)*FC_SUPUESTOS!$C$61/30</f>
        <v>0</v>
      </c>
      <c r="I33" s="495" t="n">
        <f aca="false">(I17+I19+I20+I24)*FC_SUPUESTOS!$C$61/30</f>
        <v>0</v>
      </c>
      <c r="J33" s="495" t="n">
        <f aca="false">(J17+J19+J20+J24)*FC_SUPUESTOS!$C$61/30</f>
        <v>0</v>
      </c>
      <c r="K33" s="495" t="n">
        <f aca="false">(K17+K19+K20+K24)*FC_SUPUESTOS!$C$61/30</f>
        <v>0</v>
      </c>
      <c r="L33" s="495" t="n">
        <f aca="false">(L17+L19+L20+L24)*FC_SUPUESTOS!$C$61/30</f>
        <v>0</v>
      </c>
      <c r="M33" s="495" t="n">
        <f aca="false">(M17+M19+M20+M24)*FC_SUPUESTOS!$C$61/30</f>
        <v>25283.5437179992</v>
      </c>
      <c r="N33" s="495" t="n">
        <f aca="false">(N17+N19+N20+N24)*FC_SUPUESTOS!$C$61/30</f>
        <v>55984.9896612838</v>
      </c>
      <c r="O33" s="495" t="n">
        <f aca="false">(O17+O19+O20+O24)*FC_SUPUESTOS!$C$61/30</f>
        <v>92104.3378298541</v>
      </c>
      <c r="P33" s="495" t="n">
        <f aca="false">(P17+P19+P20+P24)*FC_SUPUESTOS!$C$61/30</f>
        <v>132016.217556124</v>
      </c>
      <c r="Q33" s="495" t="n">
        <f aca="false">(Q17+Q19+Q20+Q24)*FC_SUPUESTOS!$C$61/30</f>
        <v>176533.314173887</v>
      </c>
      <c r="R33" s="495" t="n">
        <f aca="false">(R17+R19+R20+R24)*FC_SUPUESTOS!$C$61/30</f>
        <v>189807.174625836</v>
      </c>
      <c r="S33" s="495" t="n">
        <f aca="false">(S17+S19+S20+S24)*FC_SUPUESTOS!$C$61/30</f>
        <v>196850.447518708</v>
      </c>
      <c r="T33" s="495" t="n">
        <f aca="false">(T17+T19+T20+T24)*FC_SUPUESTOS!$C$61/30</f>
        <v>196850.447518708</v>
      </c>
      <c r="U33" s="495" t="n">
        <f aca="false">(U17+U19+U20+U24)*FC_SUPUESTOS!$C$61/30</f>
        <v>196850.447518708</v>
      </c>
      <c r="V33" s="495" t="n">
        <f aca="false">(V17+V19+V20+V24)*FC_SUPUESTOS!$C$61/30</f>
        <v>196850.447518708</v>
      </c>
      <c r="W33" s="495" t="n">
        <f aca="false">(W17+W19+W20+W24)*FC_SUPUESTOS!$C$61/30</f>
        <v>196850.447518708</v>
      </c>
      <c r="X33" s="495" t="n">
        <f aca="false">(X17+X19+X20+X24)*FC_SUPUESTOS!$C$61/30</f>
        <v>196850.447518708</v>
      </c>
      <c r="Y33" s="495" t="n">
        <f aca="false">(Y17+Y19+Y20+Y24)*FC_SUPUESTOS!$C$61/30</f>
        <v>196850.447518708</v>
      </c>
      <c r="Z33" s="495" t="n">
        <f aca="false">(Z17+Z19+Z20+Z24)*FC_SUPUESTOS!$C$61/30</f>
        <v>196850.447518708</v>
      </c>
      <c r="AA33" s="495" t="n">
        <f aca="false">(AA17+AA19+AA20+AA24)*FC_SUPUESTOS!$C$61/30</f>
        <v>196850.447518708</v>
      </c>
      <c r="AB33" s="495" t="n">
        <f aca="false">(AB17+AB19+AB20+AB24)*FC_SUPUESTOS!$C$61/30</f>
        <v>196850.447518708</v>
      </c>
      <c r="AC33" s="495" t="n">
        <f aca="false">(AC17+AC19+AC20+AC24)*FC_SUPUESTOS!$C$61/30</f>
        <v>196850.447518708</v>
      </c>
      <c r="AD33" s="495" t="n">
        <f aca="false">(AD17+AD19+AD20+AD24)*FC_SUPUESTOS!$C$61/30</f>
        <v>196850.447518708</v>
      </c>
      <c r="AE33" s="495" t="n">
        <f aca="false">(AE17+AE19+AE20+AE24)*FC_SUPUESTOS!$C$61/30</f>
        <v>196850.447518708</v>
      </c>
      <c r="AF33" s="495" t="n">
        <f aca="false">(AF17+AF19+AF20+AF24)*FC_SUPUESTOS!$C$61/30</f>
        <v>196850.447518708</v>
      </c>
      <c r="AG33" s="495" t="n">
        <f aca="false">(AG17+AG19+AG20+AG24)*FC_SUPUESTOS!$C$61/30</f>
        <v>196850.447518708</v>
      </c>
      <c r="AH33" s="495" t="n">
        <f aca="false">(AH17+AH19+AH20+AH24)*FC_SUPUESTOS!$C$61/30</f>
        <v>196850.447518708</v>
      </c>
      <c r="AI33" s="495" t="n">
        <f aca="false">(AI17+AI19+AI20+AI24)*FC_SUPUESTOS!$C$61/30</f>
        <v>196850.447518708</v>
      </c>
      <c r="AJ33" s="495" t="n">
        <f aca="false">(AJ17+AJ19+AJ20+AJ24)*FC_SUPUESTOS!$C$61/30</f>
        <v>196850.447518708</v>
      </c>
      <c r="AK33" s="495" t="n">
        <f aca="false">(AK17+AK19+AK20+AK24)*FC_SUPUESTOS!$C$61/30</f>
        <v>196850.447518708</v>
      </c>
      <c r="AL33" s="495" t="n">
        <f aca="false">(AL17+AL19+AL20+AL24)*FC_SUPUESTOS!$C$61/30</f>
        <v>196850.447518708</v>
      </c>
      <c r="AM33" s="495" t="n">
        <f aca="false">(AM17+AM19+AM20+AM24)*FC_SUPUESTOS!$C$61/30</f>
        <v>196850.447518708</v>
      </c>
      <c r="AN33" s="495" t="n">
        <f aca="false">(AN17+AN19+AN20+AN24)*FC_SUPUESTOS!$C$61/30</f>
        <v>196850.447518708</v>
      </c>
      <c r="AO33" s="495" t="n">
        <f aca="false">(AO17+AO19+AO20+AO24)*FC_SUPUESTOS!$C$61/30</f>
        <v>196850.447518708</v>
      </c>
      <c r="AP33" s="495" t="n">
        <f aca="false">(AP17+AP19+AP20+AP24)*FC_SUPUESTOS!$C$61/30</f>
        <v>196850.447518708</v>
      </c>
      <c r="AQ33" s="495" t="n">
        <f aca="false">(AQ17+AQ19+AQ20+AQ24)*FC_SUPUESTOS!$C$61/30</f>
        <v>196850.447518708</v>
      </c>
      <c r="AR33" s="495" t="n">
        <f aca="false">(AR17+AR19+AR20+AR24)*FC_SUPUESTOS!$C$61/30</f>
        <v>196850.447518708</v>
      </c>
      <c r="AS33" s="495" t="n">
        <f aca="false">(AS17+AS19+AS20+AS24)*FC_SUPUESTOS!$C$61/30</f>
        <v>196850.447518708</v>
      </c>
      <c r="AT33" s="495" t="n">
        <f aca="false">(AT17+AT19+AT20+AT24)*FC_SUPUESTOS!$C$61/30</f>
        <v>196850.447518708</v>
      </c>
      <c r="AU33" s="495" t="n">
        <f aca="false">(AU17+AU19+AU20+AU24)*FC_SUPUESTOS!$C$61/30</f>
        <v>196850.447518708</v>
      </c>
      <c r="AV33" s="495" t="n">
        <f aca="false">(AV17+AV19+AV20+AV24)*FC_SUPUESTOS!$C$61/30</f>
        <v>196850.447518708</v>
      </c>
      <c r="AW33" s="495" t="n">
        <f aca="false">(AW17+AW19+AW20+AW24)*FC_SUPUESTOS!$C$61/30</f>
        <v>196850.447518708</v>
      </c>
      <c r="AX33" s="495" t="n">
        <f aca="false">(AX17+AX19+AX20+AX24)*FC_SUPUESTOS!$C$61/30</f>
        <v>196850.447518708</v>
      </c>
      <c r="AY33" s="495" t="n">
        <f aca="false">(AY17+AY19+AY20+AY24)*FC_SUPUESTOS!$C$61/30</f>
        <v>196850.447518708</v>
      </c>
      <c r="AZ33" s="495" t="n">
        <f aca="false">(AZ17+AZ19+AZ20+AZ24)*FC_SUPUESTOS!$C$61/30</f>
        <v>196850.447518708</v>
      </c>
      <c r="BA33" s="495" t="n">
        <f aca="false">(BA17+BA19+BA20+BA24)*FC_SUPUESTOS!$C$61/30</f>
        <v>196850.447518708</v>
      </c>
      <c r="BB33" s="495" t="n">
        <f aca="false">(BB17+BB19+BB20+BB24)*FC_SUPUESTOS!$C$61/30</f>
        <v>196850.447518708</v>
      </c>
      <c r="BC33" s="495" t="n">
        <f aca="false">(BC17+BC19+BC20+BC24)*FC_SUPUESTOS!$C$61/30</f>
        <v>196850.447518708</v>
      </c>
      <c r="BD33" s="495" t="n">
        <f aca="false">(BD17+BD19+BD20+BD24)*FC_SUPUESTOS!$C$61/30</f>
        <v>196850.447518708</v>
      </c>
      <c r="BE33" s="495" t="n">
        <f aca="false">(BE17+BE19+BE20+BE24)*FC_SUPUESTOS!$C$61/30</f>
        <v>196850.447518708</v>
      </c>
      <c r="BF33" s="495" t="n">
        <f aca="false">(BF17+BF19+BF20+BF24)*FC_SUPUESTOS!$C$61/30</f>
        <v>196850.447518708</v>
      </c>
      <c r="BG33" s="495" t="n">
        <f aca="false">(BG17+BG19+BG20+BG24)*FC_SUPUESTOS!$C$61/30</f>
        <v>196850.447518708</v>
      </c>
      <c r="BH33" s="495" t="n">
        <f aca="false">(BH17+BH19+BH20+BH24)*FC_SUPUESTOS!$C$61/30</f>
        <v>196850.447518708</v>
      </c>
      <c r="BI33" s="495" t="n">
        <f aca="false">(BI17+BI19+BI20+BI24)*FC_SUPUESTOS!$C$61/30</f>
        <v>196850.447518708</v>
      </c>
      <c r="BJ33" s="495" t="n">
        <f aca="false">(BJ17+BJ19+BJ20+BJ24)*FC_SUPUESTOS!$C$61/30</f>
        <v>196850.447518708</v>
      </c>
      <c r="BK33" s="495" t="n">
        <f aca="false">(BK17+BK19+BK20+BK24)*FC_SUPUESTOS!$C$61/30</f>
        <v>196850.447518708</v>
      </c>
    </row>
    <row r="34" customFormat="false" ht="15" hidden="false" customHeight="true" outlineLevel="0" collapsed="false">
      <c r="B34" s="297" t="s">
        <v>2934</v>
      </c>
      <c r="D34" s="380" t="n">
        <f aca="false">D33</f>
        <v>0</v>
      </c>
      <c r="E34" s="380" t="n">
        <f aca="false">E33-D33</f>
        <v>0</v>
      </c>
      <c r="F34" s="380" t="n">
        <f aca="false">F33-E33</f>
        <v>0</v>
      </c>
      <c r="G34" s="380" t="n">
        <f aca="false">G33-F33</f>
        <v>0</v>
      </c>
      <c r="H34" s="380" t="n">
        <f aca="false">H33-G33</f>
        <v>0</v>
      </c>
      <c r="I34" s="380" t="n">
        <f aca="false">I33-H33</f>
        <v>0</v>
      </c>
      <c r="J34" s="380" t="n">
        <f aca="false">J33-I33</f>
        <v>0</v>
      </c>
      <c r="K34" s="380" t="n">
        <f aca="false">K33-J33</f>
        <v>0</v>
      </c>
      <c r="L34" s="380" t="n">
        <f aca="false">L33-K33</f>
        <v>0</v>
      </c>
      <c r="M34" s="380" t="n">
        <f aca="false">M33-L33</f>
        <v>25283.5437179992</v>
      </c>
      <c r="N34" s="380" t="n">
        <f aca="false">N33-M33</f>
        <v>30701.4459432847</v>
      </c>
      <c r="O34" s="380" t="n">
        <f aca="false">O33-N33</f>
        <v>36119.3481685702</v>
      </c>
      <c r="P34" s="380" t="n">
        <f aca="false">P33-O33</f>
        <v>39911.8797262701</v>
      </c>
      <c r="Q34" s="380" t="n">
        <f aca="false">Q33-P33</f>
        <v>44517.0966177628</v>
      </c>
      <c r="R34" s="380" t="n">
        <f aca="false">R33-Q33</f>
        <v>13273.8604519495</v>
      </c>
      <c r="S34" s="380" t="n">
        <f aca="false">S33-R33</f>
        <v>7043.27289287117</v>
      </c>
      <c r="T34" s="380" t="n">
        <f aca="false">T33-S33</f>
        <v>0</v>
      </c>
      <c r="U34" s="380" t="n">
        <f aca="false">U33-T33</f>
        <v>0</v>
      </c>
      <c r="V34" s="380" t="n">
        <f aca="false">V33-U33</f>
        <v>0</v>
      </c>
      <c r="W34" s="380" t="n">
        <f aca="false">W33-V33</f>
        <v>0</v>
      </c>
      <c r="X34" s="380" t="n">
        <f aca="false">X33-W33</f>
        <v>0</v>
      </c>
      <c r="Y34" s="380" t="n">
        <f aca="false">Y33-X33</f>
        <v>0</v>
      </c>
      <c r="Z34" s="380" t="n">
        <f aca="false">Z33-Y33</f>
        <v>0</v>
      </c>
      <c r="AA34" s="380" t="n">
        <f aca="false">AA33-Z33</f>
        <v>0</v>
      </c>
      <c r="AB34" s="380" t="n">
        <f aca="false">AB33-AA33</f>
        <v>0</v>
      </c>
      <c r="AC34" s="380" t="n">
        <f aca="false">AC33-AB33</f>
        <v>0</v>
      </c>
      <c r="AD34" s="380" t="n">
        <f aca="false">AD33-AC33</f>
        <v>0</v>
      </c>
      <c r="AE34" s="380" t="n">
        <f aca="false">AE33-AD33</f>
        <v>0</v>
      </c>
      <c r="AF34" s="380" t="n">
        <f aca="false">AF33-AE33</f>
        <v>0</v>
      </c>
      <c r="AG34" s="380" t="n">
        <f aca="false">AG33-AF33</f>
        <v>0</v>
      </c>
      <c r="AH34" s="380" t="n">
        <f aca="false">AH33-AG33</f>
        <v>0</v>
      </c>
      <c r="AI34" s="380" t="n">
        <f aca="false">AI33-AH33</f>
        <v>0</v>
      </c>
      <c r="AJ34" s="380" t="n">
        <f aca="false">AJ33-AI33</f>
        <v>0</v>
      </c>
      <c r="AK34" s="380" t="n">
        <f aca="false">AK33-AJ33</f>
        <v>0</v>
      </c>
      <c r="AL34" s="380" t="n">
        <f aca="false">AL33-AK33</f>
        <v>0</v>
      </c>
      <c r="AM34" s="380" t="n">
        <f aca="false">AM33-AL33</f>
        <v>0</v>
      </c>
      <c r="AN34" s="380" t="n">
        <f aca="false">AN33-AM33</f>
        <v>0</v>
      </c>
      <c r="AO34" s="380" t="n">
        <f aca="false">AO33-AN33</f>
        <v>0</v>
      </c>
      <c r="AP34" s="380" t="n">
        <f aca="false">AP33-AO33</f>
        <v>0</v>
      </c>
      <c r="AQ34" s="380" t="n">
        <f aca="false">AQ33-AP33</f>
        <v>0</v>
      </c>
      <c r="AR34" s="380" t="n">
        <f aca="false">AR33-AQ33</f>
        <v>0</v>
      </c>
      <c r="AS34" s="380" t="n">
        <f aca="false">AS33-AR33</f>
        <v>0</v>
      </c>
      <c r="AT34" s="380" t="n">
        <f aca="false">AT33-AS33</f>
        <v>0</v>
      </c>
      <c r="AU34" s="380" t="n">
        <f aca="false">AU33-AT33</f>
        <v>0</v>
      </c>
      <c r="AV34" s="380" t="n">
        <f aca="false">AV33-AU33</f>
        <v>0</v>
      </c>
      <c r="AW34" s="380" t="n">
        <f aca="false">AW33-AV33</f>
        <v>0</v>
      </c>
      <c r="AX34" s="380" t="n">
        <f aca="false">AX33-AW33</f>
        <v>0</v>
      </c>
      <c r="AY34" s="380" t="n">
        <f aca="false">AY33-AX33</f>
        <v>0</v>
      </c>
      <c r="AZ34" s="380" t="n">
        <f aca="false">AZ33-AY33</f>
        <v>0</v>
      </c>
      <c r="BA34" s="380" t="n">
        <f aca="false">BA33-AZ33</f>
        <v>0</v>
      </c>
      <c r="BB34" s="380" t="n">
        <f aca="false">BB33-BA33</f>
        <v>0</v>
      </c>
      <c r="BC34" s="380" t="n">
        <f aca="false">BC33-BB33</f>
        <v>0</v>
      </c>
      <c r="BD34" s="380" t="n">
        <f aca="false">BD33-BC33</f>
        <v>0</v>
      </c>
      <c r="BE34" s="380" t="n">
        <f aca="false">BE33-BD33</f>
        <v>0</v>
      </c>
      <c r="BF34" s="380" t="n">
        <f aca="false">BF33-BE33</f>
        <v>0</v>
      </c>
      <c r="BG34" s="380" t="n">
        <f aca="false">BG33-BF33</f>
        <v>0</v>
      </c>
      <c r="BH34" s="380" t="n">
        <f aca="false">BH33-BG33</f>
        <v>0</v>
      </c>
      <c r="BI34" s="380" t="n">
        <f aca="false">BI33-BH33</f>
        <v>0</v>
      </c>
      <c r="BJ34" s="380" t="n">
        <f aca="false">BJ33-BI33</f>
        <v>0</v>
      </c>
      <c r="BK34" s="380" t="n">
        <f aca="false">BK33-BJ33</f>
        <v>0</v>
      </c>
    </row>
    <row r="35" customFormat="false" ht="15" hidden="false" customHeight="true" outlineLevel="0" collapsed="false">
      <c r="A35" s="218"/>
      <c r="B35" s="493" t="s">
        <v>2935</v>
      </c>
      <c r="C35" s="218"/>
      <c r="D35" s="494" t="n">
        <f aca="false">D29+D32*-1-D34</f>
        <v>2870</v>
      </c>
      <c r="E35" s="494" t="n">
        <f aca="false">E29+E32*-1-E34</f>
        <v>15715</v>
      </c>
      <c r="F35" s="494" t="n">
        <f aca="false">F29+F32*-1-F34</f>
        <v>15715</v>
      </c>
      <c r="G35" s="494" t="n">
        <f aca="false">G29+G32*-1-G34</f>
        <v>15715</v>
      </c>
      <c r="H35" s="494" t="n">
        <f aca="false">H29+H32*-1-H34</f>
        <v>15715</v>
      </c>
      <c r="I35" s="494" t="n">
        <f aca="false">I29+I32*-1-I34</f>
        <v>15715</v>
      </c>
      <c r="J35" s="494" t="n">
        <f aca="false">J29+J32*-1-J34</f>
        <v>16715</v>
      </c>
      <c r="K35" s="494" t="n">
        <f aca="false">K29+K32*-1-K34</f>
        <v>20945.565625</v>
      </c>
      <c r="L35" s="494" t="n">
        <f aca="false">L29+L32*-1-L34</f>
        <v>35558.565625</v>
      </c>
      <c r="M35" s="494" t="n">
        <f aca="false">M29+M32*-1-M34</f>
        <v>83834.570166575</v>
      </c>
      <c r="N35" s="494" t="n">
        <f aca="false">N29+N32*-1-N34</f>
        <v>154864.944290054</v>
      </c>
      <c r="O35" s="494" t="n">
        <f aca="false">O29+O32*-1-O34</f>
        <v>244298.848145138</v>
      </c>
      <c r="P35" s="494" t="n">
        <f aca="false">P29+P32*-1-P34</f>
        <v>343826.204505777</v>
      </c>
      <c r="Q35" s="494" t="n">
        <f aca="false">Q29+Q32*-1-Q34</f>
        <v>445863.676876113</v>
      </c>
      <c r="R35" s="494" t="n">
        <f aca="false">R29+R32*-1-R34</f>
        <v>493948.817409201</v>
      </c>
      <c r="S35" s="494" t="n">
        <f aca="false">S29+S32*-1-S34</f>
        <v>513255.335093508</v>
      </c>
      <c r="T35" s="494" t="n">
        <f aca="false">T29+T32*-1-T34</f>
        <v>517481.008185526</v>
      </c>
      <c r="U35" s="494" t="n">
        <f aca="false">U29+U32*-1-U34</f>
        <v>517481.008185526</v>
      </c>
      <c r="V35" s="494" t="n">
        <f aca="false">V29+V32*-1-V34</f>
        <v>517481.008185526</v>
      </c>
      <c r="W35" s="494" t="n">
        <f aca="false">W29+W32*-1-W34</f>
        <v>517481.008185526</v>
      </c>
      <c r="X35" s="494" t="n">
        <f aca="false">X29+X32*-1-X34</f>
        <v>517481.008185526</v>
      </c>
      <c r="Y35" s="494" t="n">
        <f aca="false">Y29+Y32*-1-Y34</f>
        <v>517481.008185526</v>
      </c>
      <c r="Z35" s="494" t="n">
        <f aca="false">Z29+Z32*-1-Z34</f>
        <v>517481.008185526</v>
      </c>
      <c r="AA35" s="494" t="n">
        <f aca="false">AA29+AA32*-1-AA34</f>
        <v>517481.008185526</v>
      </c>
      <c r="AB35" s="494" t="n">
        <f aca="false">AB29+AB32*-1-AB34</f>
        <v>511564.358539368</v>
      </c>
      <c r="AC35" s="494" t="n">
        <f aca="false">AC29+AC32*-1-AC34</f>
        <v>511564.358539368</v>
      </c>
      <c r="AD35" s="494" t="n">
        <f aca="false">AD29+AD32*-1-AD34</f>
        <v>511564.358539368</v>
      </c>
      <c r="AE35" s="494" t="n">
        <f aca="false">AE29+AE32*-1-AE34</f>
        <v>511564.358539368</v>
      </c>
      <c r="AF35" s="494" t="n">
        <f aca="false">AF29+AF32*-1-AF34</f>
        <v>511564.358539368</v>
      </c>
      <c r="AG35" s="494" t="n">
        <f aca="false">AG29+AG32*-1-AG34</f>
        <v>511564.358539368</v>
      </c>
      <c r="AH35" s="494" t="n">
        <f aca="false">AH29+AH32*-1-AH34</f>
        <v>511564.358539368</v>
      </c>
      <c r="AI35" s="494" t="n">
        <f aca="false">AI29+AI32*-1-AI34</f>
        <v>511564.358539368</v>
      </c>
      <c r="AJ35" s="494" t="n">
        <f aca="false">AJ29+AJ32*-1-AJ34</f>
        <v>511564.358539368</v>
      </c>
      <c r="AK35" s="494" t="n">
        <f aca="false">AK29+AK32*-1-AK34</f>
        <v>511564.358539368</v>
      </c>
      <c r="AL35" s="494" t="n">
        <f aca="false">AL29+AL32*-1-AL34</f>
        <v>511564.358539368</v>
      </c>
      <c r="AM35" s="494" t="n">
        <f aca="false">AM29+AM32*-1-AM34</f>
        <v>511564.358539368</v>
      </c>
      <c r="AN35" s="494" t="n">
        <f aca="false">AN29+AN32*-1-AN34</f>
        <v>508606.033716288</v>
      </c>
      <c r="AO35" s="494" t="n">
        <f aca="false">AO29+AO32*-1-AO34</f>
        <v>508606.033716288</v>
      </c>
      <c r="AP35" s="494" t="n">
        <f aca="false">AP29+AP32*-1-AP34</f>
        <v>508606.033716288</v>
      </c>
      <c r="AQ35" s="494" t="n">
        <f aca="false">AQ29+AQ32*-1-AQ34</f>
        <v>508606.033716288</v>
      </c>
      <c r="AR35" s="494" t="n">
        <f aca="false">AR29+AR32*-1-AR34</f>
        <v>508606.033716288</v>
      </c>
      <c r="AS35" s="494" t="n">
        <f aca="false">AS29+AS32*-1-AS34</f>
        <v>508606.033716288</v>
      </c>
      <c r="AT35" s="494" t="n">
        <f aca="false">AT29+AT32*-1-AT34</f>
        <v>508606.033716288</v>
      </c>
      <c r="AU35" s="494" t="n">
        <f aca="false">AU29+AU32*-1-AU34</f>
        <v>508606.033716288</v>
      </c>
      <c r="AV35" s="494" t="n">
        <f aca="false">AV29+AV32*-1-AV34</f>
        <v>508606.033716288</v>
      </c>
      <c r="AW35" s="494" t="n">
        <f aca="false">AW29+AW32*-1-AW34</f>
        <v>508606.033716288</v>
      </c>
      <c r="AX35" s="494" t="n">
        <f aca="false">AX29+AX32*-1-AX34</f>
        <v>508606.033716288</v>
      </c>
      <c r="AY35" s="494" t="n">
        <f aca="false">AY29+AY32*-1-AY34</f>
        <v>508606.033716288</v>
      </c>
      <c r="AZ35" s="494" t="n">
        <f aca="false">AZ29+AZ32*-1-AZ34</f>
        <v>505647.708893209</v>
      </c>
      <c r="BA35" s="494" t="n">
        <f aca="false">BA29+BA32*-1-BA34</f>
        <v>505647.708893209</v>
      </c>
      <c r="BB35" s="494" t="n">
        <f aca="false">BB29+BB32*-1-BB34</f>
        <v>505647.708893209</v>
      </c>
      <c r="BC35" s="494" t="n">
        <f aca="false">BC29+BC32*-1-BC34</f>
        <v>505647.708893209</v>
      </c>
      <c r="BD35" s="494" t="n">
        <f aca="false">BD29+BD32*-1-BD34</f>
        <v>505647.708893209</v>
      </c>
      <c r="BE35" s="494" t="n">
        <f aca="false">BE29+BE32*-1-BE34</f>
        <v>505647.708893209</v>
      </c>
      <c r="BF35" s="494" t="n">
        <f aca="false">BF29+BF32*-1-BF34</f>
        <v>505647.708893209</v>
      </c>
      <c r="BG35" s="494" t="n">
        <f aca="false">BG29+BG32*-1-BG34</f>
        <v>505647.708893209</v>
      </c>
      <c r="BH35" s="494" t="n">
        <f aca="false">BH29+BH32*-1-BH34</f>
        <v>505647.708893209</v>
      </c>
      <c r="BI35" s="494" t="n">
        <f aca="false">BI29+BI32*-1-BI34</f>
        <v>505647.708893209</v>
      </c>
      <c r="BJ35" s="494" t="n">
        <f aca="false">BJ29+BJ32*-1-BJ34</f>
        <v>505647.708893209</v>
      </c>
      <c r="BK35" s="494" t="n">
        <f aca="false">BK29+BK32*-1-BK34</f>
        <v>505647.708893209</v>
      </c>
    </row>
    <row r="36" customFormat="false" ht="15" hidden="false" customHeight="true" outlineLevel="0" collapsed="false">
      <c r="B36" s="297" t="s">
        <v>2936</v>
      </c>
      <c r="D36" s="495" t="n">
        <f aca="false">IFERROR(D87/(FC_SUPUESTOS!$C$80*12),0)</f>
        <v>1405.05848184315</v>
      </c>
      <c r="E36" s="495" t="n">
        <f aca="false">IFERROR(E87/(FC_SUPUESTOS!$C$80*12),0)</f>
        <v>1405.05848184315</v>
      </c>
      <c r="F36" s="495" t="n">
        <f aca="false">IFERROR(F87/(FC_SUPUESTOS!$C$80*12),0)</f>
        <v>1405.05848184315</v>
      </c>
      <c r="G36" s="495" t="n">
        <f aca="false">IFERROR(G87/(FC_SUPUESTOS!$C$80*12),0)</f>
        <v>2631.27294017648</v>
      </c>
      <c r="H36" s="495" t="n">
        <f aca="false">IFERROR(H87/(FC_SUPUESTOS!$C$80*12),0)</f>
        <v>4823.4409674569</v>
      </c>
      <c r="I36" s="495" t="n">
        <f aca="false">IFERROR(I87/(FC_SUPUESTOS!$C$80*12),0)</f>
        <v>4823.4409674569</v>
      </c>
      <c r="J36" s="495" t="n">
        <f aca="false">IFERROR(J87/(FC_SUPUESTOS!$C$80*12),0)</f>
        <v>5991.97080625</v>
      </c>
      <c r="K36" s="495" t="n">
        <f aca="false">IFERROR(K87/(FC_SUPUESTOS!$C$80*12),0)</f>
        <v>7415.82346458333</v>
      </c>
      <c r="L36" s="495" t="n">
        <f aca="false">IFERROR(L87/(FC_SUPUESTOS!$C$80*12),0)</f>
        <v>9339.46028958333</v>
      </c>
      <c r="M36" s="495" t="n">
        <f aca="false">IFERROR(M87/(FC_SUPUESTOS!$C$80*12),0)</f>
        <v>10387.6686229167</v>
      </c>
      <c r="N36" s="495" t="n">
        <f aca="false">IFERROR(N87/(FC_SUPUESTOS!$C$80*12),0)</f>
        <v>11621.9602895833</v>
      </c>
      <c r="O36" s="495" t="n">
        <f aca="false">IFERROR(O87/(FC_SUPUESTOS!$C$80*12),0)</f>
        <v>12947.4602895833</v>
      </c>
      <c r="P36" s="495" t="n">
        <f aca="false">IFERROR(P87/(FC_SUPUESTOS!$C$80*12),0)</f>
        <v>13693.62695625</v>
      </c>
      <c r="Q36" s="495" t="n">
        <f aca="false">IFERROR(Q87/(FC_SUPUESTOS!$C$80*12),0)</f>
        <v>13693.62695625</v>
      </c>
      <c r="R36" s="495" t="n">
        <f aca="false">IFERROR(R87/(FC_SUPUESTOS!$C$80*12),0)</f>
        <v>13693.62695625</v>
      </c>
      <c r="S36" s="495" t="n">
        <f aca="false">IFERROR(S87/(FC_SUPUESTOS!$C$80*12),0)</f>
        <v>13693.62695625</v>
      </c>
      <c r="T36" s="495" t="n">
        <f aca="false">IFERROR(T87/(FC_SUPUESTOS!$C$80*12),0)</f>
        <v>13693.62695625</v>
      </c>
      <c r="U36" s="495" t="n">
        <f aca="false">IFERROR(U87/(FC_SUPUESTOS!$C$80*12),0)</f>
        <v>13693.62695625</v>
      </c>
      <c r="V36" s="495" t="n">
        <f aca="false">IFERROR(V87/(FC_SUPUESTOS!$C$80*12),0)</f>
        <v>13693.62695625</v>
      </c>
      <c r="W36" s="495" t="n">
        <f aca="false">IFERROR(W87/(FC_SUPUESTOS!$C$80*12),0)</f>
        <v>13693.62695625</v>
      </c>
      <c r="X36" s="495" t="n">
        <f aca="false">IFERROR(X87/(FC_SUPUESTOS!$C$80*12),0)</f>
        <v>13693.62695625</v>
      </c>
      <c r="Y36" s="495" t="n">
        <f aca="false">IFERROR(Y87/(FC_SUPUESTOS!$C$80*12),0)</f>
        <v>13693.62695625</v>
      </c>
      <c r="Z36" s="495" t="n">
        <f aca="false">IFERROR(Z87/(FC_SUPUESTOS!$C$80*12),0)</f>
        <v>13693.62695625</v>
      </c>
      <c r="AA36" s="495" t="n">
        <f aca="false">IFERROR(AA87/(FC_SUPUESTOS!$C$80*12),0)</f>
        <v>13693.62695625</v>
      </c>
      <c r="AB36" s="495" t="n">
        <f aca="false">IFERROR(AB87/(FC_SUPUESTOS!$C$80*12),0)</f>
        <v>13693.62695625</v>
      </c>
      <c r="AC36" s="495" t="n">
        <f aca="false">IFERROR(AC87/(FC_SUPUESTOS!$C$80*12),0)</f>
        <v>13693.62695625</v>
      </c>
      <c r="AD36" s="495" t="n">
        <f aca="false">IFERROR(AD87/(FC_SUPUESTOS!$C$80*12),0)</f>
        <v>13693.62695625</v>
      </c>
      <c r="AE36" s="495" t="n">
        <f aca="false">IFERROR(AE87/(FC_SUPUESTOS!$C$80*12),0)</f>
        <v>13693.62695625</v>
      </c>
      <c r="AF36" s="495" t="n">
        <f aca="false">IFERROR(AF87/(FC_SUPUESTOS!$C$80*12),0)</f>
        <v>13693.62695625</v>
      </c>
      <c r="AG36" s="495" t="n">
        <f aca="false">IFERROR(AG87/(FC_SUPUESTOS!$C$80*12),0)</f>
        <v>13693.62695625</v>
      </c>
      <c r="AH36" s="495" t="n">
        <f aca="false">IFERROR(AH87/(FC_SUPUESTOS!$C$80*12),0)</f>
        <v>13693.62695625</v>
      </c>
      <c r="AI36" s="495" t="n">
        <f aca="false">IFERROR(AI87/(FC_SUPUESTOS!$C$80*12),0)</f>
        <v>13693.62695625</v>
      </c>
      <c r="AJ36" s="495" t="n">
        <f aca="false">IFERROR(AJ87/(FC_SUPUESTOS!$C$80*12),0)</f>
        <v>13693.62695625</v>
      </c>
      <c r="AK36" s="495" t="n">
        <f aca="false">IFERROR(AK87/(FC_SUPUESTOS!$C$80*12),0)</f>
        <v>13693.62695625</v>
      </c>
      <c r="AL36" s="495" t="n">
        <f aca="false">IFERROR(AL87/(FC_SUPUESTOS!$C$80*12),0)</f>
        <v>13693.62695625</v>
      </c>
      <c r="AM36" s="495" t="n">
        <f aca="false">IFERROR(AM87/(FC_SUPUESTOS!$C$80*12),0)</f>
        <v>13693.62695625</v>
      </c>
      <c r="AN36" s="495" t="n">
        <f aca="false">IFERROR(AN87/(FC_SUPUESTOS!$C$80*12),0)</f>
        <v>13693.62695625</v>
      </c>
      <c r="AO36" s="495" t="n">
        <f aca="false">IFERROR(AO87/(FC_SUPUESTOS!$C$80*12),0)</f>
        <v>13693.62695625</v>
      </c>
      <c r="AP36" s="495" t="n">
        <f aca="false">IFERROR(AP87/(FC_SUPUESTOS!$C$80*12),0)</f>
        <v>13693.62695625</v>
      </c>
      <c r="AQ36" s="495" t="n">
        <f aca="false">IFERROR(AQ87/(FC_SUPUESTOS!$C$80*12),0)</f>
        <v>13693.62695625</v>
      </c>
      <c r="AR36" s="495" t="n">
        <f aca="false">IFERROR(AR87/(FC_SUPUESTOS!$C$80*12),0)</f>
        <v>13693.62695625</v>
      </c>
      <c r="AS36" s="495" t="n">
        <f aca="false">IFERROR(AS87/(FC_SUPUESTOS!$C$80*12),0)</f>
        <v>13693.62695625</v>
      </c>
      <c r="AT36" s="495" t="n">
        <f aca="false">IFERROR(AT87/(FC_SUPUESTOS!$C$80*12),0)</f>
        <v>13693.62695625</v>
      </c>
      <c r="AU36" s="495" t="n">
        <f aca="false">IFERROR(AU87/(FC_SUPUESTOS!$C$80*12),0)</f>
        <v>13693.62695625</v>
      </c>
      <c r="AV36" s="495" t="n">
        <f aca="false">IFERROR(AV87/(FC_SUPUESTOS!$C$80*12),0)</f>
        <v>13693.62695625</v>
      </c>
      <c r="AW36" s="495" t="n">
        <f aca="false">IFERROR(AW87/(FC_SUPUESTOS!$C$80*12),0)</f>
        <v>13693.62695625</v>
      </c>
      <c r="AX36" s="495" t="n">
        <f aca="false">IFERROR(AX87/(FC_SUPUESTOS!$C$80*12),0)</f>
        <v>13693.62695625</v>
      </c>
      <c r="AY36" s="495" t="n">
        <f aca="false">IFERROR(AY87/(FC_SUPUESTOS!$C$80*12),0)</f>
        <v>13693.62695625</v>
      </c>
      <c r="AZ36" s="495" t="n">
        <f aca="false">IFERROR(AZ87/(FC_SUPUESTOS!$C$80*12),0)</f>
        <v>13693.62695625</v>
      </c>
      <c r="BA36" s="495" t="n">
        <f aca="false">IFERROR(BA87/(FC_SUPUESTOS!$C$80*12),0)</f>
        <v>13693.62695625</v>
      </c>
      <c r="BB36" s="495" t="n">
        <f aca="false">IFERROR(BB87/(FC_SUPUESTOS!$C$80*12),0)</f>
        <v>13693.62695625</v>
      </c>
      <c r="BC36" s="495" t="n">
        <f aca="false">IFERROR(BC87/(FC_SUPUESTOS!$C$80*12),0)</f>
        <v>13693.62695625</v>
      </c>
      <c r="BD36" s="495" t="n">
        <f aca="false">IFERROR(BD87/(FC_SUPUESTOS!$C$80*12),0)</f>
        <v>13693.62695625</v>
      </c>
      <c r="BE36" s="495" t="n">
        <f aca="false">IFERROR(BE87/(FC_SUPUESTOS!$C$80*12),0)</f>
        <v>13693.62695625</v>
      </c>
      <c r="BF36" s="495" t="n">
        <f aca="false">IFERROR(BF87/(FC_SUPUESTOS!$C$80*12),0)</f>
        <v>13693.62695625</v>
      </c>
      <c r="BG36" s="495" t="n">
        <f aca="false">IFERROR(BG87/(FC_SUPUESTOS!$C$80*12),0)</f>
        <v>13693.62695625</v>
      </c>
      <c r="BH36" s="495" t="n">
        <f aca="false">IFERROR(BH87/(FC_SUPUESTOS!$C$80*12),0)</f>
        <v>13693.62695625</v>
      </c>
      <c r="BI36" s="495" t="n">
        <f aca="false">IFERROR(BI87/(FC_SUPUESTOS!$C$80*12),0)</f>
        <v>13693.62695625</v>
      </c>
      <c r="BJ36" s="495" t="n">
        <f aca="false">IFERROR(BJ87/(FC_SUPUESTOS!$C$80*12),0)</f>
        <v>13693.62695625</v>
      </c>
      <c r="BK36" s="495" t="n">
        <f aca="false">IFERROR(BK87/(FC_SUPUESTOS!$C$80*12),0)</f>
        <v>13693.62695625</v>
      </c>
    </row>
    <row r="37" customFormat="false" ht="15" hidden="false" customHeight="true" outlineLevel="0" collapsed="false">
      <c r="B37" s="297" t="s">
        <v>2937</v>
      </c>
      <c r="D37" s="495" t="n">
        <f aca="false">D30-D36</f>
        <v>-4275.05848184315</v>
      </c>
      <c r="E37" s="495" t="n">
        <f aca="false">E30-E36</f>
        <v>-17120.0584818432</v>
      </c>
      <c r="F37" s="495" t="n">
        <f aca="false">F30-F36</f>
        <v>-17120.0584818432</v>
      </c>
      <c r="G37" s="495" t="n">
        <f aca="false">G30-G36</f>
        <v>-18346.2729401765</v>
      </c>
      <c r="H37" s="495" t="n">
        <f aca="false">H30-H36</f>
        <v>-20538.4409674569</v>
      </c>
      <c r="I37" s="495" t="n">
        <f aca="false">I30-I36</f>
        <v>-20538.4409674569</v>
      </c>
      <c r="J37" s="495" t="n">
        <f aca="false">J30-J36</f>
        <v>-22706.97080625</v>
      </c>
      <c r="K37" s="495" t="n">
        <f aca="false">K30-K36</f>
        <v>-28361.3890895833</v>
      </c>
      <c r="L37" s="495" t="n">
        <f aca="false">L30-L36</f>
        <v>-44898.0259145833</v>
      </c>
      <c r="M37" s="495" t="n">
        <f aca="false">M30-M36</f>
        <v>-33397.6565038947</v>
      </c>
      <c r="N37" s="495" t="n">
        <f aca="false">N30-N36</f>
        <v>-16634.8180528203</v>
      </c>
      <c r="O37" s="495" t="n">
        <f aca="false">O30-O36</f>
        <v>-2082.36084239484</v>
      </c>
      <c r="P37" s="495" t="n">
        <f aca="false">P30-P36</f>
        <v>15330.1823017389</v>
      </c>
      <c r="Q37" s="495" t="n">
        <f aca="false">Q30-Q36</f>
        <v>44332.9017390257</v>
      </c>
      <c r="R37" s="495" t="n">
        <f aca="false">R30-R36</f>
        <v>54889.0878592717</v>
      </c>
      <c r="S37" s="495" t="n">
        <f aca="false">S30-S36</f>
        <v>60490.3294740959</v>
      </c>
      <c r="T37" s="495" t="n">
        <f aca="false">T30-T36</f>
        <v>60490.3294740959</v>
      </c>
      <c r="U37" s="495" t="n">
        <f aca="false">U30-U36</f>
        <v>60490.3294740959</v>
      </c>
      <c r="V37" s="495" t="n">
        <f aca="false">V30-V36</f>
        <v>60490.3294740959</v>
      </c>
      <c r="W37" s="495" t="n">
        <f aca="false">W30-W36</f>
        <v>60490.3294740959</v>
      </c>
      <c r="X37" s="495" t="n">
        <f aca="false">X30-X36</f>
        <v>60490.3294740959</v>
      </c>
      <c r="Y37" s="495" t="n">
        <f aca="false">Y30-Y36</f>
        <v>60490.3294740959</v>
      </c>
      <c r="Z37" s="495" t="n">
        <f aca="false">Z30-Z36</f>
        <v>60490.3294740959</v>
      </c>
      <c r="AA37" s="495" t="n">
        <f aca="false">AA30-AA36</f>
        <v>60490.3294740959</v>
      </c>
      <c r="AB37" s="495" t="n">
        <f aca="false">AB30-AB36</f>
        <v>66406.9791202547</v>
      </c>
      <c r="AC37" s="495" t="n">
        <f aca="false">AC30-AC36</f>
        <v>66406.9791202547</v>
      </c>
      <c r="AD37" s="495" t="n">
        <f aca="false">AD30-AD36</f>
        <v>66406.9791202547</v>
      </c>
      <c r="AE37" s="495" t="n">
        <f aca="false">AE30-AE36</f>
        <v>66406.9791202547</v>
      </c>
      <c r="AF37" s="495" t="n">
        <f aca="false">AF30-AF36</f>
        <v>66406.9791202547</v>
      </c>
      <c r="AG37" s="495" t="n">
        <f aca="false">AG30-AG36</f>
        <v>66406.9791202547</v>
      </c>
      <c r="AH37" s="495" t="n">
        <f aca="false">AH30-AH36</f>
        <v>66406.9791202547</v>
      </c>
      <c r="AI37" s="495" t="n">
        <f aca="false">AI30-AI36</f>
        <v>66406.9791202547</v>
      </c>
      <c r="AJ37" s="495" t="n">
        <f aca="false">AJ30-AJ36</f>
        <v>66406.9791202547</v>
      </c>
      <c r="AK37" s="495" t="n">
        <f aca="false">AK30-AK36</f>
        <v>66406.9791202547</v>
      </c>
      <c r="AL37" s="495" t="n">
        <f aca="false">AL30-AL36</f>
        <v>66406.9791202547</v>
      </c>
      <c r="AM37" s="495" t="n">
        <f aca="false">AM30-AM36</f>
        <v>66406.9791202547</v>
      </c>
      <c r="AN37" s="495" t="n">
        <f aca="false">AN30-AN36</f>
        <v>69365.303943334</v>
      </c>
      <c r="AO37" s="495" t="n">
        <f aca="false">AO30-AO36</f>
        <v>69365.303943334</v>
      </c>
      <c r="AP37" s="495" t="n">
        <f aca="false">AP30-AP36</f>
        <v>69365.303943334</v>
      </c>
      <c r="AQ37" s="495" t="n">
        <f aca="false">AQ30-AQ36</f>
        <v>69365.303943334</v>
      </c>
      <c r="AR37" s="495" t="n">
        <f aca="false">AR30-AR36</f>
        <v>69365.303943334</v>
      </c>
      <c r="AS37" s="495" t="n">
        <f aca="false">AS30-AS36</f>
        <v>69365.303943334</v>
      </c>
      <c r="AT37" s="495" t="n">
        <f aca="false">AT30-AT36</f>
        <v>69365.303943334</v>
      </c>
      <c r="AU37" s="495" t="n">
        <f aca="false">AU30-AU36</f>
        <v>69365.303943334</v>
      </c>
      <c r="AV37" s="495" t="n">
        <f aca="false">AV30-AV36</f>
        <v>69365.303943334</v>
      </c>
      <c r="AW37" s="495" t="n">
        <f aca="false">AW30-AW36</f>
        <v>69365.303943334</v>
      </c>
      <c r="AX37" s="495" t="n">
        <f aca="false">AX30-AX36</f>
        <v>69365.303943334</v>
      </c>
      <c r="AY37" s="495" t="n">
        <f aca="false">AY30-AY36</f>
        <v>69365.303943334</v>
      </c>
      <c r="AZ37" s="495" t="n">
        <f aca="false">AZ30-AZ36</f>
        <v>72323.6287664134</v>
      </c>
      <c r="BA37" s="495" t="n">
        <f aca="false">BA30-BA36</f>
        <v>72323.6287664134</v>
      </c>
      <c r="BB37" s="495" t="n">
        <f aca="false">BB30-BB36</f>
        <v>72323.6287664134</v>
      </c>
      <c r="BC37" s="495" t="n">
        <f aca="false">BC30-BC36</f>
        <v>72323.6287664134</v>
      </c>
      <c r="BD37" s="495" t="n">
        <f aca="false">BD30-BD36</f>
        <v>72323.6287664134</v>
      </c>
      <c r="BE37" s="495" t="n">
        <f aca="false">BE30-BE36</f>
        <v>72323.6287664134</v>
      </c>
      <c r="BF37" s="495" t="n">
        <f aca="false">BF30-BF36</f>
        <v>72323.6287664134</v>
      </c>
      <c r="BG37" s="495" t="n">
        <f aca="false">BG30-BG36</f>
        <v>72323.6287664134</v>
      </c>
      <c r="BH37" s="495" t="n">
        <f aca="false">BH30-BH36</f>
        <v>72323.6287664134</v>
      </c>
      <c r="BI37" s="495" t="n">
        <f aca="false">BI30-BI36</f>
        <v>72323.6287664134</v>
      </c>
      <c r="BJ37" s="495" t="n">
        <f aca="false">BJ30-BJ36</f>
        <v>72323.6287664134</v>
      </c>
      <c r="BK37" s="495" t="n">
        <f aca="false">BK30-BK36</f>
        <v>72323.6287664134</v>
      </c>
    </row>
    <row r="38" customFormat="false" ht="15" hidden="false" customHeight="true" outlineLevel="0" collapsed="false">
      <c r="B38" s="297" t="s">
        <v>2938</v>
      </c>
      <c r="D38" s="495" t="n">
        <f aca="false">MAX(0,D37)*FC_SUPUESTOS!$C$78</f>
        <v>0</v>
      </c>
      <c r="E38" s="495" t="n">
        <f aca="false">MAX(0,E37)*FC_SUPUESTOS!$C$78</f>
        <v>0</v>
      </c>
      <c r="F38" s="495" t="n">
        <f aca="false">MAX(0,F37)*FC_SUPUESTOS!$C$78</f>
        <v>0</v>
      </c>
      <c r="G38" s="495" t="n">
        <f aca="false">MAX(0,G37)*FC_SUPUESTOS!$C$78</f>
        <v>0</v>
      </c>
      <c r="H38" s="495" t="n">
        <f aca="false">MAX(0,H37)*FC_SUPUESTOS!$C$78</f>
        <v>0</v>
      </c>
      <c r="I38" s="495" t="n">
        <f aca="false">MAX(0,I37)*FC_SUPUESTOS!$C$78</f>
        <v>0</v>
      </c>
      <c r="J38" s="495" t="n">
        <f aca="false">MAX(0,J37)*FC_SUPUESTOS!$C$78</f>
        <v>0</v>
      </c>
      <c r="K38" s="495" t="n">
        <f aca="false">MAX(0,K37)*FC_SUPUESTOS!$C$78</f>
        <v>0</v>
      </c>
      <c r="L38" s="495" t="n">
        <f aca="false">MAX(0,L37)*FC_SUPUESTOS!$C$78</f>
        <v>0</v>
      </c>
      <c r="M38" s="495" t="n">
        <f aca="false">MAX(0,M37)*FC_SUPUESTOS!$C$78</f>
        <v>0</v>
      </c>
      <c r="N38" s="495" t="n">
        <f aca="false">MAX(0,N37)*FC_SUPUESTOS!$C$78</f>
        <v>0</v>
      </c>
      <c r="O38" s="495" t="n">
        <f aca="false">MAX(0,O37)*FC_SUPUESTOS!$C$78</f>
        <v>0</v>
      </c>
      <c r="P38" s="495" t="n">
        <f aca="false">MAX(0,P37)*FC_SUPUESTOS!$C$78</f>
        <v>5212.26198259122</v>
      </c>
      <c r="Q38" s="495" t="n">
        <f aca="false">MAX(0,Q37)*FC_SUPUESTOS!$C$78</f>
        <v>15073.1865912687</v>
      </c>
      <c r="R38" s="495" t="n">
        <f aca="false">MAX(0,R37)*FC_SUPUESTOS!$C$78</f>
        <v>18662.2898721524</v>
      </c>
      <c r="S38" s="495" t="n">
        <f aca="false">MAX(0,S37)*FC_SUPUESTOS!$C$78</f>
        <v>20566.7120211926</v>
      </c>
      <c r="T38" s="495" t="n">
        <f aca="false">MAX(0,T37)*FC_SUPUESTOS!$C$78</f>
        <v>20566.7120211926</v>
      </c>
      <c r="U38" s="495" t="n">
        <f aca="false">MAX(0,U37)*FC_SUPUESTOS!$C$78</f>
        <v>20566.7120211926</v>
      </c>
      <c r="V38" s="495" t="n">
        <f aca="false">MAX(0,V37)*FC_SUPUESTOS!$C$78</f>
        <v>20566.7120211926</v>
      </c>
      <c r="W38" s="495" t="n">
        <f aca="false">MAX(0,W37)*FC_SUPUESTOS!$C$78</f>
        <v>20566.7120211926</v>
      </c>
      <c r="X38" s="495" t="n">
        <f aca="false">MAX(0,X37)*FC_SUPUESTOS!$C$78</f>
        <v>20566.7120211926</v>
      </c>
      <c r="Y38" s="495" t="n">
        <f aca="false">MAX(0,Y37)*FC_SUPUESTOS!$C$78</f>
        <v>20566.7120211926</v>
      </c>
      <c r="Z38" s="495" t="n">
        <f aca="false">MAX(0,Z37)*FC_SUPUESTOS!$C$78</f>
        <v>20566.7120211926</v>
      </c>
      <c r="AA38" s="495" t="n">
        <f aca="false">MAX(0,AA37)*FC_SUPUESTOS!$C$78</f>
        <v>20566.7120211926</v>
      </c>
      <c r="AB38" s="495" t="n">
        <f aca="false">MAX(0,AB37)*FC_SUPUESTOS!$C$78</f>
        <v>22578.3729008866</v>
      </c>
      <c r="AC38" s="495" t="n">
        <f aca="false">MAX(0,AC37)*FC_SUPUESTOS!$C$78</f>
        <v>22578.3729008866</v>
      </c>
      <c r="AD38" s="495" t="n">
        <f aca="false">MAX(0,AD37)*FC_SUPUESTOS!$C$78</f>
        <v>22578.3729008866</v>
      </c>
      <c r="AE38" s="495" t="n">
        <f aca="false">MAX(0,AE37)*FC_SUPUESTOS!$C$78</f>
        <v>22578.3729008866</v>
      </c>
      <c r="AF38" s="495" t="n">
        <f aca="false">MAX(0,AF37)*FC_SUPUESTOS!$C$78</f>
        <v>22578.3729008866</v>
      </c>
      <c r="AG38" s="495" t="n">
        <f aca="false">MAX(0,AG37)*FC_SUPUESTOS!$C$78</f>
        <v>22578.3729008866</v>
      </c>
      <c r="AH38" s="495" t="n">
        <f aca="false">MAX(0,AH37)*FC_SUPUESTOS!$C$78</f>
        <v>22578.3729008866</v>
      </c>
      <c r="AI38" s="495" t="n">
        <f aca="false">MAX(0,AI37)*FC_SUPUESTOS!$C$78</f>
        <v>22578.3729008866</v>
      </c>
      <c r="AJ38" s="495" t="n">
        <f aca="false">MAX(0,AJ37)*FC_SUPUESTOS!$C$78</f>
        <v>22578.3729008866</v>
      </c>
      <c r="AK38" s="495" t="n">
        <f aca="false">MAX(0,AK37)*FC_SUPUESTOS!$C$78</f>
        <v>22578.3729008866</v>
      </c>
      <c r="AL38" s="495" t="n">
        <f aca="false">MAX(0,AL37)*FC_SUPUESTOS!$C$78</f>
        <v>22578.3729008866</v>
      </c>
      <c r="AM38" s="495" t="n">
        <f aca="false">MAX(0,AM37)*FC_SUPUESTOS!$C$78</f>
        <v>22578.3729008866</v>
      </c>
      <c r="AN38" s="495" t="n">
        <f aca="false">MAX(0,AN37)*FC_SUPUESTOS!$C$78</f>
        <v>23584.2033407336</v>
      </c>
      <c r="AO38" s="495" t="n">
        <f aca="false">MAX(0,AO37)*FC_SUPUESTOS!$C$78</f>
        <v>23584.2033407336</v>
      </c>
      <c r="AP38" s="495" t="n">
        <f aca="false">MAX(0,AP37)*FC_SUPUESTOS!$C$78</f>
        <v>23584.2033407336</v>
      </c>
      <c r="AQ38" s="495" t="n">
        <f aca="false">MAX(0,AQ37)*FC_SUPUESTOS!$C$78</f>
        <v>23584.2033407336</v>
      </c>
      <c r="AR38" s="495" t="n">
        <f aca="false">MAX(0,AR37)*FC_SUPUESTOS!$C$78</f>
        <v>23584.2033407336</v>
      </c>
      <c r="AS38" s="495" t="n">
        <f aca="false">MAX(0,AS37)*FC_SUPUESTOS!$C$78</f>
        <v>23584.2033407336</v>
      </c>
      <c r="AT38" s="495" t="n">
        <f aca="false">MAX(0,AT37)*FC_SUPUESTOS!$C$78</f>
        <v>23584.2033407336</v>
      </c>
      <c r="AU38" s="495" t="n">
        <f aca="false">MAX(0,AU37)*FC_SUPUESTOS!$C$78</f>
        <v>23584.2033407336</v>
      </c>
      <c r="AV38" s="495" t="n">
        <f aca="false">MAX(0,AV37)*FC_SUPUESTOS!$C$78</f>
        <v>23584.2033407336</v>
      </c>
      <c r="AW38" s="495" t="n">
        <f aca="false">MAX(0,AW37)*FC_SUPUESTOS!$C$78</f>
        <v>23584.2033407336</v>
      </c>
      <c r="AX38" s="495" t="n">
        <f aca="false">MAX(0,AX37)*FC_SUPUESTOS!$C$78</f>
        <v>23584.2033407336</v>
      </c>
      <c r="AY38" s="495" t="n">
        <f aca="false">MAX(0,AY37)*FC_SUPUESTOS!$C$78</f>
        <v>23584.2033407336</v>
      </c>
      <c r="AZ38" s="495" t="n">
        <f aca="false">MAX(0,AZ37)*FC_SUPUESTOS!$C$78</f>
        <v>24590.0337805805</v>
      </c>
      <c r="BA38" s="495" t="n">
        <f aca="false">MAX(0,BA37)*FC_SUPUESTOS!$C$78</f>
        <v>24590.0337805805</v>
      </c>
      <c r="BB38" s="495" t="n">
        <f aca="false">MAX(0,BB37)*FC_SUPUESTOS!$C$78</f>
        <v>24590.0337805805</v>
      </c>
      <c r="BC38" s="495" t="n">
        <f aca="false">MAX(0,BC37)*FC_SUPUESTOS!$C$78</f>
        <v>24590.0337805805</v>
      </c>
      <c r="BD38" s="495" t="n">
        <f aca="false">MAX(0,BD37)*FC_SUPUESTOS!$C$78</f>
        <v>24590.0337805805</v>
      </c>
      <c r="BE38" s="495" t="n">
        <f aca="false">MAX(0,BE37)*FC_SUPUESTOS!$C$78</f>
        <v>24590.0337805805</v>
      </c>
      <c r="BF38" s="495" t="n">
        <f aca="false">MAX(0,BF37)*FC_SUPUESTOS!$C$78</f>
        <v>24590.0337805805</v>
      </c>
      <c r="BG38" s="495" t="n">
        <f aca="false">MAX(0,BG37)*FC_SUPUESTOS!$C$78</f>
        <v>24590.0337805805</v>
      </c>
      <c r="BH38" s="495" t="n">
        <f aca="false">MAX(0,BH37)*FC_SUPUESTOS!$C$78</f>
        <v>24590.0337805805</v>
      </c>
      <c r="BI38" s="495" t="n">
        <f aca="false">MAX(0,BI37)*FC_SUPUESTOS!$C$78</f>
        <v>24590.0337805805</v>
      </c>
      <c r="BJ38" s="495" t="n">
        <f aca="false">MAX(0,BJ37)*FC_SUPUESTOS!$C$78</f>
        <v>24590.0337805805</v>
      </c>
      <c r="BK38" s="495" t="n">
        <f aca="false">MAX(0,BK37)*FC_SUPUESTOS!$C$78</f>
        <v>24590.0337805805</v>
      </c>
    </row>
    <row r="39" customFormat="false" ht="15" hidden="false" customHeight="true" outlineLevel="0" collapsed="false">
      <c r="B39" s="297" t="s">
        <v>2939</v>
      </c>
      <c r="D39" s="380" t="n">
        <f aca="false">IF(D$5-FC_SUPUESTOS!$C$79&gt;=1,INDEX($D$38:$BK$38,1,D$5-FC_SUPUESTOS!$C$79),0)</f>
        <v>0</v>
      </c>
      <c r="E39" s="380" t="n">
        <f aca="false">IF(E$5-FC_SUPUESTOS!$C$79&gt;=1,INDEX($D$38:$BK$38,1,E$5-FC_SUPUESTOS!$C$79),0)</f>
        <v>0</v>
      </c>
      <c r="F39" s="380" t="n">
        <f aca="false">IF(F$5-FC_SUPUESTOS!$C$79&gt;=1,INDEX($D$38:$BK$38,1,F$5-FC_SUPUESTOS!$C$79),0)</f>
        <v>0</v>
      </c>
      <c r="G39" s="380" t="n">
        <f aca="false">IF(G$5-FC_SUPUESTOS!$C$79&gt;=1,INDEX($D$38:$BK$38,1,G$5-FC_SUPUESTOS!$C$79),0)</f>
        <v>0</v>
      </c>
      <c r="H39" s="380" t="n">
        <f aca="false">IF(H$5-FC_SUPUESTOS!$C$79&gt;=1,INDEX($D$38:$BK$38,1,H$5-FC_SUPUESTOS!$C$79),0)</f>
        <v>0</v>
      </c>
      <c r="I39" s="380" t="n">
        <f aca="false">IF(I$5-FC_SUPUESTOS!$C$79&gt;=1,INDEX($D$38:$BK$38,1,I$5-FC_SUPUESTOS!$C$79),0)</f>
        <v>0</v>
      </c>
      <c r="J39" s="380" t="n">
        <f aca="false">IF(J$5-FC_SUPUESTOS!$C$79&gt;=1,INDEX($D$38:$BK$38,1,J$5-FC_SUPUESTOS!$C$79),0)</f>
        <v>0</v>
      </c>
      <c r="K39" s="380" t="n">
        <f aca="false">IF(K$5-FC_SUPUESTOS!$C$79&gt;=1,INDEX($D$38:$BK$38,1,K$5-FC_SUPUESTOS!$C$79),0)</f>
        <v>0</v>
      </c>
      <c r="L39" s="380" t="n">
        <f aca="false">IF(L$5-FC_SUPUESTOS!$C$79&gt;=1,INDEX($D$38:$BK$38,1,L$5-FC_SUPUESTOS!$C$79),0)</f>
        <v>0</v>
      </c>
      <c r="M39" s="380" t="n">
        <f aca="false">IF(M$5-FC_SUPUESTOS!$C$79&gt;=1,INDEX($D$38:$BK$38,1,M$5-FC_SUPUESTOS!$C$79),0)</f>
        <v>0</v>
      </c>
      <c r="N39" s="380" t="n">
        <f aca="false">IF(N$5-FC_SUPUESTOS!$C$79&gt;=1,INDEX($D$38:$BK$38,1,N$5-FC_SUPUESTOS!$C$79),0)</f>
        <v>0</v>
      </c>
      <c r="O39" s="380" t="n">
        <f aca="false">IF(O$5-FC_SUPUESTOS!$C$79&gt;=1,INDEX($D$38:$BK$38,1,O$5-FC_SUPUESTOS!$C$79),0)</f>
        <v>0</v>
      </c>
      <c r="P39" s="380" t="n">
        <f aca="false">IF(P$5-FC_SUPUESTOS!$C$79&gt;=1,INDEX($D$38:$BK$38,1,P$5-FC_SUPUESTOS!$C$79),0)</f>
        <v>0</v>
      </c>
      <c r="Q39" s="380" t="n">
        <f aca="false">IF(Q$5-FC_SUPUESTOS!$C$79&gt;=1,INDEX($D$38:$BK$38,1,Q$5-FC_SUPUESTOS!$C$79),0)</f>
        <v>0</v>
      </c>
      <c r="R39" s="380" t="n">
        <f aca="false">IF(R$5-FC_SUPUESTOS!$C$79&gt;=1,INDEX($D$38:$BK$38,1,R$5-FC_SUPUESTOS!$C$79),0)</f>
        <v>0</v>
      </c>
      <c r="S39" s="380" t="n">
        <f aca="false">IF(S$5-FC_SUPUESTOS!$C$79&gt;=1,INDEX($D$38:$BK$38,1,S$5-FC_SUPUESTOS!$C$79),0)</f>
        <v>5212.26198259122</v>
      </c>
      <c r="T39" s="380" t="n">
        <f aca="false">IF(T$5-FC_SUPUESTOS!$C$79&gt;=1,INDEX($D$38:$BK$38,1,T$5-FC_SUPUESTOS!$C$79),0)</f>
        <v>15073.1865912687</v>
      </c>
      <c r="U39" s="380" t="n">
        <f aca="false">IF(U$5-FC_SUPUESTOS!$C$79&gt;=1,INDEX($D$38:$BK$38,1,U$5-FC_SUPUESTOS!$C$79),0)</f>
        <v>18662.2898721524</v>
      </c>
      <c r="V39" s="380" t="n">
        <f aca="false">IF(V$5-FC_SUPUESTOS!$C$79&gt;=1,INDEX($D$38:$BK$38,1,V$5-FC_SUPUESTOS!$C$79),0)</f>
        <v>20566.7120211926</v>
      </c>
      <c r="W39" s="380" t="n">
        <f aca="false">IF(W$5-FC_SUPUESTOS!$C$79&gt;=1,INDEX($D$38:$BK$38,1,W$5-FC_SUPUESTOS!$C$79),0)</f>
        <v>20566.7120211926</v>
      </c>
      <c r="X39" s="380" t="n">
        <f aca="false">IF(X$5-FC_SUPUESTOS!$C$79&gt;=1,INDEX($D$38:$BK$38,1,X$5-FC_SUPUESTOS!$C$79),0)</f>
        <v>20566.7120211926</v>
      </c>
      <c r="Y39" s="380" t="n">
        <f aca="false">IF(Y$5-FC_SUPUESTOS!$C$79&gt;=1,INDEX($D$38:$BK$38,1,Y$5-FC_SUPUESTOS!$C$79),0)</f>
        <v>20566.7120211926</v>
      </c>
      <c r="Z39" s="380" t="n">
        <f aca="false">IF(Z$5-FC_SUPUESTOS!$C$79&gt;=1,INDEX($D$38:$BK$38,1,Z$5-FC_SUPUESTOS!$C$79),0)</f>
        <v>20566.7120211926</v>
      </c>
      <c r="AA39" s="380" t="n">
        <f aca="false">IF(AA$5-FC_SUPUESTOS!$C$79&gt;=1,INDEX($D$38:$BK$38,1,AA$5-FC_SUPUESTOS!$C$79),0)</f>
        <v>20566.7120211926</v>
      </c>
      <c r="AB39" s="380" t="n">
        <f aca="false">IF(AB$5-FC_SUPUESTOS!$C$79&gt;=1,INDEX($D$38:$BK$38,1,AB$5-FC_SUPUESTOS!$C$79),0)</f>
        <v>20566.7120211926</v>
      </c>
      <c r="AC39" s="380" t="n">
        <f aca="false">IF(AC$5-FC_SUPUESTOS!$C$79&gt;=1,INDEX($D$38:$BK$38,1,AC$5-FC_SUPUESTOS!$C$79),0)</f>
        <v>20566.7120211926</v>
      </c>
      <c r="AD39" s="380" t="n">
        <f aca="false">IF(AD$5-FC_SUPUESTOS!$C$79&gt;=1,INDEX($D$38:$BK$38,1,AD$5-FC_SUPUESTOS!$C$79),0)</f>
        <v>20566.7120211926</v>
      </c>
      <c r="AE39" s="380" t="n">
        <f aca="false">IF(AE$5-FC_SUPUESTOS!$C$79&gt;=1,INDEX($D$38:$BK$38,1,AE$5-FC_SUPUESTOS!$C$79),0)</f>
        <v>22578.3729008866</v>
      </c>
      <c r="AF39" s="380" t="n">
        <f aca="false">IF(AF$5-FC_SUPUESTOS!$C$79&gt;=1,INDEX($D$38:$BK$38,1,AF$5-FC_SUPUESTOS!$C$79),0)</f>
        <v>22578.3729008866</v>
      </c>
      <c r="AG39" s="380" t="n">
        <f aca="false">IF(AG$5-FC_SUPUESTOS!$C$79&gt;=1,INDEX($D$38:$BK$38,1,AG$5-FC_SUPUESTOS!$C$79),0)</f>
        <v>22578.3729008866</v>
      </c>
      <c r="AH39" s="380" t="n">
        <f aca="false">IF(AH$5-FC_SUPUESTOS!$C$79&gt;=1,INDEX($D$38:$BK$38,1,AH$5-FC_SUPUESTOS!$C$79),0)</f>
        <v>22578.3729008866</v>
      </c>
      <c r="AI39" s="380" t="n">
        <f aca="false">IF(AI$5-FC_SUPUESTOS!$C$79&gt;=1,INDEX($D$38:$BK$38,1,AI$5-FC_SUPUESTOS!$C$79),0)</f>
        <v>22578.3729008866</v>
      </c>
      <c r="AJ39" s="380" t="n">
        <f aca="false">IF(AJ$5-FC_SUPUESTOS!$C$79&gt;=1,INDEX($D$38:$BK$38,1,AJ$5-FC_SUPUESTOS!$C$79),0)</f>
        <v>22578.3729008866</v>
      </c>
      <c r="AK39" s="380" t="n">
        <f aca="false">IF(AK$5-FC_SUPUESTOS!$C$79&gt;=1,INDEX($D$38:$BK$38,1,AK$5-FC_SUPUESTOS!$C$79),0)</f>
        <v>22578.3729008866</v>
      </c>
      <c r="AL39" s="380" t="n">
        <f aca="false">IF(AL$5-FC_SUPUESTOS!$C$79&gt;=1,INDEX($D$38:$BK$38,1,AL$5-FC_SUPUESTOS!$C$79),0)</f>
        <v>22578.3729008866</v>
      </c>
      <c r="AM39" s="380" t="n">
        <f aca="false">IF(AM$5-FC_SUPUESTOS!$C$79&gt;=1,INDEX($D$38:$BK$38,1,AM$5-FC_SUPUESTOS!$C$79),0)</f>
        <v>22578.3729008866</v>
      </c>
      <c r="AN39" s="380" t="n">
        <f aca="false">IF(AN$5-FC_SUPUESTOS!$C$79&gt;=1,INDEX($D$38:$BK$38,1,AN$5-FC_SUPUESTOS!$C$79),0)</f>
        <v>22578.3729008866</v>
      </c>
      <c r="AO39" s="380" t="n">
        <f aca="false">IF(AO$5-FC_SUPUESTOS!$C$79&gt;=1,INDEX($D$38:$BK$38,1,AO$5-FC_SUPUESTOS!$C$79),0)</f>
        <v>22578.3729008866</v>
      </c>
      <c r="AP39" s="380" t="n">
        <f aca="false">IF(AP$5-FC_SUPUESTOS!$C$79&gt;=1,INDEX($D$38:$BK$38,1,AP$5-FC_SUPUESTOS!$C$79),0)</f>
        <v>22578.3729008866</v>
      </c>
      <c r="AQ39" s="380" t="n">
        <f aca="false">IF(AQ$5-FC_SUPUESTOS!$C$79&gt;=1,INDEX($D$38:$BK$38,1,AQ$5-FC_SUPUESTOS!$C$79),0)</f>
        <v>23584.2033407336</v>
      </c>
      <c r="AR39" s="380" t="n">
        <f aca="false">IF(AR$5-FC_SUPUESTOS!$C$79&gt;=1,INDEX($D$38:$BK$38,1,AR$5-FC_SUPUESTOS!$C$79),0)</f>
        <v>23584.2033407336</v>
      </c>
      <c r="AS39" s="380" t="n">
        <f aca="false">IF(AS$5-FC_SUPUESTOS!$C$79&gt;=1,INDEX($D$38:$BK$38,1,AS$5-FC_SUPUESTOS!$C$79),0)</f>
        <v>23584.2033407336</v>
      </c>
      <c r="AT39" s="380" t="n">
        <f aca="false">IF(AT$5-FC_SUPUESTOS!$C$79&gt;=1,INDEX($D$38:$BK$38,1,AT$5-FC_SUPUESTOS!$C$79),0)</f>
        <v>23584.2033407336</v>
      </c>
      <c r="AU39" s="380" t="n">
        <f aca="false">IF(AU$5-FC_SUPUESTOS!$C$79&gt;=1,INDEX($D$38:$BK$38,1,AU$5-FC_SUPUESTOS!$C$79),0)</f>
        <v>23584.2033407336</v>
      </c>
      <c r="AV39" s="380" t="n">
        <f aca="false">IF(AV$5-FC_SUPUESTOS!$C$79&gt;=1,INDEX($D$38:$BK$38,1,AV$5-FC_SUPUESTOS!$C$79),0)</f>
        <v>23584.2033407336</v>
      </c>
      <c r="AW39" s="380" t="n">
        <f aca="false">IF(AW$5-FC_SUPUESTOS!$C$79&gt;=1,INDEX($D$38:$BK$38,1,AW$5-FC_SUPUESTOS!$C$79),0)</f>
        <v>23584.2033407336</v>
      </c>
      <c r="AX39" s="380" t="n">
        <f aca="false">IF(AX$5-FC_SUPUESTOS!$C$79&gt;=1,INDEX($D$38:$BK$38,1,AX$5-FC_SUPUESTOS!$C$79),0)</f>
        <v>23584.2033407336</v>
      </c>
      <c r="AY39" s="380" t="n">
        <f aca="false">IF(AY$5-FC_SUPUESTOS!$C$79&gt;=1,INDEX($D$38:$BK$38,1,AY$5-FC_SUPUESTOS!$C$79),0)</f>
        <v>23584.2033407336</v>
      </c>
      <c r="AZ39" s="380" t="n">
        <f aca="false">IF(AZ$5-FC_SUPUESTOS!$C$79&gt;=1,INDEX($D$38:$BK$38,1,AZ$5-FC_SUPUESTOS!$C$79),0)</f>
        <v>23584.2033407336</v>
      </c>
      <c r="BA39" s="380" t="n">
        <f aca="false">IF(BA$5-FC_SUPUESTOS!$C$79&gt;=1,INDEX($D$38:$BK$38,1,BA$5-FC_SUPUESTOS!$C$79),0)</f>
        <v>23584.2033407336</v>
      </c>
      <c r="BB39" s="380" t="n">
        <f aca="false">IF(BB$5-FC_SUPUESTOS!$C$79&gt;=1,INDEX($D$38:$BK$38,1,BB$5-FC_SUPUESTOS!$C$79),0)</f>
        <v>23584.2033407336</v>
      </c>
      <c r="BC39" s="380" t="n">
        <f aca="false">IF(BC$5-FC_SUPUESTOS!$C$79&gt;=1,INDEX($D$38:$BK$38,1,BC$5-FC_SUPUESTOS!$C$79),0)</f>
        <v>24590.0337805805</v>
      </c>
      <c r="BD39" s="380" t="n">
        <f aca="false">IF(BD$5-FC_SUPUESTOS!$C$79&gt;=1,INDEX($D$38:$BK$38,1,BD$5-FC_SUPUESTOS!$C$79),0)</f>
        <v>24590.0337805805</v>
      </c>
      <c r="BE39" s="380" t="n">
        <f aca="false">IF(BE$5-FC_SUPUESTOS!$C$79&gt;=1,INDEX($D$38:$BK$38,1,BE$5-FC_SUPUESTOS!$C$79),0)</f>
        <v>24590.0337805805</v>
      </c>
      <c r="BF39" s="380" t="n">
        <f aca="false">IF(BF$5-FC_SUPUESTOS!$C$79&gt;=1,INDEX($D$38:$BK$38,1,BF$5-FC_SUPUESTOS!$C$79),0)</f>
        <v>24590.0337805805</v>
      </c>
      <c r="BG39" s="380" t="n">
        <f aca="false">IF(BG$5-FC_SUPUESTOS!$C$79&gt;=1,INDEX($D$38:$BK$38,1,BG$5-FC_SUPUESTOS!$C$79),0)</f>
        <v>24590.0337805805</v>
      </c>
      <c r="BH39" s="380" t="n">
        <f aca="false">IF(BH$5-FC_SUPUESTOS!$C$79&gt;=1,INDEX($D$38:$BK$38,1,BH$5-FC_SUPUESTOS!$C$79),0)</f>
        <v>24590.0337805805</v>
      </c>
      <c r="BI39" s="380" t="n">
        <f aca="false">IF(BI$5-FC_SUPUESTOS!$C$79&gt;=1,INDEX($D$38:$BK$38,1,BI$5-FC_SUPUESTOS!$C$79),0)</f>
        <v>24590.0337805805</v>
      </c>
      <c r="BJ39" s="380" t="n">
        <f aca="false">IF(BJ$5-FC_SUPUESTOS!$C$79&gt;=1,INDEX($D$38:$BK$38,1,BJ$5-FC_SUPUESTOS!$C$79),0)</f>
        <v>24590.0337805805</v>
      </c>
      <c r="BK39" s="380" t="n">
        <f aca="false">IF(BK$5-FC_SUPUESTOS!$C$79&gt;=1,INDEX($D$38:$BK$38,1,BK$5-FC_SUPUESTOS!$C$79),0)</f>
        <v>24590.0337805805</v>
      </c>
    </row>
    <row r="40" customFormat="false" ht="15" hidden="false" customHeight="true" outlineLevel="0" collapsed="false">
      <c r="B40" s="297" t="s">
        <v>2940</v>
      </c>
      <c r="D40" s="495" t="n">
        <f aca="false">0*FC_SUPUESTOS!$C$81</f>
        <v>0</v>
      </c>
      <c r="E40" s="495" t="n">
        <f aca="false">0*FC_SUPUESTOS!$C$81</f>
        <v>0</v>
      </c>
      <c r="F40" s="495" t="n">
        <f aca="false">0*FC_SUPUESTOS!$C$81</f>
        <v>0</v>
      </c>
      <c r="G40" s="495" t="n">
        <f aca="false">0*FC_SUPUESTOS!$C$81</f>
        <v>0</v>
      </c>
      <c r="H40" s="495" t="n">
        <f aca="false">0*FC_SUPUESTOS!$C$81</f>
        <v>0</v>
      </c>
      <c r="I40" s="495" t="n">
        <f aca="false">0*FC_SUPUESTOS!$C$81</f>
        <v>0</v>
      </c>
      <c r="J40" s="495" t="n">
        <f aca="false">0*FC_SUPUESTOS!$C$81</f>
        <v>0</v>
      </c>
      <c r="K40" s="495" t="n">
        <f aca="false">0*FC_SUPUESTOS!$C$81</f>
        <v>0</v>
      </c>
      <c r="L40" s="495" t="n">
        <f aca="false">0*FC_SUPUESTOS!$C$81</f>
        <v>0</v>
      </c>
      <c r="M40" s="495" t="n">
        <f aca="false">0*FC_SUPUESTOS!$C$81</f>
        <v>0</v>
      </c>
      <c r="N40" s="495" t="n">
        <f aca="false">0*FC_SUPUESTOS!$C$81</f>
        <v>0</v>
      </c>
      <c r="O40" s="495" t="n">
        <f aca="false">0*FC_SUPUESTOS!$C$81</f>
        <v>0</v>
      </c>
      <c r="P40" s="495" t="n">
        <f aca="false">0*FC_SUPUESTOS!$C$81</f>
        <v>0</v>
      </c>
      <c r="Q40" s="495" t="n">
        <f aca="false">0*FC_SUPUESTOS!$C$81</f>
        <v>0</v>
      </c>
      <c r="R40" s="495" t="n">
        <f aca="false">0*FC_SUPUESTOS!$C$81</f>
        <v>0</v>
      </c>
      <c r="S40" s="495" t="n">
        <f aca="false">0*FC_SUPUESTOS!$C$81</f>
        <v>0</v>
      </c>
      <c r="T40" s="495" t="n">
        <f aca="false">0*FC_SUPUESTOS!$C$81</f>
        <v>0</v>
      </c>
      <c r="U40" s="495" t="n">
        <f aca="false">0*FC_SUPUESTOS!$C$81</f>
        <v>0</v>
      </c>
      <c r="V40" s="495" t="n">
        <f aca="false">0*FC_SUPUESTOS!$C$81</f>
        <v>0</v>
      </c>
      <c r="W40" s="495" t="n">
        <f aca="false">0*FC_SUPUESTOS!$C$81</f>
        <v>0</v>
      </c>
      <c r="X40" s="495" t="n">
        <f aca="false">0*FC_SUPUESTOS!$C$81</f>
        <v>0</v>
      </c>
      <c r="Y40" s="495" t="n">
        <f aca="false">0*FC_SUPUESTOS!$C$81</f>
        <v>0</v>
      </c>
      <c r="Z40" s="495" t="n">
        <f aca="false">0*FC_SUPUESTOS!$C$81</f>
        <v>0</v>
      </c>
      <c r="AA40" s="495" t="n">
        <f aca="false">0*FC_SUPUESTOS!$C$81</f>
        <v>0</v>
      </c>
      <c r="AB40" s="495" t="n">
        <f aca="false">0*FC_SUPUESTOS!$C$81</f>
        <v>0</v>
      </c>
      <c r="AC40" s="495" t="n">
        <f aca="false">0*FC_SUPUESTOS!$C$81</f>
        <v>0</v>
      </c>
      <c r="AD40" s="495" t="n">
        <f aca="false">0*FC_SUPUESTOS!$C$81</f>
        <v>0</v>
      </c>
      <c r="AE40" s="495" t="n">
        <f aca="false">0*FC_SUPUESTOS!$C$81</f>
        <v>0</v>
      </c>
      <c r="AF40" s="495" t="n">
        <f aca="false">0*FC_SUPUESTOS!$C$81</f>
        <v>0</v>
      </c>
      <c r="AG40" s="495" t="n">
        <f aca="false">0*FC_SUPUESTOS!$C$81</f>
        <v>0</v>
      </c>
      <c r="AH40" s="495" t="n">
        <f aca="false">0*FC_SUPUESTOS!$C$81</f>
        <v>0</v>
      </c>
      <c r="AI40" s="495" t="n">
        <f aca="false">0*FC_SUPUESTOS!$C$81</f>
        <v>0</v>
      </c>
      <c r="AJ40" s="495" t="n">
        <f aca="false">0*FC_SUPUESTOS!$C$81</f>
        <v>0</v>
      </c>
      <c r="AK40" s="495" t="n">
        <f aca="false">0*FC_SUPUESTOS!$C$81</f>
        <v>0</v>
      </c>
      <c r="AL40" s="495" t="n">
        <f aca="false">0*FC_SUPUESTOS!$C$81</f>
        <v>0</v>
      </c>
      <c r="AM40" s="495" t="n">
        <f aca="false">0*FC_SUPUESTOS!$C$81</f>
        <v>0</v>
      </c>
      <c r="AN40" s="495" t="n">
        <f aca="false">0*FC_SUPUESTOS!$C$81</f>
        <v>0</v>
      </c>
      <c r="AO40" s="495" t="n">
        <f aca="false">0*FC_SUPUESTOS!$C$81</f>
        <v>0</v>
      </c>
      <c r="AP40" s="495" t="n">
        <f aca="false">0*FC_SUPUESTOS!$C$81</f>
        <v>0</v>
      </c>
      <c r="AQ40" s="495" t="n">
        <f aca="false">0*FC_SUPUESTOS!$C$81</f>
        <v>0</v>
      </c>
      <c r="AR40" s="495" t="n">
        <f aca="false">0*FC_SUPUESTOS!$C$81</f>
        <v>0</v>
      </c>
      <c r="AS40" s="495" t="n">
        <f aca="false">0*FC_SUPUESTOS!$C$81</f>
        <v>0</v>
      </c>
      <c r="AT40" s="495" t="n">
        <f aca="false">0*FC_SUPUESTOS!$C$81</f>
        <v>0</v>
      </c>
      <c r="AU40" s="495" t="n">
        <f aca="false">0*FC_SUPUESTOS!$C$81</f>
        <v>0</v>
      </c>
      <c r="AV40" s="495" t="n">
        <f aca="false">0*FC_SUPUESTOS!$C$81</f>
        <v>0</v>
      </c>
      <c r="AW40" s="495" t="n">
        <f aca="false">0*FC_SUPUESTOS!$C$81</f>
        <v>0</v>
      </c>
      <c r="AX40" s="495" t="n">
        <f aca="false">0*FC_SUPUESTOS!$C$81</f>
        <v>0</v>
      </c>
      <c r="AY40" s="495" t="n">
        <f aca="false">0*FC_SUPUESTOS!$C$81</f>
        <v>0</v>
      </c>
      <c r="AZ40" s="495" t="n">
        <f aca="false">0*FC_SUPUESTOS!$C$81</f>
        <v>0</v>
      </c>
      <c r="BA40" s="495" t="n">
        <f aca="false">0*FC_SUPUESTOS!$C$81</f>
        <v>0</v>
      </c>
      <c r="BB40" s="495" t="n">
        <f aca="false">0*FC_SUPUESTOS!$C$81</f>
        <v>0</v>
      </c>
      <c r="BC40" s="495" t="n">
        <f aca="false">0*FC_SUPUESTOS!$C$81</f>
        <v>0</v>
      </c>
      <c r="BD40" s="495" t="n">
        <f aca="false">0*FC_SUPUESTOS!$C$81</f>
        <v>0</v>
      </c>
      <c r="BE40" s="495" t="n">
        <f aca="false">0*FC_SUPUESTOS!$C$81</f>
        <v>0</v>
      </c>
      <c r="BF40" s="495" t="n">
        <f aca="false">0*FC_SUPUESTOS!$C$81</f>
        <v>0</v>
      </c>
      <c r="BG40" s="495" t="n">
        <f aca="false">0*FC_SUPUESTOS!$C$81</f>
        <v>0</v>
      </c>
      <c r="BH40" s="495" t="n">
        <f aca="false">0*FC_SUPUESTOS!$C$81</f>
        <v>0</v>
      </c>
      <c r="BI40" s="495" t="n">
        <f aca="false">0*FC_SUPUESTOS!$C$81</f>
        <v>0</v>
      </c>
      <c r="BJ40" s="495" t="n">
        <f aca="false">0*FC_SUPUESTOS!$C$81</f>
        <v>0</v>
      </c>
      <c r="BK40" s="495" t="n">
        <f aca="false">0*FC_SUPUESTOS!$C$81</f>
        <v>0</v>
      </c>
    </row>
    <row r="41" customFormat="false" ht="15" hidden="false" customHeight="true" outlineLevel="0" collapsed="false">
      <c r="A41" s="218"/>
      <c r="B41" s="493" t="s">
        <v>2941</v>
      </c>
      <c r="C41" s="218"/>
      <c r="D41" s="494" t="n">
        <f aca="false">D14-D35-D39-D40</f>
        <v>-2870</v>
      </c>
      <c r="E41" s="494" t="n">
        <f aca="false">E14-E35-E39-E40</f>
        <v>-15715</v>
      </c>
      <c r="F41" s="494" t="n">
        <f aca="false">F14-F35-F39-F40</f>
        <v>-15715</v>
      </c>
      <c r="G41" s="494" t="n">
        <f aca="false">G14-G35-G39-G40</f>
        <v>-15715</v>
      </c>
      <c r="H41" s="494" t="n">
        <f aca="false">H14-H35-H39-H40</f>
        <v>-15715</v>
      </c>
      <c r="I41" s="494" t="n">
        <f aca="false">I14-I35-I39-I40</f>
        <v>-15715</v>
      </c>
      <c r="J41" s="494" t="n">
        <f aca="false">J14-J35-J39-J40</f>
        <v>-16715</v>
      </c>
      <c r="K41" s="494" t="n">
        <f aca="false">K14-K35-K39-K40</f>
        <v>-20945.565625</v>
      </c>
      <c r="L41" s="494" t="n">
        <f aca="false">L14-L35-L39-L40</f>
        <v>-35558.565625</v>
      </c>
      <c r="M41" s="494" t="n">
        <f aca="false">M14-M35-M39-M40</f>
        <v>-12907.1493318894</v>
      </c>
      <c r="N41" s="494" t="n">
        <f aca="false">N14-N35-N39-N40</f>
        <v>7254.87476065636</v>
      </c>
      <c r="O41" s="494" t="n">
        <f aca="false">O14-O35-O39-O40</f>
        <v>25297.7259458865</v>
      </c>
      <c r="P41" s="494" t="n">
        <f aca="false">P14-P35-P39-P40</f>
        <v>44971.8615390502</v>
      </c>
      <c r="Q41" s="494" t="n">
        <f aca="false">Q14-Q35-Q39-Q40</f>
        <v>75814.7408549211</v>
      </c>
      <c r="R41" s="494" t="n">
        <f aca="false">R14-R35-R39-R40</f>
        <v>73886.7050537932</v>
      </c>
      <c r="S41" s="494" t="n">
        <f aca="false">S14-S35-S39-S40</f>
        <v>71786.0566150009</v>
      </c>
      <c r="T41" s="494" t="n">
        <f aca="false">T14-T35-T39-T40</f>
        <v>59110.7698390772</v>
      </c>
      <c r="U41" s="494" t="n">
        <f aca="false">U14-U35-U39-U40</f>
        <v>55521.6665581936</v>
      </c>
      <c r="V41" s="494" t="n">
        <f aca="false">V14-V35-V39-V40</f>
        <v>53617.2444091533</v>
      </c>
      <c r="W41" s="494" t="n">
        <f aca="false">W14-W35-W39-W40</f>
        <v>53617.2444091533</v>
      </c>
      <c r="X41" s="494" t="n">
        <f aca="false">X14-X35-X39-X40</f>
        <v>53617.2444091533</v>
      </c>
      <c r="Y41" s="494" t="n">
        <f aca="false">Y14-Y35-Y39-Y40</f>
        <v>53617.2444091533</v>
      </c>
      <c r="Z41" s="494" t="n">
        <f aca="false">Z14-Z35-Z39-Z40</f>
        <v>53617.2444091533</v>
      </c>
      <c r="AA41" s="494" t="n">
        <f aca="false">AA14-AA35-AA39-AA40</f>
        <v>53617.2444091533</v>
      </c>
      <c r="AB41" s="494" t="n">
        <f aca="false">AB14-AB35-AB39-AB40</f>
        <v>59533.8940553121</v>
      </c>
      <c r="AC41" s="494" t="n">
        <f aca="false">AC14-AC35-AC39-AC40</f>
        <v>59533.8940553121</v>
      </c>
      <c r="AD41" s="494" t="n">
        <f aca="false">AD14-AD35-AD39-AD40</f>
        <v>59533.8940553121</v>
      </c>
      <c r="AE41" s="494" t="n">
        <f aca="false">AE14-AE35-AE39-AE40</f>
        <v>57522.2331756181</v>
      </c>
      <c r="AF41" s="494" t="n">
        <f aca="false">AF14-AF35-AF39-AF40</f>
        <v>57522.2331756181</v>
      </c>
      <c r="AG41" s="494" t="n">
        <f aca="false">AG14-AG35-AG39-AG40</f>
        <v>57522.2331756181</v>
      </c>
      <c r="AH41" s="494" t="n">
        <f aca="false">AH14-AH35-AH39-AH40</f>
        <v>57522.2331756181</v>
      </c>
      <c r="AI41" s="494" t="n">
        <f aca="false">AI14-AI35-AI39-AI40</f>
        <v>57522.2331756181</v>
      </c>
      <c r="AJ41" s="494" t="n">
        <f aca="false">AJ14-AJ35-AJ39-AJ40</f>
        <v>57522.2331756181</v>
      </c>
      <c r="AK41" s="494" t="n">
        <f aca="false">AK14-AK35-AK39-AK40</f>
        <v>57522.2331756181</v>
      </c>
      <c r="AL41" s="494" t="n">
        <f aca="false">AL14-AL35-AL39-AL40</f>
        <v>57522.2331756181</v>
      </c>
      <c r="AM41" s="494" t="n">
        <f aca="false">AM14-AM35-AM39-AM40</f>
        <v>57522.2331756181</v>
      </c>
      <c r="AN41" s="494" t="n">
        <f aca="false">AN14-AN35-AN39-AN40</f>
        <v>60480.5579986974</v>
      </c>
      <c r="AO41" s="494" t="n">
        <f aca="false">AO14-AO35-AO39-AO40</f>
        <v>60480.5579986974</v>
      </c>
      <c r="AP41" s="494" t="n">
        <f aca="false">AP14-AP35-AP39-AP40</f>
        <v>60480.5579986974</v>
      </c>
      <c r="AQ41" s="494" t="n">
        <f aca="false">AQ14-AQ35-AQ39-AQ40</f>
        <v>59474.7275588505</v>
      </c>
      <c r="AR41" s="494" t="n">
        <f aca="false">AR14-AR35-AR39-AR40</f>
        <v>59474.7275588505</v>
      </c>
      <c r="AS41" s="494" t="n">
        <f aca="false">AS14-AS35-AS39-AS40</f>
        <v>59474.7275588505</v>
      </c>
      <c r="AT41" s="494" t="n">
        <f aca="false">AT14-AT35-AT39-AT40</f>
        <v>59474.7275588505</v>
      </c>
      <c r="AU41" s="494" t="n">
        <f aca="false">AU14-AU35-AU39-AU40</f>
        <v>59474.7275588505</v>
      </c>
      <c r="AV41" s="494" t="n">
        <f aca="false">AV14-AV35-AV39-AV40</f>
        <v>59474.7275588505</v>
      </c>
      <c r="AW41" s="494" t="n">
        <f aca="false">AW14-AW35-AW39-AW40</f>
        <v>59474.7275588505</v>
      </c>
      <c r="AX41" s="494" t="n">
        <f aca="false">AX14-AX35-AX39-AX40</f>
        <v>59474.7275588505</v>
      </c>
      <c r="AY41" s="494" t="n">
        <f aca="false">AY14-AY35-AY39-AY40</f>
        <v>59474.7275588505</v>
      </c>
      <c r="AZ41" s="494" t="n">
        <f aca="false">AZ14-AZ35-AZ39-AZ40</f>
        <v>62433.0523819298</v>
      </c>
      <c r="BA41" s="494" t="n">
        <f aca="false">BA14-BA35-BA39-BA40</f>
        <v>62433.0523819298</v>
      </c>
      <c r="BB41" s="494" t="n">
        <f aca="false">BB14-BB35-BB39-BB40</f>
        <v>62433.0523819298</v>
      </c>
      <c r="BC41" s="494" t="n">
        <f aca="false">BC14-BC35-BC39-BC40</f>
        <v>61427.2219420828</v>
      </c>
      <c r="BD41" s="494" t="n">
        <f aca="false">BD14-BD35-BD39-BD40</f>
        <v>61427.2219420828</v>
      </c>
      <c r="BE41" s="494" t="n">
        <f aca="false">BE14-BE35-BE39-BE40</f>
        <v>61427.2219420828</v>
      </c>
      <c r="BF41" s="494" t="n">
        <f aca="false">BF14-BF35-BF39-BF40</f>
        <v>61427.2219420828</v>
      </c>
      <c r="BG41" s="494" t="n">
        <f aca="false">BG14-BG35-BG39-BG40</f>
        <v>61427.2219420828</v>
      </c>
      <c r="BH41" s="494" t="n">
        <f aca="false">BH14-BH35-BH39-BH40</f>
        <v>61427.2219420828</v>
      </c>
      <c r="BI41" s="494" t="n">
        <f aca="false">BI14-BI35-BI39-BI40</f>
        <v>61427.2219420828</v>
      </c>
      <c r="BJ41" s="494" t="n">
        <f aca="false">BJ14-BJ35-BJ39-BJ40</f>
        <v>61427.2219420828</v>
      </c>
      <c r="BK41" s="494" t="n">
        <f aca="false">BK14-BK35-BK39-BK40</f>
        <v>61427.2219420828</v>
      </c>
    </row>
    <row r="43" customFormat="false" ht="15" hidden="false" customHeight="true" outlineLevel="0" collapsed="false">
      <c r="A43" s="351" t="s">
        <v>2942</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row>
    <row r="44" customFormat="false" ht="15" hidden="false" customHeight="true" outlineLevel="0" collapsed="false">
      <c r="B44" s="297" t="s">
        <v>2943</v>
      </c>
      <c r="D44" s="380" t="n">
        <f aca="false">FC_SUPUESTOS!$C$88*FC_SUPUESTOS!$C$44-SUM($E$44:$BK$44)</f>
        <v>79981.1071101617</v>
      </c>
      <c r="E44" s="380" t="n">
        <f aca="false">FC_CRONOGRAMA!E8*FC_SUPUESTOS!$C$88*FC_SUPUESTOS!$C$44</f>
        <v>0</v>
      </c>
      <c r="F44" s="380" t="n">
        <f aca="false">FC_CRONOGRAMA!F8*FC_SUPUESTOS!$C$88*FC_SUPUESTOS!$C$44</f>
        <v>0</v>
      </c>
      <c r="G44" s="380" t="n">
        <f aca="false">FC_CRONOGRAMA!G8*FC_SUPUESTOS!$C$88*FC_SUPUESTOS!$C$44</f>
        <v>0</v>
      </c>
      <c r="H44" s="380" t="n">
        <f aca="false">FC_CRONOGRAMA!H8*FC_SUPUESTOS!$C$88*FC_SUPUESTOS!$C$44</f>
        <v>0</v>
      </c>
      <c r="I44" s="380" t="n">
        <f aca="false">FC_CRONOGRAMA!I8*FC_SUPUESTOS!$C$88*FC_SUPUESTOS!$C$44</f>
        <v>0</v>
      </c>
      <c r="J44" s="380" t="n">
        <f aca="false">FC_CRONOGRAMA!J8*FC_SUPUESTOS!$C$88*FC_SUPUESTOS!$C$44</f>
        <v>0</v>
      </c>
      <c r="K44" s="380" t="n">
        <f aca="false">FC_CRONOGRAMA!K8*FC_SUPUESTOS!$C$88*FC_SUPUESTOS!$C$44</f>
        <v>0</v>
      </c>
      <c r="L44" s="380" t="n">
        <f aca="false">FC_CRONOGRAMA!L8*FC_SUPUESTOS!$C$88*FC_SUPUESTOS!$C$44</f>
        <v>0</v>
      </c>
      <c r="M44" s="380" t="n">
        <f aca="false">FC_CRONOGRAMA!M8*FC_SUPUESTOS!$C$88*FC_SUPUESTOS!$C$44</f>
        <v>0</v>
      </c>
      <c r="N44" s="380" t="n">
        <f aca="false">FC_CRONOGRAMA!N8*FC_SUPUESTOS!$C$88*FC_SUPUESTOS!$C$44</f>
        <v>0</v>
      </c>
      <c r="O44" s="380" t="n">
        <f aca="false">FC_CRONOGRAMA!O8*FC_SUPUESTOS!$C$88*FC_SUPUESTOS!$C$44</f>
        <v>0</v>
      </c>
      <c r="P44" s="380" t="n">
        <f aca="false">FC_CRONOGRAMA!P8*FC_SUPUESTOS!$C$88*FC_SUPUESTOS!$C$44</f>
        <v>0</v>
      </c>
      <c r="Q44" s="380" t="n">
        <f aca="false">FC_CRONOGRAMA!Q8*FC_SUPUESTOS!$C$88*FC_SUPUESTOS!$C$44</f>
        <v>0</v>
      </c>
      <c r="R44" s="380" t="n">
        <f aca="false">FC_CRONOGRAMA!R8*FC_SUPUESTOS!$C$88*FC_SUPUESTOS!$C$44</f>
        <v>0</v>
      </c>
      <c r="S44" s="380" t="n">
        <f aca="false">FC_CRONOGRAMA!S8*FC_SUPUESTOS!$C$88*FC_SUPUESTOS!$C$44</f>
        <v>0</v>
      </c>
      <c r="T44" s="380" t="n">
        <f aca="false">FC_CRONOGRAMA!T8*FC_SUPUESTOS!$C$88*FC_SUPUESTOS!$C$44</f>
        <v>0</v>
      </c>
      <c r="U44" s="380" t="n">
        <f aca="false">FC_CRONOGRAMA!U8*FC_SUPUESTOS!$C$88*FC_SUPUESTOS!$C$44</f>
        <v>0</v>
      </c>
      <c r="V44" s="380" t="n">
        <f aca="false">FC_CRONOGRAMA!V8*FC_SUPUESTOS!$C$88*FC_SUPUESTOS!$C$44</f>
        <v>0</v>
      </c>
      <c r="W44" s="380" t="n">
        <f aca="false">FC_CRONOGRAMA!W8*FC_SUPUESTOS!$C$88*FC_SUPUESTOS!$C$44</f>
        <v>0</v>
      </c>
      <c r="X44" s="380" t="n">
        <f aca="false">FC_CRONOGRAMA!X8*FC_SUPUESTOS!$C$88*FC_SUPUESTOS!$C$44</f>
        <v>0</v>
      </c>
      <c r="Y44" s="380" t="n">
        <f aca="false">FC_CRONOGRAMA!Y8*FC_SUPUESTOS!$C$88*FC_SUPUESTOS!$C$44</f>
        <v>0</v>
      </c>
      <c r="Z44" s="380" t="n">
        <f aca="false">FC_CRONOGRAMA!Z8*FC_SUPUESTOS!$C$88*FC_SUPUESTOS!$C$44</f>
        <v>0</v>
      </c>
      <c r="AA44" s="380" t="n">
        <f aca="false">FC_CRONOGRAMA!AA8*FC_SUPUESTOS!$C$88*FC_SUPUESTOS!$C$44</f>
        <v>0</v>
      </c>
      <c r="AB44" s="380" t="n">
        <f aca="false">FC_CRONOGRAMA!AB8*FC_SUPUESTOS!$C$88*FC_SUPUESTOS!$C$44</f>
        <v>0</v>
      </c>
      <c r="AC44" s="380" t="n">
        <f aca="false">FC_CRONOGRAMA!AC8*FC_SUPUESTOS!$C$88*FC_SUPUESTOS!$C$44</f>
        <v>0</v>
      </c>
      <c r="AD44" s="380" t="n">
        <f aca="false">FC_CRONOGRAMA!AD8*FC_SUPUESTOS!$C$88*FC_SUPUESTOS!$C$44</f>
        <v>0</v>
      </c>
      <c r="AE44" s="380" t="n">
        <f aca="false">FC_CRONOGRAMA!AE8*FC_SUPUESTOS!$C$88*FC_SUPUESTOS!$C$44</f>
        <v>0</v>
      </c>
      <c r="AF44" s="380" t="n">
        <f aca="false">FC_CRONOGRAMA!AF8*FC_SUPUESTOS!$C$88*FC_SUPUESTOS!$C$44</f>
        <v>0</v>
      </c>
      <c r="AG44" s="380" t="n">
        <f aca="false">FC_CRONOGRAMA!AG8*FC_SUPUESTOS!$C$88*FC_SUPUESTOS!$C$44</f>
        <v>0</v>
      </c>
      <c r="AH44" s="380" t="n">
        <f aca="false">FC_CRONOGRAMA!AH8*FC_SUPUESTOS!$C$88*FC_SUPUESTOS!$C$44</f>
        <v>0</v>
      </c>
      <c r="AI44" s="380" t="n">
        <f aca="false">FC_CRONOGRAMA!AI8*FC_SUPUESTOS!$C$88*FC_SUPUESTOS!$C$44</f>
        <v>0</v>
      </c>
      <c r="AJ44" s="380" t="n">
        <f aca="false">FC_CRONOGRAMA!AJ8*FC_SUPUESTOS!$C$88*FC_SUPUESTOS!$C$44</f>
        <v>0</v>
      </c>
      <c r="AK44" s="380" t="n">
        <f aca="false">FC_CRONOGRAMA!AK8*FC_SUPUESTOS!$C$88*FC_SUPUESTOS!$C$44</f>
        <v>0</v>
      </c>
      <c r="AL44" s="380" t="n">
        <f aca="false">FC_CRONOGRAMA!AL8*FC_SUPUESTOS!$C$88*FC_SUPUESTOS!$C$44</f>
        <v>0</v>
      </c>
      <c r="AM44" s="380" t="n">
        <f aca="false">FC_CRONOGRAMA!AM8*FC_SUPUESTOS!$C$88*FC_SUPUESTOS!$C$44</f>
        <v>0</v>
      </c>
      <c r="AN44" s="380" t="n">
        <f aca="false">FC_CRONOGRAMA!AN8*FC_SUPUESTOS!$C$88*FC_SUPUESTOS!$C$44</f>
        <v>0</v>
      </c>
      <c r="AO44" s="380" t="n">
        <f aca="false">FC_CRONOGRAMA!AO8*FC_SUPUESTOS!$C$88*FC_SUPUESTOS!$C$44</f>
        <v>0</v>
      </c>
      <c r="AP44" s="380" t="n">
        <f aca="false">FC_CRONOGRAMA!AP8*FC_SUPUESTOS!$C$88*FC_SUPUESTOS!$C$44</f>
        <v>0</v>
      </c>
      <c r="AQ44" s="380" t="n">
        <f aca="false">FC_CRONOGRAMA!AQ8*FC_SUPUESTOS!$C$88*FC_SUPUESTOS!$C$44</f>
        <v>0</v>
      </c>
      <c r="AR44" s="380" t="n">
        <f aca="false">FC_CRONOGRAMA!AR8*FC_SUPUESTOS!$C$88*FC_SUPUESTOS!$C$44</f>
        <v>0</v>
      </c>
      <c r="AS44" s="380" t="n">
        <f aca="false">FC_CRONOGRAMA!AS8*FC_SUPUESTOS!$C$88*FC_SUPUESTOS!$C$44</f>
        <v>0</v>
      </c>
      <c r="AT44" s="380" t="n">
        <f aca="false">FC_CRONOGRAMA!AT8*FC_SUPUESTOS!$C$88*FC_SUPUESTOS!$C$44</f>
        <v>0</v>
      </c>
      <c r="AU44" s="380" t="n">
        <f aca="false">FC_CRONOGRAMA!AU8*FC_SUPUESTOS!$C$88*FC_SUPUESTOS!$C$44</f>
        <v>0</v>
      </c>
      <c r="AV44" s="380" t="n">
        <f aca="false">FC_CRONOGRAMA!AV8*FC_SUPUESTOS!$C$88*FC_SUPUESTOS!$C$44</f>
        <v>0</v>
      </c>
      <c r="AW44" s="380" t="n">
        <f aca="false">FC_CRONOGRAMA!AW8*FC_SUPUESTOS!$C$88*FC_SUPUESTOS!$C$44</f>
        <v>0</v>
      </c>
      <c r="AX44" s="380" t="n">
        <f aca="false">FC_CRONOGRAMA!AX8*FC_SUPUESTOS!$C$88*FC_SUPUESTOS!$C$44</f>
        <v>0</v>
      </c>
      <c r="AY44" s="380" t="n">
        <f aca="false">FC_CRONOGRAMA!AY8*FC_SUPUESTOS!$C$88*FC_SUPUESTOS!$C$44</f>
        <v>0</v>
      </c>
      <c r="AZ44" s="380" t="n">
        <f aca="false">FC_CRONOGRAMA!AZ8*FC_SUPUESTOS!$C$88*FC_SUPUESTOS!$C$44</f>
        <v>0</v>
      </c>
      <c r="BA44" s="380" t="n">
        <f aca="false">FC_CRONOGRAMA!BA8*FC_SUPUESTOS!$C$88*FC_SUPUESTOS!$C$44</f>
        <v>0</v>
      </c>
      <c r="BB44" s="380" t="n">
        <f aca="false">FC_CRONOGRAMA!BB8*FC_SUPUESTOS!$C$88*FC_SUPUESTOS!$C$44</f>
        <v>0</v>
      </c>
      <c r="BC44" s="380" t="n">
        <f aca="false">FC_CRONOGRAMA!BC8*FC_SUPUESTOS!$C$88*FC_SUPUESTOS!$C$44</f>
        <v>0</v>
      </c>
      <c r="BD44" s="380" t="n">
        <f aca="false">FC_CRONOGRAMA!BD8*FC_SUPUESTOS!$C$88*FC_SUPUESTOS!$C$44</f>
        <v>0</v>
      </c>
      <c r="BE44" s="380" t="n">
        <f aca="false">FC_CRONOGRAMA!BE8*FC_SUPUESTOS!$C$88*FC_SUPUESTOS!$C$44</f>
        <v>0</v>
      </c>
      <c r="BF44" s="380" t="n">
        <f aca="false">FC_CRONOGRAMA!BF8*FC_SUPUESTOS!$C$88*FC_SUPUESTOS!$C$44</f>
        <v>0</v>
      </c>
      <c r="BG44" s="380" t="n">
        <f aca="false">FC_CRONOGRAMA!BG8*FC_SUPUESTOS!$C$88*FC_SUPUESTOS!$C$44</f>
        <v>0</v>
      </c>
      <c r="BH44" s="380" t="n">
        <f aca="false">FC_CRONOGRAMA!BH8*FC_SUPUESTOS!$C$88*FC_SUPUESTOS!$C$44</f>
        <v>0</v>
      </c>
      <c r="BI44" s="380" t="n">
        <f aca="false">FC_CRONOGRAMA!BI8*FC_SUPUESTOS!$C$88*FC_SUPUESTOS!$C$44</f>
        <v>0</v>
      </c>
      <c r="BJ44" s="380" t="n">
        <f aca="false">FC_CRONOGRAMA!BJ8*FC_SUPUESTOS!$C$88*FC_SUPUESTOS!$C$44</f>
        <v>0</v>
      </c>
      <c r="BK44" s="380" t="n">
        <f aca="false">FC_CRONOGRAMA!BK8*FC_SUPUESTOS!$C$88*FC_SUPUESTOS!$C$44</f>
        <v>0</v>
      </c>
    </row>
    <row r="45" customFormat="false" ht="15" hidden="false" customHeight="true" outlineLevel="0" collapsed="false">
      <c r="B45" s="297" t="s">
        <v>2944</v>
      </c>
      <c r="D45" s="380" t="n">
        <f aca="false">FC_SUPUESTOS!$C$88*FC_SUPUESTOS!$C$45-SUM($E$45:$BK$45)</f>
        <v>0</v>
      </c>
      <c r="E45" s="380" t="n">
        <f aca="false">FC_CRONOGRAMA!E9*FC_SUPUESTOS!$C$88*FC_SUPUESTOS!$C$45</f>
        <v>0</v>
      </c>
      <c r="F45" s="380" t="n">
        <f aca="false">FC_CRONOGRAMA!F9*FC_SUPUESTOS!$C$88*FC_SUPUESTOS!$C$45</f>
        <v>0</v>
      </c>
      <c r="G45" s="380" t="n">
        <f aca="false">FC_CRONOGRAMA!G9*FC_SUPUESTOS!$C$88*FC_SUPUESTOS!$C$45</f>
        <v>0</v>
      </c>
      <c r="H45" s="380" t="n">
        <f aca="false">FC_CRONOGRAMA!H9*FC_SUPUESTOS!$C$88*FC_SUPUESTOS!$C$45</f>
        <v>119971.660665243</v>
      </c>
      <c r="I45" s="380" t="n">
        <f aca="false">FC_CRONOGRAMA!I9*FC_SUPUESTOS!$C$88*FC_SUPUESTOS!$C$45</f>
        <v>0</v>
      </c>
      <c r="J45" s="380" t="n">
        <f aca="false">FC_CRONOGRAMA!J9*FC_SUPUESTOS!$C$88*FC_SUPUESTOS!$C$45</f>
        <v>0</v>
      </c>
      <c r="K45" s="380" t="n">
        <f aca="false">FC_CRONOGRAMA!K9*FC_SUPUESTOS!$C$88*FC_SUPUESTOS!$C$45</f>
        <v>0</v>
      </c>
      <c r="L45" s="380" t="n">
        <f aca="false">FC_CRONOGRAMA!L9*FC_SUPUESTOS!$C$88*FC_SUPUESTOS!$C$45</f>
        <v>0</v>
      </c>
      <c r="M45" s="380" t="n">
        <f aca="false">FC_CRONOGRAMA!M9*FC_SUPUESTOS!$C$88*FC_SUPUESTOS!$C$45</f>
        <v>0</v>
      </c>
      <c r="N45" s="380" t="n">
        <f aca="false">FC_CRONOGRAMA!N9*FC_SUPUESTOS!$C$88*FC_SUPUESTOS!$C$45</f>
        <v>0</v>
      </c>
      <c r="O45" s="380" t="n">
        <f aca="false">FC_CRONOGRAMA!O9*FC_SUPUESTOS!$C$88*FC_SUPUESTOS!$C$45</f>
        <v>0</v>
      </c>
      <c r="P45" s="380" t="n">
        <f aca="false">FC_CRONOGRAMA!P9*FC_SUPUESTOS!$C$88*FC_SUPUESTOS!$C$45</f>
        <v>0</v>
      </c>
      <c r="Q45" s="380" t="n">
        <f aca="false">FC_CRONOGRAMA!Q9*FC_SUPUESTOS!$C$88*FC_SUPUESTOS!$C$45</f>
        <v>0</v>
      </c>
      <c r="R45" s="380" t="n">
        <f aca="false">FC_CRONOGRAMA!R9*FC_SUPUESTOS!$C$88*FC_SUPUESTOS!$C$45</f>
        <v>0</v>
      </c>
      <c r="S45" s="380" t="n">
        <f aca="false">FC_CRONOGRAMA!S9*FC_SUPUESTOS!$C$88*FC_SUPUESTOS!$C$45</f>
        <v>0</v>
      </c>
      <c r="T45" s="380" t="n">
        <f aca="false">FC_CRONOGRAMA!T9*FC_SUPUESTOS!$C$88*FC_SUPUESTOS!$C$45</f>
        <v>0</v>
      </c>
      <c r="U45" s="380" t="n">
        <f aca="false">FC_CRONOGRAMA!U9*FC_SUPUESTOS!$C$88*FC_SUPUESTOS!$C$45</f>
        <v>0</v>
      </c>
      <c r="V45" s="380" t="n">
        <f aca="false">FC_CRONOGRAMA!V9*FC_SUPUESTOS!$C$88*FC_SUPUESTOS!$C$45</f>
        <v>0</v>
      </c>
      <c r="W45" s="380" t="n">
        <f aca="false">FC_CRONOGRAMA!W9*FC_SUPUESTOS!$C$88*FC_SUPUESTOS!$C$45</f>
        <v>0</v>
      </c>
      <c r="X45" s="380" t="n">
        <f aca="false">FC_CRONOGRAMA!X9*FC_SUPUESTOS!$C$88*FC_SUPUESTOS!$C$45</f>
        <v>0</v>
      </c>
      <c r="Y45" s="380" t="n">
        <f aca="false">FC_CRONOGRAMA!Y9*FC_SUPUESTOS!$C$88*FC_SUPUESTOS!$C$45</f>
        <v>0</v>
      </c>
      <c r="Z45" s="380" t="n">
        <f aca="false">FC_CRONOGRAMA!Z9*FC_SUPUESTOS!$C$88*FC_SUPUESTOS!$C$45</f>
        <v>0</v>
      </c>
      <c r="AA45" s="380" t="n">
        <f aca="false">FC_CRONOGRAMA!AA9*FC_SUPUESTOS!$C$88*FC_SUPUESTOS!$C$45</f>
        <v>0</v>
      </c>
      <c r="AB45" s="380" t="n">
        <f aca="false">FC_CRONOGRAMA!AB9*FC_SUPUESTOS!$C$88*FC_SUPUESTOS!$C$45</f>
        <v>0</v>
      </c>
      <c r="AC45" s="380" t="n">
        <f aca="false">FC_CRONOGRAMA!AC9*FC_SUPUESTOS!$C$88*FC_SUPUESTOS!$C$45</f>
        <v>0</v>
      </c>
      <c r="AD45" s="380" t="n">
        <f aca="false">FC_CRONOGRAMA!AD9*FC_SUPUESTOS!$C$88*FC_SUPUESTOS!$C$45</f>
        <v>0</v>
      </c>
      <c r="AE45" s="380" t="n">
        <f aca="false">FC_CRONOGRAMA!AE9*FC_SUPUESTOS!$C$88*FC_SUPUESTOS!$C$45</f>
        <v>0</v>
      </c>
      <c r="AF45" s="380" t="n">
        <f aca="false">FC_CRONOGRAMA!AF9*FC_SUPUESTOS!$C$88*FC_SUPUESTOS!$C$45</f>
        <v>0</v>
      </c>
      <c r="AG45" s="380" t="n">
        <f aca="false">FC_CRONOGRAMA!AG9*FC_SUPUESTOS!$C$88*FC_SUPUESTOS!$C$45</f>
        <v>0</v>
      </c>
      <c r="AH45" s="380" t="n">
        <f aca="false">FC_CRONOGRAMA!AH9*FC_SUPUESTOS!$C$88*FC_SUPUESTOS!$C$45</f>
        <v>0</v>
      </c>
      <c r="AI45" s="380" t="n">
        <f aca="false">FC_CRONOGRAMA!AI9*FC_SUPUESTOS!$C$88*FC_SUPUESTOS!$C$45</f>
        <v>0</v>
      </c>
      <c r="AJ45" s="380" t="n">
        <f aca="false">FC_CRONOGRAMA!AJ9*FC_SUPUESTOS!$C$88*FC_SUPUESTOS!$C$45</f>
        <v>0</v>
      </c>
      <c r="AK45" s="380" t="n">
        <f aca="false">FC_CRONOGRAMA!AK9*FC_SUPUESTOS!$C$88*FC_SUPUESTOS!$C$45</f>
        <v>0</v>
      </c>
      <c r="AL45" s="380" t="n">
        <f aca="false">FC_CRONOGRAMA!AL9*FC_SUPUESTOS!$C$88*FC_SUPUESTOS!$C$45</f>
        <v>0</v>
      </c>
      <c r="AM45" s="380" t="n">
        <f aca="false">FC_CRONOGRAMA!AM9*FC_SUPUESTOS!$C$88*FC_SUPUESTOS!$C$45</f>
        <v>0</v>
      </c>
      <c r="AN45" s="380" t="n">
        <f aca="false">FC_CRONOGRAMA!AN9*FC_SUPUESTOS!$C$88*FC_SUPUESTOS!$C$45</f>
        <v>0</v>
      </c>
      <c r="AO45" s="380" t="n">
        <f aca="false">FC_CRONOGRAMA!AO9*FC_SUPUESTOS!$C$88*FC_SUPUESTOS!$C$45</f>
        <v>0</v>
      </c>
      <c r="AP45" s="380" t="n">
        <f aca="false">FC_CRONOGRAMA!AP9*FC_SUPUESTOS!$C$88*FC_SUPUESTOS!$C$45</f>
        <v>0</v>
      </c>
      <c r="AQ45" s="380" t="n">
        <f aca="false">FC_CRONOGRAMA!AQ9*FC_SUPUESTOS!$C$88*FC_SUPUESTOS!$C$45</f>
        <v>0</v>
      </c>
      <c r="AR45" s="380" t="n">
        <f aca="false">FC_CRONOGRAMA!AR9*FC_SUPUESTOS!$C$88*FC_SUPUESTOS!$C$45</f>
        <v>0</v>
      </c>
      <c r="AS45" s="380" t="n">
        <f aca="false">FC_CRONOGRAMA!AS9*FC_SUPUESTOS!$C$88*FC_SUPUESTOS!$C$45</f>
        <v>0</v>
      </c>
      <c r="AT45" s="380" t="n">
        <f aca="false">FC_CRONOGRAMA!AT9*FC_SUPUESTOS!$C$88*FC_SUPUESTOS!$C$45</f>
        <v>0</v>
      </c>
      <c r="AU45" s="380" t="n">
        <f aca="false">FC_CRONOGRAMA!AU9*FC_SUPUESTOS!$C$88*FC_SUPUESTOS!$C$45</f>
        <v>0</v>
      </c>
      <c r="AV45" s="380" t="n">
        <f aca="false">FC_CRONOGRAMA!AV9*FC_SUPUESTOS!$C$88*FC_SUPUESTOS!$C$45</f>
        <v>0</v>
      </c>
      <c r="AW45" s="380" t="n">
        <f aca="false">FC_CRONOGRAMA!AW9*FC_SUPUESTOS!$C$88*FC_SUPUESTOS!$C$45</f>
        <v>0</v>
      </c>
      <c r="AX45" s="380" t="n">
        <f aca="false">FC_CRONOGRAMA!AX9*FC_SUPUESTOS!$C$88*FC_SUPUESTOS!$C$45</f>
        <v>0</v>
      </c>
      <c r="AY45" s="380" t="n">
        <f aca="false">FC_CRONOGRAMA!AY9*FC_SUPUESTOS!$C$88*FC_SUPUESTOS!$C$45</f>
        <v>0</v>
      </c>
      <c r="AZ45" s="380" t="n">
        <f aca="false">FC_CRONOGRAMA!AZ9*FC_SUPUESTOS!$C$88*FC_SUPUESTOS!$C$45</f>
        <v>0</v>
      </c>
      <c r="BA45" s="380" t="n">
        <f aca="false">FC_CRONOGRAMA!BA9*FC_SUPUESTOS!$C$88*FC_SUPUESTOS!$C$45</f>
        <v>0</v>
      </c>
      <c r="BB45" s="380" t="n">
        <f aca="false">FC_CRONOGRAMA!BB9*FC_SUPUESTOS!$C$88*FC_SUPUESTOS!$C$45</f>
        <v>0</v>
      </c>
      <c r="BC45" s="380" t="n">
        <f aca="false">FC_CRONOGRAMA!BC9*FC_SUPUESTOS!$C$88*FC_SUPUESTOS!$C$45</f>
        <v>0</v>
      </c>
      <c r="BD45" s="380" t="n">
        <f aca="false">FC_CRONOGRAMA!BD9*FC_SUPUESTOS!$C$88*FC_SUPUESTOS!$C$45</f>
        <v>0</v>
      </c>
      <c r="BE45" s="380" t="n">
        <f aca="false">FC_CRONOGRAMA!BE9*FC_SUPUESTOS!$C$88*FC_SUPUESTOS!$C$45</f>
        <v>0</v>
      </c>
      <c r="BF45" s="380" t="n">
        <f aca="false">FC_CRONOGRAMA!BF9*FC_SUPUESTOS!$C$88*FC_SUPUESTOS!$C$45</f>
        <v>0</v>
      </c>
      <c r="BG45" s="380" t="n">
        <f aca="false">FC_CRONOGRAMA!BG9*FC_SUPUESTOS!$C$88*FC_SUPUESTOS!$C$45</f>
        <v>0</v>
      </c>
      <c r="BH45" s="380" t="n">
        <f aca="false">FC_CRONOGRAMA!BH9*FC_SUPUESTOS!$C$88*FC_SUPUESTOS!$C$45</f>
        <v>0</v>
      </c>
      <c r="BI45" s="380" t="n">
        <f aca="false">FC_CRONOGRAMA!BI9*FC_SUPUESTOS!$C$88*FC_SUPUESTOS!$C$45</f>
        <v>0</v>
      </c>
      <c r="BJ45" s="380" t="n">
        <f aca="false">FC_CRONOGRAMA!BJ9*FC_SUPUESTOS!$C$88*FC_SUPUESTOS!$C$45</f>
        <v>0</v>
      </c>
      <c r="BK45" s="380" t="n">
        <f aca="false">FC_CRONOGRAMA!BK9*FC_SUPUESTOS!$C$88*FC_SUPUESTOS!$C$45</f>
        <v>0</v>
      </c>
    </row>
    <row r="46" customFormat="false" ht="15" hidden="false" customHeight="true" outlineLevel="0" collapsed="false">
      <c r="B46" s="297" t="s">
        <v>2945</v>
      </c>
      <c r="D46" s="380" t="n">
        <f aca="false">FC_SUPUESTOS!$C$89-SUM($E$46:$BK$46)</f>
        <v>0</v>
      </c>
      <c r="E46" s="380" t="n">
        <f aca="false">FC_CRONOGRAMA!E9*FC_SUPUESTOS!$C$89</f>
        <v>0</v>
      </c>
      <c r="F46" s="380" t="n">
        <f aca="false">FC_CRONOGRAMA!F9*FC_SUPUESTOS!$C$89</f>
        <v>0</v>
      </c>
      <c r="G46" s="380" t="n">
        <f aca="false">FC_CRONOGRAMA!G9*FC_SUPUESTOS!$C$89</f>
        <v>0</v>
      </c>
      <c r="H46" s="380" t="n">
        <f aca="false">FC_CRONOGRAMA!H9*FC_SUPUESTOS!$C$89</f>
        <v>25993.8598108026</v>
      </c>
      <c r="I46" s="380" t="n">
        <f aca="false">FC_CRONOGRAMA!I9*FC_SUPUESTOS!$C$89</f>
        <v>0</v>
      </c>
      <c r="J46" s="380" t="n">
        <f aca="false">FC_CRONOGRAMA!J9*FC_SUPUESTOS!$C$89</f>
        <v>0</v>
      </c>
      <c r="K46" s="380" t="n">
        <f aca="false">FC_CRONOGRAMA!K9*FC_SUPUESTOS!$C$89</f>
        <v>0</v>
      </c>
      <c r="L46" s="380" t="n">
        <f aca="false">FC_CRONOGRAMA!L9*FC_SUPUESTOS!$C$89</f>
        <v>0</v>
      </c>
      <c r="M46" s="380" t="n">
        <f aca="false">FC_CRONOGRAMA!M9*FC_SUPUESTOS!$C$89</f>
        <v>0</v>
      </c>
      <c r="N46" s="380" t="n">
        <f aca="false">FC_CRONOGRAMA!N9*FC_SUPUESTOS!$C$89</f>
        <v>0</v>
      </c>
      <c r="O46" s="380" t="n">
        <f aca="false">FC_CRONOGRAMA!O9*FC_SUPUESTOS!$C$89</f>
        <v>0</v>
      </c>
      <c r="P46" s="380" t="n">
        <f aca="false">FC_CRONOGRAMA!P9*FC_SUPUESTOS!$C$89</f>
        <v>0</v>
      </c>
      <c r="Q46" s="380" t="n">
        <f aca="false">FC_CRONOGRAMA!Q9*FC_SUPUESTOS!$C$89</f>
        <v>0</v>
      </c>
      <c r="R46" s="380" t="n">
        <f aca="false">FC_CRONOGRAMA!R9*FC_SUPUESTOS!$C$89</f>
        <v>0</v>
      </c>
      <c r="S46" s="380" t="n">
        <f aca="false">FC_CRONOGRAMA!S9*FC_SUPUESTOS!$C$89</f>
        <v>0</v>
      </c>
      <c r="T46" s="380" t="n">
        <f aca="false">FC_CRONOGRAMA!T9*FC_SUPUESTOS!$C$89</f>
        <v>0</v>
      </c>
      <c r="U46" s="380" t="n">
        <f aca="false">FC_CRONOGRAMA!U9*FC_SUPUESTOS!$C$89</f>
        <v>0</v>
      </c>
      <c r="V46" s="380" t="n">
        <f aca="false">FC_CRONOGRAMA!V9*FC_SUPUESTOS!$C$89</f>
        <v>0</v>
      </c>
      <c r="W46" s="380" t="n">
        <f aca="false">FC_CRONOGRAMA!W9*FC_SUPUESTOS!$C$89</f>
        <v>0</v>
      </c>
      <c r="X46" s="380" t="n">
        <f aca="false">FC_CRONOGRAMA!X9*FC_SUPUESTOS!$C$89</f>
        <v>0</v>
      </c>
      <c r="Y46" s="380" t="n">
        <f aca="false">FC_CRONOGRAMA!Y9*FC_SUPUESTOS!$C$89</f>
        <v>0</v>
      </c>
      <c r="Z46" s="380" t="n">
        <f aca="false">FC_CRONOGRAMA!Z9*FC_SUPUESTOS!$C$89</f>
        <v>0</v>
      </c>
      <c r="AA46" s="380" t="n">
        <f aca="false">FC_CRONOGRAMA!AA9*FC_SUPUESTOS!$C$89</f>
        <v>0</v>
      </c>
      <c r="AB46" s="380" t="n">
        <f aca="false">FC_CRONOGRAMA!AB9*FC_SUPUESTOS!$C$89</f>
        <v>0</v>
      </c>
      <c r="AC46" s="380" t="n">
        <f aca="false">FC_CRONOGRAMA!AC9*FC_SUPUESTOS!$C$89</f>
        <v>0</v>
      </c>
      <c r="AD46" s="380" t="n">
        <f aca="false">FC_CRONOGRAMA!AD9*FC_SUPUESTOS!$C$89</f>
        <v>0</v>
      </c>
      <c r="AE46" s="380" t="n">
        <f aca="false">FC_CRONOGRAMA!AE9*FC_SUPUESTOS!$C$89</f>
        <v>0</v>
      </c>
      <c r="AF46" s="380" t="n">
        <f aca="false">FC_CRONOGRAMA!AF9*FC_SUPUESTOS!$C$89</f>
        <v>0</v>
      </c>
      <c r="AG46" s="380" t="n">
        <f aca="false">FC_CRONOGRAMA!AG9*FC_SUPUESTOS!$C$89</f>
        <v>0</v>
      </c>
      <c r="AH46" s="380" t="n">
        <f aca="false">FC_CRONOGRAMA!AH9*FC_SUPUESTOS!$C$89</f>
        <v>0</v>
      </c>
      <c r="AI46" s="380" t="n">
        <f aca="false">FC_CRONOGRAMA!AI9*FC_SUPUESTOS!$C$89</f>
        <v>0</v>
      </c>
      <c r="AJ46" s="380" t="n">
        <f aca="false">FC_CRONOGRAMA!AJ9*FC_SUPUESTOS!$C$89</f>
        <v>0</v>
      </c>
      <c r="AK46" s="380" t="n">
        <f aca="false">FC_CRONOGRAMA!AK9*FC_SUPUESTOS!$C$89</f>
        <v>0</v>
      </c>
      <c r="AL46" s="380" t="n">
        <f aca="false">FC_CRONOGRAMA!AL9*FC_SUPUESTOS!$C$89</f>
        <v>0</v>
      </c>
      <c r="AM46" s="380" t="n">
        <f aca="false">FC_CRONOGRAMA!AM9*FC_SUPUESTOS!$C$89</f>
        <v>0</v>
      </c>
      <c r="AN46" s="380" t="n">
        <f aca="false">FC_CRONOGRAMA!AN9*FC_SUPUESTOS!$C$89</f>
        <v>0</v>
      </c>
      <c r="AO46" s="380" t="n">
        <f aca="false">FC_CRONOGRAMA!AO9*FC_SUPUESTOS!$C$89</f>
        <v>0</v>
      </c>
      <c r="AP46" s="380" t="n">
        <f aca="false">FC_CRONOGRAMA!AP9*FC_SUPUESTOS!$C$89</f>
        <v>0</v>
      </c>
      <c r="AQ46" s="380" t="n">
        <f aca="false">FC_CRONOGRAMA!AQ9*FC_SUPUESTOS!$C$89</f>
        <v>0</v>
      </c>
      <c r="AR46" s="380" t="n">
        <f aca="false">FC_CRONOGRAMA!AR9*FC_SUPUESTOS!$C$89</f>
        <v>0</v>
      </c>
      <c r="AS46" s="380" t="n">
        <f aca="false">FC_CRONOGRAMA!AS9*FC_SUPUESTOS!$C$89</f>
        <v>0</v>
      </c>
      <c r="AT46" s="380" t="n">
        <f aca="false">FC_CRONOGRAMA!AT9*FC_SUPUESTOS!$C$89</f>
        <v>0</v>
      </c>
      <c r="AU46" s="380" t="n">
        <f aca="false">FC_CRONOGRAMA!AU9*FC_SUPUESTOS!$C$89</f>
        <v>0</v>
      </c>
      <c r="AV46" s="380" t="n">
        <f aca="false">FC_CRONOGRAMA!AV9*FC_SUPUESTOS!$C$89</f>
        <v>0</v>
      </c>
      <c r="AW46" s="380" t="n">
        <f aca="false">FC_CRONOGRAMA!AW9*FC_SUPUESTOS!$C$89</f>
        <v>0</v>
      </c>
      <c r="AX46" s="380" t="n">
        <f aca="false">FC_CRONOGRAMA!AX9*FC_SUPUESTOS!$C$89</f>
        <v>0</v>
      </c>
      <c r="AY46" s="380" t="n">
        <f aca="false">FC_CRONOGRAMA!AY9*FC_SUPUESTOS!$C$89</f>
        <v>0</v>
      </c>
      <c r="AZ46" s="380" t="n">
        <f aca="false">FC_CRONOGRAMA!AZ9*FC_SUPUESTOS!$C$89</f>
        <v>0</v>
      </c>
      <c r="BA46" s="380" t="n">
        <f aca="false">FC_CRONOGRAMA!BA9*FC_SUPUESTOS!$C$89</f>
        <v>0</v>
      </c>
      <c r="BB46" s="380" t="n">
        <f aca="false">FC_CRONOGRAMA!BB9*FC_SUPUESTOS!$C$89</f>
        <v>0</v>
      </c>
      <c r="BC46" s="380" t="n">
        <f aca="false">FC_CRONOGRAMA!BC9*FC_SUPUESTOS!$C$89</f>
        <v>0</v>
      </c>
      <c r="BD46" s="380" t="n">
        <f aca="false">FC_CRONOGRAMA!BD9*FC_SUPUESTOS!$C$89</f>
        <v>0</v>
      </c>
      <c r="BE46" s="380" t="n">
        <f aca="false">FC_CRONOGRAMA!BE9*FC_SUPUESTOS!$C$89</f>
        <v>0</v>
      </c>
      <c r="BF46" s="380" t="n">
        <f aca="false">FC_CRONOGRAMA!BF9*FC_SUPUESTOS!$C$89</f>
        <v>0</v>
      </c>
      <c r="BG46" s="380" t="n">
        <f aca="false">FC_CRONOGRAMA!BG9*FC_SUPUESTOS!$C$89</f>
        <v>0</v>
      </c>
      <c r="BH46" s="380" t="n">
        <f aca="false">FC_CRONOGRAMA!BH9*FC_SUPUESTOS!$C$89</f>
        <v>0</v>
      </c>
      <c r="BI46" s="380" t="n">
        <f aca="false">FC_CRONOGRAMA!BI9*FC_SUPUESTOS!$C$89</f>
        <v>0</v>
      </c>
      <c r="BJ46" s="380" t="n">
        <f aca="false">FC_CRONOGRAMA!BJ9*FC_SUPUESTOS!$C$89</f>
        <v>0</v>
      </c>
      <c r="BK46" s="380" t="n">
        <f aca="false">FC_CRONOGRAMA!BK9*FC_SUPUESTOS!$C$89</f>
        <v>0</v>
      </c>
    </row>
    <row r="47" customFormat="false" ht="15" hidden="false" customHeight="true" outlineLevel="0" collapsed="false">
      <c r="B47" s="297" t="s">
        <v>2946</v>
      </c>
      <c r="D47" s="380" t="n">
        <f aca="false">FC_SUPUESTOS!$C$90-SUM($E$47:$BK$47)</f>
        <v>0</v>
      </c>
      <c r="E47" s="380" t="n">
        <f aca="false">FC_CRONOGRAMA!E10*FC_SUPUESTOS!$C$90</f>
        <v>0</v>
      </c>
      <c r="F47" s="380" t="n">
        <f aca="false">FC_CRONOGRAMA!F10*FC_SUPUESTOS!$C$90</f>
        <v>0</v>
      </c>
      <c r="G47" s="380" t="n">
        <f aca="false">FC_CRONOGRAMA!G10*FC_SUPUESTOS!$C$90</f>
        <v>0</v>
      </c>
      <c r="H47" s="380" t="n">
        <f aca="false">FC_CRONOGRAMA!H10*FC_SUPUESTOS!$C$90</f>
        <v>0</v>
      </c>
      <c r="I47" s="380" t="n">
        <f aca="false">FC_CRONOGRAMA!I10*FC_SUPUESTOS!$C$90</f>
        <v>0</v>
      </c>
      <c r="J47" s="380" t="n">
        <f aca="false">FC_CRONOGRAMA!J10*FC_SUPUESTOS!$C$90</f>
        <v>101675.982413793</v>
      </c>
      <c r="K47" s="380" t="n">
        <f aca="false">FC_CRONOGRAMA!K10*FC_SUPUESTOS!$C$90</f>
        <v>0</v>
      </c>
      <c r="L47" s="380" t="n">
        <f aca="false">FC_CRONOGRAMA!L10*FC_SUPUESTOS!$C$90</f>
        <v>0</v>
      </c>
      <c r="M47" s="380" t="n">
        <f aca="false">FC_CRONOGRAMA!M10*FC_SUPUESTOS!$C$90</f>
        <v>0</v>
      </c>
      <c r="N47" s="380" t="n">
        <f aca="false">FC_CRONOGRAMA!N10*FC_SUPUESTOS!$C$90</f>
        <v>0</v>
      </c>
      <c r="O47" s="380" t="n">
        <f aca="false">FC_CRONOGRAMA!O10*FC_SUPUESTOS!$C$90</f>
        <v>0</v>
      </c>
      <c r="P47" s="380" t="n">
        <f aca="false">FC_CRONOGRAMA!P10*FC_SUPUESTOS!$C$90</f>
        <v>0</v>
      </c>
      <c r="Q47" s="380" t="n">
        <f aca="false">FC_CRONOGRAMA!Q10*FC_SUPUESTOS!$C$90</f>
        <v>0</v>
      </c>
      <c r="R47" s="380" t="n">
        <f aca="false">FC_CRONOGRAMA!R10*FC_SUPUESTOS!$C$90</f>
        <v>0</v>
      </c>
      <c r="S47" s="380" t="n">
        <f aca="false">FC_CRONOGRAMA!S10*FC_SUPUESTOS!$C$90</f>
        <v>0</v>
      </c>
      <c r="T47" s="380" t="n">
        <f aca="false">FC_CRONOGRAMA!T10*FC_SUPUESTOS!$C$90</f>
        <v>0</v>
      </c>
      <c r="U47" s="380" t="n">
        <f aca="false">FC_CRONOGRAMA!U10*FC_SUPUESTOS!$C$90</f>
        <v>0</v>
      </c>
      <c r="V47" s="380" t="n">
        <f aca="false">FC_CRONOGRAMA!V10*FC_SUPUESTOS!$C$90</f>
        <v>0</v>
      </c>
      <c r="W47" s="380" t="n">
        <f aca="false">FC_CRONOGRAMA!W10*FC_SUPUESTOS!$C$90</f>
        <v>0</v>
      </c>
      <c r="X47" s="380" t="n">
        <f aca="false">FC_CRONOGRAMA!X10*FC_SUPUESTOS!$C$90</f>
        <v>0</v>
      </c>
      <c r="Y47" s="380" t="n">
        <f aca="false">FC_CRONOGRAMA!Y10*FC_SUPUESTOS!$C$90</f>
        <v>0</v>
      </c>
      <c r="Z47" s="380" t="n">
        <f aca="false">FC_CRONOGRAMA!Z10*FC_SUPUESTOS!$C$90</f>
        <v>0</v>
      </c>
      <c r="AA47" s="380" t="n">
        <f aca="false">FC_CRONOGRAMA!AA10*FC_SUPUESTOS!$C$90</f>
        <v>0</v>
      </c>
      <c r="AB47" s="380" t="n">
        <f aca="false">FC_CRONOGRAMA!AB10*FC_SUPUESTOS!$C$90</f>
        <v>0</v>
      </c>
      <c r="AC47" s="380" t="n">
        <f aca="false">FC_CRONOGRAMA!AC10*FC_SUPUESTOS!$C$90</f>
        <v>0</v>
      </c>
      <c r="AD47" s="380" t="n">
        <f aca="false">FC_CRONOGRAMA!AD10*FC_SUPUESTOS!$C$90</f>
        <v>0</v>
      </c>
      <c r="AE47" s="380" t="n">
        <f aca="false">FC_CRONOGRAMA!AE10*FC_SUPUESTOS!$C$90</f>
        <v>0</v>
      </c>
      <c r="AF47" s="380" t="n">
        <f aca="false">FC_CRONOGRAMA!AF10*FC_SUPUESTOS!$C$90</f>
        <v>0</v>
      </c>
      <c r="AG47" s="380" t="n">
        <f aca="false">FC_CRONOGRAMA!AG10*FC_SUPUESTOS!$C$90</f>
        <v>0</v>
      </c>
      <c r="AH47" s="380" t="n">
        <f aca="false">FC_CRONOGRAMA!AH10*FC_SUPUESTOS!$C$90</f>
        <v>0</v>
      </c>
      <c r="AI47" s="380" t="n">
        <f aca="false">FC_CRONOGRAMA!AI10*FC_SUPUESTOS!$C$90</f>
        <v>0</v>
      </c>
      <c r="AJ47" s="380" t="n">
        <f aca="false">FC_CRONOGRAMA!AJ10*FC_SUPUESTOS!$C$90</f>
        <v>0</v>
      </c>
      <c r="AK47" s="380" t="n">
        <f aca="false">FC_CRONOGRAMA!AK10*FC_SUPUESTOS!$C$90</f>
        <v>0</v>
      </c>
      <c r="AL47" s="380" t="n">
        <f aca="false">FC_CRONOGRAMA!AL10*FC_SUPUESTOS!$C$90</f>
        <v>0</v>
      </c>
      <c r="AM47" s="380" t="n">
        <f aca="false">FC_CRONOGRAMA!AM10*FC_SUPUESTOS!$C$90</f>
        <v>0</v>
      </c>
      <c r="AN47" s="380" t="n">
        <f aca="false">FC_CRONOGRAMA!AN10*FC_SUPUESTOS!$C$90</f>
        <v>0</v>
      </c>
      <c r="AO47" s="380" t="n">
        <f aca="false">FC_CRONOGRAMA!AO10*FC_SUPUESTOS!$C$90</f>
        <v>0</v>
      </c>
      <c r="AP47" s="380" t="n">
        <f aca="false">FC_CRONOGRAMA!AP10*FC_SUPUESTOS!$C$90</f>
        <v>0</v>
      </c>
      <c r="AQ47" s="380" t="n">
        <f aca="false">FC_CRONOGRAMA!AQ10*FC_SUPUESTOS!$C$90</f>
        <v>0</v>
      </c>
      <c r="AR47" s="380" t="n">
        <f aca="false">FC_CRONOGRAMA!AR10*FC_SUPUESTOS!$C$90</f>
        <v>0</v>
      </c>
      <c r="AS47" s="380" t="n">
        <f aca="false">FC_CRONOGRAMA!AS10*FC_SUPUESTOS!$C$90</f>
        <v>0</v>
      </c>
      <c r="AT47" s="380" t="n">
        <f aca="false">FC_CRONOGRAMA!AT10*FC_SUPUESTOS!$C$90</f>
        <v>0</v>
      </c>
      <c r="AU47" s="380" t="n">
        <f aca="false">FC_CRONOGRAMA!AU10*FC_SUPUESTOS!$C$90</f>
        <v>0</v>
      </c>
      <c r="AV47" s="380" t="n">
        <f aca="false">FC_CRONOGRAMA!AV10*FC_SUPUESTOS!$C$90</f>
        <v>0</v>
      </c>
      <c r="AW47" s="380" t="n">
        <f aca="false">FC_CRONOGRAMA!AW10*FC_SUPUESTOS!$C$90</f>
        <v>0</v>
      </c>
      <c r="AX47" s="380" t="n">
        <f aca="false">FC_CRONOGRAMA!AX10*FC_SUPUESTOS!$C$90</f>
        <v>0</v>
      </c>
      <c r="AY47" s="380" t="n">
        <f aca="false">FC_CRONOGRAMA!AY10*FC_SUPUESTOS!$C$90</f>
        <v>0</v>
      </c>
      <c r="AZ47" s="380" t="n">
        <f aca="false">FC_CRONOGRAMA!AZ10*FC_SUPUESTOS!$C$90</f>
        <v>0</v>
      </c>
      <c r="BA47" s="380" t="n">
        <f aca="false">FC_CRONOGRAMA!BA10*FC_SUPUESTOS!$C$90</f>
        <v>0</v>
      </c>
      <c r="BB47" s="380" t="n">
        <f aca="false">FC_CRONOGRAMA!BB10*FC_SUPUESTOS!$C$90</f>
        <v>0</v>
      </c>
      <c r="BC47" s="380" t="n">
        <f aca="false">FC_CRONOGRAMA!BC10*FC_SUPUESTOS!$C$90</f>
        <v>0</v>
      </c>
      <c r="BD47" s="380" t="n">
        <f aca="false">FC_CRONOGRAMA!BD10*FC_SUPUESTOS!$C$90</f>
        <v>0</v>
      </c>
      <c r="BE47" s="380" t="n">
        <f aca="false">FC_CRONOGRAMA!BE10*FC_SUPUESTOS!$C$90</f>
        <v>0</v>
      </c>
      <c r="BF47" s="380" t="n">
        <f aca="false">FC_CRONOGRAMA!BF10*FC_SUPUESTOS!$C$90</f>
        <v>0</v>
      </c>
      <c r="BG47" s="380" t="n">
        <f aca="false">FC_CRONOGRAMA!BG10*FC_SUPUESTOS!$C$90</f>
        <v>0</v>
      </c>
      <c r="BH47" s="380" t="n">
        <f aca="false">FC_CRONOGRAMA!BH10*FC_SUPUESTOS!$C$90</f>
        <v>0</v>
      </c>
      <c r="BI47" s="380" t="n">
        <f aca="false">FC_CRONOGRAMA!BI10*FC_SUPUESTOS!$C$90</f>
        <v>0</v>
      </c>
      <c r="BJ47" s="380" t="n">
        <f aca="false">FC_CRONOGRAMA!BJ10*FC_SUPUESTOS!$C$90</f>
        <v>0</v>
      </c>
      <c r="BK47" s="380" t="n">
        <f aca="false">FC_CRONOGRAMA!BK10*FC_SUPUESTOS!$C$90</f>
        <v>0</v>
      </c>
    </row>
    <row r="48" customFormat="false" ht="15" hidden="false" customHeight="true" outlineLevel="0" collapsed="false">
      <c r="B48" s="297" t="s">
        <v>2947</v>
      </c>
      <c r="D48" s="380" t="n">
        <f aca="false">FC_SUPUESTOS!$C$91-SUM($E$48:$BK$48)</f>
        <v>0</v>
      </c>
      <c r="E48" s="380" t="n">
        <f aca="false">FC_CRONOGRAMA!E11*FC_SUPUESTOS!$C$91/FC_SUPUESTOS!$C$21</f>
        <v>0</v>
      </c>
      <c r="F48" s="380" t="n">
        <f aca="false">FC_CRONOGRAMA!F11*FC_SUPUESTOS!$C$91/FC_SUPUESTOS!$C$21</f>
        <v>0</v>
      </c>
      <c r="G48" s="380" t="n">
        <f aca="false">FC_CRONOGRAMA!G11*FC_SUPUESTOS!$C$91/FC_SUPUESTOS!$C$21</f>
        <v>0</v>
      </c>
      <c r="H48" s="380" t="n">
        <f aca="false">FC_CRONOGRAMA!H11*FC_SUPUESTOS!$C$91/FC_SUPUESTOS!$C$21</f>
        <v>0</v>
      </c>
      <c r="I48" s="380" t="n">
        <f aca="false">FC_CRONOGRAMA!I11*FC_SUPUESTOS!$C$91/FC_SUPUESTOS!$C$21</f>
        <v>0</v>
      </c>
      <c r="J48" s="380" t="n">
        <f aca="false">FC_CRONOGRAMA!J11*FC_SUPUESTOS!$C$91/FC_SUPUESTOS!$C$21</f>
        <v>0</v>
      </c>
      <c r="K48" s="380" t="n">
        <f aca="false">FC_CRONOGRAMA!K11*FC_SUPUESTOS!$C$91/FC_SUPUESTOS!$C$21</f>
        <v>22500</v>
      </c>
      <c r="L48" s="380" t="n">
        <f aca="false">FC_CRONOGRAMA!L11*FC_SUPUESTOS!$C$91/FC_SUPUESTOS!$C$21</f>
        <v>22500</v>
      </c>
      <c r="M48" s="380" t="n">
        <f aca="false">FC_CRONOGRAMA!M11*FC_SUPUESTOS!$C$91/FC_SUPUESTOS!$C$21</f>
        <v>0</v>
      </c>
      <c r="N48" s="380" t="n">
        <f aca="false">FC_CRONOGRAMA!N11*FC_SUPUESTOS!$C$91/FC_SUPUESTOS!$C$21</f>
        <v>0</v>
      </c>
      <c r="O48" s="380" t="n">
        <f aca="false">FC_CRONOGRAMA!O11*FC_SUPUESTOS!$C$91/FC_SUPUESTOS!$C$21</f>
        <v>0</v>
      </c>
      <c r="P48" s="380" t="n">
        <f aca="false">FC_CRONOGRAMA!P11*FC_SUPUESTOS!$C$91/FC_SUPUESTOS!$C$21</f>
        <v>0</v>
      </c>
      <c r="Q48" s="380" t="n">
        <f aca="false">FC_CRONOGRAMA!Q11*FC_SUPUESTOS!$C$91/FC_SUPUESTOS!$C$21</f>
        <v>0</v>
      </c>
      <c r="R48" s="380" t="n">
        <f aca="false">FC_CRONOGRAMA!R11*FC_SUPUESTOS!$C$91/FC_SUPUESTOS!$C$21</f>
        <v>0</v>
      </c>
      <c r="S48" s="380" t="n">
        <f aca="false">FC_CRONOGRAMA!S11*FC_SUPUESTOS!$C$91/FC_SUPUESTOS!$C$21</f>
        <v>0</v>
      </c>
      <c r="T48" s="380" t="n">
        <f aca="false">FC_CRONOGRAMA!T11*FC_SUPUESTOS!$C$91/FC_SUPUESTOS!$C$21</f>
        <v>0</v>
      </c>
      <c r="U48" s="380" t="n">
        <f aca="false">FC_CRONOGRAMA!U11*FC_SUPUESTOS!$C$91/FC_SUPUESTOS!$C$21</f>
        <v>0</v>
      </c>
      <c r="V48" s="380" t="n">
        <f aca="false">FC_CRONOGRAMA!V11*FC_SUPUESTOS!$C$91/FC_SUPUESTOS!$C$21</f>
        <v>0</v>
      </c>
      <c r="W48" s="380" t="n">
        <f aca="false">FC_CRONOGRAMA!W11*FC_SUPUESTOS!$C$91/FC_SUPUESTOS!$C$21</f>
        <v>0</v>
      </c>
      <c r="X48" s="380" t="n">
        <f aca="false">FC_CRONOGRAMA!X11*FC_SUPUESTOS!$C$91/FC_SUPUESTOS!$C$21</f>
        <v>0</v>
      </c>
      <c r="Y48" s="380" t="n">
        <f aca="false">FC_CRONOGRAMA!Y11*FC_SUPUESTOS!$C$91/FC_SUPUESTOS!$C$21</f>
        <v>0</v>
      </c>
      <c r="Z48" s="380" t="n">
        <f aca="false">FC_CRONOGRAMA!Z11*FC_SUPUESTOS!$C$91/FC_SUPUESTOS!$C$21</f>
        <v>0</v>
      </c>
      <c r="AA48" s="380" t="n">
        <f aca="false">FC_CRONOGRAMA!AA11*FC_SUPUESTOS!$C$91/FC_SUPUESTOS!$C$21</f>
        <v>0</v>
      </c>
      <c r="AB48" s="380" t="n">
        <f aca="false">FC_CRONOGRAMA!AB11*FC_SUPUESTOS!$C$91/FC_SUPUESTOS!$C$21</f>
        <v>0</v>
      </c>
      <c r="AC48" s="380" t="n">
        <f aca="false">FC_CRONOGRAMA!AC11*FC_SUPUESTOS!$C$91/FC_SUPUESTOS!$C$21</f>
        <v>0</v>
      </c>
      <c r="AD48" s="380" t="n">
        <f aca="false">FC_CRONOGRAMA!AD11*FC_SUPUESTOS!$C$91/FC_SUPUESTOS!$C$21</f>
        <v>0</v>
      </c>
      <c r="AE48" s="380" t="n">
        <f aca="false">FC_CRONOGRAMA!AE11*FC_SUPUESTOS!$C$91/FC_SUPUESTOS!$C$21</f>
        <v>0</v>
      </c>
      <c r="AF48" s="380" t="n">
        <f aca="false">FC_CRONOGRAMA!AF11*FC_SUPUESTOS!$C$91/FC_SUPUESTOS!$C$21</f>
        <v>0</v>
      </c>
      <c r="AG48" s="380" t="n">
        <f aca="false">FC_CRONOGRAMA!AG11*FC_SUPUESTOS!$C$91/FC_SUPUESTOS!$C$21</f>
        <v>0</v>
      </c>
      <c r="AH48" s="380" t="n">
        <f aca="false">FC_CRONOGRAMA!AH11*FC_SUPUESTOS!$C$91/FC_SUPUESTOS!$C$21</f>
        <v>0</v>
      </c>
      <c r="AI48" s="380" t="n">
        <f aca="false">FC_CRONOGRAMA!AI11*FC_SUPUESTOS!$C$91/FC_SUPUESTOS!$C$21</f>
        <v>0</v>
      </c>
      <c r="AJ48" s="380" t="n">
        <f aca="false">FC_CRONOGRAMA!AJ11*FC_SUPUESTOS!$C$91/FC_SUPUESTOS!$C$21</f>
        <v>0</v>
      </c>
      <c r="AK48" s="380" t="n">
        <f aca="false">FC_CRONOGRAMA!AK11*FC_SUPUESTOS!$C$91/FC_SUPUESTOS!$C$21</f>
        <v>0</v>
      </c>
      <c r="AL48" s="380" t="n">
        <f aca="false">FC_CRONOGRAMA!AL11*FC_SUPUESTOS!$C$91/FC_SUPUESTOS!$C$21</f>
        <v>0</v>
      </c>
      <c r="AM48" s="380" t="n">
        <f aca="false">FC_CRONOGRAMA!AM11*FC_SUPUESTOS!$C$91/FC_SUPUESTOS!$C$21</f>
        <v>0</v>
      </c>
      <c r="AN48" s="380" t="n">
        <f aca="false">FC_CRONOGRAMA!AN11*FC_SUPUESTOS!$C$91/FC_SUPUESTOS!$C$21</f>
        <v>0</v>
      </c>
      <c r="AO48" s="380" t="n">
        <f aca="false">FC_CRONOGRAMA!AO11*FC_SUPUESTOS!$C$91/FC_SUPUESTOS!$C$21</f>
        <v>0</v>
      </c>
      <c r="AP48" s="380" t="n">
        <f aca="false">FC_CRONOGRAMA!AP11*FC_SUPUESTOS!$C$91/FC_SUPUESTOS!$C$21</f>
        <v>0</v>
      </c>
      <c r="AQ48" s="380" t="n">
        <f aca="false">FC_CRONOGRAMA!AQ11*FC_SUPUESTOS!$C$91/FC_SUPUESTOS!$C$21</f>
        <v>0</v>
      </c>
      <c r="AR48" s="380" t="n">
        <f aca="false">FC_CRONOGRAMA!AR11*FC_SUPUESTOS!$C$91/FC_SUPUESTOS!$C$21</f>
        <v>0</v>
      </c>
      <c r="AS48" s="380" t="n">
        <f aca="false">FC_CRONOGRAMA!AS11*FC_SUPUESTOS!$C$91/FC_SUPUESTOS!$C$21</f>
        <v>0</v>
      </c>
      <c r="AT48" s="380" t="n">
        <f aca="false">FC_CRONOGRAMA!AT11*FC_SUPUESTOS!$C$91/FC_SUPUESTOS!$C$21</f>
        <v>0</v>
      </c>
      <c r="AU48" s="380" t="n">
        <f aca="false">FC_CRONOGRAMA!AU11*FC_SUPUESTOS!$C$91/FC_SUPUESTOS!$C$21</f>
        <v>0</v>
      </c>
      <c r="AV48" s="380" t="n">
        <f aca="false">FC_CRONOGRAMA!AV11*FC_SUPUESTOS!$C$91/FC_SUPUESTOS!$C$21</f>
        <v>0</v>
      </c>
      <c r="AW48" s="380" t="n">
        <f aca="false">FC_CRONOGRAMA!AW11*FC_SUPUESTOS!$C$91/FC_SUPUESTOS!$C$21</f>
        <v>0</v>
      </c>
      <c r="AX48" s="380" t="n">
        <f aca="false">FC_CRONOGRAMA!AX11*FC_SUPUESTOS!$C$91/FC_SUPUESTOS!$C$21</f>
        <v>0</v>
      </c>
      <c r="AY48" s="380" t="n">
        <f aca="false">FC_CRONOGRAMA!AY11*FC_SUPUESTOS!$C$91/FC_SUPUESTOS!$C$21</f>
        <v>0</v>
      </c>
      <c r="AZ48" s="380" t="n">
        <f aca="false">FC_CRONOGRAMA!AZ11*FC_SUPUESTOS!$C$91/FC_SUPUESTOS!$C$21</f>
        <v>0</v>
      </c>
      <c r="BA48" s="380" t="n">
        <f aca="false">FC_CRONOGRAMA!BA11*FC_SUPUESTOS!$C$91/FC_SUPUESTOS!$C$21</f>
        <v>0</v>
      </c>
      <c r="BB48" s="380" t="n">
        <f aca="false">FC_CRONOGRAMA!BB11*FC_SUPUESTOS!$C$91/FC_SUPUESTOS!$C$21</f>
        <v>0</v>
      </c>
      <c r="BC48" s="380" t="n">
        <f aca="false">FC_CRONOGRAMA!BC11*FC_SUPUESTOS!$C$91/FC_SUPUESTOS!$C$21</f>
        <v>0</v>
      </c>
      <c r="BD48" s="380" t="n">
        <f aca="false">FC_CRONOGRAMA!BD11*FC_SUPUESTOS!$C$91/FC_SUPUESTOS!$C$21</f>
        <v>0</v>
      </c>
      <c r="BE48" s="380" t="n">
        <f aca="false">FC_CRONOGRAMA!BE11*FC_SUPUESTOS!$C$91/FC_SUPUESTOS!$C$21</f>
        <v>0</v>
      </c>
      <c r="BF48" s="380" t="n">
        <f aca="false">FC_CRONOGRAMA!BF11*FC_SUPUESTOS!$C$91/FC_SUPUESTOS!$C$21</f>
        <v>0</v>
      </c>
      <c r="BG48" s="380" t="n">
        <f aca="false">FC_CRONOGRAMA!BG11*FC_SUPUESTOS!$C$91/FC_SUPUESTOS!$C$21</f>
        <v>0</v>
      </c>
      <c r="BH48" s="380" t="n">
        <f aca="false">FC_CRONOGRAMA!BH11*FC_SUPUESTOS!$C$91/FC_SUPUESTOS!$C$21</f>
        <v>0</v>
      </c>
      <c r="BI48" s="380" t="n">
        <f aca="false">FC_CRONOGRAMA!BI11*FC_SUPUESTOS!$C$91/FC_SUPUESTOS!$C$21</f>
        <v>0</v>
      </c>
      <c r="BJ48" s="380" t="n">
        <f aca="false">FC_CRONOGRAMA!BJ11*FC_SUPUESTOS!$C$91/FC_SUPUESTOS!$C$21</f>
        <v>0</v>
      </c>
      <c r="BK48" s="380" t="n">
        <f aca="false">FC_CRONOGRAMA!BK11*FC_SUPUESTOS!$C$91/FC_SUPUESTOS!$C$21</f>
        <v>0</v>
      </c>
    </row>
    <row r="49" customFormat="false" ht="15" hidden="false" customHeight="true" outlineLevel="0" collapsed="false">
      <c r="B49" s="297" t="s">
        <v>2948</v>
      </c>
      <c r="D49" s="380" t="n">
        <f aca="false">FC_SUPUESTOS!$C$92-SUM($E$49:$BK$49)</f>
        <v>0</v>
      </c>
      <c r="E49" s="380" t="n">
        <f aca="false">FC_CRONOGRAMA!E11*FC_SUPUESTOS!$C$92/FC_SUPUESTOS!$C$21</f>
        <v>0</v>
      </c>
      <c r="F49" s="380" t="n">
        <f aca="false">FC_CRONOGRAMA!F11*FC_SUPUESTOS!$C$92/FC_SUPUESTOS!$C$21</f>
        <v>0</v>
      </c>
      <c r="G49" s="380" t="n">
        <f aca="false">FC_CRONOGRAMA!G11*FC_SUPUESTOS!$C$92/FC_SUPUESTOS!$C$21</f>
        <v>0</v>
      </c>
      <c r="H49" s="380" t="n">
        <f aca="false">FC_CRONOGRAMA!H11*FC_SUPUESTOS!$C$92/FC_SUPUESTOS!$C$21</f>
        <v>0</v>
      </c>
      <c r="I49" s="380" t="n">
        <f aca="false">FC_CRONOGRAMA!I11*FC_SUPUESTOS!$C$92/FC_SUPUESTOS!$C$21</f>
        <v>0</v>
      </c>
      <c r="J49" s="380" t="n">
        <f aca="false">FC_CRONOGRAMA!J11*FC_SUPUESTOS!$C$92/FC_SUPUESTOS!$C$21</f>
        <v>0</v>
      </c>
      <c r="K49" s="380" t="n">
        <f aca="false">FC_CRONOGRAMA!K11*FC_SUPUESTOS!$C$92/FC_SUPUESTOS!$C$21</f>
        <v>20320.29</v>
      </c>
      <c r="L49" s="380" t="n">
        <f aca="false">FC_CRONOGRAMA!L11*FC_SUPUESTOS!$C$92/FC_SUPUESTOS!$C$21</f>
        <v>20320.29</v>
      </c>
      <c r="M49" s="380" t="n">
        <f aca="false">FC_CRONOGRAMA!M11*FC_SUPUESTOS!$C$92/FC_SUPUESTOS!$C$21</f>
        <v>0</v>
      </c>
      <c r="N49" s="380" t="n">
        <f aca="false">FC_CRONOGRAMA!N11*FC_SUPUESTOS!$C$92/FC_SUPUESTOS!$C$21</f>
        <v>0</v>
      </c>
      <c r="O49" s="380" t="n">
        <f aca="false">FC_CRONOGRAMA!O11*FC_SUPUESTOS!$C$92/FC_SUPUESTOS!$C$21</f>
        <v>0</v>
      </c>
      <c r="P49" s="380" t="n">
        <f aca="false">FC_CRONOGRAMA!P11*FC_SUPUESTOS!$C$92/FC_SUPUESTOS!$C$21</f>
        <v>0</v>
      </c>
      <c r="Q49" s="380" t="n">
        <f aca="false">FC_CRONOGRAMA!Q11*FC_SUPUESTOS!$C$92/FC_SUPUESTOS!$C$21</f>
        <v>0</v>
      </c>
      <c r="R49" s="380" t="n">
        <f aca="false">FC_CRONOGRAMA!R11*FC_SUPUESTOS!$C$92/FC_SUPUESTOS!$C$21</f>
        <v>0</v>
      </c>
      <c r="S49" s="380" t="n">
        <f aca="false">FC_CRONOGRAMA!S11*FC_SUPUESTOS!$C$92/FC_SUPUESTOS!$C$21</f>
        <v>0</v>
      </c>
      <c r="T49" s="380" t="n">
        <f aca="false">FC_CRONOGRAMA!T11*FC_SUPUESTOS!$C$92/FC_SUPUESTOS!$C$21</f>
        <v>0</v>
      </c>
      <c r="U49" s="380" t="n">
        <f aca="false">FC_CRONOGRAMA!U11*FC_SUPUESTOS!$C$92/FC_SUPUESTOS!$C$21</f>
        <v>0</v>
      </c>
      <c r="V49" s="380" t="n">
        <f aca="false">FC_CRONOGRAMA!V11*FC_SUPUESTOS!$C$92/FC_SUPUESTOS!$C$21</f>
        <v>0</v>
      </c>
      <c r="W49" s="380" t="n">
        <f aca="false">FC_CRONOGRAMA!W11*FC_SUPUESTOS!$C$92/FC_SUPUESTOS!$C$21</f>
        <v>0</v>
      </c>
      <c r="X49" s="380" t="n">
        <f aca="false">FC_CRONOGRAMA!X11*FC_SUPUESTOS!$C$92/FC_SUPUESTOS!$C$21</f>
        <v>0</v>
      </c>
      <c r="Y49" s="380" t="n">
        <f aca="false">FC_CRONOGRAMA!Y11*FC_SUPUESTOS!$C$92/FC_SUPUESTOS!$C$21</f>
        <v>0</v>
      </c>
      <c r="Z49" s="380" t="n">
        <f aca="false">FC_CRONOGRAMA!Z11*FC_SUPUESTOS!$C$92/FC_SUPUESTOS!$C$21</f>
        <v>0</v>
      </c>
      <c r="AA49" s="380" t="n">
        <f aca="false">FC_CRONOGRAMA!AA11*FC_SUPUESTOS!$C$92/FC_SUPUESTOS!$C$21</f>
        <v>0</v>
      </c>
      <c r="AB49" s="380" t="n">
        <f aca="false">FC_CRONOGRAMA!AB11*FC_SUPUESTOS!$C$92/FC_SUPUESTOS!$C$21</f>
        <v>0</v>
      </c>
      <c r="AC49" s="380" t="n">
        <f aca="false">FC_CRONOGRAMA!AC11*FC_SUPUESTOS!$C$92/FC_SUPUESTOS!$C$21</f>
        <v>0</v>
      </c>
      <c r="AD49" s="380" t="n">
        <f aca="false">FC_CRONOGRAMA!AD11*FC_SUPUESTOS!$C$92/FC_SUPUESTOS!$C$21</f>
        <v>0</v>
      </c>
      <c r="AE49" s="380" t="n">
        <f aca="false">FC_CRONOGRAMA!AE11*FC_SUPUESTOS!$C$92/FC_SUPUESTOS!$C$21</f>
        <v>0</v>
      </c>
      <c r="AF49" s="380" t="n">
        <f aca="false">FC_CRONOGRAMA!AF11*FC_SUPUESTOS!$C$92/FC_SUPUESTOS!$C$21</f>
        <v>0</v>
      </c>
      <c r="AG49" s="380" t="n">
        <f aca="false">FC_CRONOGRAMA!AG11*FC_SUPUESTOS!$C$92/FC_SUPUESTOS!$C$21</f>
        <v>0</v>
      </c>
      <c r="AH49" s="380" t="n">
        <f aca="false">FC_CRONOGRAMA!AH11*FC_SUPUESTOS!$C$92/FC_SUPUESTOS!$C$21</f>
        <v>0</v>
      </c>
      <c r="AI49" s="380" t="n">
        <f aca="false">FC_CRONOGRAMA!AI11*FC_SUPUESTOS!$C$92/FC_SUPUESTOS!$C$21</f>
        <v>0</v>
      </c>
      <c r="AJ49" s="380" t="n">
        <f aca="false">FC_CRONOGRAMA!AJ11*FC_SUPUESTOS!$C$92/FC_SUPUESTOS!$C$21</f>
        <v>0</v>
      </c>
      <c r="AK49" s="380" t="n">
        <f aca="false">FC_CRONOGRAMA!AK11*FC_SUPUESTOS!$C$92/FC_SUPUESTOS!$C$21</f>
        <v>0</v>
      </c>
      <c r="AL49" s="380" t="n">
        <f aca="false">FC_CRONOGRAMA!AL11*FC_SUPUESTOS!$C$92/FC_SUPUESTOS!$C$21</f>
        <v>0</v>
      </c>
      <c r="AM49" s="380" t="n">
        <f aca="false">FC_CRONOGRAMA!AM11*FC_SUPUESTOS!$C$92/FC_SUPUESTOS!$C$21</f>
        <v>0</v>
      </c>
      <c r="AN49" s="380" t="n">
        <f aca="false">FC_CRONOGRAMA!AN11*FC_SUPUESTOS!$C$92/FC_SUPUESTOS!$C$21</f>
        <v>0</v>
      </c>
      <c r="AO49" s="380" t="n">
        <f aca="false">FC_CRONOGRAMA!AO11*FC_SUPUESTOS!$C$92/FC_SUPUESTOS!$C$21</f>
        <v>0</v>
      </c>
      <c r="AP49" s="380" t="n">
        <f aca="false">FC_CRONOGRAMA!AP11*FC_SUPUESTOS!$C$92/FC_SUPUESTOS!$C$21</f>
        <v>0</v>
      </c>
      <c r="AQ49" s="380" t="n">
        <f aca="false">FC_CRONOGRAMA!AQ11*FC_SUPUESTOS!$C$92/FC_SUPUESTOS!$C$21</f>
        <v>0</v>
      </c>
      <c r="AR49" s="380" t="n">
        <f aca="false">FC_CRONOGRAMA!AR11*FC_SUPUESTOS!$C$92/FC_SUPUESTOS!$C$21</f>
        <v>0</v>
      </c>
      <c r="AS49" s="380" t="n">
        <f aca="false">FC_CRONOGRAMA!AS11*FC_SUPUESTOS!$C$92/FC_SUPUESTOS!$C$21</f>
        <v>0</v>
      </c>
      <c r="AT49" s="380" t="n">
        <f aca="false">FC_CRONOGRAMA!AT11*FC_SUPUESTOS!$C$92/FC_SUPUESTOS!$C$21</f>
        <v>0</v>
      </c>
      <c r="AU49" s="380" t="n">
        <f aca="false">FC_CRONOGRAMA!AU11*FC_SUPUESTOS!$C$92/FC_SUPUESTOS!$C$21</f>
        <v>0</v>
      </c>
      <c r="AV49" s="380" t="n">
        <f aca="false">FC_CRONOGRAMA!AV11*FC_SUPUESTOS!$C$92/FC_SUPUESTOS!$C$21</f>
        <v>0</v>
      </c>
      <c r="AW49" s="380" t="n">
        <f aca="false">FC_CRONOGRAMA!AW11*FC_SUPUESTOS!$C$92/FC_SUPUESTOS!$C$21</f>
        <v>0</v>
      </c>
      <c r="AX49" s="380" t="n">
        <f aca="false">FC_CRONOGRAMA!AX11*FC_SUPUESTOS!$C$92/FC_SUPUESTOS!$C$21</f>
        <v>0</v>
      </c>
      <c r="AY49" s="380" t="n">
        <f aca="false">FC_CRONOGRAMA!AY11*FC_SUPUESTOS!$C$92/FC_SUPUESTOS!$C$21</f>
        <v>0</v>
      </c>
      <c r="AZ49" s="380" t="n">
        <f aca="false">FC_CRONOGRAMA!AZ11*FC_SUPUESTOS!$C$92/FC_SUPUESTOS!$C$21</f>
        <v>0</v>
      </c>
      <c r="BA49" s="380" t="n">
        <f aca="false">FC_CRONOGRAMA!BA11*FC_SUPUESTOS!$C$92/FC_SUPUESTOS!$C$21</f>
        <v>0</v>
      </c>
      <c r="BB49" s="380" t="n">
        <f aca="false">FC_CRONOGRAMA!BB11*FC_SUPUESTOS!$C$92/FC_SUPUESTOS!$C$21</f>
        <v>0</v>
      </c>
      <c r="BC49" s="380" t="n">
        <f aca="false">FC_CRONOGRAMA!BC11*FC_SUPUESTOS!$C$92/FC_SUPUESTOS!$C$21</f>
        <v>0</v>
      </c>
      <c r="BD49" s="380" t="n">
        <f aca="false">FC_CRONOGRAMA!BD11*FC_SUPUESTOS!$C$92/FC_SUPUESTOS!$C$21</f>
        <v>0</v>
      </c>
      <c r="BE49" s="380" t="n">
        <f aca="false">FC_CRONOGRAMA!BE11*FC_SUPUESTOS!$C$92/FC_SUPUESTOS!$C$21</f>
        <v>0</v>
      </c>
      <c r="BF49" s="380" t="n">
        <f aca="false">FC_CRONOGRAMA!BF11*FC_SUPUESTOS!$C$92/FC_SUPUESTOS!$C$21</f>
        <v>0</v>
      </c>
      <c r="BG49" s="380" t="n">
        <f aca="false">FC_CRONOGRAMA!BG11*FC_SUPUESTOS!$C$92/FC_SUPUESTOS!$C$21</f>
        <v>0</v>
      </c>
      <c r="BH49" s="380" t="n">
        <f aca="false">FC_CRONOGRAMA!BH11*FC_SUPUESTOS!$C$92/FC_SUPUESTOS!$C$21</f>
        <v>0</v>
      </c>
      <c r="BI49" s="380" t="n">
        <f aca="false">FC_CRONOGRAMA!BI11*FC_SUPUESTOS!$C$92/FC_SUPUESTOS!$C$21</f>
        <v>0</v>
      </c>
      <c r="BJ49" s="380" t="n">
        <f aca="false">FC_CRONOGRAMA!BJ11*FC_SUPUESTOS!$C$92/FC_SUPUESTOS!$C$21</f>
        <v>0</v>
      </c>
      <c r="BK49" s="380" t="n">
        <f aca="false">FC_CRONOGRAMA!BK11*FC_SUPUESTOS!$C$92/FC_SUPUESTOS!$C$21</f>
        <v>0</v>
      </c>
    </row>
    <row r="50" customFormat="false" ht="15" hidden="false" customHeight="true" outlineLevel="0" collapsed="false">
      <c r="B50" s="297" t="s">
        <v>2949</v>
      </c>
      <c r="D50" s="380" t="n">
        <f aca="false">FC_SUPUESTOS!$C$93-SUM($E$50:$BK$50)</f>
        <v>0</v>
      </c>
      <c r="E50" s="380" t="n">
        <f aca="false">FC_CRONOGRAMA!E12*FC_SUPUESTOS!$C$93/(FC_SUPUESTOS!$C$21+1)</f>
        <v>0</v>
      </c>
      <c r="F50" s="380" t="n">
        <f aca="false">FC_CRONOGRAMA!F12*FC_SUPUESTOS!$C$93/(FC_SUPUESTOS!$C$21+1)</f>
        <v>0</v>
      </c>
      <c r="G50" s="380" t="n">
        <f aca="false">FC_CRONOGRAMA!G12*FC_SUPUESTOS!$C$93/(FC_SUPUESTOS!$C$21+1)</f>
        <v>0</v>
      </c>
      <c r="H50" s="380" t="n">
        <f aca="false">FC_CRONOGRAMA!H12*FC_SUPUESTOS!$C$93/(FC_SUPUESTOS!$C$21+1)</f>
        <v>0</v>
      </c>
      <c r="I50" s="380" t="n">
        <f aca="false">FC_CRONOGRAMA!I12*FC_SUPUESTOS!$C$93/(FC_SUPUESTOS!$C$21+1)</f>
        <v>0</v>
      </c>
      <c r="J50" s="380" t="n">
        <f aca="false">FC_CRONOGRAMA!J12*FC_SUPUESTOS!$C$93/(FC_SUPUESTOS!$C$21+1)</f>
        <v>8000</v>
      </c>
      <c r="K50" s="380" t="n">
        <f aca="false">FC_CRONOGRAMA!K12*FC_SUPUESTOS!$C$93/(FC_SUPUESTOS!$C$21+1)</f>
        <v>8000</v>
      </c>
      <c r="L50" s="380" t="n">
        <f aca="false">FC_CRONOGRAMA!L12*FC_SUPUESTOS!$C$93/(FC_SUPUESTOS!$C$21+1)</f>
        <v>8000</v>
      </c>
      <c r="M50" s="380" t="n">
        <f aca="false">FC_CRONOGRAMA!M12*FC_SUPUESTOS!$C$93/(FC_SUPUESTOS!$C$21+1)</f>
        <v>0</v>
      </c>
      <c r="N50" s="380" t="n">
        <f aca="false">FC_CRONOGRAMA!N12*FC_SUPUESTOS!$C$93/(FC_SUPUESTOS!$C$21+1)</f>
        <v>0</v>
      </c>
      <c r="O50" s="380" t="n">
        <f aca="false">FC_CRONOGRAMA!O12*FC_SUPUESTOS!$C$93/(FC_SUPUESTOS!$C$21+1)</f>
        <v>0</v>
      </c>
      <c r="P50" s="380" t="n">
        <f aca="false">FC_CRONOGRAMA!P12*FC_SUPUESTOS!$C$93/(FC_SUPUESTOS!$C$21+1)</f>
        <v>0</v>
      </c>
      <c r="Q50" s="380" t="n">
        <f aca="false">FC_CRONOGRAMA!Q12*FC_SUPUESTOS!$C$93/(FC_SUPUESTOS!$C$21+1)</f>
        <v>0</v>
      </c>
      <c r="R50" s="380" t="n">
        <f aca="false">FC_CRONOGRAMA!R12*FC_SUPUESTOS!$C$93/(FC_SUPUESTOS!$C$21+1)</f>
        <v>0</v>
      </c>
      <c r="S50" s="380" t="n">
        <f aca="false">FC_CRONOGRAMA!S12*FC_SUPUESTOS!$C$93/(FC_SUPUESTOS!$C$21+1)</f>
        <v>0</v>
      </c>
      <c r="T50" s="380" t="n">
        <f aca="false">FC_CRONOGRAMA!T12*FC_SUPUESTOS!$C$93/(FC_SUPUESTOS!$C$21+1)</f>
        <v>0</v>
      </c>
      <c r="U50" s="380" t="n">
        <f aca="false">FC_CRONOGRAMA!U12*FC_SUPUESTOS!$C$93/(FC_SUPUESTOS!$C$21+1)</f>
        <v>0</v>
      </c>
      <c r="V50" s="380" t="n">
        <f aca="false">FC_CRONOGRAMA!V12*FC_SUPUESTOS!$C$93/(FC_SUPUESTOS!$C$21+1)</f>
        <v>0</v>
      </c>
      <c r="W50" s="380" t="n">
        <f aca="false">FC_CRONOGRAMA!W12*FC_SUPUESTOS!$C$93/(FC_SUPUESTOS!$C$21+1)</f>
        <v>0</v>
      </c>
      <c r="X50" s="380" t="n">
        <f aca="false">FC_CRONOGRAMA!X12*FC_SUPUESTOS!$C$93/(FC_SUPUESTOS!$C$21+1)</f>
        <v>0</v>
      </c>
      <c r="Y50" s="380" t="n">
        <f aca="false">FC_CRONOGRAMA!Y12*FC_SUPUESTOS!$C$93/(FC_SUPUESTOS!$C$21+1)</f>
        <v>0</v>
      </c>
      <c r="Z50" s="380" t="n">
        <f aca="false">FC_CRONOGRAMA!Z12*FC_SUPUESTOS!$C$93/(FC_SUPUESTOS!$C$21+1)</f>
        <v>0</v>
      </c>
      <c r="AA50" s="380" t="n">
        <f aca="false">FC_CRONOGRAMA!AA12*FC_SUPUESTOS!$C$93/(FC_SUPUESTOS!$C$21+1)</f>
        <v>0</v>
      </c>
      <c r="AB50" s="380" t="n">
        <f aca="false">FC_CRONOGRAMA!AB12*FC_SUPUESTOS!$C$93/(FC_SUPUESTOS!$C$21+1)</f>
        <v>0</v>
      </c>
      <c r="AC50" s="380" t="n">
        <f aca="false">FC_CRONOGRAMA!AC12*FC_SUPUESTOS!$C$93/(FC_SUPUESTOS!$C$21+1)</f>
        <v>0</v>
      </c>
      <c r="AD50" s="380" t="n">
        <f aca="false">FC_CRONOGRAMA!AD12*FC_SUPUESTOS!$C$93/(FC_SUPUESTOS!$C$21+1)</f>
        <v>0</v>
      </c>
      <c r="AE50" s="380" t="n">
        <f aca="false">FC_CRONOGRAMA!AE12*FC_SUPUESTOS!$C$93/(FC_SUPUESTOS!$C$21+1)</f>
        <v>0</v>
      </c>
      <c r="AF50" s="380" t="n">
        <f aca="false">FC_CRONOGRAMA!AF12*FC_SUPUESTOS!$C$93/(FC_SUPUESTOS!$C$21+1)</f>
        <v>0</v>
      </c>
      <c r="AG50" s="380" t="n">
        <f aca="false">FC_CRONOGRAMA!AG12*FC_SUPUESTOS!$C$93/(FC_SUPUESTOS!$C$21+1)</f>
        <v>0</v>
      </c>
      <c r="AH50" s="380" t="n">
        <f aca="false">FC_CRONOGRAMA!AH12*FC_SUPUESTOS!$C$93/(FC_SUPUESTOS!$C$21+1)</f>
        <v>0</v>
      </c>
      <c r="AI50" s="380" t="n">
        <f aca="false">FC_CRONOGRAMA!AI12*FC_SUPUESTOS!$C$93/(FC_SUPUESTOS!$C$21+1)</f>
        <v>0</v>
      </c>
      <c r="AJ50" s="380" t="n">
        <f aca="false">FC_CRONOGRAMA!AJ12*FC_SUPUESTOS!$C$93/(FC_SUPUESTOS!$C$21+1)</f>
        <v>0</v>
      </c>
      <c r="AK50" s="380" t="n">
        <f aca="false">FC_CRONOGRAMA!AK12*FC_SUPUESTOS!$C$93/(FC_SUPUESTOS!$C$21+1)</f>
        <v>0</v>
      </c>
      <c r="AL50" s="380" t="n">
        <f aca="false">FC_CRONOGRAMA!AL12*FC_SUPUESTOS!$C$93/(FC_SUPUESTOS!$C$21+1)</f>
        <v>0</v>
      </c>
      <c r="AM50" s="380" t="n">
        <f aca="false">FC_CRONOGRAMA!AM12*FC_SUPUESTOS!$C$93/(FC_SUPUESTOS!$C$21+1)</f>
        <v>0</v>
      </c>
      <c r="AN50" s="380" t="n">
        <f aca="false">FC_CRONOGRAMA!AN12*FC_SUPUESTOS!$C$93/(FC_SUPUESTOS!$C$21+1)</f>
        <v>0</v>
      </c>
      <c r="AO50" s="380" t="n">
        <f aca="false">FC_CRONOGRAMA!AO12*FC_SUPUESTOS!$C$93/(FC_SUPUESTOS!$C$21+1)</f>
        <v>0</v>
      </c>
      <c r="AP50" s="380" t="n">
        <f aca="false">FC_CRONOGRAMA!AP12*FC_SUPUESTOS!$C$93/(FC_SUPUESTOS!$C$21+1)</f>
        <v>0</v>
      </c>
      <c r="AQ50" s="380" t="n">
        <f aca="false">FC_CRONOGRAMA!AQ12*FC_SUPUESTOS!$C$93/(FC_SUPUESTOS!$C$21+1)</f>
        <v>0</v>
      </c>
      <c r="AR50" s="380" t="n">
        <f aca="false">FC_CRONOGRAMA!AR12*FC_SUPUESTOS!$C$93/(FC_SUPUESTOS!$C$21+1)</f>
        <v>0</v>
      </c>
      <c r="AS50" s="380" t="n">
        <f aca="false">FC_CRONOGRAMA!AS12*FC_SUPUESTOS!$C$93/(FC_SUPUESTOS!$C$21+1)</f>
        <v>0</v>
      </c>
      <c r="AT50" s="380" t="n">
        <f aca="false">FC_CRONOGRAMA!AT12*FC_SUPUESTOS!$C$93/(FC_SUPUESTOS!$C$21+1)</f>
        <v>0</v>
      </c>
      <c r="AU50" s="380" t="n">
        <f aca="false">FC_CRONOGRAMA!AU12*FC_SUPUESTOS!$C$93/(FC_SUPUESTOS!$C$21+1)</f>
        <v>0</v>
      </c>
      <c r="AV50" s="380" t="n">
        <f aca="false">FC_CRONOGRAMA!AV12*FC_SUPUESTOS!$C$93/(FC_SUPUESTOS!$C$21+1)</f>
        <v>0</v>
      </c>
      <c r="AW50" s="380" t="n">
        <f aca="false">FC_CRONOGRAMA!AW12*FC_SUPUESTOS!$C$93/(FC_SUPUESTOS!$C$21+1)</f>
        <v>0</v>
      </c>
      <c r="AX50" s="380" t="n">
        <f aca="false">FC_CRONOGRAMA!AX12*FC_SUPUESTOS!$C$93/(FC_SUPUESTOS!$C$21+1)</f>
        <v>0</v>
      </c>
      <c r="AY50" s="380" t="n">
        <f aca="false">FC_CRONOGRAMA!AY12*FC_SUPUESTOS!$C$93/(FC_SUPUESTOS!$C$21+1)</f>
        <v>0</v>
      </c>
      <c r="AZ50" s="380" t="n">
        <f aca="false">FC_CRONOGRAMA!AZ12*FC_SUPUESTOS!$C$93/(FC_SUPUESTOS!$C$21+1)</f>
        <v>0</v>
      </c>
      <c r="BA50" s="380" t="n">
        <f aca="false">FC_CRONOGRAMA!BA12*FC_SUPUESTOS!$C$93/(FC_SUPUESTOS!$C$21+1)</f>
        <v>0</v>
      </c>
      <c r="BB50" s="380" t="n">
        <f aca="false">FC_CRONOGRAMA!BB12*FC_SUPUESTOS!$C$93/(FC_SUPUESTOS!$C$21+1)</f>
        <v>0</v>
      </c>
      <c r="BC50" s="380" t="n">
        <f aca="false">FC_CRONOGRAMA!BC12*FC_SUPUESTOS!$C$93/(FC_SUPUESTOS!$C$21+1)</f>
        <v>0</v>
      </c>
      <c r="BD50" s="380" t="n">
        <f aca="false">FC_CRONOGRAMA!BD12*FC_SUPUESTOS!$C$93/(FC_SUPUESTOS!$C$21+1)</f>
        <v>0</v>
      </c>
      <c r="BE50" s="380" t="n">
        <f aca="false">FC_CRONOGRAMA!BE12*FC_SUPUESTOS!$C$93/(FC_SUPUESTOS!$C$21+1)</f>
        <v>0</v>
      </c>
      <c r="BF50" s="380" t="n">
        <f aca="false">FC_CRONOGRAMA!BF12*FC_SUPUESTOS!$C$93/(FC_SUPUESTOS!$C$21+1)</f>
        <v>0</v>
      </c>
      <c r="BG50" s="380" t="n">
        <f aca="false">FC_CRONOGRAMA!BG12*FC_SUPUESTOS!$C$93/(FC_SUPUESTOS!$C$21+1)</f>
        <v>0</v>
      </c>
      <c r="BH50" s="380" t="n">
        <f aca="false">FC_CRONOGRAMA!BH12*FC_SUPUESTOS!$C$93/(FC_SUPUESTOS!$C$21+1)</f>
        <v>0</v>
      </c>
      <c r="BI50" s="380" t="n">
        <f aca="false">FC_CRONOGRAMA!BI12*FC_SUPUESTOS!$C$93/(FC_SUPUESTOS!$C$21+1)</f>
        <v>0</v>
      </c>
      <c r="BJ50" s="380" t="n">
        <f aca="false">FC_CRONOGRAMA!BJ12*FC_SUPUESTOS!$C$93/(FC_SUPUESTOS!$C$21+1)</f>
        <v>0</v>
      </c>
      <c r="BK50" s="380" t="n">
        <f aca="false">FC_CRONOGRAMA!BK12*FC_SUPUESTOS!$C$93/(FC_SUPUESTOS!$C$21+1)</f>
        <v>0</v>
      </c>
    </row>
    <row r="51" customFormat="false" ht="15" hidden="false" customHeight="true" outlineLevel="0" collapsed="false">
      <c r="B51" s="297" t="s">
        <v>2950</v>
      </c>
      <c r="D51" s="380" t="n">
        <f aca="false">FC_SUPUESTOS!$C$94-SUM($E$51:$BK$51)</f>
        <v>0</v>
      </c>
      <c r="E51" s="380" t="n">
        <f aca="false">IF(E$5=MAX(1,FC_SUPUESTOS!$C$23-1),FC_SUPUESTOS!$C$94,0)</f>
        <v>0</v>
      </c>
      <c r="F51" s="380" t="n">
        <f aca="false">IF(F$5=MAX(1,FC_SUPUESTOS!$C$23-1),FC_SUPUESTOS!$C$94,0)</f>
        <v>0</v>
      </c>
      <c r="G51" s="380" t="n">
        <f aca="false">IF(G$5=MAX(1,FC_SUPUESTOS!$C$23-1),FC_SUPUESTOS!$C$94,0)</f>
        <v>0</v>
      </c>
      <c r="H51" s="380" t="n">
        <f aca="false">IF(H$5=MAX(1,FC_SUPUESTOS!$C$23-1),FC_SUPUESTOS!$C$94,0)</f>
        <v>0</v>
      </c>
      <c r="I51" s="380" t="n">
        <f aca="false">IF(I$5=MAX(1,FC_SUPUESTOS!$C$23-1),FC_SUPUESTOS!$C$94,0)</f>
        <v>0</v>
      </c>
      <c r="J51" s="380" t="n">
        <f aca="false">IF(J$5=MAX(1,FC_SUPUESTOS!$C$23-1),FC_SUPUESTOS!$C$94,0)</f>
        <v>0</v>
      </c>
      <c r="K51" s="380" t="n">
        <f aca="false">IF(K$5=MAX(1,FC_SUPUESTOS!$C$23-1),FC_SUPUESTOS!$C$94,0)</f>
        <v>0</v>
      </c>
      <c r="L51" s="380" t="n">
        <f aca="false">IF(L$5=MAX(1,FC_SUPUESTOS!$C$23-1),FC_SUPUESTOS!$C$94,0)</f>
        <v>35000</v>
      </c>
      <c r="M51" s="380" t="n">
        <f aca="false">IF(M$5=MAX(1,FC_SUPUESTOS!$C$23-1),FC_SUPUESTOS!$C$94,0)</f>
        <v>0</v>
      </c>
      <c r="N51" s="380" t="n">
        <f aca="false">IF(N$5=MAX(1,FC_SUPUESTOS!$C$23-1),FC_SUPUESTOS!$C$94,0)</f>
        <v>0</v>
      </c>
      <c r="O51" s="380" t="n">
        <f aca="false">IF(O$5=MAX(1,FC_SUPUESTOS!$C$23-1),FC_SUPUESTOS!$C$94,0)</f>
        <v>0</v>
      </c>
      <c r="P51" s="380" t="n">
        <f aca="false">IF(P$5=MAX(1,FC_SUPUESTOS!$C$23-1),FC_SUPUESTOS!$C$94,0)</f>
        <v>0</v>
      </c>
      <c r="Q51" s="380" t="n">
        <f aca="false">IF(Q$5=MAX(1,FC_SUPUESTOS!$C$23-1),FC_SUPUESTOS!$C$94,0)</f>
        <v>0</v>
      </c>
      <c r="R51" s="380" t="n">
        <f aca="false">IF(R$5=MAX(1,FC_SUPUESTOS!$C$23-1),FC_SUPUESTOS!$C$94,0)</f>
        <v>0</v>
      </c>
      <c r="S51" s="380" t="n">
        <f aca="false">IF(S$5=MAX(1,FC_SUPUESTOS!$C$23-1),FC_SUPUESTOS!$C$94,0)</f>
        <v>0</v>
      </c>
      <c r="T51" s="380" t="n">
        <f aca="false">IF(T$5=MAX(1,FC_SUPUESTOS!$C$23-1),FC_SUPUESTOS!$C$94,0)</f>
        <v>0</v>
      </c>
      <c r="U51" s="380" t="n">
        <f aca="false">IF(U$5=MAX(1,FC_SUPUESTOS!$C$23-1),FC_SUPUESTOS!$C$94,0)</f>
        <v>0</v>
      </c>
      <c r="V51" s="380" t="n">
        <f aca="false">IF(V$5=MAX(1,FC_SUPUESTOS!$C$23-1),FC_SUPUESTOS!$C$94,0)</f>
        <v>0</v>
      </c>
      <c r="W51" s="380" t="n">
        <f aca="false">IF(W$5=MAX(1,FC_SUPUESTOS!$C$23-1),FC_SUPUESTOS!$C$94,0)</f>
        <v>0</v>
      </c>
      <c r="X51" s="380" t="n">
        <f aca="false">IF(X$5=MAX(1,FC_SUPUESTOS!$C$23-1),FC_SUPUESTOS!$C$94,0)</f>
        <v>0</v>
      </c>
      <c r="Y51" s="380" t="n">
        <f aca="false">IF(Y$5=MAX(1,FC_SUPUESTOS!$C$23-1),FC_SUPUESTOS!$C$94,0)</f>
        <v>0</v>
      </c>
      <c r="Z51" s="380" t="n">
        <f aca="false">IF(Z$5=MAX(1,FC_SUPUESTOS!$C$23-1),FC_SUPUESTOS!$C$94,0)</f>
        <v>0</v>
      </c>
      <c r="AA51" s="380" t="n">
        <f aca="false">IF(AA$5=MAX(1,FC_SUPUESTOS!$C$23-1),FC_SUPUESTOS!$C$94,0)</f>
        <v>0</v>
      </c>
      <c r="AB51" s="380" t="n">
        <f aca="false">IF(AB$5=MAX(1,FC_SUPUESTOS!$C$23-1),FC_SUPUESTOS!$C$94,0)</f>
        <v>0</v>
      </c>
      <c r="AC51" s="380" t="n">
        <f aca="false">IF(AC$5=MAX(1,FC_SUPUESTOS!$C$23-1),FC_SUPUESTOS!$C$94,0)</f>
        <v>0</v>
      </c>
      <c r="AD51" s="380" t="n">
        <f aca="false">IF(AD$5=MAX(1,FC_SUPUESTOS!$C$23-1),FC_SUPUESTOS!$C$94,0)</f>
        <v>0</v>
      </c>
      <c r="AE51" s="380" t="n">
        <f aca="false">IF(AE$5=MAX(1,FC_SUPUESTOS!$C$23-1),FC_SUPUESTOS!$C$94,0)</f>
        <v>0</v>
      </c>
      <c r="AF51" s="380" t="n">
        <f aca="false">IF(AF$5=MAX(1,FC_SUPUESTOS!$C$23-1),FC_SUPUESTOS!$C$94,0)</f>
        <v>0</v>
      </c>
      <c r="AG51" s="380" t="n">
        <f aca="false">IF(AG$5=MAX(1,FC_SUPUESTOS!$C$23-1),FC_SUPUESTOS!$C$94,0)</f>
        <v>0</v>
      </c>
      <c r="AH51" s="380" t="n">
        <f aca="false">IF(AH$5=MAX(1,FC_SUPUESTOS!$C$23-1),FC_SUPUESTOS!$C$94,0)</f>
        <v>0</v>
      </c>
      <c r="AI51" s="380" t="n">
        <f aca="false">IF(AI$5=MAX(1,FC_SUPUESTOS!$C$23-1),FC_SUPUESTOS!$C$94,0)</f>
        <v>0</v>
      </c>
      <c r="AJ51" s="380" t="n">
        <f aca="false">IF(AJ$5=MAX(1,FC_SUPUESTOS!$C$23-1),FC_SUPUESTOS!$C$94,0)</f>
        <v>0</v>
      </c>
      <c r="AK51" s="380" t="n">
        <f aca="false">IF(AK$5=MAX(1,FC_SUPUESTOS!$C$23-1),FC_SUPUESTOS!$C$94,0)</f>
        <v>0</v>
      </c>
      <c r="AL51" s="380" t="n">
        <f aca="false">IF(AL$5=MAX(1,FC_SUPUESTOS!$C$23-1),FC_SUPUESTOS!$C$94,0)</f>
        <v>0</v>
      </c>
      <c r="AM51" s="380" t="n">
        <f aca="false">IF(AM$5=MAX(1,FC_SUPUESTOS!$C$23-1),FC_SUPUESTOS!$C$94,0)</f>
        <v>0</v>
      </c>
      <c r="AN51" s="380" t="n">
        <f aca="false">IF(AN$5=MAX(1,FC_SUPUESTOS!$C$23-1),FC_SUPUESTOS!$C$94,0)</f>
        <v>0</v>
      </c>
      <c r="AO51" s="380" t="n">
        <f aca="false">IF(AO$5=MAX(1,FC_SUPUESTOS!$C$23-1),FC_SUPUESTOS!$C$94,0)</f>
        <v>0</v>
      </c>
      <c r="AP51" s="380" t="n">
        <f aca="false">IF(AP$5=MAX(1,FC_SUPUESTOS!$C$23-1),FC_SUPUESTOS!$C$94,0)</f>
        <v>0</v>
      </c>
      <c r="AQ51" s="380" t="n">
        <f aca="false">IF(AQ$5=MAX(1,FC_SUPUESTOS!$C$23-1),FC_SUPUESTOS!$C$94,0)</f>
        <v>0</v>
      </c>
      <c r="AR51" s="380" t="n">
        <f aca="false">IF(AR$5=MAX(1,FC_SUPUESTOS!$C$23-1),FC_SUPUESTOS!$C$94,0)</f>
        <v>0</v>
      </c>
      <c r="AS51" s="380" t="n">
        <f aca="false">IF(AS$5=MAX(1,FC_SUPUESTOS!$C$23-1),FC_SUPUESTOS!$C$94,0)</f>
        <v>0</v>
      </c>
      <c r="AT51" s="380" t="n">
        <f aca="false">IF(AT$5=MAX(1,FC_SUPUESTOS!$C$23-1),FC_SUPUESTOS!$C$94,0)</f>
        <v>0</v>
      </c>
      <c r="AU51" s="380" t="n">
        <f aca="false">IF(AU$5=MAX(1,FC_SUPUESTOS!$C$23-1),FC_SUPUESTOS!$C$94,0)</f>
        <v>0</v>
      </c>
      <c r="AV51" s="380" t="n">
        <f aca="false">IF(AV$5=MAX(1,FC_SUPUESTOS!$C$23-1),FC_SUPUESTOS!$C$94,0)</f>
        <v>0</v>
      </c>
      <c r="AW51" s="380" t="n">
        <f aca="false">IF(AW$5=MAX(1,FC_SUPUESTOS!$C$23-1),FC_SUPUESTOS!$C$94,0)</f>
        <v>0</v>
      </c>
      <c r="AX51" s="380" t="n">
        <f aca="false">IF(AX$5=MAX(1,FC_SUPUESTOS!$C$23-1),FC_SUPUESTOS!$C$94,0)</f>
        <v>0</v>
      </c>
      <c r="AY51" s="380" t="n">
        <f aca="false">IF(AY$5=MAX(1,FC_SUPUESTOS!$C$23-1),FC_SUPUESTOS!$C$94,0)</f>
        <v>0</v>
      </c>
      <c r="AZ51" s="380" t="n">
        <f aca="false">IF(AZ$5=MAX(1,FC_SUPUESTOS!$C$23-1),FC_SUPUESTOS!$C$94,0)</f>
        <v>0</v>
      </c>
      <c r="BA51" s="380" t="n">
        <f aca="false">IF(BA$5=MAX(1,FC_SUPUESTOS!$C$23-1),FC_SUPUESTOS!$C$94,0)</f>
        <v>0</v>
      </c>
      <c r="BB51" s="380" t="n">
        <f aca="false">IF(BB$5=MAX(1,FC_SUPUESTOS!$C$23-1),FC_SUPUESTOS!$C$94,0)</f>
        <v>0</v>
      </c>
      <c r="BC51" s="380" t="n">
        <f aca="false">IF(BC$5=MAX(1,FC_SUPUESTOS!$C$23-1),FC_SUPUESTOS!$C$94,0)</f>
        <v>0</v>
      </c>
      <c r="BD51" s="380" t="n">
        <f aca="false">IF(BD$5=MAX(1,FC_SUPUESTOS!$C$23-1),FC_SUPUESTOS!$C$94,0)</f>
        <v>0</v>
      </c>
      <c r="BE51" s="380" t="n">
        <f aca="false">IF(BE$5=MAX(1,FC_SUPUESTOS!$C$23-1),FC_SUPUESTOS!$C$94,0)</f>
        <v>0</v>
      </c>
      <c r="BF51" s="380" t="n">
        <f aca="false">IF(BF$5=MAX(1,FC_SUPUESTOS!$C$23-1),FC_SUPUESTOS!$C$94,0)</f>
        <v>0</v>
      </c>
      <c r="BG51" s="380" t="n">
        <f aca="false">IF(BG$5=MAX(1,FC_SUPUESTOS!$C$23-1),FC_SUPUESTOS!$C$94,0)</f>
        <v>0</v>
      </c>
      <c r="BH51" s="380" t="n">
        <f aca="false">IF(BH$5=MAX(1,FC_SUPUESTOS!$C$23-1),FC_SUPUESTOS!$C$94,0)</f>
        <v>0</v>
      </c>
      <c r="BI51" s="380" t="n">
        <f aca="false">IF(BI$5=MAX(1,FC_SUPUESTOS!$C$23-1),FC_SUPUESTOS!$C$94,0)</f>
        <v>0</v>
      </c>
      <c r="BJ51" s="380" t="n">
        <f aca="false">IF(BJ$5=MAX(1,FC_SUPUESTOS!$C$23-1),FC_SUPUESTOS!$C$94,0)</f>
        <v>0</v>
      </c>
      <c r="BK51" s="380" t="n">
        <f aca="false">IF(BK$5=MAX(1,FC_SUPUESTOS!$C$23-1),FC_SUPUESTOS!$C$94,0)</f>
        <v>0</v>
      </c>
    </row>
    <row r="52" customFormat="false" ht="15" hidden="false" customHeight="true" outlineLevel="0" collapsed="false">
      <c r="B52" s="297" t="s">
        <v>2951</v>
      </c>
      <c r="D52" s="380" t="n">
        <f aca="false">FC_SUPUESTOS!$C$95-SUM($E$52:$BK$52)</f>
        <v>0</v>
      </c>
      <c r="E52" s="380" t="n">
        <f aca="false">IF(E$5=MAX(1,FC_SUPUESTOS!$C$40-FC_SUPUESTOS!$C$64),FC_SUPUESTOS!$C$95,0)</f>
        <v>0</v>
      </c>
      <c r="F52" s="380" t="n">
        <f aca="false">IF(F$5=MAX(1,FC_SUPUESTOS!$C$40-FC_SUPUESTOS!$C$64),FC_SUPUESTOS!$C$95,0)</f>
        <v>0</v>
      </c>
      <c r="G52" s="380" t="n">
        <f aca="false">IF(G$5=MAX(1,FC_SUPUESTOS!$C$40-FC_SUPUESTOS!$C$64),FC_SUPUESTOS!$C$95,0)</f>
        <v>0</v>
      </c>
      <c r="H52" s="380" t="n">
        <f aca="false">IF(H$5=MAX(1,FC_SUPUESTOS!$C$40-FC_SUPUESTOS!$C$64),FC_SUPUESTOS!$C$95,0)</f>
        <v>0</v>
      </c>
      <c r="I52" s="380" t="n">
        <f aca="false">IF(I$5=MAX(1,FC_SUPUESTOS!$C$40-FC_SUPUESTOS!$C$64),FC_SUPUESTOS!$C$95,0)</f>
        <v>0</v>
      </c>
      <c r="J52" s="380" t="n">
        <f aca="false">IF(J$5=MAX(1,FC_SUPUESTOS!$C$40-FC_SUPUESTOS!$C$64),FC_SUPUESTOS!$C$95,0)</f>
        <v>0</v>
      </c>
      <c r="K52" s="380" t="n">
        <f aca="false">IF(K$5=MAX(1,FC_SUPUESTOS!$C$40-FC_SUPUESTOS!$C$64),FC_SUPUESTOS!$C$95,0)</f>
        <v>0</v>
      </c>
      <c r="L52" s="380" t="n">
        <f aca="false">IF(L$5=MAX(1,FC_SUPUESTOS!$C$40-FC_SUPUESTOS!$C$64),FC_SUPUESTOS!$C$95,0)</f>
        <v>141141</v>
      </c>
      <c r="M52" s="380" t="n">
        <f aca="false">IF(M$5=MAX(1,FC_SUPUESTOS!$C$40-FC_SUPUESTOS!$C$64),FC_SUPUESTOS!$C$95,0)</f>
        <v>0</v>
      </c>
      <c r="N52" s="380" t="n">
        <f aca="false">IF(N$5=MAX(1,FC_SUPUESTOS!$C$40-FC_SUPUESTOS!$C$64),FC_SUPUESTOS!$C$95,0)</f>
        <v>0</v>
      </c>
      <c r="O52" s="380" t="n">
        <f aca="false">IF(O$5=MAX(1,FC_SUPUESTOS!$C$40-FC_SUPUESTOS!$C$64),FC_SUPUESTOS!$C$95,0)</f>
        <v>0</v>
      </c>
      <c r="P52" s="380" t="n">
        <f aca="false">IF(P$5=MAX(1,FC_SUPUESTOS!$C$40-FC_SUPUESTOS!$C$64),FC_SUPUESTOS!$C$95,0)</f>
        <v>0</v>
      </c>
      <c r="Q52" s="380" t="n">
        <f aca="false">IF(Q$5=MAX(1,FC_SUPUESTOS!$C$40-FC_SUPUESTOS!$C$64),FC_SUPUESTOS!$C$95,0)</f>
        <v>0</v>
      </c>
      <c r="R52" s="380" t="n">
        <f aca="false">IF(R$5=MAX(1,FC_SUPUESTOS!$C$40-FC_SUPUESTOS!$C$64),FC_SUPUESTOS!$C$95,0)</f>
        <v>0</v>
      </c>
      <c r="S52" s="380" t="n">
        <f aca="false">IF(S$5=MAX(1,FC_SUPUESTOS!$C$40-FC_SUPUESTOS!$C$64),FC_SUPUESTOS!$C$95,0)</f>
        <v>0</v>
      </c>
      <c r="T52" s="380" t="n">
        <f aca="false">IF(T$5=MAX(1,FC_SUPUESTOS!$C$40-FC_SUPUESTOS!$C$64),FC_SUPUESTOS!$C$95,0)</f>
        <v>0</v>
      </c>
      <c r="U52" s="380" t="n">
        <f aca="false">IF(U$5=MAX(1,FC_SUPUESTOS!$C$40-FC_SUPUESTOS!$C$64),FC_SUPUESTOS!$C$95,0)</f>
        <v>0</v>
      </c>
      <c r="V52" s="380" t="n">
        <f aca="false">IF(V$5=MAX(1,FC_SUPUESTOS!$C$40-FC_SUPUESTOS!$C$64),FC_SUPUESTOS!$C$95,0)</f>
        <v>0</v>
      </c>
      <c r="W52" s="380" t="n">
        <f aca="false">IF(W$5=MAX(1,FC_SUPUESTOS!$C$40-FC_SUPUESTOS!$C$64),FC_SUPUESTOS!$C$95,0)</f>
        <v>0</v>
      </c>
      <c r="X52" s="380" t="n">
        <f aca="false">IF(X$5=MAX(1,FC_SUPUESTOS!$C$40-FC_SUPUESTOS!$C$64),FC_SUPUESTOS!$C$95,0)</f>
        <v>0</v>
      </c>
      <c r="Y52" s="380" t="n">
        <f aca="false">IF(Y$5=MAX(1,FC_SUPUESTOS!$C$40-FC_SUPUESTOS!$C$64),FC_SUPUESTOS!$C$95,0)</f>
        <v>0</v>
      </c>
      <c r="Z52" s="380" t="n">
        <f aca="false">IF(Z$5=MAX(1,FC_SUPUESTOS!$C$40-FC_SUPUESTOS!$C$64),FC_SUPUESTOS!$C$95,0)</f>
        <v>0</v>
      </c>
      <c r="AA52" s="380" t="n">
        <f aca="false">IF(AA$5=MAX(1,FC_SUPUESTOS!$C$40-FC_SUPUESTOS!$C$64),FC_SUPUESTOS!$C$95,0)</f>
        <v>0</v>
      </c>
      <c r="AB52" s="380" t="n">
        <f aca="false">IF(AB$5=MAX(1,FC_SUPUESTOS!$C$40-FC_SUPUESTOS!$C$64),FC_SUPUESTOS!$C$95,0)</f>
        <v>0</v>
      </c>
      <c r="AC52" s="380" t="n">
        <f aca="false">IF(AC$5=MAX(1,FC_SUPUESTOS!$C$40-FC_SUPUESTOS!$C$64),FC_SUPUESTOS!$C$95,0)</f>
        <v>0</v>
      </c>
      <c r="AD52" s="380" t="n">
        <f aca="false">IF(AD$5=MAX(1,FC_SUPUESTOS!$C$40-FC_SUPUESTOS!$C$64),FC_SUPUESTOS!$C$95,0)</f>
        <v>0</v>
      </c>
      <c r="AE52" s="380" t="n">
        <f aca="false">IF(AE$5=MAX(1,FC_SUPUESTOS!$C$40-FC_SUPUESTOS!$C$64),FC_SUPUESTOS!$C$95,0)</f>
        <v>0</v>
      </c>
      <c r="AF52" s="380" t="n">
        <f aca="false">IF(AF$5=MAX(1,FC_SUPUESTOS!$C$40-FC_SUPUESTOS!$C$64),FC_SUPUESTOS!$C$95,0)</f>
        <v>0</v>
      </c>
      <c r="AG52" s="380" t="n">
        <f aca="false">IF(AG$5=MAX(1,FC_SUPUESTOS!$C$40-FC_SUPUESTOS!$C$64),FC_SUPUESTOS!$C$95,0)</f>
        <v>0</v>
      </c>
      <c r="AH52" s="380" t="n">
        <f aca="false">IF(AH$5=MAX(1,FC_SUPUESTOS!$C$40-FC_SUPUESTOS!$C$64),FC_SUPUESTOS!$C$95,0)</f>
        <v>0</v>
      </c>
      <c r="AI52" s="380" t="n">
        <f aca="false">IF(AI$5=MAX(1,FC_SUPUESTOS!$C$40-FC_SUPUESTOS!$C$64),FC_SUPUESTOS!$C$95,0)</f>
        <v>0</v>
      </c>
      <c r="AJ52" s="380" t="n">
        <f aca="false">IF(AJ$5=MAX(1,FC_SUPUESTOS!$C$40-FC_SUPUESTOS!$C$64),FC_SUPUESTOS!$C$95,0)</f>
        <v>0</v>
      </c>
      <c r="AK52" s="380" t="n">
        <f aca="false">IF(AK$5=MAX(1,FC_SUPUESTOS!$C$40-FC_SUPUESTOS!$C$64),FC_SUPUESTOS!$C$95,0)</f>
        <v>0</v>
      </c>
      <c r="AL52" s="380" t="n">
        <f aca="false">IF(AL$5=MAX(1,FC_SUPUESTOS!$C$40-FC_SUPUESTOS!$C$64),FC_SUPUESTOS!$C$95,0)</f>
        <v>0</v>
      </c>
      <c r="AM52" s="380" t="n">
        <f aca="false">IF(AM$5=MAX(1,FC_SUPUESTOS!$C$40-FC_SUPUESTOS!$C$64),FC_SUPUESTOS!$C$95,0)</f>
        <v>0</v>
      </c>
      <c r="AN52" s="380" t="n">
        <f aca="false">IF(AN$5=MAX(1,FC_SUPUESTOS!$C$40-FC_SUPUESTOS!$C$64),FC_SUPUESTOS!$C$95,0)</f>
        <v>0</v>
      </c>
      <c r="AO52" s="380" t="n">
        <f aca="false">IF(AO$5=MAX(1,FC_SUPUESTOS!$C$40-FC_SUPUESTOS!$C$64),FC_SUPUESTOS!$C$95,0)</f>
        <v>0</v>
      </c>
      <c r="AP52" s="380" t="n">
        <f aca="false">IF(AP$5=MAX(1,FC_SUPUESTOS!$C$40-FC_SUPUESTOS!$C$64),FC_SUPUESTOS!$C$95,0)</f>
        <v>0</v>
      </c>
      <c r="AQ52" s="380" t="n">
        <f aca="false">IF(AQ$5=MAX(1,FC_SUPUESTOS!$C$40-FC_SUPUESTOS!$C$64),FC_SUPUESTOS!$C$95,0)</f>
        <v>0</v>
      </c>
      <c r="AR52" s="380" t="n">
        <f aca="false">IF(AR$5=MAX(1,FC_SUPUESTOS!$C$40-FC_SUPUESTOS!$C$64),FC_SUPUESTOS!$C$95,0)</f>
        <v>0</v>
      </c>
      <c r="AS52" s="380" t="n">
        <f aca="false">IF(AS$5=MAX(1,FC_SUPUESTOS!$C$40-FC_SUPUESTOS!$C$64),FC_SUPUESTOS!$C$95,0)</f>
        <v>0</v>
      </c>
      <c r="AT52" s="380" t="n">
        <f aca="false">IF(AT$5=MAX(1,FC_SUPUESTOS!$C$40-FC_SUPUESTOS!$C$64),FC_SUPUESTOS!$C$95,0)</f>
        <v>0</v>
      </c>
      <c r="AU52" s="380" t="n">
        <f aca="false">IF(AU$5=MAX(1,FC_SUPUESTOS!$C$40-FC_SUPUESTOS!$C$64),FC_SUPUESTOS!$C$95,0)</f>
        <v>0</v>
      </c>
      <c r="AV52" s="380" t="n">
        <f aca="false">IF(AV$5=MAX(1,FC_SUPUESTOS!$C$40-FC_SUPUESTOS!$C$64),FC_SUPUESTOS!$C$95,0)</f>
        <v>0</v>
      </c>
      <c r="AW52" s="380" t="n">
        <f aca="false">IF(AW$5=MAX(1,FC_SUPUESTOS!$C$40-FC_SUPUESTOS!$C$64),FC_SUPUESTOS!$C$95,0)</f>
        <v>0</v>
      </c>
      <c r="AX52" s="380" t="n">
        <f aca="false">IF(AX$5=MAX(1,FC_SUPUESTOS!$C$40-FC_SUPUESTOS!$C$64),FC_SUPUESTOS!$C$95,0)</f>
        <v>0</v>
      </c>
      <c r="AY52" s="380" t="n">
        <f aca="false">IF(AY$5=MAX(1,FC_SUPUESTOS!$C$40-FC_SUPUESTOS!$C$64),FC_SUPUESTOS!$C$95,0)</f>
        <v>0</v>
      </c>
      <c r="AZ52" s="380" t="n">
        <f aca="false">IF(AZ$5=MAX(1,FC_SUPUESTOS!$C$40-FC_SUPUESTOS!$C$64),FC_SUPUESTOS!$C$95,0)</f>
        <v>0</v>
      </c>
      <c r="BA52" s="380" t="n">
        <f aca="false">IF(BA$5=MAX(1,FC_SUPUESTOS!$C$40-FC_SUPUESTOS!$C$64),FC_SUPUESTOS!$C$95,0)</f>
        <v>0</v>
      </c>
      <c r="BB52" s="380" t="n">
        <f aca="false">IF(BB$5=MAX(1,FC_SUPUESTOS!$C$40-FC_SUPUESTOS!$C$64),FC_SUPUESTOS!$C$95,0)</f>
        <v>0</v>
      </c>
      <c r="BC52" s="380" t="n">
        <f aca="false">IF(BC$5=MAX(1,FC_SUPUESTOS!$C$40-FC_SUPUESTOS!$C$64),FC_SUPUESTOS!$C$95,0)</f>
        <v>0</v>
      </c>
      <c r="BD52" s="380" t="n">
        <f aca="false">IF(BD$5=MAX(1,FC_SUPUESTOS!$C$40-FC_SUPUESTOS!$C$64),FC_SUPUESTOS!$C$95,0)</f>
        <v>0</v>
      </c>
      <c r="BE52" s="380" t="n">
        <f aca="false">IF(BE$5=MAX(1,FC_SUPUESTOS!$C$40-FC_SUPUESTOS!$C$64),FC_SUPUESTOS!$C$95,0)</f>
        <v>0</v>
      </c>
      <c r="BF52" s="380" t="n">
        <f aca="false">IF(BF$5=MAX(1,FC_SUPUESTOS!$C$40-FC_SUPUESTOS!$C$64),FC_SUPUESTOS!$C$95,0)</f>
        <v>0</v>
      </c>
      <c r="BG52" s="380" t="n">
        <f aca="false">IF(BG$5=MAX(1,FC_SUPUESTOS!$C$40-FC_SUPUESTOS!$C$64),FC_SUPUESTOS!$C$95,0)</f>
        <v>0</v>
      </c>
      <c r="BH52" s="380" t="n">
        <f aca="false">IF(BH$5=MAX(1,FC_SUPUESTOS!$C$40-FC_SUPUESTOS!$C$64),FC_SUPUESTOS!$C$95,0)</f>
        <v>0</v>
      </c>
      <c r="BI52" s="380" t="n">
        <f aca="false">IF(BI$5=MAX(1,FC_SUPUESTOS!$C$40-FC_SUPUESTOS!$C$64),FC_SUPUESTOS!$C$95,0)</f>
        <v>0</v>
      </c>
      <c r="BJ52" s="380" t="n">
        <f aca="false">IF(BJ$5=MAX(1,FC_SUPUESTOS!$C$40-FC_SUPUESTOS!$C$64),FC_SUPUESTOS!$C$95,0)</f>
        <v>0</v>
      </c>
      <c r="BK52" s="380" t="n">
        <f aca="false">IF(BK$5=MAX(1,FC_SUPUESTOS!$C$40-FC_SUPUESTOS!$C$64),FC_SUPUESTOS!$C$95,0)</f>
        <v>0</v>
      </c>
    </row>
    <row r="53" customFormat="false" ht="15" hidden="false" customHeight="true" outlineLevel="0" collapsed="false">
      <c r="B53" s="297" t="s">
        <v>2952</v>
      </c>
      <c r="D53" s="380" t="n">
        <f aca="false">SUM(D44:D52)*FC_SUPUESTOS!$C$56</f>
        <v>7998.11071101618</v>
      </c>
      <c r="E53" s="380" t="n">
        <f aca="false">SUM(E44:E52)*FC_SUPUESTOS!$C$56</f>
        <v>0</v>
      </c>
      <c r="F53" s="380" t="n">
        <f aca="false">SUM(F44:F52)*FC_SUPUESTOS!$C$56</f>
        <v>0</v>
      </c>
      <c r="G53" s="380" t="n">
        <f aca="false">SUM(G44:G52)*FC_SUPUESTOS!$C$56</f>
        <v>0</v>
      </c>
      <c r="H53" s="380" t="n">
        <f aca="false">SUM(H44:H52)*FC_SUPUESTOS!$C$56</f>
        <v>14596.5520476045</v>
      </c>
      <c r="I53" s="380" t="n">
        <f aca="false">SUM(I44:I52)*FC_SUPUESTOS!$C$56</f>
        <v>0</v>
      </c>
      <c r="J53" s="380" t="n">
        <f aca="false">SUM(J44:J52)*FC_SUPUESTOS!$C$56</f>
        <v>10967.5982413793</v>
      </c>
      <c r="K53" s="380" t="n">
        <f aca="false">SUM(K44:K52)*FC_SUPUESTOS!$C$56</f>
        <v>5082.029</v>
      </c>
      <c r="L53" s="380" t="n">
        <f aca="false">SUM(L44:L52)*FC_SUPUESTOS!$C$56</f>
        <v>22696.129</v>
      </c>
      <c r="M53" s="380" t="n">
        <f aca="false">SUM(M44:M52)*FC_SUPUESTOS!$C$56</f>
        <v>0</v>
      </c>
      <c r="N53" s="380" t="n">
        <f aca="false">SUM(N44:N52)*FC_SUPUESTOS!$C$56</f>
        <v>0</v>
      </c>
      <c r="O53" s="380" t="n">
        <f aca="false">SUM(O44:O52)*FC_SUPUESTOS!$C$56</f>
        <v>0</v>
      </c>
      <c r="P53" s="380" t="n">
        <f aca="false">SUM(P44:P52)*FC_SUPUESTOS!$C$56</f>
        <v>0</v>
      </c>
      <c r="Q53" s="380" t="n">
        <f aca="false">SUM(Q44:Q52)*FC_SUPUESTOS!$C$56</f>
        <v>0</v>
      </c>
      <c r="R53" s="380" t="n">
        <f aca="false">SUM(R44:R52)*FC_SUPUESTOS!$C$56</f>
        <v>0</v>
      </c>
      <c r="S53" s="380" t="n">
        <f aca="false">SUM(S44:S52)*FC_SUPUESTOS!$C$56</f>
        <v>0</v>
      </c>
      <c r="T53" s="380" t="n">
        <f aca="false">SUM(T44:T52)*FC_SUPUESTOS!$C$56</f>
        <v>0</v>
      </c>
      <c r="U53" s="380" t="n">
        <f aca="false">SUM(U44:U52)*FC_SUPUESTOS!$C$56</f>
        <v>0</v>
      </c>
      <c r="V53" s="380" t="n">
        <f aca="false">SUM(V44:V52)*FC_SUPUESTOS!$C$56</f>
        <v>0</v>
      </c>
      <c r="W53" s="380" t="n">
        <f aca="false">SUM(W44:W52)*FC_SUPUESTOS!$C$56</f>
        <v>0</v>
      </c>
      <c r="X53" s="380" t="n">
        <f aca="false">SUM(X44:X52)*FC_SUPUESTOS!$C$56</f>
        <v>0</v>
      </c>
      <c r="Y53" s="380" t="n">
        <f aca="false">SUM(Y44:Y52)*FC_SUPUESTOS!$C$56</f>
        <v>0</v>
      </c>
      <c r="Z53" s="380" t="n">
        <f aca="false">SUM(Z44:Z52)*FC_SUPUESTOS!$C$56</f>
        <v>0</v>
      </c>
      <c r="AA53" s="380" t="n">
        <f aca="false">SUM(AA44:AA52)*FC_SUPUESTOS!$C$56</f>
        <v>0</v>
      </c>
      <c r="AB53" s="380" t="n">
        <f aca="false">SUM(AB44:AB52)*FC_SUPUESTOS!$C$56</f>
        <v>0</v>
      </c>
      <c r="AC53" s="380" t="n">
        <f aca="false">SUM(AC44:AC52)*FC_SUPUESTOS!$C$56</f>
        <v>0</v>
      </c>
      <c r="AD53" s="380" t="n">
        <f aca="false">SUM(AD44:AD52)*FC_SUPUESTOS!$C$56</f>
        <v>0</v>
      </c>
      <c r="AE53" s="380" t="n">
        <f aca="false">SUM(AE44:AE52)*FC_SUPUESTOS!$C$56</f>
        <v>0</v>
      </c>
      <c r="AF53" s="380" t="n">
        <f aca="false">SUM(AF44:AF52)*FC_SUPUESTOS!$C$56</f>
        <v>0</v>
      </c>
      <c r="AG53" s="380" t="n">
        <f aca="false">SUM(AG44:AG52)*FC_SUPUESTOS!$C$56</f>
        <v>0</v>
      </c>
      <c r="AH53" s="380" t="n">
        <f aca="false">SUM(AH44:AH52)*FC_SUPUESTOS!$C$56</f>
        <v>0</v>
      </c>
      <c r="AI53" s="380" t="n">
        <f aca="false">SUM(AI44:AI52)*FC_SUPUESTOS!$C$56</f>
        <v>0</v>
      </c>
      <c r="AJ53" s="380" t="n">
        <f aca="false">SUM(AJ44:AJ52)*FC_SUPUESTOS!$C$56</f>
        <v>0</v>
      </c>
      <c r="AK53" s="380" t="n">
        <f aca="false">SUM(AK44:AK52)*FC_SUPUESTOS!$C$56</f>
        <v>0</v>
      </c>
      <c r="AL53" s="380" t="n">
        <f aca="false">SUM(AL44:AL52)*FC_SUPUESTOS!$C$56</f>
        <v>0</v>
      </c>
      <c r="AM53" s="380" t="n">
        <f aca="false">SUM(AM44:AM52)*FC_SUPUESTOS!$C$56</f>
        <v>0</v>
      </c>
      <c r="AN53" s="380" t="n">
        <f aca="false">SUM(AN44:AN52)*FC_SUPUESTOS!$C$56</f>
        <v>0</v>
      </c>
      <c r="AO53" s="380" t="n">
        <f aca="false">SUM(AO44:AO52)*FC_SUPUESTOS!$C$56</f>
        <v>0</v>
      </c>
      <c r="AP53" s="380" t="n">
        <f aca="false">SUM(AP44:AP52)*FC_SUPUESTOS!$C$56</f>
        <v>0</v>
      </c>
      <c r="AQ53" s="380" t="n">
        <f aca="false">SUM(AQ44:AQ52)*FC_SUPUESTOS!$C$56</f>
        <v>0</v>
      </c>
      <c r="AR53" s="380" t="n">
        <f aca="false">SUM(AR44:AR52)*FC_SUPUESTOS!$C$56</f>
        <v>0</v>
      </c>
      <c r="AS53" s="380" t="n">
        <f aca="false">SUM(AS44:AS52)*FC_SUPUESTOS!$C$56</f>
        <v>0</v>
      </c>
      <c r="AT53" s="380" t="n">
        <f aca="false">SUM(AT44:AT52)*FC_SUPUESTOS!$C$56</f>
        <v>0</v>
      </c>
      <c r="AU53" s="380" t="n">
        <f aca="false">SUM(AU44:AU52)*FC_SUPUESTOS!$C$56</f>
        <v>0</v>
      </c>
      <c r="AV53" s="380" t="n">
        <f aca="false">SUM(AV44:AV52)*FC_SUPUESTOS!$C$56</f>
        <v>0</v>
      </c>
      <c r="AW53" s="380" t="n">
        <f aca="false">SUM(AW44:AW52)*FC_SUPUESTOS!$C$56</f>
        <v>0</v>
      </c>
      <c r="AX53" s="380" t="n">
        <f aca="false">SUM(AX44:AX52)*FC_SUPUESTOS!$C$56</f>
        <v>0</v>
      </c>
      <c r="AY53" s="380" t="n">
        <f aca="false">SUM(AY44:AY52)*FC_SUPUESTOS!$C$56</f>
        <v>0</v>
      </c>
      <c r="AZ53" s="380" t="n">
        <f aca="false">SUM(AZ44:AZ52)*FC_SUPUESTOS!$C$56</f>
        <v>0</v>
      </c>
      <c r="BA53" s="380" t="n">
        <f aca="false">SUM(BA44:BA52)*FC_SUPUESTOS!$C$56</f>
        <v>0</v>
      </c>
      <c r="BB53" s="380" t="n">
        <f aca="false">SUM(BB44:BB52)*FC_SUPUESTOS!$C$56</f>
        <v>0</v>
      </c>
      <c r="BC53" s="380" t="n">
        <f aca="false">SUM(BC44:BC52)*FC_SUPUESTOS!$C$56</f>
        <v>0</v>
      </c>
      <c r="BD53" s="380" t="n">
        <f aca="false">SUM(BD44:BD52)*FC_SUPUESTOS!$C$56</f>
        <v>0</v>
      </c>
      <c r="BE53" s="380" t="n">
        <f aca="false">SUM(BE44:BE52)*FC_SUPUESTOS!$C$56</f>
        <v>0</v>
      </c>
      <c r="BF53" s="380" t="n">
        <f aca="false">SUM(BF44:BF52)*FC_SUPUESTOS!$C$56</f>
        <v>0</v>
      </c>
      <c r="BG53" s="380" t="n">
        <f aca="false">SUM(BG44:BG52)*FC_SUPUESTOS!$C$56</f>
        <v>0</v>
      </c>
      <c r="BH53" s="380" t="n">
        <f aca="false">SUM(BH44:BH52)*FC_SUPUESTOS!$C$56</f>
        <v>0</v>
      </c>
      <c r="BI53" s="380" t="n">
        <f aca="false">SUM(BI44:BI52)*FC_SUPUESTOS!$C$56</f>
        <v>0</v>
      </c>
      <c r="BJ53" s="380" t="n">
        <f aca="false">SUM(BJ44:BJ52)*FC_SUPUESTOS!$C$56</f>
        <v>0</v>
      </c>
      <c r="BK53" s="380" t="n">
        <f aca="false">SUM(BK44:BK52)*FC_SUPUESTOS!$C$56</f>
        <v>0</v>
      </c>
    </row>
    <row r="54" customFormat="false" ht="15" hidden="false" customHeight="true" outlineLevel="0" collapsed="false">
      <c r="A54" s="218"/>
      <c r="B54" s="493" t="s">
        <v>2953</v>
      </c>
      <c r="C54" s="218"/>
      <c r="D54" s="494" t="n">
        <f aca="false">SUM(D44:D53)</f>
        <v>87979.2178211779</v>
      </c>
      <c r="E54" s="494" t="n">
        <f aca="false">SUM(E44:E53)</f>
        <v>0</v>
      </c>
      <c r="F54" s="494" t="n">
        <f aca="false">SUM(F44:F53)</f>
        <v>0</v>
      </c>
      <c r="G54" s="494" t="n">
        <f aca="false">SUM(G44:G53)</f>
        <v>0</v>
      </c>
      <c r="H54" s="494" t="n">
        <f aca="false">SUM(H44:H53)</f>
        <v>160562.07252365</v>
      </c>
      <c r="I54" s="494" t="n">
        <f aca="false">SUM(I44:I53)</f>
        <v>0</v>
      </c>
      <c r="J54" s="494" t="n">
        <f aca="false">SUM(J44:J53)</f>
        <v>120643.580655172</v>
      </c>
      <c r="K54" s="494" t="n">
        <f aca="false">SUM(K44:K53)</f>
        <v>55902.319</v>
      </c>
      <c r="L54" s="494" t="n">
        <f aca="false">SUM(L44:L53)</f>
        <v>249657.419</v>
      </c>
      <c r="M54" s="494" t="n">
        <f aca="false">SUM(M44:M53)</f>
        <v>0</v>
      </c>
      <c r="N54" s="494" t="n">
        <f aca="false">SUM(N44:N53)</f>
        <v>0</v>
      </c>
      <c r="O54" s="494" t="n">
        <f aca="false">SUM(O44:O53)</f>
        <v>0</v>
      </c>
      <c r="P54" s="494" t="n">
        <f aca="false">SUM(P44:P53)</f>
        <v>0</v>
      </c>
      <c r="Q54" s="494" t="n">
        <f aca="false">SUM(Q44:Q53)</f>
        <v>0</v>
      </c>
      <c r="R54" s="494" t="n">
        <f aca="false">SUM(R44:R53)</f>
        <v>0</v>
      </c>
      <c r="S54" s="494" t="n">
        <f aca="false">SUM(S44:S53)</f>
        <v>0</v>
      </c>
      <c r="T54" s="494" t="n">
        <f aca="false">SUM(T44:T53)</f>
        <v>0</v>
      </c>
      <c r="U54" s="494" t="n">
        <f aca="false">SUM(U44:U53)</f>
        <v>0</v>
      </c>
      <c r="V54" s="494" t="n">
        <f aca="false">SUM(V44:V53)</f>
        <v>0</v>
      </c>
      <c r="W54" s="494" t="n">
        <f aca="false">SUM(W44:W53)</f>
        <v>0</v>
      </c>
      <c r="X54" s="494" t="n">
        <f aca="false">SUM(X44:X53)</f>
        <v>0</v>
      </c>
      <c r="Y54" s="494" t="n">
        <f aca="false">SUM(Y44:Y53)</f>
        <v>0</v>
      </c>
      <c r="Z54" s="494" t="n">
        <f aca="false">SUM(Z44:Z53)</f>
        <v>0</v>
      </c>
      <c r="AA54" s="494" t="n">
        <f aca="false">SUM(AA44:AA53)</f>
        <v>0</v>
      </c>
      <c r="AB54" s="494" t="n">
        <f aca="false">SUM(AB44:AB53)</f>
        <v>0</v>
      </c>
      <c r="AC54" s="494" t="n">
        <f aca="false">SUM(AC44:AC53)</f>
        <v>0</v>
      </c>
      <c r="AD54" s="494" t="n">
        <f aca="false">SUM(AD44:AD53)</f>
        <v>0</v>
      </c>
      <c r="AE54" s="494" t="n">
        <f aca="false">SUM(AE44:AE53)</f>
        <v>0</v>
      </c>
      <c r="AF54" s="494" t="n">
        <f aca="false">SUM(AF44:AF53)</f>
        <v>0</v>
      </c>
      <c r="AG54" s="494" t="n">
        <f aca="false">SUM(AG44:AG53)</f>
        <v>0</v>
      </c>
      <c r="AH54" s="494" t="n">
        <f aca="false">SUM(AH44:AH53)</f>
        <v>0</v>
      </c>
      <c r="AI54" s="494" t="n">
        <f aca="false">SUM(AI44:AI53)</f>
        <v>0</v>
      </c>
      <c r="AJ54" s="494" t="n">
        <f aca="false">SUM(AJ44:AJ53)</f>
        <v>0</v>
      </c>
      <c r="AK54" s="494" t="n">
        <f aca="false">SUM(AK44:AK53)</f>
        <v>0</v>
      </c>
      <c r="AL54" s="494" t="n">
        <f aca="false">SUM(AL44:AL53)</f>
        <v>0</v>
      </c>
      <c r="AM54" s="494" t="n">
        <f aca="false">SUM(AM44:AM53)</f>
        <v>0</v>
      </c>
      <c r="AN54" s="494" t="n">
        <f aca="false">SUM(AN44:AN53)</f>
        <v>0</v>
      </c>
      <c r="AO54" s="494" t="n">
        <f aca="false">SUM(AO44:AO53)</f>
        <v>0</v>
      </c>
      <c r="AP54" s="494" t="n">
        <f aca="false">SUM(AP44:AP53)</f>
        <v>0</v>
      </c>
      <c r="AQ54" s="494" t="n">
        <f aca="false">SUM(AQ44:AQ53)</f>
        <v>0</v>
      </c>
      <c r="AR54" s="494" t="n">
        <f aca="false">SUM(AR44:AR53)</f>
        <v>0</v>
      </c>
      <c r="AS54" s="494" t="n">
        <f aca="false">SUM(AS44:AS53)</f>
        <v>0</v>
      </c>
      <c r="AT54" s="494" t="n">
        <f aca="false">SUM(AT44:AT53)</f>
        <v>0</v>
      </c>
      <c r="AU54" s="494" t="n">
        <f aca="false">SUM(AU44:AU53)</f>
        <v>0</v>
      </c>
      <c r="AV54" s="494" t="n">
        <f aca="false">SUM(AV44:AV53)</f>
        <v>0</v>
      </c>
      <c r="AW54" s="494" t="n">
        <f aca="false">SUM(AW44:AW53)</f>
        <v>0</v>
      </c>
      <c r="AX54" s="494" t="n">
        <f aca="false">SUM(AX44:AX53)</f>
        <v>0</v>
      </c>
      <c r="AY54" s="494" t="n">
        <f aca="false">SUM(AY44:AY53)</f>
        <v>0</v>
      </c>
      <c r="AZ54" s="494" t="n">
        <f aca="false">SUM(AZ44:AZ53)</f>
        <v>0</v>
      </c>
      <c r="BA54" s="494" t="n">
        <f aca="false">SUM(BA44:BA53)</f>
        <v>0</v>
      </c>
      <c r="BB54" s="494" t="n">
        <f aca="false">SUM(BB44:BB53)</f>
        <v>0</v>
      </c>
      <c r="BC54" s="494" t="n">
        <f aca="false">SUM(BC44:BC53)</f>
        <v>0</v>
      </c>
      <c r="BD54" s="494" t="n">
        <f aca="false">SUM(BD44:BD53)</f>
        <v>0</v>
      </c>
      <c r="BE54" s="494" t="n">
        <f aca="false">SUM(BE44:BE53)</f>
        <v>0</v>
      </c>
      <c r="BF54" s="494" t="n">
        <f aca="false">SUM(BF44:BF53)</f>
        <v>0</v>
      </c>
      <c r="BG54" s="494" t="n">
        <f aca="false">SUM(BG44:BG53)</f>
        <v>0</v>
      </c>
      <c r="BH54" s="494" t="n">
        <f aca="false">SUM(BH44:BH53)</f>
        <v>0</v>
      </c>
      <c r="BI54" s="494" t="n">
        <f aca="false">SUM(BI44:BI53)</f>
        <v>0</v>
      </c>
      <c r="BJ54" s="494" t="n">
        <f aca="false">SUM(BJ44:BJ53)</f>
        <v>0</v>
      </c>
      <c r="BK54" s="494" t="n">
        <f aca="false">SUM(BK44:BK53)</f>
        <v>0</v>
      </c>
    </row>
    <row r="56" customFormat="false" ht="15" hidden="false" customHeight="true" outlineLevel="0" collapsed="false">
      <c r="A56" s="351" t="s">
        <v>2954</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row>
    <row r="57" customFormat="false" ht="15" hidden="false" customHeight="true" outlineLevel="0" collapsed="false">
      <c r="B57" s="297" t="s">
        <v>2955</v>
      </c>
      <c r="D57" s="380" t="n">
        <f aca="false">(FC_SUPUESTOS!$C$9*FC_SUPUESTOS!$D$88+FC_SUPUESTOS!$C$10*FC_SUPUESTOS!$E$88)*FC_SUPUESTOS!$C$44-SUM($E$57:$BK$57)</f>
        <v>73298</v>
      </c>
      <c r="E57" s="380" t="n">
        <f aca="false">(FC_CRONOGRAMA!E28*FC_SUPUESTOS!$D$88+FC_CRONOGRAMA!E29*FC_SUPUESTOS!$E$88)*FC_SUPUESTOS!$C$44</f>
        <v>0</v>
      </c>
      <c r="F57" s="380" t="n">
        <f aca="false">(FC_CRONOGRAMA!F28*FC_SUPUESTOS!$D$88+FC_CRONOGRAMA!F29*FC_SUPUESTOS!$E$88)*FC_SUPUESTOS!$C$44</f>
        <v>0</v>
      </c>
      <c r="G57" s="380" t="n">
        <f aca="false">(FC_CRONOGRAMA!G28*FC_SUPUESTOS!$D$88+FC_CRONOGRAMA!G29*FC_SUPUESTOS!$E$88)*FC_SUPUESTOS!$C$44</f>
        <v>0</v>
      </c>
      <c r="H57" s="380" t="n">
        <f aca="false">(FC_CRONOGRAMA!H28*FC_SUPUESTOS!$D$88+FC_CRONOGRAMA!H29*FC_SUPUESTOS!$E$88)*FC_SUPUESTOS!$C$44</f>
        <v>0</v>
      </c>
      <c r="I57" s="380" t="n">
        <f aca="false">(FC_CRONOGRAMA!I28*FC_SUPUESTOS!$D$88+FC_CRONOGRAMA!I29*FC_SUPUESTOS!$E$88)*FC_SUPUESTOS!$C$44</f>
        <v>0</v>
      </c>
      <c r="J57" s="380" t="n">
        <f aca="false">(FC_CRONOGRAMA!J28*FC_SUPUESTOS!$D$88+FC_CRONOGRAMA!J29*FC_SUPUESTOS!$E$88)*FC_SUPUESTOS!$C$44</f>
        <v>0</v>
      </c>
      <c r="K57" s="380" t="n">
        <f aca="false">(FC_CRONOGRAMA!K28*FC_SUPUESTOS!$D$88+FC_CRONOGRAMA!K29*FC_SUPUESTOS!$E$88)*FC_SUPUESTOS!$C$44</f>
        <v>0</v>
      </c>
      <c r="L57" s="380" t="n">
        <f aca="false">(FC_CRONOGRAMA!L28*FC_SUPUESTOS!$D$88+FC_CRONOGRAMA!L29*FC_SUPUESTOS!$E$88)*FC_SUPUESTOS!$C$44</f>
        <v>0</v>
      </c>
      <c r="M57" s="380" t="n">
        <f aca="false">(FC_CRONOGRAMA!M28*FC_SUPUESTOS!$D$88+FC_CRONOGRAMA!M29*FC_SUPUESTOS!$E$88)*FC_SUPUESTOS!$C$44</f>
        <v>0</v>
      </c>
      <c r="N57" s="380" t="n">
        <f aca="false">(FC_CRONOGRAMA!N28*FC_SUPUESTOS!$D$88+FC_CRONOGRAMA!N29*FC_SUPUESTOS!$E$88)*FC_SUPUESTOS!$C$44</f>
        <v>0</v>
      </c>
      <c r="O57" s="380" t="n">
        <f aca="false">(FC_CRONOGRAMA!O28*FC_SUPUESTOS!$D$88+FC_CRONOGRAMA!O29*FC_SUPUESTOS!$E$88)*FC_SUPUESTOS!$C$44</f>
        <v>0</v>
      </c>
      <c r="P57" s="380" t="n">
        <f aca="false">(FC_CRONOGRAMA!P28*FC_SUPUESTOS!$D$88+FC_CRONOGRAMA!P29*FC_SUPUESTOS!$E$88)*FC_SUPUESTOS!$C$44</f>
        <v>0</v>
      </c>
      <c r="Q57" s="380" t="n">
        <f aca="false">(FC_CRONOGRAMA!Q28*FC_SUPUESTOS!$D$88+FC_CRONOGRAMA!Q29*FC_SUPUESTOS!$E$88)*FC_SUPUESTOS!$C$44</f>
        <v>0</v>
      </c>
      <c r="R57" s="380" t="n">
        <f aca="false">(FC_CRONOGRAMA!R28*FC_SUPUESTOS!$D$88+FC_CRONOGRAMA!R29*FC_SUPUESTOS!$E$88)*FC_SUPUESTOS!$C$44</f>
        <v>0</v>
      </c>
      <c r="S57" s="380" t="n">
        <f aca="false">(FC_CRONOGRAMA!S28*FC_SUPUESTOS!$D$88+FC_CRONOGRAMA!S29*FC_SUPUESTOS!$E$88)*FC_SUPUESTOS!$C$44</f>
        <v>0</v>
      </c>
      <c r="T57" s="380" t="n">
        <f aca="false">(FC_CRONOGRAMA!T28*FC_SUPUESTOS!$D$88+FC_CRONOGRAMA!T29*FC_SUPUESTOS!$E$88)*FC_SUPUESTOS!$C$44</f>
        <v>0</v>
      </c>
      <c r="U57" s="380" t="n">
        <f aca="false">(FC_CRONOGRAMA!U28*FC_SUPUESTOS!$D$88+FC_CRONOGRAMA!U29*FC_SUPUESTOS!$E$88)*FC_SUPUESTOS!$C$44</f>
        <v>0</v>
      </c>
      <c r="V57" s="380" t="n">
        <f aca="false">(FC_CRONOGRAMA!V28*FC_SUPUESTOS!$D$88+FC_CRONOGRAMA!V29*FC_SUPUESTOS!$E$88)*FC_SUPUESTOS!$C$44</f>
        <v>0</v>
      </c>
      <c r="W57" s="380" t="n">
        <f aca="false">(FC_CRONOGRAMA!W28*FC_SUPUESTOS!$D$88+FC_CRONOGRAMA!W29*FC_SUPUESTOS!$E$88)*FC_SUPUESTOS!$C$44</f>
        <v>0</v>
      </c>
      <c r="X57" s="380" t="n">
        <f aca="false">(FC_CRONOGRAMA!X28*FC_SUPUESTOS!$D$88+FC_CRONOGRAMA!X29*FC_SUPUESTOS!$E$88)*FC_SUPUESTOS!$C$44</f>
        <v>0</v>
      </c>
      <c r="Y57" s="380" t="n">
        <f aca="false">(FC_CRONOGRAMA!Y28*FC_SUPUESTOS!$D$88+FC_CRONOGRAMA!Y29*FC_SUPUESTOS!$E$88)*FC_SUPUESTOS!$C$44</f>
        <v>0</v>
      </c>
      <c r="Z57" s="380" t="n">
        <f aca="false">(FC_CRONOGRAMA!Z28*FC_SUPUESTOS!$D$88+FC_CRONOGRAMA!Z29*FC_SUPUESTOS!$E$88)*FC_SUPUESTOS!$C$44</f>
        <v>0</v>
      </c>
      <c r="AA57" s="380" t="n">
        <f aca="false">(FC_CRONOGRAMA!AA28*FC_SUPUESTOS!$D$88+FC_CRONOGRAMA!AA29*FC_SUPUESTOS!$E$88)*FC_SUPUESTOS!$C$44</f>
        <v>0</v>
      </c>
      <c r="AB57" s="380" t="n">
        <f aca="false">(FC_CRONOGRAMA!AB28*FC_SUPUESTOS!$D$88+FC_CRONOGRAMA!AB29*FC_SUPUESTOS!$E$88)*FC_SUPUESTOS!$C$44</f>
        <v>0</v>
      </c>
      <c r="AC57" s="380" t="n">
        <f aca="false">(FC_CRONOGRAMA!AC28*FC_SUPUESTOS!$D$88+FC_CRONOGRAMA!AC29*FC_SUPUESTOS!$E$88)*FC_SUPUESTOS!$C$44</f>
        <v>0</v>
      </c>
      <c r="AD57" s="380" t="n">
        <f aca="false">(FC_CRONOGRAMA!AD28*FC_SUPUESTOS!$D$88+FC_CRONOGRAMA!AD29*FC_SUPUESTOS!$E$88)*FC_SUPUESTOS!$C$44</f>
        <v>0</v>
      </c>
      <c r="AE57" s="380" t="n">
        <f aca="false">(FC_CRONOGRAMA!AE28*FC_SUPUESTOS!$D$88+FC_CRONOGRAMA!AE29*FC_SUPUESTOS!$E$88)*FC_SUPUESTOS!$C$44</f>
        <v>0</v>
      </c>
      <c r="AF57" s="380" t="n">
        <f aca="false">(FC_CRONOGRAMA!AF28*FC_SUPUESTOS!$D$88+FC_CRONOGRAMA!AF29*FC_SUPUESTOS!$E$88)*FC_SUPUESTOS!$C$44</f>
        <v>0</v>
      </c>
      <c r="AG57" s="380" t="n">
        <f aca="false">(FC_CRONOGRAMA!AG28*FC_SUPUESTOS!$D$88+FC_CRONOGRAMA!AG29*FC_SUPUESTOS!$E$88)*FC_SUPUESTOS!$C$44</f>
        <v>0</v>
      </c>
      <c r="AH57" s="380" t="n">
        <f aca="false">(FC_CRONOGRAMA!AH28*FC_SUPUESTOS!$D$88+FC_CRONOGRAMA!AH29*FC_SUPUESTOS!$E$88)*FC_SUPUESTOS!$C$44</f>
        <v>0</v>
      </c>
      <c r="AI57" s="380" t="n">
        <f aca="false">(FC_CRONOGRAMA!AI28*FC_SUPUESTOS!$D$88+FC_CRONOGRAMA!AI29*FC_SUPUESTOS!$E$88)*FC_SUPUESTOS!$C$44</f>
        <v>0</v>
      </c>
      <c r="AJ57" s="380" t="n">
        <f aca="false">(FC_CRONOGRAMA!AJ28*FC_SUPUESTOS!$D$88+FC_CRONOGRAMA!AJ29*FC_SUPUESTOS!$E$88)*FC_SUPUESTOS!$C$44</f>
        <v>0</v>
      </c>
      <c r="AK57" s="380" t="n">
        <f aca="false">(FC_CRONOGRAMA!AK28*FC_SUPUESTOS!$D$88+FC_CRONOGRAMA!AK29*FC_SUPUESTOS!$E$88)*FC_SUPUESTOS!$C$44</f>
        <v>0</v>
      </c>
      <c r="AL57" s="380" t="n">
        <f aca="false">(FC_CRONOGRAMA!AL28*FC_SUPUESTOS!$D$88+FC_CRONOGRAMA!AL29*FC_SUPUESTOS!$E$88)*FC_SUPUESTOS!$C$44</f>
        <v>0</v>
      </c>
      <c r="AM57" s="380" t="n">
        <f aca="false">(FC_CRONOGRAMA!AM28*FC_SUPUESTOS!$D$88+FC_CRONOGRAMA!AM29*FC_SUPUESTOS!$E$88)*FC_SUPUESTOS!$C$44</f>
        <v>0</v>
      </c>
      <c r="AN57" s="380" t="n">
        <f aca="false">(FC_CRONOGRAMA!AN28*FC_SUPUESTOS!$D$88+FC_CRONOGRAMA!AN29*FC_SUPUESTOS!$E$88)*FC_SUPUESTOS!$C$44</f>
        <v>0</v>
      </c>
      <c r="AO57" s="380" t="n">
        <f aca="false">(FC_CRONOGRAMA!AO28*FC_SUPUESTOS!$D$88+FC_CRONOGRAMA!AO29*FC_SUPUESTOS!$E$88)*FC_SUPUESTOS!$C$44</f>
        <v>0</v>
      </c>
      <c r="AP57" s="380" t="n">
        <f aca="false">(FC_CRONOGRAMA!AP28*FC_SUPUESTOS!$D$88+FC_CRONOGRAMA!AP29*FC_SUPUESTOS!$E$88)*FC_SUPUESTOS!$C$44</f>
        <v>0</v>
      </c>
      <c r="AQ57" s="380" t="n">
        <f aca="false">(FC_CRONOGRAMA!AQ28*FC_SUPUESTOS!$D$88+FC_CRONOGRAMA!AQ29*FC_SUPUESTOS!$E$88)*FC_SUPUESTOS!$C$44</f>
        <v>0</v>
      </c>
      <c r="AR57" s="380" t="n">
        <f aca="false">(FC_CRONOGRAMA!AR28*FC_SUPUESTOS!$D$88+FC_CRONOGRAMA!AR29*FC_SUPUESTOS!$E$88)*FC_SUPUESTOS!$C$44</f>
        <v>0</v>
      </c>
      <c r="AS57" s="380" t="n">
        <f aca="false">(FC_CRONOGRAMA!AS28*FC_SUPUESTOS!$D$88+FC_CRONOGRAMA!AS29*FC_SUPUESTOS!$E$88)*FC_SUPUESTOS!$C$44</f>
        <v>0</v>
      </c>
      <c r="AT57" s="380" t="n">
        <f aca="false">(FC_CRONOGRAMA!AT28*FC_SUPUESTOS!$D$88+FC_CRONOGRAMA!AT29*FC_SUPUESTOS!$E$88)*FC_SUPUESTOS!$C$44</f>
        <v>0</v>
      </c>
      <c r="AU57" s="380" t="n">
        <f aca="false">(FC_CRONOGRAMA!AU28*FC_SUPUESTOS!$D$88+FC_CRONOGRAMA!AU29*FC_SUPUESTOS!$E$88)*FC_SUPUESTOS!$C$44</f>
        <v>0</v>
      </c>
      <c r="AV57" s="380" t="n">
        <f aca="false">(FC_CRONOGRAMA!AV28*FC_SUPUESTOS!$D$88+FC_CRONOGRAMA!AV29*FC_SUPUESTOS!$E$88)*FC_SUPUESTOS!$C$44</f>
        <v>0</v>
      </c>
      <c r="AW57" s="380" t="n">
        <f aca="false">(FC_CRONOGRAMA!AW28*FC_SUPUESTOS!$D$88+FC_CRONOGRAMA!AW29*FC_SUPUESTOS!$E$88)*FC_SUPUESTOS!$C$44</f>
        <v>0</v>
      </c>
      <c r="AX57" s="380" t="n">
        <f aca="false">(FC_CRONOGRAMA!AX28*FC_SUPUESTOS!$D$88+FC_CRONOGRAMA!AX29*FC_SUPUESTOS!$E$88)*FC_SUPUESTOS!$C$44</f>
        <v>0</v>
      </c>
      <c r="AY57" s="380" t="n">
        <f aca="false">(FC_CRONOGRAMA!AY28*FC_SUPUESTOS!$D$88+FC_CRONOGRAMA!AY29*FC_SUPUESTOS!$E$88)*FC_SUPUESTOS!$C$44</f>
        <v>0</v>
      </c>
      <c r="AZ57" s="380" t="n">
        <f aca="false">(FC_CRONOGRAMA!AZ28*FC_SUPUESTOS!$D$88+FC_CRONOGRAMA!AZ29*FC_SUPUESTOS!$E$88)*FC_SUPUESTOS!$C$44</f>
        <v>0</v>
      </c>
      <c r="BA57" s="380" t="n">
        <f aca="false">(FC_CRONOGRAMA!BA28*FC_SUPUESTOS!$D$88+FC_CRONOGRAMA!BA29*FC_SUPUESTOS!$E$88)*FC_SUPUESTOS!$C$44</f>
        <v>0</v>
      </c>
      <c r="BB57" s="380" t="n">
        <f aca="false">(FC_CRONOGRAMA!BB28*FC_SUPUESTOS!$D$88+FC_CRONOGRAMA!BB29*FC_SUPUESTOS!$E$88)*FC_SUPUESTOS!$C$44</f>
        <v>0</v>
      </c>
      <c r="BC57" s="380" t="n">
        <f aca="false">(FC_CRONOGRAMA!BC28*FC_SUPUESTOS!$D$88+FC_CRONOGRAMA!BC29*FC_SUPUESTOS!$E$88)*FC_SUPUESTOS!$C$44</f>
        <v>0</v>
      </c>
      <c r="BD57" s="380" t="n">
        <f aca="false">(FC_CRONOGRAMA!BD28*FC_SUPUESTOS!$D$88+FC_CRONOGRAMA!BD29*FC_SUPUESTOS!$E$88)*FC_SUPUESTOS!$C$44</f>
        <v>0</v>
      </c>
      <c r="BE57" s="380" t="n">
        <f aca="false">(FC_CRONOGRAMA!BE28*FC_SUPUESTOS!$D$88+FC_CRONOGRAMA!BE29*FC_SUPUESTOS!$E$88)*FC_SUPUESTOS!$C$44</f>
        <v>0</v>
      </c>
      <c r="BF57" s="380" t="n">
        <f aca="false">(FC_CRONOGRAMA!BF28*FC_SUPUESTOS!$D$88+FC_CRONOGRAMA!BF29*FC_SUPUESTOS!$E$88)*FC_SUPUESTOS!$C$44</f>
        <v>0</v>
      </c>
      <c r="BG57" s="380" t="n">
        <f aca="false">(FC_CRONOGRAMA!BG28*FC_SUPUESTOS!$D$88+FC_CRONOGRAMA!BG29*FC_SUPUESTOS!$E$88)*FC_SUPUESTOS!$C$44</f>
        <v>0</v>
      </c>
      <c r="BH57" s="380" t="n">
        <f aca="false">(FC_CRONOGRAMA!BH28*FC_SUPUESTOS!$D$88+FC_CRONOGRAMA!BH29*FC_SUPUESTOS!$E$88)*FC_SUPUESTOS!$C$44</f>
        <v>0</v>
      </c>
      <c r="BI57" s="380" t="n">
        <f aca="false">(FC_CRONOGRAMA!BI28*FC_SUPUESTOS!$D$88+FC_CRONOGRAMA!BI29*FC_SUPUESTOS!$E$88)*FC_SUPUESTOS!$C$44</f>
        <v>0</v>
      </c>
      <c r="BJ57" s="380" t="n">
        <f aca="false">(FC_CRONOGRAMA!BJ28*FC_SUPUESTOS!$D$88+FC_CRONOGRAMA!BJ29*FC_SUPUESTOS!$E$88)*FC_SUPUESTOS!$C$44</f>
        <v>0</v>
      </c>
      <c r="BK57" s="380" t="n">
        <f aca="false">(FC_CRONOGRAMA!BK28*FC_SUPUESTOS!$D$88+FC_CRONOGRAMA!BK29*FC_SUPUESTOS!$E$88)*FC_SUPUESTOS!$C$44</f>
        <v>0</v>
      </c>
    </row>
    <row r="58" customFormat="false" ht="15" hidden="false" customHeight="true" outlineLevel="0" collapsed="false">
      <c r="B58" s="297" t="s">
        <v>2956</v>
      </c>
      <c r="D58" s="380" t="n">
        <f aca="false">(FC_SUPUESTOS!$C$9*FC_SUPUESTOS!$D$88+FC_SUPUESTOS!$C$10*FC_SUPUESTOS!$E$88)*FC_SUPUESTOS!$C$45-SUM($E$58:$BK$58)</f>
        <v>0</v>
      </c>
      <c r="E58" s="380" t="n">
        <f aca="false">(FC_CRONOGRAMA!E30*FC_SUPUESTOS!$D$88+FC_CRONOGRAMA!E31*FC_SUPUESTOS!$E$88)*FC_SUPUESTOS!$C$45</f>
        <v>0</v>
      </c>
      <c r="F58" s="380" t="n">
        <f aca="false">(FC_CRONOGRAMA!F30*FC_SUPUESTOS!$D$88+FC_CRONOGRAMA!F31*FC_SUPUESTOS!$E$88)*FC_SUPUESTOS!$C$45</f>
        <v>0</v>
      </c>
      <c r="G58" s="380" t="n">
        <f aca="false">(FC_CRONOGRAMA!G30*FC_SUPUESTOS!$D$88+FC_CRONOGRAMA!G31*FC_SUPUESTOS!$E$88)*FC_SUPUESTOS!$C$45</f>
        <v>109947</v>
      </c>
      <c r="H58" s="380" t="n">
        <f aca="false">(FC_CRONOGRAMA!H30*FC_SUPUESTOS!$D$88+FC_CRONOGRAMA!H31*FC_SUPUESTOS!$E$88)*FC_SUPUESTOS!$C$45</f>
        <v>0</v>
      </c>
      <c r="I58" s="380" t="n">
        <f aca="false">(FC_CRONOGRAMA!I30*FC_SUPUESTOS!$D$88+FC_CRONOGRAMA!I31*FC_SUPUESTOS!$E$88)*FC_SUPUESTOS!$C$45</f>
        <v>0</v>
      </c>
      <c r="J58" s="380" t="n">
        <f aca="false">(FC_CRONOGRAMA!J30*FC_SUPUESTOS!$D$88+FC_CRONOGRAMA!J31*FC_SUPUESTOS!$E$88)*FC_SUPUESTOS!$C$45</f>
        <v>0</v>
      </c>
      <c r="K58" s="380" t="n">
        <f aca="false">(FC_CRONOGRAMA!K30*FC_SUPUESTOS!$D$88+FC_CRONOGRAMA!K31*FC_SUPUESTOS!$E$88)*FC_SUPUESTOS!$C$45</f>
        <v>0</v>
      </c>
      <c r="L58" s="380" t="n">
        <f aca="false">(FC_CRONOGRAMA!L30*FC_SUPUESTOS!$D$88+FC_CRONOGRAMA!L31*FC_SUPUESTOS!$E$88)*FC_SUPUESTOS!$C$45</f>
        <v>0</v>
      </c>
      <c r="M58" s="380" t="n">
        <f aca="false">(FC_CRONOGRAMA!M30*FC_SUPUESTOS!$D$88+FC_CRONOGRAMA!M31*FC_SUPUESTOS!$E$88)*FC_SUPUESTOS!$C$45</f>
        <v>0</v>
      </c>
      <c r="N58" s="380" t="n">
        <f aca="false">(FC_CRONOGRAMA!N30*FC_SUPUESTOS!$D$88+FC_CRONOGRAMA!N31*FC_SUPUESTOS!$E$88)*FC_SUPUESTOS!$C$45</f>
        <v>0</v>
      </c>
      <c r="O58" s="380" t="n">
        <f aca="false">(FC_CRONOGRAMA!O30*FC_SUPUESTOS!$D$88+FC_CRONOGRAMA!O31*FC_SUPUESTOS!$E$88)*FC_SUPUESTOS!$C$45</f>
        <v>0</v>
      </c>
      <c r="P58" s="380" t="n">
        <f aca="false">(FC_CRONOGRAMA!P30*FC_SUPUESTOS!$D$88+FC_CRONOGRAMA!P31*FC_SUPUESTOS!$E$88)*FC_SUPUESTOS!$C$45</f>
        <v>0</v>
      </c>
      <c r="Q58" s="380" t="n">
        <f aca="false">(FC_CRONOGRAMA!Q30*FC_SUPUESTOS!$D$88+FC_CRONOGRAMA!Q31*FC_SUPUESTOS!$E$88)*FC_SUPUESTOS!$C$45</f>
        <v>0</v>
      </c>
      <c r="R58" s="380" t="n">
        <f aca="false">(FC_CRONOGRAMA!R30*FC_SUPUESTOS!$D$88+FC_CRONOGRAMA!R31*FC_SUPUESTOS!$E$88)*FC_SUPUESTOS!$C$45</f>
        <v>0</v>
      </c>
      <c r="S58" s="380" t="n">
        <f aca="false">(FC_CRONOGRAMA!S30*FC_SUPUESTOS!$D$88+FC_CRONOGRAMA!S31*FC_SUPUESTOS!$E$88)*FC_SUPUESTOS!$C$45</f>
        <v>0</v>
      </c>
      <c r="T58" s="380" t="n">
        <f aca="false">(FC_CRONOGRAMA!T30*FC_SUPUESTOS!$D$88+FC_CRONOGRAMA!T31*FC_SUPUESTOS!$E$88)*FC_SUPUESTOS!$C$45</f>
        <v>0</v>
      </c>
      <c r="U58" s="380" t="n">
        <f aca="false">(FC_CRONOGRAMA!U30*FC_SUPUESTOS!$D$88+FC_CRONOGRAMA!U31*FC_SUPUESTOS!$E$88)*FC_SUPUESTOS!$C$45</f>
        <v>0</v>
      </c>
      <c r="V58" s="380" t="n">
        <f aca="false">(FC_CRONOGRAMA!V30*FC_SUPUESTOS!$D$88+FC_CRONOGRAMA!V31*FC_SUPUESTOS!$E$88)*FC_SUPUESTOS!$C$45</f>
        <v>0</v>
      </c>
      <c r="W58" s="380" t="n">
        <f aca="false">(FC_CRONOGRAMA!W30*FC_SUPUESTOS!$D$88+FC_CRONOGRAMA!W31*FC_SUPUESTOS!$E$88)*FC_SUPUESTOS!$C$45</f>
        <v>0</v>
      </c>
      <c r="X58" s="380" t="n">
        <f aca="false">(FC_CRONOGRAMA!X30*FC_SUPUESTOS!$D$88+FC_CRONOGRAMA!X31*FC_SUPUESTOS!$E$88)*FC_SUPUESTOS!$C$45</f>
        <v>0</v>
      </c>
      <c r="Y58" s="380" t="n">
        <f aca="false">(FC_CRONOGRAMA!Y30*FC_SUPUESTOS!$D$88+FC_CRONOGRAMA!Y31*FC_SUPUESTOS!$E$88)*FC_SUPUESTOS!$C$45</f>
        <v>0</v>
      </c>
      <c r="Z58" s="380" t="n">
        <f aca="false">(FC_CRONOGRAMA!Z30*FC_SUPUESTOS!$D$88+FC_CRONOGRAMA!Z31*FC_SUPUESTOS!$E$88)*FC_SUPUESTOS!$C$45</f>
        <v>0</v>
      </c>
      <c r="AA58" s="380" t="n">
        <f aca="false">(FC_CRONOGRAMA!AA30*FC_SUPUESTOS!$D$88+FC_CRONOGRAMA!AA31*FC_SUPUESTOS!$E$88)*FC_SUPUESTOS!$C$45</f>
        <v>0</v>
      </c>
      <c r="AB58" s="380" t="n">
        <f aca="false">(FC_CRONOGRAMA!AB30*FC_SUPUESTOS!$D$88+FC_CRONOGRAMA!AB31*FC_SUPUESTOS!$E$88)*FC_SUPUESTOS!$C$45</f>
        <v>0</v>
      </c>
      <c r="AC58" s="380" t="n">
        <f aca="false">(FC_CRONOGRAMA!AC30*FC_SUPUESTOS!$D$88+FC_CRONOGRAMA!AC31*FC_SUPUESTOS!$E$88)*FC_SUPUESTOS!$C$45</f>
        <v>0</v>
      </c>
      <c r="AD58" s="380" t="n">
        <f aca="false">(FC_CRONOGRAMA!AD30*FC_SUPUESTOS!$D$88+FC_CRONOGRAMA!AD31*FC_SUPUESTOS!$E$88)*FC_SUPUESTOS!$C$45</f>
        <v>0</v>
      </c>
      <c r="AE58" s="380" t="n">
        <f aca="false">(FC_CRONOGRAMA!AE30*FC_SUPUESTOS!$D$88+FC_CRONOGRAMA!AE31*FC_SUPUESTOS!$E$88)*FC_SUPUESTOS!$C$45</f>
        <v>0</v>
      </c>
      <c r="AF58" s="380" t="n">
        <f aca="false">(FC_CRONOGRAMA!AF30*FC_SUPUESTOS!$D$88+FC_CRONOGRAMA!AF31*FC_SUPUESTOS!$E$88)*FC_SUPUESTOS!$C$45</f>
        <v>0</v>
      </c>
      <c r="AG58" s="380" t="n">
        <f aca="false">(FC_CRONOGRAMA!AG30*FC_SUPUESTOS!$D$88+FC_CRONOGRAMA!AG31*FC_SUPUESTOS!$E$88)*FC_SUPUESTOS!$C$45</f>
        <v>0</v>
      </c>
      <c r="AH58" s="380" t="n">
        <f aca="false">(FC_CRONOGRAMA!AH30*FC_SUPUESTOS!$D$88+FC_CRONOGRAMA!AH31*FC_SUPUESTOS!$E$88)*FC_SUPUESTOS!$C$45</f>
        <v>0</v>
      </c>
      <c r="AI58" s="380" t="n">
        <f aca="false">(FC_CRONOGRAMA!AI30*FC_SUPUESTOS!$D$88+FC_CRONOGRAMA!AI31*FC_SUPUESTOS!$E$88)*FC_SUPUESTOS!$C$45</f>
        <v>0</v>
      </c>
      <c r="AJ58" s="380" t="n">
        <f aca="false">(FC_CRONOGRAMA!AJ30*FC_SUPUESTOS!$D$88+FC_CRONOGRAMA!AJ31*FC_SUPUESTOS!$E$88)*FC_SUPUESTOS!$C$45</f>
        <v>0</v>
      </c>
      <c r="AK58" s="380" t="n">
        <f aca="false">(FC_CRONOGRAMA!AK30*FC_SUPUESTOS!$D$88+FC_CRONOGRAMA!AK31*FC_SUPUESTOS!$E$88)*FC_SUPUESTOS!$C$45</f>
        <v>0</v>
      </c>
      <c r="AL58" s="380" t="n">
        <f aca="false">(FC_CRONOGRAMA!AL30*FC_SUPUESTOS!$D$88+FC_CRONOGRAMA!AL31*FC_SUPUESTOS!$E$88)*FC_SUPUESTOS!$C$45</f>
        <v>0</v>
      </c>
      <c r="AM58" s="380" t="n">
        <f aca="false">(FC_CRONOGRAMA!AM30*FC_SUPUESTOS!$D$88+FC_CRONOGRAMA!AM31*FC_SUPUESTOS!$E$88)*FC_SUPUESTOS!$C$45</f>
        <v>0</v>
      </c>
      <c r="AN58" s="380" t="n">
        <f aca="false">(FC_CRONOGRAMA!AN30*FC_SUPUESTOS!$D$88+FC_CRONOGRAMA!AN31*FC_SUPUESTOS!$E$88)*FC_SUPUESTOS!$C$45</f>
        <v>0</v>
      </c>
      <c r="AO58" s="380" t="n">
        <f aca="false">(FC_CRONOGRAMA!AO30*FC_SUPUESTOS!$D$88+FC_CRONOGRAMA!AO31*FC_SUPUESTOS!$E$88)*FC_SUPUESTOS!$C$45</f>
        <v>0</v>
      </c>
      <c r="AP58" s="380" t="n">
        <f aca="false">(FC_CRONOGRAMA!AP30*FC_SUPUESTOS!$D$88+FC_CRONOGRAMA!AP31*FC_SUPUESTOS!$E$88)*FC_SUPUESTOS!$C$45</f>
        <v>0</v>
      </c>
      <c r="AQ58" s="380" t="n">
        <f aca="false">(FC_CRONOGRAMA!AQ30*FC_SUPUESTOS!$D$88+FC_CRONOGRAMA!AQ31*FC_SUPUESTOS!$E$88)*FC_SUPUESTOS!$C$45</f>
        <v>0</v>
      </c>
      <c r="AR58" s="380" t="n">
        <f aca="false">(FC_CRONOGRAMA!AR30*FC_SUPUESTOS!$D$88+FC_CRONOGRAMA!AR31*FC_SUPUESTOS!$E$88)*FC_SUPUESTOS!$C$45</f>
        <v>0</v>
      </c>
      <c r="AS58" s="380" t="n">
        <f aca="false">(FC_CRONOGRAMA!AS30*FC_SUPUESTOS!$D$88+FC_CRONOGRAMA!AS31*FC_SUPUESTOS!$E$88)*FC_SUPUESTOS!$C$45</f>
        <v>0</v>
      </c>
      <c r="AT58" s="380" t="n">
        <f aca="false">(FC_CRONOGRAMA!AT30*FC_SUPUESTOS!$D$88+FC_CRONOGRAMA!AT31*FC_SUPUESTOS!$E$88)*FC_SUPUESTOS!$C$45</f>
        <v>0</v>
      </c>
      <c r="AU58" s="380" t="n">
        <f aca="false">(FC_CRONOGRAMA!AU30*FC_SUPUESTOS!$D$88+FC_CRONOGRAMA!AU31*FC_SUPUESTOS!$E$88)*FC_SUPUESTOS!$C$45</f>
        <v>0</v>
      </c>
      <c r="AV58" s="380" t="n">
        <f aca="false">(FC_CRONOGRAMA!AV30*FC_SUPUESTOS!$D$88+FC_CRONOGRAMA!AV31*FC_SUPUESTOS!$E$88)*FC_SUPUESTOS!$C$45</f>
        <v>0</v>
      </c>
      <c r="AW58" s="380" t="n">
        <f aca="false">(FC_CRONOGRAMA!AW30*FC_SUPUESTOS!$D$88+FC_CRONOGRAMA!AW31*FC_SUPUESTOS!$E$88)*FC_SUPUESTOS!$C$45</f>
        <v>0</v>
      </c>
      <c r="AX58" s="380" t="n">
        <f aca="false">(FC_CRONOGRAMA!AX30*FC_SUPUESTOS!$D$88+FC_CRONOGRAMA!AX31*FC_SUPUESTOS!$E$88)*FC_SUPUESTOS!$C$45</f>
        <v>0</v>
      </c>
      <c r="AY58" s="380" t="n">
        <f aca="false">(FC_CRONOGRAMA!AY30*FC_SUPUESTOS!$D$88+FC_CRONOGRAMA!AY31*FC_SUPUESTOS!$E$88)*FC_SUPUESTOS!$C$45</f>
        <v>0</v>
      </c>
      <c r="AZ58" s="380" t="n">
        <f aca="false">(FC_CRONOGRAMA!AZ30*FC_SUPUESTOS!$D$88+FC_CRONOGRAMA!AZ31*FC_SUPUESTOS!$E$88)*FC_SUPUESTOS!$C$45</f>
        <v>0</v>
      </c>
      <c r="BA58" s="380" t="n">
        <f aca="false">(FC_CRONOGRAMA!BA30*FC_SUPUESTOS!$D$88+FC_CRONOGRAMA!BA31*FC_SUPUESTOS!$E$88)*FC_SUPUESTOS!$C$45</f>
        <v>0</v>
      </c>
      <c r="BB58" s="380" t="n">
        <f aca="false">(FC_CRONOGRAMA!BB30*FC_SUPUESTOS!$D$88+FC_CRONOGRAMA!BB31*FC_SUPUESTOS!$E$88)*FC_SUPUESTOS!$C$45</f>
        <v>0</v>
      </c>
      <c r="BC58" s="380" t="n">
        <f aca="false">(FC_CRONOGRAMA!BC30*FC_SUPUESTOS!$D$88+FC_CRONOGRAMA!BC31*FC_SUPUESTOS!$E$88)*FC_SUPUESTOS!$C$45</f>
        <v>0</v>
      </c>
      <c r="BD58" s="380" t="n">
        <f aca="false">(FC_CRONOGRAMA!BD30*FC_SUPUESTOS!$D$88+FC_CRONOGRAMA!BD31*FC_SUPUESTOS!$E$88)*FC_SUPUESTOS!$C$45</f>
        <v>0</v>
      </c>
      <c r="BE58" s="380" t="n">
        <f aca="false">(FC_CRONOGRAMA!BE30*FC_SUPUESTOS!$D$88+FC_CRONOGRAMA!BE31*FC_SUPUESTOS!$E$88)*FC_SUPUESTOS!$C$45</f>
        <v>0</v>
      </c>
      <c r="BF58" s="380" t="n">
        <f aca="false">(FC_CRONOGRAMA!BF30*FC_SUPUESTOS!$D$88+FC_CRONOGRAMA!BF31*FC_SUPUESTOS!$E$88)*FC_SUPUESTOS!$C$45</f>
        <v>0</v>
      </c>
      <c r="BG58" s="380" t="n">
        <f aca="false">(FC_CRONOGRAMA!BG30*FC_SUPUESTOS!$D$88+FC_CRONOGRAMA!BG31*FC_SUPUESTOS!$E$88)*FC_SUPUESTOS!$C$45</f>
        <v>0</v>
      </c>
      <c r="BH58" s="380" t="n">
        <f aca="false">(FC_CRONOGRAMA!BH30*FC_SUPUESTOS!$D$88+FC_CRONOGRAMA!BH31*FC_SUPUESTOS!$E$88)*FC_SUPUESTOS!$C$45</f>
        <v>0</v>
      </c>
      <c r="BI58" s="380" t="n">
        <f aca="false">(FC_CRONOGRAMA!BI30*FC_SUPUESTOS!$D$88+FC_CRONOGRAMA!BI31*FC_SUPUESTOS!$E$88)*FC_SUPUESTOS!$C$45</f>
        <v>0</v>
      </c>
      <c r="BJ58" s="380" t="n">
        <f aca="false">(FC_CRONOGRAMA!BJ30*FC_SUPUESTOS!$D$88+FC_CRONOGRAMA!BJ31*FC_SUPUESTOS!$E$88)*FC_SUPUESTOS!$C$45</f>
        <v>0</v>
      </c>
      <c r="BK58" s="380" t="n">
        <f aca="false">(FC_CRONOGRAMA!BK30*FC_SUPUESTOS!$D$88+FC_CRONOGRAMA!BK31*FC_SUPUESTOS!$E$88)*FC_SUPUESTOS!$C$45</f>
        <v>0</v>
      </c>
    </row>
    <row r="59" customFormat="false" ht="15" hidden="false" customHeight="true" outlineLevel="0" collapsed="false">
      <c r="B59" s="297" t="s">
        <v>2957</v>
      </c>
      <c r="D59" s="380" t="n">
        <f aca="false">FC_SUPUESTOS!$C$9*FC_SUPUESTOS!$D$89+FC_SUPUESTOS!$C$10*FC_SUPUESTOS!$E$89-SUM($E$59:$BK$59)</f>
        <v>0</v>
      </c>
      <c r="E59" s="380" t="n">
        <f aca="false">FC_CRONOGRAMA!E30*FC_SUPUESTOS!$D$89+FC_CRONOGRAMA!E31*FC_SUPUESTOS!$E$89</f>
        <v>0</v>
      </c>
      <c r="F59" s="380" t="n">
        <f aca="false">FC_CRONOGRAMA!F30*FC_SUPUESTOS!$D$89+FC_CRONOGRAMA!F31*FC_SUPUESTOS!$E$89</f>
        <v>0</v>
      </c>
      <c r="G59" s="380" t="n">
        <f aca="false">FC_CRONOGRAMA!G30*FC_SUPUESTOS!$D$89+FC_CRONOGRAMA!G31*FC_SUPUESTOS!$E$89</f>
        <v>23821.85</v>
      </c>
      <c r="H59" s="380" t="n">
        <f aca="false">FC_CRONOGRAMA!H30*FC_SUPUESTOS!$D$89+FC_CRONOGRAMA!H31*FC_SUPUESTOS!$E$89</f>
        <v>0</v>
      </c>
      <c r="I59" s="380" t="n">
        <f aca="false">FC_CRONOGRAMA!I30*FC_SUPUESTOS!$D$89+FC_CRONOGRAMA!I31*FC_SUPUESTOS!$E$89</f>
        <v>0</v>
      </c>
      <c r="J59" s="380" t="n">
        <f aca="false">FC_CRONOGRAMA!J30*FC_SUPUESTOS!$D$89+FC_CRONOGRAMA!J31*FC_SUPUESTOS!$E$89</f>
        <v>0</v>
      </c>
      <c r="K59" s="380" t="n">
        <f aca="false">FC_CRONOGRAMA!K30*FC_SUPUESTOS!$D$89+FC_CRONOGRAMA!K31*FC_SUPUESTOS!$E$89</f>
        <v>0</v>
      </c>
      <c r="L59" s="380" t="n">
        <f aca="false">FC_CRONOGRAMA!L30*FC_SUPUESTOS!$D$89+FC_CRONOGRAMA!L31*FC_SUPUESTOS!$E$89</f>
        <v>0</v>
      </c>
      <c r="M59" s="380" t="n">
        <f aca="false">FC_CRONOGRAMA!M30*FC_SUPUESTOS!$D$89+FC_CRONOGRAMA!M31*FC_SUPUESTOS!$E$89</f>
        <v>0</v>
      </c>
      <c r="N59" s="380" t="n">
        <f aca="false">FC_CRONOGRAMA!N30*FC_SUPUESTOS!$D$89+FC_CRONOGRAMA!N31*FC_SUPUESTOS!$E$89</f>
        <v>0</v>
      </c>
      <c r="O59" s="380" t="n">
        <f aca="false">FC_CRONOGRAMA!O30*FC_SUPUESTOS!$D$89+FC_CRONOGRAMA!O31*FC_SUPUESTOS!$E$89</f>
        <v>0</v>
      </c>
      <c r="P59" s="380" t="n">
        <f aca="false">FC_CRONOGRAMA!P30*FC_SUPUESTOS!$D$89+FC_CRONOGRAMA!P31*FC_SUPUESTOS!$E$89</f>
        <v>0</v>
      </c>
      <c r="Q59" s="380" t="n">
        <f aca="false">FC_CRONOGRAMA!Q30*FC_SUPUESTOS!$D$89+FC_CRONOGRAMA!Q31*FC_SUPUESTOS!$E$89</f>
        <v>0</v>
      </c>
      <c r="R59" s="380" t="n">
        <f aca="false">FC_CRONOGRAMA!R30*FC_SUPUESTOS!$D$89+FC_CRONOGRAMA!R31*FC_SUPUESTOS!$E$89</f>
        <v>0</v>
      </c>
      <c r="S59" s="380" t="n">
        <f aca="false">FC_CRONOGRAMA!S30*FC_SUPUESTOS!$D$89+FC_CRONOGRAMA!S31*FC_SUPUESTOS!$E$89</f>
        <v>0</v>
      </c>
      <c r="T59" s="380" t="n">
        <f aca="false">FC_CRONOGRAMA!T30*FC_SUPUESTOS!$D$89+FC_CRONOGRAMA!T31*FC_SUPUESTOS!$E$89</f>
        <v>0</v>
      </c>
      <c r="U59" s="380" t="n">
        <f aca="false">FC_CRONOGRAMA!U30*FC_SUPUESTOS!$D$89+FC_CRONOGRAMA!U31*FC_SUPUESTOS!$E$89</f>
        <v>0</v>
      </c>
      <c r="V59" s="380" t="n">
        <f aca="false">FC_CRONOGRAMA!V30*FC_SUPUESTOS!$D$89+FC_CRONOGRAMA!V31*FC_SUPUESTOS!$E$89</f>
        <v>0</v>
      </c>
      <c r="W59" s="380" t="n">
        <f aca="false">FC_CRONOGRAMA!W30*FC_SUPUESTOS!$D$89+FC_CRONOGRAMA!W31*FC_SUPUESTOS!$E$89</f>
        <v>0</v>
      </c>
      <c r="X59" s="380" t="n">
        <f aca="false">FC_CRONOGRAMA!X30*FC_SUPUESTOS!$D$89+FC_CRONOGRAMA!X31*FC_SUPUESTOS!$E$89</f>
        <v>0</v>
      </c>
      <c r="Y59" s="380" t="n">
        <f aca="false">FC_CRONOGRAMA!Y30*FC_SUPUESTOS!$D$89+FC_CRONOGRAMA!Y31*FC_SUPUESTOS!$E$89</f>
        <v>0</v>
      </c>
      <c r="Z59" s="380" t="n">
        <f aca="false">FC_CRONOGRAMA!Z30*FC_SUPUESTOS!$D$89+FC_CRONOGRAMA!Z31*FC_SUPUESTOS!$E$89</f>
        <v>0</v>
      </c>
      <c r="AA59" s="380" t="n">
        <f aca="false">FC_CRONOGRAMA!AA30*FC_SUPUESTOS!$D$89+FC_CRONOGRAMA!AA31*FC_SUPUESTOS!$E$89</f>
        <v>0</v>
      </c>
      <c r="AB59" s="380" t="n">
        <f aca="false">FC_CRONOGRAMA!AB30*FC_SUPUESTOS!$D$89+FC_CRONOGRAMA!AB31*FC_SUPUESTOS!$E$89</f>
        <v>0</v>
      </c>
      <c r="AC59" s="380" t="n">
        <f aca="false">FC_CRONOGRAMA!AC30*FC_SUPUESTOS!$D$89+FC_CRONOGRAMA!AC31*FC_SUPUESTOS!$E$89</f>
        <v>0</v>
      </c>
      <c r="AD59" s="380" t="n">
        <f aca="false">FC_CRONOGRAMA!AD30*FC_SUPUESTOS!$D$89+FC_CRONOGRAMA!AD31*FC_SUPUESTOS!$E$89</f>
        <v>0</v>
      </c>
      <c r="AE59" s="380" t="n">
        <f aca="false">FC_CRONOGRAMA!AE30*FC_SUPUESTOS!$D$89+FC_CRONOGRAMA!AE31*FC_SUPUESTOS!$E$89</f>
        <v>0</v>
      </c>
      <c r="AF59" s="380" t="n">
        <f aca="false">FC_CRONOGRAMA!AF30*FC_SUPUESTOS!$D$89+FC_CRONOGRAMA!AF31*FC_SUPUESTOS!$E$89</f>
        <v>0</v>
      </c>
      <c r="AG59" s="380" t="n">
        <f aca="false">FC_CRONOGRAMA!AG30*FC_SUPUESTOS!$D$89+FC_CRONOGRAMA!AG31*FC_SUPUESTOS!$E$89</f>
        <v>0</v>
      </c>
      <c r="AH59" s="380" t="n">
        <f aca="false">FC_CRONOGRAMA!AH30*FC_SUPUESTOS!$D$89+FC_CRONOGRAMA!AH31*FC_SUPUESTOS!$E$89</f>
        <v>0</v>
      </c>
      <c r="AI59" s="380" t="n">
        <f aca="false">FC_CRONOGRAMA!AI30*FC_SUPUESTOS!$D$89+FC_CRONOGRAMA!AI31*FC_SUPUESTOS!$E$89</f>
        <v>0</v>
      </c>
      <c r="AJ59" s="380" t="n">
        <f aca="false">FC_CRONOGRAMA!AJ30*FC_SUPUESTOS!$D$89+FC_CRONOGRAMA!AJ31*FC_SUPUESTOS!$E$89</f>
        <v>0</v>
      </c>
      <c r="AK59" s="380" t="n">
        <f aca="false">FC_CRONOGRAMA!AK30*FC_SUPUESTOS!$D$89+FC_CRONOGRAMA!AK31*FC_SUPUESTOS!$E$89</f>
        <v>0</v>
      </c>
      <c r="AL59" s="380" t="n">
        <f aca="false">FC_CRONOGRAMA!AL30*FC_SUPUESTOS!$D$89+FC_CRONOGRAMA!AL31*FC_SUPUESTOS!$E$89</f>
        <v>0</v>
      </c>
      <c r="AM59" s="380" t="n">
        <f aca="false">FC_CRONOGRAMA!AM30*FC_SUPUESTOS!$D$89+FC_CRONOGRAMA!AM31*FC_SUPUESTOS!$E$89</f>
        <v>0</v>
      </c>
      <c r="AN59" s="380" t="n">
        <f aca="false">FC_CRONOGRAMA!AN30*FC_SUPUESTOS!$D$89+FC_CRONOGRAMA!AN31*FC_SUPUESTOS!$E$89</f>
        <v>0</v>
      </c>
      <c r="AO59" s="380" t="n">
        <f aca="false">FC_CRONOGRAMA!AO30*FC_SUPUESTOS!$D$89+FC_CRONOGRAMA!AO31*FC_SUPUESTOS!$E$89</f>
        <v>0</v>
      </c>
      <c r="AP59" s="380" t="n">
        <f aca="false">FC_CRONOGRAMA!AP30*FC_SUPUESTOS!$D$89+FC_CRONOGRAMA!AP31*FC_SUPUESTOS!$E$89</f>
        <v>0</v>
      </c>
      <c r="AQ59" s="380" t="n">
        <f aca="false">FC_CRONOGRAMA!AQ30*FC_SUPUESTOS!$D$89+FC_CRONOGRAMA!AQ31*FC_SUPUESTOS!$E$89</f>
        <v>0</v>
      </c>
      <c r="AR59" s="380" t="n">
        <f aca="false">FC_CRONOGRAMA!AR30*FC_SUPUESTOS!$D$89+FC_CRONOGRAMA!AR31*FC_SUPUESTOS!$E$89</f>
        <v>0</v>
      </c>
      <c r="AS59" s="380" t="n">
        <f aca="false">FC_CRONOGRAMA!AS30*FC_SUPUESTOS!$D$89+FC_CRONOGRAMA!AS31*FC_SUPUESTOS!$E$89</f>
        <v>0</v>
      </c>
      <c r="AT59" s="380" t="n">
        <f aca="false">FC_CRONOGRAMA!AT30*FC_SUPUESTOS!$D$89+FC_CRONOGRAMA!AT31*FC_SUPUESTOS!$E$89</f>
        <v>0</v>
      </c>
      <c r="AU59" s="380" t="n">
        <f aca="false">FC_CRONOGRAMA!AU30*FC_SUPUESTOS!$D$89+FC_CRONOGRAMA!AU31*FC_SUPUESTOS!$E$89</f>
        <v>0</v>
      </c>
      <c r="AV59" s="380" t="n">
        <f aca="false">FC_CRONOGRAMA!AV30*FC_SUPUESTOS!$D$89+FC_CRONOGRAMA!AV31*FC_SUPUESTOS!$E$89</f>
        <v>0</v>
      </c>
      <c r="AW59" s="380" t="n">
        <f aca="false">FC_CRONOGRAMA!AW30*FC_SUPUESTOS!$D$89+FC_CRONOGRAMA!AW31*FC_SUPUESTOS!$E$89</f>
        <v>0</v>
      </c>
      <c r="AX59" s="380" t="n">
        <f aca="false">FC_CRONOGRAMA!AX30*FC_SUPUESTOS!$D$89+FC_CRONOGRAMA!AX31*FC_SUPUESTOS!$E$89</f>
        <v>0</v>
      </c>
      <c r="AY59" s="380" t="n">
        <f aca="false">FC_CRONOGRAMA!AY30*FC_SUPUESTOS!$D$89+FC_CRONOGRAMA!AY31*FC_SUPUESTOS!$E$89</f>
        <v>0</v>
      </c>
      <c r="AZ59" s="380" t="n">
        <f aca="false">FC_CRONOGRAMA!AZ30*FC_SUPUESTOS!$D$89+FC_CRONOGRAMA!AZ31*FC_SUPUESTOS!$E$89</f>
        <v>0</v>
      </c>
      <c r="BA59" s="380" t="n">
        <f aca="false">FC_CRONOGRAMA!BA30*FC_SUPUESTOS!$D$89+FC_CRONOGRAMA!BA31*FC_SUPUESTOS!$E$89</f>
        <v>0</v>
      </c>
      <c r="BB59" s="380" t="n">
        <f aca="false">FC_CRONOGRAMA!BB30*FC_SUPUESTOS!$D$89+FC_CRONOGRAMA!BB31*FC_SUPUESTOS!$E$89</f>
        <v>0</v>
      </c>
      <c r="BC59" s="380" t="n">
        <f aca="false">FC_CRONOGRAMA!BC30*FC_SUPUESTOS!$D$89+FC_CRONOGRAMA!BC31*FC_SUPUESTOS!$E$89</f>
        <v>0</v>
      </c>
      <c r="BD59" s="380" t="n">
        <f aca="false">FC_CRONOGRAMA!BD30*FC_SUPUESTOS!$D$89+FC_CRONOGRAMA!BD31*FC_SUPUESTOS!$E$89</f>
        <v>0</v>
      </c>
      <c r="BE59" s="380" t="n">
        <f aca="false">FC_CRONOGRAMA!BE30*FC_SUPUESTOS!$D$89+FC_CRONOGRAMA!BE31*FC_SUPUESTOS!$E$89</f>
        <v>0</v>
      </c>
      <c r="BF59" s="380" t="n">
        <f aca="false">FC_CRONOGRAMA!BF30*FC_SUPUESTOS!$D$89+FC_CRONOGRAMA!BF31*FC_SUPUESTOS!$E$89</f>
        <v>0</v>
      </c>
      <c r="BG59" s="380" t="n">
        <f aca="false">FC_CRONOGRAMA!BG30*FC_SUPUESTOS!$D$89+FC_CRONOGRAMA!BG31*FC_SUPUESTOS!$E$89</f>
        <v>0</v>
      </c>
      <c r="BH59" s="380" t="n">
        <f aca="false">FC_CRONOGRAMA!BH30*FC_SUPUESTOS!$D$89+FC_CRONOGRAMA!BH31*FC_SUPUESTOS!$E$89</f>
        <v>0</v>
      </c>
      <c r="BI59" s="380" t="n">
        <f aca="false">FC_CRONOGRAMA!BI30*FC_SUPUESTOS!$D$89+FC_CRONOGRAMA!BI31*FC_SUPUESTOS!$E$89</f>
        <v>0</v>
      </c>
      <c r="BJ59" s="380" t="n">
        <f aca="false">FC_CRONOGRAMA!BJ30*FC_SUPUESTOS!$D$89+FC_CRONOGRAMA!BJ31*FC_SUPUESTOS!$E$89</f>
        <v>0</v>
      </c>
      <c r="BK59" s="380" t="n">
        <f aca="false">FC_CRONOGRAMA!BK30*FC_SUPUESTOS!$D$89+FC_CRONOGRAMA!BK31*FC_SUPUESTOS!$E$89</f>
        <v>0</v>
      </c>
    </row>
    <row r="60" customFormat="false" ht="15" hidden="false" customHeight="true" outlineLevel="0" collapsed="false">
      <c r="B60" s="297" t="s">
        <v>2958</v>
      </c>
      <c r="D60" s="380" t="n">
        <f aca="false">FC_SUPUESTOS!$C$9*FC_SUPUESTOS!$D$90+FC_SUPUESTOS!$C$10*FC_SUPUESTOS!$E$90-SUM($E$60:$BK$60)</f>
        <v>0</v>
      </c>
      <c r="E60" s="380" t="n">
        <f aca="false">FC_CRONOGRAMA!E32*FC_SUPUESTOS!$D$90+FC_CRONOGRAMA!E33*FC_SUPUESTOS!$E$90</f>
        <v>0</v>
      </c>
      <c r="F60" s="380" t="n">
        <f aca="false">FC_CRONOGRAMA!F32*FC_SUPUESTOS!$D$90+FC_CRONOGRAMA!F33*FC_SUPUESTOS!$E$90</f>
        <v>0</v>
      </c>
      <c r="G60" s="380" t="n">
        <f aca="false">FC_CRONOGRAMA!G32*FC_SUPUESTOS!$D$90+FC_CRONOGRAMA!G33*FC_SUPUESTOS!$E$90</f>
        <v>0</v>
      </c>
      <c r="H60" s="380" t="n">
        <f aca="false">FC_CRONOGRAMA!H32*FC_SUPUESTOS!$D$90+FC_CRONOGRAMA!H33*FC_SUPUESTOS!$E$90</f>
        <v>93180.0825</v>
      </c>
      <c r="I60" s="380" t="n">
        <f aca="false">FC_CRONOGRAMA!I32*FC_SUPUESTOS!$D$90+FC_CRONOGRAMA!I33*FC_SUPUESTOS!$E$90</f>
        <v>0</v>
      </c>
      <c r="J60" s="380" t="n">
        <f aca="false">FC_CRONOGRAMA!J32*FC_SUPUESTOS!$D$90+FC_CRONOGRAMA!J33*FC_SUPUESTOS!$E$90</f>
        <v>0</v>
      </c>
      <c r="K60" s="380" t="n">
        <f aca="false">FC_CRONOGRAMA!K32*FC_SUPUESTOS!$D$90+FC_CRONOGRAMA!K33*FC_SUPUESTOS!$E$90</f>
        <v>0</v>
      </c>
      <c r="L60" s="380" t="n">
        <f aca="false">FC_CRONOGRAMA!L32*FC_SUPUESTOS!$D$90+FC_CRONOGRAMA!L33*FC_SUPUESTOS!$E$90</f>
        <v>0</v>
      </c>
      <c r="M60" s="380" t="n">
        <f aca="false">FC_CRONOGRAMA!M32*FC_SUPUESTOS!$D$90+FC_CRONOGRAMA!M33*FC_SUPUESTOS!$E$90</f>
        <v>0</v>
      </c>
      <c r="N60" s="380" t="n">
        <f aca="false">FC_CRONOGRAMA!N32*FC_SUPUESTOS!$D$90+FC_CRONOGRAMA!N33*FC_SUPUESTOS!$E$90</f>
        <v>0</v>
      </c>
      <c r="O60" s="380" t="n">
        <f aca="false">FC_CRONOGRAMA!O32*FC_SUPUESTOS!$D$90+FC_CRONOGRAMA!O33*FC_SUPUESTOS!$E$90</f>
        <v>0</v>
      </c>
      <c r="P60" s="380" t="n">
        <f aca="false">FC_CRONOGRAMA!P32*FC_SUPUESTOS!$D$90+FC_CRONOGRAMA!P33*FC_SUPUESTOS!$E$90</f>
        <v>0</v>
      </c>
      <c r="Q60" s="380" t="n">
        <f aca="false">FC_CRONOGRAMA!Q32*FC_SUPUESTOS!$D$90+FC_CRONOGRAMA!Q33*FC_SUPUESTOS!$E$90</f>
        <v>0</v>
      </c>
      <c r="R60" s="380" t="n">
        <f aca="false">FC_CRONOGRAMA!R32*FC_SUPUESTOS!$D$90+FC_CRONOGRAMA!R33*FC_SUPUESTOS!$E$90</f>
        <v>0</v>
      </c>
      <c r="S60" s="380" t="n">
        <f aca="false">FC_CRONOGRAMA!S32*FC_SUPUESTOS!$D$90+FC_CRONOGRAMA!S33*FC_SUPUESTOS!$E$90</f>
        <v>0</v>
      </c>
      <c r="T60" s="380" t="n">
        <f aca="false">FC_CRONOGRAMA!T32*FC_SUPUESTOS!$D$90+FC_CRONOGRAMA!T33*FC_SUPUESTOS!$E$90</f>
        <v>0</v>
      </c>
      <c r="U60" s="380" t="n">
        <f aca="false">FC_CRONOGRAMA!U32*FC_SUPUESTOS!$D$90+FC_CRONOGRAMA!U33*FC_SUPUESTOS!$E$90</f>
        <v>0</v>
      </c>
      <c r="V60" s="380" t="n">
        <f aca="false">FC_CRONOGRAMA!V32*FC_SUPUESTOS!$D$90+FC_CRONOGRAMA!V33*FC_SUPUESTOS!$E$90</f>
        <v>0</v>
      </c>
      <c r="W60" s="380" t="n">
        <f aca="false">FC_CRONOGRAMA!W32*FC_SUPUESTOS!$D$90+FC_CRONOGRAMA!W33*FC_SUPUESTOS!$E$90</f>
        <v>0</v>
      </c>
      <c r="X60" s="380" t="n">
        <f aca="false">FC_CRONOGRAMA!X32*FC_SUPUESTOS!$D$90+FC_CRONOGRAMA!X33*FC_SUPUESTOS!$E$90</f>
        <v>0</v>
      </c>
      <c r="Y60" s="380" t="n">
        <f aca="false">FC_CRONOGRAMA!Y32*FC_SUPUESTOS!$D$90+FC_CRONOGRAMA!Y33*FC_SUPUESTOS!$E$90</f>
        <v>0</v>
      </c>
      <c r="Z60" s="380" t="n">
        <f aca="false">FC_CRONOGRAMA!Z32*FC_SUPUESTOS!$D$90+FC_CRONOGRAMA!Z33*FC_SUPUESTOS!$E$90</f>
        <v>0</v>
      </c>
      <c r="AA60" s="380" t="n">
        <f aca="false">FC_CRONOGRAMA!AA32*FC_SUPUESTOS!$D$90+FC_CRONOGRAMA!AA33*FC_SUPUESTOS!$E$90</f>
        <v>0</v>
      </c>
      <c r="AB60" s="380" t="n">
        <f aca="false">FC_CRONOGRAMA!AB32*FC_SUPUESTOS!$D$90+FC_CRONOGRAMA!AB33*FC_SUPUESTOS!$E$90</f>
        <v>0</v>
      </c>
      <c r="AC60" s="380" t="n">
        <f aca="false">FC_CRONOGRAMA!AC32*FC_SUPUESTOS!$D$90+FC_CRONOGRAMA!AC33*FC_SUPUESTOS!$E$90</f>
        <v>0</v>
      </c>
      <c r="AD60" s="380" t="n">
        <f aca="false">FC_CRONOGRAMA!AD32*FC_SUPUESTOS!$D$90+FC_CRONOGRAMA!AD33*FC_SUPUESTOS!$E$90</f>
        <v>0</v>
      </c>
      <c r="AE60" s="380" t="n">
        <f aca="false">FC_CRONOGRAMA!AE32*FC_SUPUESTOS!$D$90+FC_CRONOGRAMA!AE33*FC_SUPUESTOS!$E$90</f>
        <v>0</v>
      </c>
      <c r="AF60" s="380" t="n">
        <f aca="false">FC_CRONOGRAMA!AF32*FC_SUPUESTOS!$D$90+FC_CRONOGRAMA!AF33*FC_SUPUESTOS!$E$90</f>
        <v>0</v>
      </c>
      <c r="AG60" s="380" t="n">
        <f aca="false">FC_CRONOGRAMA!AG32*FC_SUPUESTOS!$D$90+FC_CRONOGRAMA!AG33*FC_SUPUESTOS!$E$90</f>
        <v>0</v>
      </c>
      <c r="AH60" s="380" t="n">
        <f aca="false">FC_CRONOGRAMA!AH32*FC_SUPUESTOS!$D$90+FC_CRONOGRAMA!AH33*FC_SUPUESTOS!$E$90</f>
        <v>0</v>
      </c>
      <c r="AI60" s="380" t="n">
        <f aca="false">FC_CRONOGRAMA!AI32*FC_SUPUESTOS!$D$90+FC_CRONOGRAMA!AI33*FC_SUPUESTOS!$E$90</f>
        <v>0</v>
      </c>
      <c r="AJ60" s="380" t="n">
        <f aca="false">FC_CRONOGRAMA!AJ32*FC_SUPUESTOS!$D$90+FC_CRONOGRAMA!AJ33*FC_SUPUESTOS!$E$90</f>
        <v>0</v>
      </c>
      <c r="AK60" s="380" t="n">
        <f aca="false">FC_CRONOGRAMA!AK32*FC_SUPUESTOS!$D$90+FC_CRONOGRAMA!AK33*FC_SUPUESTOS!$E$90</f>
        <v>0</v>
      </c>
      <c r="AL60" s="380" t="n">
        <f aca="false">FC_CRONOGRAMA!AL32*FC_SUPUESTOS!$D$90+FC_CRONOGRAMA!AL33*FC_SUPUESTOS!$E$90</f>
        <v>0</v>
      </c>
      <c r="AM60" s="380" t="n">
        <f aca="false">FC_CRONOGRAMA!AM32*FC_SUPUESTOS!$D$90+FC_CRONOGRAMA!AM33*FC_SUPUESTOS!$E$90</f>
        <v>0</v>
      </c>
      <c r="AN60" s="380" t="n">
        <f aca="false">FC_CRONOGRAMA!AN32*FC_SUPUESTOS!$D$90+FC_CRONOGRAMA!AN33*FC_SUPUESTOS!$E$90</f>
        <v>0</v>
      </c>
      <c r="AO60" s="380" t="n">
        <f aca="false">FC_CRONOGRAMA!AO32*FC_SUPUESTOS!$D$90+FC_CRONOGRAMA!AO33*FC_SUPUESTOS!$E$90</f>
        <v>0</v>
      </c>
      <c r="AP60" s="380" t="n">
        <f aca="false">FC_CRONOGRAMA!AP32*FC_SUPUESTOS!$D$90+FC_CRONOGRAMA!AP33*FC_SUPUESTOS!$E$90</f>
        <v>0</v>
      </c>
      <c r="AQ60" s="380" t="n">
        <f aca="false">FC_CRONOGRAMA!AQ32*FC_SUPUESTOS!$D$90+FC_CRONOGRAMA!AQ33*FC_SUPUESTOS!$E$90</f>
        <v>0</v>
      </c>
      <c r="AR60" s="380" t="n">
        <f aca="false">FC_CRONOGRAMA!AR32*FC_SUPUESTOS!$D$90+FC_CRONOGRAMA!AR33*FC_SUPUESTOS!$E$90</f>
        <v>0</v>
      </c>
      <c r="AS60" s="380" t="n">
        <f aca="false">FC_CRONOGRAMA!AS32*FC_SUPUESTOS!$D$90+FC_CRONOGRAMA!AS33*FC_SUPUESTOS!$E$90</f>
        <v>0</v>
      </c>
      <c r="AT60" s="380" t="n">
        <f aca="false">FC_CRONOGRAMA!AT32*FC_SUPUESTOS!$D$90+FC_CRONOGRAMA!AT33*FC_SUPUESTOS!$E$90</f>
        <v>0</v>
      </c>
      <c r="AU60" s="380" t="n">
        <f aca="false">FC_CRONOGRAMA!AU32*FC_SUPUESTOS!$D$90+FC_CRONOGRAMA!AU33*FC_SUPUESTOS!$E$90</f>
        <v>0</v>
      </c>
      <c r="AV60" s="380" t="n">
        <f aca="false">FC_CRONOGRAMA!AV32*FC_SUPUESTOS!$D$90+FC_CRONOGRAMA!AV33*FC_SUPUESTOS!$E$90</f>
        <v>0</v>
      </c>
      <c r="AW60" s="380" t="n">
        <f aca="false">FC_CRONOGRAMA!AW32*FC_SUPUESTOS!$D$90+FC_CRONOGRAMA!AW33*FC_SUPUESTOS!$E$90</f>
        <v>0</v>
      </c>
      <c r="AX60" s="380" t="n">
        <f aca="false">FC_CRONOGRAMA!AX32*FC_SUPUESTOS!$D$90+FC_CRONOGRAMA!AX33*FC_SUPUESTOS!$E$90</f>
        <v>0</v>
      </c>
      <c r="AY60" s="380" t="n">
        <f aca="false">FC_CRONOGRAMA!AY32*FC_SUPUESTOS!$D$90+FC_CRONOGRAMA!AY33*FC_SUPUESTOS!$E$90</f>
        <v>0</v>
      </c>
      <c r="AZ60" s="380" t="n">
        <f aca="false">FC_CRONOGRAMA!AZ32*FC_SUPUESTOS!$D$90+FC_CRONOGRAMA!AZ33*FC_SUPUESTOS!$E$90</f>
        <v>0</v>
      </c>
      <c r="BA60" s="380" t="n">
        <f aca="false">FC_CRONOGRAMA!BA32*FC_SUPUESTOS!$D$90+FC_CRONOGRAMA!BA33*FC_SUPUESTOS!$E$90</f>
        <v>0</v>
      </c>
      <c r="BB60" s="380" t="n">
        <f aca="false">FC_CRONOGRAMA!BB32*FC_SUPUESTOS!$D$90+FC_CRONOGRAMA!BB33*FC_SUPUESTOS!$E$90</f>
        <v>0</v>
      </c>
      <c r="BC60" s="380" t="n">
        <f aca="false">FC_CRONOGRAMA!BC32*FC_SUPUESTOS!$D$90+FC_CRONOGRAMA!BC33*FC_SUPUESTOS!$E$90</f>
        <v>0</v>
      </c>
      <c r="BD60" s="380" t="n">
        <f aca="false">FC_CRONOGRAMA!BD32*FC_SUPUESTOS!$D$90+FC_CRONOGRAMA!BD33*FC_SUPUESTOS!$E$90</f>
        <v>0</v>
      </c>
      <c r="BE60" s="380" t="n">
        <f aca="false">FC_CRONOGRAMA!BE32*FC_SUPUESTOS!$D$90+FC_CRONOGRAMA!BE33*FC_SUPUESTOS!$E$90</f>
        <v>0</v>
      </c>
      <c r="BF60" s="380" t="n">
        <f aca="false">FC_CRONOGRAMA!BF32*FC_SUPUESTOS!$D$90+FC_CRONOGRAMA!BF33*FC_SUPUESTOS!$E$90</f>
        <v>0</v>
      </c>
      <c r="BG60" s="380" t="n">
        <f aca="false">FC_CRONOGRAMA!BG32*FC_SUPUESTOS!$D$90+FC_CRONOGRAMA!BG33*FC_SUPUESTOS!$E$90</f>
        <v>0</v>
      </c>
      <c r="BH60" s="380" t="n">
        <f aca="false">FC_CRONOGRAMA!BH32*FC_SUPUESTOS!$D$90+FC_CRONOGRAMA!BH33*FC_SUPUESTOS!$E$90</f>
        <v>0</v>
      </c>
      <c r="BI60" s="380" t="n">
        <f aca="false">FC_CRONOGRAMA!BI32*FC_SUPUESTOS!$D$90+FC_CRONOGRAMA!BI33*FC_SUPUESTOS!$E$90</f>
        <v>0</v>
      </c>
      <c r="BJ60" s="380" t="n">
        <f aca="false">FC_CRONOGRAMA!BJ32*FC_SUPUESTOS!$D$90+FC_CRONOGRAMA!BJ33*FC_SUPUESTOS!$E$90</f>
        <v>0</v>
      </c>
      <c r="BK60" s="380" t="n">
        <f aca="false">FC_CRONOGRAMA!BK32*FC_SUPUESTOS!$D$90+FC_CRONOGRAMA!BK33*FC_SUPUESTOS!$E$90</f>
        <v>0</v>
      </c>
    </row>
    <row r="61" customFormat="false" ht="15" hidden="false" customHeight="true" outlineLevel="0" collapsed="false">
      <c r="B61" s="297" t="s">
        <v>2959</v>
      </c>
      <c r="D61" s="380" t="n">
        <f aca="false">D99+D100+D101</f>
        <v>0</v>
      </c>
      <c r="E61" s="380" t="n">
        <f aca="false">E99+E100+E101</f>
        <v>0</v>
      </c>
      <c r="F61" s="380" t="n">
        <f aca="false">F99+F100+F101</f>
        <v>0</v>
      </c>
      <c r="G61" s="380" t="n">
        <f aca="false">G99+G100+G101</f>
        <v>0</v>
      </c>
      <c r="H61" s="380" t="n">
        <f aca="false">H99+H100+H101</f>
        <v>0</v>
      </c>
      <c r="I61" s="380" t="n">
        <f aca="false">I99+I100+I101</f>
        <v>0</v>
      </c>
      <c r="J61" s="380" t="n">
        <f aca="false">J99+J100+J101</f>
        <v>17800</v>
      </c>
      <c r="K61" s="380" t="n">
        <f aca="false">K99+K100+K101</f>
        <v>35600</v>
      </c>
      <c r="L61" s="380" t="n">
        <f aca="false">L99+L100+L101</f>
        <v>49200</v>
      </c>
      <c r="M61" s="380" t="n">
        <f aca="false">M99+M100+M101</f>
        <v>52350</v>
      </c>
      <c r="N61" s="380" t="n">
        <f aca="false">N99+N100+N101</f>
        <v>58650</v>
      </c>
      <c r="O61" s="380" t="n">
        <f aca="false">O99+O100+O101</f>
        <v>40600</v>
      </c>
      <c r="P61" s="380" t="n">
        <f aca="false">P99+P100+P101</f>
        <v>19400</v>
      </c>
      <c r="Q61" s="380" t="n">
        <f aca="false">Q99+Q100+Q101</f>
        <v>0</v>
      </c>
      <c r="R61" s="380" t="n">
        <f aca="false">R99+R100+R101</f>
        <v>0</v>
      </c>
      <c r="S61" s="380" t="n">
        <f aca="false">S99+S100+S101</f>
        <v>0</v>
      </c>
      <c r="T61" s="380" t="n">
        <f aca="false">T99+T100+T101</f>
        <v>0</v>
      </c>
      <c r="U61" s="380" t="n">
        <f aca="false">U99+U100+U101</f>
        <v>0</v>
      </c>
      <c r="V61" s="380" t="n">
        <f aca="false">V99+V100+V101</f>
        <v>0</v>
      </c>
      <c r="W61" s="380" t="n">
        <f aca="false">W99+W100+W101</f>
        <v>0</v>
      </c>
      <c r="X61" s="380" t="n">
        <f aca="false">X99+X100+X101</f>
        <v>0</v>
      </c>
      <c r="Y61" s="380" t="n">
        <f aca="false">Y99+Y100+Y101</f>
        <v>0</v>
      </c>
      <c r="Z61" s="380" t="n">
        <f aca="false">Z99+Z100+Z101</f>
        <v>0</v>
      </c>
      <c r="AA61" s="380" t="n">
        <f aca="false">AA99+AA100+AA101</f>
        <v>0</v>
      </c>
      <c r="AB61" s="380" t="n">
        <f aca="false">AB99+AB100+AB101</f>
        <v>0</v>
      </c>
      <c r="AC61" s="380" t="n">
        <f aca="false">AC99+AC100+AC101</f>
        <v>0</v>
      </c>
      <c r="AD61" s="380" t="n">
        <f aca="false">AD99+AD100+AD101</f>
        <v>0</v>
      </c>
      <c r="AE61" s="380" t="n">
        <f aca="false">AE99+AE100+AE101</f>
        <v>0</v>
      </c>
      <c r="AF61" s="380" t="n">
        <f aca="false">AF99+AF100+AF101</f>
        <v>0</v>
      </c>
      <c r="AG61" s="380" t="n">
        <f aca="false">AG99+AG100+AG101</f>
        <v>0</v>
      </c>
      <c r="AH61" s="380" t="n">
        <f aca="false">AH99+AH100+AH101</f>
        <v>0</v>
      </c>
      <c r="AI61" s="380" t="n">
        <f aca="false">AI99+AI100+AI101</f>
        <v>0</v>
      </c>
      <c r="AJ61" s="380" t="n">
        <f aca="false">AJ99+AJ100+AJ101</f>
        <v>0</v>
      </c>
      <c r="AK61" s="380" t="n">
        <f aca="false">AK99+AK100+AK101</f>
        <v>0</v>
      </c>
      <c r="AL61" s="380" t="n">
        <f aca="false">AL99+AL100+AL101</f>
        <v>0</v>
      </c>
      <c r="AM61" s="380" t="n">
        <f aca="false">AM99+AM100+AM101</f>
        <v>0</v>
      </c>
      <c r="AN61" s="380" t="n">
        <f aca="false">AN99+AN100+AN101</f>
        <v>0</v>
      </c>
      <c r="AO61" s="380" t="n">
        <f aca="false">AO99+AO100+AO101</f>
        <v>0</v>
      </c>
      <c r="AP61" s="380" t="n">
        <f aca="false">AP99+AP100+AP101</f>
        <v>0</v>
      </c>
      <c r="AQ61" s="380" t="n">
        <f aca="false">AQ99+AQ100+AQ101</f>
        <v>0</v>
      </c>
      <c r="AR61" s="380" t="n">
        <f aca="false">AR99+AR100+AR101</f>
        <v>0</v>
      </c>
      <c r="AS61" s="380" t="n">
        <f aca="false">AS99+AS100+AS101</f>
        <v>0</v>
      </c>
      <c r="AT61" s="380" t="n">
        <f aca="false">AT99+AT100+AT101</f>
        <v>0</v>
      </c>
      <c r="AU61" s="380" t="n">
        <f aca="false">AU99+AU100+AU101</f>
        <v>0</v>
      </c>
      <c r="AV61" s="380" t="n">
        <f aca="false">AV99+AV100+AV101</f>
        <v>0</v>
      </c>
      <c r="AW61" s="380" t="n">
        <f aca="false">AW99+AW100+AW101</f>
        <v>0</v>
      </c>
      <c r="AX61" s="380" t="n">
        <f aca="false">AX99+AX100+AX101</f>
        <v>0</v>
      </c>
      <c r="AY61" s="380" t="n">
        <f aca="false">AY99+AY100+AY101</f>
        <v>0</v>
      </c>
      <c r="AZ61" s="380" t="n">
        <f aca="false">AZ99+AZ100+AZ101</f>
        <v>0</v>
      </c>
      <c r="BA61" s="380" t="n">
        <f aca="false">BA99+BA100+BA101</f>
        <v>0</v>
      </c>
      <c r="BB61" s="380" t="n">
        <f aca="false">BB99+BB100+BB101</f>
        <v>0</v>
      </c>
      <c r="BC61" s="380" t="n">
        <f aca="false">BC99+BC100+BC101</f>
        <v>0</v>
      </c>
      <c r="BD61" s="380" t="n">
        <f aca="false">BD99+BD100+BD101</f>
        <v>0</v>
      </c>
      <c r="BE61" s="380" t="n">
        <f aca="false">BE99+BE100+BE101</f>
        <v>0</v>
      </c>
      <c r="BF61" s="380" t="n">
        <f aca="false">BF99+BF100+BF101</f>
        <v>0</v>
      </c>
      <c r="BG61" s="380" t="n">
        <f aca="false">BG99+BG100+BG101</f>
        <v>0</v>
      </c>
      <c r="BH61" s="380" t="n">
        <f aca="false">BH99+BH100+BH101</f>
        <v>0</v>
      </c>
      <c r="BI61" s="380" t="n">
        <f aca="false">BI99+BI100+BI101</f>
        <v>0</v>
      </c>
      <c r="BJ61" s="380" t="n">
        <f aca="false">BJ99+BJ100+BJ101</f>
        <v>0</v>
      </c>
      <c r="BK61" s="380" t="n">
        <f aca="false">BK99+BK100+BK101</f>
        <v>0</v>
      </c>
    </row>
    <row r="62" customFormat="false" ht="15" hidden="false" customHeight="true" outlineLevel="0" collapsed="false">
      <c r="B62" s="297" t="s">
        <v>2960</v>
      </c>
      <c r="D62" s="380" t="n">
        <f aca="false">FC_SUPUESTOS!$C$9*FC_SUPUESTOS!$D$93+FC_SUPUESTOS!$C$10*FC_SUPUESTOS!$E$93-SUM($E$62:$BK$62)</f>
        <v>0</v>
      </c>
      <c r="E62" s="380" t="n">
        <f aca="false">(FC_CRONOGRAMA!E40*FC_SUPUESTOS!$D$93+FC_CRONOGRAMA!E41*FC_SUPUESTOS!$E$93)/FC_SUPUESTOS!$C$32</f>
        <v>0</v>
      </c>
      <c r="F62" s="380" t="n">
        <f aca="false">(FC_CRONOGRAMA!F40*FC_SUPUESTOS!$D$93+FC_CRONOGRAMA!F41*FC_SUPUESTOS!$E$93)/FC_SUPUESTOS!$C$32</f>
        <v>0</v>
      </c>
      <c r="G62" s="380" t="n">
        <f aca="false">(FC_CRONOGRAMA!G40*FC_SUPUESTOS!$D$93+FC_CRONOGRAMA!G41*FC_SUPUESTOS!$E$93)/FC_SUPUESTOS!$C$32</f>
        <v>0</v>
      </c>
      <c r="H62" s="380" t="n">
        <f aca="false">(FC_CRONOGRAMA!H40*FC_SUPUESTOS!$D$93+FC_CRONOGRAMA!H41*FC_SUPUESTOS!$E$93)/FC_SUPUESTOS!$C$32</f>
        <v>0</v>
      </c>
      <c r="I62" s="380" t="n">
        <f aca="false">(FC_CRONOGRAMA!I40*FC_SUPUESTOS!$D$93+FC_CRONOGRAMA!I41*FC_SUPUESTOS!$E$93)/FC_SUPUESTOS!$C$32</f>
        <v>0</v>
      </c>
      <c r="J62" s="380" t="n">
        <f aca="false">(FC_CRONOGRAMA!J40*FC_SUPUESTOS!$D$93+FC_CRONOGRAMA!J41*FC_SUPUESTOS!$E$93)/FC_SUPUESTOS!$C$32</f>
        <v>0</v>
      </c>
      <c r="K62" s="380" t="n">
        <f aca="false">(FC_CRONOGRAMA!K40*FC_SUPUESTOS!$D$93+FC_CRONOGRAMA!K41*FC_SUPUESTOS!$E$93)/FC_SUPUESTOS!$C$32</f>
        <v>28000</v>
      </c>
      <c r="L62" s="380" t="n">
        <f aca="false">(FC_CRONOGRAMA!L40*FC_SUPUESTOS!$D$93+FC_CRONOGRAMA!L41*FC_SUPUESTOS!$E$93)/FC_SUPUESTOS!$C$32</f>
        <v>56000</v>
      </c>
      <c r="M62" s="380" t="n">
        <f aca="false">(FC_CRONOGRAMA!M40*FC_SUPUESTOS!$D$93+FC_CRONOGRAMA!M41*FC_SUPUESTOS!$E$93)/FC_SUPUESTOS!$C$32</f>
        <v>56000</v>
      </c>
      <c r="N62" s="380" t="n">
        <f aca="false">(FC_CRONOGRAMA!N40*FC_SUPUESTOS!$D$93+FC_CRONOGRAMA!N41*FC_SUPUESTOS!$E$93)/FC_SUPUESTOS!$C$32</f>
        <v>70000</v>
      </c>
      <c r="O62" s="380" t="n">
        <f aca="false">(FC_CRONOGRAMA!O40*FC_SUPUESTOS!$D$93+FC_CRONOGRAMA!O41*FC_SUPUESTOS!$E$93)/FC_SUPUESTOS!$C$32</f>
        <v>98000</v>
      </c>
      <c r="P62" s="380" t="n">
        <f aca="false">(FC_CRONOGRAMA!P40*FC_SUPUESTOS!$D$93+FC_CRONOGRAMA!P41*FC_SUPUESTOS!$E$93)/FC_SUPUESTOS!$C$32</f>
        <v>56000</v>
      </c>
      <c r="Q62" s="380" t="n">
        <f aca="false">(FC_CRONOGRAMA!Q40*FC_SUPUESTOS!$D$93+FC_CRONOGRAMA!Q41*FC_SUPUESTOS!$E$93)/FC_SUPUESTOS!$C$32</f>
        <v>0</v>
      </c>
      <c r="R62" s="380" t="n">
        <f aca="false">(FC_CRONOGRAMA!R40*FC_SUPUESTOS!$D$93+FC_CRONOGRAMA!R41*FC_SUPUESTOS!$E$93)/FC_SUPUESTOS!$C$32</f>
        <v>0</v>
      </c>
      <c r="S62" s="380" t="n">
        <f aca="false">(FC_CRONOGRAMA!S40*FC_SUPUESTOS!$D$93+FC_CRONOGRAMA!S41*FC_SUPUESTOS!$E$93)/FC_SUPUESTOS!$C$32</f>
        <v>0</v>
      </c>
      <c r="T62" s="380" t="n">
        <f aca="false">(FC_CRONOGRAMA!T40*FC_SUPUESTOS!$D$93+FC_CRONOGRAMA!T41*FC_SUPUESTOS!$E$93)/FC_SUPUESTOS!$C$32</f>
        <v>0</v>
      </c>
      <c r="U62" s="380" t="n">
        <f aca="false">(FC_CRONOGRAMA!U40*FC_SUPUESTOS!$D$93+FC_CRONOGRAMA!U41*FC_SUPUESTOS!$E$93)/FC_SUPUESTOS!$C$32</f>
        <v>0</v>
      </c>
      <c r="V62" s="380" t="n">
        <f aca="false">(FC_CRONOGRAMA!V40*FC_SUPUESTOS!$D$93+FC_CRONOGRAMA!V41*FC_SUPUESTOS!$E$93)/FC_SUPUESTOS!$C$32</f>
        <v>0</v>
      </c>
      <c r="W62" s="380" t="n">
        <f aca="false">(FC_CRONOGRAMA!W40*FC_SUPUESTOS!$D$93+FC_CRONOGRAMA!W41*FC_SUPUESTOS!$E$93)/FC_SUPUESTOS!$C$32</f>
        <v>0</v>
      </c>
      <c r="X62" s="380" t="n">
        <f aca="false">(FC_CRONOGRAMA!X40*FC_SUPUESTOS!$D$93+FC_CRONOGRAMA!X41*FC_SUPUESTOS!$E$93)/FC_SUPUESTOS!$C$32</f>
        <v>0</v>
      </c>
      <c r="Y62" s="380" t="n">
        <f aca="false">(FC_CRONOGRAMA!Y40*FC_SUPUESTOS!$D$93+FC_CRONOGRAMA!Y41*FC_SUPUESTOS!$E$93)/FC_SUPUESTOS!$C$32</f>
        <v>0</v>
      </c>
      <c r="Z62" s="380" t="n">
        <f aca="false">(FC_CRONOGRAMA!Z40*FC_SUPUESTOS!$D$93+FC_CRONOGRAMA!Z41*FC_SUPUESTOS!$E$93)/FC_SUPUESTOS!$C$32</f>
        <v>0</v>
      </c>
      <c r="AA62" s="380" t="n">
        <f aca="false">(FC_CRONOGRAMA!AA40*FC_SUPUESTOS!$D$93+FC_CRONOGRAMA!AA41*FC_SUPUESTOS!$E$93)/FC_SUPUESTOS!$C$32</f>
        <v>0</v>
      </c>
      <c r="AB62" s="380" t="n">
        <f aca="false">(FC_CRONOGRAMA!AB40*FC_SUPUESTOS!$D$93+FC_CRONOGRAMA!AB41*FC_SUPUESTOS!$E$93)/FC_SUPUESTOS!$C$32</f>
        <v>0</v>
      </c>
      <c r="AC62" s="380" t="n">
        <f aca="false">(FC_CRONOGRAMA!AC40*FC_SUPUESTOS!$D$93+FC_CRONOGRAMA!AC41*FC_SUPUESTOS!$E$93)/FC_SUPUESTOS!$C$32</f>
        <v>0</v>
      </c>
      <c r="AD62" s="380" t="n">
        <f aca="false">(FC_CRONOGRAMA!AD40*FC_SUPUESTOS!$D$93+FC_CRONOGRAMA!AD41*FC_SUPUESTOS!$E$93)/FC_SUPUESTOS!$C$32</f>
        <v>0</v>
      </c>
      <c r="AE62" s="380" t="n">
        <f aca="false">(FC_CRONOGRAMA!AE40*FC_SUPUESTOS!$D$93+FC_CRONOGRAMA!AE41*FC_SUPUESTOS!$E$93)/FC_SUPUESTOS!$C$32</f>
        <v>0</v>
      </c>
      <c r="AF62" s="380" t="n">
        <f aca="false">(FC_CRONOGRAMA!AF40*FC_SUPUESTOS!$D$93+FC_CRONOGRAMA!AF41*FC_SUPUESTOS!$E$93)/FC_SUPUESTOS!$C$32</f>
        <v>0</v>
      </c>
      <c r="AG62" s="380" t="n">
        <f aca="false">(FC_CRONOGRAMA!AG40*FC_SUPUESTOS!$D$93+FC_CRONOGRAMA!AG41*FC_SUPUESTOS!$E$93)/FC_SUPUESTOS!$C$32</f>
        <v>0</v>
      </c>
      <c r="AH62" s="380" t="n">
        <f aca="false">(FC_CRONOGRAMA!AH40*FC_SUPUESTOS!$D$93+FC_CRONOGRAMA!AH41*FC_SUPUESTOS!$E$93)/FC_SUPUESTOS!$C$32</f>
        <v>0</v>
      </c>
      <c r="AI62" s="380" t="n">
        <f aca="false">(FC_CRONOGRAMA!AI40*FC_SUPUESTOS!$D$93+FC_CRONOGRAMA!AI41*FC_SUPUESTOS!$E$93)/FC_SUPUESTOS!$C$32</f>
        <v>0</v>
      </c>
      <c r="AJ62" s="380" t="n">
        <f aca="false">(FC_CRONOGRAMA!AJ40*FC_SUPUESTOS!$D$93+FC_CRONOGRAMA!AJ41*FC_SUPUESTOS!$E$93)/FC_SUPUESTOS!$C$32</f>
        <v>0</v>
      </c>
      <c r="AK62" s="380" t="n">
        <f aca="false">(FC_CRONOGRAMA!AK40*FC_SUPUESTOS!$D$93+FC_CRONOGRAMA!AK41*FC_SUPUESTOS!$E$93)/FC_SUPUESTOS!$C$32</f>
        <v>0</v>
      </c>
      <c r="AL62" s="380" t="n">
        <f aca="false">(FC_CRONOGRAMA!AL40*FC_SUPUESTOS!$D$93+FC_CRONOGRAMA!AL41*FC_SUPUESTOS!$E$93)/FC_SUPUESTOS!$C$32</f>
        <v>0</v>
      </c>
      <c r="AM62" s="380" t="n">
        <f aca="false">(FC_CRONOGRAMA!AM40*FC_SUPUESTOS!$D$93+FC_CRONOGRAMA!AM41*FC_SUPUESTOS!$E$93)/FC_SUPUESTOS!$C$32</f>
        <v>0</v>
      </c>
      <c r="AN62" s="380" t="n">
        <f aca="false">(FC_CRONOGRAMA!AN40*FC_SUPUESTOS!$D$93+FC_CRONOGRAMA!AN41*FC_SUPUESTOS!$E$93)/FC_SUPUESTOS!$C$32</f>
        <v>0</v>
      </c>
      <c r="AO62" s="380" t="n">
        <f aca="false">(FC_CRONOGRAMA!AO40*FC_SUPUESTOS!$D$93+FC_CRONOGRAMA!AO41*FC_SUPUESTOS!$E$93)/FC_SUPUESTOS!$C$32</f>
        <v>0</v>
      </c>
      <c r="AP62" s="380" t="n">
        <f aca="false">(FC_CRONOGRAMA!AP40*FC_SUPUESTOS!$D$93+FC_CRONOGRAMA!AP41*FC_SUPUESTOS!$E$93)/FC_SUPUESTOS!$C$32</f>
        <v>0</v>
      </c>
      <c r="AQ62" s="380" t="n">
        <f aca="false">(FC_CRONOGRAMA!AQ40*FC_SUPUESTOS!$D$93+FC_CRONOGRAMA!AQ41*FC_SUPUESTOS!$E$93)/FC_SUPUESTOS!$C$32</f>
        <v>0</v>
      </c>
      <c r="AR62" s="380" t="n">
        <f aca="false">(FC_CRONOGRAMA!AR40*FC_SUPUESTOS!$D$93+FC_CRONOGRAMA!AR41*FC_SUPUESTOS!$E$93)/FC_SUPUESTOS!$C$32</f>
        <v>0</v>
      </c>
      <c r="AS62" s="380" t="n">
        <f aca="false">(FC_CRONOGRAMA!AS40*FC_SUPUESTOS!$D$93+FC_CRONOGRAMA!AS41*FC_SUPUESTOS!$E$93)/FC_SUPUESTOS!$C$32</f>
        <v>0</v>
      </c>
      <c r="AT62" s="380" t="n">
        <f aca="false">(FC_CRONOGRAMA!AT40*FC_SUPUESTOS!$D$93+FC_CRONOGRAMA!AT41*FC_SUPUESTOS!$E$93)/FC_SUPUESTOS!$C$32</f>
        <v>0</v>
      </c>
      <c r="AU62" s="380" t="n">
        <f aca="false">(FC_CRONOGRAMA!AU40*FC_SUPUESTOS!$D$93+FC_CRONOGRAMA!AU41*FC_SUPUESTOS!$E$93)/FC_SUPUESTOS!$C$32</f>
        <v>0</v>
      </c>
      <c r="AV62" s="380" t="n">
        <f aca="false">(FC_CRONOGRAMA!AV40*FC_SUPUESTOS!$D$93+FC_CRONOGRAMA!AV41*FC_SUPUESTOS!$E$93)/FC_SUPUESTOS!$C$32</f>
        <v>0</v>
      </c>
      <c r="AW62" s="380" t="n">
        <f aca="false">(FC_CRONOGRAMA!AW40*FC_SUPUESTOS!$D$93+FC_CRONOGRAMA!AW41*FC_SUPUESTOS!$E$93)/FC_SUPUESTOS!$C$32</f>
        <v>0</v>
      </c>
      <c r="AX62" s="380" t="n">
        <f aca="false">(FC_CRONOGRAMA!AX40*FC_SUPUESTOS!$D$93+FC_CRONOGRAMA!AX41*FC_SUPUESTOS!$E$93)/FC_SUPUESTOS!$C$32</f>
        <v>0</v>
      </c>
      <c r="AY62" s="380" t="n">
        <f aca="false">(FC_CRONOGRAMA!AY40*FC_SUPUESTOS!$D$93+FC_CRONOGRAMA!AY41*FC_SUPUESTOS!$E$93)/FC_SUPUESTOS!$C$32</f>
        <v>0</v>
      </c>
      <c r="AZ62" s="380" t="n">
        <f aca="false">(FC_CRONOGRAMA!AZ40*FC_SUPUESTOS!$D$93+FC_CRONOGRAMA!AZ41*FC_SUPUESTOS!$E$93)/FC_SUPUESTOS!$C$32</f>
        <v>0</v>
      </c>
      <c r="BA62" s="380" t="n">
        <f aca="false">(FC_CRONOGRAMA!BA40*FC_SUPUESTOS!$D$93+FC_CRONOGRAMA!BA41*FC_SUPUESTOS!$E$93)/FC_SUPUESTOS!$C$32</f>
        <v>0</v>
      </c>
      <c r="BB62" s="380" t="n">
        <f aca="false">(FC_CRONOGRAMA!BB40*FC_SUPUESTOS!$D$93+FC_CRONOGRAMA!BB41*FC_SUPUESTOS!$E$93)/FC_SUPUESTOS!$C$32</f>
        <v>0</v>
      </c>
      <c r="BC62" s="380" t="n">
        <f aca="false">(FC_CRONOGRAMA!BC40*FC_SUPUESTOS!$D$93+FC_CRONOGRAMA!BC41*FC_SUPUESTOS!$E$93)/FC_SUPUESTOS!$C$32</f>
        <v>0</v>
      </c>
      <c r="BD62" s="380" t="n">
        <f aca="false">(FC_CRONOGRAMA!BD40*FC_SUPUESTOS!$D$93+FC_CRONOGRAMA!BD41*FC_SUPUESTOS!$E$93)/FC_SUPUESTOS!$C$32</f>
        <v>0</v>
      </c>
      <c r="BE62" s="380" t="n">
        <f aca="false">(FC_CRONOGRAMA!BE40*FC_SUPUESTOS!$D$93+FC_CRONOGRAMA!BE41*FC_SUPUESTOS!$E$93)/FC_SUPUESTOS!$C$32</f>
        <v>0</v>
      </c>
      <c r="BF62" s="380" t="n">
        <f aca="false">(FC_CRONOGRAMA!BF40*FC_SUPUESTOS!$D$93+FC_CRONOGRAMA!BF41*FC_SUPUESTOS!$E$93)/FC_SUPUESTOS!$C$32</f>
        <v>0</v>
      </c>
      <c r="BG62" s="380" t="n">
        <f aca="false">(FC_CRONOGRAMA!BG40*FC_SUPUESTOS!$D$93+FC_CRONOGRAMA!BG41*FC_SUPUESTOS!$E$93)/FC_SUPUESTOS!$C$32</f>
        <v>0</v>
      </c>
      <c r="BH62" s="380" t="n">
        <f aca="false">(FC_CRONOGRAMA!BH40*FC_SUPUESTOS!$D$93+FC_CRONOGRAMA!BH41*FC_SUPUESTOS!$E$93)/FC_SUPUESTOS!$C$32</f>
        <v>0</v>
      </c>
      <c r="BI62" s="380" t="n">
        <f aca="false">(FC_CRONOGRAMA!BI40*FC_SUPUESTOS!$D$93+FC_CRONOGRAMA!BI41*FC_SUPUESTOS!$E$93)/FC_SUPUESTOS!$C$32</f>
        <v>0</v>
      </c>
      <c r="BJ62" s="380" t="n">
        <f aca="false">(FC_CRONOGRAMA!BJ40*FC_SUPUESTOS!$D$93+FC_CRONOGRAMA!BJ41*FC_SUPUESTOS!$E$93)/FC_SUPUESTOS!$C$32</f>
        <v>0</v>
      </c>
      <c r="BK62" s="380" t="n">
        <f aca="false">(FC_CRONOGRAMA!BK40*FC_SUPUESTOS!$D$93+FC_CRONOGRAMA!BK41*FC_SUPUESTOS!$E$93)/FC_SUPUESTOS!$C$32</f>
        <v>0</v>
      </c>
    </row>
    <row r="63" customFormat="false" ht="15" hidden="false" customHeight="true" outlineLevel="0" collapsed="false">
      <c r="B63" s="297" t="s">
        <v>2961</v>
      </c>
      <c r="D63" s="380" t="n">
        <f aca="false">FC_SUPUESTOS!$C$9*FC_SUPUESTOS!$D$94+FC_SUPUESTOS!$C$10*FC_SUPUESTOS!$E$94-SUM($E$63:$BK$63)</f>
        <v>0</v>
      </c>
      <c r="E63" s="380" t="n">
        <f aca="false">FC_CRONOGRAMA!E36*FC_SUPUESTOS!$D$94+FC_CRONOGRAMA!E37*FC_SUPUESTOS!$E$94</f>
        <v>0</v>
      </c>
      <c r="F63" s="380" t="n">
        <f aca="false">FC_CRONOGRAMA!F36*FC_SUPUESTOS!$D$94+FC_CRONOGRAMA!F37*FC_SUPUESTOS!$E$94</f>
        <v>0</v>
      </c>
      <c r="G63" s="380" t="n">
        <f aca="false">FC_CRONOGRAMA!G36*FC_SUPUESTOS!$D$94+FC_CRONOGRAMA!G37*FC_SUPUESTOS!$E$94</f>
        <v>0</v>
      </c>
      <c r="H63" s="380" t="n">
        <f aca="false">FC_CRONOGRAMA!H36*FC_SUPUESTOS!$D$94+FC_CRONOGRAMA!H37*FC_SUPUESTOS!$E$94</f>
        <v>0</v>
      </c>
      <c r="I63" s="380" t="n">
        <f aca="false">FC_CRONOGRAMA!I36*FC_SUPUESTOS!$D$94+FC_CRONOGRAMA!I37*FC_SUPUESTOS!$E$94</f>
        <v>0</v>
      </c>
      <c r="J63" s="380" t="n">
        <f aca="false">FC_CRONOGRAMA!J36*FC_SUPUESTOS!$D$94+FC_CRONOGRAMA!J37*FC_SUPUESTOS!$E$94</f>
        <v>0</v>
      </c>
      <c r="K63" s="380" t="n">
        <f aca="false">FC_CRONOGRAMA!K36*FC_SUPUESTOS!$D$94+FC_CRONOGRAMA!K37*FC_SUPUESTOS!$E$94</f>
        <v>0</v>
      </c>
      <c r="L63" s="380" t="n">
        <f aca="false">FC_CRONOGRAMA!L36*FC_SUPUESTOS!$D$94+FC_CRONOGRAMA!L37*FC_SUPUESTOS!$E$94</f>
        <v>6000</v>
      </c>
      <c r="M63" s="380" t="n">
        <f aca="false">FC_CRONOGRAMA!M36*FC_SUPUESTOS!$D$94+FC_CRONOGRAMA!M37*FC_SUPUESTOS!$E$94</f>
        <v>6000</v>
      </c>
      <c r="N63" s="380" t="n">
        <f aca="false">FC_CRONOGRAMA!N36*FC_SUPUESTOS!$D$94+FC_CRONOGRAMA!N37*FC_SUPUESTOS!$E$94</f>
        <v>6000</v>
      </c>
      <c r="O63" s="380" t="n">
        <f aca="false">FC_CRONOGRAMA!O36*FC_SUPUESTOS!$D$94+FC_CRONOGRAMA!O37*FC_SUPUESTOS!$E$94</f>
        <v>6000</v>
      </c>
      <c r="P63" s="380" t="n">
        <f aca="false">FC_CRONOGRAMA!P36*FC_SUPUESTOS!$D$94+FC_CRONOGRAMA!P37*FC_SUPUESTOS!$E$94</f>
        <v>6000</v>
      </c>
      <c r="Q63" s="380" t="n">
        <f aca="false">FC_CRONOGRAMA!Q36*FC_SUPUESTOS!$D$94+FC_CRONOGRAMA!Q37*FC_SUPUESTOS!$E$94</f>
        <v>0</v>
      </c>
      <c r="R63" s="380" t="n">
        <f aca="false">FC_CRONOGRAMA!R36*FC_SUPUESTOS!$D$94+FC_CRONOGRAMA!R37*FC_SUPUESTOS!$E$94</f>
        <v>0</v>
      </c>
      <c r="S63" s="380" t="n">
        <f aca="false">FC_CRONOGRAMA!S36*FC_SUPUESTOS!$D$94+FC_CRONOGRAMA!S37*FC_SUPUESTOS!$E$94</f>
        <v>0</v>
      </c>
      <c r="T63" s="380" t="n">
        <f aca="false">FC_CRONOGRAMA!T36*FC_SUPUESTOS!$D$94+FC_CRONOGRAMA!T37*FC_SUPUESTOS!$E$94</f>
        <v>0</v>
      </c>
      <c r="U63" s="380" t="n">
        <f aca="false">FC_CRONOGRAMA!U36*FC_SUPUESTOS!$D$94+FC_CRONOGRAMA!U37*FC_SUPUESTOS!$E$94</f>
        <v>0</v>
      </c>
      <c r="V63" s="380" t="n">
        <f aca="false">FC_CRONOGRAMA!V36*FC_SUPUESTOS!$D$94+FC_CRONOGRAMA!V37*FC_SUPUESTOS!$E$94</f>
        <v>0</v>
      </c>
      <c r="W63" s="380" t="n">
        <f aca="false">FC_CRONOGRAMA!W36*FC_SUPUESTOS!$D$94+FC_CRONOGRAMA!W37*FC_SUPUESTOS!$E$94</f>
        <v>0</v>
      </c>
      <c r="X63" s="380" t="n">
        <f aca="false">FC_CRONOGRAMA!X36*FC_SUPUESTOS!$D$94+FC_CRONOGRAMA!X37*FC_SUPUESTOS!$E$94</f>
        <v>0</v>
      </c>
      <c r="Y63" s="380" t="n">
        <f aca="false">FC_CRONOGRAMA!Y36*FC_SUPUESTOS!$D$94+FC_CRONOGRAMA!Y37*FC_SUPUESTOS!$E$94</f>
        <v>0</v>
      </c>
      <c r="Z63" s="380" t="n">
        <f aca="false">FC_CRONOGRAMA!Z36*FC_SUPUESTOS!$D$94+FC_CRONOGRAMA!Z37*FC_SUPUESTOS!$E$94</f>
        <v>0</v>
      </c>
      <c r="AA63" s="380" t="n">
        <f aca="false">FC_CRONOGRAMA!AA36*FC_SUPUESTOS!$D$94+FC_CRONOGRAMA!AA37*FC_SUPUESTOS!$E$94</f>
        <v>0</v>
      </c>
      <c r="AB63" s="380" t="n">
        <f aca="false">FC_CRONOGRAMA!AB36*FC_SUPUESTOS!$D$94+FC_CRONOGRAMA!AB37*FC_SUPUESTOS!$E$94</f>
        <v>0</v>
      </c>
      <c r="AC63" s="380" t="n">
        <f aca="false">FC_CRONOGRAMA!AC36*FC_SUPUESTOS!$D$94+FC_CRONOGRAMA!AC37*FC_SUPUESTOS!$E$94</f>
        <v>0</v>
      </c>
      <c r="AD63" s="380" t="n">
        <f aca="false">FC_CRONOGRAMA!AD36*FC_SUPUESTOS!$D$94+FC_CRONOGRAMA!AD37*FC_SUPUESTOS!$E$94</f>
        <v>0</v>
      </c>
      <c r="AE63" s="380" t="n">
        <f aca="false">FC_CRONOGRAMA!AE36*FC_SUPUESTOS!$D$94+FC_CRONOGRAMA!AE37*FC_SUPUESTOS!$E$94</f>
        <v>0</v>
      </c>
      <c r="AF63" s="380" t="n">
        <f aca="false">FC_CRONOGRAMA!AF36*FC_SUPUESTOS!$D$94+FC_CRONOGRAMA!AF37*FC_SUPUESTOS!$E$94</f>
        <v>0</v>
      </c>
      <c r="AG63" s="380" t="n">
        <f aca="false">FC_CRONOGRAMA!AG36*FC_SUPUESTOS!$D$94+FC_CRONOGRAMA!AG37*FC_SUPUESTOS!$E$94</f>
        <v>0</v>
      </c>
      <c r="AH63" s="380" t="n">
        <f aca="false">FC_CRONOGRAMA!AH36*FC_SUPUESTOS!$D$94+FC_CRONOGRAMA!AH37*FC_SUPUESTOS!$E$94</f>
        <v>0</v>
      </c>
      <c r="AI63" s="380" t="n">
        <f aca="false">FC_CRONOGRAMA!AI36*FC_SUPUESTOS!$D$94+FC_CRONOGRAMA!AI37*FC_SUPUESTOS!$E$94</f>
        <v>0</v>
      </c>
      <c r="AJ63" s="380" t="n">
        <f aca="false">FC_CRONOGRAMA!AJ36*FC_SUPUESTOS!$D$94+FC_CRONOGRAMA!AJ37*FC_SUPUESTOS!$E$94</f>
        <v>0</v>
      </c>
      <c r="AK63" s="380" t="n">
        <f aca="false">FC_CRONOGRAMA!AK36*FC_SUPUESTOS!$D$94+FC_CRONOGRAMA!AK37*FC_SUPUESTOS!$E$94</f>
        <v>0</v>
      </c>
      <c r="AL63" s="380" t="n">
        <f aca="false">FC_CRONOGRAMA!AL36*FC_SUPUESTOS!$D$94+FC_CRONOGRAMA!AL37*FC_SUPUESTOS!$E$94</f>
        <v>0</v>
      </c>
      <c r="AM63" s="380" t="n">
        <f aca="false">FC_CRONOGRAMA!AM36*FC_SUPUESTOS!$D$94+FC_CRONOGRAMA!AM37*FC_SUPUESTOS!$E$94</f>
        <v>0</v>
      </c>
      <c r="AN63" s="380" t="n">
        <f aca="false">FC_CRONOGRAMA!AN36*FC_SUPUESTOS!$D$94+FC_CRONOGRAMA!AN37*FC_SUPUESTOS!$E$94</f>
        <v>0</v>
      </c>
      <c r="AO63" s="380" t="n">
        <f aca="false">FC_CRONOGRAMA!AO36*FC_SUPUESTOS!$D$94+FC_CRONOGRAMA!AO37*FC_SUPUESTOS!$E$94</f>
        <v>0</v>
      </c>
      <c r="AP63" s="380" t="n">
        <f aca="false">FC_CRONOGRAMA!AP36*FC_SUPUESTOS!$D$94+FC_CRONOGRAMA!AP37*FC_SUPUESTOS!$E$94</f>
        <v>0</v>
      </c>
      <c r="AQ63" s="380" t="n">
        <f aca="false">FC_CRONOGRAMA!AQ36*FC_SUPUESTOS!$D$94+FC_CRONOGRAMA!AQ37*FC_SUPUESTOS!$E$94</f>
        <v>0</v>
      </c>
      <c r="AR63" s="380" t="n">
        <f aca="false">FC_CRONOGRAMA!AR36*FC_SUPUESTOS!$D$94+FC_CRONOGRAMA!AR37*FC_SUPUESTOS!$E$94</f>
        <v>0</v>
      </c>
      <c r="AS63" s="380" t="n">
        <f aca="false">FC_CRONOGRAMA!AS36*FC_SUPUESTOS!$D$94+FC_CRONOGRAMA!AS37*FC_SUPUESTOS!$E$94</f>
        <v>0</v>
      </c>
      <c r="AT63" s="380" t="n">
        <f aca="false">FC_CRONOGRAMA!AT36*FC_SUPUESTOS!$D$94+FC_CRONOGRAMA!AT37*FC_SUPUESTOS!$E$94</f>
        <v>0</v>
      </c>
      <c r="AU63" s="380" t="n">
        <f aca="false">FC_CRONOGRAMA!AU36*FC_SUPUESTOS!$D$94+FC_CRONOGRAMA!AU37*FC_SUPUESTOS!$E$94</f>
        <v>0</v>
      </c>
      <c r="AV63" s="380" t="n">
        <f aca="false">FC_CRONOGRAMA!AV36*FC_SUPUESTOS!$D$94+FC_CRONOGRAMA!AV37*FC_SUPUESTOS!$E$94</f>
        <v>0</v>
      </c>
      <c r="AW63" s="380" t="n">
        <f aca="false">FC_CRONOGRAMA!AW36*FC_SUPUESTOS!$D$94+FC_CRONOGRAMA!AW37*FC_SUPUESTOS!$E$94</f>
        <v>0</v>
      </c>
      <c r="AX63" s="380" t="n">
        <f aca="false">FC_CRONOGRAMA!AX36*FC_SUPUESTOS!$D$94+FC_CRONOGRAMA!AX37*FC_SUPUESTOS!$E$94</f>
        <v>0</v>
      </c>
      <c r="AY63" s="380" t="n">
        <f aca="false">FC_CRONOGRAMA!AY36*FC_SUPUESTOS!$D$94+FC_CRONOGRAMA!AY37*FC_SUPUESTOS!$E$94</f>
        <v>0</v>
      </c>
      <c r="AZ63" s="380" t="n">
        <f aca="false">FC_CRONOGRAMA!AZ36*FC_SUPUESTOS!$D$94+FC_CRONOGRAMA!AZ37*FC_SUPUESTOS!$E$94</f>
        <v>0</v>
      </c>
      <c r="BA63" s="380" t="n">
        <f aca="false">FC_CRONOGRAMA!BA36*FC_SUPUESTOS!$D$94+FC_CRONOGRAMA!BA37*FC_SUPUESTOS!$E$94</f>
        <v>0</v>
      </c>
      <c r="BB63" s="380" t="n">
        <f aca="false">FC_CRONOGRAMA!BB36*FC_SUPUESTOS!$D$94+FC_CRONOGRAMA!BB37*FC_SUPUESTOS!$E$94</f>
        <v>0</v>
      </c>
      <c r="BC63" s="380" t="n">
        <f aca="false">FC_CRONOGRAMA!BC36*FC_SUPUESTOS!$D$94+FC_CRONOGRAMA!BC37*FC_SUPUESTOS!$E$94</f>
        <v>0</v>
      </c>
      <c r="BD63" s="380" t="n">
        <f aca="false">FC_CRONOGRAMA!BD36*FC_SUPUESTOS!$D$94+FC_CRONOGRAMA!BD37*FC_SUPUESTOS!$E$94</f>
        <v>0</v>
      </c>
      <c r="BE63" s="380" t="n">
        <f aca="false">FC_CRONOGRAMA!BE36*FC_SUPUESTOS!$D$94+FC_CRONOGRAMA!BE37*FC_SUPUESTOS!$E$94</f>
        <v>0</v>
      </c>
      <c r="BF63" s="380" t="n">
        <f aca="false">FC_CRONOGRAMA!BF36*FC_SUPUESTOS!$D$94+FC_CRONOGRAMA!BF37*FC_SUPUESTOS!$E$94</f>
        <v>0</v>
      </c>
      <c r="BG63" s="380" t="n">
        <f aca="false">FC_CRONOGRAMA!BG36*FC_SUPUESTOS!$D$94+FC_CRONOGRAMA!BG37*FC_SUPUESTOS!$E$94</f>
        <v>0</v>
      </c>
      <c r="BH63" s="380" t="n">
        <f aca="false">FC_CRONOGRAMA!BH36*FC_SUPUESTOS!$D$94+FC_CRONOGRAMA!BH37*FC_SUPUESTOS!$E$94</f>
        <v>0</v>
      </c>
      <c r="BI63" s="380" t="n">
        <f aca="false">FC_CRONOGRAMA!BI36*FC_SUPUESTOS!$D$94+FC_CRONOGRAMA!BI37*FC_SUPUESTOS!$E$94</f>
        <v>0</v>
      </c>
      <c r="BJ63" s="380" t="n">
        <f aca="false">FC_CRONOGRAMA!BJ36*FC_SUPUESTOS!$D$94+FC_CRONOGRAMA!BJ37*FC_SUPUESTOS!$E$94</f>
        <v>0</v>
      </c>
      <c r="BK63" s="380" t="n">
        <f aca="false">FC_CRONOGRAMA!BK36*FC_SUPUESTOS!$D$94+FC_CRONOGRAMA!BK37*FC_SUPUESTOS!$E$94</f>
        <v>0</v>
      </c>
    </row>
    <row r="64" customFormat="false" ht="15" hidden="false" customHeight="true" outlineLevel="0" collapsed="false">
      <c r="B64" s="297" t="s">
        <v>2962</v>
      </c>
      <c r="D64" s="380" t="n">
        <f aca="false">SUM(D57:D63)*FC_SUPUESTOS!$C$56</f>
        <v>7329.8</v>
      </c>
      <c r="E64" s="380" t="n">
        <f aca="false">SUM(E57:E63)*FC_SUPUESTOS!$C$56</f>
        <v>0</v>
      </c>
      <c r="F64" s="380" t="n">
        <f aca="false">SUM(F57:F63)*FC_SUPUESTOS!$C$56</f>
        <v>0</v>
      </c>
      <c r="G64" s="380" t="n">
        <f aca="false">SUM(G57:G63)*FC_SUPUESTOS!$C$56</f>
        <v>13376.885</v>
      </c>
      <c r="H64" s="380" t="n">
        <f aca="false">SUM(H57:H63)*FC_SUPUESTOS!$C$56</f>
        <v>9318.00825</v>
      </c>
      <c r="I64" s="380" t="n">
        <f aca="false">SUM(I57:I63)*FC_SUPUESTOS!$C$56</f>
        <v>0</v>
      </c>
      <c r="J64" s="380" t="n">
        <f aca="false">SUM(J57:J63)*FC_SUPUESTOS!$C$56</f>
        <v>1780</v>
      </c>
      <c r="K64" s="380" t="n">
        <f aca="false">SUM(K57:K63)*FC_SUPUESTOS!$C$56</f>
        <v>6360</v>
      </c>
      <c r="L64" s="380" t="n">
        <f aca="false">SUM(L57:L63)*FC_SUPUESTOS!$C$56</f>
        <v>11120</v>
      </c>
      <c r="M64" s="380" t="n">
        <f aca="false">SUM(M57:M63)*FC_SUPUESTOS!$C$56</f>
        <v>11435</v>
      </c>
      <c r="N64" s="380" t="n">
        <f aca="false">SUM(N57:N63)*FC_SUPUESTOS!$C$56</f>
        <v>13465</v>
      </c>
      <c r="O64" s="380" t="n">
        <f aca="false">SUM(O57:O63)*FC_SUPUESTOS!$C$56</f>
        <v>14460</v>
      </c>
      <c r="P64" s="380" t="n">
        <f aca="false">SUM(P57:P63)*FC_SUPUESTOS!$C$56</f>
        <v>8140</v>
      </c>
      <c r="Q64" s="380" t="n">
        <f aca="false">SUM(Q57:Q63)*FC_SUPUESTOS!$C$56</f>
        <v>0</v>
      </c>
      <c r="R64" s="380" t="n">
        <f aca="false">SUM(R57:R63)*FC_SUPUESTOS!$C$56</f>
        <v>0</v>
      </c>
      <c r="S64" s="380" t="n">
        <f aca="false">SUM(S57:S63)*FC_SUPUESTOS!$C$56</f>
        <v>0</v>
      </c>
      <c r="T64" s="380" t="n">
        <f aca="false">SUM(T57:T63)*FC_SUPUESTOS!$C$56</f>
        <v>0</v>
      </c>
      <c r="U64" s="380" t="n">
        <f aca="false">SUM(U57:U63)*FC_SUPUESTOS!$C$56</f>
        <v>0</v>
      </c>
      <c r="V64" s="380" t="n">
        <f aca="false">SUM(V57:V63)*FC_SUPUESTOS!$C$56</f>
        <v>0</v>
      </c>
      <c r="W64" s="380" t="n">
        <f aca="false">SUM(W57:W63)*FC_SUPUESTOS!$C$56</f>
        <v>0</v>
      </c>
      <c r="X64" s="380" t="n">
        <f aca="false">SUM(X57:X63)*FC_SUPUESTOS!$C$56</f>
        <v>0</v>
      </c>
      <c r="Y64" s="380" t="n">
        <f aca="false">SUM(Y57:Y63)*FC_SUPUESTOS!$C$56</f>
        <v>0</v>
      </c>
      <c r="Z64" s="380" t="n">
        <f aca="false">SUM(Z57:Z63)*FC_SUPUESTOS!$C$56</f>
        <v>0</v>
      </c>
      <c r="AA64" s="380" t="n">
        <f aca="false">SUM(AA57:AA63)*FC_SUPUESTOS!$C$56</f>
        <v>0</v>
      </c>
      <c r="AB64" s="380" t="n">
        <f aca="false">SUM(AB57:AB63)*FC_SUPUESTOS!$C$56</f>
        <v>0</v>
      </c>
      <c r="AC64" s="380" t="n">
        <f aca="false">SUM(AC57:AC63)*FC_SUPUESTOS!$C$56</f>
        <v>0</v>
      </c>
      <c r="AD64" s="380" t="n">
        <f aca="false">SUM(AD57:AD63)*FC_SUPUESTOS!$C$56</f>
        <v>0</v>
      </c>
      <c r="AE64" s="380" t="n">
        <f aca="false">SUM(AE57:AE63)*FC_SUPUESTOS!$C$56</f>
        <v>0</v>
      </c>
      <c r="AF64" s="380" t="n">
        <f aca="false">SUM(AF57:AF63)*FC_SUPUESTOS!$C$56</f>
        <v>0</v>
      </c>
      <c r="AG64" s="380" t="n">
        <f aca="false">SUM(AG57:AG63)*FC_SUPUESTOS!$C$56</f>
        <v>0</v>
      </c>
      <c r="AH64" s="380" t="n">
        <f aca="false">SUM(AH57:AH63)*FC_SUPUESTOS!$C$56</f>
        <v>0</v>
      </c>
      <c r="AI64" s="380" t="n">
        <f aca="false">SUM(AI57:AI63)*FC_SUPUESTOS!$C$56</f>
        <v>0</v>
      </c>
      <c r="AJ64" s="380" t="n">
        <f aca="false">SUM(AJ57:AJ63)*FC_SUPUESTOS!$C$56</f>
        <v>0</v>
      </c>
      <c r="AK64" s="380" t="n">
        <f aca="false">SUM(AK57:AK63)*FC_SUPUESTOS!$C$56</f>
        <v>0</v>
      </c>
      <c r="AL64" s="380" t="n">
        <f aca="false">SUM(AL57:AL63)*FC_SUPUESTOS!$C$56</f>
        <v>0</v>
      </c>
      <c r="AM64" s="380" t="n">
        <f aca="false">SUM(AM57:AM63)*FC_SUPUESTOS!$C$56</f>
        <v>0</v>
      </c>
      <c r="AN64" s="380" t="n">
        <f aca="false">SUM(AN57:AN63)*FC_SUPUESTOS!$C$56</f>
        <v>0</v>
      </c>
      <c r="AO64" s="380" t="n">
        <f aca="false">SUM(AO57:AO63)*FC_SUPUESTOS!$C$56</f>
        <v>0</v>
      </c>
      <c r="AP64" s="380" t="n">
        <f aca="false">SUM(AP57:AP63)*FC_SUPUESTOS!$C$56</f>
        <v>0</v>
      </c>
      <c r="AQ64" s="380" t="n">
        <f aca="false">SUM(AQ57:AQ63)*FC_SUPUESTOS!$C$56</f>
        <v>0</v>
      </c>
      <c r="AR64" s="380" t="n">
        <f aca="false">SUM(AR57:AR63)*FC_SUPUESTOS!$C$56</f>
        <v>0</v>
      </c>
      <c r="AS64" s="380" t="n">
        <f aca="false">SUM(AS57:AS63)*FC_SUPUESTOS!$C$56</f>
        <v>0</v>
      </c>
      <c r="AT64" s="380" t="n">
        <f aca="false">SUM(AT57:AT63)*FC_SUPUESTOS!$C$56</f>
        <v>0</v>
      </c>
      <c r="AU64" s="380" t="n">
        <f aca="false">SUM(AU57:AU63)*FC_SUPUESTOS!$C$56</f>
        <v>0</v>
      </c>
      <c r="AV64" s="380" t="n">
        <f aca="false">SUM(AV57:AV63)*FC_SUPUESTOS!$C$56</f>
        <v>0</v>
      </c>
      <c r="AW64" s="380" t="n">
        <f aca="false">SUM(AW57:AW63)*FC_SUPUESTOS!$C$56</f>
        <v>0</v>
      </c>
      <c r="AX64" s="380" t="n">
        <f aca="false">SUM(AX57:AX63)*FC_SUPUESTOS!$C$56</f>
        <v>0</v>
      </c>
      <c r="AY64" s="380" t="n">
        <f aca="false">SUM(AY57:AY63)*FC_SUPUESTOS!$C$56</f>
        <v>0</v>
      </c>
      <c r="AZ64" s="380" t="n">
        <f aca="false">SUM(AZ57:AZ63)*FC_SUPUESTOS!$C$56</f>
        <v>0</v>
      </c>
      <c r="BA64" s="380" t="n">
        <f aca="false">SUM(BA57:BA63)*FC_SUPUESTOS!$C$56</f>
        <v>0</v>
      </c>
      <c r="BB64" s="380" t="n">
        <f aca="false">SUM(BB57:BB63)*FC_SUPUESTOS!$C$56</f>
        <v>0</v>
      </c>
      <c r="BC64" s="380" t="n">
        <f aca="false">SUM(BC57:BC63)*FC_SUPUESTOS!$C$56</f>
        <v>0</v>
      </c>
      <c r="BD64" s="380" t="n">
        <f aca="false">SUM(BD57:BD63)*FC_SUPUESTOS!$C$56</f>
        <v>0</v>
      </c>
      <c r="BE64" s="380" t="n">
        <f aca="false">SUM(BE57:BE63)*FC_SUPUESTOS!$C$56</f>
        <v>0</v>
      </c>
      <c r="BF64" s="380" t="n">
        <f aca="false">SUM(BF57:BF63)*FC_SUPUESTOS!$C$56</f>
        <v>0</v>
      </c>
      <c r="BG64" s="380" t="n">
        <f aca="false">SUM(BG57:BG63)*FC_SUPUESTOS!$C$56</f>
        <v>0</v>
      </c>
      <c r="BH64" s="380" t="n">
        <f aca="false">SUM(BH57:BH63)*FC_SUPUESTOS!$C$56</f>
        <v>0</v>
      </c>
      <c r="BI64" s="380" t="n">
        <f aca="false">SUM(BI57:BI63)*FC_SUPUESTOS!$C$56</f>
        <v>0</v>
      </c>
      <c r="BJ64" s="380" t="n">
        <f aca="false">SUM(BJ57:BJ63)*FC_SUPUESTOS!$C$56</f>
        <v>0</v>
      </c>
      <c r="BK64" s="380" t="n">
        <f aca="false">SUM(BK57:BK63)*FC_SUPUESTOS!$C$56</f>
        <v>0</v>
      </c>
    </row>
    <row r="65" customFormat="false" ht="15" hidden="false" customHeight="true" outlineLevel="0" collapsed="false">
      <c r="B65" s="297" t="s">
        <v>2963</v>
      </c>
      <c r="D65" s="380" t="n">
        <f aca="false">(FC_SUPUESTOS!$C$9*SUP_OPEX!$D$20+FC_SUPUESTOS!$C$10*SUP_OPEX!$E$20)*FC_SUPUESTOS!$C$65-SUM($E$65:$BK$65)</f>
        <v>0</v>
      </c>
      <c r="E65" s="380" t="n">
        <f aca="false">(FC_CRONOGRAMA!E38*SUP_OPEX!$D$20+FC_CRONOGRAMA!E39*SUP_OPEX!$E$20)*FC_SUPUESTOS!$C$65</f>
        <v>0</v>
      </c>
      <c r="F65" s="380" t="n">
        <f aca="false">(FC_CRONOGRAMA!F38*SUP_OPEX!$D$20+FC_CRONOGRAMA!F39*SUP_OPEX!$E$20)*FC_SUPUESTOS!$C$65</f>
        <v>0</v>
      </c>
      <c r="G65" s="380" t="n">
        <f aca="false">(FC_CRONOGRAMA!G38*SUP_OPEX!$D$20+FC_CRONOGRAMA!G39*SUP_OPEX!$E$20)*FC_SUPUESTOS!$C$65</f>
        <v>0</v>
      </c>
      <c r="H65" s="380" t="n">
        <f aca="false">(FC_CRONOGRAMA!H38*SUP_OPEX!$D$20+FC_CRONOGRAMA!H39*SUP_OPEX!$E$20)*FC_SUPUESTOS!$C$65</f>
        <v>0</v>
      </c>
      <c r="I65" s="380" t="n">
        <f aca="false">(FC_CRONOGRAMA!I38*SUP_OPEX!$D$20+FC_CRONOGRAMA!I39*SUP_OPEX!$E$20)*FC_SUPUESTOS!$C$65</f>
        <v>0</v>
      </c>
      <c r="J65" s="380" t="n">
        <f aca="false">(FC_CRONOGRAMA!J38*SUP_OPEX!$D$20+FC_CRONOGRAMA!J39*SUP_OPEX!$E$20)*FC_SUPUESTOS!$C$65</f>
        <v>12000</v>
      </c>
      <c r="K65" s="380" t="n">
        <f aca="false">(FC_CRONOGRAMA!K38*SUP_OPEX!$D$20+FC_CRONOGRAMA!K39*SUP_OPEX!$E$20)*FC_SUPUESTOS!$C$65</f>
        <v>12000</v>
      </c>
      <c r="L65" s="380" t="n">
        <f aca="false">(FC_CRONOGRAMA!L38*SUP_OPEX!$D$20+FC_CRONOGRAMA!L39*SUP_OPEX!$E$20)*FC_SUPUESTOS!$C$65</f>
        <v>12000</v>
      </c>
      <c r="M65" s="380" t="n">
        <f aca="false">(FC_CRONOGRAMA!M38*SUP_OPEX!$D$20+FC_CRONOGRAMA!M39*SUP_OPEX!$E$20)*FC_SUPUESTOS!$C$65</f>
        <v>15600</v>
      </c>
      <c r="N65" s="380" t="n">
        <f aca="false">(FC_CRONOGRAMA!N38*SUP_OPEX!$D$20+FC_CRONOGRAMA!N39*SUP_OPEX!$E$20)*FC_SUPUESTOS!$C$65</f>
        <v>19200</v>
      </c>
      <c r="O65" s="380" t="n">
        <f aca="false">(FC_CRONOGRAMA!O38*SUP_OPEX!$D$20+FC_CRONOGRAMA!O39*SUP_OPEX!$E$20)*FC_SUPUESTOS!$C$65</f>
        <v>0</v>
      </c>
      <c r="P65" s="380" t="n">
        <f aca="false">(FC_CRONOGRAMA!P38*SUP_OPEX!$D$20+FC_CRONOGRAMA!P39*SUP_OPEX!$E$20)*FC_SUPUESTOS!$C$65</f>
        <v>0</v>
      </c>
      <c r="Q65" s="380" t="n">
        <f aca="false">(FC_CRONOGRAMA!Q38*SUP_OPEX!$D$20+FC_CRONOGRAMA!Q39*SUP_OPEX!$E$20)*FC_SUPUESTOS!$C$65</f>
        <v>0</v>
      </c>
      <c r="R65" s="380" t="n">
        <f aca="false">(FC_CRONOGRAMA!R38*SUP_OPEX!$D$20+FC_CRONOGRAMA!R39*SUP_OPEX!$E$20)*FC_SUPUESTOS!$C$65</f>
        <v>0</v>
      </c>
      <c r="S65" s="380" t="n">
        <f aca="false">(FC_CRONOGRAMA!S38*SUP_OPEX!$D$20+FC_CRONOGRAMA!S39*SUP_OPEX!$E$20)*FC_SUPUESTOS!$C$65</f>
        <v>0</v>
      </c>
      <c r="T65" s="380" t="n">
        <f aca="false">(FC_CRONOGRAMA!T38*SUP_OPEX!$D$20+FC_CRONOGRAMA!T39*SUP_OPEX!$E$20)*FC_SUPUESTOS!$C$65</f>
        <v>0</v>
      </c>
      <c r="U65" s="380" t="n">
        <f aca="false">(FC_CRONOGRAMA!U38*SUP_OPEX!$D$20+FC_CRONOGRAMA!U39*SUP_OPEX!$E$20)*FC_SUPUESTOS!$C$65</f>
        <v>0</v>
      </c>
      <c r="V65" s="380" t="n">
        <f aca="false">(FC_CRONOGRAMA!V38*SUP_OPEX!$D$20+FC_CRONOGRAMA!V39*SUP_OPEX!$E$20)*FC_SUPUESTOS!$C$65</f>
        <v>0</v>
      </c>
      <c r="W65" s="380" t="n">
        <f aca="false">(FC_CRONOGRAMA!W38*SUP_OPEX!$D$20+FC_CRONOGRAMA!W39*SUP_OPEX!$E$20)*FC_SUPUESTOS!$C$65</f>
        <v>0</v>
      </c>
      <c r="X65" s="380" t="n">
        <f aca="false">(FC_CRONOGRAMA!X38*SUP_OPEX!$D$20+FC_CRONOGRAMA!X39*SUP_OPEX!$E$20)*FC_SUPUESTOS!$C$65</f>
        <v>0</v>
      </c>
      <c r="Y65" s="380" t="n">
        <f aca="false">(FC_CRONOGRAMA!Y38*SUP_OPEX!$D$20+FC_CRONOGRAMA!Y39*SUP_OPEX!$E$20)*FC_SUPUESTOS!$C$65</f>
        <v>0</v>
      </c>
      <c r="Z65" s="380" t="n">
        <f aca="false">(FC_CRONOGRAMA!Z38*SUP_OPEX!$D$20+FC_CRONOGRAMA!Z39*SUP_OPEX!$E$20)*FC_SUPUESTOS!$C$65</f>
        <v>0</v>
      </c>
      <c r="AA65" s="380" t="n">
        <f aca="false">(FC_CRONOGRAMA!AA38*SUP_OPEX!$D$20+FC_CRONOGRAMA!AA39*SUP_OPEX!$E$20)*FC_SUPUESTOS!$C$65</f>
        <v>0</v>
      </c>
      <c r="AB65" s="380" t="n">
        <f aca="false">(FC_CRONOGRAMA!AB38*SUP_OPEX!$D$20+FC_CRONOGRAMA!AB39*SUP_OPEX!$E$20)*FC_SUPUESTOS!$C$65</f>
        <v>0</v>
      </c>
      <c r="AC65" s="380" t="n">
        <f aca="false">(FC_CRONOGRAMA!AC38*SUP_OPEX!$D$20+FC_CRONOGRAMA!AC39*SUP_OPEX!$E$20)*FC_SUPUESTOS!$C$65</f>
        <v>0</v>
      </c>
      <c r="AD65" s="380" t="n">
        <f aca="false">(FC_CRONOGRAMA!AD38*SUP_OPEX!$D$20+FC_CRONOGRAMA!AD39*SUP_OPEX!$E$20)*FC_SUPUESTOS!$C$65</f>
        <v>0</v>
      </c>
      <c r="AE65" s="380" t="n">
        <f aca="false">(FC_CRONOGRAMA!AE38*SUP_OPEX!$D$20+FC_CRONOGRAMA!AE39*SUP_OPEX!$E$20)*FC_SUPUESTOS!$C$65</f>
        <v>0</v>
      </c>
      <c r="AF65" s="380" t="n">
        <f aca="false">(FC_CRONOGRAMA!AF38*SUP_OPEX!$D$20+FC_CRONOGRAMA!AF39*SUP_OPEX!$E$20)*FC_SUPUESTOS!$C$65</f>
        <v>0</v>
      </c>
      <c r="AG65" s="380" t="n">
        <f aca="false">(FC_CRONOGRAMA!AG38*SUP_OPEX!$D$20+FC_CRONOGRAMA!AG39*SUP_OPEX!$E$20)*FC_SUPUESTOS!$C$65</f>
        <v>0</v>
      </c>
      <c r="AH65" s="380" t="n">
        <f aca="false">(FC_CRONOGRAMA!AH38*SUP_OPEX!$D$20+FC_CRONOGRAMA!AH39*SUP_OPEX!$E$20)*FC_SUPUESTOS!$C$65</f>
        <v>0</v>
      </c>
      <c r="AI65" s="380" t="n">
        <f aca="false">(FC_CRONOGRAMA!AI38*SUP_OPEX!$D$20+FC_CRONOGRAMA!AI39*SUP_OPEX!$E$20)*FC_SUPUESTOS!$C$65</f>
        <v>0</v>
      </c>
      <c r="AJ65" s="380" t="n">
        <f aca="false">(FC_CRONOGRAMA!AJ38*SUP_OPEX!$D$20+FC_CRONOGRAMA!AJ39*SUP_OPEX!$E$20)*FC_SUPUESTOS!$C$65</f>
        <v>0</v>
      </c>
      <c r="AK65" s="380" t="n">
        <f aca="false">(FC_CRONOGRAMA!AK38*SUP_OPEX!$D$20+FC_CRONOGRAMA!AK39*SUP_OPEX!$E$20)*FC_SUPUESTOS!$C$65</f>
        <v>0</v>
      </c>
      <c r="AL65" s="380" t="n">
        <f aca="false">(FC_CRONOGRAMA!AL38*SUP_OPEX!$D$20+FC_CRONOGRAMA!AL39*SUP_OPEX!$E$20)*FC_SUPUESTOS!$C$65</f>
        <v>0</v>
      </c>
      <c r="AM65" s="380" t="n">
        <f aca="false">(FC_CRONOGRAMA!AM38*SUP_OPEX!$D$20+FC_CRONOGRAMA!AM39*SUP_OPEX!$E$20)*FC_SUPUESTOS!$C$65</f>
        <v>0</v>
      </c>
      <c r="AN65" s="380" t="n">
        <f aca="false">(FC_CRONOGRAMA!AN38*SUP_OPEX!$D$20+FC_CRONOGRAMA!AN39*SUP_OPEX!$E$20)*FC_SUPUESTOS!$C$65</f>
        <v>0</v>
      </c>
      <c r="AO65" s="380" t="n">
        <f aca="false">(FC_CRONOGRAMA!AO38*SUP_OPEX!$D$20+FC_CRONOGRAMA!AO39*SUP_OPEX!$E$20)*FC_SUPUESTOS!$C$65</f>
        <v>0</v>
      </c>
      <c r="AP65" s="380" t="n">
        <f aca="false">(FC_CRONOGRAMA!AP38*SUP_OPEX!$D$20+FC_CRONOGRAMA!AP39*SUP_OPEX!$E$20)*FC_SUPUESTOS!$C$65</f>
        <v>0</v>
      </c>
      <c r="AQ65" s="380" t="n">
        <f aca="false">(FC_CRONOGRAMA!AQ38*SUP_OPEX!$D$20+FC_CRONOGRAMA!AQ39*SUP_OPEX!$E$20)*FC_SUPUESTOS!$C$65</f>
        <v>0</v>
      </c>
      <c r="AR65" s="380" t="n">
        <f aca="false">(FC_CRONOGRAMA!AR38*SUP_OPEX!$D$20+FC_CRONOGRAMA!AR39*SUP_OPEX!$E$20)*FC_SUPUESTOS!$C$65</f>
        <v>0</v>
      </c>
      <c r="AS65" s="380" t="n">
        <f aca="false">(FC_CRONOGRAMA!AS38*SUP_OPEX!$D$20+FC_CRONOGRAMA!AS39*SUP_OPEX!$E$20)*FC_SUPUESTOS!$C$65</f>
        <v>0</v>
      </c>
      <c r="AT65" s="380" t="n">
        <f aca="false">(FC_CRONOGRAMA!AT38*SUP_OPEX!$D$20+FC_CRONOGRAMA!AT39*SUP_OPEX!$E$20)*FC_SUPUESTOS!$C$65</f>
        <v>0</v>
      </c>
      <c r="AU65" s="380" t="n">
        <f aca="false">(FC_CRONOGRAMA!AU38*SUP_OPEX!$D$20+FC_CRONOGRAMA!AU39*SUP_OPEX!$E$20)*FC_SUPUESTOS!$C$65</f>
        <v>0</v>
      </c>
      <c r="AV65" s="380" t="n">
        <f aca="false">(FC_CRONOGRAMA!AV38*SUP_OPEX!$D$20+FC_CRONOGRAMA!AV39*SUP_OPEX!$E$20)*FC_SUPUESTOS!$C$65</f>
        <v>0</v>
      </c>
      <c r="AW65" s="380" t="n">
        <f aca="false">(FC_CRONOGRAMA!AW38*SUP_OPEX!$D$20+FC_CRONOGRAMA!AW39*SUP_OPEX!$E$20)*FC_SUPUESTOS!$C$65</f>
        <v>0</v>
      </c>
      <c r="AX65" s="380" t="n">
        <f aca="false">(FC_CRONOGRAMA!AX38*SUP_OPEX!$D$20+FC_CRONOGRAMA!AX39*SUP_OPEX!$E$20)*FC_SUPUESTOS!$C$65</f>
        <v>0</v>
      </c>
      <c r="AY65" s="380" t="n">
        <f aca="false">(FC_CRONOGRAMA!AY38*SUP_OPEX!$D$20+FC_CRONOGRAMA!AY39*SUP_OPEX!$E$20)*FC_SUPUESTOS!$C$65</f>
        <v>0</v>
      </c>
      <c r="AZ65" s="380" t="n">
        <f aca="false">(FC_CRONOGRAMA!AZ38*SUP_OPEX!$D$20+FC_CRONOGRAMA!AZ39*SUP_OPEX!$E$20)*FC_SUPUESTOS!$C$65</f>
        <v>0</v>
      </c>
      <c r="BA65" s="380" t="n">
        <f aca="false">(FC_CRONOGRAMA!BA38*SUP_OPEX!$D$20+FC_CRONOGRAMA!BA39*SUP_OPEX!$E$20)*FC_SUPUESTOS!$C$65</f>
        <v>0</v>
      </c>
      <c r="BB65" s="380" t="n">
        <f aca="false">(FC_CRONOGRAMA!BB38*SUP_OPEX!$D$20+FC_CRONOGRAMA!BB39*SUP_OPEX!$E$20)*FC_SUPUESTOS!$C$65</f>
        <v>0</v>
      </c>
      <c r="BC65" s="380" t="n">
        <f aca="false">(FC_CRONOGRAMA!BC38*SUP_OPEX!$D$20+FC_CRONOGRAMA!BC39*SUP_OPEX!$E$20)*FC_SUPUESTOS!$C$65</f>
        <v>0</v>
      </c>
      <c r="BD65" s="380" t="n">
        <f aca="false">(FC_CRONOGRAMA!BD38*SUP_OPEX!$D$20+FC_CRONOGRAMA!BD39*SUP_OPEX!$E$20)*FC_SUPUESTOS!$C$65</f>
        <v>0</v>
      </c>
      <c r="BE65" s="380" t="n">
        <f aca="false">(FC_CRONOGRAMA!BE38*SUP_OPEX!$D$20+FC_CRONOGRAMA!BE39*SUP_OPEX!$E$20)*FC_SUPUESTOS!$C$65</f>
        <v>0</v>
      </c>
      <c r="BF65" s="380" t="n">
        <f aca="false">(FC_CRONOGRAMA!BF38*SUP_OPEX!$D$20+FC_CRONOGRAMA!BF39*SUP_OPEX!$E$20)*FC_SUPUESTOS!$C$65</f>
        <v>0</v>
      </c>
      <c r="BG65" s="380" t="n">
        <f aca="false">(FC_CRONOGRAMA!BG38*SUP_OPEX!$D$20+FC_CRONOGRAMA!BG39*SUP_OPEX!$E$20)*FC_SUPUESTOS!$C$65</f>
        <v>0</v>
      </c>
      <c r="BH65" s="380" t="n">
        <f aca="false">(FC_CRONOGRAMA!BH38*SUP_OPEX!$D$20+FC_CRONOGRAMA!BH39*SUP_OPEX!$E$20)*FC_SUPUESTOS!$C$65</f>
        <v>0</v>
      </c>
      <c r="BI65" s="380" t="n">
        <f aca="false">(FC_CRONOGRAMA!BI38*SUP_OPEX!$D$20+FC_CRONOGRAMA!BI39*SUP_OPEX!$E$20)*FC_SUPUESTOS!$C$65</f>
        <v>0</v>
      </c>
      <c r="BJ65" s="380" t="n">
        <f aca="false">(FC_CRONOGRAMA!BJ38*SUP_OPEX!$D$20+FC_CRONOGRAMA!BJ39*SUP_OPEX!$E$20)*FC_SUPUESTOS!$C$65</f>
        <v>0</v>
      </c>
      <c r="BK65" s="380" t="n">
        <f aca="false">(FC_CRONOGRAMA!BK38*SUP_OPEX!$D$20+FC_CRONOGRAMA!BK39*SUP_OPEX!$E$20)*FC_SUPUESTOS!$C$65</f>
        <v>0</v>
      </c>
    </row>
    <row r="66" customFormat="false" ht="15" hidden="false" customHeight="true" outlineLevel="0" collapsed="false">
      <c r="B66" s="297" t="s">
        <v>2964</v>
      </c>
      <c r="D66" s="380" t="n">
        <f aca="false">(FC_SUPUESTOS!$C$9*SUP_OPEX!$D$20+FC_SUPUESTOS!$C$10*SUP_OPEX!$E$20)*FC_SUPUESTOS!$C$66-SUM($E$66:$BK$66)</f>
        <v>0</v>
      </c>
      <c r="E66" s="380" t="n">
        <f aca="false">(FC_CRONOGRAMA!E38*SUP_OPEX!$D$20+FC_CRONOGRAMA!E39*SUP_OPEX!$E$20)*FC_SUPUESTOS!$C$66</f>
        <v>0</v>
      </c>
      <c r="F66" s="380" t="n">
        <f aca="false">(FC_CRONOGRAMA!F38*SUP_OPEX!$D$20+FC_CRONOGRAMA!F39*SUP_OPEX!$E$20)*FC_SUPUESTOS!$C$66</f>
        <v>0</v>
      </c>
      <c r="G66" s="380" t="n">
        <f aca="false">(FC_CRONOGRAMA!G38*SUP_OPEX!$D$20+FC_CRONOGRAMA!G39*SUP_OPEX!$E$20)*FC_SUPUESTOS!$C$66</f>
        <v>0</v>
      </c>
      <c r="H66" s="380" t="n">
        <f aca="false">(FC_CRONOGRAMA!H38*SUP_OPEX!$D$20+FC_CRONOGRAMA!H39*SUP_OPEX!$E$20)*FC_SUPUESTOS!$C$66</f>
        <v>0</v>
      </c>
      <c r="I66" s="380" t="n">
        <f aca="false">(FC_CRONOGRAMA!I38*SUP_OPEX!$D$20+FC_CRONOGRAMA!I39*SUP_OPEX!$E$20)*FC_SUPUESTOS!$C$66</f>
        <v>0</v>
      </c>
      <c r="J66" s="380" t="n">
        <f aca="false">(FC_CRONOGRAMA!J38*SUP_OPEX!$D$20+FC_CRONOGRAMA!J39*SUP_OPEX!$E$20)*FC_SUPUESTOS!$C$66</f>
        <v>8000</v>
      </c>
      <c r="K66" s="380" t="n">
        <f aca="false">(FC_CRONOGRAMA!K38*SUP_OPEX!$D$20+FC_CRONOGRAMA!K39*SUP_OPEX!$E$20)*FC_SUPUESTOS!$C$66</f>
        <v>8000</v>
      </c>
      <c r="L66" s="380" t="n">
        <f aca="false">(FC_CRONOGRAMA!L38*SUP_OPEX!$D$20+FC_CRONOGRAMA!L39*SUP_OPEX!$E$20)*FC_SUPUESTOS!$C$66</f>
        <v>8000</v>
      </c>
      <c r="M66" s="380" t="n">
        <f aca="false">(FC_CRONOGRAMA!M38*SUP_OPEX!$D$20+FC_CRONOGRAMA!M39*SUP_OPEX!$E$20)*FC_SUPUESTOS!$C$66</f>
        <v>10400</v>
      </c>
      <c r="N66" s="380" t="n">
        <f aca="false">(FC_CRONOGRAMA!N38*SUP_OPEX!$D$20+FC_CRONOGRAMA!N39*SUP_OPEX!$E$20)*FC_SUPUESTOS!$C$66</f>
        <v>12800</v>
      </c>
      <c r="O66" s="380" t="n">
        <f aca="false">(FC_CRONOGRAMA!O38*SUP_OPEX!$D$20+FC_CRONOGRAMA!O39*SUP_OPEX!$E$20)*FC_SUPUESTOS!$C$66</f>
        <v>0</v>
      </c>
      <c r="P66" s="380" t="n">
        <f aca="false">(FC_CRONOGRAMA!P38*SUP_OPEX!$D$20+FC_CRONOGRAMA!P39*SUP_OPEX!$E$20)*FC_SUPUESTOS!$C$66</f>
        <v>0</v>
      </c>
      <c r="Q66" s="380" t="n">
        <f aca="false">(FC_CRONOGRAMA!Q38*SUP_OPEX!$D$20+FC_CRONOGRAMA!Q39*SUP_OPEX!$E$20)*FC_SUPUESTOS!$C$66</f>
        <v>0</v>
      </c>
      <c r="R66" s="380" t="n">
        <f aca="false">(FC_CRONOGRAMA!R38*SUP_OPEX!$D$20+FC_CRONOGRAMA!R39*SUP_OPEX!$E$20)*FC_SUPUESTOS!$C$66</f>
        <v>0</v>
      </c>
      <c r="S66" s="380" t="n">
        <f aca="false">(FC_CRONOGRAMA!S38*SUP_OPEX!$D$20+FC_CRONOGRAMA!S39*SUP_OPEX!$E$20)*FC_SUPUESTOS!$C$66</f>
        <v>0</v>
      </c>
      <c r="T66" s="380" t="n">
        <f aca="false">(FC_CRONOGRAMA!T38*SUP_OPEX!$D$20+FC_CRONOGRAMA!T39*SUP_OPEX!$E$20)*FC_SUPUESTOS!$C$66</f>
        <v>0</v>
      </c>
      <c r="U66" s="380" t="n">
        <f aca="false">(FC_CRONOGRAMA!U38*SUP_OPEX!$D$20+FC_CRONOGRAMA!U39*SUP_OPEX!$E$20)*FC_SUPUESTOS!$C$66</f>
        <v>0</v>
      </c>
      <c r="V66" s="380" t="n">
        <f aca="false">(FC_CRONOGRAMA!V38*SUP_OPEX!$D$20+FC_CRONOGRAMA!V39*SUP_OPEX!$E$20)*FC_SUPUESTOS!$C$66</f>
        <v>0</v>
      </c>
      <c r="W66" s="380" t="n">
        <f aca="false">(FC_CRONOGRAMA!W38*SUP_OPEX!$D$20+FC_CRONOGRAMA!W39*SUP_OPEX!$E$20)*FC_SUPUESTOS!$C$66</f>
        <v>0</v>
      </c>
      <c r="X66" s="380" t="n">
        <f aca="false">(FC_CRONOGRAMA!X38*SUP_OPEX!$D$20+FC_CRONOGRAMA!X39*SUP_OPEX!$E$20)*FC_SUPUESTOS!$C$66</f>
        <v>0</v>
      </c>
      <c r="Y66" s="380" t="n">
        <f aca="false">(FC_CRONOGRAMA!Y38*SUP_OPEX!$D$20+FC_CRONOGRAMA!Y39*SUP_OPEX!$E$20)*FC_SUPUESTOS!$C$66</f>
        <v>0</v>
      </c>
      <c r="Z66" s="380" t="n">
        <f aca="false">(FC_CRONOGRAMA!Z38*SUP_OPEX!$D$20+FC_CRONOGRAMA!Z39*SUP_OPEX!$E$20)*FC_SUPUESTOS!$C$66</f>
        <v>0</v>
      </c>
      <c r="AA66" s="380" t="n">
        <f aca="false">(FC_CRONOGRAMA!AA38*SUP_OPEX!$D$20+FC_CRONOGRAMA!AA39*SUP_OPEX!$E$20)*FC_SUPUESTOS!$C$66</f>
        <v>0</v>
      </c>
      <c r="AB66" s="380" t="n">
        <f aca="false">(FC_CRONOGRAMA!AB38*SUP_OPEX!$D$20+FC_CRONOGRAMA!AB39*SUP_OPEX!$E$20)*FC_SUPUESTOS!$C$66</f>
        <v>0</v>
      </c>
      <c r="AC66" s="380" t="n">
        <f aca="false">(FC_CRONOGRAMA!AC38*SUP_OPEX!$D$20+FC_CRONOGRAMA!AC39*SUP_OPEX!$E$20)*FC_SUPUESTOS!$C$66</f>
        <v>0</v>
      </c>
      <c r="AD66" s="380" t="n">
        <f aca="false">(FC_CRONOGRAMA!AD38*SUP_OPEX!$D$20+FC_CRONOGRAMA!AD39*SUP_OPEX!$E$20)*FC_SUPUESTOS!$C$66</f>
        <v>0</v>
      </c>
      <c r="AE66" s="380" t="n">
        <f aca="false">(FC_CRONOGRAMA!AE38*SUP_OPEX!$D$20+FC_CRONOGRAMA!AE39*SUP_OPEX!$E$20)*FC_SUPUESTOS!$C$66</f>
        <v>0</v>
      </c>
      <c r="AF66" s="380" t="n">
        <f aca="false">(FC_CRONOGRAMA!AF38*SUP_OPEX!$D$20+FC_CRONOGRAMA!AF39*SUP_OPEX!$E$20)*FC_SUPUESTOS!$C$66</f>
        <v>0</v>
      </c>
      <c r="AG66" s="380" t="n">
        <f aca="false">(FC_CRONOGRAMA!AG38*SUP_OPEX!$D$20+FC_CRONOGRAMA!AG39*SUP_OPEX!$E$20)*FC_SUPUESTOS!$C$66</f>
        <v>0</v>
      </c>
      <c r="AH66" s="380" t="n">
        <f aca="false">(FC_CRONOGRAMA!AH38*SUP_OPEX!$D$20+FC_CRONOGRAMA!AH39*SUP_OPEX!$E$20)*FC_SUPUESTOS!$C$66</f>
        <v>0</v>
      </c>
      <c r="AI66" s="380" t="n">
        <f aca="false">(FC_CRONOGRAMA!AI38*SUP_OPEX!$D$20+FC_CRONOGRAMA!AI39*SUP_OPEX!$E$20)*FC_SUPUESTOS!$C$66</f>
        <v>0</v>
      </c>
      <c r="AJ66" s="380" t="n">
        <f aca="false">(FC_CRONOGRAMA!AJ38*SUP_OPEX!$D$20+FC_CRONOGRAMA!AJ39*SUP_OPEX!$E$20)*FC_SUPUESTOS!$C$66</f>
        <v>0</v>
      </c>
      <c r="AK66" s="380" t="n">
        <f aca="false">(FC_CRONOGRAMA!AK38*SUP_OPEX!$D$20+FC_CRONOGRAMA!AK39*SUP_OPEX!$E$20)*FC_SUPUESTOS!$C$66</f>
        <v>0</v>
      </c>
      <c r="AL66" s="380" t="n">
        <f aca="false">(FC_CRONOGRAMA!AL38*SUP_OPEX!$D$20+FC_CRONOGRAMA!AL39*SUP_OPEX!$E$20)*FC_SUPUESTOS!$C$66</f>
        <v>0</v>
      </c>
      <c r="AM66" s="380" t="n">
        <f aca="false">(FC_CRONOGRAMA!AM38*SUP_OPEX!$D$20+FC_CRONOGRAMA!AM39*SUP_OPEX!$E$20)*FC_SUPUESTOS!$C$66</f>
        <v>0</v>
      </c>
      <c r="AN66" s="380" t="n">
        <f aca="false">(FC_CRONOGRAMA!AN38*SUP_OPEX!$D$20+FC_CRONOGRAMA!AN39*SUP_OPEX!$E$20)*FC_SUPUESTOS!$C$66</f>
        <v>0</v>
      </c>
      <c r="AO66" s="380" t="n">
        <f aca="false">(FC_CRONOGRAMA!AO38*SUP_OPEX!$D$20+FC_CRONOGRAMA!AO39*SUP_OPEX!$E$20)*FC_SUPUESTOS!$C$66</f>
        <v>0</v>
      </c>
      <c r="AP66" s="380" t="n">
        <f aca="false">(FC_CRONOGRAMA!AP38*SUP_OPEX!$D$20+FC_CRONOGRAMA!AP39*SUP_OPEX!$E$20)*FC_SUPUESTOS!$C$66</f>
        <v>0</v>
      </c>
      <c r="AQ66" s="380" t="n">
        <f aca="false">(FC_CRONOGRAMA!AQ38*SUP_OPEX!$D$20+FC_CRONOGRAMA!AQ39*SUP_OPEX!$E$20)*FC_SUPUESTOS!$C$66</f>
        <v>0</v>
      </c>
      <c r="AR66" s="380" t="n">
        <f aca="false">(FC_CRONOGRAMA!AR38*SUP_OPEX!$D$20+FC_CRONOGRAMA!AR39*SUP_OPEX!$E$20)*FC_SUPUESTOS!$C$66</f>
        <v>0</v>
      </c>
      <c r="AS66" s="380" t="n">
        <f aca="false">(FC_CRONOGRAMA!AS38*SUP_OPEX!$D$20+FC_CRONOGRAMA!AS39*SUP_OPEX!$E$20)*FC_SUPUESTOS!$C$66</f>
        <v>0</v>
      </c>
      <c r="AT66" s="380" t="n">
        <f aca="false">(FC_CRONOGRAMA!AT38*SUP_OPEX!$D$20+FC_CRONOGRAMA!AT39*SUP_OPEX!$E$20)*FC_SUPUESTOS!$C$66</f>
        <v>0</v>
      </c>
      <c r="AU66" s="380" t="n">
        <f aca="false">(FC_CRONOGRAMA!AU38*SUP_OPEX!$D$20+FC_CRONOGRAMA!AU39*SUP_OPEX!$E$20)*FC_SUPUESTOS!$C$66</f>
        <v>0</v>
      </c>
      <c r="AV66" s="380" t="n">
        <f aca="false">(FC_CRONOGRAMA!AV38*SUP_OPEX!$D$20+FC_CRONOGRAMA!AV39*SUP_OPEX!$E$20)*FC_SUPUESTOS!$C$66</f>
        <v>0</v>
      </c>
      <c r="AW66" s="380" t="n">
        <f aca="false">(FC_CRONOGRAMA!AW38*SUP_OPEX!$D$20+FC_CRONOGRAMA!AW39*SUP_OPEX!$E$20)*FC_SUPUESTOS!$C$66</f>
        <v>0</v>
      </c>
      <c r="AX66" s="380" t="n">
        <f aca="false">(FC_CRONOGRAMA!AX38*SUP_OPEX!$D$20+FC_CRONOGRAMA!AX39*SUP_OPEX!$E$20)*FC_SUPUESTOS!$C$66</f>
        <v>0</v>
      </c>
      <c r="AY66" s="380" t="n">
        <f aca="false">(FC_CRONOGRAMA!AY38*SUP_OPEX!$D$20+FC_CRONOGRAMA!AY39*SUP_OPEX!$E$20)*FC_SUPUESTOS!$C$66</f>
        <v>0</v>
      </c>
      <c r="AZ66" s="380" t="n">
        <f aca="false">(FC_CRONOGRAMA!AZ38*SUP_OPEX!$D$20+FC_CRONOGRAMA!AZ39*SUP_OPEX!$E$20)*FC_SUPUESTOS!$C$66</f>
        <v>0</v>
      </c>
      <c r="BA66" s="380" t="n">
        <f aca="false">(FC_CRONOGRAMA!BA38*SUP_OPEX!$D$20+FC_CRONOGRAMA!BA39*SUP_OPEX!$E$20)*FC_SUPUESTOS!$C$66</f>
        <v>0</v>
      </c>
      <c r="BB66" s="380" t="n">
        <f aca="false">(FC_CRONOGRAMA!BB38*SUP_OPEX!$D$20+FC_CRONOGRAMA!BB39*SUP_OPEX!$E$20)*FC_SUPUESTOS!$C$66</f>
        <v>0</v>
      </c>
      <c r="BC66" s="380" t="n">
        <f aca="false">(FC_CRONOGRAMA!BC38*SUP_OPEX!$D$20+FC_CRONOGRAMA!BC39*SUP_OPEX!$E$20)*FC_SUPUESTOS!$C$66</f>
        <v>0</v>
      </c>
      <c r="BD66" s="380" t="n">
        <f aca="false">(FC_CRONOGRAMA!BD38*SUP_OPEX!$D$20+FC_CRONOGRAMA!BD39*SUP_OPEX!$E$20)*FC_SUPUESTOS!$C$66</f>
        <v>0</v>
      </c>
      <c r="BE66" s="380" t="n">
        <f aca="false">(FC_CRONOGRAMA!BE38*SUP_OPEX!$D$20+FC_CRONOGRAMA!BE39*SUP_OPEX!$E$20)*FC_SUPUESTOS!$C$66</f>
        <v>0</v>
      </c>
      <c r="BF66" s="380" t="n">
        <f aca="false">(FC_CRONOGRAMA!BF38*SUP_OPEX!$D$20+FC_CRONOGRAMA!BF39*SUP_OPEX!$E$20)*FC_SUPUESTOS!$C$66</f>
        <v>0</v>
      </c>
      <c r="BG66" s="380" t="n">
        <f aca="false">(FC_CRONOGRAMA!BG38*SUP_OPEX!$D$20+FC_CRONOGRAMA!BG39*SUP_OPEX!$E$20)*FC_SUPUESTOS!$C$66</f>
        <v>0</v>
      </c>
      <c r="BH66" s="380" t="n">
        <f aca="false">(FC_CRONOGRAMA!BH38*SUP_OPEX!$D$20+FC_CRONOGRAMA!BH39*SUP_OPEX!$E$20)*FC_SUPUESTOS!$C$66</f>
        <v>0</v>
      </c>
      <c r="BI66" s="380" t="n">
        <f aca="false">(FC_CRONOGRAMA!BI38*SUP_OPEX!$D$20+FC_CRONOGRAMA!BI39*SUP_OPEX!$E$20)*FC_SUPUESTOS!$C$66</f>
        <v>0</v>
      </c>
      <c r="BJ66" s="380" t="n">
        <f aca="false">(FC_CRONOGRAMA!BJ38*SUP_OPEX!$D$20+FC_CRONOGRAMA!BJ39*SUP_OPEX!$E$20)*FC_SUPUESTOS!$C$66</f>
        <v>0</v>
      </c>
      <c r="BK66" s="380" t="n">
        <f aca="false">(FC_CRONOGRAMA!BK38*SUP_OPEX!$D$20+FC_CRONOGRAMA!BK39*SUP_OPEX!$E$20)*FC_SUPUESTOS!$C$66</f>
        <v>0</v>
      </c>
    </row>
    <row r="67" customFormat="false" ht="15" hidden="false" customHeight="true" outlineLevel="0" collapsed="false">
      <c r="B67" s="297" t="s">
        <v>2965</v>
      </c>
      <c r="D67" s="380" t="n">
        <f aca="false">SUP_TECNOLOGIA!$C$18-SUM($E$67:$BK$67)</f>
        <v>0</v>
      </c>
      <c r="E67" s="380" t="n">
        <f aca="false">IF(E$5=MAX(1,FC_SUPUESTOS!$C$40-FC_SUPUESTOS!$C$55),SUP_TECNOLOGIA!$C$18,0)</f>
        <v>0</v>
      </c>
      <c r="F67" s="380" t="n">
        <f aca="false">IF(F$5=MAX(1,FC_SUPUESTOS!$C$40-FC_SUPUESTOS!$C$55),SUP_TECNOLOGIA!$C$18,0)</f>
        <v>0</v>
      </c>
      <c r="G67" s="380" t="n">
        <f aca="false">IF(G$5=MAX(1,FC_SUPUESTOS!$C$40-FC_SUPUESTOS!$C$55),SUP_TECNOLOGIA!$C$18,0)</f>
        <v>0</v>
      </c>
      <c r="H67" s="380" t="n">
        <f aca="false">IF(H$5=MAX(1,FC_SUPUESTOS!$C$40-FC_SUPUESTOS!$C$55),SUP_TECNOLOGIA!$C$18,0)</f>
        <v>0</v>
      </c>
      <c r="I67" s="380" t="n">
        <f aca="false">IF(I$5=MAX(1,FC_SUPUESTOS!$C$40-FC_SUPUESTOS!$C$55),SUP_TECNOLOGIA!$C$18,0)</f>
        <v>0</v>
      </c>
      <c r="J67" s="380" t="n">
        <f aca="false">IF(J$5=MAX(1,FC_SUPUESTOS!$C$40-FC_SUPUESTOS!$C$55),SUP_TECNOLOGIA!$C$18,0)</f>
        <v>0</v>
      </c>
      <c r="K67" s="380" t="n">
        <f aca="false">IF(K$5=MAX(1,FC_SUPUESTOS!$C$40-FC_SUPUESTOS!$C$55),SUP_TECNOLOGIA!$C$18,0)</f>
        <v>45000</v>
      </c>
      <c r="L67" s="380" t="n">
        <f aca="false">IF(L$5=MAX(1,FC_SUPUESTOS!$C$40-FC_SUPUESTOS!$C$55),SUP_TECNOLOGIA!$C$18,0)</f>
        <v>0</v>
      </c>
      <c r="M67" s="380" t="n">
        <f aca="false">IF(M$5=MAX(1,FC_SUPUESTOS!$C$40-FC_SUPUESTOS!$C$55),SUP_TECNOLOGIA!$C$18,0)</f>
        <v>0</v>
      </c>
      <c r="N67" s="380" t="n">
        <f aca="false">IF(N$5=MAX(1,FC_SUPUESTOS!$C$40-FC_SUPUESTOS!$C$55),SUP_TECNOLOGIA!$C$18,0)</f>
        <v>0</v>
      </c>
      <c r="O67" s="380" t="n">
        <f aca="false">IF(O$5=MAX(1,FC_SUPUESTOS!$C$40-FC_SUPUESTOS!$C$55),SUP_TECNOLOGIA!$C$18,0)</f>
        <v>0</v>
      </c>
      <c r="P67" s="380" t="n">
        <f aca="false">IF(P$5=MAX(1,FC_SUPUESTOS!$C$40-FC_SUPUESTOS!$C$55),SUP_TECNOLOGIA!$C$18,0)</f>
        <v>0</v>
      </c>
      <c r="Q67" s="380" t="n">
        <f aca="false">IF(Q$5=MAX(1,FC_SUPUESTOS!$C$40-FC_SUPUESTOS!$C$55),SUP_TECNOLOGIA!$C$18,0)</f>
        <v>0</v>
      </c>
      <c r="R67" s="380" t="n">
        <f aca="false">IF(R$5=MAX(1,FC_SUPUESTOS!$C$40-FC_SUPUESTOS!$C$55),SUP_TECNOLOGIA!$C$18,0)</f>
        <v>0</v>
      </c>
      <c r="S67" s="380" t="n">
        <f aca="false">IF(S$5=MAX(1,FC_SUPUESTOS!$C$40-FC_SUPUESTOS!$C$55),SUP_TECNOLOGIA!$C$18,0)</f>
        <v>0</v>
      </c>
      <c r="T67" s="380" t="n">
        <f aca="false">IF(T$5=MAX(1,FC_SUPUESTOS!$C$40-FC_SUPUESTOS!$C$55),SUP_TECNOLOGIA!$C$18,0)</f>
        <v>0</v>
      </c>
      <c r="U67" s="380" t="n">
        <f aca="false">IF(U$5=MAX(1,FC_SUPUESTOS!$C$40-FC_SUPUESTOS!$C$55),SUP_TECNOLOGIA!$C$18,0)</f>
        <v>0</v>
      </c>
      <c r="V67" s="380" t="n">
        <f aca="false">IF(V$5=MAX(1,FC_SUPUESTOS!$C$40-FC_SUPUESTOS!$C$55),SUP_TECNOLOGIA!$C$18,0)</f>
        <v>0</v>
      </c>
      <c r="W67" s="380" t="n">
        <f aca="false">IF(W$5=MAX(1,FC_SUPUESTOS!$C$40-FC_SUPUESTOS!$C$55),SUP_TECNOLOGIA!$C$18,0)</f>
        <v>0</v>
      </c>
      <c r="X67" s="380" t="n">
        <f aca="false">IF(X$5=MAX(1,FC_SUPUESTOS!$C$40-FC_SUPUESTOS!$C$55),SUP_TECNOLOGIA!$C$18,0)</f>
        <v>0</v>
      </c>
      <c r="Y67" s="380" t="n">
        <f aca="false">IF(Y$5=MAX(1,FC_SUPUESTOS!$C$40-FC_SUPUESTOS!$C$55),SUP_TECNOLOGIA!$C$18,0)</f>
        <v>0</v>
      </c>
      <c r="Z67" s="380" t="n">
        <f aca="false">IF(Z$5=MAX(1,FC_SUPUESTOS!$C$40-FC_SUPUESTOS!$C$55),SUP_TECNOLOGIA!$C$18,0)</f>
        <v>0</v>
      </c>
      <c r="AA67" s="380" t="n">
        <f aca="false">IF(AA$5=MAX(1,FC_SUPUESTOS!$C$40-FC_SUPUESTOS!$C$55),SUP_TECNOLOGIA!$C$18,0)</f>
        <v>0</v>
      </c>
      <c r="AB67" s="380" t="n">
        <f aca="false">IF(AB$5=MAX(1,FC_SUPUESTOS!$C$40-FC_SUPUESTOS!$C$55),SUP_TECNOLOGIA!$C$18,0)</f>
        <v>0</v>
      </c>
      <c r="AC67" s="380" t="n">
        <f aca="false">IF(AC$5=MAX(1,FC_SUPUESTOS!$C$40-FC_SUPUESTOS!$C$55),SUP_TECNOLOGIA!$C$18,0)</f>
        <v>0</v>
      </c>
      <c r="AD67" s="380" t="n">
        <f aca="false">IF(AD$5=MAX(1,FC_SUPUESTOS!$C$40-FC_SUPUESTOS!$C$55),SUP_TECNOLOGIA!$C$18,0)</f>
        <v>0</v>
      </c>
      <c r="AE67" s="380" t="n">
        <f aca="false">IF(AE$5=MAX(1,FC_SUPUESTOS!$C$40-FC_SUPUESTOS!$C$55),SUP_TECNOLOGIA!$C$18,0)</f>
        <v>0</v>
      </c>
      <c r="AF67" s="380" t="n">
        <f aca="false">IF(AF$5=MAX(1,FC_SUPUESTOS!$C$40-FC_SUPUESTOS!$C$55),SUP_TECNOLOGIA!$C$18,0)</f>
        <v>0</v>
      </c>
      <c r="AG67" s="380" t="n">
        <f aca="false">IF(AG$5=MAX(1,FC_SUPUESTOS!$C$40-FC_SUPUESTOS!$C$55),SUP_TECNOLOGIA!$C$18,0)</f>
        <v>0</v>
      </c>
      <c r="AH67" s="380" t="n">
        <f aca="false">IF(AH$5=MAX(1,FC_SUPUESTOS!$C$40-FC_SUPUESTOS!$C$55),SUP_TECNOLOGIA!$C$18,0)</f>
        <v>0</v>
      </c>
      <c r="AI67" s="380" t="n">
        <f aca="false">IF(AI$5=MAX(1,FC_SUPUESTOS!$C$40-FC_SUPUESTOS!$C$55),SUP_TECNOLOGIA!$C$18,0)</f>
        <v>0</v>
      </c>
      <c r="AJ67" s="380" t="n">
        <f aca="false">IF(AJ$5=MAX(1,FC_SUPUESTOS!$C$40-FC_SUPUESTOS!$C$55),SUP_TECNOLOGIA!$C$18,0)</f>
        <v>0</v>
      </c>
      <c r="AK67" s="380" t="n">
        <f aca="false">IF(AK$5=MAX(1,FC_SUPUESTOS!$C$40-FC_SUPUESTOS!$C$55),SUP_TECNOLOGIA!$C$18,0)</f>
        <v>0</v>
      </c>
      <c r="AL67" s="380" t="n">
        <f aca="false">IF(AL$5=MAX(1,FC_SUPUESTOS!$C$40-FC_SUPUESTOS!$C$55),SUP_TECNOLOGIA!$C$18,0)</f>
        <v>0</v>
      </c>
      <c r="AM67" s="380" t="n">
        <f aca="false">IF(AM$5=MAX(1,FC_SUPUESTOS!$C$40-FC_SUPUESTOS!$C$55),SUP_TECNOLOGIA!$C$18,0)</f>
        <v>0</v>
      </c>
      <c r="AN67" s="380" t="n">
        <f aca="false">IF(AN$5=MAX(1,FC_SUPUESTOS!$C$40-FC_SUPUESTOS!$C$55),SUP_TECNOLOGIA!$C$18,0)</f>
        <v>0</v>
      </c>
      <c r="AO67" s="380" t="n">
        <f aca="false">IF(AO$5=MAX(1,FC_SUPUESTOS!$C$40-FC_SUPUESTOS!$C$55),SUP_TECNOLOGIA!$C$18,0)</f>
        <v>0</v>
      </c>
      <c r="AP67" s="380" t="n">
        <f aca="false">IF(AP$5=MAX(1,FC_SUPUESTOS!$C$40-FC_SUPUESTOS!$C$55),SUP_TECNOLOGIA!$C$18,0)</f>
        <v>0</v>
      </c>
      <c r="AQ67" s="380" t="n">
        <f aca="false">IF(AQ$5=MAX(1,FC_SUPUESTOS!$C$40-FC_SUPUESTOS!$C$55),SUP_TECNOLOGIA!$C$18,0)</f>
        <v>0</v>
      </c>
      <c r="AR67" s="380" t="n">
        <f aca="false">IF(AR$5=MAX(1,FC_SUPUESTOS!$C$40-FC_SUPUESTOS!$C$55),SUP_TECNOLOGIA!$C$18,0)</f>
        <v>0</v>
      </c>
      <c r="AS67" s="380" t="n">
        <f aca="false">IF(AS$5=MAX(1,FC_SUPUESTOS!$C$40-FC_SUPUESTOS!$C$55),SUP_TECNOLOGIA!$C$18,0)</f>
        <v>0</v>
      </c>
      <c r="AT67" s="380" t="n">
        <f aca="false">IF(AT$5=MAX(1,FC_SUPUESTOS!$C$40-FC_SUPUESTOS!$C$55),SUP_TECNOLOGIA!$C$18,0)</f>
        <v>0</v>
      </c>
      <c r="AU67" s="380" t="n">
        <f aca="false">IF(AU$5=MAX(1,FC_SUPUESTOS!$C$40-FC_SUPUESTOS!$C$55),SUP_TECNOLOGIA!$C$18,0)</f>
        <v>0</v>
      </c>
      <c r="AV67" s="380" t="n">
        <f aca="false">IF(AV$5=MAX(1,FC_SUPUESTOS!$C$40-FC_SUPUESTOS!$C$55),SUP_TECNOLOGIA!$C$18,0)</f>
        <v>0</v>
      </c>
      <c r="AW67" s="380" t="n">
        <f aca="false">IF(AW$5=MAX(1,FC_SUPUESTOS!$C$40-FC_SUPUESTOS!$C$55),SUP_TECNOLOGIA!$C$18,0)</f>
        <v>0</v>
      </c>
      <c r="AX67" s="380" t="n">
        <f aca="false">IF(AX$5=MAX(1,FC_SUPUESTOS!$C$40-FC_SUPUESTOS!$C$55),SUP_TECNOLOGIA!$C$18,0)</f>
        <v>0</v>
      </c>
      <c r="AY67" s="380" t="n">
        <f aca="false">IF(AY$5=MAX(1,FC_SUPUESTOS!$C$40-FC_SUPUESTOS!$C$55),SUP_TECNOLOGIA!$C$18,0)</f>
        <v>0</v>
      </c>
      <c r="AZ67" s="380" t="n">
        <f aca="false">IF(AZ$5=MAX(1,FC_SUPUESTOS!$C$40-FC_SUPUESTOS!$C$55),SUP_TECNOLOGIA!$C$18,0)</f>
        <v>0</v>
      </c>
      <c r="BA67" s="380" t="n">
        <f aca="false">IF(BA$5=MAX(1,FC_SUPUESTOS!$C$40-FC_SUPUESTOS!$C$55),SUP_TECNOLOGIA!$C$18,0)</f>
        <v>0</v>
      </c>
      <c r="BB67" s="380" t="n">
        <f aca="false">IF(BB$5=MAX(1,FC_SUPUESTOS!$C$40-FC_SUPUESTOS!$C$55),SUP_TECNOLOGIA!$C$18,0)</f>
        <v>0</v>
      </c>
      <c r="BC67" s="380" t="n">
        <f aca="false">IF(BC$5=MAX(1,FC_SUPUESTOS!$C$40-FC_SUPUESTOS!$C$55),SUP_TECNOLOGIA!$C$18,0)</f>
        <v>0</v>
      </c>
      <c r="BD67" s="380" t="n">
        <f aca="false">IF(BD$5=MAX(1,FC_SUPUESTOS!$C$40-FC_SUPUESTOS!$C$55),SUP_TECNOLOGIA!$C$18,0)</f>
        <v>0</v>
      </c>
      <c r="BE67" s="380" t="n">
        <f aca="false">IF(BE$5=MAX(1,FC_SUPUESTOS!$C$40-FC_SUPUESTOS!$C$55),SUP_TECNOLOGIA!$C$18,0)</f>
        <v>0</v>
      </c>
      <c r="BF67" s="380" t="n">
        <f aca="false">IF(BF$5=MAX(1,FC_SUPUESTOS!$C$40-FC_SUPUESTOS!$C$55),SUP_TECNOLOGIA!$C$18,0)</f>
        <v>0</v>
      </c>
      <c r="BG67" s="380" t="n">
        <f aca="false">IF(BG$5=MAX(1,FC_SUPUESTOS!$C$40-FC_SUPUESTOS!$C$55),SUP_TECNOLOGIA!$C$18,0)</f>
        <v>0</v>
      </c>
      <c r="BH67" s="380" t="n">
        <f aca="false">IF(BH$5=MAX(1,FC_SUPUESTOS!$C$40-FC_SUPUESTOS!$C$55),SUP_TECNOLOGIA!$C$18,0)</f>
        <v>0</v>
      </c>
      <c r="BI67" s="380" t="n">
        <f aca="false">IF(BI$5=MAX(1,FC_SUPUESTOS!$C$40-FC_SUPUESTOS!$C$55),SUP_TECNOLOGIA!$C$18,0)</f>
        <v>0</v>
      </c>
      <c r="BJ67" s="380" t="n">
        <f aca="false">IF(BJ$5=MAX(1,FC_SUPUESTOS!$C$40-FC_SUPUESTOS!$C$55),SUP_TECNOLOGIA!$C$18,0)</f>
        <v>0</v>
      </c>
      <c r="BK67" s="380" t="n">
        <f aca="false">IF(BK$5=MAX(1,FC_SUPUESTOS!$C$40-FC_SUPUESTOS!$C$55),SUP_TECNOLOGIA!$C$18,0)</f>
        <v>0</v>
      </c>
    </row>
    <row r="68" customFormat="false" ht="15" hidden="false" customHeight="true" outlineLevel="0" collapsed="false">
      <c r="A68" s="218"/>
      <c r="B68" s="493" t="s">
        <v>2966</v>
      </c>
      <c r="C68" s="218"/>
      <c r="D68" s="494" t="n">
        <f aca="false">SUM(D57:D67)</f>
        <v>80627.8</v>
      </c>
      <c r="E68" s="494" t="n">
        <f aca="false">SUM(E57:E67)</f>
        <v>0</v>
      </c>
      <c r="F68" s="494" t="n">
        <f aca="false">SUM(F57:F67)</f>
        <v>0</v>
      </c>
      <c r="G68" s="494" t="n">
        <f aca="false">SUM(G57:G67)</f>
        <v>147145.735</v>
      </c>
      <c r="H68" s="494" t="n">
        <f aca="false">SUM(H57:H67)</f>
        <v>102498.09075</v>
      </c>
      <c r="I68" s="494" t="n">
        <f aca="false">SUM(I57:I67)</f>
        <v>0</v>
      </c>
      <c r="J68" s="494" t="n">
        <f aca="false">SUM(J57:J67)</f>
        <v>39580</v>
      </c>
      <c r="K68" s="494" t="n">
        <f aca="false">SUM(K57:K67)</f>
        <v>134960</v>
      </c>
      <c r="L68" s="494" t="n">
        <f aca="false">SUM(L57:L67)</f>
        <v>142320</v>
      </c>
      <c r="M68" s="494" t="n">
        <f aca="false">SUM(M57:M67)</f>
        <v>151785</v>
      </c>
      <c r="N68" s="494" t="n">
        <f aca="false">SUM(N57:N67)</f>
        <v>180115</v>
      </c>
      <c r="O68" s="494" t="n">
        <f aca="false">SUM(O57:O67)</f>
        <v>159060</v>
      </c>
      <c r="P68" s="494" t="n">
        <f aca="false">SUM(P57:P67)</f>
        <v>89540</v>
      </c>
      <c r="Q68" s="494" t="n">
        <f aca="false">SUM(Q57:Q67)</f>
        <v>0</v>
      </c>
      <c r="R68" s="494" t="n">
        <f aca="false">SUM(R57:R67)</f>
        <v>0</v>
      </c>
      <c r="S68" s="494" t="n">
        <f aca="false">SUM(S57:S67)</f>
        <v>0</v>
      </c>
      <c r="T68" s="494" t="n">
        <f aca="false">SUM(T57:T67)</f>
        <v>0</v>
      </c>
      <c r="U68" s="494" t="n">
        <f aca="false">SUM(U57:U67)</f>
        <v>0</v>
      </c>
      <c r="V68" s="494" t="n">
        <f aca="false">SUM(V57:V67)</f>
        <v>0</v>
      </c>
      <c r="W68" s="494" t="n">
        <f aca="false">SUM(W57:W67)</f>
        <v>0</v>
      </c>
      <c r="X68" s="494" t="n">
        <f aca="false">SUM(X57:X67)</f>
        <v>0</v>
      </c>
      <c r="Y68" s="494" t="n">
        <f aca="false">SUM(Y57:Y67)</f>
        <v>0</v>
      </c>
      <c r="Z68" s="494" t="n">
        <f aca="false">SUM(Z57:Z67)</f>
        <v>0</v>
      </c>
      <c r="AA68" s="494" t="n">
        <f aca="false">SUM(AA57:AA67)</f>
        <v>0</v>
      </c>
      <c r="AB68" s="494" t="n">
        <f aca="false">SUM(AB57:AB67)</f>
        <v>0</v>
      </c>
      <c r="AC68" s="494" t="n">
        <f aca="false">SUM(AC57:AC67)</f>
        <v>0</v>
      </c>
      <c r="AD68" s="494" t="n">
        <f aca="false">SUM(AD57:AD67)</f>
        <v>0</v>
      </c>
      <c r="AE68" s="494" t="n">
        <f aca="false">SUM(AE57:AE67)</f>
        <v>0</v>
      </c>
      <c r="AF68" s="494" t="n">
        <f aca="false">SUM(AF57:AF67)</f>
        <v>0</v>
      </c>
      <c r="AG68" s="494" t="n">
        <f aca="false">SUM(AG57:AG67)</f>
        <v>0</v>
      </c>
      <c r="AH68" s="494" t="n">
        <f aca="false">SUM(AH57:AH67)</f>
        <v>0</v>
      </c>
      <c r="AI68" s="494" t="n">
        <f aca="false">SUM(AI57:AI67)</f>
        <v>0</v>
      </c>
      <c r="AJ68" s="494" t="n">
        <f aca="false">SUM(AJ57:AJ67)</f>
        <v>0</v>
      </c>
      <c r="AK68" s="494" t="n">
        <f aca="false">SUM(AK57:AK67)</f>
        <v>0</v>
      </c>
      <c r="AL68" s="494" t="n">
        <f aca="false">SUM(AL57:AL67)</f>
        <v>0</v>
      </c>
      <c r="AM68" s="494" t="n">
        <f aca="false">SUM(AM57:AM67)</f>
        <v>0</v>
      </c>
      <c r="AN68" s="494" t="n">
        <f aca="false">SUM(AN57:AN67)</f>
        <v>0</v>
      </c>
      <c r="AO68" s="494" t="n">
        <f aca="false">SUM(AO57:AO67)</f>
        <v>0</v>
      </c>
      <c r="AP68" s="494" t="n">
        <f aca="false">SUM(AP57:AP67)</f>
        <v>0</v>
      </c>
      <c r="AQ68" s="494" t="n">
        <f aca="false">SUM(AQ57:AQ67)</f>
        <v>0</v>
      </c>
      <c r="AR68" s="494" t="n">
        <f aca="false">SUM(AR57:AR67)</f>
        <v>0</v>
      </c>
      <c r="AS68" s="494" t="n">
        <f aca="false">SUM(AS57:AS67)</f>
        <v>0</v>
      </c>
      <c r="AT68" s="494" t="n">
        <f aca="false">SUM(AT57:AT67)</f>
        <v>0</v>
      </c>
      <c r="AU68" s="494" t="n">
        <f aca="false">SUM(AU57:AU67)</f>
        <v>0</v>
      </c>
      <c r="AV68" s="494" t="n">
        <f aca="false">SUM(AV57:AV67)</f>
        <v>0</v>
      </c>
      <c r="AW68" s="494" t="n">
        <f aca="false">SUM(AW57:AW67)</f>
        <v>0</v>
      </c>
      <c r="AX68" s="494" t="n">
        <f aca="false">SUM(AX57:AX67)</f>
        <v>0</v>
      </c>
      <c r="AY68" s="494" t="n">
        <f aca="false">SUM(AY57:AY67)</f>
        <v>0</v>
      </c>
      <c r="AZ68" s="494" t="n">
        <f aca="false">SUM(AZ57:AZ67)</f>
        <v>0</v>
      </c>
      <c r="BA68" s="494" t="n">
        <f aca="false">SUM(BA57:BA67)</f>
        <v>0</v>
      </c>
      <c r="BB68" s="494" t="n">
        <f aca="false">SUM(BB57:BB67)</f>
        <v>0</v>
      </c>
      <c r="BC68" s="494" t="n">
        <f aca="false">SUM(BC57:BC67)</f>
        <v>0</v>
      </c>
      <c r="BD68" s="494" t="n">
        <f aca="false">SUM(BD57:BD67)</f>
        <v>0</v>
      </c>
      <c r="BE68" s="494" t="n">
        <f aca="false">SUM(BE57:BE67)</f>
        <v>0</v>
      </c>
      <c r="BF68" s="494" t="n">
        <f aca="false">SUM(BF57:BF67)</f>
        <v>0</v>
      </c>
      <c r="BG68" s="494" t="n">
        <f aca="false">SUM(BG57:BG67)</f>
        <v>0</v>
      </c>
      <c r="BH68" s="494" t="n">
        <f aca="false">SUM(BH57:BH67)</f>
        <v>0</v>
      </c>
      <c r="BI68" s="494" t="n">
        <f aca="false">SUM(BI57:BI67)</f>
        <v>0</v>
      </c>
      <c r="BJ68" s="494" t="n">
        <f aca="false">SUM(BJ57:BJ67)</f>
        <v>0</v>
      </c>
      <c r="BK68" s="494" t="n">
        <f aca="false">SUM(BK57:BK67)</f>
        <v>0</v>
      </c>
    </row>
    <row r="70" customFormat="false" ht="15" hidden="false" customHeight="true" outlineLevel="0" collapsed="false">
      <c r="A70" s="351" t="s">
        <v>2967</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row>
    <row r="71" customFormat="false" ht="15" hidden="false" customHeight="true" outlineLevel="0" collapsed="false">
      <c r="B71" s="297" t="s">
        <v>2968</v>
      </c>
      <c r="D71" s="380" t="n">
        <f aca="false">FC_SUPUESTOS!$C$12*FC_SUPUESTOS!$F$88*FC_SUPUESTOS!$C$44-SUM($E$71:$BK$71)</f>
        <v>0</v>
      </c>
      <c r="E71" s="380" t="n">
        <f aca="false">FC_CRONOGRAMA!E46*FC_SUPUESTOS!$F$88*FC_SUPUESTOS!$C$44</f>
        <v>0</v>
      </c>
      <c r="F71" s="380" t="n">
        <f aca="false">FC_CRONOGRAMA!F46*FC_SUPUESTOS!$F$88*FC_SUPUESTOS!$C$44</f>
        <v>0</v>
      </c>
      <c r="G71" s="380" t="n">
        <f aca="false">FC_CRONOGRAMA!G46*FC_SUPUESTOS!$F$88*FC_SUPUESTOS!$C$44</f>
        <v>0</v>
      </c>
      <c r="H71" s="380" t="n">
        <f aca="false">FC_CRONOGRAMA!H46*FC_SUPUESTOS!$F$88*FC_SUPUESTOS!$C$44</f>
        <v>0</v>
      </c>
      <c r="I71" s="380" t="n">
        <f aca="false">FC_CRONOGRAMA!I46*FC_SUPUESTOS!$F$88*FC_SUPUESTOS!$C$44</f>
        <v>0</v>
      </c>
      <c r="J71" s="380" t="n">
        <f aca="false">FC_CRONOGRAMA!J46*FC_SUPUESTOS!$F$88*FC_SUPUESTOS!$C$44</f>
        <v>0</v>
      </c>
      <c r="K71" s="380" t="n">
        <f aca="false">FC_CRONOGRAMA!K46*FC_SUPUESTOS!$F$88*FC_SUPUESTOS!$C$44</f>
        <v>0</v>
      </c>
      <c r="L71" s="380" t="n">
        <f aca="false">FC_CRONOGRAMA!L46*FC_SUPUESTOS!$F$88*FC_SUPUESTOS!$C$44</f>
        <v>0</v>
      </c>
      <c r="M71" s="380" t="n">
        <f aca="false">FC_CRONOGRAMA!M46*FC_SUPUESTOS!$F$88*FC_SUPUESTOS!$C$44</f>
        <v>0</v>
      </c>
      <c r="N71" s="380" t="n">
        <f aca="false">FC_CRONOGRAMA!N46*FC_SUPUESTOS!$F$88*FC_SUPUESTOS!$C$44</f>
        <v>0</v>
      </c>
      <c r="O71" s="380" t="n">
        <f aca="false">FC_CRONOGRAMA!O46*FC_SUPUESTOS!$F$88*FC_SUPUESTOS!$C$44</f>
        <v>0</v>
      </c>
      <c r="P71" s="380" t="n">
        <f aca="false">FC_CRONOGRAMA!P46*FC_SUPUESTOS!$F$88*FC_SUPUESTOS!$C$44</f>
        <v>0</v>
      </c>
      <c r="Q71" s="380" t="n">
        <f aca="false">FC_CRONOGRAMA!Q46*FC_SUPUESTOS!$F$88*FC_SUPUESTOS!$C$44</f>
        <v>0</v>
      </c>
      <c r="R71" s="380" t="n">
        <f aca="false">FC_CRONOGRAMA!R46*FC_SUPUESTOS!$F$88*FC_SUPUESTOS!$C$44</f>
        <v>0</v>
      </c>
      <c r="S71" s="380" t="n">
        <f aca="false">FC_CRONOGRAMA!S46*FC_SUPUESTOS!$F$88*FC_SUPUESTOS!$C$44</f>
        <v>0</v>
      </c>
      <c r="T71" s="380" t="n">
        <f aca="false">FC_CRONOGRAMA!T46*FC_SUPUESTOS!$F$88*FC_SUPUESTOS!$C$44</f>
        <v>0</v>
      </c>
      <c r="U71" s="380" t="n">
        <f aca="false">FC_CRONOGRAMA!U46*FC_SUPUESTOS!$F$88*FC_SUPUESTOS!$C$44</f>
        <v>0</v>
      </c>
      <c r="V71" s="380" t="n">
        <f aca="false">FC_CRONOGRAMA!V46*FC_SUPUESTOS!$F$88*FC_SUPUESTOS!$C$44</f>
        <v>0</v>
      </c>
      <c r="W71" s="380" t="n">
        <f aca="false">FC_CRONOGRAMA!W46*FC_SUPUESTOS!$F$88*FC_SUPUESTOS!$C$44</f>
        <v>0</v>
      </c>
      <c r="X71" s="380" t="n">
        <f aca="false">FC_CRONOGRAMA!X46*FC_SUPUESTOS!$F$88*FC_SUPUESTOS!$C$44</f>
        <v>0</v>
      </c>
      <c r="Y71" s="380" t="n">
        <f aca="false">FC_CRONOGRAMA!Y46*FC_SUPUESTOS!$F$88*FC_SUPUESTOS!$C$44</f>
        <v>0</v>
      </c>
      <c r="Z71" s="380" t="n">
        <f aca="false">FC_CRONOGRAMA!Z46*FC_SUPUESTOS!$F$88*FC_SUPUESTOS!$C$44</f>
        <v>0</v>
      </c>
      <c r="AA71" s="380" t="n">
        <f aca="false">FC_CRONOGRAMA!AA46*FC_SUPUESTOS!$F$88*FC_SUPUESTOS!$C$44</f>
        <v>0</v>
      </c>
      <c r="AB71" s="380" t="n">
        <f aca="false">FC_CRONOGRAMA!AB46*FC_SUPUESTOS!$F$88*FC_SUPUESTOS!$C$44</f>
        <v>0</v>
      </c>
      <c r="AC71" s="380" t="n">
        <f aca="false">FC_CRONOGRAMA!AC46*FC_SUPUESTOS!$F$88*FC_SUPUESTOS!$C$44</f>
        <v>0</v>
      </c>
      <c r="AD71" s="380" t="n">
        <f aca="false">FC_CRONOGRAMA!AD46*FC_SUPUESTOS!$F$88*FC_SUPUESTOS!$C$44</f>
        <v>0</v>
      </c>
      <c r="AE71" s="380" t="n">
        <f aca="false">FC_CRONOGRAMA!AE46*FC_SUPUESTOS!$F$88*FC_SUPUESTOS!$C$44</f>
        <v>0</v>
      </c>
      <c r="AF71" s="380" t="n">
        <f aca="false">FC_CRONOGRAMA!AF46*FC_SUPUESTOS!$F$88*FC_SUPUESTOS!$C$44</f>
        <v>0</v>
      </c>
      <c r="AG71" s="380" t="n">
        <f aca="false">FC_CRONOGRAMA!AG46*FC_SUPUESTOS!$F$88*FC_SUPUESTOS!$C$44</f>
        <v>0</v>
      </c>
      <c r="AH71" s="380" t="n">
        <f aca="false">FC_CRONOGRAMA!AH46*FC_SUPUESTOS!$F$88*FC_SUPUESTOS!$C$44</f>
        <v>0</v>
      </c>
      <c r="AI71" s="380" t="n">
        <f aca="false">FC_CRONOGRAMA!AI46*FC_SUPUESTOS!$F$88*FC_SUPUESTOS!$C$44</f>
        <v>0</v>
      </c>
      <c r="AJ71" s="380" t="n">
        <f aca="false">FC_CRONOGRAMA!AJ46*FC_SUPUESTOS!$F$88*FC_SUPUESTOS!$C$44</f>
        <v>0</v>
      </c>
      <c r="AK71" s="380" t="n">
        <f aca="false">FC_CRONOGRAMA!AK46*FC_SUPUESTOS!$F$88*FC_SUPUESTOS!$C$44</f>
        <v>0</v>
      </c>
      <c r="AL71" s="380" t="n">
        <f aca="false">FC_CRONOGRAMA!AL46*FC_SUPUESTOS!$F$88*FC_SUPUESTOS!$C$44</f>
        <v>0</v>
      </c>
      <c r="AM71" s="380" t="n">
        <f aca="false">FC_CRONOGRAMA!AM46*FC_SUPUESTOS!$F$88*FC_SUPUESTOS!$C$44</f>
        <v>0</v>
      </c>
      <c r="AN71" s="380" t="n">
        <f aca="false">FC_CRONOGRAMA!AN46*FC_SUPUESTOS!$F$88*FC_SUPUESTOS!$C$44</f>
        <v>0</v>
      </c>
      <c r="AO71" s="380" t="n">
        <f aca="false">FC_CRONOGRAMA!AO46*FC_SUPUESTOS!$F$88*FC_SUPUESTOS!$C$44</f>
        <v>0</v>
      </c>
      <c r="AP71" s="380" t="n">
        <f aca="false">FC_CRONOGRAMA!AP46*FC_SUPUESTOS!$F$88*FC_SUPUESTOS!$C$44</f>
        <v>0</v>
      </c>
      <c r="AQ71" s="380" t="n">
        <f aca="false">FC_CRONOGRAMA!AQ46*FC_SUPUESTOS!$F$88*FC_SUPUESTOS!$C$44</f>
        <v>0</v>
      </c>
      <c r="AR71" s="380" t="n">
        <f aca="false">FC_CRONOGRAMA!AR46*FC_SUPUESTOS!$F$88*FC_SUPUESTOS!$C$44</f>
        <v>0</v>
      </c>
      <c r="AS71" s="380" t="n">
        <f aca="false">FC_CRONOGRAMA!AS46*FC_SUPUESTOS!$F$88*FC_SUPUESTOS!$C$44</f>
        <v>0</v>
      </c>
      <c r="AT71" s="380" t="n">
        <f aca="false">FC_CRONOGRAMA!AT46*FC_SUPUESTOS!$F$88*FC_SUPUESTOS!$C$44</f>
        <v>0</v>
      </c>
      <c r="AU71" s="380" t="n">
        <f aca="false">FC_CRONOGRAMA!AU46*FC_SUPUESTOS!$F$88*FC_SUPUESTOS!$C$44</f>
        <v>0</v>
      </c>
      <c r="AV71" s="380" t="n">
        <f aca="false">FC_CRONOGRAMA!AV46*FC_SUPUESTOS!$F$88*FC_SUPUESTOS!$C$44</f>
        <v>0</v>
      </c>
      <c r="AW71" s="380" t="n">
        <f aca="false">FC_CRONOGRAMA!AW46*FC_SUPUESTOS!$F$88*FC_SUPUESTOS!$C$44</f>
        <v>0</v>
      </c>
      <c r="AX71" s="380" t="n">
        <f aca="false">FC_CRONOGRAMA!AX46*FC_SUPUESTOS!$F$88*FC_SUPUESTOS!$C$44</f>
        <v>0</v>
      </c>
      <c r="AY71" s="380" t="n">
        <f aca="false">FC_CRONOGRAMA!AY46*FC_SUPUESTOS!$F$88*FC_SUPUESTOS!$C$44</f>
        <v>0</v>
      </c>
      <c r="AZ71" s="380" t="n">
        <f aca="false">FC_CRONOGRAMA!AZ46*FC_SUPUESTOS!$F$88*FC_SUPUESTOS!$C$44</f>
        <v>0</v>
      </c>
      <c r="BA71" s="380" t="n">
        <f aca="false">FC_CRONOGRAMA!BA46*FC_SUPUESTOS!$F$88*FC_SUPUESTOS!$C$44</f>
        <v>0</v>
      </c>
      <c r="BB71" s="380" t="n">
        <f aca="false">FC_CRONOGRAMA!BB46*FC_SUPUESTOS!$F$88*FC_SUPUESTOS!$C$44</f>
        <v>0</v>
      </c>
      <c r="BC71" s="380" t="n">
        <f aca="false">FC_CRONOGRAMA!BC46*FC_SUPUESTOS!$F$88*FC_SUPUESTOS!$C$44</f>
        <v>0</v>
      </c>
      <c r="BD71" s="380" t="n">
        <f aca="false">FC_CRONOGRAMA!BD46*FC_SUPUESTOS!$F$88*FC_SUPUESTOS!$C$44</f>
        <v>0</v>
      </c>
      <c r="BE71" s="380" t="n">
        <f aca="false">FC_CRONOGRAMA!BE46*FC_SUPUESTOS!$F$88*FC_SUPUESTOS!$C$44</f>
        <v>0</v>
      </c>
      <c r="BF71" s="380" t="n">
        <f aca="false">FC_CRONOGRAMA!BF46*FC_SUPUESTOS!$F$88*FC_SUPUESTOS!$C$44</f>
        <v>0</v>
      </c>
      <c r="BG71" s="380" t="n">
        <f aca="false">FC_CRONOGRAMA!BG46*FC_SUPUESTOS!$F$88*FC_SUPUESTOS!$C$44</f>
        <v>0</v>
      </c>
      <c r="BH71" s="380" t="n">
        <f aca="false">FC_CRONOGRAMA!BH46*FC_SUPUESTOS!$F$88*FC_SUPUESTOS!$C$44</f>
        <v>0</v>
      </c>
      <c r="BI71" s="380" t="n">
        <f aca="false">FC_CRONOGRAMA!BI46*FC_SUPUESTOS!$F$88*FC_SUPUESTOS!$C$44</f>
        <v>0</v>
      </c>
      <c r="BJ71" s="380" t="n">
        <f aca="false">FC_CRONOGRAMA!BJ46*FC_SUPUESTOS!$F$88*FC_SUPUESTOS!$C$44</f>
        <v>0</v>
      </c>
      <c r="BK71" s="380" t="n">
        <f aca="false">FC_CRONOGRAMA!BK46*FC_SUPUESTOS!$F$88*FC_SUPUESTOS!$C$44</f>
        <v>0</v>
      </c>
    </row>
    <row r="72" customFormat="false" ht="15" hidden="false" customHeight="true" outlineLevel="0" collapsed="false">
      <c r="B72" s="297" t="s">
        <v>2969</v>
      </c>
      <c r="D72" s="380" t="n">
        <f aca="false">FC_SUPUESTOS!$C$12*FC_SUPUESTOS!$F$88*FC_SUPUESTOS!$C$45-SUM($E$72:$BK$72)</f>
        <v>0</v>
      </c>
      <c r="E72" s="380" t="n">
        <f aca="false">FC_CRONOGRAMA!E47*FC_SUPUESTOS!$F$88*FC_SUPUESTOS!$C$45</f>
        <v>0</v>
      </c>
      <c r="F72" s="380" t="n">
        <f aca="false">FC_CRONOGRAMA!F47*FC_SUPUESTOS!$F$88*FC_SUPUESTOS!$C$45</f>
        <v>0</v>
      </c>
      <c r="G72" s="380" t="n">
        <f aca="false">FC_CRONOGRAMA!G47*FC_SUPUESTOS!$F$88*FC_SUPUESTOS!$C$45</f>
        <v>0</v>
      </c>
      <c r="H72" s="380" t="n">
        <f aca="false">FC_CRONOGRAMA!H47*FC_SUPUESTOS!$F$88*FC_SUPUESTOS!$C$45</f>
        <v>0</v>
      </c>
      <c r="I72" s="380" t="n">
        <f aca="false">FC_CRONOGRAMA!I47*FC_SUPUESTOS!$F$88*FC_SUPUESTOS!$C$45</f>
        <v>0</v>
      </c>
      <c r="J72" s="380" t="n">
        <f aca="false">FC_CRONOGRAMA!J47*FC_SUPUESTOS!$F$88*FC_SUPUESTOS!$C$45</f>
        <v>0</v>
      </c>
      <c r="K72" s="380" t="n">
        <f aca="false">FC_CRONOGRAMA!K47*FC_SUPUESTOS!$F$88*FC_SUPUESTOS!$C$45</f>
        <v>0</v>
      </c>
      <c r="L72" s="380" t="n">
        <f aca="false">FC_CRONOGRAMA!L47*FC_SUPUESTOS!$F$88*FC_SUPUESTOS!$C$45</f>
        <v>0</v>
      </c>
      <c r="M72" s="380" t="n">
        <f aca="false">FC_CRONOGRAMA!M47*FC_SUPUESTOS!$F$88*FC_SUPUESTOS!$C$45</f>
        <v>0</v>
      </c>
      <c r="N72" s="380" t="n">
        <f aca="false">FC_CRONOGRAMA!N47*FC_SUPUESTOS!$F$88*FC_SUPUESTOS!$C$45</f>
        <v>0</v>
      </c>
      <c r="O72" s="380" t="n">
        <f aca="false">FC_CRONOGRAMA!O47*FC_SUPUESTOS!$F$88*FC_SUPUESTOS!$C$45</f>
        <v>0</v>
      </c>
      <c r="P72" s="380" t="n">
        <f aca="false">FC_CRONOGRAMA!P47*FC_SUPUESTOS!$F$88*FC_SUPUESTOS!$C$45</f>
        <v>0</v>
      </c>
      <c r="Q72" s="380" t="n">
        <f aca="false">FC_CRONOGRAMA!Q47*FC_SUPUESTOS!$F$88*FC_SUPUESTOS!$C$45</f>
        <v>0</v>
      </c>
      <c r="R72" s="380" t="n">
        <f aca="false">FC_CRONOGRAMA!R47*FC_SUPUESTOS!$F$88*FC_SUPUESTOS!$C$45</f>
        <v>0</v>
      </c>
      <c r="S72" s="380" t="n">
        <f aca="false">FC_CRONOGRAMA!S47*FC_SUPUESTOS!$F$88*FC_SUPUESTOS!$C$45</f>
        <v>0</v>
      </c>
      <c r="T72" s="380" t="n">
        <f aca="false">FC_CRONOGRAMA!T47*FC_SUPUESTOS!$F$88*FC_SUPUESTOS!$C$45</f>
        <v>0</v>
      </c>
      <c r="U72" s="380" t="n">
        <f aca="false">FC_CRONOGRAMA!U47*FC_SUPUESTOS!$F$88*FC_SUPUESTOS!$C$45</f>
        <v>0</v>
      </c>
      <c r="V72" s="380" t="n">
        <f aca="false">FC_CRONOGRAMA!V47*FC_SUPUESTOS!$F$88*FC_SUPUESTOS!$C$45</f>
        <v>0</v>
      </c>
      <c r="W72" s="380" t="n">
        <f aca="false">FC_CRONOGRAMA!W47*FC_SUPUESTOS!$F$88*FC_SUPUESTOS!$C$45</f>
        <v>0</v>
      </c>
      <c r="X72" s="380" t="n">
        <f aca="false">FC_CRONOGRAMA!X47*FC_SUPUESTOS!$F$88*FC_SUPUESTOS!$C$45</f>
        <v>0</v>
      </c>
      <c r="Y72" s="380" t="n">
        <f aca="false">FC_CRONOGRAMA!Y47*FC_SUPUESTOS!$F$88*FC_SUPUESTOS!$C$45</f>
        <v>0</v>
      </c>
      <c r="Z72" s="380" t="n">
        <f aca="false">FC_CRONOGRAMA!Z47*FC_SUPUESTOS!$F$88*FC_SUPUESTOS!$C$45</f>
        <v>0</v>
      </c>
      <c r="AA72" s="380" t="n">
        <f aca="false">FC_CRONOGRAMA!AA47*FC_SUPUESTOS!$F$88*FC_SUPUESTOS!$C$45</f>
        <v>0</v>
      </c>
      <c r="AB72" s="380" t="n">
        <f aca="false">FC_CRONOGRAMA!AB47*FC_SUPUESTOS!$F$88*FC_SUPUESTOS!$C$45</f>
        <v>0</v>
      </c>
      <c r="AC72" s="380" t="n">
        <f aca="false">FC_CRONOGRAMA!AC47*FC_SUPUESTOS!$F$88*FC_SUPUESTOS!$C$45</f>
        <v>0</v>
      </c>
      <c r="AD72" s="380" t="n">
        <f aca="false">FC_CRONOGRAMA!AD47*FC_SUPUESTOS!$F$88*FC_SUPUESTOS!$C$45</f>
        <v>0</v>
      </c>
      <c r="AE72" s="380" t="n">
        <f aca="false">FC_CRONOGRAMA!AE47*FC_SUPUESTOS!$F$88*FC_SUPUESTOS!$C$45</f>
        <v>0</v>
      </c>
      <c r="AF72" s="380" t="n">
        <f aca="false">FC_CRONOGRAMA!AF47*FC_SUPUESTOS!$F$88*FC_SUPUESTOS!$C$45</f>
        <v>0</v>
      </c>
      <c r="AG72" s="380" t="n">
        <f aca="false">FC_CRONOGRAMA!AG47*FC_SUPUESTOS!$F$88*FC_SUPUESTOS!$C$45</f>
        <v>0</v>
      </c>
      <c r="AH72" s="380" t="n">
        <f aca="false">FC_CRONOGRAMA!AH47*FC_SUPUESTOS!$F$88*FC_SUPUESTOS!$C$45</f>
        <v>0</v>
      </c>
      <c r="AI72" s="380" t="n">
        <f aca="false">FC_CRONOGRAMA!AI47*FC_SUPUESTOS!$F$88*FC_SUPUESTOS!$C$45</f>
        <v>0</v>
      </c>
      <c r="AJ72" s="380" t="n">
        <f aca="false">FC_CRONOGRAMA!AJ47*FC_SUPUESTOS!$F$88*FC_SUPUESTOS!$C$45</f>
        <v>0</v>
      </c>
      <c r="AK72" s="380" t="n">
        <f aca="false">FC_CRONOGRAMA!AK47*FC_SUPUESTOS!$F$88*FC_SUPUESTOS!$C$45</f>
        <v>0</v>
      </c>
      <c r="AL72" s="380" t="n">
        <f aca="false">FC_CRONOGRAMA!AL47*FC_SUPUESTOS!$F$88*FC_SUPUESTOS!$C$45</f>
        <v>0</v>
      </c>
      <c r="AM72" s="380" t="n">
        <f aca="false">FC_CRONOGRAMA!AM47*FC_SUPUESTOS!$F$88*FC_SUPUESTOS!$C$45</f>
        <v>0</v>
      </c>
      <c r="AN72" s="380" t="n">
        <f aca="false">FC_CRONOGRAMA!AN47*FC_SUPUESTOS!$F$88*FC_SUPUESTOS!$C$45</f>
        <v>0</v>
      </c>
      <c r="AO72" s="380" t="n">
        <f aca="false">FC_CRONOGRAMA!AO47*FC_SUPUESTOS!$F$88*FC_SUPUESTOS!$C$45</f>
        <v>0</v>
      </c>
      <c r="AP72" s="380" t="n">
        <f aca="false">FC_CRONOGRAMA!AP47*FC_SUPUESTOS!$F$88*FC_SUPUESTOS!$C$45</f>
        <v>0</v>
      </c>
      <c r="AQ72" s="380" t="n">
        <f aca="false">FC_CRONOGRAMA!AQ47*FC_SUPUESTOS!$F$88*FC_SUPUESTOS!$C$45</f>
        <v>0</v>
      </c>
      <c r="AR72" s="380" t="n">
        <f aca="false">FC_CRONOGRAMA!AR47*FC_SUPUESTOS!$F$88*FC_SUPUESTOS!$C$45</f>
        <v>0</v>
      </c>
      <c r="AS72" s="380" t="n">
        <f aca="false">FC_CRONOGRAMA!AS47*FC_SUPUESTOS!$F$88*FC_SUPUESTOS!$C$45</f>
        <v>0</v>
      </c>
      <c r="AT72" s="380" t="n">
        <f aca="false">FC_CRONOGRAMA!AT47*FC_SUPUESTOS!$F$88*FC_SUPUESTOS!$C$45</f>
        <v>0</v>
      </c>
      <c r="AU72" s="380" t="n">
        <f aca="false">FC_CRONOGRAMA!AU47*FC_SUPUESTOS!$F$88*FC_SUPUESTOS!$C$45</f>
        <v>0</v>
      </c>
      <c r="AV72" s="380" t="n">
        <f aca="false">FC_CRONOGRAMA!AV47*FC_SUPUESTOS!$F$88*FC_SUPUESTOS!$C$45</f>
        <v>0</v>
      </c>
      <c r="AW72" s="380" t="n">
        <f aca="false">FC_CRONOGRAMA!AW47*FC_SUPUESTOS!$F$88*FC_SUPUESTOS!$C$45</f>
        <v>0</v>
      </c>
      <c r="AX72" s="380" t="n">
        <f aca="false">FC_CRONOGRAMA!AX47*FC_SUPUESTOS!$F$88*FC_SUPUESTOS!$C$45</f>
        <v>0</v>
      </c>
      <c r="AY72" s="380" t="n">
        <f aca="false">FC_CRONOGRAMA!AY47*FC_SUPUESTOS!$F$88*FC_SUPUESTOS!$C$45</f>
        <v>0</v>
      </c>
      <c r="AZ72" s="380" t="n">
        <f aca="false">FC_CRONOGRAMA!AZ47*FC_SUPUESTOS!$F$88*FC_SUPUESTOS!$C$45</f>
        <v>0</v>
      </c>
      <c r="BA72" s="380" t="n">
        <f aca="false">FC_CRONOGRAMA!BA47*FC_SUPUESTOS!$F$88*FC_SUPUESTOS!$C$45</f>
        <v>0</v>
      </c>
      <c r="BB72" s="380" t="n">
        <f aca="false">FC_CRONOGRAMA!BB47*FC_SUPUESTOS!$F$88*FC_SUPUESTOS!$C$45</f>
        <v>0</v>
      </c>
      <c r="BC72" s="380" t="n">
        <f aca="false">FC_CRONOGRAMA!BC47*FC_SUPUESTOS!$F$88*FC_SUPUESTOS!$C$45</f>
        <v>0</v>
      </c>
      <c r="BD72" s="380" t="n">
        <f aca="false">FC_CRONOGRAMA!BD47*FC_SUPUESTOS!$F$88*FC_SUPUESTOS!$C$45</f>
        <v>0</v>
      </c>
      <c r="BE72" s="380" t="n">
        <f aca="false">FC_CRONOGRAMA!BE47*FC_SUPUESTOS!$F$88*FC_SUPUESTOS!$C$45</f>
        <v>0</v>
      </c>
      <c r="BF72" s="380" t="n">
        <f aca="false">FC_CRONOGRAMA!BF47*FC_SUPUESTOS!$F$88*FC_SUPUESTOS!$C$45</f>
        <v>0</v>
      </c>
      <c r="BG72" s="380" t="n">
        <f aca="false">FC_CRONOGRAMA!BG47*FC_SUPUESTOS!$F$88*FC_SUPUESTOS!$C$45</f>
        <v>0</v>
      </c>
      <c r="BH72" s="380" t="n">
        <f aca="false">FC_CRONOGRAMA!BH47*FC_SUPUESTOS!$F$88*FC_SUPUESTOS!$C$45</f>
        <v>0</v>
      </c>
      <c r="BI72" s="380" t="n">
        <f aca="false">FC_CRONOGRAMA!BI47*FC_SUPUESTOS!$F$88*FC_SUPUESTOS!$C$45</f>
        <v>0</v>
      </c>
      <c r="BJ72" s="380" t="n">
        <f aca="false">FC_CRONOGRAMA!BJ47*FC_SUPUESTOS!$F$88*FC_SUPUESTOS!$C$45</f>
        <v>0</v>
      </c>
      <c r="BK72" s="380" t="n">
        <f aca="false">FC_CRONOGRAMA!BK47*FC_SUPUESTOS!$F$88*FC_SUPUESTOS!$C$45</f>
        <v>0</v>
      </c>
    </row>
    <row r="73" customFormat="false" ht="15" hidden="false" customHeight="true" outlineLevel="0" collapsed="false">
      <c r="B73" s="297" t="s">
        <v>2970</v>
      </c>
      <c r="D73" s="380" t="n">
        <f aca="false">FC_SUPUESTOS!$C$12*FC_SUPUESTOS!$F$89-SUM($E$73:$BK$73)</f>
        <v>0</v>
      </c>
      <c r="E73" s="380" t="n">
        <f aca="false">FC_CRONOGRAMA!E47*FC_SUPUESTOS!$F$89</f>
        <v>0</v>
      </c>
      <c r="F73" s="380" t="n">
        <f aca="false">FC_CRONOGRAMA!F47*FC_SUPUESTOS!$F$89</f>
        <v>0</v>
      </c>
      <c r="G73" s="380" t="n">
        <f aca="false">FC_CRONOGRAMA!G47*FC_SUPUESTOS!$F$89</f>
        <v>0</v>
      </c>
      <c r="H73" s="380" t="n">
        <f aca="false">FC_CRONOGRAMA!H47*FC_SUPUESTOS!$F$89</f>
        <v>0</v>
      </c>
      <c r="I73" s="380" t="n">
        <f aca="false">FC_CRONOGRAMA!I47*FC_SUPUESTOS!$F$89</f>
        <v>0</v>
      </c>
      <c r="J73" s="380" t="n">
        <f aca="false">FC_CRONOGRAMA!J47*FC_SUPUESTOS!$F$89</f>
        <v>0</v>
      </c>
      <c r="K73" s="380" t="n">
        <f aca="false">FC_CRONOGRAMA!K47*FC_SUPUESTOS!$F$89</f>
        <v>0</v>
      </c>
      <c r="L73" s="380" t="n">
        <f aca="false">FC_CRONOGRAMA!L47*FC_SUPUESTOS!$F$89</f>
        <v>0</v>
      </c>
      <c r="M73" s="380" t="n">
        <f aca="false">FC_CRONOGRAMA!M47*FC_SUPUESTOS!$F$89</f>
        <v>0</v>
      </c>
      <c r="N73" s="380" t="n">
        <f aca="false">FC_CRONOGRAMA!N47*FC_SUPUESTOS!$F$89</f>
        <v>0</v>
      </c>
      <c r="O73" s="380" t="n">
        <f aca="false">FC_CRONOGRAMA!O47*FC_SUPUESTOS!$F$89</f>
        <v>0</v>
      </c>
      <c r="P73" s="380" t="n">
        <f aca="false">FC_CRONOGRAMA!P47*FC_SUPUESTOS!$F$89</f>
        <v>0</v>
      </c>
      <c r="Q73" s="380" t="n">
        <f aca="false">FC_CRONOGRAMA!Q47*FC_SUPUESTOS!$F$89</f>
        <v>0</v>
      </c>
      <c r="R73" s="380" t="n">
        <f aca="false">FC_CRONOGRAMA!R47*FC_SUPUESTOS!$F$89</f>
        <v>0</v>
      </c>
      <c r="S73" s="380" t="n">
        <f aca="false">FC_CRONOGRAMA!S47*FC_SUPUESTOS!$F$89</f>
        <v>0</v>
      </c>
      <c r="T73" s="380" t="n">
        <f aca="false">FC_CRONOGRAMA!T47*FC_SUPUESTOS!$F$89</f>
        <v>0</v>
      </c>
      <c r="U73" s="380" t="n">
        <f aca="false">FC_CRONOGRAMA!U47*FC_SUPUESTOS!$F$89</f>
        <v>0</v>
      </c>
      <c r="V73" s="380" t="n">
        <f aca="false">FC_CRONOGRAMA!V47*FC_SUPUESTOS!$F$89</f>
        <v>0</v>
      </c>
      <c r="W73" s="380" t="n">
        <f aca="false">FC_CRONOGRAMA!W47*FC_SUPUESTOS!$F$89</f>
        <v>0</v>
      </c>
      <c r="X73" s="380" t="n">
        <f aca="false">FC_CRONOGRAMA!X47*FC_SUPUESTOS!$F$89</f>
        <v>0</v>
      </c>
      <c r="Y73" s="380" t="n">
        <f aca="false">FC_CRONOGRAMA!Y47*FC_SUPUESTOS!$F$89</f>
        <v>0</v>
      </c>
      <c r="Z73" s="380" t="n">
        <f aca="false">FC_CRONOGRAMA!Z47*FC_SUPUESTOS!$F$89</f>
        <v>0</v>
      </c>
      <c r="AA73" s="380" t="n">
        <f aca="false">FC_CRONOGRAMA!AA47*FC_SUPUESTOS!$F$89</f>
        <v>0</v>
      </c>
      <c r="AB73" s="380" t="n">
        <f aca="false">FC_CRONOGRAMA!AB47*FC_SUPUESTOS!$F$89</f>
        <v>0</v>
      </c>
      <c r="AC73" s="380" t="n">
        <f aca="false">FC_CRONOGRAMA!AC47*FC_SUPUESTOS!$F$89</f>
        <v>0</v>
      </c>
      <c r="AD73" s="380" t="n">
        <f aca="false">FC_CRONOGRAMA!AD47*FC_SUPUESTOS!$F$89</f>
        <v>0</v>
      </c>
      <c r="AE73" s="380" t="n">
        <f aca="false">FC_CRONOGRAMA!AE47*FC_SUPUESTOS!$F$89</f>
        <v>0</v>
      </c>
      <c r="AF73" s="380" t="n">
        <f aca="false">FC_CRONOGRAMA!AF47*FC_SUPUESTOS!$F$89</f>
        <v>0</v>
      </c>
      <c r="AG73" s="380" t="n">
        <f aca="false">FC_CRONOGRAMA!AG47*FC_SUPUESTOS!$F$89</f>
        <v>0</v>
      </c>
      <c r="AH73" s="380" t="n">
        <f aca="false">FC_CRONOGRAMA!AH47*FC_SUPUESTOS!$F$89</f>
        <v>0</v>
      </c>
      <c r="AI73" s="380" t="n">
        <f aca="false">FC_CRONOGRAMA!AI47*FC_SUPUESTOS!$F$89</f>
        <v>0</v>
      </c>
      <c r="AJ73" s="380" t="n">
        <f aca="false">FC_CRONOGRAMA!AJ47*FC_SUPUESTOS!$F$89</f>
        <v>0</v>
      </c>
      <c r="AK73" s="380" t="n">
        <f aca="false">FC_CRONOGRAMA!AK47*FC_SUPUESTOS!$F$89</f>
        <v>0</v>
      </c>
      <c r="AL73" s="380" t="n">
        <f aca="false">FC_CRONOGRAMA!AL47*FC_SUPUESTOS!$F$89</f>
        <v>0</v>
      </c>
      <c r="AM73" s="380" t="n">
        <f aca="false">FC_CRONOGRAMA!AM47*FC_SUPUESTOS!$F$89</f>
        <v>0</v>
      </c>
      <c r="AN73" s="380" t="n">
        <f aca="false">FC_CRONOGRAMA!AN47*FC_SUPUESTOS!$F$89</f>
        <v>0</v>
      </c>
      <c r="AO73" s="380" t="n">
        <f aca="false">FC_CRONOGRAMA!AO47*FC_SUPUESTOS!$F$89</f>
        <v>0</v>
      </c>
      <c r="AP73" s="380" t="n">
        <f aca="false">FC_CRONOGRAMA!AP47*FC_SUPUESTOS!$F$89</f>
        <v>0</v>
      </c>
      <c r="AQ73" s="380" t="n">
        <f aca="false">FC_CRONOGRAMA!AQ47*FC_SUPUESTOS!$F$89</f>
        <v>0</v>
      </c>
      <c r="AR73" s="380" t="n">
        <f aca="false">FC_CRONOGRAMA!AR47*FC_SUPUESTOS!$F$89</f>
        <v>0</v>
      </c>
      <c r="AS73" s="380" t="n">
        <f aca="false">FC_CRONOGRAMA!AS47*FC_SUPUESTOS!$F$89</f>
        <v>0</v>
      </c>
      <c r="AT73" s="380" t="n">
        <f aca="false">FC_CRONOGRAMA!AT47*FC_SUPUESTOS!$F$89</f>
        <v>0</v>
      </c>
      <c r="AU73" s="380" t="n">
        <f aca="false">FC_CRONOGRAMA!AU47*FC_SUPUESTOS!$F$89</f>
        <v>0</v>
      </c>
      <c r="AV73" s="380" t="n">
        <f aca="false">FC_CRONOGRAMA!AV47*FC_SUPUESTOS!$F$89</f>
        <v>0</v>
      </c>
      <c r="AW73" s="380" t="n">
        <f aca="false">FC_CRONOGRAMA!AW47*FC_SUPUESTOS!$F$89</f>
        <v>0</v>
      </c>
      <c r="AX73" s="380" t="n">
        <f aca="false">FC_CRONOGRAMA!AX47*FC_SUPUESTOS!$F$89</f>
        <v>0</v>
      </c>
      <c r="AY73" s="380" t="n">
        <f aca="false">FC_CRONOGRAMA!AY47*FC_SUPUESTOS!$F$89</f>
        <v>0</v>
      </c>
      <c r="AZ73" s="380" t="n">
        <f aca="false">FC_CRONOGRAMA!AZ47*FC_SUPUESTOS!$F$89</f>
        <v>0</v>
      </c>
      <c r="BA73" s="380" t="n">
        <f aca="false">FC_CRONOGRAMA!BA47*FC_SUPUESTOS!$F$89</f>
        <v>0</v>
      </c>
      <c r="BB73" s="380" t="n">
        <f aca="false">FC_CRONOGRAMA!BB47*FC_SUPUESTOS!$F$89</f>
        <v>0</v>
      </c>
      <c r="BC73" s="380" t="n">
        <f aca="false">FC_CRONOGRAMA!BC47*FC_SUPUESTOS!$F$89</f>
        <v>0</v>
      </c>
      <c r="BD73" s="380" t="n">
        <f aca="false">FC_CRONOGRAMA!BD47*FC_SUPUESTOS!$F$89</f>
        <v>0</v>
      </c>
      <c r="BE73" s="380" t="n">
        <f aca="false">FC_CRONOGRAMA!BE47*FC_SUPUESTOS!$F$89</f>
        <v>0</v>
      </c>
      <c r="BF73" s="380" t="n">
        <f aca="false">FC_CRONOGRAMA!BF47*FC_SUPUESTOS!$F$89</f>
        <v>0</v>
      </c>
      <c r="BG73" s="380" t="n">
        <f aca="false">FC_CRONOGRAMA!BG47*FC_SUPUESTOS!$F$89</f>
        <v>0</v>
      </c>
      <c r="BH73" s="380" t="n">
        <f aca="false">FC_CRONOGRAMA!BH47*FC_SUPUESTOS!$F$89</f>
        <v>0</v>
      </c>
      <c r="BI73" s="380" t="n">
        <f aca="false">FC_CRONOGRAMA!BI47*FC_SUPUESTOS!$F$89</f>
        <v>0</v>
      </c>
      <c r="BJ73" s="380" t="n">
        <f aca="false">FC_CRONOGRAMA!BJ47*FC_SUPUESTOS!$F$89</f>
        <v>0</v>
      </c>
      <c r="BK73" s="380" t="n">
        <f aca="false">FC_CRONOGRAMA!BK47*FC_SUPUESTOS!$F$89</f>
        <v>0</v>
      </c>
    </row>
    <row r="74" customFormat="false" ht="15" hidden="false" customHeight="true" outlineLevel="0" collapsed="false">
      <c r="B74" s="297" t="s">
        <v>2971</v>
      </c>
      <c r="D74" s="380" t="n">
        <f aca="false">FC_SUPUESTOS!$C$12*FC_SUPUESTOS!$F$90-SUM($E$74:$BK$74)</f>
        <v>0</v>
      </c>
      <c r="E74" s="380" t="n">
        <f aca="false">FC_CRONOGRAMA!E48*FC_SUPUESTOS!$F$90</f>
        <v>0</v>
      </c>
      <c r="F74" s="380" t="n">
        <f aca="false">FC_CRONOGRAMA!F48*FC_SUPUESTOS!$F$90</f>
        <v>0</v>
      </c>
      <c r="G74" s="380" t="n">
        <f aca="false">FC_CRONOGRAMA!G48*FC_SUPUESTOS!$F$90</f>
        <v>0</v>
      </c>
      <c r="H74" s="380" t="n">
        <f aca="false">FC_CRONOGRAMA!H48*FC_SUPUESTOS!$F$90</f>
        <v>0</v>
      </c>
      <c r="I74" s="380" t="n">
        <f aca="false">FC_CRONOGRAMA!I48*FC_SUPUESTOS!$F$90</f>
        <v>0</v>
      </c>
      <c r="J74" s="380" t="n">
        <f aca="false">FC_CRONOGRAMA!J48*FC_SUPUESTOS!$F$90</f>
        <v>0</v>
      </c>
      <c r="K74" s="380" t="n">
        <f aca="false">FC_CRONOGRAMA!K48*FC_SUPUESTOS!$F$90</f>
        <v>0</v>
      </c>
      <c r="L74" s="380" t="n">
        <f aca="false">FC_CRONOGRAMA!L48*FC_SUPUESTOS!$F$90</f>
        <v>0</v>
      </c>
      <c r="M74" s="380" t="n">
        <f aca="false">FC_CRONOGRAMA!M48*FC_SUPUESTOS!$F$90</f>
        <v>0</v>
      </c>
      <c r="N74" s="380" t="n">
        <f aca="false">FC_CRONOGRAMA!N48*FC_SUPUESTOS!$F$90</f>
        <v>0</v>
      </c>
      <c r="O74" s="380" t="n">
        <f aca="false">FC_CRONOGRAMA!O48*FC_SUPUESTOS!$F$90</f>
        <v>0</v>
      </c>
      <c r="P74" s="380" t="n">
        <f aca="false">FC_CRONOGRAMA!P48*FC_SUPUESTOS!$F$90</f>
        <v>0</v>
      </c>
      <c r="Q74" s="380" t="n">
        <f aca="false">FC_CRONOGRAMA!Q48*FC_SUPUESTOS!$F$90</f>
        <v>0</v>
      </c>
      <c r="R74" s="380" t="n">
        <f aca="false">FC_CRONOGRAMA!R48*FC_SUPUESTOS!$F$90</f>
        <v>0</v>
      </c>
      <c r="S74" s="380" t="n">
        <f aca="false">FC_CRONOGRAMA!S48*FC_SUPUESTOS!$F$90</f>
        <v>0</v>
      </c>
      <c r="T74" s="380" t="n">
        <f aca="false">FC_CRONOGRAMA!T48*FC_SUPUESTOS!$F$90</f>
        <v>0</v>
      </c>
      <c r="U74" s="380" t="n">
        <f aca="false">FC_CRONOGRAMA!U48*FC_SUPUESTOS!$F$90</f>
        <v>0</v>
      </c>
      <c r="V74" s="380" t="n">
        <f aca="false">FC_CRONOGRAMA!V48*FC_SUPUESTOS!$F$90</f>
        <v>0</v>
      </c>
      <c r="W74" s="380" t="n">
        <f aca="false">FC_CRONOGRAMA!W48*FC_SUPUESTOS!$F$90</f>
        <v>0</v>
      </c>
      <c r="X74" s="380" t="n">
        <f aca="false">FC_CRONOGRAMA!X48*FC_SUPUESTOS!$F$90</f>
        <v>0</v>
      </c>
      <c r="Y74" s="380" t="n">
        <f aca="false">FC_CRONOGRAMA!Y48*FC_SUPUESTOS!$F$90</f>
        <v>0</v>
      </c>
      <c r="Z74" s="380" t="n">
        <f aca="false">FC_CRONOGRAMA!Z48*FC_SUPUESTOS!$F$90</f>
        <v>0</v>
      </c>
      <c r="AA74" s="380" t="n">
        <f aca="false">FC_CRONOGRAMA!AA48*FC_SUPUESTOS!$F$90</f>
        <v>0</v>
      </c>
      <c r="AB74" s="380" t="n">
        <f aca="false">FC_CRONOGRAMA!AB48*FC_SUPUESTOS!$F$90</f>
        <v>0</v>
      </c>
      <c r="AC74" s="380" t="n">
        <f aca="false">FC_CRONOGRAMA!AC48*FC_SUPUESTOS!$F$90</f>
        <v>0</v>
      </c>
      <c r="AD74" s="380" t="n">
        <f aca="false">FC_CRONOGRAMA!AD48*FC_SUPUESTOS!$F$90</f>
        <v>0</v>
      </c>
      <c r="AE74" s="380" t="n">
        <f aca="false">FC_CRONOGRAMA!AE48*FC_SUPUESTOS!$F$90</f>
        <v>0</v>
      </c>
      <c r="AF74" s="380" t="n">
        <f aca="false">FC_CRONOGRAMA!AF48*FC_SUPUESTOS!$F$90</f>
        <v>0</v>
      </c>
      <c r="AG74" s="380" t="n">
        <f aca="false">FC_CRONOGRAMA!AG48*FC_SUPUESTOS!$F$90</f>
        <v>0</v>
      </c>
      <c r="AH74" s="380" t="n">
        <f aca="false">FC_CRONOGRAMA!AH48*FC_SUPUESTOS!$F$90</f>
        <v>0</v>
      </c>
      <c r="AI74" s="380" t="n">
        <f aca="false">FC_CRONOGRAMA!AI48*FC_SUPUESTOS!$F$90</f>
        <v>0</v>
      </c>
      <c r="AJ74" s="380" t="n">
        <f aca="false">FC_CRONOGRAMA!AJ48*FC_SUPUESTOS!$F$90</f>
        <v>0</v>
      </c>
      <c r="AK74" s="380" t="n">
        <f aca="false">FC_CRONOGRAMA!AK48*FC_SUPUESTOS!$F$90</f>
        <v>0</v>
      </c>
      <c r="AL74" s="380" t="n">
        <f aca="false">FC_CRONOGRAMA!AL48*FC_SUPUESTOS!$F$90</f>
        <v>0</v>
      </c>
      <c r="AM74" s="380" t="n">
        <f aca="false">FC_CRONOGRAMA!AM48*FC_SUPUESTOS!$F$90</f>
        <v>0</v>
      </c>
      <c r="AN74" s="380" t="n">
        <f aca="false">FC_CRONOGRAMA!AN48*FC_SUPUESTOS!$F$90</f>
        <v>0</v>
      </c>
      <c r="AO74" s="380" t="n">
        <f aca="false">FC_CRONOGRAMA!AO48*FC_SUPUESTOS!$F$90</f>
        <v>0</v>
      </c>
      <c r="AP74" s="380" t="n">
        <f aca="false">FC_CRONOGRAMA!AP48*FC_SUPUESTOS!$F$90</f>
        <v>0</v>
      </c>
      <c r="AQ74" s="380" t="n">
        <f aca="false">FC_CRONOGRAMA!AQ48*FC_SUPUESTOS!$F$90</f>
        <v>0</v>
      </c>
      <c r="AR74" s="380" t="n">
        <f aca="false">FC_CRONOGRAMA!AR48*FC_SUPUESTOS!$F$90</f>
        <v>0</v>
      </c>
      <c r="AS74" s="380" t="n">
        <f aca="false">FC_CRONOGRAMA!AS48*FC_SUPUESTOS!$F$90</f>
        <v>0</v>
      </c>
      <c r="AT74" s="380" t="n">
        <f aca="false">FC_CRONOGRAMA!AT48*FC_SUPUESTOS!$F$90</f>
        <v>0</v>
      </c>
      <c r="AU74" s="380" t="n">
        <f aca="false">FC_CRONOGRAMA!AU48*FC_SUPUESTOS!$F$90</f>
        <v>0</v>
      </c>
      <c r="AV74" s="380" t="n">
        <f aca="false">FC_CRONOGRAMA!AV48*FC_SUPUESTOS!$F$90</f>
        <v>0</v>
      </c>
      <c r="AW74" s="380" t="n">
        <f aca="false">FC_CRONOGRAMA!AW48*FC_SUPUESTOS!$F$90</f>
        <v>0</v>
      </c>
      <c r="AX74" s="380" t="n">
        <f aca="false">FC_CRONOGRAMA!AX48*FC_SUPUESTOS!$F$90</f>
        <v>0</v>
      </c>
      <c r="AY74" s="380" t="n">
        <f aca="false">FC_CRONOGRAMA!AY48*FC_SUPUESTOS!$F$90</f>
        <v>0</v>
      </c>
      <c r="AZ74" s="380" t="n">
        <f aca="false">FC_CRONOGRAMA!AZ48*FC_SUPUESTOS!$F$90</f>
        <v>0</v>
      </c>
      <c r="BA74" s="380" t="n">
        <f aca="false">FC_CRONOGRAMA!BA48*FC_SUPUESTOS!$F$90</f>
        <v>0</v>
      </c>
      <c r="BB74" s="380" t="n">
        <f aca="false">FC_CRONOGRAMA!BB48*FC_SUPUESTOS!$F$90</f>
        <v>0</v>
      </c>
      <c r="BC74" s="380" t="n">
        <f aca="false">FC_CRONOGRAMA!BC48*FC_SUPUESTOS!$F$90</f>
        <v>0</v>
      </c>
      <c r="BD74" s="380" t="n">
        <f aca="false">FC_CRONOGRAMA!BD48*FC_SUPUESTOS!$F$90</f>
        <v>0</v>
      </c>
      <c r="BE74" s="380" t="n">
        <f aca="false">FC_CRONOGRAMA!BE48*FC_SUPUESTOS!$F$90</f>
        <v>0</v>
      </c>
      <c r="BF74" s="380" t="n">
        <f aca="false">FC_CRONOGRAMA!BF48*FC_SUPUESTOS!$F$90</f>
        <v>0</v>
      </c>
      <c r="BG74" s="380" t="n">
        <f aca="false">FC_CRONOGRAMA!BG48*FC_SUPUESTOS!$F$90</f>
        <v>0</v>
      </c>
      <c r="BH74" s="380" t="n">
        <f aca="false">FC_CRONOGRAMA!BH48*FC_SUPUESTOS!$F$90</f>
        <v>0</v>
      </c>
      <c r="BI74" s="380" t="n">
        <f aca="false">FC_CRONOGRAMA!BI48*FC_SUPUESTOS!$F$90</f>
        <v>0</v>
      </c>
      <c r="BJ74" s="380" t="n">
        <f aca="false">FC_CRONOGRAMA!BJ48*FC_SUPUESTOS!$F$90</f>
        <v>0</v>
      </c>
      <c r="BK74" s="380" t="n">
        <f aca="false">FC_CRONOGRAMA!BK48*FC_SUPUESTOS!$F$90</f>
        <v>0</v>
      </c>
    </row>
    <row r="75" customFormat="false" ht="15" hidden="false" customHeight="true" outlineLevel="0" collapsed="false">
      <c r="B75" s="297" t="s">
        <v>2972</v>
      </c>
      <c r="D75" s="380" t="n">
        <f aca="false">FC_SUPUESTOS!$C$12*FC_SUPUESTOS!$F$91-SUM($E$75:$BK$75)</f>
        <v>0</v>
      </c>
      <c r="E75" s="380" t="n">
        <f aca="false">FC_CRONOGRAMA!E49*FC_SUPUESTOS!$F$91</f>
        <v>0</v>
      </c>
      <c r="F75" s="380" t="n">
        <f aca="false">FC_CRONOGRAMA!F49*FC_SUPUESTOS!$F$91</f>
        <v>0</v>
      </c>
      <c r="G75" s="380" t="n">
        <f aca="false">FC_CRONOGRAMA!G49*FC_SUPUESTOS!$F$91</f>
        <v>0</v>
      </c>
      <c r="H75" s="380" t="n">
        <f aca="false">FC_CRONOGRAMA!H49*FC_SUPUESTOS!$F$91</f>
        <v>0</v>
      </c>
      <c r="I75" s="380" t="n">
        <f aca="false">FC_CRONOGRAMA!I49*FC_SUPUESTOS!$F$91</f>
        <v>0</v>
      </c>
      <c r="J75" s="380" t="n">
        <f aca="false">FC_CRONOGRAMA!J49*FC_SUPUESTOS!$F$91</f>
        <v>0</v>
      </c>
      <c r="K75" s="380" t="n">
        <f aca="false">FC_CRONOGRAMA!K49*FC_SUPUESTOS!$F$91</f>
        <v>0</v>
      </c>
      <c r="L75" s="380" t="n">
        <f aca="false">FC_CRONOGRAMA!L49*FC_SUPUESTOS!$F$91</f>
        <v>0</v>
      </c>
      <c r="M75" s="380" t="n">
        <f aca="false">FC_CRONOGRAMA!M49*FC_SUPUESTOS!$F$91</f>
        <v>0</v>
      </c>
      <c r="N75" s="380" t="n">
        <f aca="false">FC_CRONOGRAMA!N49*FC_SUPUESTOS!$F$91</f>
        <v>0</v>
      </c>
      <c r="O75" s="380" t="n">
        <f aca="false">FC_CRONOGRAMA!O49*FC_SUPUESTOS!$F$91</f>
        <v>0</v>
      </c>
      <c r="P75" s="380" t="n">
        <f aca="false">FC_CRONOGRAMA!P49*FC_SUPUESTOS!$F$91</f>
        <v>0</v>
      </c>
      <c r="Q75" s="380" t="n">
        <f aca="false">FC_CRONOGRAMA!Q49*FC_SUPUESTOS!$F$91</f>
        <v>0</v>
      </c>
      <c r="R75" s="380" t="n">
        <f aca="false">FC_CRONOGRAMA!R49*FC_SUPUESTOS!$F$91</f>
        <v>0</v>
      </c>
      <c r="S75" s="380" t="n">
        <f aca="false">FC_CRONOGRAMA!S49*FC_SUPUESTOS!$F$91</f>
        <v>0</v>
      </c>
      <c r="T75" s="380" t="n">
        <f aca="false">FC_CRONOGRAMA!T49*FC_SUPUESTOS!$F$91</f>
        <v>0</v>
      </c>
      <c r="U75" s="380" t="n">
        <f aca="false">FC_CRONOGRAMA!U49*FC_SUPUESTOS!$F$91</f>
        <v>0</v>
      </c>
      <c r="V75" s="380" t="n">
        <f aca="false">FC_CRONOGRAMA!V49*FC_SUPUESTOS!$F$91</f>
        <v>0</v>
      </c>
      <c r="W75" s="380" t="n">
        <f aca="false">FC_CRONOGRAMA!W49*FC_SUPUESTOS!$F$91</f>
        <v>0</v>
      </c>
      <c r="X75" s="380" t="n">
        <f aca="false">FC_CRONOGRAMA!X49*FC_SUPUESTOS!$F$91</f>
        <v>0</v>
      </c>
      <c r="Y75" s="380" t="n">
        <f aca="false">FC_CRONOGRAMA!Y49*FC_SUPUESTOS!$F$91</f>
        <v>0</v>
      </c>
      <c r="Z75" s="380" t="n">
        <f aca="false">FC_CRONOGRAMA!Z49*FC_SUPUESTOS!$F$91</f>
        <v>0</v>
      </c>
      <c r="AA75" s="380" t="n">
        <f aca="false">FC_CRONOGRAMA!AA49*FC_SUPUESTOS!$F$91</f>
        <v>0</v>
      </c>
      <c r="AB75" s="380" t="n">
        <f aca="false">FC_CRONOGRAMA!AB49*FC_SUPUESTOS!$F$91</f>
        <v>0</v>
      </c>
      <c r="AC75" s="380" t="n">
        <f aca="false">FC_CRONOGRAMA!AC49*FC_SUPUESTOS!$F$91</f>
        <v>0</v>
      </c>
      <c r="AD75" s="380" t="n">
        <f aca="false">FC_CRONOGRAMA!AD49*FC_SUPUESTOS!$F$91</f>
        <v>0</v>
      </c>
      <c r="AE75" s="380" t="n">
        <f aca="false">FC_CRONOGRAMA!AE49*FC_SUPUESTOS!$F$91</f>
        <v>0</v>
      </c>
      <c r="AF75" s="380" t="n">
        <f aca="false">FC_CRONOGRAMA!AF49*FC_SUPUESTOS!$F$91</f>
        <v>0</v>
      </c>
      <c r="AG75" s="380" t="n">
        <f aca="false">FC_CRONOGRAMA!AG49*FC_SUPUESTOS!$F$91</f>
        <v>0</v>
      </c>
      <c r="AH75" s="380" t="n">
        <f aca="false">FC_CRONOGRAMA!AH49*FC_SUPUESTOS!$F$91</f>
        <v>0</v>
      </c>
      <c r="AI75" s="380" t="n">
        <f aca="false">FC_CRONOGRAMA!AI49*FC_SUPUESTOS!$F$91</f>
        <v>0</v>
      </c>
      <c r="AJ75" s="380" t="n">
        <f aca="false">FC_CRONOGRAMA!AJ49*FC_SUPUESTOS!$F$91</f>
        <v>0</v>
      </c>
      <c r="AK75" s="380" t="n">
        <f aca="false">FC_CRONOGRAMA!AK49*FC_SUPUESTOS!$F$91</f>
        <v>0</v>
      </c>
      <c r="AL75" s="380" t="n">
        <f aca="false">FC_CRONOGRAMA!AL49*FC_SUPUESTOS!$F$91</f>
        <v>0</v>
      </c>
      <c r="AM75" s="380" t="n">
        <f aca="false">FC_CRONOGRAMA!AM49*FC_SUPUESTOS!$F$91</f>
        <v>0</v>
      </c>
      <c r="AN75" s="380" t="n">
        <f aca="false">FC_CRONOGRAMA!AN49*FC_SUPUESTOS!$F$91</f>
        <v>0</v>
      </c>
      <c r="AO75" s="380" t="n">
        <f aca="false">FC_CRONOGRAMA!AO49*FC_SUPUESTOS!$F$91</f>
        <v>0</v>
      </c>
      <c r="AP75" s="380" t="n">
        <f aca="false">FC_CRONOGRAMA!AP49*FC_SUPUESTOS!$F$91</f>
        <v>0</v>
      </c>
      <c r="AQ75" s="380" t="n">
        <f aca="false">FC_CRONOGRAMA!AQ49*FC_SUPUESTOS!$F$91</f>
        <v>0</v>
      </c>
      <c r="AR75" s="380" t="n">
        <f aca="false">FC_CRONOGRAMA!AR49*FC_SUPUESTOS!$F$91</f>
        <v>0</v>
      </c>
      <c r="AS75" s="380" t="n">
        <f aca="false">FC_CRONOGRAMA!AS49*FC_SUPUESTOS!$F$91</f>
        <v>0</v>
      </c>
      <c r="AT75" s="380" t="n">
        <f aca="false">FC_CRONOGRAMA!AT49*FC_SUPUESTOS!$F$91</f>
        <v>0</v>
      </c>
      <c r="AU75" s="380" t="n">
        <f aca="false">FC_CRONOGRAMA!AU49*FC_SUPUESTOS!$F$91</f>
        <v>0</v>
      </c>
      <c r="AV75" s="380" t="n">
        <f aca="false">FC_CRONOGRAMA!AV49*FC_SUPUESTOS!$F$91</f>
        <v>0</v>
      </c>
      <c r="AW75" s="380" t="n">
        <f aca="false">FC_CRONOGRAMA!AW49*FC_SUPUESTOS!$F$91</f>
        <v>0</v>
      </c>
      <c r="AX75" s="380" t="n">
        <f aca="false">FC_CRONOGRAMA!AX49*FC_SUPUESTOS!$F$91</f>
        <v>0</v>
      </c>
      <c r="AY75" s="380" t="n">
        <f aca="false">FC_CRONOGRAMA!AY49*FC_SUPUESTOS!$F$91</f>
        <v>0</v>
      </c>
      <c r="AZ75" s="380" t="n">
        <f aca="false">FC_CRONOGRAMA!AZ49*FC_SUPUESTOS!$F$91</f>
        <v>0</v>
      </c>
      <c r="BA75" s="380" t="n">
        <f aca="false">FC_CRONOGRAMA!BA49*FC_SUPUESTOS!$F$91</f>
        <v>0</v>
      </c>
      <c r="BB75" s="380" t="n">
        <f aca="false">FC_CRONOGRAMA!BB49*FC_SUPUESTOS!$F$91</f>
        <v>0</v>
      </c>
      <c r="BC75" s="380" t="n">
        <f aca="false">FC_CRONOGRAMA!BC49*FC_SUPUESTOS!$F$91</f>
        <v>0</v>
      </c>
      <c r="BD75" s="380" t="n">
        <f aca="false">FC_CRONOGRAMA!BD49*FC_SUPUESTOS!$F$91</f>
        <v>0</v>
      </c>
      <c r="BE75" s="380" t="n">
        <f aca="false">FC_CRONOGRAMA!BE49*FC_SUPUESTOS!$F$91</f>
        <v>0</v>
      </c>
      <c r="BF75" s="380" t="n">
        <f aca="false">FC_CRONOGRAMA!BF49*FC_SUPUESTOS!$F$91</f>
        <v>0</v>
      </c>
      <c r="BG75" s="380" t="n">
        <f aca="false">FC_CRONOGRAMA!BG49*FC_SUPUESTOS!$F$91</f>
        <v>0</v>
      </c>
      <c r="BH75" s="380" t="n">
        <f aca="false">FC_CRONOGRAMA!BH49*FC_SUPUESTOS!$F$91</f>
        <v>0</v>
      </c>
      <c r="BI75" s="380" t="n">
        <f aca="false">FC_CRONOGRAMA!BI49*FC_SUPUESTOS!$F$91</f>
        <v>0</v>
      </c>
      <c r="BJ75" s="380" t="n">
        <f aca="false">FC_CRONOGRAMA!BJ49*FC_SUPUESTOS!$F$91</f>
        <v>0</v>
      </c>
      <c r="BK75" s="380" t="n">
        <f aca="false">FC_CRONOGRAMA!BK49*FC_SUPUESTOS!$F$91</f>
        <v>0</v>
      </c>
    </row>
    <row r="76" customFormat="false" ht="15" hidden="false" customHeight="true" outlineLevel="0" collapsed="false">
      <c r="B76" s="297" t="s">
        <v>2973</v>
      </c>
      <c r="D76" s="380" t="n">
        <f aca="false">FC_SUPUESTOS!$C$12*FC_SUPUESTOS!$F$93-SUM($E$76:$BK$76)</f>
        <v>0</v>
      </c>
      <c r="E76" s="380" t="n">
        <f aca="false">FC_CRONOGRAMA!E53*FC_SUPUESTOS!$F$93/FC_SUPUESTOS!$C$33</f>
        <v>0</v>
      </c>
      <c r="F76" s="380" t="n">
        <f aca="false">FC_CRONOGRAMA!F53*FC_SUPUESTOS!$F$93/FC_SUPUESTOS!$C$33</f>
        <v>0</v>
      </c>
      <c r="G76" s="380" t="n">
        <f aca="false">FC_CRONOGRAMA!G53*FC_SUPUESTOS!$F$93/FC_SUPUESTOS!$C$33</f>
        <v>0</v>
      </c>
      <c r="H76" s="380" t="n">
        <f aca="false">FC_CRONOGRAMA!H53*FC_SUPUESTOS!$F$93/FC_SUPUESTOS!$C$33</f>
        <v>0</v>
      </c>
      <c r="I76" s="380" t="n">
        <f aca="false">FC_CRONOGRAMA!I53*FC_SUPUESTOS!$F$93/FC_SUPUESTOS!$C$33</f>
        <v>0</v>
      </c>
      <c r="J76" s="380" t="n">
        <f aca="false">FC_CRONOGRAMA!J53*FC_SUPUESTOS!$F$93/FC_SUPUESTOS!$C$33</f>
        <v>0</v>
      </c>
      <c r="K76" s="380" t="n">
        <f aca="false">FC_CRONOGRAMA!K53*FC_SUPUESTOS!$F$93/FC_SUPUESTOS!$C$33</f>
        <v>0</v>
      </c>
      <c r="L76" s="380" t="n">
        <f aca="false">FC_CRONOGRAMA!L53*FC_SUPUESTOS!$F$93/FC_SUPUESTOS!$C$33</f>
        <v>0</v>
      </c>
      <c r="M76" s="380" t="n">
        <f aca="false">FC_CRONOGRAMA!M53*FC_SUPUESTOS!$F$93/FC_SUPUESTOS!$C$33</f>
        <v>0</v>
      </c>
      <c r="N76" s="380" t="n">
        <f aca="false">FC_CRONOGRAMA!N53*FC_SUPUESTOS!$F$93/FC_SUPUESTOS!$C$33</f>
        <v>0</v>
      </c>
      <c r="O76" s="380" t="n">
        <f aca="false">FC_CRONOGRAMA!O53*FC_SUPUESTOS!$F$93/FC_SUPUESTOS!$C$33</f>
        <v>0</v>
      </c>
      <c r="P76" s="380" t="n">
        <f aca="false">FC_CRONOGRAMA!P53*FC_SUPUESTOS!$F$93/FC_SUPUESTOS!$C$33</f>
        <v>0</v>
      </c>
      <c r="Q76" s="380" t="n">
        <f aca="false">FC_CRONOGRAMA!Q53*FC_SUPUESTOS!$F$93/FC_SUPUESTOS!$C$33</f>
        <v>0</v>
      </c>
      <c r="R76" s="380" t="n">
        <f aca="false">FC_CRONOGRAMA!R53*FC_SUPUESTOS!$F$93/FC_SUPUESTOS!$C$33</f>
        <v>0</v>
      </c>
      <c r="S76" s="380" t="n">
        <f aca="false">FC_CRONOGRAMA!S53*FC_SUPUESTOS!$F$93/FC_SUPUESTOS!$C$33</f>
        <v>0</v>
      </c>
      <c r="T76" s="380" t="n">
        <f aca="false">FC_CRONOGRAMA!T53*FC_SUPUESTOS!$F$93/FC_SUPUESTOS!$C$33</f>
        <v>0</v>
      </c>
      <c r="U76" s="380" t="n">
        <f aca="false">FC_CRONOGRAMA!U53*FC_SUPUESTOS!$F$93/FC_SUPUESTOS!$C$33</f>
        <v>0</v>
      </c>
      <c r="V76" s="380" t="n">
        <f aca="false">FC_CRONOGRAMA!V53*FC_SUPUESTOS!$F$93/FC_SUPUESTOS!$C$33</f>
        <v>0</v>
      </c>
      <c r="W76" s="380" t="n">
        <f aca="false">FC_CRONOGRAMA!W53*FC_SUPUESTOS!$F$93/FC_SUPUESTOS!$C$33</f>
        <v>0</v>
      </c>
      <c r="X76" s="380" t="n">
        <f aca="false">FC_CRONOGRAMA!X53*FC_SUPUESTOS!$F$93/FC_SUPUESTOS!$C$33</f>
        <v>0</v>
      </c>
      <c r="Y76" s="380" t="n">
        <f aca="false">FC_CRONOGRAMA!Y53*FC_SUPUESTOS!$F$93/FC_SUPUESTOS!$C$33</f>
        <v>0</v>
      </c>
      <c r="Z76" s="380" t="n">
        <f aca="false">FC_CRONOGRAMA!Z53*FC_SUPUESTOS!$F$93/FC_SUPUESTOS!$C$33</f>
        <v>0</v>
      </c>
      <c r="AA76" s="380" t="n">
        <f aca="false">FC_CRONOGRAMA!AA53*FC_SUPUESTOS!$F$93/FC_SUPUESTOS!$C$33</f>
        <v>0</v>
      </c>
      <c r="AB76" s="380" t="n">
        <f aca="false">FC_CRONOGRAMA!AB53*FC_SUPUESTOS!$F$93/FC_SUPUESTOS!$C$33</f>
        <v>0</v>
      </c>
      <c r="AC76" s="380" t="n">
        <f aca="false">FC_CRONOGRAMA!AC53*FC_SUPUESTOS!$F$93/FC_SUPUESTOS!$C$33</f>
        <v>0</v>
      </c>
      <c r="AD76" s="380" t="n">
        <f aca="false">FC_CRONOGRAMA!AD53*FC_SUPUESTOS!$F$93/FC_SUPUESTOS!$C$33</f>
        <v>0</v>
      </c>
      <c r="AE76" s="380" t="n">
        <f aca="false">FC_CRONOGRAMA!AE53*FC_SUPUESTOS!$F$93/FC_SUPUESTOS!$C$33</f>
        <v>0</v>
      </c>
      <c r="AF76" s="380" t="n">
        <f aca="false">FC_CRONOGRAMA!AF53*FC_SUPUESTOS!$F$93/FC_SUPUESTOS!$C$33</f>
        <v>0</v>
      </c>
      <c r="AG76" s="380" t="n">
        <f aca="false">FC_CRONOGRAMA!AG53*FC_SUPUESTOS!$F$93/FC_SUPUESTOS!$C$33</f>
        <v>0</v>
      </c>
      <c r="AH76" s="380" t="n">
        <f aca="false">FC_CRONOGRAMA!AH53*FC_SUPUESTOS!$F$93/FC_SUPUESTOS!$C$33</f>
        <v>0</v>
      </c>
      <c r="AI76" s="380" t="n">
        <f aca="false">FC_CRONOGRAMA!AI53*FC_SUPUESTOS!$F$93/FC_SUPUESTOS!$C$33</f>
        <v>0</v>
      </c>
      <c r="AJ76" s="380" t="n">
        <f aca="false">FC_CRONOGRAMA!AJ53*FC_SUPUESTOS!$F$93/FC_SUPUESTOS!$C$33</f>
        <v>0</v>
      </c>
      <c r="AK76" s="380" t="n">
        <f aca="false">FC_CRONOGRAMA!AK53*FC_SUPUESTOS!$F$93/FC_SUPUESTOS!$C$33</f>
        <v>0</v>
      </c>
      <c r="AL76" s="380" t="n">
        <f aca="false">FC_CRONOGRAMA!AL53*FC_SUPUESTOS!$F$93/FC_SUPUESTOS!$C$33</f>
        <v>0</v>
      </c>
      <c r="AM76" s="380" t="n">
        <f aca="false">FC_CRONOGRAMA!AM53*FC_SUPUESTOS!$F$93/FC_SUPUESTOS!$C$33</f>
        <v>0</v>
      </c>
      <c r="AN76" s="380" t="n">
        <f aca="false">FC_CRONOGRAMA!AN53*FC_SUPUESTOS!$F$93/FC_SUPUESTOS!$C$33</f>
        <v>0</v>
      </c>
      <c r="AO76" s="380" t="n">
        <f aca="false">FC_CRONOGRAMA!AO53*FC_SUPUESTOS!$F$93/FC_SUPUESTOS!$C$33</f>
        <v>0</v>
      </c>
      <c r="AP76" s="380" t="n">
        <f aca="false">FC_CRONOGRAMA!AP53*FC_SUPUESTOS!$F$93/FC_SUPUESTOS!$C$33</f>
        <v>0</v>
      </c>
      <c r="AQ76" s="380" t="n">
        <f aca="false">FC_CRONOGRAMA!AQ53*FC_SUPUESTOS!$F$93/FC_SUPUESTOS!$C$33</f>
        <v>0</v>
      </c>
      <c r="AR76" s="380" t="n">
        <f aca="false">FC_CRONOGRAMA!AR53*FC_SUPUESTOS!$F$93/FC_SUPUESTOS!$C$33</f>
        <v>0</v>
      </c>
      <c r="AS76" s="380" t="n">
        <f aca="false">FC_CRONOGRAMA!AS53*FC_SUPUESTOS!$F$93/FC_SUPUESTOS!$C$33</f>
        <v>0</v>
      </c>
      <c r="AT76" s="380" t="n">
        <f aca="false">FC_CRONOGRAMA!AT53*FC_SUPUESTOS!$F$93/FC_SUPUESTOS!$C$33</f>
        <v>0</v>
      </c>
      <c r="AU76" s="380" t="n">
        <f aca="false">FC_CRONOGRAMA!AU53*FC_SUPUESTOS!$F$93/FC_SUPUESTOS!$C$33</f>
        <v>0</v>
      </c>
      <c r="AV76" s="380" t="n">
        <f aca="false">FC_CRONOGRAMA!AV53*FC_SUPUESTOS!$F$93/FC_SUPUESTOS!$C$33</f>
        <v>0</v>
      </c>
      <c r="AW76" s="380" t="n">
        <f aca="false">FC_CRONOGRAMA!AW53*FC_SUPUESTOS!$F$93/FC_SUPUESTOS!$C$33</f>
        <v>0</v>
      </c>
      <c r="AX76" s="380" t="n">
        <f aca="false">FC_CRONOGRAMA!AX53*FC_SUPUESTOS!$F$93/FC_SUPUESTOS!$C$33</f>
        <v>0</v>
      </c>
      <c r="AY76" s="380" t="n">
        <f aca="false">FC_CRONOGRAMA!AY53*FC_SUPUESTOS!$F$93/FC_SUPUESTOS!$C$33</f>
        <v>0</v>
      </c>
      <c r="AZ76" s="380" t="n">
        <f aca="false">FC_CRONOGRAMA!AZ53*FC_SUPUESTOS!$F$93/FC_SUPUESTOS!$C$33</f>
        <v>0</v>
      </c>
      <c r="BA76" s="380" t="n">
        <f aca="false">FC_CRONOGRAMA!BA53*FC_SUPUESTOS!$F$93/FC_SUPUESTOS!$C$33</f>
        <v>0</v>
      </c>
      <c r="BB76" s="380" t="n">
        <f aca="false">FC_CRONOGRAMA!BB53*FC_SUPUESTOS!$F$93/FC_SUPUESTOS!$C$33</f>
        <v>0</v>
      </c>
      <c r="BC76" s="380" t="n">
        <f aca="false">FC_CRONOGRAMA!BC53*FC_SUPUESTOS!$F$93/FC_SUPUESTOS!$C$33</f>
        <v>0</v>
      </c>
      <c r="BD76" s="380" t="n">
        <f aca="false">FC_CRONOGRAMA!BD53*FC_SUPUESTOS!$F$93/FC_SUPUESTOS!$C$33</f>
        <v>0</v>
      </c>
      <c r="BE76" s="380" t="n">
        <f aca="false">FC_CRONOGRAMA!BE53*FC_SUPUESTOS!$F$93/FC_SUPUESTOS!$C$33</f>
        <v>0</v>
      </c>
      <c r="BF76" s="380" t="n">
        <f aca="false">FC_CRONOGRAMA!BF53*FC_SUPUESTOS!$F$93/FC_SUPUESTOS!$C$33</f>
        <v>0</v>
      </c>
      <c r="BG76" s="380" t="n">
        <f aca="false">FC_CRONOGRAMA!BG53*FC_SUPUESTOS!$F$93/FC_SUPUESTOS!$C$33</f>
        <v>0</v>
      </c>
      <c r="BH76" s="380" t="n">
        <f aca="false">FC_CRONOGRAMA!BH53*FC_SUPUESTOS!$F$93/FC_SUPUESTOS!$C$33</f>
        <v>0</v>
      </c>
      <c r="BI76" s="380" t="n">
        <f aca="false">FC_CRONOGRAMA!BI53*FC_SUPUESTOS!$F$93/FC_SUPUESTOS!$C$33</f>
        <v>0</v>
      </c>
      <c r="BJ76" s="380" t="n">
        <f aca="false">FC_CRONOGRAMA!BJ53*FC_SUPUESTOS!$F$93/FC_SUPUESTOS!$C$33</f>
        <v>0</v>
      </c>
      <c r="BK76" s="380" t="n">
        <f aca="false">FC_CRONOGRAMA!BK53*FC_SUPUESTOS!$F$93/FC_SUPUESTOS!$C$33</f>
        <v>0</v>
      </c>
    </row>
    <row r="77" customFormat="false" ht="15" hidden="false" customHeight="true" outlineLevel="0" collapsed="false">
      <c r="B77" s="297" t="s">
        <v>2974</v>
      </c>
      <c r="D77" s="380" t="n">
        <f aca="false">FC_SUPUESTOS!$C$12*FC_SUPUESTOS!$F$94-SUM($E$77:$BK$77)</f>
        <v>0</v>
      </c>
      <c r="E77" s="380" t="n">
        <f aca="false">FC_CRONOGRAMA!E50*FC_SUPUESTOS!$F$94</f>
        <v>0</v>
      </c>
      <c r="F77" s="380" t="n">
        <f aca="false">FC_CRONOGRAMA!F50*FC_SUPUESTOS!$F$94</f>
        <v>0</v>
      </c>
      <c r="G77" s="380" t="n">
        <f aca="false">FC_CRONOGRAMA!G50*FC_SUPUESTOS!$F$94</f>
        <v>0</v>
      </c>
      <c r="H77" s="380" t="n">
        <f aca="false">FC_CRONOGRAMA!H50*FC_SUPUESTOS!$F$94</f>
        <v>0</v>
      </c>
      <c r="I77" s="380" t="n">
        <f aca="false">FC_CRONOGRAMA!I50*FC_SUPUESTOS!$F$94</f>
        <v>0</v>
      </c>
      <c r="J77" s="380" t="n">
        <f aca="false">FC_CRONOGRAMA!J50*FC_SUPUESTOS!$F$94</f>
        <v>0</v>
      </c>
      <c r="K77" s="380" t="n">
        <f aca="false">FC_CRONOGRAMA!K50*FC_SUPUESTOS!$F$94</f>
        <v>0</v>
      </c>
      <c r="L77" s="380" t="n">
        <f aca="false">FC_CRONOGRAMA!L50*FC_SUPUESTOS!$F$94</f>
        <v>0</v>
      </c>
      <c r="M77" s="380" t="n">
        <f aca="false">FC_CRONOGRAMA!M50*FC_SUPUESTOS!$F$94</f>
        <v>0</v>
      </c>
      <c r="N77" s="380" t="n">
        <f aca="false">FC_CRONOGRAMA!N50*FC_SUPUESTOS!$F$94</f>
        <v>0</v>
      </c>
      <c r="O77" s="380" t="n">
        <f aca="false">FC_CRONOGRAMA!O50*FC_SUPUESTOS!$F$94</f>
        <v>0</v>
      </c>
      <c r="P77" s="380" t="n">
        <f aca="false">FC_CRONOGRAMA!P50*FC_SUPUESTOS!$F$94</f>
        <v>0</v>
      </c>
      <c r="Q77" s="380" t="n">
        <f aca="false">FC_CRONOGRAMA!Q50*FC_SUPUESTOS!$F$94</f>
        <v>0</v>
      </c>
      <c r="R77" s="380" t="n">
        <f aca="false">FC_CRONOGRAMA!R50*FC_SUPUESTOS!$F$94</f>
        <v>0</v>
      </c>
      <c r="S77" s="380" t="n">
        <f aca="false">FC_CRONOGRAMA!S50*FC_SUPUESTOS!$F$94</f>
        <v>0</v>
      </c>
      <c r="T77" s="380" t="n">
        <f aca="false">FC_CRONOGRAMA!T50*FC_SUPUESTOS!$F$94</f>
        <v>0</v>
      </c>
      <c r="U77" s="380" t="n">
        <f aca="false">FC_CRONOGRAMA!U50*FC_SUPUESTOS!$F$94</f>
        <v>0</v>
      </c>
      <c r="V77" s="380" t="n">
        <f aca="false">FC_CRONOGRAMA!V50*FC_SUPUESTOS!$F$94</f>
        <v>0</v>
      </c>
      <c r="W77" s="380" t="n">
        <f aca="false">FC_CRONOGRAMA!W50*FC_SUPUESTOS!$F$94</f>
        <v>0</v>
      </c>
      <c r="X77" s="380" t="n">
        <f aca="false">FC_CRONOGRAMA!X50*FC_SUPUESTOS!$F$94</f>
        <v>0</v>
      </c>
      <c r="Y77" s="380" t="n">
        <f aca="false">FC_CRONOGRAMA!Y50*FC_SUPUESTOS!$F$94</f>
        <v>0</v>
      </c>
      <c r="Z77" s="380" t="n">
        <f aca="false">FC_CRONOGRAMA!Z50*FC_SUPUESTOS!$F$94</f>
        <v>0</v>
      </c>
      <c r="AA77" s="380" t="n">
        <f aca="false">FC_CRONOGRAMA!AA50*FC_SUPUESTOS!$F$94</f>
        <v>0</v>
      </c>
      <c r="AB77" s="380" t="n">
        <f aca="false">FC_CRONOGRAMA!AB50*FC_SUPUESTOS!$F$94</f>
        <v>0</v>
      </c>
      <c r="AC77" s="380" t="n">
        <f aca="false">FC_CRONOGRAMA!AC50*FC_SUPUESTOS!$F$94</f>
        <v>0</v>
      </c>
      <c r="AD77" s="380" t="n">
        <f aca="false">FC_CRONOGRAMA!AD50*FC_SUPUESTOS!$F$94</f>
        <v>0</v>
      </c>
      <c r="AE77" s="380" t="n">
        <f aca="false">FC_CRONOGRAMA!AE50*FC_SUPUESTOS!$F$94</f>
        <v>0</v>
      </c>
      <c r="AF77" s="380" t="n">
        <f aca="false">FC_CRONOGRAMA!AF50*FC_SUPUESTOS!$F$94</f>
        <v>0</v>
      </c>
      <c r="AG77" s="380" t="n">
        <f aca="false">FC_CRONOGRAMA!AG50*FC_SUPUESTOS!$F$94</f>
        <v>0</v>
      </c>
      <c r="AH77" s="380" t="n">
        <f aca="false">FC_CRONOGRAMA!AH50*FC_SUPUESTOS!$F$94</f>
        <v>0</v>
      </c>
      <c r="AI77" s="380" t="n">
        <f aca="false">FC_CRONOGRAMA!AI50*FC_SUPUESTOS!$F$94</f>
        <v>0</v>
      </c>
      <c r="AJ77" s="380" t="n">
        <f aca="false">FC_CRONOGRAMA!AJ50*FC_SUPUESTOS!$F$94</f>
        <v>0</v>
      </c>
      <c r="AK77" s="380" t="n">
        <f aca="false">FC_CRONOGRAMA!AK50*FC_SUPUESTOS!$F$94</f>
        <v>0</v>
      </c>
      <c r="AL77" s="380" t="n">
        <f aca="false">FC_CRONOGRAMA!AL50*FC_SUPUESTOS!$F$94</f>
        <v>0</v>
      </c>
      <c r="AM77" s="380" t="n">
        <f aca="false">FC_CRONOGRAMA!AM50*FC_SUPUESTOS!$F$94</f>
        <v>0</v>
      </c>
      <c r="AN77" s="380" t="n">
        <f aca="false">FC_CRONOGRAMA!AN50*FC_SUPUESTOS!$F$94</f>
        <v>0</v>
      </c>
      <c r="AO77" s="380" t="n">
        <f aca="false">FC_CRONOGRAMA!AO50*FC_SUPUESTOS!$F$94</f>
        <v>0</v>
      </c>
      <c r="AP77" s="380" t="n">
        <f aca="false">FC_CRONOGRAMA!AP50*FC_SUPUESTOS!$F$94</f>
        <v>0</v>
      </c>
      <c r="AQ77" s="380" t="n">
        <f aca="false">FC_CRONOGRAMA!AQ50*FC_SUPUESTOS!$F$94</f>
        <v>0</v>
      </c>
      <c r="AR77" s="380" t="n">
        <f aca="false">FC_CRONOGRAMA!AR50*FC_SUPUESTOS!$F$94</f>
        <v>0</v>
      </c>
      <c r="AS77" s="380" t="n">
        <f aca="false">FC_CRONOGRAMA!AS50*FC_SUPUESTOS!$F$94</f>
        <v>0</v>
      </c>
      <c r="AT77" s="380" t="n">
        <f aca="false">FC_CRONOGRAMA!AT50*FC_SUPUESTOS!$F$94</f>
        <v>0</v>
      </c>
      <c r="AU77" s="380" t="n">
        <f aca="false">FC_CRONOGRAMA!AU50*FC_SUPUESTOS!$F$94</f>
        <v>0</v>
      </c>
      <c r="AV77" s="380" t="n">
        <f aca="false">FC_CRONOGRAMA!AV50*FC_SUPUESTOS!$F$94</f>
        <v>0</v>
      </c>
      <c r="AW77" s="380" t="n">
        <f aca="false">FC_CRONOGRAMA!AW50*FC_SUPUESTOS!$F$94</f>
        <v>0</v>
      </c>
      <c r="AX77" s="380" t="n">
        <f aca="false">FC_CRONOGRAMA!AX50*FC_SUPUESTOS!$F$94</f>
        <v>0</v>
      </c>
      <c r="AY77" s="380" t="n">
        <f aca="false">FC_CRONOGRAMA!AY50*FC_SUPUESTOS!$F$94</f>
        <v>0</v>
      </c>
      <c r="AZ77" s="380" t="n">
        <f aca="false">FC_CRONOGRAMA!AZ50*FC_SUPUESTOS!$F$94</f>
        <v>0</v>
      </c>
      <c r="BA77" s="380" t="n">
        <f aca="false">FC_CRONOGRAMA!BA50*FC_SUPUESTOS!$F$94</f>
        <v>0</v>
      </c>
      <c r="BB77" s="380" t="n">
        <f aca="false">FC_CRONOGRAMA!BB50*FC_SUPUESTOS!$F$94</f>
        <v>0</v>
      </c>
      <c r="BC77" s="380" t="n">
        <f aca="false">FC_CRONOGRAMA!BC50*FC_SUPUESTOS!$F$94</f>
        <v>0</v>
      </c>
      <c r="BD77" s="380" t="n">
        <f aca="false">FC_CRONOGRAMA!BD50*FC_SUPUESTOS!$F$94</f>
        <v>0</v>
      </c>
      <c r="BE77" s="380" t="n">
        <f aca="false">FC_CRONOGRAMA!BE50*FC_SUPUESTOS!$F$94</f>
        <v>0</v>
      </c>
      <c r="BF77" s="380" t="n">
        <f aca="false">FC_CRONOGRAMA!BF50*FC_SUPUESTOS!$F$94</f>
        <v>0</v>
      </c>
      <c r="BG77" s="380" t="n">
        <f aca="false">FC_CRONOGRAMA!BG50*FC_SUPUESTOS!$F$94</f>
        <v>0</v>
      </c>
      <c r="BH77" s="380" t="n">
        <f aca="false">FC_CRONOGRAMA!BH50*FC_SUPUESTOS!$F$94</f>
        <v>0</v>
      </c>
      <c r="BI77" s="380" t="n">
        <f aca="false">FC_CRONOGRAMA!BI50*FC_SUPUESTOS!$F$94</f>
        <v>0</v>
      </c>
      <c r="BJ77" s="380" t="n">
        <f aca="false">FC_CRONOGRAMA!BJ50*FC_SUPUESTOS!$F$94</f>
        <v>0</v>
      </c>
      <c r="BK77" s="380" t="n">
        <f aca="false">FC_CRONOGRAMA!BK50*FC_SUPUESTOS!$F$94</f>
        <v>0</v>
      </c>
    </row>
    <row r="78" customFormat="false" ht="15" hidden="false" customHeight="true" outlineLevel="0" collapsed="false">
      <c r="B78" s="297" t="s">
        <v>2975</v>
      </c>
      <c r="D78" s="380" t="n">
        <f aca="false">SUM(D71:D77)*FC_SUPUESTOS!$C$56</f>
        <v>0</v>
      </c>
      <c r="E78" s="380" t="n">
        <f aca="false">SUM(E71:E77)*FC_SUPUESTOS!$C$56</f>
        <v>0</v>
      </c>
      <c r="F78" s="380" t="n">
        <f aca="false">SUM(F71:F77)*FC_SUPUESTOS!$C$56</f>
        <v>0</v>
      </c>
      <c r="G78" s="380" t="n">
        <f aca="false">SUM(G71:G77)*FC_SUPUESTOS!$C$56</f>
        <v>0</v>
      </c>
      <c r="H78" s="380" t="n">
        <f aca="false">SUM(H71:H77)*FC_SUPUESTOS!$C$56</f>
        <v>0</v>
      </c>
      <c r="I78" s="380" t="n">
        <f aca="false">SUM(I71:I77)*FC_SUPUESTOS!$C$56</f>
        <v>0</v>
      </c>
      <c r="J78" s="380" t="n">
        <f aca="false">SUM(J71:J77)*FC_SUPUESTOS!$C$56</f>
        <v>0</v>
      </c>
      <c r="K78" s="380" t="n">
        <f aca="false">SUM(K71:K77)*FC_SUPUESTOS!$C$56</f>
        <v>0</v>
      </c>
      <c r="L78" s="380" t="n">
        <f aca="false">SUM(L71:L77)*FC_SUPUESTOS!$C$56</f>
        <v>0</v>
      </c>
      <c r="M78" s="380" t="n">
        <f aca="false">SUM(M71:M77)*FC_SUPUESTOS!$C$56</f>
        <v>0</v>
      </c>
      <c r="N78" s="380" t="n">
        <f aca="false">SUM(N71:N77)*FC_SUPUESTOS!$C$56</f>
        <v>0</v>
      </c>
      <c r="O78" s="380" t="n">
        <f aca="false">SUM(O71:O77)*FC_SUPUESTOS!$C$56</f>
        <v>0</v>
      </c>
      <c r="P78" s="380" t="n">
        <f aca="false">SUM(P71:P77)*FC_SUPUESTOS!$C$56</f>
        <v>0</v>
      </c>
      <c r="Q78" s="380" t="n">
        <f aca="false">SUM(Q71:Q77)*FC_SUPUESTOS!$C$56</f>
        <v>0</v>
      </c>
      <c r="R78" s="380" t="n">
        <f aca="false">SUM(R71:R77)*FC_SUPUESTOS!$C$56</f>
        <v>0</v>
      </c>
      <c r="S78" s="380" t="n">
        <f aca="false">SUM(S71:S77)*FC_SUPUESTOS!$C$56</f>
        <v>0</v>
      </c>
      <c r="T78" s="380" t="n">
        <f aca="false">SUM(T71:T77)*FC_SUPUESTOS!$C$56</f>
        <v>0</v>
      </c>
      <c r="U78" s="380" t="n">
        <f aca="false">SUM(U71:U77)*FC_SUPUESTOS!$C$56</f>
        <v>0</v>
      </c>
      <c r="V78" s="380" t="n">
        <f aca="false">SUM(V71:V77)*FC_SUPUESTOS!$C$56</f>
        <v>0</v>
      </c>
      <c r="W78" s="380" t="n">
        <f aca="false">SUM(W71:W77)*FC_SUPUESTOS!$C$56</f>
        <v>0</v>
      </c>
      <c r="X78" s="380" t="n">
        <f aca="false">SUM(X71:X77)*FC_SUPUESTOS!$C$56</f>
        <v>0</v>
      </c>
      <c r="Y78" s="380" t="n">
        <f aca="false">SUM(Y71:Y77)*FC_SUPUESTOS!$C$56</f>
        <v>0</v>
      </c>
      <c r="Z78" s="380" t="n">
        <f aca="false">SUM(Z71:Z77)*FC_SUPUESTOS!$C$56</f>
        <v>0</v>
      </c>
      <c r="AA78" s="380" t="n">
        <f aca="false">SUM(AA71:AA77)*FC_SUPUESTOS!$C$56</f>
        <v>0</v>
      </c>
      <c r="AB78" s="380" t="n">
        <f aca="false">SUM(AB71:AB77)*FC_SUPUESTOS!$C$56</f>
        <v>0</v>
      </c>
      <c r="AC78" s="380" t="n">
        <f aca="false">SUM(AC71:AC77)*FC_SUPUESTOS!$C$56</f>
        <v>0</v>
      </c>
      <c r="AD78" s="380" t="n">
        <f aca="false">SUM(AD71:AD77)*FC_SUPUESTOS!$C$56</f>
        <v>0</v>
      </c>
      <c r="AE78" s="380" t="n">
        <f aca="false">SUM(AE71:AE77)*FC_SUPUESTOS!$C$56</f>
        <v>0</v>
      </c>
      <c r="AF78" s="380" t="n">
        <f aca="false">SUM(AF71:AF77)*FC_SUPUESTOS!$C$56</f>
        <v>0</v>
      </c>
      <c r="AG78" s="380" t="n">
        <f aca="false">SUM(AG71:AG77)*FC_SUPUESTOS!$C$56</f>
        <v>0</v>
      </c>
      <c r="AH78" s="380" t="n">
        <f aca="false">SUM(AH71:AH77)*FC_SUPUESTOS!$C$56</f>
        <v>0</v>
      </c>
      <c r="AI78" s="380" t="n">
        <f aca="false">SUM(AI71:AI77)*FC_SUPUESTOS!$C$56</f>
        <v>0</v>
      </c>
      <c r="AJ78" s="380" t="n">
        <f aca="false">SUM(AJ71:AJ77)*FC_SUPUESTOS!$C$56</f>
        <v>0</v>
      </c>
      <c r="AK78" s="380" t="n">
        <f aca="false">SUM(AK71:AK77)*FC_SUPUESTOS!$C$56</f>
        <v>0</v>
      </c>
      <c r="AL78" s="380" t="n">
        <f aca="false">SUM(AL71:AL77)*FC_SUPUESTOS!$C$56</f>
        <v>0</v>
      </c>
      <c r="AM78" s="380" t="n">
        <f aca="false">SUM(AM71:AM77)*FC_SUPUESTOS!$C$56</f>
        <v>0</v>
      </c>
      <c r="AN78" s="380" t="n">
        <f aca="false">SUM(AN71:AN77)*FC_SUPUESTOS!$C$56</f>
        <v>0</v>
      </c>
      <c r="AO78" s="380" t="n">
        <f aca="false">SUM(AO71:AO77)*FC_SUPUESTOS!$C$56</f>
        <v>0</v>
      </c>
      <c r="AP78" s="380" t="n">
        <f aca="false">SUM(AP71:AP77)*FC_SUPUESTOS!$C$56</f>
        <v>0</v>
      </c>
      <c r="AQ78" s="380" t="n">
        <f aca="false">SUM(AQ71:AQ77)*FC_SUPUESTOS!$C$56</f>
        <v>0</v>
      </c>
      <c r="AR78" s="380" t="n">
        <f aca="false">SUM(AR71:AR77)*FC_SUPUESTOS!$C$56</f>
        <v>0</v>
      </c>
      <c r="AS78" s="380" t="n">
        <f aca="false">SUM(AS71:AS77)*FC_SUPUESTOS!$C$56</f>
        <v>0</v>
      </c>
      <c r="AT78" s="380" t="n">
        <f aca="false">SUM(AT71:AT77)*FC_SUPUESTOS!$C$56</f>
        <v>0</v>
      </c>
      <c r="AU78" s="380" t="n">
        <f aca="false">SUM(AU71:AU77)*FC_SUPUESTOS!$C$56</f>
        <v>0</v>
      </c>
      <c r="AV78" s="380" t="n">
        <f aca="false">SUM(AV71:AV77)*FC_SUPUESTOS!$C$56</f>
        <v>0</v>
      </c>
      <c r="AW78" s="380" t="n">
        <f aca="false">SUM(AW71:AW77)*FC_SUPUESTOS!$C$56</f>
        <v>0</v>
      </c>
      <c r="AX78" s="380" t="n">
        <f aca="false">SUM(AX71:AX77)*FC_SUPUESTOS!$C$56</f>
        <v>0</v>
      </c>
      <c r="AY78" s="380" t="n">
        <f aca="false">SUM(AY71:AY77)*FC_SUPUESTOS!$C$56</f>
        <v>0</v>
      </c>
      <c r="AZ78" s="380" t="n">
        <f aca="false">SUM(AZ71:AZ77)*FC_SUPUESTOS!$C$56</f>
        <v>0</v>
      </c>
      <c r="BA78" s="380" t="n">
        <f aca="false">SUM(BA71:BA77)*FC_SUPUESTOS!$C$56</f>
        <v>0</v>
      </c>
      <c r="BB78" s="380" t="n">
        <f aca="false">SUM(BB71:BB77)*FC_SUPUESTOS!$C$56</f>
        <v>0</v>
      </c>
      <c r="BC78" s="380" t="n">
        <f aca="false">SUM(BC71:BC77)*FC_SUPUESTOS!$C$56</f>
        <v>0</v>
      </c>
      <c r="BD78" s="380" t="n">
        <f aca="false">SUM(BD71:BD77)*FC_SUPUESTOS!$C$56</f>
        <v>0</v>
      </c>
      <c r="BE78" s="380" t="n">
        <f aca="false">SUM(BE71:BE77)*FC_SUPUESTOS!$C$56</f>
        <v>0</v>
      </c>
      <c r="BF78" s="380" t="n">
        <f aca="false">SUM(BF71:BF77)*FC_SUPUESTOS!$C$56</f>
        <v>0</v>
      </c>
      <c r="BG78" s="380" t="n">
        <f aca="false">SUM(BG71:BG77)*FC_SUPUESTOS!$C$56</f>
        <v>0</v>
      </c>
      <c r="BH78" s="380" t="n">
        <f aca="false">SUM(BH71:BH77)*FC_SUPUESTOS!$C$56</f>
        <v>0</v>
      </c>
      <c r="BI78" s="380" t="n">
        <f aca="false">SUM(BI71:BI77)*FC_SUPUESTOS!$C$56</f>
        <v>0</v>
      </c>
      <c r="BJ78" s="380" t="n">
        <f aca="false">SUM(BJ71:BJ77)*FC_SUPUESTOS!$C$56</f>
        <v>0</v>
      </c>
      <c r="BK78" s="380" t="n">
        <f aca="false">SUM(BK71:BK77)*FC_SUPUESTOS!$C$56</f>
        <v>0</v>
      </c>
    </row>
    <row r="79" customFormat="false" ht="15" hidden="false" customHeight="true" outlineLevel="0" collapsed="false">
      <c r="B79" s="297" t="s">
        <v>2391</v>
      </c>
      <c r="D79" s="380" t="n">
        <f aca="false">FC_SUPUESTOS!$C$12*SUP_OPEX!$F$20*(FC_SUPUESTOS!$C$65+FC_SUPUESTOS!$C$66)-SUM($E$79:$BK$79)</f>
        <v>0</v>
      </c>
      <c r="E79" s="380" t="n">
        <f aca="false">FC_CRONOGRAMA!E51*SUP_OPEX!$F$20*(FC_SUPUESTOS!$C$65+FC_SUPUESTOS!$C$66)</f>
        <v>0</v>
      </c>
      <c r="F79" s="380" t="n">
        <f aca="false">FC_CRONOGRAMA!F51*SUP_OPEX!$F$20*(FC_SUPUESTOS!$C$65+FC_SUPUESTOS!$C$66)</f>
        <v>0</v>
      </c>
      <c r="G79" s="380" t="n">
        <f aca="false">FC_CRONOGRAMA!G51*SUP_OPEX!$F$20*(FC_SUPUESTOS!$C$65+FC_SUPUESTOS!$C$66)</f>
        <v>0</v>
      </c>
      <c r="H79" s="380" t="n">
        <f aca="false">FC_CRONOGRAMA!H51*SUP_OPEX!$F$20*(FC_SUPUESTOS!$C$65+FC_SUPUESTOS!$C$66)</f>
        <v>0</v>
      </c>
      <c r="I79" s="380" t="n">
        <f aca="false">FC_CRONOGRAMA!I51*SUP_OPEX!$F$20*(FC_SUPUESTOS!$C$65+FC_SUPUESTOS!$C$66)</f>
        <v>0</v>
      </c>
      <c r="J79" s="380" t="n">
        <f aca="false">FC_CRONOGRAMA!J51*SUP_OPEX!$F$20*(FC_SUPUESTOS!$C$65+FC_SUPUESTOS!$C$66)</f>
        <v>0</v>
      </c>
      <c r="K79" s="380" t="n">
        <f aca="false">FC_CRONOGRAMA!K51*SUP_OPEX!$F$20*(FC_SUPUESTOS!$C$65+FC_SUPUESTOS!$C$66)</f>
        <v>0</v>
      </c>
      <c r="L79" s="380" t="n">
        <f aca="false">FC_CRONOGRAMA!L51*SUP_OPEX!$F$20*(FC_SUPUESTOS!$C$65+FC_SUPUESTOS!$C$66)</f>
        <v>0</v>
      </c>
      <c r="M79" s="380" t="n">
        <f aca="false">FC_CRONOGRAMA!M51*SUP_OPEX!$F$20*(FC_SUPUESTOS!$C$65+FC_SUPUESTOS!$C$66)</f>
        <v>0</v>
      </c>
      <c r="N79" s="380" t="n">
        <f aca="false">FC_CRONOGRAMA!N51*SUP_OPEX!$F$20*(FC_SUPUESTOS!$C$65+FC_SUPUESTOS!$C$66)</f>
        <v>0</v>
      </c>
      <c r="O79" s="380" t="n">
        <f aca="false">FC_CRONOGRAMA!O51*SUP_OPEX!$F$20*(FC_SUPUESTOS!$C$65+FC_SUPUESTOS!$C$66)</f>
        <v>0</v>
      </c>
      <c r="P79" s="380" t="n">
        <f aca="false">FC_CRONOGRAMA!P51*SUP_OPEX!$F$20*(FC_SUPUESTOS!$C$65+FC_SUPUESTOS!$C$66)</f>
        <v>0</v>
      </c>
      <c r="Q79" s="380" t="n">
        <f aca="false">FC_CRONOGRAMA!Q51*SUP_OPEX!$F$20*(FC_SUPUESTOS!$C$65+FC_SUPUESTOS!$C$66)</f>
        <v>0</v>
      </c>
      <c r="R79" s="380" t="n">
        <f aca="false">FC_CRONOGRAMA!R51*SUP_OPEX!$F$20*(FC_SUPUESTOS!$C$65+FC_SUPUESTOS!$C$66)</f>
        <v>0</v>
      </c>
      <c r="S79" s="380" t="n">
        <f aca="false">FC_CRONOGRAMA!S51*SUP_OPEX!$F$20*(FC_SUPUESTOS!$C$65+FC_SUPUESTOS!$C$66)</f>
        <v>0</v>
      </c>
      <c r="T79" s="380" t="n">
        <f aca="false">FC_CRONOGRAMA!T51*SUP_OPEX!$F$20*(FC_SUPUESTOS!$C$65+FC_SUPUESTOS!$C$66)</f>
        <v>0</v>
      </c>
      <c r="U79" s="380" t="n">
        <f aca="false">FC_CRONOGRAMA!U51*SUP_OPEX!$F$20*(FC_SUPUESTOS!$C$65+FC_SUPUESTOS!$C$66)</f>
        <v>0</v>
      </c>
      <c r="V79" s="380" t="n">
        <f aca="false">FC_CRONOGRAMA!V51*SUP_OPEX!$F$20*(FC_SUPUESTOS!$C$65+FC_SUPUESTOS!$C$66)</f>
        <v>0</v>
      </c>
      <c r="W79" s="380" t="n">
        <f aca="false">FC_CRONOGRAMA!W51*SUP_OPEX!$F$20*(FC_SUPUESTOS!$C$65+FC_SUPUESTOS!$C$66)</f>
        <v>0</v>
      </c>
      <c r="X79" s="380" t="n">
        <f aca="false">FC_CRONOGRAMA!X51*SUP_OPEX!$F$20*(FC_SUPUESTOS!$C$65+FC_SUPUESTOS!$C$66)</f>
        <v>0</v>
      </c>
      <c r="Y79" s="380" t="n">
        <f aca="false">FC_CRONOGRAMA!Y51*SUP_OPEX!$F$20*(FC_SUPUESTOS!$C$65+FC_SUPUESTOS!$C$66)</f>
        <v>0</v>
      </c>
      <c r="Z79" s="380" t="n">
        <f aca="false">FC_CRONOGRAMA!Z51*SUP_OPEX!$F$20*(FC_SUPUESTOS!$C$65+FC_SUPUESTOS!$C$66)</f>
        <v>0</v>
      </c>
      <c r="AA79" s="380" t="n">
        <f aca="false">FC_CRONOGRAMA!AA51*SUP_OPEX!$F$20*(FC_SUPUESTOS!$C$65+FC_SUPUESTOS!$C$66)</f>
        <v>0</v>
      </c>
      <c r="AB79" s="380" t="n">
        <f aca="false">FC_CRONOGRAMA!AB51*SUP_OPEX!$F$20*(FC_SUPUESTOS!$C$65+FC_SUPUESTOS!$C$66)</f>
        <v>0</v>
      </c>
      <c r="AC79" s="380" t="n">
        <f aca="false">FC_CRONOGRAMA!AC51*SUP_OPEX!$F$20*(FC_SUPUESTOS!$C$65+FC_SUPUESTOS!$C$66)</f>
        <v>0</v>
      </c>
      <c r="AD79" s="380" t="n">
        <f aca="false">FC_CRONOGRAMA!AD51*SUP_OPEX!$F$20*(FC_SUPUESTOS!$C$65+FC_SUPUESTOS!$C$66)</f>
        <v>0</v>
      </c>
      <c r="AE79" s="380" t="n">
        <f aca="false">FC_CRONOGRAMA!AE51*SUP_OPEX!$F$20*(FC_SUPUESTOS!$C$65+FC_SUPUESTOS!$C$66)</f>
        <v>0</v>
      </c>
      <c r="AF79" s="380" t="n">
        <f aca="false">FC_CRONOGRAMA!AF51*SUP_OPEX!$F$20*(FC_SUPUESTOS!$C$65+FC_SUPUESTOS!$C$66)</f>
        <v>0</v>
      </c>
      <c r="AG79" s="380" t="n">
        <f aca="false">FC_CRONOGRAMA!AG51*SUP_OPEX!$F$20*(FC_SUPUESTOS!$C$65+FC_SUPUESTOS!$C$66)</f>
        <v>0</v>
      </c>
      <c r="AH79" s="380" t="n">
        <f aca="false">FC_CRONOGRAMA!AH51*SUP_OPEX!$F$20*(FC_SUPUESTOS!$C$65+FC_SUPUESTOS!$C$66)</f>
        <v>0</v>
      </c>
      <c r="AI79" s="380" t="n">
        <f aca="false">FC_CRONOGRAMA!AI51*SUP_OPEX!$F$20*(FC_SUPUESTOS!$C$65+FC_SUPUESTOS!$C$66)</f>
        <v>0</v>
      </c>
      <c r="AJ79" s="380" t="n">
        <f aca="false">FC_CRONOGRAMA!AJ51*SUP_OPEX!$F$20*(FC_SUPUESTOS!$C$65+FC_SUPUESTOS!$C$66)</f>
        <v>0</v>
      </c>
      <c r="AK79" s="380" t="n">
        <f aca="false">FC_CRONOGRAMA!AK51*SUP_OPEX!$F$20*(FC_SUPUESTOS!$C$65+FC_SUPUESTOS!$C$66)</f>
        <v>0</v>
      </c>
      <c r="AL79" s="380" t="n">
        <f aca="false">FC_CRONOGRAMA!AL51*SUP_OPEX!$F$20*(FC_SUPUESTOS!$C$65+FC_SUPUESTOS!$C$66)</f>
        <v>0</v>
      </c>
      <c r="AM79" s="380" t="n">
        <f aca="false">FC_CRONOGRAMA!AM51*SUP_OPEX!$F$20*(FC_SUPUESTOS!$C$65+FC_SUPUESTOS!$C$66)</f>
        <v>0</v>
      </c>
      <c r="AN79" s="380" t="n">
        <f aca="false">FC_CRONOGRAMA!AN51*SUP_OPEX!$F$20*(FC_SUPUESTOS!$C$65+FC_SUPUESTOS!$C$66)</f>
        <v>0</v>
      </c>
      <c r="AO79" s="380" t="n">
        <f aca="false">FC_CRONOGRAMA!AO51*SUP_OPEX!$F$20*(FC_SUPUESTOS!$C$65+FC_SUPUESTOS!$C$66)</f>
        <v>0</v>
      </c>
      <c r="AP79" s="380" t="n">
        <f aca="false">FC_CRONOGRAMA!AP51*SUP_OPEX!$F$20*(FC_SUPUESTOS!$C$65+FC_SUPUESTOS!$C$66)</f>
        <v>0</v>
      </c>
      <c r="AQ79" s="380" t="n">
        <f aca="false">FC_CRONOGRAMA!AQ51*SUP_OPEX!$F$20*(FC_SUPUESTOS!$C$65+FC_SUPUESTOS!$C$66)</f>
        <v>0</v>
      </c>
      <c r="AR79" s="380" t="n">
        <f aca="false">FC_CRONOGRAMA!AR51*SUP_OPEX!$F$20*(FC_SUPUESTOS!$C$65+FC_SUPUESTOS!$C$66)</f>
        <v>0</v>
      </c>
      <c r="AS79" s="380" t="n">
        <f aca="false">FC_CRONOGRAMA!AS51*SUP_OPEX!$F$20*(FC_SUPUESTOS!$C$65+FC_SUPUESTOS!$C$66)</f>
        <v>0</v>
      </c>
      <c r="AT79" s="380" t="n">
        <f aca="false">FC_CRONOGRAMA!AT51*SUP_OPEX!$F$20*(FC_SUPUESTOS!$C$65+FC_SUPUESTOS!$C$66)</f>
        <v>0</v>
      </c>
      <c r="AU79" s="380" t="n">
        <f aca="false">FC_CRONOGRAMA!AU51*SUP_OPEX!$F$20*(FC_SUPUESTOS!$C$65+FC_SUPUESTOS!$C$66)</f>
        <v>0</v>
      </c>
      <c r="AV79" s="380" t="n">
        <f aca="false">FC_CRONOGRAMA!AV51*SUP_OPEX!$F$20*(FC_SUPUESTOS!$C$65+FC_SUPUESTOS!$C$66)</f>
        <v>0</v>
      </c>
      <c r="AW79" s="380" t="n">
        <f aca="false">FC_CRONOGRAMA!AW51*SUP_OPEX!$F$20*(FC_SUPUESTOS!$C$65+FC_SUPUESTOS!$C$66)</f>
        <v>0</v>
      </c>
      <c r="AX79" s="380" t="n">
        <f aca="false">FC_CRONOGRAMA!AX51*SUP_OPEX!$F$20*(FC_SUPUESTOS!$C$65+FC_SUPUESTOS!$C$66)</f>
        <v>0</v>
      </c>
      <c r="AY79" s="380" t="n">
        <f aca="false">FC_CRONOGRAMA!AY51*SUP_OPEX!$F$20*(FC_SUPUESTOS!$C$65+FC_SUPUESTOS!$C$66)</f>
        <v>0</v>
      </c>
      <c r="AZ79" s="380" t="n">
        <f aca="false">FC_CRONOGRAMA!AZ51*SUP_OPEX!$F$20*(FC_SUPUESTOS!$C$65+FC_SUPUESTOS!$C$66)</f>
        <v>0</v>
      </c>
      <c r="BA79" s="380" t="n">
        <f aca="false">FC_CRONOGRAMA!BA51*SUP_OPEX!$F$20*(FC_SUPUESTOS!$C$65+FC_SUPUESTOS!$C$66)</f>
        <v>0</v>
      </c>
      <c r="BB79" s="380" t="n">
        <f aca="false">FC_CRONOGRAMA!BB51*SUP_OPEX!$F$20*(FC_SUPUESTOS!$C$65+FC_SUPUESTOS!$C$66)</f>
        <v>0</v>
      </c>
      <c r="BC79" s="380" t="n">
        <f aca="false">FC_CRONOGRAMA!BC51*SUP_OPEX!$F$20*(FC_SUPUESTOS!$C$65+FC_SUPUESTOS!$C$66)</f>
        <v>0</v>
      </c>
      <c r="BD79" s="380" t="n">
        <f aca="false">FC_CRONOGRAMA!BD51*SUP_OPEX!$F$20*(FC_SUPUESTOS!$C$65+FC_SUPUESTOS!$C$66)</f>
        <v>0</v>
      </c>
      <c r="BE79" s="380" t="n">
        <f aca="false">FC_CRONOGRAMA!BE51*SUP_OPEX!$F$20*(FC_SUPUESTOS!$C$65+FC_SUPUESTOS!$C$66)</f>
        <v>0</v>
      </c>
      <c r="BF79" s="380" t="n">
        <f aca="false">FC_CRONOGRAMA!BF51*SUP_OPEX!$F$20*(FC_SUPUESTOS!$C$65+FC_SUPUESTOS!$C$66)</f>
        <v>0</v>
      </c>
      <c r="BG79" s="380" t="n">
        <f aca="false">FC_CRONOGRAMA!BG51*SUP_OPEX!$F$20*(FC_SUPUESTOS!$C$65+FC_SUPUESTOS!$C$66)</f>
        <v>0</v>
      </c>
      <c r="BH79" s="380" t="n">
        <f aca="false">FC_CRONOGRAMA!BH51*SUP_OPEX!$F$20*(FC_SUPUESTOS!$C$65+FC_SUPUESTOS!$C$66)</f>
        <v>0</v>
      </c>
      <c r="BI79" s="380" t="n">
        <f aca="false">FC_CRONOGRAMA!BI51*SUP_OPEX!$F$20*(FC_SUPUESTOS!$C$65+FC_SUPUESTOS!$C$66)</f>
        <v>0</v>
      </c>
      <c r="BJ79" s="380" t="n">
        <f aca="false">FC_CRONOGRAMA!BJ51*SUP_OPEX!$F$20*(FC_SUPUESTOS!$C$65+FC_SUPUESTOS!$C$66)</f>
        <v>0</v>
      </c>
      <c r="BK79" s="380" t="n">
        <f aca="false">FC_CRONOGRAMA!BK51*SUP_OPEX!$F$20*(FC_SUPUESTOS!$C$65+FC_SUPUESTOS!$C$66)</f>
        <v>0</v>
      </c>
    </row>
    <row r="80" customFormat="false" ht="15" hidden="false" customHeight="true" outlineLevel="0" collapsed="false">
      <c r="B80" s="297" t="s">
        <v>2976</v>
      </c>
      <c r="D80" s="380" t="n">
        <f aca="false">FC_SUPUESTOS!$C$12*SUP_CONTROL!$C$19*SUP_OPEX!$F$23-SUM($E$80:$BK$80)</f>
        <v>0</v>
      </c>
      <c r="E80" s="380" t="n">
        <f aca="false">FC_CRONOGRAMA!E52*SUP_CONTROL!$C$19*SUP_OPEX!$F$23</f>
        <v>0</v>
      </c>
      <c r="F80" s="380" t="n">
        <f aca="false">FC_CRONOGRAMA!F52*SUP_CONTROL!$C$19*SUP_OPEX!$F$23</f>
        <v>0</v>
      </c>
      <c r="G80" s="380" t="n">
        <f aca="false">FC_CRONOGRAMA!G52*SUP_CONTROL!$C$19*SUP_OPEX!$F$23</f>
        <v>0</v>
      </c>
      <c r="H80" s="380" t="n">
        <f aca="false">FC_CRONOGRAMA!H52*SUP_CONTROL!$C$19*SUP_OPEX!$F$23</f>
        <v>0</v>
      </c>
      <c r="I80" s="380" t="n">
        <f aca="false">FC_CRONOGRAMA!I52*SUP_CONTROL!$C$19*SUP_OPEX!$F$23</f>
        <v>0</v>
      </c>
      <c r="J80" s="380" t="n">
        <f aca="false">FC_CRONOGRAMA!J52*SUP_CONTROL!$C$19*SUP_OPEX!$F$23</f>
        <v>0</v>
      </c>
      <c r="K80" s="380" t="n">
        <f aca="false">FC_CRONOGRAMA!K52*SUP_CONTROL!$C$19*SUP_OPEX!$F$23</f>
        <v>0</v>
      </c>
      <c r="L80" s="380" t="n">
        <f aca="false">FC_CRONOGRAMA!L52*SUP_CONTROL!$C$19*SUP_OPEX!$F$23</f>
        <v>0</v>
      </c>
      <c r="M80" s="380" t="n">
        <f aca="false">FC_CRONOGRAMA!M52*SUP_CONTROL!$C$19*SUP_OPEX!$F$23</f>
        <v>0</v>
      </c>
      <c r="N80" s="380" t="n">
        <f aca="false">FC_CRONOGRAMA!N52*SUP_CONTROL!$C$19*SUP_OPEX!$F$23</f>
        <v>0</v>
      </c>
      <c r="O80" s="380" t="n">
        <f aca="false">FC_CRONOGRAMA!O52*SUP_CONTROL!$C$19*SUP_OPEX!$F$23</f>
        <v>0</v>
      </c>
      <c r="P80" s="380" t="n">
        <f aca="false">FC_CRONOGRAMA!P52*SUP_CONTROL!$C$19*SUP_OPEX!$F$23</f>
        <v>0</v>
      </c>
      <c r="Q80" s="380" t="n">
        <f aca="false">FC_CRONOGRAMA!Q52*SUP_CONTROL!$C$19*SUP_OPEX!$F$23</f>
        <v>0</v>
      </c>
      <c r="R80" s="380" t="n">
        <f aca="false">FC_CRONOGRAMA!R52*SUP_CONTROL!$C$19*SUP_OPEX!$F$23</f>
        <v>0</v>
      </c>
      <c r="S80" s="380" t="n">
        <f aca="false">FC_CRONOGRAMA!S52*SUP_CONTROL!$C$19*SUP_OPEX!$F$23</f>
        <v>0</v>
      </c>
      <c r="T80" s="380" t="n">
        <f aca="false">FC_CRONOGRAMA!T52*SUP_CONTROL!$C$19*SUP_OPEX!$F$23</f>
        <v>0</v>
      </c>
      <c r="U80" s="380" t="n">
        <f aca="false">FC_CRONOGRAMA!U52*SUP_CONTROL!$C$19*SUP_OPEX!$F$23</f>
        <v>0</v>
      </c>
      <c r="V80" s="380" t="n">
        <f aca="false">FC_CRONOGRAMA!V52*SUP_CONTROL!$C$19*SUP_OPEX!$F$23</f>
        <v>0</v>
      </c>
      <c r="W80" s="380" t="n">
        <f aca="false">FC_CRONOGRAMA!W52*SUP_CONTROL!$C$19*SUP_OPEX!$F$23</f>
        <v>0</v>
      </c>
      <c r="X80" s="380" t="n">
        <f aca="false">FC_CRONOGRAMA!X52*SUP_CONTROL!$C$19*SUP_OPEX!$F$23</f>
        <v>0</v>
      </c>
      <c r="Y80" s="380" t="n">
        <f aca="false">FC_CRONOGRAMA!Y52*SUP_CONTROL!$C$19*SUP_OPEX!$F$23</f>
        <v>0</v>
      </c>
      <c r="Z80" s="380" t="n">
        <f aca="false">FC_CRONOGRAMA!Z52*SUP_CONTROL!$C$19*SUP_OPEX!$F$23</f>
        <v>0</v>
      </c>
      <c r="AA80" s="380" t="n">
        <f aca="false">FC_CRONOGRAMA!AA52*SUP_CONTROL!$C$19*SUP_OPEX!$F$23</f>
        <v>0</v>
      </c>
      <c r="AB80" s="380" t="n">
        <f aca="false">FC_CRONOGRAMA!AB52*SUP_CONTROL!$C$19*SUP_OPEX!$F$23</f>
        <v>0</v>
      </c>
      <c r="AC80" s="380" t="n">
        <f aca="false">FC_CRONOGRAMA!AC52*SUP_CONTROL!$C$19*SUP_OPEX!$F$23</f>
        <v>0</v>
      </c>
      <c r="AD80" s="380" t="n">
        <f aca="false">FC_CRONOGRAMA!AD52*SUP_CONTROL!$C$19*SUP_OPEX!$F$23</f>
        <v>0</v>
      </c>
      <c r="AE80" s="380" t="n">
        <f aca="false">FC_CRONOGRAMA!AE52*SUP_CONTROL!$C$19*SUP_OPEX!$F$23</f>
        <v>0</v>
      </c>
      <c r="AF80" s="380" t="n">
        <f aca="false">FC_CRONOGRAMA!AF52*SUP_CONTROL!$C$19*SUP_OPEX!$F$23</f>
        <v>0</v>
      </c>
      <c r="AG80" s="380" t="n">
        <f aca="false">FC_CRONOGRAMA!AG52*SUP_CONTROL!$C$19*SUP_OPEX!$F$23</f>
        <v>0</v>
      </c>
      <c r="AH80" s="380" t="n">
        <f aca="false">FC_CRONOGRAMA!AH52*SUP_CONTROL!$C$19*SUP_OPEX!$F$23</f>
        <v>0</v>
      </c>
      <c r="AI80" s="380" t="n">
        <f aca="false">FC_CRONOGRAMA!AI52*SUP_CONTROL!$C$19*SUP_OPEX!$F$23</f>
        <v>0</v>
      </c>
      <c r="AJ80" s="380" t="n">
        <f aca="false">FC_CRONOGRAMA!AJ52*SUP_CONTROL!$C$19*SUP_OPEX!$F$23</f>
        <v>0</v>
      </c>
      <c r="AK80" s="380" t="n">
        <f aca="false">FC_CRONOGRAMA!AK52*SUP_CONTROL!$C$19*SUP_OPEX!$F$23</f>
        <v>0</v>
      </c>
      <c r="AL80" s="380" t="n">
        <f aca="false">FC_CRONOGRAMA!AL52*SUP_CONTROL!$C$19*SUP_OPEX!$F$23</f>
        <v>0</v>
      </c>
      <c r="AM80" s="380" t="n">
        <f aca="false">FC_CRONOGRAMA!AM52*SUP_CONTROL!$C$19*SUP_OPEX!$F$23</f>
        <v>0</v>
      </c>
      <c r="AN80" s="380" t="n">
        <f aca="false">FC_CRONOGRAMA!AN52*SUP_CONTROL!$C$19*SUP_OPEX!$F$23</f>
        <v>0</v>
      </c>
      <c r="AO80" s="380" t="n">
        <f aca="false">FC_CRONOGRAMA!AO52*SUP_CONTROL!$C$19*SUP_OPEX!$F$23</f>
        <v>0</v>
      </c>
      <c r="AP80" s="380" t="n">
        <f aca="false">FC_CRONOGRAMA!AP52*SUP_CONTROL!$C$19*SUP_OPEX!$F$23</f>
        <v>0</v>
      </c>
      <c r="AQ80" s="380" t="n">
        <f aca="false">FC_CRONOGRAMA!AQ52*SUP_CONTROL!$C$19*SUP_OPEX!$F$23</f>
        <v>0</v>
      </c>
      <c r="AR80" s="380" t="n">
        <f aca="false">FC_CRONOGRAMA!AR52*SUP_CONTROL!$C$19*SUP_OPEX!$F$23</f>
        <v>0</v>
      </c>
      <c r="AS80" s="380" t="n">
        <f aca="false">FC_CRONOGRAMA!AS52*SUP_CONTROL!$C$19*SUP_OPEX!$F$23</f>
        <v>0</v>
      </c>
      <c r="AT80" s="380" t="n">
        <f aca="false">FC_CRONOGRAMA!AT52*SUP_CONTROL!$C$19*SUP_OPEX!$F$23</f>
        <v>0</v>
      </c>
      <c r="AU80" s="380" t="n">
        <f aca="false">FC_CRONOGRAMA!AU52*SUP_CONTROL!$C$19*SUP_OPEX!$F$23</f>
        <v>0</v>
      </c>
      <c r="AV80" s="380" t="n">
        <f aca="false">FC_CRONOGRAMA!AV52*SUP_CONTROL!$C$19*SUP_OPEX!$F$23</f>
        <v>0</v>
      </c>
      <c r="AW80" s="380" t="n">
        <f aca="false">FC_CRONOGRAMA!AW52*SUP_CONTROL!$C$19*SUP_OPEX!$F$23</f>
        <v>0</v>
      </c>
      <c r="AX80" s="380" t="n">
        <f aca="false">FC_CRONOGRAMA!AX52*SUP_CONTROL!$C$19*SUP_OPEX!$F$23</f>
        <v>0</v>
      </c>
      <c r="AY80" s="380" t="n">
        <f aca="false">FC_CRONOGRAMA!AY52*SUP_CONTROL!$C$19*SUP_OPEX!$F$23</f>
        <v>0</v>
      </c>
      <c r="AZ80" s="380" t="n">
        <f aca="false">FC_CRONOGRAMA!AZ52*SUP_CONTROL!$C$19*SUP_OPEX!$F$23</f>
        <v>0</v>
      </c>
      <c r="BA80" s="380" t="n">
        <f aca="false">FC_CRONOGRAMA!BA52*SUP_CONTROL!$C$19*SUP_OPEX!$F$23</f>
        <v>0</v>
      </c>
      <c r="BB80" s="380" t="n">
        <f aca="false">FC_CRONOGRAMA!BB52*SUP_CONTROL!$C$19*SUP_OPEX!$F$23</f>
        <v>0</v>
      </c>
      <c r="BC80" s="380" t="n">
        <f aca="false">FC_CRONOGRAMA!BC52*SUP_CONTROL!$C$19*SUP_OPEX!$F$23</f>
        <v>0</v>
      </c>
      <c r="BD80" s="380" t="n">
        <f aca="false">FC_CRONOGRAMA!BD52*SUP_CONTROL!$C$19*SUP_OPEX!$F$23</f>
        <v>0</v>
      </c>
      <c r="BE80" s="380" t="n">
        <f aca="false">FC_CRONOGRAMA!BE52*SUP_CONTROL!$C$19*SUP_OPEX!$F$23</f>
        <v>0</v>
      </c>
      <c r="BF80" s="380" t="n">
        <f aca="false">FC_CRONOGRAMA!BF52*SUP_CONTROL!$C$19*SUP_OPEX!$F$23</f>
        <v>0</v>
      </c>
      <c r="BG80" s="380" t="n">
        <f aca="false">FC_CRONOGRAMA!BG52*SUP_CONTROL!$C$19*SUP_OPEX!$F$23</f>
        <v>0</v>
      </c>
      <c r="BH80" s="380" t="n">
        <f aca="false">FC_CRONOGRAMA!BH52*SUP_CONTROL!$C$19*SUP_OPEX!$F$23</f>
        <v>0</v>
      </c>
      <c r="BI80" s="380" t="n">
        <f aca="false">FC_CRONOGRAMA!BI52*SUP_CONTROL!$C$19*SUP_OPEX!$F$23</f>
        <v>0</v>
      </c>
      <c r="BJ80" s="380" t="n">
        <f aca="false">FC_CRONOGRAMA!BJ52*SUP_CONTROL!$C$19*SUP_OPEX!$F$23</f>
        <v>0</v>
      </c>
      <c r="BK80" s="380" t="n">
        <f aca="false">FC_CRONOGRAMA!BK52*SUP_CONTROL!$C$19*SUP_OPEX!$F$23</f>
        <v>0</v>
      </c>
    </row>
    <row r="81" customFormat="false" ht="15" hidden="false" customHeight="true" outlineLevel="0" collapsed="false">
      <c r="A81" s="218"/>
      <c r="B81" s="493" t="s">
        <v>2977</v>
      </c>
      <c r="C81" s="218"/>
      <c r="D81" s="494" t="n">
        <f aca="false">SUM(D71:D80)</f>
        <v>0</v>
      </c>
      <c r="E81" s="494" t="n">
        <f aca="false">SUM(E71:E80)</f>
        <v>0</v>
      </c>
      <c r="F81" s="494" t="n">
        <f aca="false">SUM(F71:F80)</f>
        <v>0</v>
      </c>
      <c r="G81" s="494" t="n">
        <f aca="false">SUM(G71:G80)</f>
        <v>0</v>
      </c>
      <c r="H81" s="494" t="n">
        <f aca="false">SUM(H71:H80)</f>
        <v>0</v>
      </c>
      <c r="I81" s="494" t="n">
        <f aca="false">SUM(I71:I80)</f>
        <v>0</v>
      </c>
      <c r="J81" s="494" t="n">
        <f aca="false">SUM(J71:J80)</f>
        <v>0</v>
      </c>
      <c r="K81" s="494" t="n">
        <f aca="false">SUM(K71:K80)</f>
        <v>0</v>
      </c>
      <c r="L81" s="494" t="n">
        <f aca="false">SUM(L71:L80)</f>
        <v>0</v>
      </c>
      <c r="M81" s="494" t="n">
        <f aca="false">SUM(M71:M80)</f>
        <v>0</v>
      </c>
      <c r="N81" s="494" t="n">
        <f aca="false">SUM(N71:N80)</f>
        <v>0</v>
      </c>
      <c r="O81" s="494" t="n">
        <f aca="false">SUM(O71:O80)</f>
        <v>0</v>
      </c>
      <c r="P81" s="494" t="n">
        <f aca="false">SUM(P71:P80)</f>
        <v>0</v>
      </c>
      <c r="Q81" s="494" t="n">
        <f aca="false">SUM(Q71:Q80)</f>
        <v>0</v>
      </c>
      <c r="R81" s="494" t="n">
        <f aca="false">SUM(R71:R80)</f>
        <v>0</v>
      </c>
      <c r="S81" s="494" t="n">
        <f aca="false">SUM(S71:S80)</f>
        <v>0</v>
      </c>
      <c r="T81" s="494" t="n">
        <f aca="false">SUM(T71:T80)</f>
        <v>0</v>
      </c>
      <c r="U81" s="494" t="n">
        <f aca="false">SUM(U71:U80)</f>
        <v>0</v>
      </c>
      <c r="V81" s="494" t="n">
        <f aca="false">SUM(V71:V80)</f>
        <v>0</v>
      </c>
      <c r="W81" s="494" t="n">
        <f aca="false">SUM(W71:W80)</f>
        <v>0</v>
      </c>
      <c r="X81" s="494" t="n">
        <f aca="false">SUM(X71:X80)</f>
        <v>0</v>
      </c>
      <c r="Y81" s="494" t="n">
        <f aca="false">SUM(Y71:Y80)</f>
        <v>0</v>
      </c>
      <c r="Z81" s="494" t="n">
        <f aca="false">SUM(Z71:Z80)</f>
        <v>0</v>
      </c>
      <c r="AA81" s="494" t="n">
        <f aca="false">SUM(AA71:AA80)</f>
        <v>0</v>
      </c>
      <c r="AB81" s="494" t="n">
        <f aca="false">SUM(AB71:AB80)</f>
        <v>0</v>
      </c>
      <c r="AC81" s="494" t="n">
        <f aca="false">SUM(AC71:AC80)</f>
        <v>0</v>
      </c>
      <c r="AD81" s="494" t="n">
        <f aca="false">SUM(AD71:AD80)</f>
        <v>0</v>
      </c>
      <c r="AE81" s="494" t="n">
        <f aca="false">SUM(AE71:AE80)</f>
        <v>0</v>
      </c>
      <c r="AF81" s="494" t="n">
        <f aca="false">SUM(AF71:AF80)</f>
        <v>0</v>
      </c>
      <c r="AG81" s="494" t="n">
        <f aca="false">SUM(AG71:AG80)</f>
        <v>0</v>
      </c>
      <c r="AH81" s="494" t="n">
        <f aca="false">SUM(AH71:AH80)</f>
        <v>0</v>
      </c>
      <c r="AI81" s="494" t="n">
        <f aca="false">SUM(AI71:AI80)</f>
        <v>0</v>
      </c>
      <c r="AJ81" s="494" t="n">
        <f aca="false">SUM(AJ71:AJ80)</f>
        <v>0</v>
      </c>
      <c r="AK81" s="494" t="n">
        <f aca="false">SUM(AK71:AK80)</f>
        <v>0</v>
      </c>
      <c r="AL81" s="494" t="n">
        <f aca="false">SUM(AL71:AL80)</f>
        <v>0</v>
      </c>
      <c r="AM81" s="494" t="n">
        <f aca="false">SUM(AM71:AM80)</f>
        <v>0</v>
      </c>
      <c r="AN81" s="494" t="n">
        <f aca="false">SUM(AN71:AN80)</f>
        <v>0</v>
      </c>
      <c r="AO81" s="494" t="n">
        <f aca="false">SUM(AO71:AO80)</f>
        <v>0</v>
      </c>
      <c r="AP81" s="494" t="n">
        <f aca="false">SUM(AP71:AP80)</f>
        <v>0</v>
      </c>
      <c r="AQ81" s="494" t="n">
        <f aca="false">SUM(AQ71:AQ80)</f>
        <v>0</v>
      </c>
      <c r="AR81" s="494" t="n">
        <f aca="false">SUM(AR71:AR80)</f>
        <v>0</v>
      </c>
      <c r="AS81" s="494" t="n">
        <f aca="false">SUM(AS71:AS80)</f>
        <v>0</v>
      </c>
      <c r="AT81" s="494" t="n">
        <f aca="false">SUM(AT71:AT80)</f>
        <v>0</v>
      </c>
      <c r="AU81" s="494" t="n">
        <f aca="false">SUM(AU71:AU80)</f>
        <v>0</v>
      </c>
      <c r="AV81" s="494" t="n">
        <f aca="false">SUM(AV71:AV80)</f>
        <v>0</v>
      </c>
      <c r="AW81" s="494" t="n">
        <f aca="false">SUM(AW71:AW80)</f>
        <v>0</v>
      </c>
      <c r="AX81" s="494" t="n">
        <f aca="false">SUM(AX71:AX80)</f>
        <v>0</v>
      </c>
      <c r="AY81" s="494" t="n">
        <f aca="false">SUM(AY71:AY80)</f>
        <v>0</v>
      </c>
      <c r="AZ81" s="494" t="n">
        <f aca="false">SUM(AZ71:AZ80)</f>
        <v>0</v>
      </c>
      <c r="BA81" s="494" t="n">
        <f aca="false">SUM(BA71:BA80)</f>
        <v>0</v>
      </c>
      <c r="BB81" s="494" t="n">
        <f aca="false">SUM(BB71:BB80)</f>
        <v>0</v>
      </c>
      <c r="BC81" s="494" t="n">
        <f aca="false">SUM(BC71:BC80)</f>
        <v>0</v>
      </c>
      <c r="BD81" s="494" t="n">
        <f aca="false">SUM(BD71:BD80)</f>
        <v>0</v>
      </c>
      <c r="BE81" s="494" t="n">
        <f aca="false">SUM(BE71:BE80)</f>
        <v>0</v>
      </c>
      <c r="BF81" s="494" t="n">
        <f aca="false">SUM(BF71:BF80)</f>
        <v>0</v>
      </c>
      <c r="BG81" s="494" t="n">
        <f aca="false">SUM(BG71:BG80)</f>
        <v>0</v>
      </c>
      <c r="BH81" s="494" t="n">
        <f aca="false">SUM(BH71:BH80)</f>
        <v>0</v>
      </c>
      <c r="BI81" s="494" t="n">
        <f aca="false">SUM(BI71:BI80)</f>
        <v>0</v>
      </c>
      <c r="BJ81" s="494" t="n">
        <f aca="false">SUM(BJ71:BJ80)</f>
        <v>0</v>
      </c>
      <c r="BK81" s="494" t="n">
        <f aca="false">SUM(BK71:BK80)</f>
        <v>0</v>
      </c>
    </row>
    <row r="83" customFormat="false" ht="15" hidden="false" customHeight="true" outlineLevel="0" collapsed="false">
      <c r="A83" s="351" t="s">
        <v>2978</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row>
    <row r="84" customFormat="false" ht="15" hidden="false" customHeight="true" outlineLevel="0" collapsed="false">
      <c r="A84" s="218"/>
      <c r="B84" s="493" t="s">
        <v>2979</v>
      </c>
      <c r="C84" s="218"/>
      <c r="D84" s="494" t="n">
        <f aca="false">D54+D68+D81</f>
        <v>168607.017821178</v>
      </c>
      <c r="E84" s="494" t="n">
        <f aca="false">E54+E68+E81</f>
        <v>0</v>
      </c>
      <c r="F84" s="494" t="n">
        <f aca="false">F54+F68+F81</f>
        <v>0</v>
      </c>
      <c r="G84" s="494" t="n">
        <f aca="false">G54+G68+G81</f>
        <v>147145.735</v>
      </c>
      <c r="H84" s="494" t="n">
        <f aca="false">H54+H68+H81</f>
        <v>263060.16327365</v>
      </c>
      <c r="I84" s="494" t="n">
        <f aca="false">I54+I68+I81</f>
        <v>0</v>
      </c>
      <c r="J84" s="494" t="n">
        <f aca="false">J54+J68+J81</f>
        <v>160223.580655172</v>
      </c>
      <c r="K84" s="494" t="n">
        <f aca="false">K54+K68+K81</f>
        <v>190862.319</v>
      </c>
      <c r="L84" s="494" t="n">
        <f aca="false">L54+L68+L81</f>
        <v>391977.419</v>
      </c>
      <c r="M84" s="494" t="n">
        <f aca="false">M54+M68+M81</f>
        <v>151785</v>
      </c>
      <c r="N84" s="494" t="n">
        <f aca="false">N54+N68+N81</f>
        <v>180115</v>
      </c>
      <c r="O84" s="494" t="n">
        <f aca="false">O54+O68+O81</f>
        <v>159060</v>
      </c>
      <c r="P84" s="494" t="n">
        <f aca="false">P54+P68+P81</f>
        <v>89540</v>
      </c>
      <c r="Q84" s="494" t="n">
        <f aca="false">Q54+Q68+Q81</f>
        <v>0</v>
      </c>
      <c r="R84" s="494" t="n">
        <f aca="false">R54+R68+R81</f>
        <v>0</v>
      </c>
      <c r="S84" s="494" t="n">
        <f aca="false">S54+S68+S81</f>
        <v>0</v>
      </c>
      <c r="T84" s="494" t="n">
        <f aca="false">T54+T68+T81</f>
        <v>0</v>
      </c>
      <c r="U84" s="494" t="n">
        <f aca="false">U54+U68+U81</f>
        <v>0</v>
      </c>
      <c r="V84" s="494" t="n">
        <f aca="false">V54+V68+V81</f>
        <v>0</v>
      </c>
      <c r="W84" s="494" t="n">
        <f aca="false">W54+W68+W81</f>
        <v>0</v>
      </c>
      <c r="X84" s="494" t="n">
        <f aca="false">X54+X68+X81</f>
        <v>0</v>
      </c>
      <c r="Y84" s="494" t="n">
        <f aca="false">Y54+Y68+Y81</f>
        <v>0</v>
      </c>
      <c r="Z84" s="494" t="n">
        <f aca="false">Z54+Z68+Z81</f>
        <v>0</v>
      </c>
      <c r="AA84" s="494" t="n">
        <f aca="false">AA54+AA68+AA81</f>
        <v>0</v>
      </c>
      <c r="AB84" s="494" t="n">
        <f aca="false">AB54+AB68+AB81</f>
        <v>0</v>
      </c>
      <c r="AC84" s="494" t="n">
        <f aca="false">AC54+AC68+AC81</f>
        <v>0</v>
      </c>
      <c r="AD84" s="494" t="n">
        <f aca="false">AD54+AD68+AD81</f>
        <v>0</v>
      </c>
      <c r="AE84" s="494" t="n">
        <f aca="false">AE54+AE68+AE81</f>
        <v>0</v>
      </c>
      <c r="AF84" s="494" t="n">
        <f aca="false">AF54+AF68+AF81</f>
        <v>0</v>
      </c>
      <c r="AG84" s="494" t="n">
        <f aca="false">AG54+AG68+AG81</f>
        <v>0</v>
      </c>
      <c r="AH84" s="494" t="n">
        <f aca="false">AH54+AH68+AH81</f>
        <v>0</v>
      </c>
      <c r="AI84" s="494" t="n">
        <f aca="false">AI54+AI68+AI81</f>
        <v>0</v>
      </c>
      <c r="AJ84" s="494" t="n">
        <f aca="false">AJ54+AJ68+AJ81</f>
        <v>0</v>
      </c>
      <c r="AK84" s="494" t="n">
        <f aca="false">AK54+AK68+AK81</f>
        <v>0</v>
      </c>
      <c r="AL84" s="494" t="n">
        <f aca="false">AL54+AL68+AL81</f>
        <v>0</v>
      </c>
      <c r="AM84" s="494" t="n">
        <f aca="false">AM54+AM68+AM81</f>
        <v>0</v>
      </c>
      <c r="AN84" s="494" t="n">
        <f aca="false">AN54+AN68+AN81</f>
        <v>0</v>
      </c>
      <c r="AO84" s="494" t="n">
        <f aca="false">AO54+AO68+AO81</f>
        <v>0</v>
      </c>
      <c r="AP84" s="494" t="n">
        <f aca="false">AP54+AP68+AP81</f>
        <v>0</v>
      </c>
      <c r="AQ84" s="494" t="n">
        <f aca="false">AQ54+AQ68+AQ81</f>
        <v>0</v>
      </c>
      <c r="AR84" s="494" t="n">
        <f aca="false">AR54+AR68+AR81</f>
        <v>0</v>
      </c>
      <c r="AS84" s="494" t="n">
        <f aca="false">AS54+AS68+AS81</f>
        <v>0</v>
      </c>
      <c r="AT84" s="494" t="n">
        <f aca="false">AT54+AT68+AT81</f>
        <v>0</v>
      </c>
      <c r="AU84" s="494" t="n">
        <f aca="false">AU54+AU68+AU81</f>
        <v>0</v>
      </c>
      <c r="AV84" s="494" t="n">
        <f aca="false">AV54+AV68+AV81</f>
        <v>0</v>
      </c>
      <c r="AW84" s="494" t="n">
        <f aca="false">AW54+AW68+AW81</f>
        <v>0</v>
      </c>
      <c r="AX84" s="494" t="n">
        <f aca="false">AX54+AX68+AX81</f>
        <v>0</v>
      </c>
      <c r="AY84" s="494" t="n">
        <f aca="false">AY54+AY68+AY81</f>
        <v>0</v>
      </c>
      <c r="AZ84" s="494" t="n">
        <f aca="false">AZ54+AZ68+AZ81</f>
        <v>0</v>
      </c>
      <c r="BA84" s="494" t="n">
        <f aca="false">BA54+BA68+BA81</f>
        <v>0</v>
      </c>
      <c r="BB84" s="494" t="n">
        <f aca="false">BB54+BB68+BB81</f>
        <v>0</v>
      </c>
      <c r="BC84" s="494" t="n">
        <f aca="false">BC54+BC68+BC81</f>
        <v>0</v>
      </c>
      <c r="BD84" s="494" t="n">
        <f aca="false">BD54+BD68+BD81</f>
        <v>0</v>
      </c>
      <c r="BE84" s="494" t="n">
        <f aca="false">BE54+BE68+BE81</f>
        <v>0</v>
      </c>
      <c r="BF84" s="494" t="n">
        <f aca="false">BF54+BF68+BF81</f>
        <v>0</v>
      </c>
      <c r="BG84" s="494" t="n">
        <f aca="false">BG54+BG68+BG81</f>
        <v>0</v>
      </c>
      <c r="BH84" s="494" t="n">
        <f aca="false">BH54+BH68+BH81</f>
        <v>0</v>
      </c>
      <c r="BI84" s="494" t="n">
        <f aca="false">BI54+BI68+BI81</f>
        <v>0</v>
      </c>
      <c r="BJ84" s="494" t="n">
        <f aca="false">BJ54+BJ68+BJ81</f>
        <v>0</v>
      </c>
      <c r="BK84" s="494" t="n">
        <f aca="false">BK54+BK68+BK81</f>
        <v>0</v>
      </c>
    </row>
    <row r="85" customFormat="false" ht="15" hidden="false" customHeight="true" outlineLevel="0" collapsed="false">
      <c r="A85" s="218"/>
      <c r="B85" s="493" t="s">
        <v>2980</v>
      </c>
      <c r="C85" s="218"/>
      <c r="D85" s="494" t="n">
        <f aca="false">D41-D84</f>
        <v>-171477.017821178</v>
      </c>
      <c r="E85" s="494" t="n">
        <f aca="false">E41-E84</f>
        <v>-15715</v>
      </c>
      <c r="F85" s="494" t="n">
        <f aca="false">F41-F84</f>
        <v>-15715</v>
      </c>
      <c r="G85" s="494" t="n">
        <f aca="false">G41-G84</f>
        <v>-162860.735</v>
      </c>
      <c r="H85" s="494" t="n">
        <f aca="false">H41-H84</f>
        <v>-278775.16327365</v>
      </c>
      <c r="I85" s="494" t="n">
        <f aca="false">I41-I84</f>
        <v>-15715</v>
      </c>
      <c r="J85" s="494" t="n">
        <f aca="false">J41-J84</f>
        <v>-176938.580655172</v>
      </c>
      <c r="K85" s="494" t="n">
        <f aca="false">K41-K84</f>
        <v>-211807.884625</v>
      </c>
      <c r="L85" s="494" t="n">
        <f aca="false">L41-L84</f>
        <v>-427535.984625</v>
      </c>
      <c r="M85" s="494" t="n">
        <f aca="false">M41-M84</f>
        <v>-164692.149331889</v>
      </c>
      <c r="N85" s="494" t="n">
        <f aca="false">N41-N84</f>
        <v>-172860.125239344</v>
      </c>
      <c r="O85" s="494" t="n">
        <f aca="false">O41-O84</f>
        <v>-133762.274054113</v>
      </c>
      <c r="P85" s="494" t="n">
        <f aca="false">P41-P84</f>
        <v>-44568.1384609498</v>
      </c>
      <c r="Q85" s="494" t="n">
        <f aca="false">Q41-Q84</f>
        <v>75814.7408549211</v>
      </c>
      <c r="R85" s="494" t="n">
        <f aca="false">R41-R84</f>
        <v>73886.7050537932</v>
      </c>
      <c r="S85" s="494" t="n">
        <f aca="false">S41-S84</f>
        <v>71786.0566150009</v>
      </c>
      <c r="T85" s="494" t="n">
        <f aca="false">T41-T84</f>
        <v>59110.7698390772</v>
      </c>
      <c r="U85" s="494" t="n">
        <f aca="false">U41-U84</f>
        <v>55521.6665581936</v>
      </c>
      <c r="V85" s="494" t="n">
        <f aca="false">V41-V84</f>
        <v>53617.2444091533</v>
      </c>
      <c r="W85" s="494" t="n">
        <f aca="false">W41-W84</f>
        <v>53617.2444091533</v>
      </c>
      <c r="X85" s="494" t="n">
        <f aca="false">X41-X84</f>
        <v>53617.2444091533</v>
      </c>
      <c r="Y85" s="494" t="n">
        <f aca="false">Y41-Y84</f>
        <v>53617.2444091533</v>
      </c>
      <c r="Z85" s="494" t="n">
        <f aca="false">Z41-Z84</f>
        <v>53617.2444091533</v>
      </c>
      <c r="AA85" s="494" t="n">
        <f aca="false">AA41-AA84</f>
        <v>53617.2444091533</v>
      </c>
      <c r="AB85" s="494" t="n">
        <f aca="false">AB41-AB84</f>
        <v>59533.8940553121</v>
      </c>
      <c r="AC85" s="494" t="n">
        <f aca="false">AC41-AC84</f>
        <v>59533.8940553121</v>
      </c>
      <c r="AD85" s="494" t="n">
        <f aca="false">AD41-AD84</f>
        <v>59533.8940553121</v>
      </c>
      <c r="AE85" s="494" t="n">
        <f aca="false">AE41-AE84</f>
        <v>57522.2331756181</v>
      </c>
      <c r="AF85" s="494" t="n">
        <f aca="false">AF41-AF84</f>
        <v>57522.2331756181</v>
      </c>
      <c r="AG85" s="494" t="n">
        <f aca="false">AG41-AG84</f>
        <v>57522.2331756181</v>
      </c>
      <c r="AH85" s="494" t="n">
        <f aca="false">AH41-AH84</f>
        <v>57522.2331756181</v>
      </c>
      <c r="AI85" s="494" t="n">
        <f aca="false">AI41-AI84</f>
        <v>57522.2331756181</v>
      </c>
      <c r="AJ85" s="494" t="n">
        <f aca="false">AJ41-AJ84</f>
        <v>57522.2331756181</v>
      </c>
      <c r="AK85" s="494" t="n">
        <f aca="false">AK41-AK84</f>
        <v>57522.2331756181</v>
      </c>
      <c r="AL85" s="494" t="n">
        <f aca="false">AL41-AL84</f>
        <v>57522.2331756181</v>
      </c>
      <c r="AM85" s="494" t="n">
        <f aca="false">AM41-AM84</f>
        <v>57522.2331756181</v>
      </c>
      <c r="AN85" s="494" t="n">
        <f aca="false">AN41-AN84</f>
        <v>60480.5579986974</v>
      </c>
      <c r="AO85" s="494" t="n">
        <f aca="false">AO41-AO84</f>
        <v>60480.5579986974</v>
      </c>
      <c r="AP85" s="494" t="n">
        <f aca="false">AP41-AP84</f>
        <v>60480.5579986974</v>
      </c>
      <c r="AQ85" s="494" t="n">
        <f aca="false">AQ41-AQ84</f>
        <v>59474.7275588505</v>
      </c>
      <c r="AR85" s="494" t="n">
        <f aca="false">AR41-AR84</f>
        <v>59474.7275588505</v>
      </c>
      <c r="AS85" s="494" t="n">
        <f aca="false">AS41-AS84</f>
        <v>59474.7275588505</v>
      </c>
      <c r="AT85" s="494" t="n">
        <f aca="false">AT41-AT84</f>
        <v>59474.7275588505</v>
      </c>
      <c r="AU85" s="494" t="n">
        <f aca="false">AU41-AU84</f>
        <v>59474.7275588505</v>
      </c>
      <c r="AV85" s="494" t="n">
        <f aca="false">AV41-AV84</f>
        <v>59474.7275588505</v>
      </c>
      <c r="AW85" s="494" t="n">
        <f aca="false">AW41-AW84</f>
        <v>59474.7275588505</v>
      </c>
      <c r="AX85" s="494" t="n">
        <f aca="false">AX41-AX84</f>
        <v>59474.7275588505</v>
      </c>
      <c r="AY85" s="494" t="n">
        <f aca="false">AY41-AY84</f>
        <v>59474.7275588505</v>
      </c>
      <c r="AZ85" s="494" t="n">
        <f aca="false">AZ41-AZ84</f>
        <v>62433.0523819298</v>
      </c>
      <c r="BA85" s="494" t="n">
        <f aca="false">BA41-BA84</f>
        <v>62433.0523819298</v>
      </c>
      <c r="BB85" s="494" t="n">
        <f aca="false">BB41-BB84</f>
        <v>62433.0523819298</v>
      </c>
      <c r="BC85" s="494" t="n">
        <f aca="false">BC41-BC84</f>
        <v>61427.2219420828</v>
      </c>
      <c r="BD85" s="494" t="n">
        <f aca="false">BD41-BD84</f>
        <v>61427.2219420828</v>
      </c>
      <c r="BE85" s="494" t="n">
        <f aca="false">BE41-BE84</f>
        <v>61427.2219420828</v>
      </c>
      <c r="BF85" s="494" t="n">
        <f aca="false">BF41-BF84</f>
        <v>61427.2219420828</v>
      </c>
      <c r="BG85" s="494" t="n">
        <f aca="false">BG41-BG84</f>
        <v>61427.2219420828</v>
      </c>
      <c r="BH85" s="494" t="n">
        <f aca="false">BH41-BH84</f>
        <v>61427.2219420828</v>
      </c>
      <c r="BI85" s="494" t="n">
        <f aca="false">BI41-BI84</f>
        <v>61427.2219420828</v>
      </c>
      <c r="BJ85" s="494" t="n">
        <f aca="false">BJ41-BJ84</f>
        <v>61427.2219420828</v>
      </c>
      <c r="BK85" s="494" t="n">
        <f aca="false">BK41-BK84</f>
        <v>61427.2219420828</v>
      </c>
    </row>
    <row r="86" customFormat="false" ht="15" hidden="false" customHeight="true" outlineLevel="0" collapsed="false">
      <c r="B86" s="297" t="s">
        <v>2981</v>
      </c>
      <c r="D86" s="380" t="n">
        <f aca="false">D85</f>
        <v>-171477.017821178</v>
      </c>
      <c r="E86" s="380" t="n">
        <f aca="false">D86+E85</f>
        <v>-187192.017821178</v>
      </c>
      <c r="F86" s="380" t="n">
        <f aca="false">E86+F85</f>
        <v>-202907.017821178</v>
      </c>
      <c r="G86" s="380" t="n">
        <f aca="false">F86+G85</f>
        <v>-365767.752821178</v>
      </c>
      <c r="H86" s="380" t="n">
        <f aca="false">G86+H85</f>
        <v>-644542.916094828</v>
      </c>
      <c r="I86" s="380" t="n">
        <f aca="false">H86+I85</f>
        <v>-660257.916094828</v>
      </c>
      <c r="J86" s="380" t="n">
        <f aca="false">I86+J85</f>
        <v>-837196.49675</v>
      </c>
      <c r="K86" s="380" t="n">
        <f aca="false">J86+K85</f>
        <v>-1049004.381375</v>
      </c>
      <c r="L86" s="380" t="n">
        <f aca="false">K86+L85</f>
        <v>-1476540.366</v>
      </c>
      <c r="M86" s="380" t="n">
        <f aca="false">L86+M85</f>
        <v>-1641232.51533189</v>
      </c>
      <c r="N86" s="380" t="n">
        <f aca="false">M86+N85</f>
        <v>-1814092.64057123</v>
      </c>
      <c r="O86" s="380" t="n">
        <f aca="false">N86+O85</f>
        <v>-1947854.91462535</v>
      </c>
      <c r="P86" s="380" t="n">
        <f aca="false">O86+P85</f>
        <v>-1992423.0530863</v>
      </c>
      <c r="Q86" s="380" t="n">
        <f aca="false">P86+Q85</f>
        <v>-1916608.31223138</v>
      </c>
      <c r="R86" s="380" t="n">
        <f aca="false">Q86+R85</f>
        <v>-1842721.60717758</v>
      </c>
      <c r="S86" s="380" t="n">
        <f aca="false">R86+S85</f>
        <v>-1770935.55056258</v>
      </c>
      <c r="T86" s="380" t="n">
        <f aca="false">S86+T85</f>
        <v>-1711824.7807235</v>
      </c>
      <c r="U86" s="380" t="n">
        <f aca="false">T86+U85</f>
        <v>-1656303.11416531</v>
      </c>
      <c r="V86" s="380" t="n">
        <f aca="false">U86+V85</f>
        <v>-1602685.86975616</v>
      </c>
      <c r="W86" s="380" t="n">
        <f aca="false">V86+W85</f>
        <v>-1549068.625347</v>
      </c>
      <c r="X86" s="380" t="n">
        <f aca="false">W86+X85</f>
        <v>-1495451.38093785</v>
      </c>
      <c r="Y86" s="380" t="n">
        <f aca="false">X86+Y85</f>
        <v>-1441834.1365287</v>
      </c>
      <c r="Z86" s="380" t="n">
        <f aca="false">Y86+Z85</f>
        <v>-1388216.89211954</v>
      </c>
      <c r="AA86" s="380" t="n">
        <f aca="false">Z86+AA85</f>
        <v>-1334599.64771039</v>
      </c>
      <c r="AB86" s="380" t="n">
        <f aca="false">AA86+AB85</f>
        <v>-1275065.75365508</v>
      </c>
      <c r="AC86" s="380" t="n">
        <f aca="false">AB86+AC85</f>
        <v>-1215531.85959977</v>
      </c>
      <c r="AD86" s="380" t="n">
        <f aca="false">AC86+AD85</f>
        <v>-1155997.96554446</v>
      </c>
      <c r="AE86" s="380" t="n">
        <f aca="false">AD86+AE85</f>
        <v>-1098475.73236884</v>
      </c>
      <c r="AF86" s="380" t="n">
        <f aca="false">AE86+AF85</f>
        <v>-1040953.49919322</v>
      </c>
      <c r="AG86" s="380" t="n">
        <f aca="false">AF86+AG85</f>
        <v>-983431.266017601</v>
      </c>
      <c r="AH86" s="380" t="n">
        <f aca="false">AG86+AH85</f>
        <v>-925909.032841983</v>
      </c>
      <c r="AI86" s="380" t="n">
        <f aca="false">AH86+AI85</f>
        <v>-868386.799666364</v>
      </c>
      <c r="AJ86" s="380" t="n">
        <f aca="false">AI86+AJ85</f>
        <v>-810864.566490746</v>
      </c>
      <c r="AK86" s="380" t="n">
        <f aca="false">AJ86+AK85</f>
        <v>-753342.333315128</v>
      </c>
      <c r="AL86" s="380" t="n">
        <f aca="false">AK86+AL85</f>
        <v>-695820.10013951</v>
      </c>
      <c r="AM86" s="380" t="n">
        <f aca="false">AL86+AM85</f>
        <v>-638297.866963892</v>
      </c>
      <c r="AN86" s="380" t="n">
        <f aca="false">AM86+AN85</f>
        <v>-577817.308965195</v>
      </c>
      <c r="AO86" s="380" t="n">
        <f aca="false">AN86+AO85</f>
        <v>-517336.750966497</v>
      </c>
      <c r="AP86" s="380" t="n">
        <f aca="false">AO86+AP85</f>
        <v>-456856.1929678</v>
      </c>
      <c r="AQ86" s="380" t="n">
        <f aca="false">AP86+AQ85</f>
        <v>-397381.465408949</v>
      </c>
      <c r="AR86" s="380" t="n">
        <f aca="false">AQ86+AR85</f>
        <v>-337906.737850099</v>
      </c>
      <c r="AS86" s="380" t="n">
        <f aca="false">AR86+AS85</f>
        <v>-278432.010291248</v>
      </c>
      <c r="AT86" s="380" t="n">
        <f aca="false">AS86+AT85</f>
        <v>-218957.282732398</v>
      </c>
      <c r="AU86" s="380" t="n">
        <f aca="false">AT86+AU85</f>
        <v>-159482.555173548</v>
      </c>
      <c r="AV86" s="380" t="n">
        <f aca="false">AU86+AV85</f>
        <v>-100007.827614697</v>
      </c>
      <c r="AW86" s="380" t="n">
        <f aca="false">AV86+AW85</f>
        <v>-40533.1000558466</v>
      </c>
      <c r="AX86" s="380" t="n">
        <f aca="false">AW86+AX85</f>
        <v>18941.6275030038</v>
      </c>
      <c r="AY86" s="380" t="n">
        <f aca="false">AX86+AY85</f>
        <v>78416.3550618543</v>
      </c>
      <c r="AZ86" s="380" t="n">
        <f aca="false">AY86+AZ85</f>
        <v>140849.407443784</v>
      </c>
      <c r="BA86" s="380" t="n">
        <f aca="false">AZ86+BA85</f>
        <v>203282.459825714</v>
      </c>
      <c r="BB86" s="380" t="n">
        <f aca="false">BA86+BB85</f>
        <v>265715.512207644</v>
      </c>
      <c r="BC86" s="380" t="n">
        <f aca="false">BB86+BC85</f>
        <v>327142.734149727</v>
      </c>
      <c r="BD86" s="380" t="n">
        <f aca="false">BC86+BD85</f>
        <v>388569.956091809</v>
      </c>
      <c r="BE86" s="380" t="n">
        <f aca="false">BD86+BE85</f>
        <v>449997.178033892</v>
      </c>
      <c r="BF86" s="380" t="n">
        <f aca="false">BE86+BF85</f>
        <v>511424.399975975</v>
      </c>
      <c r="BG86" s="380" t="n">
        <f aca="false">BF86+BG85</f>
        <v>572851.621918058</v>
      </c>
      <c r="BH86" s="380" t="n">
        <f aca="false">BG86+BH85</f>
        <v>634278.843860141</v>
      </c>
      <c r="BI86" s="380" t="n">
        <f aca="false">BH86+BI85</f>
        <v>695706.065802224</v>
      </c>
      <c r="BJ86" s="380" t="n">
        <f aca="false">BI86+BJ85</f>
        <v>757133.287744306</v>
      </c>
      <c r="BK86" s="380" t="n">
        <f aca="false">BJ86+BK85</f>
        <v>818560.509686389</v>
      </c>
    </row>
    <row r="87" customFormat="false" ht="15" hidden="false" customHeight="true" outlineLevel="0" collapsed="false">
      <c r="B87" s="297" t="s">
        <v>2982</v>
      </c>
      <c r="D87" s="495" t="n">
        <f aca="false">D84-D52-D65-D66-D79-D80</f>
        <v>168607.017821178</v>
      </c>
      <c r="E87" s="495" t="n">
        <f aca="false">D87+E84-E52-E65-E66-E79-E80</f>
        <v>168607.017821178</v>
      </c>
      <c r="F87" s="495" t="n">
        <f aca="false">E87+F84-F52-F65-F66-F79-F80</f>
        <v>168607.017821178</v>
      </c>
      <c r="G87" s="495" t="n">
        <f aca="false">F87+G84-G52-G65-G66-G79-G80</f>
        <v>315752.752821178</v>
      </c>
      <c r="H87" s="495" t="n">
        <f aca="false">G87+H84-H52-H65-H66-H79-H80</f>
        <v>578812.916094828</v>
      </c>
      <c r="I87" s="495" t="n">
        <f aca="false">H87+I84-I52-I65-I66-I79-I80</f>
        <v>578812.916094828</v>
      </c>
      <c r="J87" s="495" t="n">
        <f aca="false">I87+J84-J52-J65-J66-J79-J80</f>
        <v>719036.49675</v>
      </c>
      <c r="K87" s="495" t="n">
        <f aca="false">J87+K84-K52-K65-K66-K79-K80</f>
        <v>889898.81575</v>
      </c>
      <c r="L87" s="495" t="n">
        <f aca="false">K87+L84-L52-L65-L66-L79-L80</f>
        <v>1120735.23475</v>
      </c>
      <c r="M87" s="495" t="n">
        <f aca="false">L87+M84-M52-M65-M66-M79-M80</f>
        <v>1246520.23475</v>
      </c>
      <c r="N87" s="495" t="n">
        <f aca="false">M87+N84-N52-N65-N66-N79-N80</f>
        <v>1394635.23475</v>
      </c>
      <c r="O87" s="495" t="n">
        <f aca="false">N87+O84-O52-O65-O66-O79-O80</f>
        <v>1553695.23475</v>
      </c>
      <c r="P87" s="495" t="n">
        <f aca="false">O87+P84-P52-P65-P66-P79-P80</f>
        <v>1643235.23475</v>
      </c>
      <c r="Q87" s="495" t="n">
        <f aca="false">P87+Q84-Q52-Q65-Q66-Q79-Q80</f>
        <v>1643235.23475</v>
      </c>
      <c r="R87" s="495" t="n">
        <f aca="false">Q87+R84-R52-R65-R66-R79-R80</f>
        <v>1643235.23475</v>
      </c>
      <c r="S87" s="495" t="n">
        <f aca="false">R87+S84-S52-S65-S66-S79-S80</f>
        <v>1643235.23475</v>
      </c>
      <c r="T87" s="495" t="n">
        <f aca="false">S87+T84-T52-T65-T66-T79-T80</f>
        <v>1643235.23475</v>
      </c>
      <c r="U87" s="495" t="n">
        <f aca="false">T87+U84-U52-U65-U66-U79-U80</f>
        <v>1643235.23475</v>
      </c>
      <c r="V87" s="495" t="n">
        <f aca="false">U87+V84-V52-V65-V66-V79-V80</f>
        <v>1643235.23475</v>
      </c>
      <c r="W87" s="495" t="n">
        <f aca="false">V87+W84-W52-W65-W66-W79-W80</f>
        <v>1643235.23475</v>
      </c>
      <c r="X87" s="495" t="n">
        <f aca="false">W87+X84-X52-X65-X66-X79-X80</f>
        <v>1643235.23475</v>
      </c>
      <c r="Y87" s="495" t="n">
        <f aca="false">X87+Y84-Y52-Y65-Y66-Y79-Y80</f>
        <v>1643235.23475</v>
      </c>
      <c r="Z87" s="495" t="n">
        <f aca="false">Y87+Z84-Z52-Z65-Z66-Z79-Z80</f>
        <v>1643235.23475</v>
      </c>
      <c r="AA87" s="495" t="n">
        <f aca="false">Z87+AA84-AA52-AA65-AA66-AA79-AA80</f>
        <v>1643235.23475</v>
      </c>
      <c r="AB87" s="495" t="n">
        <f aca="false">AA87+AB84-AB52-AB65-AB66-AB79-AB80</f>
        <v>1643235.23475</v>
      </c>
      <c r="AC87" s="495" t="n">
        <f aca="false">AB87+AC84-AC52-AC65-AC66-AC79-AC80</f>
        <v>1643235.23475</v>
      </c>
      <c r="AD87" s="495" t="n">
        <f aca="false">AC87+AD84-AD52-AD65-AD66-AD79-AD80</f>
        <v>1643235.23475</v>
      </c>
      <c r="AE87" s="495" t="n">
        <f aca="false">AD87+AE84-AE52-AE65-AE66-AE79-AE80</f>
        <v>1643235.23475</v>
      </c>
      <c r="AF87" s="495" t="n">
        <f aca="false">AE87+AF84-AF52-AF65-AF66-AF79-AF80</f>
        <v>1643235.23475</v>
      </c>
      <c r="AG87" s="495" t="n">
        <f aca="false">AF87+AG84-AG52-AG65-AG66-AG79-AG80</f>
        <v>1643235.23475</v>
      </c>
      <c r="AH87" s="495" t="n">
        <f aca="false">AG87+AH84-AH52-AH65-AH66-AH79-AH80</f>
        <v>1643235.23475</v>
      </c>
      <c r="AI87" s="495" t="n">
        <f aca="false">AH87+AI84-AI52-AI65-AI66-AI79-AI80</f>
        <v>1643235.23475</v>
      </c>
      <c r="AJ87" s="495" t="n">
        <f aca="false">AI87+AJ84-AJ52-AJ65-AJ66-AJ79-AJ80</f>
        <v>1643235.23475</v>
      </c>
      <c r="AK87" s="495" t="n">
        <f aca="false">AJ87+AK84-AK52-AK65-AK66-AK79-AK80</f>
        <v>1643235.23475</v>
      </c>
      <c r="AL87" s="495" t="n">
        <f aca="false">AK87+AL84-AL52-AL65-AL66-AL79-AL80</f>
        <v>1643235.23475</v>
      </c>
      <c r="AM87" s="495" t="n">
        <f aca="false">AL87+AM84-AM52-AM65-AM66-AM79-AM80</f>
        <v>1643235.23475</v>
      </c>
      <c r="AN87" s="495" t="n">
        <f aca="false">AM87+AN84-AN52-AN65-AN66-AN79-AN80</f>
        <v>1643235.23475</v>
      </c>
      <c r="AO87" s="495" t="n">
        <f aca="false">AN87+AO84-AO52-AO65-AO66-AO79-AO80</f>
        <v>1643235.23475</v>
      </c>
      <c r="AP87" s="495" t="n">
        <f aca="false">AO87+AP84-AP52-AP65-AP66-AP79-AP80</f>
        <v>1643235.23475</v>
      </c>
      <c r="AQ87" s="495" t="n">
        <f aca="false">AP87+AQ84-AQ52-AQ65-AQ66-AQ79-AQ80</f>
        <v>1643235.23475</v>
      </c>
      <c r="AR87" s="495" t="n">
        <f aca="false">AQ87+AR84-AR52-AR65-AR66-AR79-AR80</f>
        <v>1643235.23475</v>
      </c>
      <c r="AS87" s="495" t="n">
        <f aca="false">AR87+AS84-AS52-AS65-AS66-AS79-AS80</f>
        <v>1643235.23475</v>
      </c>
      <c r="AT87" s="495" t="n">
        <f aca="false">AS87+AT84-AT52-AT65-AT66-AT79-AT80</f>
        <v>1643235.23475</v>
      </c>
      <c r="AU87" s="495" t="n">
        <f aca="false">AT87+AU84-AU52-AU65-AU66-AU79-AU80</f>
        <v>1643235.23475</v>
      </c>
      <c r="AV87" s="495" t="n">
        <f aca="false">AU87+AV84-AV52-AV65-AV66-AV79-AV80</f>
        <v>1643235.23475</v>
      </c>
      <c r="AW87" s="495" t="n">
        <f aca="false">AV87+AW84-AW52-AW65-AW66-AW79-AW80</f>
        <v>1643235.23475</v>
      </c>
      <c r="AX87" s="495" t="n">
        <f aca="false">AW87+AX84-AX52-AX65-AX66-AX79-AX80</f>
        <v>1643235.23475</v>
      </c>
      <c r="AY87" s="495" t="n">
        <f aca="false">AX87+AY84-AY52-AY65-AY66-AY79-AY80</f>
        <v>1643235.23475</v>
      </c>
      <c r="AZ87" s="495" t="n">
        <f aca="false">AY87+AZ84-AZ52-AZ65-AZ66-AZ79-AZ80</f>
        <v>1643235.23475</v>
      </c>
      <c r="BA87" s="495" t="n">
        <f aca="false">AZ87+BA84-BA52-BA65-BA66-BA79-BA80</f>
        <v>1643235.23475</v>
      </c>
      <c r="BB87" s="495" t="n">
        <f aca="false">BA87+BB84-BB52-BB65-BB66-BB79-BB80</f>
        <v>1643235.23475</v>
      </c>
      <c r="BC87" s="495" t="n">
        <f aca="false">BB87+BC84-BC52-BC65-BC66-BC79-BC80</f>
        <v>1643235.23475</v>
      </c>
      <c r="BD87" s="495" t="n">
        <f aca="false">BC87+BD84-BD52-BD65-BD66-BD79-BD80</f>
        <v>1643235.23475</v>
      </c>
      <c r="BE87" s="495" t="n">
        <f aca="false">BD87+BE84-BE52-BE65-BE66-BE79-BE80</f>
        <v>1643235.23475</v>
      </c>
      <c r="BF87" s="495" t="n">
        <f aca="false">BE87+BF84-BF52-BF65-BF66-BF79-BF80</f>
        <v>1643235.23475</v>
      </c>
      <c r="BG87" s="495" t="n">
        <f aca="false">BF87+BG84-BG52-BG65-BG66-BG79-BG80</f>
        <v>1643235.23475</v>
      </c>
      <c r="BH87" s="495" t="n">
        <f aca="false">BG87+BH84-BH52-BH65-BH66-BH79-BH80</f>
        <v>1643235.23475</v>
      </c>
      <c r="BI87" s="495" t="n">
        <f aca="false">BH87+BI84-BI52-BI65-BI66-BI79-BI80</f>
        <v>1643235.23475</v>
      </c>
      <c r="BJ87" s="495" t="n">
        <f aca="false">BI87+BJ84-BJ52-BJ65-BJ66-BJ79-BJ80</f>
        <v>1643235.23475</v>
      </c>
      <c r="BK87" s="495" t="n">
        <f aca="false">BJ87+BK84-BK52-BK65-BK66-BK79-BK80</f>
        <v>1643235.23475</v>
      </c>
    </row>
    <row r="88" customFormat="false" ht="15" hidden="false" customHeight="true" outlineLevel="0" collapsed="false">
      <c r="B88" s="297" t="s">
        <v>2983</v>
      </c>
      <c r="D88" s="495" t="n">
        <f aca="false">D22+D23+D28+D18</f>
        <v>2870</v>
      </c>
      <c r="E88" s="495" t="n">
        <f aca="false">E22+E23+E28+E18</f>
        <v>15715</v>
      </c>
      <c r="F88" s="495" t="n">
        <f aca="false">F22+F23+F28+F18</f>
        <v>15715</v>
      </c>
      <c r="G88" s="495" t="n">
        <f aca="false">G22+G23+G28+G18</f>
        <v>15715</v>
      </c>
      <c r="H88" s="495" t="n">
        <f aca="false">H22+H23+H28+H18</f>
        <v>15715</v>
      </c>
      <c r="I88" s="495" t="n">
        <f aca="false">I22+I23+I28+I18</f>
        <v>15715</v>
      </c>
      <c r="J88" s="495" t="n">
        <f aca="false">J22+J23+J28+J18</f>
        <v>16715</v>
      </c>
      <c r="K88" s="495" t="n">
        <f aca="false">K22+K23+K28+K18</f>
        <v>20945.565625</v>
      </c>
      <c r="L88" s="495" t="n">
        <f aca="false">L22+L23+L28+L18</f>
        <v>35558.565625</v>
      </c>
      <c r="M88" s="495" t="n">
        <f aca="false">M22+M23+M28+M18</f>
        <v>48436.565625</v>
      </c>
      <c r="N88" s="495" t="n">
        <f aca="false">N22+N23+N28+N18</f>
        <v>61314.565625</v>
      </c>
      <c r="O88" s="495" t="n">
        <f aca="false">O22+O23+O28+O18</f>
        <v>81760.2909060345</v>
      </c>
      <c r="P88" s="495" t="n">
        <f aca="false">P22+P23+P28+P18</f>
        <v>103739.250248297</v>
      </c>
      <c r="Q88" s="495" t="n">
        <f aca="false">Q22+Q23+Q28+Q18</f>
        <v>119505.469481735</v>
      </c>
      <c r="R88" s="495" t="n">
        <f aca="false">R22+R23+R28+R18</f>
        <v>122298.236677101</v>
      </c>
      <c r="S88" s="495" t="n">
        <f aca="false">S22+S23+S28+S18</f>
        <v>123780.113148111</v>
      </c>
      <c r="T88" s="495" t="n">
        <f aca="false">T22+T23+T28+T18</f>
        <v>123780.113148111</v>
      </c>
      <c r="U88" s="495" t="n">
        <f aca="false">U22+U23+U28+U18</f>
        <v>123780.113148111</v>
      </c>
      <c r="V88" s="495" t="n">
        <f aca="false">V22+V23+V28+V18</f>
        <v>123780.113148111</v>
      </c>
      <c r="W88" s="495" t="n">
        <f aca="false">W22+W23+W28+W18</f>
        <v>123780.113148111</v>
      </c>
      <c r="X88" s="495" t="n">
        <f aca="false">X22+X23+X28+X18</f>
        <v>123780.113148111</v>
      </c>
      <c r="Y88" s="495" t="n">
        <f aca="false">Y22+Y23+Y28+Y18</f>
        <v>123780.113148111</v>
      </c>
      <c r="Z88" s="495" t="n">
        <f aca="false">Z22+Z23+Z28+Z18</f>
        <v>123780.113148111</v>
      </c>
      <c r="AA88" s="495" t="n">
        <f aca="false">AA22+AA23+AA28+AA18</f>
        <v>123780.113148111</v>
      </c>
      <c r="AB88" s="495" t="n">
        <f aca="false">AB22+AB23+AB28+AB18</f>
        <v>117863.463501952</v>
      </c>
      <c r="AC88" s="495" t="n">
        <f aca="false">AC22+AC23+AC28+AC18</f>
        <v>117863.463501952</v>
      </c>
      <c r="AD88" s="495" t="n">
        <f aca="false">AD22+AD23+AD28+AD18</f>
        <v>117863.463501952</v>
      </c>
      <c r="AE88" s="495" t="n">
        <f aca="false">AE22+AE23+AE28+AE18</f>
        <v>117863.463501952</v>
      </c>
      <c r="AF88" s="495" t="n">
        <f aca="false">AF22+AF23+AF28+AF18</f>
        <v>117863.463501952</v>
      </c>
      <c r="AG88" s="495" t="n">
        <f aca="false">AG22+AG23+AG28+AG18</f>
        <v>117863.463501952</v>
      </c>
      <c r="AH88" s="495" t="n">
        <f aca="false">AH22+AH23+AH28+AH18</f>
        <v>117863.463501952</v>
      </c>
      <c r="AI88" s="495" t="n">
        <f aca="false">AI22+AI23+AI28+AI18</f>
        <v>117863.463501952</v>
      </c>
      <c r="AJ88" s="495" t="n">
        <f aca="false">AJ22+AJ23+AJ28+AJ18</f>
        <v>117863.463501952</v>
      </c>
      <c r="AK88" s="495" t="n">
        <f aca="false">AK22+AK23+AK28+AK18</f>
        <v>117863.463501952</v>
      </c>
      <c r="AL88" s="495" t="n">
        <f aca="false">AL22+AL23+AL28+AL18</f>
        <v>117863.463501952</v>
      </c>
      <c r="AM88" s="495" t="n">
        <f aca="false">AM22+AM23+AM28+AM18</f>
        <v>117863.463501952</v>
      </c>
      <c r="AN88" s="495" t="n">
        <f aca="false">AN22+AN23+AN28+AN18</f>
        <v>114905.138678873</v>
      </c>
      <c r="AO88" s="495" t="n">
        <f aca="false">AO22+AO23+AO28+AO18</f>
        <v>114905.138678873</v>
      </c>
      <c r="AP88" s="495" t="n">
        <f aca="false">AP22+AP23+AP28+AP18</f>
        <v>114905.138678873</v>
      </c>
      <c r="AQ88" s="495" t="n">
        <f aca="false">AQ22+AQ23+AQ28+AQ18</f>
        <v>114905.138678873</v>
      </c>
      <c r="AR88" s="495" t="n">
        <f aca="false">AR22+AR23+AR28+AR18</f>
        <v>114905.138678873</v>
      </c>
      <c r="AS88" s="495" t="n">
        <f aca="false">AS22+AS23+AS28+AS18</f>
        <v>114905.138678873</v>
      </c>
      <c r="AT88" s="495" t="n">
        <f aca="false">AT22+AT23+AT28+AT18</f>
        <v>114905.138678873</v>
      </c>
      <c r="AU88" s="495" t="n">
        <f aca="false">AU22+AU23+AU28+AU18</f>
        <v>114905.138678873</v>
      </c>
      <c r="AV88" s="495" t="n">
        <f aca="false">AV22+AV23+AV28+AV18</f>
        <v>114905.138678873</v>
      </c>
      <c r="AW88" s="495" t="n">
        <f aca="false">AW22+AW23+AW28+AW18</f>
        <v>114905.138678873</v>
      </c>
      <c r="AX88" s="495" t="n">
        <f aca="false">AX22+AX23+AX28+AX18</f>
        <v>114905.138678873</v>
      </c>
      <c r="AY88" s="495" t="n">
        <f aca="false">AY22+AY23+AY28+AY18</f>
        <v>114905.138678873</v>
      </c>
      <c r="AZ88" s="495" t="n">
        <f aca="false">AZ22+AZ23+AZ28+AZ18</f>
        <v>111946.813855794</v>
      </c>
      <c r="BA88" s="495" t="n">
        <f aca="false">BA22+BA23+BA28+BA18</f>
        <v>111946.813855794</v>
      </c>
      <c r="BB88" s="495" t="n">
        <f aca="false">BB22+BB23+BB28+BB18</f>
        <v>111946.813855794</v>
      </c>
      <c r="BC88" s="495" t="n">
        <f aca="false">BC22+BC23+BC28+BC18</f>
        <v>111946.813855794</v>
      </c>
      <c r="BD88" s="495" t="n">
        <f aca="false">BD22+BD23+BD28+BD18</f>
        <v>111946.813855794</v>
      </c>
      <c r="BE88" s="495" t="n">
        <f aca="false">BE22+BE23+BE28+BE18</f>
        <v>111946.813855794</v>
      </c>
      <c r="BF88" s="495" t="n">
        <f aca="false">BF22+BF23+BF28+BF18</f>
        <v>111946.813855794</v>
      </c>
      <c r="BG88" s="495" t="n">
        <f aca="false">BG22+BG23+BG28+BG18</f>
        <v>111946.813855794</v>
      </c>
      <c r="BH88" s="495" t="n">
        <f aca="false">BH22+BH23+BH28+BH18</f>
        <v>111946.813855794</v>
      </c>
      <c r="BI88" s="495" t="n">
        <f aca="false">BI22+BI23+BI28+BI18</f>
        <v>111946.813855794</v>
      </c>
      <c r="BJ88" s="495" t="n">
        <f aca="false">BJ22+BJ23+BJ28+BJ18</f>
        <v>111946.813855794</v>
      </c>
      <c r="BK88" s="495" t="n">
        <f aca="false">BK22+BK23+BK28+BK18</f>
        <v>111946.813855794</v>
      </c>
    </row>
    <row r="89" customFormat="false" ht="15" hidden="false" customHeight="true" outlineLevel="0" collapsed="false">
      <c r="B89" s="297" t="s">
        <v>2984</v>
      </c>
      <c r="D89" s="380" t="n">
        <f aca="false">FC_SUPUESTOS!$C$75</f>
        <v>0</v>
      </c>
      <c r="E89" s="380" t="n">
        <f aca="false">D94</f>
        <v>78522.982178822</v>
      </c>
      <c r="F89" s="380" t="n">
        <f aca="false">E94</f>
        <v>62807.982178822</v>
      </c>
      <c r="G89" s="380" t="n">
        <f aca="false">F94</f>
        <v>97092.982178822</v>
      </c>
      <c r="H89" s="380" t="n">
        <f aca="false">G94</f>
        <v>84232.247178822</v>
      </c>
      <c r="I89" s="380" t="n">
        <f aca="false">H94</f>
        <v>55457.0839051724</v>
      </c>
      <c r="J89" s="380" t="n">
        <f aca="false">I94</f>
        <v>89742.0839051724</v>
      </c>
      <c r="K89" s="380" t="n">
        <f aca="false">J94</f>
        <v>62803.50325</v>
      </c>
      <c r="L89" s="380" t="n">
        <f aca="false">K94</f>
        <v>50995.618625</v>
      </c>
      <c r="M89" s="380" t="n">
        <f aca="false">L94</f>
        <v>73459.6340000001</v>
      </c>
      <c r="N89" s="380" t="n">
        <f aca="false">M94</f>
        <v>58767.4846681107</v>
      </c>
      <c r="O89" s="380" t="n">
        <f aca="false">N94</f>
        <v>85907.3594287671</v>
      </c>
      <c r="P89" s="380" t="n">
        <f aca="false">O94</f>
        <v>102145.085374654</v>
      </c>
      <c r="Q89" s="380" t="n">
        <f aca="false">P94</f>
        <v>107576.946913704</v>
      </c>
      <c r="R89" s="380" t="n">
        <f aca="false">Q94</f>
        <v>183391.687768625</v>
      </c>
      <c r="S89" s="380" t="n">
        <f aca="false">R94</f>
        <v>257278.392822418</v>
      </c>
      <c r="T89" s="380" t="n">
        <f aca="false">S94</f>
        <v>329064.449437419</v>
      </c>
      <c r="U89" s="380" t="n">
        <f aca="false">T94</f>
        <v>388175.219276496</v>
      </c>
      <c r="V89" s="380" t="n">
        <f aca="false">U94</f>
        <v>443696.88583469</v>
      </c>
      <c r="W89" s="380" t="n">
        <f aca="false">V94</f>
        <v>497314.130243843</v>
      </c>
      <c r="X89" s="380" t="n">
        <f aca="false">W94</f>
        <v>550931.374652997</v>
      </c>
      <c r="Y89" s="380" t="n">
        <f aca="false">X94</f>
        <v>604548.61906215</v>
      </c>
      <c r="Z89" s="380" t="n">
        <f aca="false">Y94</f>
        <v>658165.863471303</v>
      </c>
      <c r="AA89" s="380" t="n">
        <f aca="false">Z94</f>
        <v>711783.107880457</v>
      </c>
      <c r="AB89" s="380" t="n">
        <f aca="false">AA94</f>
        <v>765400.35228961</v>
      </c>
      <c r="AC89" s="380" t="n">
        <f aca="false">AB94</f>
        <v>824934.246344922</v>
      </c>
      <c r="AD89" s="380" t="n">
        <f aca="false">AC94</f>
        <v>884468.140400234</v>
      </c>
      <c r="AE89" s="380" t="n">
        <f aca="false">AD94</f>
        <v>944002.034455546</v>
      </c>
      <c r="AF89" s="380" t="n">
        <f aca="false">AE94</f>
        <v>1001524.26763116</v>
      </c>
      <c r="AG89" s="380" t="n">
        <f aca="false">AF94</f>
        <v>1059046.50080678</v>
      </c>
      <c r="AH89" s="380" t="n">
        <f aca="false">AG94</f>
        <v>1116568.7339824</v>
      </c>
      <c r="AI89" s="380" t="n">
        <f aca="false">AH94</f>
        <v>1174090.96715802</v>
      </c>
      <c r="AJ89" s="380" t="n">
        <f aca="false">AI94</f>
        <v>1231613.20033364</v>
      </c>
      <c r="AK89" s="380" t="n">
        <f aca="false">AJ94</f>
        <v>1289135.43350925</v>
      </c>
      <c r="AL89" s="380" t="n">
        <f aca="false">AK94</f>
        <v>1346657.66668487</v>
      </c>
      <c r="AM89" s="380" t="n">
        <f aca="false">AL94</f>
        <v>1404179.89986049</v>
      </c>
      <c r="AN89" s="380" t="n">
        <f aca="false">AM94</f>
        <v>1461702.13303611</v>
      </c>
      <c r="AO89" s="380" t="n">
        <f aca="false">AN94</f>
        <v>1522182.69103481</v>
      </c>
      <c r="AP89" s="380" t="n">
        <f aca="false">AO94</f>
        <v>1582663.2490335</v>
      </c>
      <c r="AQ89" s="380" t="n">
        <f aca="false">AP94</f>
        <v>1643143.8070322</v>
      </c>
      <c r="AR89" s="380" t="n">
        <f aca="false">AQ94</f>
        <v>1702618.53459105</v>
      </c>
      <c r="AS89" s="380" t="n">
        <f aca="false">AR94</f>
        <v>1762093.2621499</v>
      </c>
      <c r="AT89" s="380" t="n">
        <f aca="false">AS94</f>
        <v>1821567.98970875</v>
      </c>
      <c r="AU89" s="380" t="n">
        <f aca="false">AT94</f>
        <v>1881042.7172676</v>
      </c>
      <c r="AV89" s="380" t="n">
        <f aca="false">AU94</f>
        <v>1940517.44482645</v>
      </c>
      <c r="AW89" s="380" t="n">
        <f aca="false">AV94</f>
        <v>1999992.1723853</v>
      </c>
      <c r="AX89" s="380" t="n">
        <f aca="false">AW94</f>
        <v>2059466.89994416</v>
      </c>
      <c r="AY89" s="380" t="n">
        <f aca="false">AX94</f>
        <v>2118941.62750301</v>
      </c>
      <c r="AZ89" s="380" t="n">
        <f aca="false">AY94</f>
        <v>2178416.35506186</v>
      </c>
      <c r="BA89" s="380" t="n">
        <f aca="false">AZ94</f>
        <v>2240849.40744379</v>
      </c>
      <c r="BB89" s="380" t="n">
        <f aca="false">BA94</f>
        <v>2303282.45982572</v>
      </c>
      <c r="BC89" s="380" t="n">
        <f aca="false">BB94</f>
        <v>2365715.51220765</v>
      </c>
      <c r="BD89" s="380" t="n">
        <f aca="false">BC94</f>
        <v>2427142.73414973</v>
      </c>
      <c r="BE89" s="380" t="n">
        <f aca="false">BD94</f>
        <v>2488569.95609181</v>
      </c>
      <c r="BF89" s="380" t="n">
        <f aca="false">BE94</f>
        <v>2549997.1780339</v>
      </c>
      <c r="BG89" s="380" t="n">
        <f aca="false">BF94</f>
        <v>2611424.39997598</v>
      </c>
      <c r="BH89" s="380" t="n">
        <f aca="false">BG94</f>
        <v>2672851.62191806</v>
      </c>
      <c r="BI89" s="380" t="n">
        <f aca="false">BH94</f>
        <v>2734278.84386014</v>
      </c>
      <c r="BJ89" s="380" t="n">
        <f aca="false">BI94</f>
        <v>2795706.06580223</v>
      </c>
      <c r="BK89" s="380" t="n">
        <f aca="false">BJ94</f>
        <v>2857133.28774431</v>
      </c>
    </row>
    <row r="90" customFormat="false" ht="15" hidden="false" customHeight="true" outlineLevel="0" collapsed="false">
      <c r="B90" s="297" t="s">
        <v>2985</v>
      </c>
      <c r="D90" s="495" t="n">
        <f aca="false">MAX(FC_SUPUESTOS!$C$73,FC_SUPUESTOS!$C$72*D88)</f>
        <v>50000</v>
      </c>
      <c r="E90" s="495" t="n">
        <f aca="false">MAX(FC_SUPUESTOS!$C$73,FC_SUPUESTOS!$C$72*E88)</f>
        <v>50000</v>
      </c>
      <c r="F90" s="495" t="n">
        <f aca="false">MAX(FC_SUPUESTOS!$C$73,FC_SUPUESTOS!$C$72*F88)</f>
        <v>50000</v>
      </c>
      <c r="G90" s="495" t="n">
        <f aca="false">MAX(FC_SUPUESTOS!$C$73,FC_SUPUESTOS!$C$72*G88)</f>
        <v>50000</v>
      </c>
      <c r="H90" s="495" t="n">
        <f aca="false">MAX(FC_SUPUESTOS!$C$73,FC_SUPUESTOS!$C$72*H88)</f>
        <v>50000</v>
      </c>
      <c r="I90" s="495" t="n">
        <f aca="false">MAX(FC_SUPUESTOS!$C$73,FC_SUPUESTOS!$C$72*I88)</f>
        <v>50000</v>
      </c>
      <c r="J90" s="495" t="n">
        <f aca="false">MAX(FC_SUPUESTOS!$C$73,FC_SUPUESTOS!$C$72*J88)</f>
        <v>50000</v>
      </c>
      <c r="K90" s="495" t="n">
        <f aca="false">MAX(FC_SUPUESTOS!$C$73,FC_SUPUESTOS!$C$72*K88)</f>
        <v>50000</v>
      </c>
      <c r="L90" s="495" t="n">
        <f aca="false">MAX(FC_SUPUESTOS!$C$73,FC_SUPUESTOS!$C$72*L88)</f>
        <v>50000</v>
      </c>
      <c r="M90" s="495" t="n">
        <f aca="false">MAX(FC_SUPUESTOS!$C$73,FC_SUPUESTOS!$C$72*M88)</f>
        <v>50000</v>
      </c>
      <c r="N90" s="495" t="n">
        <f aca="false">MAX(FC_SUPUESTOS!$C$73,FC_SUPUESTOS!$C$72*N88)</f>
        <v>61314.565625</v>
      </c>
      <c r="O90" s="495" t="n">
        <f aca="false">MAX(FC_SUPUESTOS!$C$73,FC_SUPUESTOS!$C$72*O88)</f>
        <v>81760.2909060345</v>
      </c>
      <c r="P90" s="495" t="n">
        <f aca="false">MAX(FC_SUPUESTOS!$C$73,FC_SUPUESTOS!$C$72*P88)</f>
        <v>103739.250248297</v>
      </c>
      <c r="Q90" s="495" t="n">
        <f aca="false">MAX(FC_SUPUESTOS!$C$73,FC_SUPUESTOS!$C$72*Q88)</f>
        <v>119505.469481735</v>
      </c>
      <c r="R90" s="495" t="n">
        <f aca="false">MAX(FC_SUPUESTOS!$C$73,FC_SUPUESTOS!$C$72*R88)</f>
        <v>122298.236677101</v>
      </c>
      <c r="S90" s="495" t="n">
        <f aca="false">MAX(FC_SUPUESTOS!$C$73,FC_SUPUESTOS!$C$72*S88)</f>
        <v>123780.113148111</v>
      </c>
      <c r="T90" s="495" t="n">
        <f aca="false">MAX(FC_SUPUESTOS!$C$73,FC_SUPUESTOS!$C$72*T88)</f>
        <v>123780.113148111</v>
      </c>
      <c r="U90" s="495" t="n">
        <f aca="false">MAX(FC_SUPUESTOS!$C$73,FC_SUPUESTOS!$C$72*U88)</f>
        <v>123780.113148111</v>
      </c>
      <c r="V90" s="495" t="n">
        <f aca="false">MAX(FC_SUPUESTOS!$C$73,FC_SUPUESTOS!$C$72*V88)</f>
        <v>123780.113148111</v>
      </c>
      <c r="W90" s="495" t="n">
        <f aca="false">MAX(FC_SUPUESTOS!$C$73,FC_SUPUESTOS!$C$72*W88)</f>
        <v>123780.113148111</v>
      </c>
      <c r="X90" s="495" t="n">
        <f aca="false">MAX(FC_SUPUESTOS!$C$73,FC_SUPUESTOS!$C$72*X88)</f>
        <v>123780.113148111</v>
      </c>
      <c r="Y90" s="495" t="n">
        <f aca="false">MAX(FC_SUPUESTOS!$C$73,FC_SUPUESTOS!$C$72*Y88)</f>
        <v>123780.113148111</v>
      </c>
      <c r="Z90" s="495" t="n">
        <f aca="false">MAX(FC_SUPUESTOS!$C$73,FC_SUPUESTOS!$C$72*Z88)</f>
        <v>123780.113148111</v>
      </c>
      <c r="AA90" s="495" t="n">
        <f aca="false">MAX(FC_SUPUESTOS!$C$73,FC_SUPUESTOS!$C$72*AA88)</f>
        <v>123780.113148111</v>
      </c>
      <c r="AB90" s="495" t="n">
        <f aca="false">MAX(FC_SUPUESTOS!$C$73,FC_SUPUESTOS!$C$72*AB88)</f>
        <v>117863.463501952</v>
      </c>
      <c r="AC90" s="495" t="n">
        <f aca="false">MAX(FC_SUPUESTOS!$C$73,FC_SUPUESTOS!$C$72*AC88)</f>
        <v>117863.463501952</v>
      </c>
      <c r="AD90" s="495" t="n">
        <f aca="false">MAX(FC_SUPUESTOS!$C$73,FC_SUPUESTOS!$C$72*AD88)</f>
        <v>117863.463501952</v>
      </c>
      <c r="AE90" s="495" t="n">
        <f aca="false">MAX(FC_SUPUESTOS!$C$73,FC_SUPUESTOS!$C$72*AE88)</f>
        <v>117863.463501952</v>
      </c>
      <c r="AF90" s="495" t="n">
        <f aca="false">MAX(FC_SUPUESTOS!$C$73,FC_SUPUESTOS!$C$72*AF88)</f>
        <v>117863.463501952</v>
      </c>
      <c r="AG90" s="495" t="n">
        <f aca="false">MAX(FC_SUPUESTOS!$C$73,FC_SUPUESTOS!$C$72*AG88)</f>
        <v>117863.463501952</v>
      </c>
      <c r="AH90" s="495" t="n">
        <f aca="false">MAX(FC_SUPUESTOS!$C$73,FC_SUPUESTOS!$C$72*AH88)</f>
        <v>117863.463501952</v>
      </c>
      <c r="AI90" s="495" t="n">
        <f aca="false">MAX(FC_SUPUESTOS!$C$73,FC_SUPUESTOS!$C$72*AI88)</f>
        <v>117863.463501952</v>
      </c>
      <c r="AJ90" s="495" t="n">
        <f aca="false">MAX(FC_SUPUESTOS!$C$73,FC_SUPUESTOS!$C$72*AJ88)</f>
        <v>117863.463501952</v>
      </c>
      <c r="AK90" s="495" t="n">
        <f aca="false">MAX(FC_SUPUESTOS!$C$73,FC_SUPUESTOS!$C$72*AK88)</f>
        <v>117863.463501952</v>
      </c>
      <c r="AL90" s="495" t="n">
        <f aca="false">MAX(FC_SUPUESTOS!$C$73,FC_SUPUESTOS!$C$72*AL88)</f>
        <v>117863.463501952</v>
      </c>
      <c r="AM90" s="495" t="n">
        <f aca="false">MAX(FC_SUPUESTOS!$C$73,FC_SUPUESTOS!$C$72*AM88)</f>
        <v>117863.463501952</v>
      </c>
      <c r="AN90" s="495" t="n">
        <f aca="false">MAX(FC_SUPUESTOS!$C$73,FC_SUPUESTOS!$C$72*AN88)</f>
        <v>114905.138678873</v>
      </c>
      <c r="AO90" s="495" t="n">
        <f aca="false">MAX(FC_SUPUESTOS!$C$73,FC_SUPUESTOS!$C$72*AO88)</f>
        <v>114905.138678873</v>
      </c>
      <c r="AP90" s="495" t="n">
        <f aca="false">MAX(FC_SUPUESTOS!$C$73,FC_SUPUESTOS!$C$72*AP88)</f>
        <v>114905.138678873</v>
      </c>
      <c r="AQ90" s="495" t="n">
        <f aca="false">MAX(FC_SUPUESTOS!$C$73,FC_SUPUESTOS!$C$72*AQ88)</f>
        <v>114905.138678873</v>
      </c>
      <c r="AR90" s="495" t="n">
        <f aca="false">MAX(FC_SUPUESTOS!$C$73,FC_SUPUESTOS!$C$72*AR88)</f>
        <v>114905.138678873</v>
      </c>
      <c r="AS90" s="495" t="n">
        <f aca="false">MAX(FC_SUPUESTOS!$C$73,FC_SUPUESTOS!$C$72*AS88)</f>
        <v>114905.138678873</v>
      </c>
      <c r="AT90" s="495" t="n">
        <f aca="false">MAX(FC_SUPUESTOS!$C$73,FC_SUPUESTOS!$C$72*AT88)</f>
        <v>114905.138678873</v>
      </c>
      <c r="AU90" s="495" t="n">
        <f aca="false">MAX(FC_SUPUESTOS!$C$73,FC_SUPUESTOS!$C$72*AU88)</f>
        <v>114905.138678873</v>
      </c>
      <c r="AV90" s="495" t="n">
        <f aca="false">MAX(FC_SUPUESTOS!$C$73,FC_SUPUESTOS!$C$72*AV88)</f>
        <v>114905.138678873</v>
      </c>
      <c r="AW90" s="495" t="n">
        <f aca="false">MAX(FC_SUPUESTOS!$C$73,FC_SUPUESTOS!$C$72*AW88)</f>
        <v>114905.138678873</v>
      </c>
      <c r="AX90" s="495" t="n">
        <f aca="false">MAX(FC_SUPUESTOS!$C$73,FC_SUPUESTOS!$C$72*AX88)</f>
        <v>114905.138678873</v>
      </c>
      <c r="AY90" s="495" t="n">
        <f aca="false">MAX(FC_SUPUESTOS!$C$73,FC_SUPUESTOS!$C$72*AY88)</f>
        <v>114905.138678873</v>
      </c>
      <c r="AZ90" s="495" t="n">
        <f aca="false">MAX(FC_SUPUESTOS!$C$73,FC_SUPUESTOS!$C$72*AZ88)</f>
        <v>111946.813855794</v>
      </c>
      <c r="BA90" s="495" t="n">
        <f aca="false">MAX(FC_SUPUESTOS!$C$73,FC_SUPUESTOS!$C$72*BA88)</f>
        <v>111946.813855794</v>
      </c>
      <c r="BB90" s="495" t="n">
        <f aca="false">MAX(FC_SUPUESTOS!$C$73,FC_SUPUESTOS!$C$72*BB88)</f>
        <v>111946.813855794</v>
      </c>
      <c r="BC90" s="495" t="n">
        <f aca="false">MAX(FC_SUPUESTOS!$C$73,FC_SUPUESTOS!$C$72*BC88)</f>
        <v>111946.813855794</v>
      </c>
      <c r="BD90" s="495" t="n">
        <f aca="false">MAX(FC_SUPUESTOS!$C$73,FC_SUPUESTOS!$C$72*BD88)</f>
        <v>111946.813855794</v>
      </c>
      <c r="BE90" s="495" t="n">
        <f aca="false">MAX(FC_SUPUESTOS!$C$73,FC_SUPUESTOS!$C$72*BE88)</f>
        <v>111946.813855794</v>
      </c>
      <c r="BF90" s="495" t="n">
        <f aca="false">MAX(FC_SUPUESTOS!$C$73,FC_SUPUESTOS!$C$72*BF88)</f>
        <v>111946.813855794</v>
      </c>
      <c r="BG90" s="495" t="n">
        <f aca="false">MAX(FC_SUPUESTOS!$C$73,FC_SUPUESTOS!$C$72*BG88)</f>
        <v>111946.813855794</v>
      </c>
      <c r="BH90" s="495" t="n">
        <f aca="false">MAX(FC_SUPUESTOS!$C$73,FC_SUPUESTOS!$C$72*BH88)</f>
        <v>111946.813855794</v>
      </c>
      <c r="BI90" s="495" t="n">
        <f aca="false">MAX(FC_SUPUESTOS!$C$73,FC_SUPUESTOS!$C$72*BI88)</f>
        <v>111946.813855794</v>
      </c>
      <c r="BJ90" s="495" t="n">
        <f aca="false">MAX(FC_SUPUESTOS!$C$73,FC_SUPUESTOS!$C$72*BJ88)</f>
        <v>111946.813855794</v>
      </c>
      <c r="BK90" s="495" t="n">
        <f aca="false">MAX(FC_SUPUESTOS!$C$73,FC_SUPUESTOS!$C$72*BK88)</f>
        <v>111946.813855794</v>
      </c>
    </row>
    <row r="91" customFormat="false" ht="15" hidden="false" customHeight="true" outlineLevel="0" collapsed="false">
      <c r="B91" s="297" t="s">
        <v>2986</v>
      </c>
      <c r="D91" s="495" t="n">
        <f aca="false">MAX(0,D90-(D89+D85))</f>
        <v>221477.017821178</v>
      </c>
      <c r="E91" s="495" t="n">
        <f aca="false">MAX(0,E90-(E89+E85))</f>
        <v>0</v>
      </c>
      <c r="F91" s="495" t="n">
        <f aca="false">MAX(0,F90-(F89+F85))</f>
        <v>2907.01782117796</v>
      </c>
      <c r="G91" s="495" t="n">
        <f aca="false">MAX(0,G90-(G89+G85))</f>
        <v>115767.752821178</v>
      </c>
      <c r="H91" s="495" t="n">
        <f aca="false">MAX(0,H90-(H89+H85))</f>
        <v>244542.916094828</v>
      </c>
      <c r="I91" s="495" t="n">
        <f aca="false">MAX(0,I90-(I89+I85))</f>
        <v>10257.9160948276</v>
      </c>
      <c r="J91" s="495" t="n">
        <f aca="false">MAX(0,J90-(J89+J85))</f>
        <v>137196.49675</v>
      </c>
      <c r="K91" s="495" t="n">
        <f aca="false">MAX(0,K90-(K89+K85))</f>
        <v>199004.381375</v>
      </c>
      <c r="L91" s="495" t="n">
        <f aca="false">MAX(0,L90-(L89+L85))</f>
        <v>426540.366</v>
      </c>
      <c r="M91" s="495" t="n">
        <f aca="false">MAX(0,M90-(M89+M85))</f>
        <v>141232.515331889</v>
      </c>
      <c r="N91" s="495" t="n">
        <f aca="false">MAX(0,N90-(N89+N85))</f>
        <v>175407.206196233</v>
      </c>
      <c r="O91" s="495" t="n">
        <f aca="false">MAX(0,O90-(O89+O85))</f>
        <v>129615.205531381</v>
      </c>
      <c r="P91" s="495" t="n">
        <f aca="false">MAX(0,P90-(P89+P85))</f>
        <v>46162.3033345936</v>
      </c>
      <c r="Q91" s="495" t="n">
        <f aca="false">MAX(0,Q90-(Q89+Q85))</f>
        <v>0</v>
      </c>
      <c r="R91" s="495" t="n">
        <f aca="false">MAX(0,R90-(R89+R85))</f>
        <v>0</v>
      </c>
      <c r="S91" s="495" t="n">
        <f aca="false">MAX(0,S90-(S89+S85))</f>
        <v>0</v>
      </c>
      <c r="T91" s="495" t="n">
        <f aca="false">MAX(0,T90-(T89+T85))</f>
        <v>0</v>
      </c>
      <c r="U91" s="495" t="n">
        <f aca="false">MAX(0,U90-(U89+U85))</f>
        <v>0</v>
      </c>
      <c r="V91" s="495" t="n">
        <f aca="false">MAX(0,V90-(V89+V85))</f>
        <v>0</v>
      </c>
      <c r="W91" s="495" t="n">
        <f aca="false">MAX(0,W90-(W89+W85))</f>
        <v>0</v>
      </c>
      <c r="X91" s="495" t="n">
        <f aca="false">MAX(0,X90-(X89+X85))</f>
        <v>0</v>
      </c>
      <c r="Y91" s="495" t="n">
        <f aca="false">MAX(0,Y90-(Y89+Y85))</f>
        <v>0</v>
      </c>
      <c r="Z91" s="495" t="n">
        <f aca="false">MAX(0,Z90-(Z89+Z85))</f>
        <v>0</v>
      </c>
      <c r="AA91" s="495" t="n">
        <f aca="false">MAX(0,AA90-(AA89+AA85))</f>
        <v>0</v>
      </c>
      <c r="AB91" s="495" t="n">
        <f aca="false">MAX(0,AB90-(AB89+AB85))</f>
        <v>0</v>
      </c>
      <c r="AC91" s="495" t="n">
        <f aca="false">MAX(0,AC90-(AC89+AC85))</f>
        <v>0</v>
      </c>
      <c r="AD91" s="495" t="n">
        <f aca="false">MAX(0,AD90-(AD89+AD85))</f>
        <v>0</v>
      </c>
      <c r="AE91" s="495" t="n">
        <f aca="false">MAX(0,AE90-(AE89+AE85))</f>
        <v>0</v>
      </c>
      <c r="AF91" s="495" t="n">
        <f aca="false">MAX(0,AF90-(AF89+AF85))</f>
        <v>0</v>
      </c>
      <c r="AG91" s="495" t="n">
        <f aca="false">MAX(0,AG90-(AG89+AG85))</f>
        <v>0</v>
      </c>
      <c r="AH91" s="495" t="n">
        <f aca="false">MAX(0,AH90-(AH89+AH85))</f>
        <v>0</v>
      </c>
      <c r="AI91" s="495" t="n">
        <f aca="false">MAX(0,AI90-(AI89+AI85))</f>
        <v>0</v>
      </c>
      <c r="AJ91" s="495" t="n">
        <f aca="false">MAX(0,AJ90-(AJ89+AJ85))</f>
        <v>0</v>
      </c>
      <c r="AK91" s="495" t="n">
        <f aca="false">MAX(0,AK90-(AK89+AK85))</f>
        <v>0</v>
      </c>
      <c r="AL91" s="495" t="n">
        <f aca="false">MAX(0,AL90-(AL89+AL85))</f>
        <v>0</v>
      </c>
      <c r="AM91" s="495" t="n">
        <f aca="false">MAX(0,AM90-(AM89+AM85))</f>
        <v>0</v>
      </c>
      <c r="AN91" s="495" t="n">
        <f aca="false">MAX(0,AN90-(AN89+AN85))</f>
        <v>0</v>
      </c>
      <c r="AO91" s="495" t="n">
        <f aca="false">MAX(0,AO90-(AO89+AO85))</f>
        <v>0</v>
      </c>
      <c r="AP91" s="495" t="n">
        <f aca="false">MAX(0,AP90-(AP89+AP85))</f>
        <v>0</v>
      </c>
      <c r="AQ91" s="495" t="n">
        <f aca="false">MAX(0,AQ90-(AQ89+AQ85))</f>
        <v>0</v>
      </c>
      <c r="AR91" s="495" t="n">
        <f aca="false">MAX(0,AR90-(AR89+AR85))</f>
        <v>0</v>
      </c>
      <c r="AS91" s="495" t="n">
        <f aca="false">MAX(0,AS90-(AS89+AS85))</f>
        <v>0</v>
      </c>
      <c r="AT91" s="495" t="n">
        <f aca="false">MAX(0,AT90-(AT89+AT85))</f>
        <v>0</v>
      </c>
      <c r="AU91" s="495" t="n">
        <f aca="false">MAX(0,AU90-(AU89+AU85))</f>
        <v>0</v>
      </c>
      <c r="AV91" s="495" t="n">
        <f aca="false">MAX(0,AV90-(AV89+AV85))</f>
        <v>0</v>
      </c>
      <c r="AW91" s="495" t="n">
        <f aca="false">MAX(0,AW90-(AW89+AW85))</f>
        <v>0</v>
      </c>
      <c r="AX91" s="495" t="n">
        <f aca="false">MAX(0,AX90-(AX89+AX85))</f>
        <v>0</v>
      </c>
      <c r="AY91" s="495" t="n">
        <f aca="false">MAX(0,AY90-(AY89+AY85))</f>
        <v>0</v>
      </c>
      <c r="AZ91" s="495" t="n">
        <f aca="false">MAX(0,AZ90-(AZ89+AZ85))</f>
        <v>0</v>
      </c>
      <c r="BA91" s="495" t="n">
        <f aca="false">MAX(0,BA90-(BA89+BA85))</f>
        <v>0</v>
      </c>
      <c r="BB91" s="495" t="n">
        <f aca="false">MAX(0,BB90-(BB89+BB85))</f>
        <v>0</v>
      </c>
      <c r="BC91" s="495" t="n">
        <f aca="false">MAX(0,BC90-(BC89+BC85))</f>
        <v>0</v>
      </c>
      <c r="BD91" s="495" t="n">
        <f aca="false">MAX(0,BD90-(BD89+BD85))</f>
        <v>0</v>
      </c>
      <c r="BE91" s="495" t="n">
        <f aca="false">MAX(0,BE90-(BE89+BE85))</f>
        <v>0</v>
      </c>
      <c r="BF91" s="495" t="n">
        <f aca="false">MAX(0,BF90-(BF89+BF85))</f>
        <v>0</v>
      </c>
      <c r="BG91" s="495" t="n">
        <f aca="false">MAX(0,BG90-(BG89+BG85))</f>
        <v>0</v>
      </c>
      <c r="BH91" s="495" t="n">
        <f aca="false">MAX(0,BH90-(BH89+BH85))</f>
        <v>0</v>
      </c>
      <c r="BI91" s="495" t="n">
        <f aca="false">MAX(0,BI90-(BI89+BI85))</f>
        <v>0</v>
      </c>
      <c r="BJ91" s="495" t="n">
        <f aca="false">MAX(0,BJ90-(BJ89+BJ85))</f>
        <v>0</v>
      </c>
      <c r="BK91" s="495" t="n">
        <f aca="false">MAX(0,BK90-(BK89+BK85))</f>
        <v>0</v>
      </c>
    </row>
    <row r="92" customFormat="false" ht="15" hidden="false" customHeight="true" outlineLevel="0" collapsed="false">
      <c r="A92" s="218"/>
      <c r="B92" s="493" t="s">
        <v>2987</v>
      </c>
      <c r="C92" s="218"/>
      <c r="D92" s="494" t="n">
        <f aca="false">IF(D91&lt;=0,0,ROUNDUP(D91/FC_SUPUESTOS!$C$74,0)*FC_SUPUESTOS!$C$74)</f>
        <v>250000</v>
      </c>
      <c r="E92" s="494" t="n">
        <f aca="false">IF(E91&lt;=0,0,ROUNDUP(E91/FC_SUPUESTOS!$C$74,0)*FC_SUPUESTOS!$C$74)</f>
        <v>0</v>
      </c>
      <c r="F92" s="494" t="n">
        <f aca="false">IF(F91&lt;=0,0,ROUNDUP(F91/FC_SUPUESTOS!$C$74,0)*FC_SUPUESTOS!$C$74)</f>
        <v>50000</v>
      </c>
      <c r="G92" s="494" t="n">
        <f aca="false">IF(G91&lt;=0,0,ROUNDUP(G91/FC_SUPUESTOS!$C$74,0)*FC_SUPUESTOS!$C$74)</f>
        <v>150000</v>
      </c>
      <c r="H92" s="494" t="n">
        <f aca="false">IF(H91&lt;=0,0,ROUNDUP(H91/FC_SUPUESTOS!$C$74,0)*FC_SUPUESTOS!$C$74)</f>
        <v>250000</v>
      </c>
      <c r="I92" s="494" t="n">
        <f aca="false">IF(I91&lt;=0,0,ROUNDUP(I91/FC_SUPUESTOS!$C$74,0)*FC_SUPUESTOS!$C$74)</f>
        <v>50000</v>
      </c>
      <c r="J92" s="494" t="n">
        <f aca="false">IF(J91&lt;=0,0,ROUNDUP(J91/FC_SUPUESTOS!$C$74,0)*FC_SUPUESTOS!$C$74)</f>
        <v>150000</v>
      </c>
      <c r="K92" s="494" t="n">
        <f aca="false">IF(K91&lt;=0,0,ROUNDUP(K91/FC_SUPUESTOS!$C$74,0)*FC_SUPUESTOS!$C$74)</f>
        <v>200000</v>
      </c>
      <c r="L92" s="494" t="n">
        <f aca="false">IF(L91&lt;=0,0,ROUNDUP(L91/FC_SUPUESTOS!$C$74,0)*FC_SUPUESTOS!$C$74)</f>
        <v>450000</v>
      </c>
      <c r="M92" s="494" t="n">
        <f aca="false">IF(M91&lt;=0,0,ROUNDUP(M91/FC_SUPUESTOS!$C$74,0)*FC_SUPUESTOS!$C$74)</f>
        <v>150000</v>
      </c>
      <c r="N92" s="494" t="n">
        <f aca="false">IF(N91&lt;=0,0,ROUNDUP(N91/FC_SUPUESTOS!$C$74,0)*FC_SUPUESTOS!$C$74)</f>
        <v>200000</v>
      </c>
      <c r="O92" s="494" t="n">
        <f aca="false">IF(O91&lt;=0,0,ROUNDUP(O91/FC_SUPUESTOS!$C$74,0)*FC_SUPUESTOS!$C$74)</f>
        <v>150000</v>
      </c>
      <c r="P92" s="494" t="n">
        <f aca="false">IF(P91&lt;=0,0,ROUNDUP(P91/FC_SUPUESTOS!$C$74,0)*FC_SUPUESTOS!$C$74)</f>
        <v>50000</v>
      </c>
      <c r="Q92" s="494" t="n">
        <f aca="false">IF(Q91&lt;=0,0,ROUNDUP(Q91/FC_SUPUESTOS!$C$74,0)*FC_SUPUESTOS!$C$74)</f>
        <v>0</v>
      </c>
      <c r="R92" s="494" t="n">
        <f aca="false">IF(R91&lt;=0,0,ROUNDUP(R91/FC_SUPUESTOS!$C$74,0)*FC_SUPUESTOS!$C$74)</f>
        <v>0</v>
      </c>
      <c r="S92" s="494" t="n">
        <f aca="false">IF(S91&lt;=0,0,ROUNDUP(S91/FC_SUPUESTOS!$C$74,0)*FC_SUPUESTOS!$C$74)</f>
        <v>0</v>
      </c>
      <c r="T92" s="494" t="n">
        <f aca="false">IF(T91&lt;=0,0,ROUNDUP(T91/FC_SUPUESTOS!$C$74,0)*FC_SUPUESTOS!$C$74)</f>
        <v>0</v>
      </c>
      <c r="U92" s="494" t="n">
        <f aca="false">IF(U91&lt;=0,0,ROUNDUP(U91/FC_SUPUESTOS!$C$74,0)*FC_SUPUESTOS!$C$74)</f>
        <v>0</v>
      </c>
      <c r="V92" s="494" t="n">
        <f aca="false">IF(V91&lt;=0,0,ROUNDUP(V91/FC_SUPUESTOS!$C$74,0)*FC_SUPUESTOS!$C$74)</f>
        <v>0</v>
      </c>
      <c r="W92" s="494" t="n">
        <f aca="false">IF(W91&lt;=0,0,ROUNDUP(W91/FC_SUPUESTOS!$C$74,0)*FC_SUPUESTOS!$C$74)</f>
        <v>0</v>
      </c>
      <c r="X92" s="494" t="n">
        <f aca="false">IF(X91&lt;=0,0,ROUNDUP(X91/FC_SUPUESTOS!$C$74,0)*FC_SUPUESTOS!$C$74)</f>
        <v>0</v>
      </c>
      <c r="Y92" s="494" t="n">
        <f aca="false">IF(Y91&lt;=0,0,ROUNDUP(Y91/FC_SUPUESTOS!$C$74,0)*FC_SUPUESTOS!$C$74)</f>
        <v>0</v>
      </c>
      <c r="Z92" s="494" t="n">
        <f aca="false">IF(Z91&lt;=0,0,ROUNDUP(Z91/FC_SUPUESTOS!$C$74,0)*FC_SUPUESTOS!$C$74)</f>
        <v>0</v>
      </c>
      <c r="AA92" s="494" t="n">
        <f aca="false">IF(AA91&lt;=0,0,ROUNDUP(AA91/FC_SUPUESTOS!$C$74,0)*FC_SUPUESTOS!$C$74)</f>
        <v>0</v>
      </c>
      <c r="AB92" s="494" t="n">
        <f aca="false">IF(AB91&lt;=0,0,ROUNDUP(AB91/FC_SUPUESTOS!$C$74,0)*FC_SUPUESTOS!$C$74)</f>
        <v>0</v>
      </c>
      <c r="AC92" s="494" t="n">
        <f aca="false">IF(AC91&lt;=0,0,ROUNDUP(AC91/FC_SUPUESTOS!$C$74,0)*FC_SUPUESTOS!$C$74)</f>
        <v>0</v>
      </c>
      <c r="AD92" s="494" t="n">
        <f aca="false">IF(AD91&lt;=0,0,ROUNDUP(AD91/FC_SUPUESTOS!$C$74,0)*FC_SUPUESTOS!$C$74)</f>
        <v>0</v>
      </c>
      <c r="AE92" s="494" t="n">
        <f aca="false">IF(AE91&lt;=0,0,ROUNDUP(AE91/FC_SUPUESTOS!$C$74,0)*FC_SUPUESTOS!$C$74)</f>
        <v>0</v>
      </c>
      <c r="AF92" s="494" t="n">
        <f aca="false">IF(AF91&lt;=0,0,ROUNDUP(AF91/FC_SUPUESTOS!$C$74,0)*FC_SUPUESTOS!$C$74)</f>
        <v>0</v>
      </c>
      <c r="AG92" s="494" t="n">
        <f aca="false">IF(AG91&lt;=0,0,ROUNDUP(AG91/FC_SUPUESTOS!$C$74,0)*FC_SUPUESTOS!$C$74)</f>
        <v>0</v>
      </c>
      <c r="AH92" s="494" t="n">
        <f aca="false">IF(AH91&lt;=0,0,ROUNDUP(AH91/FC_SUPUESTOS!$C$74,0)*FC_SUPUESTOS!$C$74)</f>
        <v>0</v>
      </c>
      <c r="AI92" s="494" t="n">
        <f aca="false">IF(AI91&lt;=0,0,ROUNDUP(AI91/FC_SUPUESTOS!$C$74,0)*FC_SUPUESTOS!$C$74)</f>
        <v>0</v>
      </c>
      <c r="AJ92" s="494" t="n">
        <f aca="false">IF(AJ91&lt;=0,0,ROUNDUP(AJ91/FC_SUPUESTOS!$C$74,0)*FC_SUPUESTOS!$C$74)</f>
        <v>0</v>
      </c>
      <c r="AK92" s="494" t="n">
        <f aca="false">IF(AK91&lt;=0,0,ROUNDUP(AK91/FC_SUPUESTOS!$C$74,0)*FC_SUPUESTOS!$C$74)</f>
        <v>0</v>
      </c>
      <c r="AL92" s="494" t="n">
        <f aca="false">IF(AL91&lt;=0,0,ROUNDUP(AL91/FC_SUPUESTOS!$C$74,0)*FC_SUPUESTOS!$C$74)</f>
        <v>0</v>
      </c>
      <c r="AM92" s="494" t="n">
        <f aca="false">IF(AM91&lt;=0,0,ROUNDUP(AM91/FC_SUPUESTOS!$C$74,0)*FC_SUPUESTOS!$C$74)</f>
        <v>0</v>
      </c>
      <c r="AN92" s="494" t="n">
        <f aca="false">IF(AN91&lt;=0,0,ROUNDUP(AN91/FC_SUPUESTOS!$C$74,0)*FC_SUPUESTOS!$C$74)</f>
        <v>0</v>
      </c>
      <c r="AO92" s="494" t="n">
        <f aca="false">IF(AO91&lt;=0,0,ROUNDUP(AO91/FC_SUPUESTOS!$C$74,0)*FC_SUPUESTOS!$C$74)</f>
        <v>0</v>
      </c>
      <c r="AP92" s="494" t="n">
        <f aca="false">IF(AP91&lt;=0,0,ROUNDUP(AP91/FC_SUPUESTOS!$C$74,0)*FC_SUPUESTOS!$C$74)</f>
        <v>0</v>
      </c>
      <c r="AQ92" s="494" t="n">
        <f aca="false">IF(AQ91&lt;=0,0,ROUNDUP(AQ91/FC_SUPUESTOS!$C$74,0)*FC_SUPUESTOS!$C$74)</f>
        <v>0</v>
      </c>
      <c r="AR92" s="494" t="n">
        <f aca="false">IF(AR91&lt;=0,0,ROUNDUP(AR91/FC_SUPUESTOS!$C$74,0)*FC_SUPUESTOS!$C$74)</f>
        <v>0</v>
      </c>
      <c r="AS92" s="494" t="n">
        <f aca="false">IF(AS91&lt;=0,0,ROUNDUP(AS91/FC_SUPUESTOS!$C$74,0)*FC_SUPUESTOS!$C$74)</f>
        <v>0</v>
      </c>
      <c r="AT92" s="494" t="n">
        <f aca="false">IF(AT91&lt;=0,0,ROUNDUP(AT91/FC_SUPUESTOS!$C$74,0)*FC_SUPUESTOS!$C$74)</f>
        <v>0</v>
      </c>
      <c r="AU92" s="494" t="n">
        <f aca="false">IF(AU91&lt;=0,0,ROUNDUP(AU91/FC_SUPUESTOS!$C$74,0)*FC_SUPUESTOS!$C$74)</f>
        <v>0</v>
      </c>
      <c r="AV92" s="494" t="n">
        <f aca="false">IF(AV91&lt;=0,0,ROUNDUP(AV91/FC_SUPUESTOS!$C$74,0)*FC_SUPUESTOS!$C$74)</f>
        <v>0</v>
      </c>
      <c r="AW92" s="494" t="n">
        <f aca="false">IF(AW91&lt;=0,0,ROUNDUP(AW91/FC_SUPUESTOS!$C$74,0)*FC_SUPUESTOS!$C$74)</f>
        <v>0</v>
      </c>
      <c r="AX92" s="494" t="n">
        <f aca="false">IF(AX91&lt;=0,0,ROUNDUP(AX91/FC_SUPUESTOS!$C$74,0)*FC_SUPUESTOS!$C$74)</f>
        <v>0</v>
      </c>
      <c r="AY92" s="494" t="n">
        <f aca="false">IF(AY91&lt;=0,0,ROUNDUP(AY91/FC_SUPUESTOS!$C$74,0)*FC_SUPUESTOS!$C$74)</f>
        <v>0</v>
      </c>
      <c r="AZ92" s="494" t="n">
        <f aca="false">IF(AZ91&lt;=0,0,ROUNDUP(AZ91/FC_SUPUESTOS!$C$74,0)*FC_SUPUESTOS!$C$74)</f>
        <v>0</v>
      </c>
      <c r="BA92" s="494" t="n">
        <f aca="false">IF(BA91&lt;=0,0,ROUNDUP(BA91/FC_SUPUESTOS!$C$74,0)*FC_SUPUESTOS!$C$74)</f>
        <v>0</v>
      </c>
      <c r="BB92" s="494" t="n">
        <f aca="false">IF(BB91&lt;=0,0,ROUNDUP(BB91/FC_SUPUESTOS!$C$74,0)*FC_SUPUESTOS!$C$74)</f>
        <v>0</v>
      </c>
      <c r="BC92" s="494" t="n">
        <f aca="false">IF(BC91&lt;=0,0,ROUNDUP(BC91/FC_SUPUESTOS!$C$74,0)*FC_SUPUESTOS!$C$74)</f>
        <v>0</v>
      </c>
      <c r="BD92" s="494" t="n">
        <f aca="false">IF(BD91&lt;=0,0,ROUNDUP(BD91/FC_SUPUESTOS!$C$74,0)*FC_SUPUESTOS!$C$74)</f>
        <v>0</v>
      </c>
      <c r="BE92" s="494" t="n">
        <f aca="false">IF(BE91&lt;=0,0,ROUNDUP(BE91/FC_SUPUESTOS!$C$74,0)*FC_SUPUESTOS!$C$74)</f>
        <v>0</v>
      </c>
      <c r="BF92" s="494" t="n">
        <f aca="false">IF(BF91&lt;=0,0,ROUNDUP(BF91/FC_SUPUESTOS!$C$74,0)*FC_SUPUESTOS!$C$74)</f>
        <v>0</v>
      </c>
      <c r="BG92" s="494" t="n">
        <f aca="false">IF(BG91&lt;=0,0,ROUNDUP(BG91/FC_SUPUESTOS!$C$74,0)*FC_SUPUESTOS!$C$74)</f>
        <v>0</v>
      </c>
      <c r="BH92" s="494" t="n">
        <f aca="false">IF(BH91&lt;=0,0,ROUNDUP(BH91/FC_SUPUESTOS!$C$74,0)*FC_SUPUESTOS!$C$74)</f>
        <v>0</v>
      </c>
      <c r="BI92" s="494" t="n">
        <f aca="false">IF(BI91&lt;=0,0,ROUNDUP(BI91/FC_SUPUESTOS!$C$74,0)*FC_SUPUESTOS!$C$74)</f>
        <v>0</v>
      </c>
      <c r="BJ92" s="494" t="n">
        <f aca="false">IF(BJ91&lt;=0,0,ROUNDUP(BJ91/FC_SUPUESTOS!$C$74,0)*FC_SUPUESTOS!$C$74)</f>
        <v>0</v>
      </c>
      <c r="BK92" s="494" t="n">
        <f aca="false">IF(BK91&lt;=0,0,ROUNDUP(BK91/FC_SUPUESTOS!$C$74,0)*FC_SUPUESTOS!$C$74)</f>
        <v>0</v>
      </c>
    </row>
    <row r="93" customFormat="false" ht="15" hidden="false" customHeight="true" outlineLevel="0" collapsed="false">
      <c r="A93" s="218"/>
      <c r="B93" s="493" t="s">
        <v>2988</v>
      </c>
      <c r="C93" s="218"/>
      <c r="D93" s="494" t="n">
        <f aca="false">D92</f>
        <v>250000</v>
      </c>
      <c r="E93" s="494" t="n">
        <f aca="false">D93+E92</f>
        <v>250000</v>
      </c>
      <c r="F93" s="494" t="n">
        <f aca="false">E93+F92</f>
        <v>300000</v>
      </c>
      <c r="G93" s="494" t="n">
        <f aca="false">F93+G92</f>
        <v>450000</v>
      </c>
      <c r="H93" s="494" t="n">
        <f aca="false">G93+H92</f>
        <v>700000</v>
      </c>
      <c r="I93" s="494" t="n">
        <f aca="false">H93+I92</f>
        <v>750000</v>
      </c>
      <c r="J93" s="494" t="n">
        <f aca="false">I93+J92</f>
        <v>900000</v>
      </c>
      <c r="K93" s="494" t="n">
        <f aca="false">J93+K92</f>
        <v>1100000</v>
      </c>
      <c r="L93" s="494" t="n">
        <f aca="false">K93+L92</f>
        <v>1550000</v>
      </c>
      <c r="M93" s="494" t="n">
        <f aca="false">L93+M92</f>
        <v>1700000</v>
      </c>
      <c r="N93" s="494" t="n">
        <f aca="false">M93+N92</f>
        <v>1900000</v>
      </c>
      <c r="O93" s="494" t="n">
        <f aca="false">N93+O92</f>
        <v>2050000</v>
      </c>
      <c r="P93" s="494" t="n">
        <f aca="false">O93+P92</f>
        <v>2100000</v>
      </c>
      <c r="Q93" s="494" t="n">
        <f aca="false">P93+Q92</f>
        <v>2100000</v>
      </c>
      <c r="R93" s="494" t="n">
        <f aca="false">Q93+R92</f>
        <v>2100000</v>
      </c>
      <c r="S93" s="494" t="n">
        <f aca="false">R93+S92</f>
        <v>2100000</v>
      </c>
      <c r="T93" s="494" t="n">
        <f aca="false">S93+T92</f>
        <v>2100000</v>
      </c>
      <c r="U93" s="494" t="n">
        <f aca="false">T93+U92</f>
        <v>2100000</v>
      </c>
      <c r="V93" s="494" t="n">
        <f aca="false">U93+V92</f>
        <v>2100000</v>
      </c>
      <c r="W93" s="494" t="n">
        <f aca="false">V93+W92</f>
        <v>2100000</v>
      </c>
      <c r="X93" s="494" t="n">
        <f aca="false">W93+X92</f>
        <v>2100000</v>
      </c>
      <c r="Y93" s="494" t="n">
        <f aca="false">X93+Y92</f>
        <v>2100000</v>
      </c>
      <c r="Z93" s="494" t="n">
        <f aca="false">Y93+Z92</f>
        <v>2100000</v>
      </c>
      <c r="AA93" s="494" t="n">
        <f aca="false">Z93+AA92</f>
        <v>2100000</v>
      </c>
      <c r="AB93" s="494" t="n">
        <f aca="false">AA93+AB92</f>
        <v>2100000</v>
      </c>
      <c r="AC93" s="494" t="n">
        <f aca="false">AB93+AC92</f>
        <v>2100000</v>
      </c>
      <c r="AD93" s="494" t="n">
        <f aca="false">AC93+AD92</f>
        <v>2100000</v>
      </c>
      <c r="AE93" s="494" t="n">
        <f aca="false">AD93+AE92</f>
        <v>2100000</v>
      </c>
      <c r="AF93" s="494" t="n">
        <f aca="false">AE93+AF92</f>
        <v>2100000</v>
      </c>
      <c r="AG93" s="494" t="n">
        <f aca="false">AF93+AG92</f>
        <v>2100000</v>
      </c>
      <c r="AH93" s="494" t="n">
        <f aca="false">AG93+AH92</f>
        <v>2100000</v>
      </c>
      <c r="AI93" s="494" t="n">
        <f aca="false">AH93+AI92</f>
        <v>2100000</v>
      </c>
      <c r="AJ93" s="494" t="n">
        <f aca="false">AI93+AJ92</f>
        <v>2100000</v>
      </c>
      <c r="AK93" s="494" t="n">
        <f aca="false">AJ93+AK92</f>
        <v>2100000</v>
      </c>
      <c r="AL93" s="494" t="n">
        <f aca="false">AK93+AL92</f>
        <v>2100000</v>
      </c>
      <c r="AM93" s="494" t="n">
        <f aca="false">AL93+AM92</f>
        <v>2100000</v>
      </c>
      <c r="AN93" s="494" t="n">
        <f aca="false">AM93+AN92</f>
        <v>2100000</v>
      </c>
      <c r="AO93" s="494" t="n">
        <f aca="false">AN93+AO92</f>
        <v>2100000</v>
      </c>
      <c r="AP93" s="494" t="n">
        <f aca="false">AO93+AP92</f>
        <v>2100000</v>
      </c>
      <c r="AQ93" s="494" t="n">
        <f aca="false">AP93+AQ92</f>
        <v>2100000</v>
      </c>
      <c r="AR93" s="494" t="n">
        <f aca="false">AQ93+AR92</f>
        <v>2100000</v>
      </c>
      <c r="AS93" s="494" t="n">
        <f aca="false">AR93+AS92</f>
        <v>2100000</v>
      </c>
      <c r="AT93" s="494" t="n">
        <f aca="false">AS93+AT92</f>
        <v>2100000</v>
      </c>
      <c r="AU93" s="494" t="n">
        <f aca="false">AT93+AU92</f>
        <v>2100000</v>
      </c>
      <c r="AV93" s="494" t="n">
        <f aca="false">AU93+AV92</f>
        <v>2100000</v>
      </c>
      <c r="AW93" s="494" t="n">
        <f aca="false">AV93+AW92</f>
        <v>2100000</v>
      </c>
      <c r="AX93" s="494" t="n">
        <f aca="false">AW93+AX92</f>
        <v>2100000</v>
      </c>
      <c r="AY93" s="494" t="n">
        <f aca="false">AX93+AY92</f>
        <v>2100000</v>
      </c>
      <c r="AZ93" s="494" t="n">
        <f aca="false">AY93+AZ92</f>
        <v>2100000</v>
      </c>
      <c r="BA93" s="494" t="n">
        <f aca="false">AZ93+BA92</f>
        <v>2100000</v>
      </c>
      <c r="BB93" s="494" t="n">
        <f aca="false">BA93+BB92</f>
        <v>2100000</v>
      </c>
      <c r="BC93" s="494" t="n">
        <f aca="false">BB93+BC92</f>
        <v>2100000</v>
      </c>
      <c r="BD93" s="494" t="n">
        <f aca="false">BC93+BD92</f>
        <v>2100000</v>
      </c>
      <c r="BE93" s="494" t="n">
        <f aca="false">BD93+BE92</f>
        <v>2100000</v>
      </c>
      <c r="BF93" s="494" t="n">
        <f aca="false">BE93+BF92</f>
        <v>2100000</v>
      </c>
      <c r="BG93" s="494" t="n">
        <f aca="false">BF93+BG92</f>
        <v>2100000</v>
      </c>
      <c r="BH93" s="494" t="n">
        <f aca="false">BG93+BH92</f>
        <v>2100000</v>
      </c>
      <c r="BI93" s="494" t="n">
        <f aca="false">BH93+BI92</f>
        <v>2100000</v>
      </c>
      <c r="BJ93" s="494" t="n">
        <f aca="false">BI93+BJ92</f>
        <v>2100000</v>
      </c>
      <c r="BK93" s="494" t="n">
        <f aca="false">BJ93+BK92</f>
        <v>2100000</v>
      </c>
    </row>
    <row r="94" customFormat="false" ht="15" hidden="false" customHeight="true" outlineLevel="0" collapsed="false">
      <c r="A94" s="218"/>
      <c r="B94" s="493" t="s">
        <v>2989</v>
      </c>
      <c r="C94" s="218"/>
      <c r="D94" s="494" t="n">
        <f aca="false">D89+D85+D92</f>
        <v>78522.982178822</v>
      </c>
      <c r="E94" s="494" t="n">
        <f aca="false">E89+E85+E92</f>
        <v>62807.982178822</v>
      </c>
      <c r="F94" s="494" t="n">
        <f aca="false">F89+F85+F92</f>
        <v>97092.982178822</v>
      </c>
      <c r="G94" s="494" t="n">
        <f aca="false">G89+G85+G92</f>
        <v>84232.247178822</v>
      </c>
      <c r="H94" s="494" t="n">
        <f aca="false">H89+H85+H92</f>
        <v>55457.0839051724</v>
      </c>
      <c r="I94" s="494" t="n">
        <f aca="false">I89+I85+I92</f>
        <v>89742.0839051724</v>
      </c>
      <c r="J94" s="494" t="n">
        <f aca="false">J89+J85+J92</f>
        <v>62803.50325</v>
      </c>
      <c r="K94" s="494" t="n">
        <f aca="false">K89+K85+K92</f>
        <v>50995.618625</v>
      </c>
      <c r="L94" s="494" t="n">
        <f aca="false">L89+L85+L92</f>
        <v>73459.6340000001</v>
      </c>
      <c r="M94" s="494" t="n">
        <f aca="false">M89+M85+M92</f>
        <v>58767.4846681107</v>
      </c>
      <c r="N94" s="494" t="n">
        <f aca="false">N89+N85+N92</f>
        <v>85907.3594287671</v>
      </c>
      <c r="O94" s="494" t="n">
        <f aca="false">O89+O85+O92</f>
        <v>102145.085374654</v>
      </c>
      <c r="P94" s="494" t="n">
        <f aca="false">P89+P85+P92</f>
        <v>107576.946913704</v>
      </c>
      <c r="Q94" s="494" t="n">
        <f aca="false">Q89+Q85+Q92</f>
        <v>183391.687768625</v>
      </c>
      <c r="R94" s="494" t="n">
        <f aca="false">R89+R85+R92</f>
        <v>257278.392822418</v>
      </c>
      <c r="S94" s="494" t="n">
        <f aca="false">S89+S85+S92</f>
        <v>329064.449437419</v>
      </c>
      <c r="T94" s="494" t="n">
        <f aca="false">T89+T85+T92</f>
        <v>388175.219276496</v>
      </c>
      <c r="U94" s="494" t="n">
        <f aca="false">U89+U85+U92</f>
        <v>443696.88583469</v>
      </c>
      <c r="V94" s="494" t="n">
        <f aca="false">V89+V85+V92</f>
        <v>497314.130243843</v>
      </c>
      <c r="W94" s="494" t="n">
        <f aca="false">W89+W85+W92</f>
        <v>550931.374652997</v>
      </c>
      <c r="X94" s="494" t="n">
        <f aca="false">X89+X85+X92</f>
        <v>604548.61906215</v>
      </c>
      <c r="Y94" s="494" t="n">
        <f aca="false">Y89+Y85+Y92</f>
        <v>658165.863471303</v>
      </c>
      <c r="Z94" s="494" t="n">
        <f aca="false">Z89+Z85+Z92</f>
        <v>711783.107880457</v>
      </c>
      <c r="AA94" s="494" t="n">
        <f aca="false">AA89+AA85+AA92</f>
        <v>765400.35228961</v>
      </c>
      <c r="AB94" s="494" t="n">
        <f aca="false">AB89+AB85+AB92</f>
        <v>824934.246344922</v>
      </c>
      <c r="AC94" s="494" t="n">
        <f aca="false">AC89+AC85+AC92</f>
        <v>884468.140400234</v>
      </c>
      <c r="AD94" s="494" t="n">
        <f aca="false">AD89+AD85+AD92</f>
        <v>944002.034455546</v>
      </c>
      <c r="AE94" s="494" t="n">
        <f aca="false">AE89+AE85+AE92</f>
        <v>1001524.26763116</v>
      </c>
      <c r="AF94" s="494" t="n">
        <f aca="false">AF89+AF85+AF92</f>
        <v>1059046.50080678</v>
      </c>
      <c r="AG94" s="494" t="n">
        <f aca="false">AG89+AG85+AG92</f>
        <v>1116568.7339824</v>
      </c>
      <c r="AH94" s="494" t="n">
        <f aca="false">AH89+AH85+AH92</f>
        <v>1174090.96715802</v>
      </c>
      <c r="AI94" s="494" t="n">
        <f aca="false">AI89+AI85+AI92</f>
        <v>1231613.20033364</v>
      </c>
      <c r="AJ94" s="494" t="n">
        <f aca="false">AJ89+AJ85+AJ92</f>
        <v>1289135.43350925</v>
      </c>
      <c r="AK94" s="494" t="n">
        <f aca="false">AK89+AK85+AK92</f>
        <v>1346657.66668487</v>
      </c>
      <c r="AL94" s="494" t="n">
        <f aca="false">AL89+AL85+AL92</f>
        <v>1404179.89986049</v>
      </c>
      <c r="AM94" s="494" t="n">
        <f aca="false">AM89+AM85+AM92</f>
        <v>1461702.13303611</v>
      </c>
      <c r="AN94" s="494" t="n">
        <f aca="false">AN89+AN85+AN92</f>
        <v>1522182.69103481</v>
      </c>
      <c r="AO94" s="494" t="n">
        <f aca="false">AO89+AO85+AO92</f>
        <v>1582663.2490335</v>
      </c>
      <c r="AP94" s="494" t="n">
        <f aca="false">AP89+AP85+AP92</f>
        <v>1643143.8070322</v>
      </c>
      <c r="AQ94" s="494" t="n">
        <f aca="false">AQ89+AQ85+AQ92</f>
        <v>1702618.53459105</v>
      </c>
      <c r="AR94" s="494" t="n">
        <f aca="false">AR89+AR85+AR92</f>
        <v>1762093.2621499</v>
      </c>
      <c r="AS94" s="494" t="n">
        <f aca="false">AS89+AS85+AS92</f>
        <v>1821567.98970875</v>
      </c>
      <c r="AT94" s="494" t="n">
        <f aca="false">AT89+AT85+AT92</f>
        <v>1881042.7172676</v>
      </c>
      <c r="AU94" s="494" t="n">
        <f aca="false">AU89+AU85+AU92</f>
        <v>1940517.44482645</v>
      </c>
      <c r="AV94" s="494" t="n">
        <f aca="false">AV89+AV85+AV92</f>
        <v>1999992.1723853</v>
      </c>
      <c r="AW94" s="494" t="n">
        <f aca="false">AW89+AW85+AW92</f>
        <v>2059466.89994416</v>
      </c>
      <c r="AX94" s="494" t="n">
        <f aca="false">AX89+AX85+AX92</f>
        <v>2118941.62750301</v>
      </c>
      <c r="AY94" s="494" t="n">
        <f aca="false">AY89+AY85+AY92</f>
        <v>2178416.35506186</v>
      </c>
      <c r="AZ94" s="494" t="n">
        <f aca="false">AZ89+AZ85+AZ92</f>
        <v>2240849.40744379</v>
      </c>
      <c r="BA94" s="494" t="n">
        <f aca="false">BA89+BA85+BA92</f>
        <v>2303282.45982572</v>
      </c>
      <c r="BB94" s="494" t="n">
        <f aca="false">BB89+BB85+BB92</f>
        <v>2365715.51220765</v>
      </c>
      <c r="BC94" s="494" t="n">
        <f aca="false">BC89+BC85+BC92</f>
        <v>2427142.73414973</v>
      </c>
      <c r="BD94" s="494" t="n">
        <f aca="false">BD89+BD85+BD92</f>
        <v>2488569.95609181</v>
      </c>
      <c r="BE94" s="494" t="n">
        <f aca="false">BE89+BE85+BE92</f>
        <v>2549997.1780339</v>
      </c>
      <c r="BF94" s="494" t="n">
        <f aca="false">BF89+BF85+BF92</f>
        <v>2611424.39997598</v>
      </c>
      <c r="BG94" s="494" t="n">
        <f aca="false">BG89+BG85+BG92</f>
        <v>2672851.62191806</v>
      </c>
      <c r="BH94" s="494" t="n">
        <f aca="false">BH89+BH85+BH92</f>
        <v>2734278.84386014</v>
      </c>
      <c r="BI94" s="494" t="n">
        <f aca="false">BI89+BI85+BI92</f>
        <v>2795706.06580223</v>
      </c>
      <c r="BJ94" s="494" t="n">
        <f aca="false">BJ89+BJ85+BJ92</f>
        <v>2857133.28774431</v>
      </c>
      <c r="BK94" s="494" t="n">
        <f aca="false">BK89+BK85+BK92</f>
        <v>2918560.50968639</v>
      </c>
    </row>
    <row r="95" customFormat="false" ht="15" hidden="false" customHeight="true" outlineLevel="0" collapsed="false">
      <c r="B95" s="297" t="s">
        <v>2990</v>
      </c>
      <c r="D95" s="497" t="str">
        <f aca="false">IF(D94&gt;=D90-0.5,"✓","✗")</f>
        <v>✓</v>
      </c>
      <c r="E95" s="497" t="str">
        <f aca="false">IF(E94&gt;=E90-0.5,"✓","✗")</f>
        <v>✓</v>
      </c>
      <c r="F95" s="497" t="str">
        <f aca="false">IF(F94&gt;=F90-0.5,"✓","✗")</f>
        <v>✓</v>
      </c>
      <c r="G95" s="497" t="str">
        <f aca="false">IF(G94&gt;=G90-0.5,"✓","✗")</f>
        <v>✓</v>
      </c>
      <c r="H95" s="497" t="str">
        <f aca="false">IF(H94&gt;=H90-0.5,"✓","✗")</f>
        <v>✓</v>
      </c>
      <c r="I95" s="497" t="str">
        <f aca="false">IF(I94&gt;=I90-0.5,"✓","✗")</f>
        <v>✓</v>
      </c>
      <c r="J95" s="497" t="str">
        <f aca="false">IF(J94&gt;=J90-0.5,"✓","✗")</f>
        <v>✓</v>
      </c>
      <c r="K95" s="497" t="str">
        <f aca="false">IF(K94&gt;=K90-0.5,"✓","✗")</f>
        <v>✓</v>
      </c>
      <c r="L95" s="497" t="str">
        <f aca="false">IF(L94&gt;=L90-0.5,"✓","✗")</f>
        <v>✓</v>
      </c>
      <c r="M95" s="497" t="str">
        <f aca="false">IF(M94&gt;=M90-0.5,"✓","✗")</f>
        <v>✓</v>
      </c>
      <c r="N95" s="497" t="str">
        <f aca="false">IF(N94&gt;=N90-0.5,"✓","✗")</f>
        <v>✓</v>
      </c>
      <c r="O95" s="497" t="str">
        <f aca="false">IF(O94&gt;=O90-0.5,"✓","✗")</f>
        <v>✓</v>
      </c>
      <c r="P95" s="497" t="str">
        <f aca="false">IF(P94&gt;=P90-0.5,"✓","✗")</f>
        <v>✓</v>
      </c>
      <c r="Q95" s="497" t="str">
        <f aca="false">IF(Q94&gt;=Q90-0.5,"✓","✗")</f>
        <v>✓</v>
      </c>
      <c r="R95" s="497" t="str">
        <f aca="false">IF(R94&gt;=R90-0.5,"✓","✗")</f>
        <v>✓</v>
      </c>
      <c r="S95" s="497" t="str">
        <f aca="false">IF(S94&gt;=S90-0.5,"✓","✗")</f>
        <v>✓</v>
      </c>
      <c r="T95" s="497" t="str">
        <f aca="false">IF(T94&gt;=T90-0.5,"✓","✗")</f>
        <v>✓</v>
      </c>
      <c r="U95" s="497" t="str">
        <f aca="false">IF(U94&gt;=U90-0.5,"✓","✗")</f>
        <v>✓</v>
      </c>
      <c r="V95" s="497" t="str">
        <f aca="false">IF(V94&gt;=V90-0.5,"✓","✗")</f>
        <v>✓</v>
      </c>
      <c r="W95" s="497" t="str">
        <f aca="false">IF(W94&gt;=W90-0.5,"✓","✗")</f>
        <v>✓</v>
      </c>
      <c r="X95" s="497" t="str">
        <f aca="false">IF(X94&gt;=X90-0.5,"✓","✗")</f>
        <v>✓</v>
      </c>
      <c r="Y95" s="497" t="str">
        <f aca="false">IF(Y94&gt;=Y90-0.5,"✓","✗")</f>
        <v>✓</v>
      </c>
      <c r="Z95" s="497" t="str">
        <f aca="false">IF(Z94&gt;=Z90-0.5,"✓","✗")</f>
        <v>✓</v>
      </c>
      <c r="AA95" s="497" t="str">
        <f aca="false">IF(AA94&gt;=AA90-0.5,"✓","✗")</f>
        <v>✓</v>
      </c>
      <c r="AB95" s="497" t="str">
        <f aca="false">IF(AB94&gt;=AB90-0.5,"✓","✗")</f>
        <v>✓</v>
      </c>
      <c r="AC95" s="497" t="str">
        <f aca="false">IF(AC94&gt;=AC90-0.5,"✓","✗")</f>
        <v>✓</v>
      </c>
      <c r="AD95" s="497" t="str">
        <f aca="false">IF(AD94&gt;=AD90-0.5,"✓","✗")</f>
        <v>✓</v>
      </c>
      <c r="AE95" s="497" t="str">
        <f aca="false">IF(AE94&gt;=AE90-0.5,"✓","✗")</f>
        <v>✓</v>
      </c>
      <c r="AF95" s="497" t="str">
        <f aca="false">IF(AF94&gt;=AF90-0.5,"✓","✗")</f>
        <v>✓</v>
      </c>
      <c r="AG95" s="497" t="str">
        <f aca="false">IF(AG94&gt;=AG90-0.5,"✓","✗")</f>
        <v>✓</v>
      </c>
      <c r="AH95" s="497" t="str">
        <f aca="false">IF(AH94&gt;=AH90-0.5,"✓","✗")</f>
        <v>✓</v>
      </c>
      <c r="AI95" s="497" t="str">
        <f aca="false">IF(AI94&gt;=AI90-0.5,"✓","✗")</f>
        <v>✓</v>
      </c>
      <c r="AJ95" s="497" t="str">
        <f aca="false">IF(AJ94&gt;=AJ90-0.5,"✓","✗")</f>
        <v>✓</v>
      </c>
      <c r="AK95" s="497" t="str">
        <f aca="false">IF(AK94&gt;=AK90-0.5,"✓","✗")</f>
        <v>✓</v>
      </c>
      <c r="AL95" s="497" t="str">
        <f aca="false">IF(AL94&gt;=AL90-0.5,"✓","✗")</f>
        <v>✓</v>
      </c>
      <c r="AM95" s="497" t="str">
        <f aca="false">IF(AM94&gt;=AM90-0.5,"✓","✗")</f>
        <v>✓</v>
      </c>
      <c r="AN95" s="497" t="str">
        <f aca="false">IF(AN94&gt;=AN90-0.5,"✓","✗")</f>
        <v>✓</v>
      </c>
      <c r="AO95" s="497" t="str">
        <f aca="false">IF(AO94&gt;=AO90-0.5,"✓","✗")</f>
        <v>✓</v>
      </c>
      <c r="AP95" s="497" t="str">
        <f aca="false">IF(AP94&gt;=AP90-0.5,"✓","✗")</f>
        <v>✓</v>
      </c>
      <c r="AQ95" s="497" t="str">
        <f aca="false">IF(AQ94&gt;=AQ90-0.5,"✓","✗")</f>
        <v>✓</v>
      </c>
      <c r="AR95" s="497" t="str">
        <f aca="false">IF(AR94&gt;=AR90-0.5,"✓","✗")</f>
        <v>✓</v>
      </c>
      <c r="AS95" s="497" t="str">
        <f aca="false">IF(AS94&gt;=AS90-0.5,"✓","✗")</f>
        <v>✓</v>
      </c>
      <c r="AT95" s="497" t="str">
        <f aca="false">IF(AT94&gt;=AT90-0.5,"✓","✗")</f>
        <v>✓</v>
      </c>
      <c r="AU95" s="497" t="str">
        <f aca="false">IF(AU94&gt;=AU90-0.5,"✓","✗")</f>
        <v>✓</v>
      </c>
      <c r="AV95" s="497" t="str">
        <f aca="false">IF(AV94&gt;=AV90-0.5,"✓","✗")</f>
        <v>✓</v>
      </c>
      <c r="AW95" s="497" t="str">
        <f aca="false">IF(AW94&gt;=AW90-0.5,"✓","✗")</f>
        <v>✓</v>
      </c>
      <c r="AX95" s="497" t="str">
        <f aca="false">IF(AX94&gt;=AX90-0.5,"✓","✗")</f>
        <v>✓</v>
      </c>
      <c r="AY95" s="497" t="str">
        <f aca="false">IF(AY94&gt;=AY90-0.5,"✓","✗")</f>
        <v>✓</v>
      </c>
      <c r="AZ95" s="497" t="str">
        <f aca="false">IF(AZ94&gt;=AZ90-0.5,"✓","✗")</f>
        <v>✓</v>
      </c>
      <c r="BA95" s="497" t="str">
        <f aca="false">IF(BA94&gt;=BA90-0.5,"✓","✗")</f>
        <v>✓</v>
      </c>
      <c r="BB95" s="497" t="str">
        <f aca="false">IF(BB94&gt;=BB90-0.5,"✓","✗")</f>
        <v>✓</v>
      </c>
      <c r="BC95" s="497" t="str">
        <f aca="false">IF(BC94&gt;=BC90-0.5,"✓","✗")</f>
        <v>✓</v>
      </c>
      <c r="BD95" s="497" t="str">
        <f aca="false">IF(BD94&gt;=BD90-0.5,"✓","✗")</f>
        <v>✓</v>
      </c>
      <c r="BE95" s="497" t="str">
        <f aca="false">IF(BE94&gt;=BE90-0.5,"✓","✗")</f>
        <v>✓</v>
      </c>
      <c r="BF95" s="497" t="str">
        <f aca="false">IF(BF94&gt;=BF90-0.5,"✓","✗")</f>
        <v>✓</v>
      </c>
      <c r="BG95" s="497" t="str">
        <f aca="false">IF(BG94&gt;=BG90-0.5,"✓","✗")</f>
        <v>✓</v>
      </c>
      <c r="BH95" s="497" t="str">
        <f aca="false">IF(BH94&gt;=BH90-0.5,"✓","✗")</f>
        <v>✓</v>
      </c>
      <c r="BI95" s="497" t="str">
        <f aca="false">IF(BI94&gt;=BI90-0.5,"✓","✗")</f>
        <v>✓</v>
      </c>
      <c r="BJ95" s="497" t="str">
        <f aca="false">IF(BJ94&gt;=BJ90-0.5,"✓","✗")</f>
        <v>✓</v>
      </c>
      <c r="BK95" s="497" t="str">
        <f aca="false">IF(BK94&gt;=BK90-0.5,"✓","✗")</f>
        <v>✓</v>
      </c>
    </row>
    <row r="96" customFormat="false" ht="15" hidden="false" customHeight="true" outlineLevel="0" collapsed="false">
      <c r="B96" s="297" t="s">
        <v>2991</v>
      </c>
      <c r="D96" s="495" t="n">
        <f aca="false">D85/(1+FC_SUPUESTOS!$C$82)^D$5</f>
        <v>-168891.380218071</v>
      </c>
      <c r="E96" s="495" t="n">
        <f aca="false">E85/(1+FC_SUPUESTOS!$C$82)^E$5</f>
        <v>-15244.6518642308</v>
      </c>
      <c r="F96" s="495" t="n">
        <f aca="false">F85/(1+FC_SUPUESTOS!$C$82)^F$5</f>
        <v>-15014.7834794916</v>
      </c>
      <c r="G96" s="495" t="n">
        <f aca="false">G85/(1+FC_SUPUESTOS!$C$82)^G$5</f>
        <v>-153257.819325046</v>
      </c>
      <c r="H96" s="495" t="n">
        <f aca="false">H85/(1+FC_SUPUESTOS!$C$82)^H$5</f>
        <v>-258381.784293388</v>
      </c>
      <c r="I96" s="495" t="n">
        <f aca="false">I85/(1+FC_SUPUESTOS!$C$82)^I$5</f>
        <v>-14345.7666519895</v>
      </c>
      <c r="J96" s="495" t="n">
        <f aca="false">J85/(1+FC_SUPUESTOS!$C$82)^J$5</f>
        <v>-159086.555599783</v>
      </c>
      <c r="K96" s="495" t="n">
        <f aca="false">K85/(1+FC_SUPUESTOS!$C$82)^K$5</f>
        <v>-187566.219680998</v>
      </c>
      <c r="L96" s="495" t="n">
        <f aca="false">L85/(1+FC_SUPUESTOS!$C$82)^L$5</f>
        <v>-372895.154052607</v>
      </c>
      <c r="M96" s="495" t="n">
        <f aca="false">M85/(1+FC_SUPUESTOS!$C$82)^M$5</f>
        <v>-141477.87421892</v>
      </c>
      <c r="N96" s="495" t="n">
        <f aca="false">N85/(1+FC_SUPUESTOS!$C$82)^N$5</f>
        <v>-146255.435189396</v>
      </c>
      <c r="O96" s="495" t="n">
        <f aca="false">O85/(1+FC_SUPUESTOS!$C$82)^O$5</f>
        <v>-111468.561711761</v>
      </c>
      <c r="P96" s="495" t="n">
        <f aca="false">P85/(1+FC_SUPUESTOS!$C$82)^P$5</f>
        <v>-36580.0935214803</v>
      </c>
      <c r="Q96" s="495" t="n">
        <f aca="false">Q85/(1+FC_SUPUESTOS!$C$82)^Q$5</f>
        <v>61288.0120113557</v>
      </c>
      <c r="R96" s="495" t="n">
        <f aca="false">R85/(1+FC_SUPUESTOS!$C$82)^R$5</f>
        <v>58828.7664861473</v>
      </c>
      <c r="S96" s="495" t="n">
        <f aca="false">S85/(1+FC_SUPUESTOS!$C$82)^S$5</f>
        <v>56294.3880383409</v>
      </c>
      <c r="T96" s="495" t="n">
        <f aca="false">T85/(1+FC_SUPUESTOS!$C$82)^T$5</f>
        <v>45655.5084350186</v>
      </c>
      <c r="U96" s="495" t="n">
        <f aca="false">U85/(1+FC_SUPUESTOS!$C$82)^U$5</f>
        <v>42236.7627836151</v>
      </c>
      <c r="V96" s="495" t="n">
        <f aca="false">V85/(1+FC_SUPUESTOS!$C$82)^V$5</f>
        <v>40172.9925257098</v>
      </c>
      <c r="W96" s="495" t="n">
        <f aca="false">W85/(1+FC_SUPUESTOS!$C$82)^W$5</f>
        <v>39567.2390467675</v>
      </c>
      <c r="X96" s="495" t="n">
        <f aca="false">X85/(1+FC_SUPUESTOS!$C$82)^X$5</f>
        <v>38970.6194972186</v>
      </c>
      <c r="Y96" s="495" t="n">
        <f aca="false">Y85/(1+FC_SUPUESTOS!$C$82)^Y$5</f>
        <v>38382.9961499694</v>
      </c>
      <c r="Z96" s="495" t="n">
        <f aca="false">Z85/(1+FC_SUPUESTOS!$C$82)^Z$5</f>
        <v>37804.2333546612</v>
      </c>
      <c r="AA96" s="495" t="n">
        <f aca="false">AA85/(1+FC_SUPUESTOS!$C$82)^AA$5</f>
        <v>37234.1975063565</v>
      </c>
      <c r="AB96" s="495" t="n">
        <f aca="false">AB85/(1+FC_SUPUESTOS!$C$82)^AB$5</f>
        <v>40719.5866719403</v>
      </c>
      <c r="AC96" s="495" t="n">
        <f aca="false">AC85/(1+FC_SUPUESTOS!$C$82)^AC$5</f>
        <v>40105.5913049824</v>
      </c>
      <c r="AD96" s="495" t="n">
        <f aca="false">AD85/(1+FC_SUPUESTOS!$C$82)^AD$5</f>
        <v>39500.8541437544</v>
      </c>
      <c r="AE96" s="495" t="n">
        <f aca="false">AE85/(1+FC_SUPUESTOS!$C$82)^AE$5</f>
        <v>37590.6207499668</v>
      </c>
      <c r="AF96" s="495" t="n">
        <f aca="false">AF85/(1+FC_SUPUESTOS!$C$82)^AF$5</f>
        <v>37023.8058859678</v>
      </c>
      <c r="AG96" s="495" t="n">
        <f aca="false">AG85/(1+FC_SUPUESTOS!$C$82)^AG$5</f>
        <v>36465.5378105996</v>
      </c>
      <c r="AH96" s="495" t="n">
        <f aca="false">AH85/(1+FC_SUPUESTOS!$C$82)^AH$5</f>
        <v>35915.6876500437</v>
      </c>
      <c r="AI96" s="495" t="n">
        <f aca="false">AI85/(1+FC_SUPUESTOS!$C$82)^AI$5</f>
        <v>35374.1284737216</v>
      </c>
      <c r="AJ96" s="495" t="n">
        <f aca="false">AJ85/(1+FC_SUPUESTOS!$C$82)^AJ$5</f>
        <v>34840.7352649932</v>
      </c>
      <c r="AK96" s="495" t="n">
        <f aca="false">AK85/(1+FC_SUPUESTOS!$C$82)^AK$5</f>
        <v>34315.3848922977</v>
      </c>
      <c r="AL96" s="495" t="n">
        <f aca="false">AL85/(1+FC_SUPUESTOS!$C$82)^AL$5</f>
        <v>33797.9560807285</v>
      </c>
      <c r="AM96" s="495" t="n">
        <f aca="false">AM85/(1+FC_SUPUESTOS!$C$82)^AM$5</f>
        <v>33288.3293840383</v>
      </c>
      <c r="AN96" s="495" t="n">
        <f aca="false">AN85/(1+FC_SUPUESTOS!$C$82)^AN$5</f>
        <v>34472.5661809161</v>
      </c>
      <c r="AO96" s="495" t="n">
        <f aca="false">AO85/(1+FC_SUPUESTOS!$C$82)^AO$5</f>
        <v>33952.7672916799</v>
      </c>
      <c r="AP96" s="495" t="n">
        <f aca="false">AP85/(1+FC_SUPUESTOS!$C$82)^AP$5</f>
        <v>33440.8062548343</v>
      </c>
      <c r="AQ96" s="495" t="n">
        <f aca="false">AQ85/(1+FC_SUPUESTOS!$C$82)^AQ$5</f>
        <v>32388.8087041445</v>
      </c>
      <c r="AR96" s="495" t="n">
        <f aca="false">AR85/(1+FC_SUPUESTOS!$C$82)^AR$5</f>
        <v>31900.4300119479</v>
      </c>
      <c r="AS96" s="495" t="n">
        <f aca="false">AS85/(1+FC_SUPUESTOS!$C$82)^AS$5</f>
        <v>31419.4153987814</v>
      </c>
      <c r="AT96" s="495" t="n">
        <f aca="false">AT85/(1+FC_SUPUESTOS!$C$82)^AT$5</f>
        <v>30945.653824461</v>
      </c>
      <c r="AU96" s="495" t="n">
        <f aca="false">AU85/(1+FC_SUPUESTOS!$C$82)^AU$5</f>
        <v>30479.0359231355</v>
      </c>
      <c r="AV96" s="495" t="n">
        <f aca="false">AV85/(1+FC_SUPUESTOS!$C$82)^AV$5</f>
        <v>30019.4539780406</v>
      </c>
      <c r="AW96" s="495" t="n">
        <f aca="false">AW85/(1+FC_SUPUESTOS!$C$82)^AW$5</f>
        <v>29566.8018966327</v>
      </c>
      <c r="AX96" s="495" t="n">
        <f aca="false">AX85/(1+FC_SUPUESTOS!$C$82)^AX$5</f>
        <v>29120.9751860978</v>
      </c>
      <c r="AY96" s="495" t="n">
        <f aca="false">AY85/(1+FC_SUPUESTOS!$C$82)^AY$5</f>
        <v>28681.8709292296</v>
      </c>
      <c r="AZ96" s="495" t="n">
        <f aca="false">AZ85/(1+FC_SUPUESTOS!$C$82)^AZ$5</f>
        <v>29654.5369472152</v>
      </c>
      <c r="BA96" s="495" t="n">
        <f aca="false">BA85/(1+FC_SUPUESTOS!$C$82)^BA$5</f>
        <v>29207.3873127761</v>
      </c>
      <c r="BB96" s="495" t="n">
        <f aca="false">BB85/(1+FC_SUPUESTOS!$C$82)^BB$5</f>
        <v>28766.9800798768</v>
      </c>
      <c r="BC96" s="495" t="n">
        <f aca="false">BC85/(1+FC_SUPUESTOS!$C$82)^BC$5</f>
        <v>27876.7500972084</v>
      </c>
      <c r="BD96" s="495" t="n">
        <f aca="false">BD85/(1+FC_SUPUESTOS!$C$82)^BD$5</f>
        <v>27456.4070435466</v>
      </c>
      <c r="BE96" s="495" t="n">
        <f aca="false">BE85/(1+FC_SUPUESTOS!$C$82)^BE$5</f>
        <v>27042.4021850526</v>
      </c>
      <c r="BF96" s="495" t="n">
        <f aca="false">BF85/(1+FC_SUPUESTOS!$C$82)^BF$5</f>
        <v>26634.6399504601</v>
      </c>
      <c r="BG96" s="495" t="n">
        <f aca="false">BG85/(1+FC_SUPUESTOS!$C$82)^BG$5</f>
        <v>26233.0262095858</v>
      </c>
      <c r="BH96" s="495" t="n">
        <f aca="false">BH85/(1+FC_SUPUESTOS!$C$82)^BH$5</f>
        <v>25837.4682516002</v>
      </c>
      <c r="BI96" s="495" t="n">
        <f aca="false">BI85/(1+FC_SUPUESTOS!$C$82)^BI$5</f>
        <v>25447.8747636256</v>
      </c>
      <c r="BJ96" s="495" t="n">
        <f aca="false">BJ85/(1+FC_SUPUESTOS!$C$82)^BJ$5</f>
        <v>25064.155809657</v>
      </c>
      <c r="BK96" s="495" t="n">
        <f aca="false">BK85/(1+FC_SUPUESTOS!$C$82)^BK$5</f>
        <v>24686.2228098006</v>
      </c>
    </row>
    <row r="98" customFormat="false" ht="15" hidden="false" customHeight="true" outlineLevel="0" collapsed="false">
      <c r="A98" s="281" t="s">
        <v>2992</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row>
    <row r="99" customFormat="false" ht="15" hidden="false" customHeight="true" outlineLevel="0" collapsed="false">
      <c r="B99" s="283" t="s">
        <v>2993</v>
      </c>
      <c r="D99" s="498" t="n">
        <f aca="false">(FC_SUPUESTOS!$C$9*FC_SUPUESTOS!$D$192+FC_SUPUESTOS!$C$10*FC_SUPUESTOS!$E$192)*FC_SUPUESTOS!$C$167-SUM($E$99:$BK$99)</f>
        <v>0</v>
      </c>
      <c r="E99" s="498" t="n">
        <f aca="false">(SUMPRODUCT((FC_CRONOGRAMA!$D$4:$BK$4=E$5+FC_SUPUESTOS!$C$166)*FC_CRONOGRAMA!$D$17:$BK$17)*FC_SUPUESTOS!$D$192+SUMPRODUCT((FC_CRONOGRAMA!$D$4:$BK$4=E$5+FC_SUPUESTOS!$C$166)*FC_CRONOGRAMA!$D$18:$BK$18)*FC_SUPUESTOS!$E$192)*FC_SUPUESTOS!$C$167</f>
        <v>0</v>
      </c>
      <c r="F99" s="498" t="n">
        <f aca="false">(SUMPRODUCT((FC_CRONOGRAMA!$D$4:$BK$4=F$5+FC_SUPUESTOS!$C$166)*FC_CRONOGRAMA!$D$17:$BK$17)*FC_SUPUESTOS!$D$192+SUMPRODUCT((FC_CRONOGRAMA!$D$4:$BK$4=F$5+FC_SUPUESTOS!$C$166)*FC_CRONOGRAMA!$D$18:$BK$18)*FC_SUPUESTOS!$E$192)*FC_SUPUESTOS!$C$167</f>
        <v>0</v>
      </c>
      <c r="G99" s="498" t="n">
        <f aca="false">(SUMPRODUCT((FC_CRONOGRAMA!$D$4:$BK$4=G$5+FC_SUPUESTOS!$C$166)*FC_CRONOGRAMA!$D$17:$BK$17)*FC_SUPUESTOS!$D$192+SUMPRODUCT((FC_CRONOGRAMA!$D$4:$BK$4=G$5+FC_SUPUESTOS!$C$166)*FC_CRONOGRAMA!$D$18:$BK$18)*FC_SUPUESTOS!$E$192)*FC_SUPUESTOS!$C$167</f>
        <v>0</v>
      </c>
      <c r="H99" s="498" t="n">
        <f aca="false">(SUMPRODUCT((FC_CRONOGRAMA!$D$4:$BK$4=H$5+FC_SUPUESTOS!$C$166)*FC_CRONOGRAMA!$D$17:$BK$17)*FC_SUPUESTOS!$D$192+SUMPRODUCT((FC_CRONOGRAMA!$D$4:$BK$4=H$5+FC_SUPUESTOS!$C$166)*FC_CRONOGRAMA!$D$18:$BK$18)*FC_SUPUESTOS!$E$192)*FC_SUPUESTOS!$C$167</f>
        <v>0</v>
      </c>
      <c r="I99" s="498" t="n">
        <f aca="false">(SUMPRODUCT((FC_CRONOGRAMA!$D$4:$BK$4=I$5+FC_SUPUESTOS!$C$166)*FC_CRONOGRAMA!$D$17:$BK$17)*FC_SUPUESTOS!$D$192+SUMPRODUCT((FC_CRONOGRAMA!$D$4:$BK$4=I$5+FC_SUPUESTOS!$C$166)*FC_CRONOGRAMA!$D$18:$BK$18)*FC_SUPUESTOS!$E$192)*FC_SUPUESTOS!$C$167</f>
        <v>0</v>
      </c>
      <c r="J99" s="498" t="n">
        <f aca="false">(SUMPRODUCT((FC_CRONOGRAMA!$D$4:$BK$4=J$5+FC_SUPUESTOS!$C$166)*FC_CRONOGRAMA!$D$17:$BK$17)*FC_SUPUESTOS!$D$192+SUMPRODUCT((FC_CRONOGRAMA!$D$4:$BK$4=J$5+FC_SUPUESTOS!$C$166)*FC_CRONOGRAMA!$D$18:$BK$18)*FC_SUPUESTOS!$E$192)*FC_SUPUESTOS!$C$167</f>
        <v>17800</v>
      </c>
      <c r="K99" s="498" t="n">
        <f aca="false">(SUMPRODUCT((FC_CRONOGRAMA!$D$4:$BK$4=K$5+FC_SUPUESTOS!$C$166)*FC_CRONOGRAMA!$D$17:$BK$17)*FC_SUPUESTOS!$D$192+SUMPRODUCT((FC_CRONOGRAMA!$D$4:$BK$4=K$5+FC_SUPUESTOS!$C$166)*FC_CRONOGRAMA!$D$18:$BK$18)*FC_SUPUESTOS!$E$192)*FC_SUPUESTOS!$C$167</f>
        <v>17800</v>
      </c>
      <c r="L99" s="498" t="n">
        <f aca="false">(SUMPRODUCT((FC_CRONOGRAMA!$D$4:$BK$4=L$5+FC_SUPUESTOS!$C$166)*FC_CRONOGRAMA!$D$17:$BK$17)*FC_SUPUESTOS!$D$192+SUMPRODUCT((FC_CRONOGRAMA!$D$4:$BK$4=L$5+FC_SUPUESTOS!$C$166)*FC_CRONOGRAMA!$D$18:$BK$18)*FC_SUPUESTOS!$E$192)*FC_SUPUESTOS!$C$167</f>
        <v>17800</v>
      </c>
      <c r="M99" s="498" t="n">
        <f aca="false">(SUMPRODUCT((FC_CRONOGRAMA!$D$4:$BK$4=M$5+FC_SUPUESTOS!$C$166)*FC_CRONOGRAMA!$D$17:$BK$17)*FC_SUPUESTOS!$D$192+SUMPRODUCT((FC_CRONOGRAMA!$D$4:$BK$4=M$5+FC_SUPUESTOS!$C$166)*FC_CRONOGRAMA!$D$18:$BK$18)*FC_SUPUESTOS!$E$192)*FC_SUPUESTOS!$C$167</f>
        <v>20950</v>
      </c>
      <c r="N99" s="498" t="n">
        <f aca="false">(SUMPRODUCT((FC_CRONOGRAMA!$D$4:$BK$4=N$5+FC_SUPUESTOS!$C$166)*FC_CRONOGRAMA!$D$17:$BK$17)*FC_SUPUESTOS!$D$192+SUMPRODUCT((FC_CRONOGRAMA!$D$4:$BK$4=N$5+FC_SUPUESTOS!$C$166)*FC_CRONOGRAMA!$D$18:$BK$18)*FC_SUPUESTOS!$E$192)*FC_SUPUESTOS!$C$167</f>
        <v>24100</v>
      </c>
      <c r="O99" s="498" t="n">
        <f aca="false">(SUMPRODUCT((FC_CRONOGRAMA!$D$4:$BK$4=O$5+FC_SUPUESTOS!$C$166)*FC_CRONOGRAMA!$D$17:$BK$17)*FC_SUPUESTOS!$D$192+SUMPRODUCT((FC_CRONOGRAMA!$D$4:$BK$4=O$5+FC_SUPUESTOS!$C$166)*FC_CRONOGRAMA!$D$18:$BK$18)*FC_SUPUESTOS!$E$192)*FC_SUPUESTOS!$C$167</f>
        <v>0</v>
      </c>
      <c r="P99" s="498" t="n">
        <f aca="false">(SUMPRODUCT((FC_CRONOGRAMA!$D$4:$BK$4=P$5+FC_SUPUESTOS!$C$166)*FC_CRONOGRAMA!$D$17:$BK$17)*FC_SUPUESTOS!$D$192+SUMPRODUCT((FC_CRONOGRAMA!$D$4:$BK$4=P$5+FC_SUPUESTOS!$C$166)*FC_CRONOGRAMA!$D$18:$BK$18)*FC_SUPUESTOS!$E$192)*FC_SUPUESTOS!$C$167</f>
        <v>0</v>
      </c>
      <c r="Q99" s="498" t="n">
        <f aca="false">(SUMPRODUCT((FC_CRONOGRAMA!$D$4:$BK$4=Q$5+FC_SUPUESTOS!$C$166)*FC_CRONOGRAMA!$D$17:$BK$17)*FC_SUPUESTOS!$D$192+SUMPRODUCT((FC_CRONOGRAMA!$D$4:$BK$4=Q$5+FC_SUPUESTOS!$C$166)*FC_CRONOGRAMA!$D$18:$BK$18)*FC_SUPUESTOS!$E$192)*FC_SUPUESTOS!$C$167</f>
        <v>0</v>
      </c>
      <c r="R99" s="498" t="n">
        <f aca="false">(SUMPRODUCT((FC_CRONOGRAMA!$D$4:$BK$4=R$5+FC_SUPUESTOS!$C$166)*FC_CRONOGRAMA!$D$17:$BK$17)*FC_SUPUESTOS!$D$192+SUMPRODUCT((FC_CRONOGRAMA!$D$4:$BK$4=R$5+FC_SUPUESTOS!$C$166)*FC_CRONOGRAMA!$D$18:$BK$18)*FC_SUPUESTOS!$E$192)*FC_SUPUESTOS!$C$167</f>
        <v>0</v>
      </c>
      <c r="S99" s="498" t="n">
        <f aca="false">(SUMPRODUCT((FC_CRONOGRAMA!$D$4:$BK$4=S$5+FC_SUPUESTOS!$C$166)*FC_CRONOGRAMA!$D$17:$BK$17)*FC_SUPUESTOS!$D$192+SUMPRODUCT((FC_CRONOGRAMA!$D$4:$BK$4=S$5+FC_SUPUESTOS!$C$166)*FC_CRONOGRAMA!$D$18:$BK$18)*FC_SUPUESTOS!$E$192)*FC_SUPUESTOS!$C$167</f>
        <v>0</v>
      </c>
      <c r="T99" s="498" t="n">
        <f aca="false">(SUMPRODUCT((FC_CRONOGRAMA!$D$4:$BK$4=T$5+FC_SUPUESTOS!$C$166)*FC_CRONOGRAMA!$D$17:$BK$17)*FC_SUPUESTOS!$D$192+SUMPRODUCT((FC_CRONOGRAMA!$D$4:$BK$4=T$5+FC_SUPUESTOS!$C$166)*FC_CRONOGRAMA!$D$18:$BK$18)*FC_SUPUESTOS!$E$192)*FC_SUPUESTOS!$C$167</f>
        <v>0</v>
      </c>
      <c r="U99" s="498" t="n">
        <f aca="false">(SUMPRODUCT((FC_CRONOGRAMA!$D$4:$BK$4=U$5+FC_SUPUESTOS!$C$166)*FC_CRONOGRAMA!$D$17:$BK$17)*FC_SUPUESTOS!$D$192+SUMPRODUCT((FC_CRONOGRAMA!$D$4:$BK$4=U$5+FC_SUPUESTOS!$C$166)*FC_CRONOGRAMA!$D$18:$BK$18)*FC_SUPUESTOS!$E$192)*FC_SUPUESTOS!$C$167</f>
        <v>0</v>
      </c>
      <c r="V99" s="498" t="n">
        <f aca="false">(SUMPRODUCT((FC_CRONOGRAMA!$D$4:$BK$4=V$5+FC_SUPUESTOS!$C$166)*FC_CRONOGRAMA!$D$17:$BK$17)*FC_SUPUESTOS!$D$192+SUMPRODUCT((FC_CRONOGRAMA!$D$4:$BK$4=V$5+FC_SUPUESTOS!$C$166)*FC_CRONOGRAMA!$D$18:$BK$18)*FC_SUPUESTOS!$E$192)*FC_SUPUESTOS!$C$167</f>
        <v>0</v>
      </c>
      <c r="W99" s="498" t="n">
        <f aca="false">(SUMPRODUCT((FC_CRONOGRAMA!$D$4:$BK$4=W$5+FC_SUPUESTOS!$C$166)*FC_CRONOGRAMA!$D$17:$BK$17)*FC_SUPUESTOS!$D$192+SUMPRODUCT((FC_CRONOGRAMA!$D$4:$BK$4=W$5+FC_SUPUESTOS!$C$166)*FC_CRONOGRAMA!$D$18:$BK$18)*FC_SUPUESTOS!$E$192)*FC_SUPUESTOS!$C$167</f>
        <v>0</v>
      </c>
      <c r="X99" s="498" t="n">
        <f aca="false">(SUMPRODUCT((FC_CRONOGRAMA!$D$4:$BK$4=X$5+FC_SUPUESTOS!$C$166)*FC_CRONOGRAMA!$D$17:$BK$17)*FC_SUPUESTOS!$D$192+SUMPRODUCT((FC_CRONOGRAMA!$D$4:$BK$4=X$5+FC_SUPUESTOS!$C$166)*FC_CRONOGRAMA!$D$18:$BK$18)*FC_SUPUESTOS!$E$192)*FC_SUPUESTOS!$C$167</f>
        <v>0</v>
      </c>
      <c r="Y99" s="498" t="n">
        <f aca="false">(SUMPRODUCT((FC_CRONOGRAMA!$D$4:$BK$4=Y$5+FC_SUPUESTOS!$C$166)*FC_CRONOGRAMA!$D$17:$BK$17)*FC_SUPUESTOS!$D$192+SUMPRODUCT((FC_CRONOGRAMA!$D$4:$BK$4=Y$5+FC_SUPUESTOS!$C$166)*FC_CRONOGRAMA!$D$18:$BK$18)*FC_SUPUESTOS!$E$192)*FC_SUPUESTOS!$C$167</f>
        <v>0</v>
      </c>
      <c r="Z99" s="498" t="n">
        <f aca="false">(SUMPRODUCT((FC_CRONOGRAMA!$D$4:$BK$4=Z$5+FC_SUPUESTOS!$C$166)*FC_CRONOGRAMA!$D$17:$BK$17)*FC_SUPUESTOS!$D$192+SUMPRODUCT((FC_CRONOGRAMA!$D$4:$BK$4=Z$5+FC_SUPUESTOS!$C$166)*FC_CRONOGRAMA!$D$18:$BK$18)*FC_SUPUESTOS!$E$192)*FC_SUPUESTOS!$C$167</f>
        <v>0</v>
      </c>
      <c r="AA99" s="498" t="n">
        <f aca="false">(SUMPRODUCT((FC_CRONOGRAMA!$D$4:$BK$4=AA$5+FC_SUPUESTOS!$C$166)*FC_CRONOGRAMA!$D$17:$BK$17)*FC_SUPUESTOS!$D$192+SUMPRODUCT((FC_CRONOGRAMA!$D$4:$BK$4=AA$5+FC_SUPUESTOS!$C$166)*FC_CRONOGRAMA!$D$18:$BK$18)*FC_SUPUESTOS!$E$192)*FC_SUPUESTOS!$C$167</f>
        <v>0</v>
      </c>
      <c r="AB99" s="498" t="n">
        <f aca="false">(SUMPRODUCT((FC_CRONOGRAMA!$D$4:$BK$4=AB$5+FC_SUPUESTOS!$C$166)*FC_CRONOGRAMA!$D$17:$BK$17)*FC_SUPUESTOS!$D$192+SUMPRODUCT((FC_CRONOGRAMA!$D$4:$BK$4=AB$5+FC_SUPUESTOS!$C$166)*FC_CRONOGRAMA!$D$18:$BK$18)*FC_SUPUESTOS!$E$192)*FC_SUPUESTOS!$C$167</f>
        <v>0</v>
      </c>
      <c r="AC99" s="498" t="n">
        <f aca="false">(SUMPRODUCT((FC_CRONOGRAMA!$D$4:$BK$4=AC$5+FC_SUPUESTOS!$C$166)*FC_CRONOGRAMA!$D$17:$BK$17)*FC_SUPUESTOS!$D$192+SUMPRODUCT((FC_CRONOGRAMA!$D$4:$BK$4=AC$5+FC_SUPUESTOS!$C$166)*FC_CRONOGRAMA!$D$18:$BK$18)*FC_SUPUESTOS!$E$192)*FC_SUPUESTOS!$C$167</f>
        <v>0</v>
      </c>
      <c r="AD99" s="498" t="n">
        <f aca="false">(SUMPRODUCT((FC_CRONOGRAMA!$D$4:$BK$4=AD$5+FC_SUPUESTOS!$C$166)*FC_CRONOGRAMA!$D$17:$BK$17)*FC_SUPUESTOS!$D$192+SUMPRODUCT((FC_CRONOGRAMA!$D$4:$BK$4=AD$5+FC_SUPUESTOS!$C$166)*FC_CRONOGRAMA!$D$18:$BK$18)*FC_SUPUESTOS!$E$192)*FC_SUPUESTOS!$C$167</f>
        <v>0</v>
      </c>
      <c r="AE99" s="498" t="n">
        <f aca="false">(SUMPRODUCT((FC_CRONOGRAMA!$D$4:$BK$4=AE$5+FC_SUPUESTOS!$C$166)*FC_CRONOGRAMA!$D$17:$BK$17)*FC_SUPUESTOS!$D$192+SUMPRODUCT((FC_CRONOGRAMA!$D$4:$BK$4=AE$5+FC_SUPUESTOS!$C$166)*FC_CRONOGRAMA!$D$18:$BK$18)*FC_SUPUESTOS!$E$192)*FC_SUPUESTOS!$C$167</f>
        <v>0</v>
      </c>
      <c r="AF99" s="498" t="n">
        <f aca="false">(SUMPRODUCT((FC_CRONOGRAMA!$D$4:$BK$4=AF$5+FC_SUPUESTOS!$C$166)*FC_CRONOGRAMA!$D$17:$BK$17)*FC_SUPUESTOS!$D$192+SUMPRODUCT((FC_CRONOGRAMA!$D$4:$BK$4=AF$5+FC_SUPUESTOS!$C$166)*FC_CRONOGRAMA!$D$18:$BK$18)*FC_SUPUESTOS!$E$192)*FC_SUPUESTOS!$C$167</f>
        <v>0</v>
      </c>
      <c r="AG99" s="498" t="n">
        <f aca="false">(SUMPRODUCT((FC_CRONOGRAMA!$D$4:$BK$4=AG$5+FC_SUPUESTOS!$C$166)*FC_CRONOGRAMA!$D$17:$BK$17)*FC_SUPUESTOS!$D$192+SUMPRODUCT((FC_CRONOGRAMA!$D$4:$BK$4=AG$5+FC_SUPUESTOS!$C$166)*FC_CRONOGRAMA!$D$18:$BK$18)*FC_SUPUESTOS!$E$192)*FC_SUPUESTOS!$C$167</f>
        <v>0</v>
      </c>
      <c r="AH99" s="498" t="n">
        <f aca="false">(SUMPRODUCT((FC_CRONOGRAMA!$D$4:$BK$4=AH$5+FC_SUPUESTOS!$C$166)*FC_CRONOGRAMA!$D$17:$BK$17)*FC_SUPUESTOS!$D$192+SUMPRODUCT((FC_CRONOGRAMA!$D$4:$BK$4=AH$5+FC_SUPUESTOS!$C$166)*FC_CRONOGRAMA!$D$18:$BK$18)*FC_SUPUESTOS!$E$192)*FC_SUPUESTOS!$C$167</f>
        <v>0</v>
      </c>
      <c r="AI99" s="498" t="n">
        <f aca="false">(SUMPRODUCT((FC_CRONOGRAMA!$D$4:$BK$4=AI$5+FC_SUPUESTOS!$C$166)*FC_CRONOGRAMA!$D$17:$BK$17)*FC_SUPUESTOS!$D$192+SUMPRODUCT((FC_CRONOGRAMA!$D$4:$BK$4=AI$5+FC_SUPUESTOS!$C$166)*FC_CRONOGRAMA!$D$18:$BK$18)*FC_SUPUESTOS!$E$192)*FC_SUPUESTOS!$C$167</f>
        <v>0</v>
      </c>
      <c r="AJ99" s="498" t="n">
        <f aca="false">(SUMPRODUCT((FC_CRONOGRAMA!$D$4:$BK$4=AJ$5+FC_SUPUESTOS!$C$166)*FC_CRONOGRAMA!$D$17:$BK$17)*FC_SUPUESTOS!$D$192+SUMPRODUCT((FC_CRONOGRAMA!$D$4:$BK$4=AJ$5+FC_SUPUESTOS!$C$166)*FC_CRONOGRAMA!$D$18:$BK$18)*FC_SUPUESTOS!$E$192)*FC_SUPUESTOS!$C$167</f>
        <v>0</v>
      </c>
      <c r="AK99" s="498" t="n">
        <f aca="false">(SUMPRODUCT((FC_CRONOGRAMA!$D$4:$BK$4=AK$5+FC_SUPUESTOS!$C$166)*FC_CRONOGRAMA!$D$17:$BK$17)*FC_SUPUESTOS!$D$192+SUMPRODUCT((FC_CRONOGRAMA!$D$4:$BK$4=AK$5+FC_SUPUESTOS!$C$166)*FC_CRONOGRAMA!$D$18:$BK$18)*FC_SUPUESTOS!$E$192)*FC_SUPUESTOS!$C$167</f>
        <v>0</v>
      </c>
      <c r="AL99" s="498" t="n">
        <f aca="false">(SUMPRODUCT((FC_CRONOGRAMA!$D$4:$BK$4=AL$5+FC_SUPUESTOS!$C$166)*FC_CRONOGRAMA!$D$17:$BK$17)*FC_SUPUESTOS!$D$192+SUMPRODUCT((FC_CRONOGRAMA!$D$4:$BK$4=AL$5+FC_SUPUESTOS!$C$166)*FC_CRONOGRAMA!$D$18:$BK$18)*FC_SUPUESTOS!$E$192)*FC_SUPUESTOS!$C$167</f>
        <v>0</v>
      </c>
      <c r="AM99" s="498" t="n">
        <f aca="false">(SUMPRODUCT((FC_CRONOGRAMA!$D$4:$BK$4=AM$5+FC_SUPUESTOS!$C$166)*FC_CRONOGRAMA!$D$17:$BK$17)*FC_SUPUESTOS!$D$192+SUMPRODUCT((FC_CRONOGRAMA!$D$4:$BK$4=AM$5+FC_SUPUESTOS!$C$166)*FC_CRONOGRAMA!$D$18:$BK$18)*FC_SUPUESTOS!$E$192)*FC_SUPUESTOS!$C$167</f>
        <v>0</v>
      </c>
      <c r="AN99" s="498" t="n">
        <f aca="false">(SUMPRODUCT((FC_CRONOGRAMA!$D$4:$BK$4=AN$5+FC_SUPUESTOS!$C$166)*FC_CRONOGRAMA!$D$17:$BK$17)*FC_SUPUESTOS!$D$192+SUMPRODUCT((FC_CRONOGRAMA!$D$4:$BK$4=AN$5+FC_SUPUESTOS!$C$166)*FC_CRONOGRAMA!$D$18:$BK$18)*FC_SUPUESTOS!$E$192)*FC_SUPUESTOS!$C$167</f>
        <v>0</v>
      </c>
      <c r="AO99" s="498" t="n">
        <f aca="false">(SUMPRODUCT((FC_CRONOGRAMA!$D$4:$BK$4=AO$5+FC_SUPUESTOS!$C$166)*FC_CRONOGRAMA!$D$17:$BK$17)*FC_SUPUESTOS!$D$192+SUMPRODUCT((FC_CRONOGRAMA!$D$4:$BK$4=AO$5+FC_SUPUESTOS!$C$166)*FC_CRONOGRAMA!$D$18:$BK$18)*FC_SUPUESTOS!$E$192)*FC_SUPUESTOS!$C$167</f>
        <v>0</v>
      </c>
      <c r="AP99" s="498" t="n">
        <f aca="false">(SUMPRODUCT((FC_CRONOGRAMA!$D$4:$BK$4=AP$5+FC_SUPUESTOS!$C$166)*FC_CRONOGRAMA!$D$17:$BK$17)*FC_SUPUESTOS!$D$192+SUMPRODUCT((FC_CRONOGRAMA!$D$4:$BK$4=AP$5+FC_SUPUESTOS!$C$166)*FC_CRONOGRAMA!$D$18:$BK$18)*FC_SUPUESTOS!$E$192)*FC_SUPUESTOS!$C$167</f>
        <v>0</v>
      </c>
      <c r="AQ99" s="498" t="n">
        <f aca="false">(SUMPRODUCT((FC_CRONOGRAMA!$D$4:$BK$4=AQ$5+FC_SUPUESTOS!$C$166)*FC_CRONOGRAMA!$D$17:$BK$17)*FC_SUPUESTOS!$D$192+SUMPRODUCT((FC_CRONOGRAMA!$D$4:$BK$4=AQ$5+FC_SUPUESTOS!$C$166)*FC_CRONOGRAMA!$D$18:$BK$18)*FC_SUPUESTOS!$E$192)*FC_SUPUESTOS!$C$167</f>
        <v>0</v>
      </c>
      <c r="AR99" s="498" t="n">
        <f aca="false">(SUMPRODUCT((FC_CRONOGRAMA!$D$4:$BK$4=AR$5+FC_SUPUESTOS!$C$166)*FC_CRONOGRAMA!$D$17:$BK$17)*FC_SUPUESTOS!$D$192+SUMPRODUCT((FC_CRONOGRAMA!$D$4:$BK$4=AR$5+FC_SUPUESTOS!$C$166)*FC_CRONOGRAMA!$D$18:$BK$18)*FC_SUPUESTOS!$E$192)*FC_SUPUESTOS!$C$167</f>
        <v>0</v>
      </c>
      <c r="AS99" s="498" t="n">
        <f aca="false">(SUMPRODUCT((FC_CRONOGRAMA!$D$4:$BK$4=AS$5+FC_SUPUESTOS!$C$166)*FC_CRONOGRAMA!$D$17:$BK$17)*FC_SUPUESTOS!$D$192+SUMPRODUCT((FC_CRONOGRAMA!$D$4:$BK$4=AS$5+FC_SUPUESTOS!$C$166)*FC_CRONOGRAMA!$D$18:$BK$18)*FC_SUPUESTOS!$E$192)*FC_SUPUESTOS!$C$167</f>
        <v>0</v>
      </c>
      <c r="AT99" s="498" t="n">
        <f aca="false">(SUMPRODUCT((FC_CRONOGRAMA!$D$4:$BK$4=AT$5+FC_SUPUESTOS!$C$166)*FC_CRONOGRAMA!$D$17:$BK$17)*FC_SUPUESTOS!$D$192+SUMPRODUCT((FC_CRONOGRAMA!$D$4:$BK$4=AT$5+FC_SUPUESTOS!$C$166)*FC_CRONOGRAMA!$D$18:$BK$18)*FC_SUPUESTOS!$E$192)*FC_SUPUESTOS!$C$167</f>
        <v>0</v>
      </c>
      <c r="AU99" s="498" t="n">
        <f aca="false">(SUMPRODUCT((FC_CRONOGRAMA!$D$4:$BK$4=AU$5+FC_SUPUESTOS!$C$166)*FC_CRONOGRAMA!$D$17:$BK$17)*FC_SUPUESTOS!$D$192+SUMPRODUCT((FC_CRONOGRAMA!$D$4:$BK$4=AU$5+FC_SUPUESTOS!$C$166)*FC_CRONOGRAMA!$D$18:$BK$18)*FC_SUPUESTOS!$E$192)*FC_SUPUESTOS!$C$167</f>
        <v>0</v>
      </c>
      <c r="AV99" s="498" t="n">
        <f aca="false">(SUMPRODUCT((FC_CRONOGRAMA!$D$4:$BK$4=AV$5+FC_SUPUESTOS!$C$166)*FC_CRONOGRAMA!$D$17:$BK$17)*FC_SUPUESTOS!$D$192+SUMPRODUCT((FC_CRONOGRAMA!$D$4:$BK$4=AV$5+FC_SUPUESTOS!$C$166)*FC_CRONOGRAMA!$D$18:$BK$18)*FC_SUPUESTOS!$E$192)*FC_SUPUESTOS!$C$167</f>
        <v>0</v>
      </c>
      <c r="AW99" s="498" t="n">
        <f aca="false">(SUMPRODUCT((FC_CRONOGRAMA!$D$4:$BK$4=AW$5+FC_SUPUESTOS!$C$166)*FC_CRONOGRAMA!$D$17:$BK$17)*FC_SUPUESTOS!$D$192+SUMPRODUCT((FC_CRONOGRAMA!$D$4:$BK$4=AW$5+FC_SUPUESTOS!$C$166)*FC_CRONOGRAMA!$D$18:$BK$18)*FC_SUPUESTOS!$E$192)*FC_SUPUESTOS!$C$167</f>
        <v>0</v>
      </c>
      <c r="AX99" s="498" t="n">
        <f aca="false">(SUMPRODUCT((FC_CRONOGRAMA!$D$4:$BK$4=AX$5+FC_SUPUESTOS!$C$166)*FC_CRONOGRAMA!$D$17:$BK$17)*FC_SUPUESTOS!$D$192+SUMPRODUCT((FC_CRONOGRAMA!$D$4:$BK$4=AX$5+FC_SUPUESTOS!$C$166)*FC_CRONOGRAMA!$D$18:$BK$18)*FC_SUPUESTOS!$E$192)*FC_SUPUESTOS!$C$167</f>
        <v>0</v>
      </c>
      <c r="AY99" s="498" t="n">
        <f aca="false">(SUMPRODUCT((FC_CRONOGRAMA!$D$4:$BK$4=AY$5+FC_SUPUESTOS!$C$166)*FC_CRONOGRAMA!$D$17:$BK$17)*FC_SUPUESTOS!$D$192+SUMPRODUCT((FC_CRONOGRAMA!$D$4:$BK$4=AY$5+FC_SUPUESTOS!$C$166)*FC_CRONOGRAMA!$D$18:$BK$18)*FC_SUPUESTOS!$E$192)*FC_SUPUESTOS!$C$167</f>
        <v>0</v>
      </c>
      <c r="AZ99" s="498" t="n">
        <f aca="false">(SUMPRODUCT((FC_CRONOGRAMA!$D$4:$BK$4=AZ$5+FC_SUPUESTOS!$C$166)*FC_CRONOGRAMA!$D$17:$BK$17)*FC_SUPUESTOS!$D$192+SUMPRODUCT((FC_CRONOGRAMA!$D$4:$BK$4=AZ$5+FC_SUPUESTOS!$C$166)*FC_CRONOGRAMA!$D$18:$BK$18)*FC_SUPUESTOS!$E$192)*FC_SUPUESTOS!$C$167</f>
        <v>0</v>
      </c>
      <c r="BA99" s="498" t="n">
        <f aca="false">(SUMPRODUCT((FC_CRONOGRAMA!$D$4:$BK$4=BA$5+FC_SUPUESTOS!$C$166)*FC_CRONOGRAMA!$D$17:$BK$17)*FC_SUPUESTOS!$D$192+SUMPRODUCT((FC_CRONOGRAMA!$D$4:$BK$4=BA$5+FC_SUPUESTOS!$C$166)*FC_CRONOGRAMA!$D$18:$BK$18)*FC_SUPUESTOS!$E$192)*FC_SUPUESTOS!$C$167</f>
        <v>0</v>
      </c>
      <c r="BB99" s="498" t="n">
        <f aca="false">(SUMPRODUCT((FC_CRONOGRAMA!$D$4:$BK$4=BB$5+FC_SUPUESTOS!$C$166)*FC_CRONOGRAMA!$D$17:$BK$17)*FC_SUPUESTOS!$D$192+SUMPRODUCT((FC_CRONOGRAMA!$D$4:$BK$4=BB$5+FC_SUPUESTOS!$C$166)*FC_CRONOGRAMA!$D$18:$BK$18)*FC_SUPUESTOS!$E$192)*FC_SUPUESTOS!$C$167</f>
        <v>0</v>
      </c>
      <c r="BC99" s="498" t="n">
        <f aca="false">(SUMPRODUCT((FC_CRONOGRAMA!$D$4:$BK$4=BC$5+FC_SUPUESTOS!$C$166)*FC_CRONOGRAMA!$D$17:$BK$17)*FC_SUPUESTOS!$D$192+SUMPRODUCT((FC_CRONOGRAMA!$D$4:$BK$4=BC$5+FC_SUPUESTOS!$C$166)*FC_CRONOGRAMA!$D$18:$BK$18)*FC_SUPUESTOS!$E$192)*FC_SUPUESTOS!$C$167</f>
        <v>0</v>
      </c>
      <c r="BD99" s="498" t="n">
        <f aca="false">(SUMPRODUCT((FC_CRONOGRAMA!$D$4:$BK$4=BD$5+FC_SUPUESTOS!$C$166)*FC_CRONOGRAMA!$D$17:$BK$17)*FC_SUPUESTOS!$D$192+SUMPRODUCT((FC_CRONOGRAMA!$D$4:$BK$4=BD$5+FC_SUPUESTOS!$C$166)*FC_CRONOGRAMA!$D$18:$BK$18)*FC_SUPUESTOS!$E$192)*FC_SUPUESTOS!$C$167</f>
        <v>0</v>
      </c>
      <c r="BE99" s="498" t="n">
        <f aca="false">(SUMPRODUCT((FC_CRONOGRAMA!$D$4:$BK$4=BE$5+FC_SUPUESTOS!$C$166)*FC_CRONOGRAMA!$D$17:$BK$17)*FC_SUPUESTOS!$D$192+SUMPRODUCT((FC_CRONOGRAMA!$D$4:$BK$4=BE$5+FC_SUPUESTOS!$C$166)*FC_CRONOGRAMA!$D$18:$BK$18)*FC_SUPUESTOS!$E$192)*FC_SUPUESTOS!$C$167</f>
        <v>0</v>
      </c>
      <c r="BF99" s="498" t="n">
        <f aca="false">(SUMPRODUCT((FC_CRONOGRAMA!$D$4:$BK$4=BF$5+FC_SUPUESTOS!$C$166)*FC_CRONOGRAMA!$D$17:$BK$17)*FC_SUPUESTOS!$D$192+SUMPRODUCT((FC_CRONOGRAMA!$D$4:$BK$4=BF$5+FC_SUPUESTOS!$C$166)*FC_CRONOGRAMA!$D$18:$BK$18)*FC_SUPUESTOS!$E$192)*FC_SUPUESTOS!$C$167</f>
        <v>0</v>
      </c>
      <c r="BG99" s="498" t="n">
        <f aca="false">(SUMPRODUCT((FC_CRONOGRAMA!$D$4:$BK$4=BG$5+FC_SUPUESTOS!$C$166)*FC_CRONOGRAMA!$D$17:$BK$17)*FC_SUPUESTOS!$D$192+SUMPRODUCT((FC_CRONOGRAMA!$D$4:$BK$4=BG$5+FC_SUPUESTOS!$C$166)*FC_CRONOGRAMA!$D$18:$BK$18)*FC_SUPUESTOS!$E$192)*FC_SUPUESTOS!$C$167</f>
        <v>0</v>
      </c>
      <c r="BH99" s="498" t="n">
        <f aca="false">(SUMPRODUCT((FC_CRONOGRAMA!$D$4:$BK$4=BH$5+FC_SUPUESTOS!$C$166)*FC_CRONOGRAMA!$D$17:$BK$17)*FC_SUPUESTOS!$D$192+SUMPRODUCT((FC_CRONOGRAMA!$D$4:$BK$4=BH$5+FC_SUPUESTOS!$C$166)*FC_CRONOGRAMA!$D$18:$BK$18)*FC_SUPUESTOS!$E$192)*FC_SUPUESTOS!$C$167</f>
        <v>0</v>
      </c>
      <c r="BI99" s="498" t="n">
        <f aca="false">(SUMPRODUCT((FC_CRONOGRAMA!$D$4:$BK$4=BI$5+FC_SUPUESTOS!$C$166)*FC_CRONOGRAMA!$D$17:$BK$17)*FC_SUPUESTOS!$D$192+SUMPRODUCT((FC_CRONOGRAMA!$D$4:$BK$4=BI$5+FC_SUPUESTOS!$C$166)*FC_CRONOGRAMA!$D$18:$BK$18)*FC_SUPUESTOS!$E$192)*FC_SUPUESTOS!$C$167</f>
        <v>0</v>
      </c>
      <c r="BJ99" s="498" t="n">
        <f aca="false">(SUMPRODUCT((FC_CRONOGRAMA!$D$4:$BK$4=BJ$5+FC_SUPUESTOS!$C$166)*FC_CRONOGRAMA!$D$17:$BK$17)*FC_SUPUESTOS!$D$192+SUMPRODUCT((FC_CRONOGRAMA!$D$4:$BK$4=BJ$5+FC_SUPUESTOS!$C$166)*FC_CRONOGRAMA!$D$18:$BK$18)*FC_SUPUESTOS!$E$192)*FC_SUPUESTOS!$C$167</f>
        <v>0</v>
      </c>
      <c r="BK99" s="498" t="n">
        <f aca="false">(SUMPRODUCT((FC_CRONOGRAMA!$D$4:$BK$4=BK$5+FC_SUPUESTOS!$C$166)*FC_CRONOGRAMA!$D$17:$BK$17)*FC_SUPUESTOS!$D$192+SUMPRODUCT((FC_CRONOGRAMA!$D$4:$BK$4=BK$5+FC_SUPUESTOS!$C$166)*FC_CRONOGRAMA!$D$18:$BK$18)*FC_SUPUESTOS!$E$192)*FC_SUPUESTOS!$C$167</f>
        <v>0</v>
      </c>
    </row>
    <row r="100" customFormat="false" ht="15" hidden="false" customHeight="true" outlineLevel="0" collapsed="false">
      <c r="B100" s="283" t="s">
        <v>2994</v>
      </c>
      <c r="D100" s="498" t="n">
        <f aca="false">(FC_SUPUESTOS!$C$9*FC_SUPUESTOS!$D$192+FC_SUPUESTOS!$C$10*FC_SUPUESTOS!$E$192)*(1-FC_SUPUESTOS!$C$167)-SUM($E$100:$BK$100)</f>
        <v>0</v>
      </c>
      <c r="E100" s="498" t="n">
        <f aca="false">(SUMPRODUCT((FC_CRONOGRAMA!$D$4:$BK$4=E$5+FC_SUPUESTOS!$C$168)*FC_CRONOGRAMA!$D$17:$BK$17)*FC_SUPUESTOS!$D$192+SUMPRODUCT((FC_CRONOGRAMA!$D$4:$BK$4=E$5+FC_SUPUESTOS!$C$168)*FC_CRONOGRAMA!$D$18:$BK$18)*FC_SUPUESTOS!$E$192)*(1-FC_SUPUESTOS!$C$167)</f>
        <v>0</v>
      </c>
      <c r="F100" s="498" t="n">
        <f aca="false">(SUMPRODUCT((FC_CRONOGRAMA!$D$4:$BK$4=F$5+FC_SUPUESTOS!$C$168)*FC_CRONOGRAMA!$D$17:$BK$17)*FC_SUPUESTOS!$D$192+SUMPRODUCT((FC_CRONOGRAMA!$D$4:$BK$4=F$5+FC_SUPUESTOS!$C$168)*FC_CRONOGRAMA!$D$18:$BK$18)*FC_SUPUESTOS!$E$192)*(1-FC_SUPUESTOS!$C$167)</f>
        <v>0</v>
      </c>
      <c r="G100" s="498" t="n">
        <f aca="false">(SUMPRODUCT((FC_CRONOGRAMA!$D$4:$BK$4=G$5+FC_SUPUESTOS!$C$168)*FC_CRONOGRAMA!$D$17:$BK$17)*FC_SUPUESTOS!$D$192+SUMPRODUCT((FC_CRONOGRAMA!$D$4:$BK$4=G$5+FC_SUPUESTOS!$C$168)*FC_CRONOGRAMA!$D$18:$BK$18)*FC_SUPUESTOS!$E$192)*(1-FC_SUPUESTOS!$C$167)</f>
        <v>0</v>
      </c>
      <c r="H100" s="498" t="n">
        <f aca="false">(SUMPRODUCT((FC_CRONOGRAMA!$D$4:$BK$4=H$5+FC_SUPUESTOS!$C$168)*FC_CRONOGRAMA!$D$17:$BK$17)*FC_SUPUESTOS!$D$192+SUMPRODUCT((FC_CRONOGRAMA!$D$4:$BK$4=H$5+FC_SUPUESTOS!$C$168)*FC_CRONOGRAMA!$D$18:$BK$18)*FC_SUPUESTOS!$E$192)*(1-FC_SUPUESTOS!$C$167)</f>
        <v>0</v>
      </c>
      <c r="I100" s="498" t="n">
        <f aca="false">(SUMPRODUCT((FC_CRONOGRAMA!$D$4:$BK$4=I$5+FC_SUPUESTOS!$C$168)*FC_CRONOGRAMA!$D$17:$BK$17)*FC_SUPUESTOS!$D$192+SUMPRODUCT((FC_CRONOGRAMA!$D$4:$BK$4=I$5+FC_SUPUESTOS!$C$168)*FC_CRONOGRAMA!$D$18:$BK$18)*FC_SUPUESTOS!$E$192)*(1-FC_SUPUESTOS!$C$167)</f>
        <v>0</v>
      </c>
      <c r="J100" s="498" t="n">
        <f aca="false">(SUMPRODUCT((FC_CRONOGRAMA!$D$4:$BK$4=J$5+FC_SUPUESTOS!$C$168)*FC_CRONOGRAMA!$D$17:$BK$17)*FC_SUPUESTOS!$D$192+SUMPRODUCT((FC_CRONOGRAMA!$D$4:$BK$4=J$5+FC_SUPUESTOS!$C$168)*FC_CRONOGRAMA!$D$18:$BK$18)*FC_SUPUESTOS!$E$192)*(1-FC_SUPUESTOS!$C$167)</f>
        <v>0</v>
      </c>
      <c r="K100" s="498" t="n">
        <f aca="false">(SUMPRODUCT((FC_CRONOGRAMA!$D$4:$BK$4=K$5+FC_SUPUESTOS!$C$168)*FC_CRONOGRAMA!$D$17:$BK$17)*FC_SUPUESTOS!$D$192+SUMPRODUCT((FC_CRONOGRAMA!$D$4:$BK$4=K$5+FC_SUPUESTOS!$C$168)*FC_CRONOGRAMA!$D$18:$BK$18)*FC_SUPUESTOS!$E$192)*(1-FC_SUPUESTOS!$C$167)</f>
        <v>17800</v>
      </c>
      <c r="L100" s="498" t="n">
        <f aca="false">(SUMPRODUCT((FC_CRONOGRAMA!$D$4:$BK$4=L$5+FC_SUPUESTOS!$C$168)*FC_CRONOGRAMA!$D$17:$BK$17)*FC_SUPUESTOS!$D$192+SUMPRODUCT((FC_CRONOGRAMA!$D$4:$BK$4=L$5+FC_SUPUESTOS!$C$168)*FC_CRONOGRAMA!$D$18:$BK$18)*FC_SUPUESTOS!$E$192)*(1-FC_SUPUESTOS!$C$167)</f>
        <v>17800</v>
      </c>
      <c r="M100" s="498" t="n">
        <f aca="false">(SUMPRODUCT((FC_CRONOGRAMA!$D$4:$BK$4=M$5+FC_SUPUESTOS!$C$168)*FC_CRONOGRAMA!$D$17:$BK$17)*FC_SUPUESTOS!$D$192+SUMPRODUCT((FC_CRONOGRAMA!$D$4:$BK$4=M$5+FC_SUPUESTOS!$C$168)*FC_CRONOGRAMA!$D$18:$BK$18)*FC_SUPUESTOS!$E$192)*(1-FC_SUPUESTOS!$C$167)</f>
        <v>17800</v>
      </c>
      <c r="N100" s="498" t="n">
        <f aca="false">(SUMPRODUCT((FC_CRONOGRAMA!$D$4:$BK$4=N$5+FC_SUPUESTOS!$C$168)*FC_CRONOGRAMA!$D$17:$BK$17)*FC_SUPUESTOS!$D$192+SUMPRODUCT((FC_CRONOGRAMA!$D$4:$BK$4=N$5+FC_SUPUESTOS!$C$168)*FC_CRONOGRAMA!$D$18:$BK$18)*FC_SUPUESTOS!$E$192)*(1-FC_SUPUESTOS!$C$167)</f>
        <v>20950</v>
      </c>
      <c r="O100" s="498" t="n">
        <f aca="false">(SUMPRODUCT((FC_CRONOGRAMA!$D$4:$BK$4=O$5+FC_SUPUESTOS!$C$168)*FC_CRONOGRAMA!$D$17:$BK$17)*FC_SUPUESTOS!$D$192+SUMPRODUCT((FC_CRONOGRAMA!$D$4:$BK$4=O$5+FC_SUPUESTOS!$C$168)*FC_CRONOGRAMA!$D$18:$BK$18)*FC_SUPUESTOS!$E$192)*(1-FC_SUPUESTOS!$C$167)</f>
        <v>24100</v>
      </c>
      <c r="P100" s="498" t="n">
        <f aca="false">(SUMPRODUCT((FC_CRONOGRAMA!$D$4:$BK$4=P$5+FC_SUPUESTOS!$C$168)*FC_CRONOGRAMA!$D$17:$BK$17)*FC_SUPUESTOS!$D$192+SUMPRODUCT((FC_CRONOGRAMA!$D$4:$BK$4=P$5+FC_SUPUESTOS!$C$168)*FC_CRONOGRAMA!$D$18:$BK$18)*FC_SUPUESTOS!$E$192)*(1-FC_SUPUESTOS!$C$167)</f>
        <v>0</v>
      </c>
      <c r="Q100" s="498" t="n">
        <f aca="false">(SUMPRODUCT((FC_CRONOGRAMA!$D$4:$BK$4=Q$5+FC_SUPUESTOS!$C$168)*FC_CRONOGRAMA!$D$17:$BK$17)*FC_SUPUESTOS!$D$192+SUMPRODUCT((FC_CRONOGRAMA!$D$4:$BK$4=Q$5+FC_SUPUESTOS!$C$168)*FC_CRONOGRAMA!$D$18:$BK$18)*FC_SUPUESTOS!$E$192)*(1-FC_SUPUESTOS!$C$167)</f>
        <v>0</v>
      </c>
      <c r="R100" s="498" t="n">
        <f aca="false">(SUMPRODUCT((FC_CRONOGRAMA!$D$4:$BK$4=R$5+FC_SUPUESTOS!$C$168)*FC_CRONOGRAMA!$D$17:$BK$17)*FC_SUPUESTOS!$D$192+SUMPRODUCT((FC_CRONOGRAMA!$D$4:$BK$4=R$5+FC_SUPUESTOS!$C$168)*FC_CRONOGRAMA!$D$18:$BK$18)*FC_SUPUESTOS!$E$192)*(1-FC_SUPUESTOS!$C$167)</f>
        <v>0</v>
      </c>
      <c r="S100" s="498" t="n">
        <f aca="false">(SUMPRODUCT((FC_CRONOGRAMA!$D$4:$BK$4=S$5+FC_SUPUESTOS!$C$168)*FC_CRONOGRAMA!$D$17:$BK$17)*FC_SUPUESTOS!$D$192+SUMPRODUCT((FC_CRONOGRAMA!$D$4:$BK$4=S$5+FC_SUPUESTOS!$C$168)*FC_CRONOGRAMA!$D$18:$BK$18)*FC_SUPUESTOS!$E$192)*(1-FC_SUPUESTOS!$C$167)</f>
        <v>0</v>
      </c>
      <c r="T100" s="498" t="n">
        <f aca="false">(SUMPRODUCT((FC_CRONOGRAMA!$D$4:$BK$4=T$5+FC_SUPUESTOS!$C$168)*FC_CRONOGRAMA!$D$17:$BK$17)*FC_SUPUESTOS!$D$192+SUMPRODUCT((FC_CRONOGRAMA!$D$4:$BK$4=T$5+FC_SUPUESTOS!$C$168)*FC_CRONOGRAMA!$D$18:$BK$18)*FC_SUPUESTOS!$E$192)*(1-FC_SUPUESTOS!$C$167)</f>
        <v>0</v>
      </c>
      <c r="U100" s="498" t="n">
        <f aca="false">(SUMPRODUCT((FC_CRONOGRAMA!$D$4:$BK$4=U$5+FC_SUPUESTOS!$C$168)*FC_CRONOGRAMA!$D$17:$BK$17)*FC_SUPUESTOS!$D$192+SUMPRODUCT((FC_CRONOGRAMA!$D$4:$BK$4=U$5+FC_SUPUESTOS!$C$168)*FC_CRONOGRAMA!$D$18:$BK$18)*FC_SUPUESTOS!$E$192)*(1-FC_SUPUESTOS!$C$167)</f>
        <v>0</v>
      </c>
      <c r="V100" s="498" t="n">
        <f aca="false">(SUMPRODUCT((FC_CRONOGRAMA!$D$4:$BK$4=V$5+FC_SUPUESTOS!$C$168)*FC_CRONOGRAMA!$D$17:$BK$17)*FC_SUPUESTOS!$D$192+SUMPRODUCT((FC_CRONOGRAMA!$D$4:$BK$4=V$5+FC_SUPUESTOS!$C$168)*FC_CRONOGRAMA!$D$18:$BK$18)*FC_SUPUESTOS!$E$192)*(1-FC_SUPUESTOS!$C$167)</f>
        <v>0</v>
      </c>
      <c r="W100" s="498" t="n">
        <f aca="false">(SUMPRODUCT((FC_CRONOGRAMA!$D$4:$BK$4=W$5+FC_SUPUESTOS!$C$168)*FC_CRONOGRAMA!$D$17:$BK$17)*FC_SUPUESTOS!$D$192+SUMPRODUCT((FC_CRONOGRAMA!$D$4:$BK$4=W$5+FC_SUPUESTOS!$C$168)*FC_CRONOGRAMA!$D$18:$BK$18)*FC_SUPUESTOS!$E$192)*(1-FC_SUPUESTOS!$C$167)</f>
        <v>0</v>
      </c>
      <c r="X100" s="498" t="n">
        <f aca="false">(SUMPRODUCT((FC_CRONOGRAMA!$D$4:$BK$4=X$5+FC_SUPUESTOS!$C$168)*FC_CRONOGRAMA!$D$17:$BK$17)*FC_SUPUESTOS!$D$192+SUMPRODUCT((FC_CRONOGRAMA!$D$4:$BK$4=X$5+FC_SUPUESTOS!$C$168)*FC_CRONOGRAMA!$D$18:$BK$18)*FC_SUPUESTOS!$E$192)*(1-FC_SUPUESTOS!$C$167)</f>
        <v>0</v>
      </c>
      <c r="Y100" s="498" t="n">
        <f aca="false">(SUMPRODUCT((FC_CRONOGRAMA!$D$4:$BK$4=Y$5+FC_SUPUESTOS!$C$168)*FC_CRONOGRAMA!$D$17:$BK$17)*FC_SUPUESTOS!$D$192+SUMPRODUCT((FC_CRONOGRAMA!$D$4:$BK$4=Y$5+FC_SUPUESTOS!$C$168)*FC_CRONOGRAMA!$D$18:$BK$18)*FC_SUPUESTOS!$E$192)*(1-FC_SUPUESTOS!$C$167)</f>
        <v>0</v>
      </c>
      <c r="Z100" s="498" t="n">
        <f aca="false">(SUMPRODUCT((FC_CRONOGRAMA!$D$4:$BK$4=Z$5+FC_SUPUESTOS!$C$168)*FC_CRONOGRAMA!$D$17:$BK$17)*FC_SUPUESTOS!$D$192+SUMPRODUCT((FC_CRONOGRAMA!$D$4:$BK$4=Z$5+FC_SUPUESTOS!$C$168)*FC_CRONOGRAMA!$D$18:$BK$18)*FC_SUPUESTOS!$E$192)*(1-FC_SUPUESTOS!$C$167)</f>
        <v>0</v>
      </c>
      <c r="AA100" s="498" t="n">
        <f aca="false">(SUMPRODUCT((FC_CRONOGRAMA!$D$4:$BK$4=AA$5+FC_SUPUESTOS!$C$168)*FC_CRONOGRAMA!$D$17:$BK$17)*FC_SUPUESTOS!$D$192+SUMPRODUCT((FC_CRONOGRAMA!$D$4:$BK$4=AA$5+FC_SUPUESTOS!$C$168)*FC_CRONOGRAMA!$D$18:$BK$18)*FC_SUPUESTOS!$E$192)*(1-FC_SUPUESTOS!$C$167)</f>
        <v>0</v>
      </c>
      <c r="AB100" s="498" t="n">
        <f aca="false">(SUMPRODUCT((FC_CRONOGRAMA!$D$4:$BK$4=AB$5+FC_SUPUESTOS!$C$168)*FC_CRONOGRAMA!$D$17:$BK$17)*FC_SUPUESTOS!$D$192+SUMPRODUCT((FC_CRONOGRAMA!$D$4:$BK$4=AB$5+FC_SUPUESTOS!$C$168)*FC_CRONOGRAMA!$D$18:$BK$18)*FC_SUPUESTOS!$E$192)*(1-FC_SUPUESTOS!$C$167)</f>
        <v>0</v>
      </c>
      <c r="AC100" s="498" t="n">
        <f aca="false">(SUMPRODUCT((FC_CRONOGRAMA!$D$4:$BK$4=AC$5+FC_SUPUESTOS!$C$168)*FC_CRONOGRAMA!$D$17:$BK$17)*FC_SUPUESTOS!$D$192+SUMPRODUCT((FC_CRONOGRAMA!$D$4:$BK$4=AC$5+FC_SUPUESTOS!$C$168)*FC_CRONOGRAMA!$D$18:$BK$18)*FC_SUPUESTOS!$E$192)*(1-FC_SUPUESTOS!$C$167)</f>
        <v>0</v>
      </c>
      <c r="AD100" s="498" t="n">
        <f aca="false">(SUMPRODUCT((FC_CRONOGRAMA!$D$4:$BK$4=AD$5+FC_SUPUESTOS!$C$168)*FC_CRONOGRAMA!$D$17:$BK$17)*FC_SUPUESTOS!$D$192+SUMPRODUCT((FC_CRONOGRAMA!$D$4:$BK$4=AD$5+FC_SUPUESTOS!$C$168)*FC_CRONOGRAMA!$D$18:$BK$18)*FC_SUPUESTOS!$E$192)*(1-FC_SUPUESTOS!$C$167)</f>
        <v>0</v>
      </c>
      <c r="AE100" s="498" t="n">
        <f aca="false">(SUMPRODUCT((FC_CRONOGRAMA!$D$4:$BK$4=AE$5+FC_SUPUESTOS!$C$168)*FC_CRONOGRAMA!$D$17:$BK$17)*FC_SUPUESTOS!$D$192+SUMPRODUCT((FC_CRONOGRAMA!$D$4:$BK$4=AE$5+FC_SUPUESTOS!$C$168)*FC_CRONOGRAMA!$D$18:$BK$18)*FC_SUPUESTOS!$E$192)*(1-FC_SUPUESTOS!$C$167)</f>
        <v>0</v>
      </c>
      <c r="AF100" s="498" t="n">
        <f aca="false">(SUMPRODUCT((FC_CRONOGRAMA!$D$4:$BK$4=AF$5+FC_SUPUESTOS!$C$168)*FC_CRONOGRAMA!$D$17:$BK$17)*FC_SUPUESTOS!$D$192+SUMPRODUCT((FC_CRONOGRAMA!$D$4:$BK$4=AF$5+FC_SUPUESTOS!$C$168)*FC_CRONOGRAMA!$D$18:$BK$18)*FC_SUPUESTOS!$E$192)*(1-FC_SUPUESTOS!$C$167)</f>
        <v>0</v>
      </c>
      <c r="AG100" s="498" t="n">
        <f aca="false">(SUMPRODUCT((FC_CRONOGRAMA!$D$4:$BK$4=AG$5+FC_SUPUESTOS!$C$168)*FC_CRONOGRAMA!$D$17:$BK$17)*FC_SUPUESTOS!$D$192+SUMPRODUCT((FC_CRONOGRAMA!$D$4:$BK$4=AG$5+FC_SUPUESTOS!$C$168)*FC_CRONOGRAMA!$D$18:$BK$18)*FC_SUPUESTOS!$E$192)*(1-FC_SUPUESTOS!$C$167)</f>
        <v>0</v>
      </c>
      <c r="AH100" s="498" t="n">
        <f aca="false">(SUMPRODUCT((FC_CRONOGRAMA!$D$4:$BK$4=AH$5+FC_SUPUESTOS!$C$168)*FC_CRONOGRAMA!$D$17:$BK$17)*FC_SUPUESTOS!$D$192+SUMPRODUCT((FC_CRONOGRAMA!$D$4:$BK$4=AH$5+FC_SUPUESTOS!$C$168)*FC_CRONOGRAMA!$D$18:$BK$18)*FC_SUPUESTOS!$E$192)*(1-FC_SUPUESTOS!$C$167)</f>
        <v>0</v>
      </c>
      <c r="AI100" s="498" t="n">
        <f aca="false">(SUMPRODUCT((FC_CRONOGRAMA!$D$4:$BK$4=AI$5+FC_SUPUESTOS!$C$168)*FC_CRONOGRAMA!$D$17:$BK$17)*FC_SUPUESTOS!$D$192+SUMPRODUCT((FC_CRONOGRAMA!$D$4:$BK$4=AI$5+FC_SUPUESTOS!$C$168)*FC_CRONOGRAMA!$D$18:$BK$18)*FC_SUPUESTOS!$E$192)*(1-FC_SUPUESTOS!$C$167)</f>
        <v>0</v>
      </c>
      <c r="AJ100" s="498" t="n">
        <f aca="false">(SUMPRODUCT((FC_CRONOGRAMA!$D$4:$BK$4=AJ$5+FC_SUPUESTOS!$C$168)*FC_CRONOGRAMA!$D$17:$BK$17)*FC_SUPUESTOS!$D$192+SUMPRODUCT((FC_CRONOGRAMA!$D$4:$BK$4=AJ$5+FC_SUPUESTOS!$C$168)*FC_CRONOGRAMA!$D$18:$BK$18)*FC_SUPUESTOS!$E$192)*(1-FC_SUPUESTOS!$C$167)</f>
        <v>0</v>
      </c>
      <c r="AK100" s="498" t="n">
        <f aca="false">(SUMPRODUCT((FC_CRONOGRAMA!$D$4:$BK$4=AK$5+FC_SUPUESTOS!$C$168)*FC_CRONOGRAMA!$D$17:$BK$17)*FC_SUPUESTOS!$D$192+SUMPRODUCT((FC_CRONOGRAMA!$D$4:$BK$4=AK$5+FC_SUPUESTOS!$C$168)*FC_CRONOGRAMA!$D$18:$BK$18)*FC_SUPUESTOS!$E$192)*(1-FC_SUPUESTOS!$C$167)</f>
        <v>0</v>
      </c>
      <c r="AL100" s="498" t="n">
        <f aca="false">(SUMPRODUCT((FC_CRONOGRAMA!$D$4:$BK$4=AL$5+FC_SUPUESTOS!$C$168)*FC_CRONOGRAMA!$D$17:$BK$17)*FC_SUPUESTOS!$D$192+SUMPRODUCT((FC_CRONOGRAMA!$D$4:$BK$4=AL$5+FC_SUPUESTOS!$C$168)*FC_CRONOGRAMA!$D$18:$BK$18)*FC_SUPUESTOS!$E$192)*(1-FC_SUPUESTOS!$C$167)</f>
        <v>0</v>
      </c>
      <c r="AM100" s="498" t="n">
        <f aca="false">(SUMPRODUCT((FC_CRONOGRAMA!$D$4:$BK$4=AM$5+FC_SUPUESTOS!$C$168)*FC_CRONOGRAMA!$D$17:$BK$17)*FC_SUPUESTOS!$D$192+SUMPRODUCT((FC_CRONOGRAMA!$D$4:$BK$4=AM$5+FC_SUPUESTOS!$C$168)*FC_CRONOGRAMA!$D$18:$BK$18)*FC_SUPUESTOS!$E$192)*(1-FC_SUPUESTOS!$C$167)</f>
        <v>0</v>
      </c>
      <c r="AN100" s="498" t="n">
        <f aca="false">(SUMPRODUCT((FC_CRONOGRAMA!$D$4:$BK$4=AN$5+FC_SUPUESTOS!$C$168)*FC_CRONOGRAMA!$D$17:$BK$17)*FC_SUPUESTOS!$D$192+SUMPRODUCT((FC_CRONOGRAMA!$D$4:$BK$4=AN$5+FC_SUPUESTOS!$C$168)*FC_CRONOGRAMA!$D$18:$BK$18)*FC_SUPUESTOS!$E$192)*(1-FC_SUPUESTOS!$C$167)</f>
        <v>0</v>
      </c>
      <c r="AO100" s="498" t="n">
        <f aca="false">(SUMPRODUCT((FC_CRONOGRAMA!$D$4:$BK$4=AO$5+FC_SUPUESTOS!$C$168)*FC_CRONOGRAMA!$D$17:$BK$17)*FC_SUPUESTOS!$D$192+SUMPRODUCT((FC_CRONOGRAMA!$D$4:$BK$4=AO$5+FC_SUPUESTOS!$C$168)*FC_CRONOGRAMA!$D$18:$BK$18)*FC_SUPUESTOS!$E$192)*(1-FC_SUPUESTOS!$C$167)</f>
        <v>0</v>
      </c>
      <c r="AP100" s="498" t="n">
        <f aca="false">(SUMPRODUCT((FC_CRONOGRAMA!$D$4:$BK$4=AP$5+FC_SUPUESTOS!$C$168)*FC_CRONOGRAMA!$D$17:$BK$17)*FC_SUPUESTOS!$D$192+SUMPRODUCT((FC_CRONOGRAMA!$D$4:$BK$4=AP$5+FC_SUPUESTOS!$C$168)*FC_CRONOGRAMA!$D$18:$BK$18)*FC_SUPUESTOS!$E$192)*(1-FC_SUPUESTOS!$C$167)</f>
        <v>0</v>
      </c>
      <c r="AQ100" s="498" t="n">
        <f aca="false">(SUMPRODUCT((FC_CRONOGRAMA!$D$4:$BK$4=AQ$5+FC_SUPUESTOS!$C$168)*FC_CRONOGRAMA!$D$17:$BK$17)*FC_SUPUESTOS!$D$192+SUMPRODUCT((FC_CRONOGRAMA!$D$4:$BK$4=AQ$5+FC_SUPUESTOS!$C$168)*FC_CRONOGRAMA!$D$18:$BK$18)*FC_SUPUESTOS!$E$192)*(1-FC_SUPUESTOS!$C$167)</f>
        <v>0</v>
      </c>
      <c r="AR100" s="498" t="n">
        <f aca="false">(SUMPRODUCT((FC_CRONOGRAMA!$D$4:$BK$4=AR$5+FC_SUPUESTOS!$C$168)*FC_CRONOGRAMA!$D$17:$BK$17)*FC_SUPUESTOS!$D$192+SUMPRODUCT((FC_CRONOGRAMA!$D$4:$BK$4=AR$5+FC_SUPUESTOS!$C$168)*FC_CRONOGRAMA!$D$18:$BK$18)*FC_SUPUESTOS!$E$192)*(1-FC_SUPUESTOS!$C$167)</f>
        <v>0</v>
      </c>
      <c r="AS100" s="498" t="n">
        <f aca="false">(SUMPRODUCT((FC_CRONOGRAMA!$D$4:$BK$4=AS$5+FC_SUPUESTOS!$C$168)*FC_CRONOGRAMA!$D$17:$BK$17)*FC_SUPUESTOS!$D$192+SUMPRODUCT((FC_CRONOGRAMA!$D$4:$BK$4=AS$5+FC_SUPUESTOS!$C$168)*FC_CRONOGRAMA!$D$18:$BK$18)*FC_SUPUESTOS!$E$192)*(1-FC_SUPUESTOS!$C$167)</f>
        <v>0</v>
      </c>
      <c r="AT100" s="498" t="n">
        <f aca="false">(SUMPRODUCT((FC_CRONOGRAMA!$D$4:$BK$4=AT$5+FC_SUPUESTOS!$C$168)*FC_CRONOGRAMA!$D$17:$BK$17)*FC_SUPUESTOS!$D$192+SUMPRODUCT((FC_CRONOGRAMA!$D$4:$BK$4=AT$5+FC_SUPUESTOS!$C$168)*FC_CRONOGRAMA!$D$18:$BK$18)*FC_SUPUESTOS!$E$192)*(1-FC_SUPUESTOS!$C$167)</f>
        <v>0</v>
      </c>
      <c r="AU100" s="498" t="n">
        <f aca="false">(SUMPRODUCT((FC_CRONOGRAMA!$D$4:$BK$4=AU$5+FC_SUPUESTOS!$C$168)*FC_CRONOGRAMA!$D$17:$BK$17)*FC_SUPUESTOS!$D$192+SUMPRODUCT((FC_CRONOGRAMA!$D$4:$BK$4=AU$5+FC_SUPUESTOS!$C$168)*FC_CRONOGRAMA!$D$18:$BK$18)*FC_SUPUESTOS!$E$192)*(1-FC_SUPUESTOS!$C$167)</f>
        <v>0</v>
      </c>
      <c r="AV100" s="498" t="n">
        <f aca="false">(SUMPRODUCT((FC_CRONOGRAMA!$D$4:$BK$4=AV$5+FC_SUPUESTOS!$C$168)*FC_CRONOGRAMA!$D$17:$BK$17)*FC_SUPUESTOS!$D$192+SUMPRODUCT((FC_CRONOGRAMA!$D$4:$BK$4=AV$5+FC_SUPUESTOS!$C$168)*FC_CRONOGRAMA!$D$18:$BK$18)*FC_SUPUESTOS!$E$192)*(1-FC_SUPUESTOS!$C$167)</f>
        <v>0</v>
      </c>
      <c r="AW100" s="498" t="n">
        <f aca="false">(SUMPRODUCT((FC_CRONOGRAMA!$D$4:$BK$4=AW$5+FC_SUPUESTOS!$C$168)*FC_CRONOGRAMA!$D$17:$BK$17)*FC_SUPUESTOS!$D$192+SUMPRODUCT((FC_CRONOGRAMA!$D$4:$BK$4=AW$5+FC_SUPUESTOS!$C$168)*FC_CRONOGRAMA!$D$18:$BK$18)*FC_SUPUESTOS!$E$192)*(1-FC_SUPUESTOS!$C$167)</f>
        <v>0</v>
      </c>
      <c r="AX100" s="498" t="n">
        <f aca="false">(SUMPRODUCT((FC_CRONOGRAMA!$D$4:$BK$4=AX$5+FC_SUPUESTOS!$C$168)*FC_CRONOGRAMA!$D$17:$BK$17)*FC_SUPUESTOS!$D$192+SUMPRODUCT((FC_CRONOGRAMA!$D$4:$BK$4=AX$5+FC_SUPUESTOS!$C$168)*FC_CRONOGRAMA!$D$18:$BK$18)*FC_SUPUESTOS!$E$192)*(1-FC_SUPUESTOS!$C$167)</f>
        <v>0</v>
      </c>
      <c r="AY100" s="498" t="n">
        <f aca="false">(SUMPRODUCT((FC_CRONOGRAMA!$D$4:$BK$4=AY$5+FC_SUPUESTOS!$C$168)*FC_CRONOGRAMA!$D$17:$BK$17)*FC_SUPUESTOS!$D$192+SUMPRODUCT((FC_CRONOGRAMA!$D$4:$BK$4=AY$5+FC_SUPUESTOS!$C$168)*FC_CRONOGRAMA!$D$18:$BK$18)*FC_SUPUESTOS!$E$192)*(1-FC_SUPUESTOS!$C$167)</f>
        <v>0</v>
      </c>
      <c r="AZ100" s="498" t="n">
        <f aca="false">(SUMPRODUCT((FC_CRONOGRAMA!$D$4:$BK$4=AZ$5+FC_SUPUESTOS!$C$168)*FC_CRONOGRAMA!$D$17:$BK$17)*FC_SUPUESTOS!$D$192+SUMPRODUCT((FC_CRONOGRAMA!$D$4:$BK$4=AZ$5+FC_SUPUESTOS!$C$168)*FC_CRONOGRAMA!$D$18:$BK$18)*FC_SUPUESTOS!$E$192)*(1-FC_SUPUESTOS!$C$167)</f>
        <v>0</v>
      </c>
      <c r="BA100" s="498" t="n">
        <f aca="false">(SUMPRODUCT((FC_CRONOGRAMA!$D$4:$BK$4=BA$5+FC_SUPUESTOS!$C$168)*FC_CRONOGRAMA!$D$17:$BK$17)*FC_SUPUESTOS!$D$192+SUMPRODUCT((FC_CRONOGRAMA!$D$4:$BK$4=BA$5+FC_SUPUESTOS!$C$168)*FC_CRONOGRAMA!$D$18:$BK$18)*FC_SUPUESTOS!$E$192)*(1-FC_SUPUESTOS!$C$167)</f>
        <v>0</v>
      </c>
      <c r="BB100" s="498" t="n">
        <f aca="false">(SUMPRODUCT((FC_CRONOGRAMA!$D$4:$BK$4=BB$5+FC_SUPUESTOS!$C$168)*FC_CRONOGRAMA!$D$17:$BK$17)*FC_SUPUESTOS!$D$192+SUMPRODUCT((FC_CRONOGRAMA!$D$4:$BK$4=BB$5+FC_SUPUESTOS!$C$168)*FC_CRONOGRAMA!$D$18:$BK$18)*FC_SUPUESTOS!$E$192)*(1-FC_SUPUESTOS!$C$167)</f>
        <v>0</v>
      </c>
      <c r="BC100" s="498" t="n">
        <f aca="false">(SUMPRODUCT((FC_CRONOGRAMA!$D$4:$BK$4=BC$5+FC_SUPUESTOS!$C$168)*FC_CRONOGRAMA!$D$17:$BK$17)*FC_SUPUESTOS!$D$192+SUMPRODUCT((FC_CRONOGRAMA!$D$4:$BK$4=BC$5+FC_SUPUESTOS!$C$168)*FC_CRONOGRAMA!$D$18:$BK$18)*FC_SUPUESTOS!$E$192)*(1-FC_SUPUESTOS!$C$167)</f>
        <v>0</v>
      </c>
      <c r="BD100" s="498" t="n">
        <f aca="false">(SUMPRODUCT((FC_CRONOGRAMA!$D$4:$BK$4=BD$5+FC_SUPUESTOS!$C$168)*FC_CRONOGRAMA!$D$17:$BK$17)*FC_SUPUESTOS!$D$192+SUMPRODUCT((FC_CRONOGRAMA!$D$4:$BK$4=BD$5+FC_SUPUESTOS!$C$168)*FC_CRONOGRAMA!$D$18:$BK$18)*FC_SUPUESTOS!$E$192)*(1-FC_SUPUESTOS!$C$167)</f>
        <v>0</v>
      </c>
      <c r="BE100" s="498" t="n">
        <f aca="false">(SUMPRODUCT((FC_CRONOGRAMA!$D$4:$BK$4=BE$5+FC_SUPUESTOS!$C$168)*FC_CRONOGRAMA!$D$17:$BK$17)*FC_SUPUESTOS!$D$192+SUMPRODUCT((FC_CRONOGRAMA!$D$4:$BK$4=BE$5+FC_SUPUESTOS!$C$168)*FC_CRONOGRAMA!$D$18:$BK$18)*FC_SUPUESTOS!$E$192)*(1-FC_SUPUESTOS!$C$167)</f>
        <v>0</v>
      </c>
      <c r="BF100" s="498" t="n">
        <f aca="false">(SUMPRODUCT((FC_CRONOGRAMA!$D$4:$BK$4=BF$5+FC_SUPUESTOS!$C$168)*FC_CRONOGRAMA!$D$17:$BK$17)*FC_SUPUESTOS!$D$192+SUMPRODUCT((FC_CRONOGRAMA!$D$4:$BK$4=BF$5+FC_SUPUESTOS!$C$168)*FC_CRONOGRAMA!$D$18:$BK$18)*FC_SUPUESTOS!$E$192)*(1-FC_SUPUESTOS!$C$167)</f>
        <v>0</v>
      </c>
      <c r="BG100" s="498" t="n">
        <f aca="false">(SUMPRODUCT((FC_CRONOGRAMA!$D$4:$BK$4=BG$5+FC_SUPUESTOS!$C$168)*FC_CRONOGRAMA!$D$17:$BK$17)*FC_SUPUESTOS!$D$192+SUMPRODUCT((FC_CRONOGRAMA!$D$4:$BK$4=BG$5+FC_SUPUESTOS!$C$168)*FC_CRONOGRAMA!$D$18:$BK$18)*FC_SUPUESTOS!$E$192)*(1-FC_SUPUESTOS!$C$167)</f>
        <v>0</v>
      </c>
      <c r="BH100" s="498" t="n">
        <f aca="false">(SUMPRODUCT((FC_CRONOGRAMA!$D$4:$BK$4=BH$5+FC_SUPUESTOS!$C$168)*FC_CRONOGRAMA!$D$17:$BK$17)*FC_SUPUESTOS!$D$192+SUMPRODUCT((FC_CRONOGRAMA!$D$4:$BK$4=BH$5+FC_SUPUESTOS!$C$168)*FC_CRONOGRAMA!$D$18:$BK$18)*FC_SUPUESTOS!$E$192)*(1-FC_SUPUESTOS!$C$167)</f>
        <v>0</v>
      </c>
      <c r="BI100" s="498" t="n">
        <f aca="false">(SUMPRODUCT((FC_CRONOGRAMA!$D$4:$BK$4=BI$5+FC_SUPUESTOS!$C$168)*FC_CRONOGRAMA!$D$17:$BK$17)*FC_SUPUESTOS!$D$192+SUMPRODUCT((FC_CRONOGRAMA!$D$4:$BK$4=BI$5+FC_SUPUESTOS!$C$168)*FC_CRONOGRAMA!$D$18:$BK$18)*FC_SUPUESTOS!$E$192)*(1-FC_SUPUESTOS!$C$167)</f>
        <v>0</v>
      </c>
      <c r="BJ100" s="498" t="n">
        <f aca="false">(SUMPRODUCT((FC_CRONOGRAMA!$D$4:$BK$4=BJ$5+FC_SUPUESTOS!$C$168)*FC_CRONOGRAMA!$D$17:$BK$17)*FC_SUPUESTOS!$D$192+SUMPRODUCT((FC_CRONOGRAMA!$D$4:$BK$4=BJ$5+FC_SUPUESTOS!$C$168)*FC_CRONOGRAMA!$D$18:$BK$18)*FC_SUPUESTOS!$E$192)*(1-FC_SUPUESTOS!$C$167)</f>
        <v>0</v>
      </c>
      <c r="BK100" s="498" t="n">
        <f aca="false">(SUMPRODUCT((FC_CRONOGRAMA!$D$4:$BK$4=BK$5+FC_SUPUESTOS!$C$168)*FC_CRONOGRAMA!$D$17:$BK$17)*FC_SUPUESTOS!$D$192+SUMPRODUCT((FC_CRONOGRAMA!$D$4:$BK$4=BK$5+FC_SUPUESTOS!$C$168)*FC_CRONOGRAMA!$D$18:$BK$18)*FC_SUPUESTOS!$E$192)*(1-FC_SUPUESTOS!$C$167)</f>
        <v>0</v>
      </c>
    </row>
    <row r="101" customFormat="false" ht="15" hidden="false" customHeight="true" outlineLevel="0" collapsed="false">
      <c r="B101" s="283" t="s">
        <v>2995</v>
      </c>
      <c r="D101" s="498" t="n">
        <f aca="false">FC_SUPUESTOS!$C$9*FC_SUPUESTOS!$D$193+FC_SUPUESTOS!$C$10*FC_SUPUESTOS!$E$193-SUM($E$101:$BK$101)</f>
        <v>0</v>
      </c>
      <c r="E101" s="498" t="n">
        <f aca="false">FC_CRONOGRAMA!E34*FC_SUPUESTOS!$D$193+FC_CRONOGRAMA!E35*FC_SUPUESTOS!$E$193</f>
        <v>0</v>
      </c>
      <c r="F101" s="498" t="n">
        <f aca="false">FC_CRONOGRAMA!F34*FC_SUPUESTOS!$D$193+FC_CRONOGRAMA!F35*FC_SUPUESTOS!$E$193</f>
        <v>0</v>
      </c>
      <c r="G101" s="498" t="n">
        <f aca="false">FC_CRONOGRAMA!G34*FC_SUPUESTOS!$D$193+FC_CRONOGRAMA!G35*FC_SUPUESTOS!$E$193</f>
        <v>0</v>
      </c>
      <c r="H101" s="498" t="n">
        <f aca="false">FC_CRONOGRAMA!H34*FC_SUPUESTOS!$D$193+FC_CRONOGRAMA!H35*FC_SUPUESTOS!$E$193</f>
        <v>0</v>
      </c>
      <c r="I101" s="498" t="n">
        <f aca="false">FC_CRONOGRAMA!I34*FC_SUPUESTOS!$D$193+FC_CRONOGRAMA!I35*FC_SUPUESTOS!$E$193</f>
        <v>0</v>
      </c>
      <c r="J101" s="498" t="n">
        <f aca="false">FC_CRONOGRAMA!J34*FC_SUPUESTOS!$D$193+FC_CRONOGRAMA!J35*FC_SUPUESTOS!$E$193</f>
        <v>0</v>
      </c>
      <c r="K101" s="498" t="n">
        <f aca="false">FC_CRONOGRAMA!K34*FC_SUPUESTOS!$D$193+FC_CRONOGRAMA!K35*FC_SUPUESTOS!$E$193</f>
        <v>0</v>
      </c>
      <c r="L101" s="498" t="n">
        <f aca="false">FC_CRONOGRAMA!L34*FC_SUPUESTOS!$D$193+FC_CRONOGRAMA!L35*FC_SUPUESTOS!$E$193</f>
        <v>13600</v>
      </c>
      <c r="M101" s="498" t="n">
        <f aca="false">FC_CRONOGRAMA!M34*FC_SUPUESTOS!$D$193+FC_CRONOGRAMA!M35*FC_SUPUESTOS!$E$193</f>
        <v>13600</v>
      </c>
      <c r="N101" s="498" t="n">
        <f aca="false">FC_CRONOGRAMA!N34*FC_SUPUESTOS!$D$193+FC_CRONOGRAMA!N35*FC_SUPUESTOS!$E$193</f>
        <v>13600</v>
      </c>
      <c r="O101" s="498" t="n">
        <f aca="false">FC_CRONOGRAMA!O34*FC_SUPUESTOS!$D$193+FC_CRONOGRAMA!O35*FC_SUPUESTOS!$E$193</f>
        <v>16500</v>
      </c>
      <c r="P101" s="498" t="n">
        <f aca="false">FC_CRONOGRAMA!P34*FC_SUPUESTOS!$D$193+FC_CRONOGRAMA!P35*FC_SUPUESTOS!$E$193</f>
        <v>19400</v>
      </c>
      <c r="Q101" s="498" t="n">
        <f aca="false">FC_CRONOGRAMA!Q34*FC_SUPUESTOS!$D$193+FC_CRONOGRAMA!Q35*FC_SUPUESTOS!$E$193</f>
        <v>0</v>
      </c>
      <c r="R101" s="498" t="n">
        <f aca="false">FC_CRONOGRAMA!R34*FC_SUPUESTOS!$D$193+FC_CRONOGRAMA!R35*FC_SUPUESTOS!$E$193</f>
        <v>0</v>
      </c>
      <c r="S101" s="498" t="n">
        <f aca="false">FC_CRONOGRAMA!S34*FC_SUPUESTOS!$D$193+FC_CRONOGRAMA!S35*FC_SUPUESTOS!$E$193</f>
        <v>0</v>
      </c>
      <c r="T101" s="498" t="n">
        <f aca="false">FC_CRONOGRAMA!T34*FC_SUPUESTOS!$D$193+FC_CRONOGRAMA!T35*FC_SUPUESTOS!$E$193</f>
        <v>0</v>
      </c>
      <c r="U101" s="498" t="n">
        <f aca="false">FC_CRONOGRAMA!U34*FC_SUPUESTOS!$D$193+FC_CRONOGRAMA!U35*FC_SUPUESTOS!$E$193</f>
        <v>0</v>
      </c>
      <c r="V101" s="498" t="n">
        <f aca="false">FC_CRONOGRAMA!V34*FC_SUPUESTOS!$D$193+FC_CRONOGRAMA!V35*FC_SUPUESTOS!$E$193</f>
        <v>0</v>
      </c>
      <c r="W101" s="498" t="n">
        <f aca="false">FC_CRONOGRAMA!W34*FC_SUPUESTOS!$D$193+FC_CRONOGRAMA!W35*FC_SUPUESTOS!$E$193</f>
        <v>0</v>
      </c>
      <c r="X101" s="498" t="n">
        <f aca="false">FC_CRONOGRAMA!X34*FC_SUPUESTOS!$D$193+FC_CRONOGRAMA!X35*FC_SUPUESTOS!$E$193</f>
        <v>0</v>
      </c>
      <c r="Y101" s="498" t="n">
        <f aca="false">FC_CRONOGRAMA!Y34*FC_SUPUESTOS!$D$193+FC_CRONOGRAMA!Y35*FC_SUPUESTOS!$E$193</f>
        <v>0</v>
      </c>
      <c r="Z101" s="498" t="n">
        <f aca="false">FC_CRONOGRAMA!Z34*FC_SUPUESTOS!$D$193+FC_CRONOGRAMA!Z35*FC_SUPUESTOS!$E$193</f>
        <v>0</v>
      </c>
      <c r="AA101" s="498" t="n">
        <f aca="false">FC_CRONOGRAMA!AA34*FC_SUPUESTOS!$D$193+FC_CRONOGRAMA!AA35*FC_SUPUESTOS!$E$193</f>
        <v>0</v>
      </c>
      <c r="AB101" s="498" t="n">
        <f aca="false">FC_CRONOGRAMA!AB34*FC_SUPUESTOS!$D$193+FC_CRONOGRAMA!AB35*FC_SUPUESTOS!$E$193</f>
        <v>0</v>
      </c>
      <c r="AC101" s="498" t="n">
        <f aca="false">FC_CRONOGRAMA!AC34*FC_SUPUESTOS!$D$193+FC_CRONOGRAMA!AC35*FC_SUPUESTOS!$E$193</f>
        <v>0</v>
      </c>
      <c r="AD101" s="498" t="n">
        <f aca="false">FC_CRONOGRAMA!AD34*FC_SUPUESTOS!$D$193+FC_CRONOGRAMA!AD35*FC_SUPUESTOS!$E$193</f>
        <v>0</v>
      </c>
      <c r="AE101" s="498" t="n">
        <f aca="false">FC_CRONOGRAMA!AE34*FC_SUPUESTOS!$D$193+FC_CRONOGRAMA!AE35*FC_SUPUESTOS!$E$193</f>
        <v>0</v>
      </c>
      <c r="AF101" s="498" t="n">
        <f aca="false">FC_CRONOGRAMA!AF34*FC_SUPUESTOS!$D$193+FC_CRONOGRAMA!AF35*FC_SUPUESTOS!$E$193</f>
        <v>0</v>
      </c>
      <c r="AG101" s="498" t="n">
        <f aca="false">FC_CRONOGRAMA!AG34*FC_SUPUESTOS!$D$193+FC_CRONOGRAMA!AG35*FC_SUPUESTOS!$E$193</f>
        <v>0</v>
      </c>
      <c r="AH101" s="498" t="n">
        <f aca="false">FC_CRONOGRAMA!AH34*FC_SUPUESTOS!$D$193+FC_CRONOGRAMA!AH35*FC_SUPUESTOS!$E$193</f>
        <v>0</v>
      </c>
      <c r="AI101" s="498" t="n">
        <f aca="false">FC_CRONOGRAMA!AI34*FC_SUPUESTOS!$D$193+FC_CRONOGRAMA!AI35*FC_SUPUESTOS!$E$193</f>
        <v>0</v>
      </c>
      <c r="AJ101" s="498" t="n">
        <f aca="false">FC_CRONOGRAMA!AJ34*FC_SUPUESTOS!$D$193+FC_CRONOGRAMA!AJ35*FC_SUPUESTOS!$E$193</f>
        <v>0</v>
      </c>
      <c r="AK101" s="498" t="n">
        <f aca="false">FC_CRONOGRAMA!AK34*FC_SUPUESTOS!$D$193+FC_CRONOGRAMA!AK35*FC_SUPUESTOS!$E$193</f>
        <v>0</v>
      </c>
      <c r="AL101" s="498" t="n">
        <f aca="false">FC_CRONOGRAMA!AL34*FC_SUPUESTOS!$D$193+FC_CRONOGRAMA!AL35*FC_SUPUESTOS!$E$193</f>
        <v>0</v>
      </c>
      <c r="AM101" s="498" t="n">
        <f aca="false">FC_CRONOGRAMA!AM34*FC_SUPUESTOS!$D$193+FC_CRONOGRAMA!AM35*FC_SUPUESTOS!$E$193</f>
        <v>0</v>
      </c>
      <c r="AN101" s="498" t="n">
        <f aca="false">FC_CRONOGRAMA!AN34*FC_SUPUESTOS!$D$193+FC_CRONOGRAMA!AN35*FC_SUPUESTOS!$E$193</f>
        <v>0</v>
      </c>
      <c r="AO101" s="498" t="n">
        <f aca="false">FC_CRONOGRAMA!AO34*FC_SUPUESTOS!$D$193+FC_CRONOGRAMA!AO35*FC_SUPUESTOS!$E$193</f>
        <v>0</v>
      </c>
      <c r="AP101" s="498" t="n">
        <f aca="false">FC_CRONOGRAMA!AP34*FC_SUPUESTOS!$D$193+FC_CRONOGRAMA!AP35*FC_SUPUESTOS!$E$193</f>
        <v>0</v>
      </c>
      <c r="AQ101" s="498" t="n">
        <f aca="false">FC_CRONOGRAMA!AQ34*FC_SUPUESTOS!$D$193+FC_CRONOGRAMA!AQ35*FC_SUPUESTOS!$E$193</f>
        <v>0</v>
      </c>
      <c r="AR101" s="498" t="n">
        <f aca="false">FC_CRONOGRAMA!AR34*FC_SUPUESTOS!$D$193+FC_CRONOGRAMA!AR35*FC_SUPUESTOS!$E$193</f>
        <v>0</v>
      </c>
      <c r="AS101" s="498" t="n">
        <f aca="false">FC_CRONOGRAMA!AS34*FC_SUPUESTOS!$D$193+FC_CRONOGRAMA!AS35*FC_SUPUESTOS!$E$193</f>
        <v>0</v>
      </c>
      <c r="AT101" s="498" t="n">
        <f aca="false">FC_CRONOGRAMA!AT34*FC_SUPUESTOS!$D$193+FC_CRONOGRAMA!AT35*FC_SUPUESTOS!$E$193</f>
        <v>0</v>
      </c>
      <c r="AU101" s="498" t="n">
        <f aca="false">FC_CRONOGRAMA!AU34*FC_SUPUESTOS!$D$193+FC_CRONOGRAMA!AU35*FC_SUPUESTOS!$E$193</f>
        <v>0</v>
      </c>
      <c r="AV101" s="498" t="n">
        <f aca="false">FC_CRONOGRAMA!AV34*FC_SUPUESTOS!$D$193+FC_CRONOGRAMA!AV35*FC_SUPUESTOS!$E$193</f>
        <v>0</v>
      </c>
      <c r="AW101" s="498" t="n">
        <f aca="false">FC_CRONOGRAMA!AW34*FC_SUPUESTOS!$D$193+FC_CRONOGRAMA!AW35*FC_SUPUESTOS!$E$193</f>
        <v>0</v>
      </c>
      <c r="AX101" s="498" t="n">
        <f aca="false">FC_CRONOGRAMA!AX34*FC_SUPUESTOS!$D$193+FC_CRONOGRAMA!AX35*FC_SUPUESTOS!$E$193</f>
        <v>0</v>
      </c>
      <c r="AY101" s="498" t="n">
        <f aca="false">FC_CRONOGRAMA!AY34*FC_SUPUESTOS!$D$193+FC_CRONOGRAMA!AY35*FC_SUPUESTOS!$E$193</f>
        <v>0</v>
      </c>
      <c r="AZ101" s="498" t="n">
        <f aca="false">FC_CRONOGRAMA!AZ34*FC_SUPUESTOS!$D$193+FC_CRONOGRAMA!AZ35*FC_SUPUESTOS!$E$193</f>
        <v>0</v>
      </c>
      <c r="BA101" s="498" t="n">
        <f aca="false">FC_CRONOGRAMA!BA34*FC_SUPUESTOS!$D$193+FC_CRONOGRAMA!BA35*FC_SUPUESTOS!$E$193</f>
        <v>0</v>
      </c>
      <c r="BB101" s="498" t="n">
        <f aca="false">FC_CRONOGRAMA!BB34*FC_SUPUESTOS!$D$193+FC_CRONOGRAMA!BB35*FC_SUPUESTOS!$E$193</f>
        <v>0</v>
      </c>
      <c r="BC101" s="498" t="n">
        <f aca="false">FC_CRONOGRAMA!BC34*FC_SUPUESTOS!$D$193+FC_CRONOGRAMA!BC35*FC_SUPUESTOS!$E$193</f>
        <v>0</v>
      </c>
      <c r="BD101" s="498" t="n">
        <f aca="false">FC_CRONOGRAMA!BD34*FC_SUPUESTOS!$D$193+FC_CRONOGRAMA!BD35*FC_SUPUESTOS!$E$193</f>
        <v>0</v>
      </c>
      <c r="BE101" s="498" t="n">
        <f aca="false">FC_CRONOGRAMA!BE34*FC_SUPUESTOS!$D$193+FC_CRONOGRAMA!BE35*FC_SUPUESTOS!$E$193</f>
        <v>0</v>
      </c>
      <c r="BF101" s="498" t="n">
        <f aca="false">FC_CRONOGRAMA!BF34*FC_SUPUESTOS!$D$193+FC_CRONOGRAMA!BF35*FC_SUPUESTOS!$E$193</f>
        <v>0</v>
      </c>
      <c r="BG101" s="498" t="n">
        <f aca="false">FC_CRONOGRAMA!BG34*FC_SUPUESTOS!$D$193+FC_CRONOGRAMA!BG35*FC_SUPUESTOS!$E$193</f>
        <v>0</v>
      </c>
      <c r="BH101" s="498" t="n">
        <f aca="false">FC_CRONOGRAMA!BH34*FC_SUPUESTOS!$D$193+FC_CRONOGRAMA!BH35*FC_SUPUESTOS!$E$193</f>
        <v>0</v>
      </c>
      <c r="BI101" s="498" t="n">
        <f aca="false">FC_CRONOGRAMA!BI34*FC_SUPUESTOS!$D$193+FC_CRONOGRAMA!BI35*FC_SUPUESTOS!$E$193</f>
        <v>0</v>
      </c>
      <c r="BJ101" s="498" t="n">
        <f aca="false">FC_CRONOGRAMA!BJ34*FC_SUPUESTOS!$D$193+FC_CRONOGRAMA!BJ35*FC_SUPUESTOS!$E$193</f>
        <v>0</v>
      </c>
      <c r="BK101" s="498" t="n">
        <f aca="false">FC_CRONOGRAMA!BK34*FC_SUPUESTOS!$D$193+FC_CRONOGRAMA!BK35*FC_SUPUESTOS!$E$193</f>
        <v>0</v>
      </c>
    </row>
    <row r="102" customFormat="false" ht="15" hidden="false" customHeight="true" outlineLevel="0" collapsed="false">
      <c r="B102" s="286" t="s">
        <v>2996</v>
      </c>
      <c r="C102" s="289" t="str">
        <f aca="false">IF(ABS(SUM(D99:BK101)-SUM(D61:BK61))&lt;0.5,"✓","✗")</f>
        <v>✓</v>
      </c>
    </row>
    <row r="104" customFormat="false" ht="15" hidden="false" customHeight="true" outlineLevel="0" collapsed="false">
      <c r="A104" s="281" t="s">
        <v>2997</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row>
    <row r="105" customFormat="false" ht="15" hidden="false" customHeight="true" outlineLevel="0" collapsed="false">
      <c r="B105" s="283" t="s">
        <v>2998</v>
      </c>
      <c r="D105" s="498" t="n">
        <f aca="false">IF(D$5&gt;=FC_SUPUESTOS!$F$201,FC_SUPUESTOS!$E$201,0)</f>
        <v>0</v>
      </c>
      <c r="E105" s="498" t="n">
        <f aca="false">IF(E$5&gt;=FC_SUPUESTOS!$F$201,FC_SUPUESTOS!$E$201,0)</f>
        <v>5700</v>
      </c>
      <c r="F105" s="498" t="n">
        <f aca="false">IF(F$5&gt;=FC_SUPUESTOS!$F$201,FC_SUPUESTOS!$E$201,0)</f>
        <v>5700</v>
      </c>
      <c r="G105" s="498" t="n">
        <f aca="false">IF(G$5&gt;=FC_SUPUESTOS!$F$201,FC_SUPUESTOS!$E$201,0)</f>
        <v>5700</v>
      </c>
      <c r="H105" s="498" t="n">
        <f aca="false">IF(H$5&gt;=FC_SUPUESTOS!$F$201,FC_SUPUESTOS!$E$201,0)</f>
        <v>5700</v>
      </c>
      <c r="I105" s="498" t="n">
        <f aca="false">IF(I$5&gt;=FC_SUPUESTOS!$F$201,FC_SUPUESTOS!$E$201,0)</f>
        <v>5700</v>
      </c>
      <c r="J105" s="498" t="n">
        <f aca="false">IF(J$5&gt;=FC_SUPUESTOS!$F$201,FC_SUPUESTOS!$E$201,0)</f>
        <v>5700</v>
      </c>
      <c r="K105" s="498" t="n">
        <f aca="false">IF(K$5&gt;=FC_SUPUESTOS!$F$201,FC_SUPUESTOS!$E$201,0)</f>
        <v>5700</v>
      </c>
      <c r="L105" s="498" t="n">
        <f aca="false">IF(L$5&gt;=FC_SUPUESTOS!$F$201,FC_SUPUESTOS!$E$201,0)</f>
        <v>5700</v>
      </c>
      <c r="M105" s="498" t="n">
        <f aca="false">IF(M$5&gt;=FC_SUPUESTOS!$F$201,FC_SUPUESTOS!$E$201,0)</f>
        <v>5700</v>
      </c>
      <c r="N105" s="498" t="n">
        <f aca="false">IF(N$5&gt;=FC_SUPUESTOS!$F$201,FC_SUPUESTOS!$E$201,0)</f>
        <v>5700</v>
      </c>
      <c r="O105" s="498" t="n">
        <f aca="false">IF(O$5&gt;=FC_SUPUESTOS!$F$201,FC_SUPUESTOS!$E$201,0)</f>
        <v>5700</v>
      </c>
      <c r="P105" s="498" t="n">
        <f aca="false">IF(P$5&gt;=FC_SUPUESTOS!$F$201,FC_SUPUESTOS!$E$201,0)</f>
        <v>5700</v>
      </c>
      <c r="Q105" s="498" t="n">
        <f aca="false">IF(Q$5&gt;=FC_SUPUESTOS!$F$201,FC_SUPUESTOS!$E$201,0)</f>
        <v>5700</v>
      </c>
      <c r="R105" s="498" t="n">
        <f aca="false">IF(R$5&gt;=FC_SUPUESTOS!$F$201,FC_SUPUESTOS!$E$201,0)</f>
        <v>5700</v>
      </c>
      <c r="S105" s="498" t="n">
        <f aca="false">IF(S$5&gt;=FC_SUPUESTOS!$F$201,FC_SUPUESTOS!$E$201,0)</f>
        <v>5700</v>
      </c>
      <c r="T105" s="498" t="n">
        <f aca="false">IF(T$5&gt;=FC_SUPUESTOS!$F$201,FC_SUPUESTOS!$E$201,0)</f>
        <v>5700</v>
      </c>
      <c r="U105" s="498" t="n">
        <f aca="false">IF(U$5&gt;=FC_SUPUESTOS!$F$201,FC_SUPUESTOS!$E$201,0)</f>
        <v>5700</v>
      </c>
      <c r="V105" s="498" t="n">
        <f aca="false">IF(V$5&gt;=FC_SUPUESTOS!$F$201,FC_SUPUESTOS!$E$201,0)</f>
        <v>5700</v>
      </c>
      <c r="W105" s="498" t="n">
        <f aca="false">IF(W$5&gt;=FC_SUPUESTOS!$F$201,FC_SUPUESTOS!$E$201,0)</f>
        <v>5700</v>
      </c>
      <c r="X105" s="498" t="n">
        <f aca="false">IF(X$5&gt;=FC_SUPUESTOS!$F$201,FC_SUPUESTOS!$E$201,0)</f>
        <v>5700</v>
      </c>
      <c r="Y105" s="498" t="n">
        <f aca="false">IF(Y$5&gt;=FC_SUPUESTOS!$F$201,FC_SUPUESTOS!$E$201,0)</f>
        <v>5700</v>
      </c>
      <c r="Z105" s="498" t="n">
        <f aca="false">IF(Z$5&gt;=FC_SUPUESTOS!$F$201,FC_SUPUESTOS!$E$201,0)</f>
        <v>5700</v>
      </c>
      <c r="AA105" s="498" t="n">
        <f aca="false">IF(AA$5&gt;=FC_SUPUESTOS!$F$201,FC_SUPUESTOS!$E$201,0)</f>
        <v>5700</v>
      </c>
      <c r="AB105" s="498" t="n">
        <f aca="false">IF(AB$5&gt;=FC_SUPUESTOS!$F$201,FC_SUPUESTOS!$E$201,0)</f>
        <v>5700</v>
      </c>
      <c r="AC105" s="498" t="n">
        <f aca="false">IF(AC$5&gt;=FC_SUPUESTOS!$F$201,FC_SUPUESTOS!$E$201,0)</f>
        <v>5700</v>
      </c>
      <c r="AD105" s="498" t="n">
        <f aca="false">IF(AD$5&gt;=FC_SUPUESTOS!$F$201,FC_SUPUESTOS!$E$201,0)</f>
        <v>5700</v>
      </c>
      <c r="AE105" s="498" t="n">
        <f aca="false">IF(AE$5&gt;=FC_SUPUESTOS!$F$201,FC_SUPUESTOS!$E$201,0)</f>
        <v>5700</v>
      </c>
      <c r="AF105" s="498" t="n">
        <f aca="false">IF(AF$5&gt;=FC_SUPUESTOS!$F$201,FC_SUPUESTOS!$E$201,0)</f>
        <v>5700</v>
      </c>
      <c r="AG105" s="498" t="n">
        <f aca="false">IF(AG$5&gt;=FC_SUPUESTOS!$F$201,FC_SUPUESTOS!$E$201,0)</f>
        <v>5700</v>
      </c>
      <c r="AH105" s="498" t="n">
        <f aca="false">IF(AH$5&gt;=FC_SUPUESTOS!$F$201,FC_SUPUESTOS!$E$201,0)</f>
        <v>5700</v>
      </c>
      <c r="AI105" s="498" t="n">
        <f aca="false">IF(AI$5&gt;=FC_SUPUESTOS!$F$201,FC_SUPUESTOS!$E$201,0)</f>
        <v>5700</v>
      </c>
      <c r="AJ105" s="498" t="n">
        <f aca="false">IF(AJ$5&gt;=FC_SUPUESTOS!$F$201,FC_SUPUESTOS!$E$201,0)</f>
        <v>5700</v>
      </c>
      <c r="AK105" s="498" t="n">
        <f aca="false">IF(AK$5&gt;=FC_SUPUESTOS!$F$201,FC_SUPUESTOS!$E$201,0)</f>
        <v>5700</v>
      </c>
      <c r="AL105" s="498" t="n">
        <f aca="false">IF(AL$5&gt;=FC_SUPUESTOS!$F$201,FC_SUPUESTOS!$E$201,0)</f>
        <v>5700</v>
      </c>
      <c r="AM105" s="498" t="n">
        <f aca="false">IF(AM$5&gt;=FC_SUPUESTOS!$F$201,FC_SUPUESTOS!$E$201,0)</f>
        <v>5700</v>
      </c>
      <c r="AN105" s="498" t="n">
        <f aca="false">IF(AN$5&gt;=FC_SUPUESTOS!$F$201,FC_SUPUESTOS!$E$201,0)</f>
        <v>5700</v>
      </c>
      <c r="AO105" s="498" t="n">
        <f aca="false">IF(AO$5&gt;=FC_SUPUESTOS!$F$201,FC_SUPUESTOS!$E$201,0)</f>
        <v>5700</v>
      </c>
      <c r="AP105" s="498" t="n">
        <f aca="false">IF(AP$5&gt;=FC_SUPUESTOS!$F$201,FC_SUPUESTOS!$E$201,0)</f>
        <v>5700</v>
      </c>
      <c r="AQ105" s="498" t="n">
        <f aca="false">IF(AQ$5&gt;=FC_SUPUESTOS!$F$201,FC_SUPUESTOS!$E$201,0)</f>
        <v>5700</v>
      </c>
      <c r="AR105" s="498" t="n">
        <f aca="false">IF(AR$5&gt;=FC_SUPUESTOS!$F$201,FC_SUPUESTOS!$E$201,0)</f>
        <v>5700</v>
      </c>
      <c r="AS105" s="498" t="n">
        <f aca="false">IF(AS$5&gt;=FC_SUPUESTOS!$F$201,FC_SUPUESTOS!$E$201,0)</f>
        <v>5700</v>
      </c>
      <c r="AT105" s="498" t="n">
        <f aca="false">IF(AT$5&gt;=FC_SUPUESTOS!$F$201,FC_SUPUESTOS!$E$201,0)</f>
        <v>5700</v>
      </c>
      <c r="AU105" s="498" t="n">
        <f aca="false">IF(AU$5&gt;=FC_SUPUESTOS!$F$201,FC_SUPUESTOS!$E$201,0)</f>
        <v>5700</v>
      </c>
      <c r="AV105" s="498" t="n">
        <f aca="false">IF(AV$5&gt;=FC_SUPUESTOS!$F$201,FC_SUPUESTOS!$E$201,0)</f>
        <v>5700</v>
      </c>
      <c r="AW105" s="498" t="n">
        <f aca="false">IF(AW$5&gt;=FC_SUPUESTOS!$F$201,FC_SUPUESTOS!$E$201,0)</f>
        <v>5700</v>
      </c>
      <c r="AX105" s="498" t="n">
        <f aca="false">IF(AX$5&gt;=FC_SUPUESTOS!$F$201,FC_SUPUESTOS!$E$201,0)</f>
        <v>5700</v>
      </c>
      <c r="AY105" s="498" t="n">
        <f aca="false">IF(AY$5&gt;=FC_SUPUESTOS!$F$201,FC_SUPUESTOS!$E$201,0)</f>
        <v>5700</v>
      </c>
      <c r="AZ105" s="498" t="n">
        <f aca="false">IF(AZ$5&gt;=FC_SUPUESTOS!$F$201,FC_SUPUESTOS!$E$201,0)</f>
        <v>5700</v>
      </c>
      <c r="BA105" s="498" t="n">
        <f aca="false">IF(BA$5&gt;=FC_SUPUESTOS!$F$201,FC_SUPUESTOS!$E$201,0)</f>
        <v>5700</v>
      </c>
      <c r="BB105" s="498" t="n">
        <f aca="false">IF(BB$5&gt;=FC_SUPUESTOS!$F$201,FC_SUPUESTOS!$E$201,0)</f>
        <v>5700</v>
      </c>
      <c r="BC105" s="498" t="n">
        <f aca="false">IF(BC$5&gt;=FC_SUPUESTOS!$F$201,FC_SUPUESTOS!$E$201,0)</f>
        <v>5700</v>
      </c>
      <c r="BD105" s="498" t="n">
        <f aca="false">IF(BD$5&gt;=FC_SUPUESTOS!$F$201,FC_SUPUESTOS!$E$201,0)</f>
        <v>5700</v>
      </c>
      <c r="BE105" s="498" t="n">
        <f aca="false">IF(BE$5&gt;=FC_SUPUESTOS!$F$201,FC_SUPUESTOS!$E$201,0)</f>
        <v>5700</v>
      </c>
      <c r="BF105" s="498" t="n">
        <f aca="false">IF(BF$5&gt;=FC_SUPUESTOS!$F$201,FC_SUPUESTOS!$E$201,0)</f>
        <v>5700</v>
      </c>
      <c r="BG105" s="498" t="n">
        <f aca="false">IF(BG$5&gt;=FC_SUPUESTOS!$F$201,FC_SUPUESTOS!$E$201,0)</f>
        <v>5700</v>
      </c>
      <c r="BH105" s="498" t="n">
        <f aca="false">IF(BH$5&gt;=FC_SUPUESTOS!$F$201,FC_SUPUESTOS!$E$201,0)</f>
        <v>5700</v>
      </c>
      <c r="BI105" s="498" t="n">
        <f aca="false">IF(BI$5&gt;=FC_SUPUESTOS!$F$201,FC_SUPUESTOS!$E$201,0)</f>
        <v>5700</v>
      </c>
      <c r="BJ105" s="498" t="n">
        <f aca="false">IF(BJ$5&gt;=FC_SUPUESTOS!$F$201,FC_SUPUESTOS!$E$201,0)</f>
        <v>5700</v>
      </c>
      <c r="BK105" s="498" t="n">
        <f aca="false">IF(BK$5&gt;=FC_SUPUESTOS!$F$201,FC_SUPUESTOS!$E$201,0)</f>
        <v>5700</v>
      </c>
    </row>
    <row r="106" customFormat="false" ht="15" hidden="false" customHeight="true" outlineLevel="0" collapsed="false">
      <c r="B106" s="283" t="s">
        <v>2999</v>
      </c>
      <c r="D106" s="498" t="n">
        <f aca="false">IF(D$5&gt;=FC_SUPUESTOS!$F$202,FC_SUPUESTOS!$E$202,0)</f>
        <v>0</v>
      </c>
      <c r="E106" s="498" t="n">
        <f aca="false">IF(E$5&gt;=FC_SUPUESTOS!$F$202,FC_SUPUESTOS!$E$202,0)</f>
        <v>4300</v>
      </c>
      <c r="F106" s="498" t="n">
        <f aca="false">IF(F$5&gt;=FC_SUPUESTOS!$F$202,FC_SUPUESTOS!$E$202,0)</f>
        <v>4300</v>
      </c>
      <c r="G106" s="498" t="n">
        <f aca="false">IF(G$5&gt;=FC_SUPUESTOS!$F$202,FC_SUPUESTOS!$E$202,0)</f>
        <v>4300</v>
      </c>
      <c r="H106" s="498" t="n">
        <f aca="false">IF(H$5&gt;=FC_SUPUESTOS!$F$202,FC_SUPUESTOS!$E$202,0)</f>
        <v>4300</v>
      </c>
      <c r="I106" s="498" t="n">
        <f aca="false">IF(I$5&gt;=FC_SUPUESTOS!$F$202,FC_SUPUESTOS!$E$202,0)</f>
        <v>4300</v>
      </c>
      <c r="J106" s="498" t="n">
        <f aca="false">IF(J$5&gt;=FC_SUPUESTOS!$F$202,FC_SUPUESTOS!$E$202,0)</f>
        <v>4300</v>
      </c>
      <c r="K106" s="498" t="n">
        <f aca="false">IF(K$5&gt;=FC_SUPUESTOS!$F$202,FC_SUPUESTOS!$E$202,0)</f>
        <v>4300</v>
      </c>
      <c r="L106" s="498" t="n">
        <f aca="false">IF(L$5&gt;=FC_SUPUESTOS!$F$202,FC_SUPUESTOS!$E$202,0)</f>
        <v>4300</v>
      </c>
      <c r="M106" s="498" t="n">
        <f aca="false">IF(M$5&gt;=FC_SUPUESTOS!$F$202,FC_SUPUESTOS!$E$202,0)</f>
        <v>4300</v>
      </c>
      <c r="N106" s="498" t="n">
        <f aca="false">IF(N$5&gt;=FC_SUPUESTOS!$F$202,FC_SUPUESTOS!$E$202,0)</f>
        <v>4300</v>
      </c>
      <c r="O106" s="498" t="n">
        <f aca="false">IF(O$5&gt;=FC_SUPUESTOS!$F$202,FC_SUPUESTOS!$E$202,0)</f>
        <v>4300</v>
      </c>
      <c r="P106" s="498" t="n">
        <f aca="false">IF(P$5&gt;=FC_SUPUESTOS!$F$202,FC_SUPUESTOS!$E$202,0)</f>
        <v>4300</v>
      </c>
      <c r="Q106" s="498" t="n">
        <f aca="false">IF(Q$5&gt;=FC_SUPUESTOS!$F$202,FC_SUPUESTOS!$E$202,0)</f>
        <v>4300</v>
      </c>
      <c r="R106" s="498" t="n">
        <f aca="false">IF(R$5&gt;=FC_SUPUESTOS!$F$202,FC_SUPUESTOS!$E$202,0)</f>
        <v>4300</v>
      </c>
      <c r="S106" s="498" t="n">
        <f aca="false">IF(S$5&gt;=FC_SUPUESTOS!$F$202,FC_SUPUESTOS!$E$202,0)</f>
        <v>4300</v>
      </c>
      <c r="T106" s="498" t="n">
        <f aca="false">IF(T$5&gt;=FC_SUPUESTOS!$F$202,FC_SUPUESTOS!$E$202,0)</f>
        <v>4300</v>
      </c>
      <c r="U106" s="498" t="n">
        <f aca="false">IF(U$5&gt;=FC_SUPUESTOS!$F$202,FC_SUPUESTOS!$E$202,0)</f>
        <v>4300</v>
      </c>
      <c r="V106" s="498" t="n">
        <f aca="false">IF(V$5&gt;=FC_SUPUESTOS!$F$202,FC_SUPUESTOS!$E$202,0)</f>
        <v>4300</v>
      </c>
      <c r="W106" s="498" t="n">
        <f aca="false">IF(W$5&gt;=FC_SUPUESTOS!$F$202,FC_SUPUESTOS!$E$202,0)</f>
        <v>4300</v>
      </c>
      <c r="X106" s="498" t="n">
        <f aca="false">IF(X$5&gt;=FC_SUPUESTOS!$F$202,FC_SUPUESTOS!$E$202,0)</f>
        <v>4300</v>
      </c>
      <c r="Y106" s="498" t="n">
        <f aca="false">IF(Y$5&gt;=FC_SUPUESTOS!$F$202,FC_SUPUESTOS!$E$202,0)</f>
        <v>4300</v>
      </c>
      <c r="Z106" s="498" t="n">
        <f aca="false">IF(Z$5&gt;=FC_SUPUESTOS!$F$202,FC_SUPUESTOS!$E$202,0)</f>
        <v>4300</v>
      </c>
      <c r="AA106" s="498" t="n">
        <f aca="false">IF(AA$5&gt;=FC_SUPUESTOS!$F$202,FC_SUPUESTOS!$E$202,0)</f>
        <v>4300</v>
      </c>
      <c r="AB106" s="498" t="n">
        <f aca="false">IF(AB$5&gt;=FC_SUPUESTOS!$F$202,FC_SUPUESTOS!$E$202,0)</f>
        <v>4300</v>
      </c>
      <c r="AC106" s="498" t="n">
        <f aca="false">IF(AC$5&gt;=FC_SUPUESTOS!$F$202,FC_SUPUESTOS!$E$202,0)</f>
        <v>4300</v>
      </c>
      <c r="AD106" s="498" t="n">
        <f aca="false">IF(AD$5&gt;=FC_SUPUESTOS!$F$202,FC_SUPUESTOS!$E$202,0)</f>
        <v>4300</v>
      </c>
      <c r="AE106" s="498" t="n">
        <f aca="false">IF(AE$5&gt;=FC_SUPUESTOS!$F$202,FC_SUPUESTOS!$E$202,0)</f>
        <v>4300</v>
      </c>
      <c r="AF106" s="498" t="n">
        <f aca="false">IF(AF$5&gt;=FC_SUPUESTOS!$F$202,FC_SUPUESTOS!$E$202,0)</f>
        <v>4300</v>
      </c>
      <c r="AG106" s="498" t="n">
        <f aca="false">IF(AG$5&gt;=FC_SUPUESTOS!$F$202,FC_SUPUESTOS!$E$202,0)</f>
        <v>4300</v>
      </c>
      <c r="AH106" s="498" t="n">
        <f aca="false">IF(AH$5&gt;=FC_SUPUESTOS!$F$202,FC_SUPUESTOS!$E$202,0)</f>
        <v>4300</v>
      </c>
      <c r="AI106" s="498" t="n">
        <f aca="false">IF(AI$5&gt;=FC_SUPUESTOS!$F$202,FC_SUPUESTOS!$E$202,0)</f>
        <v>4300</v>
      </c>
      <c r="AJ106" s="498" t="n">
        <f aca="false">IF(AJ$5&gt;=FC_SUPUESTOS!$F$202,FC_SUPUESTOS!$E$202,0)</f>
        <v>4300</v>
      </c>
      <c r="AK106" s="498" t="n">
        <f aca="false">IF(AK$5&gt;=FC_SUPUESTOS!$F$202,FC_SUPUESTOS!$E$202,0)</f>
        <v>4300</v>
      </c>
      <c r="AL106" s="498" t="n">
        <f aca="false">IF(AL$5&gt;=FC_SUPUESTOS!$F$202,FC_SUPUESTOS!$E$202,0)</f>
        <v>4300</v>
      </c>
      <c r="AM106" s="498" t="n">
        <f aca="false">IF(AM$5&gt;=FC_SUPUESTOS!$F$202,FC_SUPUESTOS!$E$202,0)</f>
        <v>4300</v>
      </c>
      <c r="AN106" s="498" t="n">
        <f aca="false">IF(AN$5&gt;=FC_SUPUESTOS!$F$202,FC_SUPUESTOS!$E$202,0)</f>
        <v>4300</v>
      </c>
      <c r="AO106" s="498" t="n">
        <f aca="false">IF(AO$5&gt;=FC_SUPUESTOS!$F$202,FC_SUPUESTOS!$E$202,0)</f>
        <v>4300</v>
      </c>
      <c r="AP106" s="498" t="n">
        <f aca="false">IF(AP$5&gt;=FC_SUPUESTOS!$F$202,FC_SUPUESTOS!$E$202,0)</f>
        <v>4300</v>
      </c>
      <c r="AQ106" s="498" t="n">
        <f aca="false">IF(AQ$5&gt;=FC_SUPUESTOS!$F$202,FC_SUPUESTOS!$E$202,0)</f>
        <v>4300</v>
      </c>
      <c r="AR106" s="498" t="n">
        <f aca="false">IF(AR$5&gt;=FC_SUPUESTOS!$F$202,FC_SUPUESTOS!$E$202,0)</f>
        <v>4300</v>
      </c>
      <c r="AS106" s="498" t="n">
        <f aca="false">IF(AS$5&gt;=FC_SUPUESTOS!$F$202,FC_SUPUESTOS!$E$202,0)</f>
        <v>4300</v>
      </c>
      <c r="AT106" s="498" t="n">
        <f aca="false">IF(AT$5&gt;=FC_SUPUESTOS!$F$202,FC_SUPUESTOS!$E$202,0)</f>
        <v>4300</v>
      </c>
      <c r="AU106" s="498" t="n">
        <f aca="false">IF(AU$5&gt;=FC_SUPUESTOS!$F$202,FC_SUPUESTOS!$E$202,0)</f>
        <v>4300</v>
      </c>
      <c r="AV106" s="498" t="n">
        <f aca="false">IF(AV$5&gt;=FC_SUPUESTOS!$F$202,FC_SUPUESTOS!$E$202,0)</f>
        <v>4300</v>
      </c>
      <c r="AW106" s="498" t="n">
        <f aca="false">IF(AW$5&gt;=FC_SUPUESTOS!$F$202,FC_SUPUESTOS!$E$202,0)</f>
        <v>4300</v>
      </c>
      <c r="AX106" s="498" t="n">
        <f aca="false">IF(AX$5&gt;=FC_SUPUESTOS!$F$202,FC_SUPUESTOS!$E$202,0)</f>
        <v>4300</v>
      </c>
      <c r="AY106" s="498" t="n">
        <f aca="false">IF(AY$5&gt;=FC_SUPUESTOS!$F$202,FC_SUPUESTOS!$E$202,0)</f>
        <v>4300</v>
      </c>
      <c r="AZ106" s="498" t="n">
        <f aca="false">IF(AZ$5&gt;=FC_SUPUESTOS!$F$202,FC_SUPUESTOS!$E$202,0)</f>
        <v>4300</v>
      </c>
      <c r="BA106" s="498" t="n">
        <f aca="false">IF(BA$5&gt;=FC_SUPUESTOS!$F$202,FC_SUPUESTOS!$E$202,0)</f>
        <v>4300</v>
      </c>
      <c r="BB106" s="498" t="n">
        <f aca="false">IF(BB$5&gt;=FC_SUPUESTOS!$F$202,FC_SUPUESTOS!$E$202,0)</f>
        <v>4300</v>
      </c>
      <c r="BC106" s="498" t="n">
        <f aca="false">IF(BC$5&gt;=FC_SUPUESTOS!$F$202,FC_SUPUESTOS!$E$202,0)</f>
        <v>4300</v>
      </c>
      <c r="BD106" s="498" t="n">
        <f aca="false">IF(BD$5&gt;=FC_SUPUESTOS!$F$202,FC_SUPUESTOS!$E$202,0)</f>
        <v>4300</v>
      </c>
      <c r="BE106" s="498" t="n">
        <f aca="false">IF(BE$5&gt;=FC_SUPUESTOS!$F$202,FC_SUPUESTOS!$E$202,0)</f>
        <v>4300</v>
      </c>
      <c r="BF106" s="498" t="n">
        <f aca="false">IF(BF$5&gt;=FC_SUPUESTOS!$F$202,FC_SUPUESTOS!$E$202,0)</f>
        <v>4300</v>
      </c>
      <c r="BG106" s="498" t="n">
        <f aca="false">IF(BG$5&gt;=FC_SUPUESTOS!$F$202,FC_SUPUESTOS!$E$202,0)</f>
        <v>4300</v>
      </c>
      <c r="BH106" s="498" t="n">
        <f aca="false">IF(BH$5&gt;=FC_SUPUESTOS!$F$202,FC_SUPUESTOS!$E$202,0)</f>
        <v>4300</v>
      </c>
      <c r="BI106" s="498" t="n">
        <f aca="false">IF(BI$5&gt;=FC_SUPUESTOS!$F$202,FC_SUPUESTOS!$E$202,0)</f>
        <v>4300</v>
      </c>
      <c r="BJ106" s="498" t="n">
        <f aca="false">IF(BJ$5&gt;=FC_SUPUESTOS!$F$202,FC_SUPUESTOS!$E$202,0)</f>
        <v>4300</v>
      </c>
      <c r="BK106" s="498" t="n">
        <f aca="false">IF(BK$5&gt;=FC_SUPUESTOS!$F$202,FC_SUPUESTOS!$E$202,0)</f>
        <v>4300</v>
      </c>
    </row>
    <row r="107" customFormat="false" ht="15" hidden="false" customHeight="true" outlineLevel="0" collapsed="false">
      <c r="B107" s="283" t="s">
        <v>3000</v>
      </c>
      <c r="D107" s="498" t="n">
        <f aca="false">IF(D$5&gt;=FC_SUPUESTOS!$F$203,FC_SUPUESTOS!$E$203,0)</f>
        <v>0</v>
      </c>
      <c r="E107" s="498" t="n">
        <f aca="false">IF(E$5&gt;=FC_SUPUESTOS!$F$203,FC_SUPUESTOS!$E$203,0)</f>
        <v>1435</v>
      </c>
      <c r="F107" s="498" t="n">
        <f aca="false">IF(F$5&gt;=FC_SUPUESTOS!$F$203,FC_SUPUESTOS!$E$203,0)</f>
        <v>1435</v>
      </c>
      <c r="G107" s="498" t="n">
        <f aca="false">IF(G$5&gt;=FC_SUPUESTOS!$F$203,FC_SUPUESTOS!$E$203,0)</f>
        <v>1435</v>
      </c>
      <c r="H107" s="498" t="n">
        <f aca="false">IF(H$5&gt;=FC_SUPUESTOS!$F$203,FC_SUPUESTOS!$E$203,0)</f>
        <v>1435</v>
      </c>
      <c r="I107" s="498" t="n">
        <f aca="false">IF(I$5&gt;=FC_SUPUESTOS!$F$203,FC_SUPUESTOS!$E$203,0)</f>
        <v>1435</v>
      </c>
      <c r="J107" s="498" t="n">
        <f aca="false">IF(J$5&gt;=FC_SUPUESTOS!$F$203,FC_SUPUESTOS!$E$203,0)</f>
        <v>1435</v>
      </c>
      <c r="K107" s="498" t="n">
        <f aca="false">IF(K$5&gt;=FC_SUPUESTOS!$F$203,FC_SUPUESTOS!$E$203,0)</f>
        <v>1435</v>
      </c>
      <c r="L107" s="498" t="n">
        <f aca="false">IF(L$5&gt;=FC_SUPUESTOS!$F$203,FC_SUPUESTOS!$E$203,0)</f>
        <v>1435</v>
      </c>
      <c r="M107" s="498" t="n">
        <f aca="false">IF(M$5&gt;=FC_SUPUESTOS!$F$203,FC_SUPUESTOS!$E$203,0)</f>
        <v>1435</v>
      </c>
      <c r="N107" s="498" t="n">
        <f aca="false">IF(N$5&gt;=FC_SUPUESTOS!$F$203,FC_SUPUESTOS!$E$203,0)</f>
        <v>1435</v>
      </c>
      <c r="O107" s="498" t="n">
        <f aca="false">IF(O$5&gt;=FC_SUPUESTOS!$F$203,FC_SUPUESTOS!$E$203,0)</f>
        <v>1435</v>
      </c>
      <c r="P107" s="498" t="n">
        <f aca="false">IF(P$5&gt;=FC_SUPUESTOS!$F$203,FC_SUPUESTOS!$E$203,0)</f>
        <v>1435</v>
      </c>
      <c r="Q107" s="498" t="n">
        <f aca="false">IF(Q$5&gt;=FC_SUPUESTOS!$F$203,FC_SUPUESTOS!$E$203,0)</f>
        <v>1435</v>
      </c>
      <c r="R107" s="498" t="n">
        <f aca="false">IF(R$5&gt;=FC_SUPUESTOS!$F$203,FC_SUPUESTOS!$E$203,0)</f>
        <v>1435</v>
      </c>
      <c r="S107" s="498" t="n">
        <f aca="false">IF(S$5&gt;=FC_SUPUESTOS!$F$203,FC_SUPUESTOS!$E$203,0)</f>
        <v>1435</v>
      </c>
      <c r="T107" s="498" t="n">
        <f aca="false">IF(T$5&gt;=FC_SUPUESTOS!$F$203,FC_SUPUESTOS!$E$203,0)</f>
        <v>1435</v>
      </c>
      <c r="U107" s="498" t="n">
        <f aca="false">IF(U$5&gt;=FC_SUPUESTOS!$F$203,FC_SUPUESTOS!$E$203,0)</f>
        <v>1435</v>
      </c>
      <c r="V107" s="498" t="n">
        <f aca="false">IF(V$5&gt;=FC_SUPUESTOS!$F$203,FC_SUPUESTOS!$E$203,0)</f>
        <v>1435</v>
      </c>
      <c r="W107" s="498" t="n">
        <f aca="false">IF(W$5&gt;=FC_SUPUESTOS!$F$203,FC_SUPUESTOS!$E$203,0)</f>
        <v>1435</v>
      </c>
      <c r="X107" s="498" t="n">
        <f aca="false">IF(X$5&gt;=FC_SUPUESTOS!$F$203,FC_SUPUESTOS!$E$203,0)</f>
        <v>1435</v>
      </c>
      <c r="Y107" s="498" t="n">
        <f aca="false">IF(Y$5&gt;=FC_SUPUESTOS!$F$203,FC_SUPUESTOS!$E$203,0)</f>
        <v>1435</v>
      </c>
      <c r="Z107" s="498" t="n">
        <f aca="false">IF(Z$5&gt;=FC_SUPUESTOS!$F$203,FC_SUPUESTOS!$E$203,0)</f>
        <v>1435</v>
      </c>
      <c r="AA107" s="498" t="n">
        <f aca="false">IF(AA$5&gt;=FC_SUPUESTOS!$F$203,FC_SUPUESTOS!$E$203,0)</f>
        <v>1435</v>
      </c>
      <c r="AB107" s="498" t="n">
        <f aca="false">IF(AB$5&gt;=FC_SUPUESTOS!$F$203,FC_SUPUESTOS!$E$203,0)</f>
        <v>1435</v>
      </c>
      <c r="AC107" s="498" t="n">
        <f aca="false">IF(AC$5&gt;=FC_SUPUESTOS!$F$203,FC_SUPUESTOS!$E$203,0)</f>
        <v>1435</v>
      </c>
      <c r="AD107" s="498" t="n">
        <f aca="false">IF(AD$5&gt;=FC_SUPUESTOS!$F$203,FC_SUPUESTOS!$E$203,0)</f>
        <v>1435</v>
      </c>
      <c r="AE107" s="498" t="n">
        <f aca="false">IF(AE$5&gt;=FC_SUPUESTOS!$F$203,FC_SUPUESTOS!$E$203,0)</f>
        <v>1435</v>
      </c>
      <c r="AF107" s="498" t="n">
        <f aca="false">IF(AF$5&gt;=FC_SUPUESTOS!$F$203,FC_SUPUESTOS!$E$203,0)</f>
        <v>1435</v>
      </c>
      <c r="AG107" s="498" t="n">
        <f aca="false">IF(AG$5&gt;=FC_SUPUESTOS!$F$203,FC_SUPUESTOS!$E$203,0)</f>
        <v>1435</v>
      </c>
      <c r="AH107" s="498" t="n">
        <f aca="false">IF(AH$5&gt;=FC_SUPUESTOS!$F$203,FC_SUPUESTOS!$E$203,0)</f>
        <v>1435</v>
      </c>
      <c r="AI107" s="498" t="n">
        <f aca="false">IF(AI$5&gt;=FC_SUPUESTOS!$F$203,FC_SUPUESTOS!$E$203,0)</f>
        <v>1435</v>
      </c>
      <c r="AJ107" s="498" t="n">
        <f aca="false">IF(AJ$5&gt;=FC_SUPUESTOS!$F$203,FC_SUPUESTOS!$E$203,0)</f>
        <v>1435</v>
      </c>
      <c r="AK107" s="498" t="n">
        <f aca="false">IF(AK$5&gt;=FC_SUPUESTOS!$F$203,FC_SUPUESTOS!$E$203,0)</f>
        <v>1435</v>
      </c>
      <c r="AL107" s="498" t="n">
        <f aca="false">IF(AL$5&gt;=FC_SUPUESTOS!$F$203,FC_SUPUESTOS!$E$203,0)</f>
        <v>1435</v>
      </c>
      <c r="AM107" s="498" t="n">
        <f aca="false">IF(AM$5&gt;=FC_SUPUESTOS!$F$203,FC_SUPUESTOS!$E$203,0)</f>
        <v>1435</v>
      </c>
      <c r="AN107" s="498" t="n">
        <f aca="false">IF(AN$5&gt;=FC_SUPUESTOS!$F$203,FC_SUPUESTOS!$E$203,0)</f>
        <v>1435</v>
      </c>
      <c r="AO107" s="498" t="n">
        <f aca="false">IF(AO$5&gt;=FC_SUPUESTOS!$F$203,FC_SUPUESTOS!$E$203,0)</f>
        <v>1435</v>
      </c>
      <c r="AP107" s="498" t="n">
        <f aca="false">IF(AP$5&gt;=FC_SUPUESTOS!$F$203,FC_SUPUESTOS!$E$203,0)</f>
        <v>1435</v>
      </c>
      <c r="AQ107" s="498" t="n">
        <f aca="false">IF(AQ$5&gt;=FC_SUPUESTOS!$F$203,FC_SUPUESTOS!$E$203,0)</f>
        <v>1435</v>
      </c>
      <c r="AR107" s="498" t="n">
        <f aca="false">IF(AR$5&gt;=FC_SUPUESTOS!$F$203,FC_SUPUESTOS!$E$203,0)</f>
        <v>1435</v>
      </c>
      <c r="AS107" s="498" t="n">
        <f aca="false">IF(AS$5&gt;=FC_SUPUESTOS!$F$203,FC_SUPUESTOS!$E$203,0)</f>
        <v>1435</v>
      </c>
      <c r="AT107" s="498" t="n">
        <f aca="false">IF(AT$5&gt;=FC_SUPUESTOS!$F$203,FC_SUPUESTOS!$E$203,0)</f>
        <v>1435</v>
      </c>
      <c r="AU107" s="498" t="n">
        <f aca="false">IF(AU$5&gt;=FC_SUPUESTOS!$F$203,FC_SUPUESTOS!$E$203,0)</f>
        <v>1435</v>
      </c>
      <c r="AV107" s="498" t="n">
        <f aca="false">IF(AV$5&gt;=FC_SUPUESTOS!$F$203,FC_SUPUESTOS!$E$203,0)</f>
        <v>1435</v>
      </c>
      <c r="AW107" s="498" t="n">
        <f aca="false">IF(AW$5&gt;=FC_SUPUESTOS!$F$203,FC_SUPUESTOS!$E$203,0)</f>
        <v>1435</v>
      </c>
      <c r="AX107" s="498" t="n">
        <f aca="false">IF(AX$5&gt;=FC_SUPUESTOS!$F$203,FC_SUPUESTOS!$E$203,0)</f>
        <v>1435</v>
      </c>
      <c r="AY107" s="498" t="n">
        <f aca="false">IF(AY$5&gt;=FC_SUPUESTOS!$F$203,FC_SUPUESTOS!$E$203,0)</f>
        <v>1435</v>
      </c>
      <c r="AZ107" s="498" t="n">
        <f aca="false">IF(AZ$5&gt;=FC_SUPUESTOS!$F$203,FC_SUPUESTOS!$E$203,0)</f>
        <v>1435</v>
      </c>
      <c r="BA107" s="498" t="n">
        <f aca="false">IF(BA$5&gt;=FC_SUPUESTOS!$F$203,FC_SUPUESTOS!$E$203,0)</f>
        <v>1435</v>
      </c>
      <c r="BB107" s="498" t="n">
        <f aca="false">IF(BB$5&gt;=FC_SUPUESTOS!$F$203,FC_SUPUESTOS!$E$203,0)</f>
        <v>1435</v>
      </c>
      <c r="BC107" s="498" t="n">
        <f aca="false">IF(BC$5&gt;=FC_SUPUESTOS!$F$203,FC_SUPUESTOS!$E$203,0)</f>
        <v>1435</v>
      </c>
      <c r="BD107" s="498" t="n">
        <f aca="false">IF(BD$5&gt;=FC_SUPUESTOS!$F$203,FC_SUPUESTOS!$E$203,0)</f>
        <v>1435</v>
      </c>
      <c r="BE107" s="498" t="n">
        <f aca="false">IF(BE$5&gt;=FC_SUPUESTOS!$F$203,FC_SUPUESTOS!$E$203,0)</f>
        <v>1435</v>
      </c>
      <c r="BF107" s="498" t="n">
        <f aca="false">IF(BF$5&gt;=FC_SUPUESTOS!$F$203,FC_SUPUESTOS!$E$203,0)</f>
        <v>1435</v>
      </c>
      <c r="BG107" s="498" t="n">
        <f aca="false">IF(BG$5&gt;=FC_SUPUESTOS!$F$203,FC_SUPUESTOS!$E$203,0)</f>
        <v>1435</v>
      </c>
      <c r="BH107" s="498" t="n">
        <f aca="false">IF(BH$5&gt;=FC_SUPUESTOS!$F$203,FC_SUPUESTOS!$E$203,0)</f>
        <v>1435</v>
      </c>
      <c r="BI107" s="498" t="n">
        <f aca="false">IF(BI$5&gt;=FC_SUPUESTOS!$F$203,FC_SUPUESTOS!$E$203,0)</f>
        <v>1435</v>
      </c>
      <c r="BJ107" s="498" t="n">
        <f aca="false">IF(BJ$5&gt;=FC_SUPUESTOS!$F$203,FC_SUPUESTOS!$E$203,0)</f>
        <v>1435</v>
      </c>
      <c r="BK107" s="498" t="n">
        <f aca="false">IF(BK$5&gt;=FC_SUPUESTOS!$F$203,FC_SUPUESTOS!$E$203,0)</f>
        <v>1435</v>
      </c>
    </row>
    <row r="108" customFormat="false" ht="15" hidden="false" customHeight="true" outlineLevel="0" collapsed="false">
      <c r="B108" s="283" t="s">
        <v>3001</v>
      </c>
      <c r="D108" s="498" t="n">
        <f aca="false">IF(D$5&gt;=FC_SUPUESTOS!$F$204,FC_SUPUESTOS!$E$204,0)</f>
        <v>0</v>
      </c>
      <c r="E108" s="498" t="n">
        <f aca="false">IF(E$5&gt;=FC_SUPUESTOS!$F$204,FC_SUPUESTOS!$E$204,0)</f>
        <v>735</v>
      </c>
      <c r="F108" s="498" t="n">
        <f aca="false">IF(F$5&gt;=FC_SUPUESTOS!$F$204,FC_SUPUESTOS!$E$204,0)</f>
        <v>735</v>
      </c>
      <c r="G108" s="498" t="n">
        <f aca="false">IF(G$5&gt;=FC_SUPUESTOS!$F$204,FC_SUPUESTOS!$E$204,0)</f>
        <v>735</v>
      </c>
      <c r="H108" s="498" t="n">
        <f aca="false">IF(H$5&gt;=FC_SUPUESTOS!$F$204,FC_SUPUESTOS!$E$204,0)</f>
        <v>735</v>
      </c>
      <c r="I108" s="498" t="n">
        <f aca="false">IF(I$5&gt;=FC_SUPUESTOS!$F$204,FC_SUPUESTOS!$E$204,0)</f>
        <v>735</v>
      </c>
      <c r="J108" s="498" t="n">
        <f aca="false">IF(J$5&gt;=FC_SUPUESTOS!$F$204,FC_SUPUESTOS!$E$204,0)</f>
        <v>735</v>
      </c>
      <c r="K108" s="498" t="n">
        <f aca="false">IF(K$5&gt;=FC_SUPUESTOS!$F$204,FC_SUPUESTOS!$E$204,0)</f>
        <v>735</v>
      </c>
      <c r="L108" s="498" t="n">
        <f aca="false">IF(L$5&gt;=FC_SUPUESTOS!$F$204,FC_SUPUESTOS!$E$204,0)</f>
        <v>735</v>
      </c>
      <c r="M108" s="498" t="n">
        <f aca="false">IF(M$5&gt;=FC_SUPUESTOS!$F$204,FC_SUPUESTOS!$E$204,0)</f>
        <v>735</v>
      </c>
      <c r="N108" s="498" t="n">
        <f aca="false">IF(N$5&gt;=FC_SUPUESTOS!$F$204,FC_SUPUESTOS!$E$204,0)</f>
        <v>735</v>
      </c>
      <c r="O108" s="498" t="n">
        <f aca="false">IF(O$5&gt;=FC_SUPUESTOS!$F$204,FC_SUPUESTOS!$E$204,0)</f>
        <v>735</v>
      </c>
      <c r="P108" s="498" t="n">
        <f aca="false">IF(P$5&gt;=FC_SUPUESTOS!$F$204,FC_SUPUESTOS!$E$204,0)</f>
        <v>735</v>
      </c>
      <c r="Q108" s="498" t="n">
        <f aca="false">IF(Q$5&gt;=FC_SUPUESTOS!$F$204,FC_SUPUESTOS!$E$204,0)</f>
        <v>735</v>
      </c>
      <c r="R108" s="498" t="n">
        <f aca="false">IF(R$5&gt;=FC_SUPUESTOS!$F$204,FC_SUPUESTOS!$E$204,0)</f>
        <v>735</v>
      </c>
      <c r="S108" s="498" t="n">
        <f aca="false">IF(S$5&gt;=FC_SUPUESTOS!$F$204,FC_SUPUESTOS!$E$204,0)</f>
        <v>735</v>
      </c>
      <c r="T108" s="498" t="n">
        <f aca="false">IF(T$5&gt;=FC_SUPUESTOS!$F$204,FC_SUPUESTOS!$E$204,0)</f>
        <v>735</v>
      </c>
      <c r="U108" s="498" t="n">
        <f aca="false">IF(U$5&gt;=FC_SUPUESTOS!$F$204,FC_SUPUESTOS!$E$204,0)</f>
        <v>735</v>
      </c>
      <c r="V108" s="498" t="n">
        <f aca="false">IF(V$5&gt;=FC_SUPUESTOS!$F$204,FC_SUPUESTOS!$E$204,0)</f>
        <v>735</v>
      </c>
      <c r="W108" s="498" t="n">
        <f aca="false">IF(W$5&gt;=FC_SUPUESTOS!$F$204,FC_SUPUESTOS!$E$204,0)</f>
        <v>735</v>
      </c>
      <c r="X108" s="498" t="n">
        <f aca="false">IF(X$5&gt;=FC_SUPUESTOS!$F$204,FC_SUPUESTOS!$E$204,0)</f>
        <v>735</v>
      </c>
      <c r="Y108" s="498" t="n">
        <f aca="false">IF(Y$5&gt;=FC_SUPUESTOS!$F$204,FC_SUPUESTOS!$E$204,0)</f>
        <v>735</v>
      </c>
      <c r="Z108" s="498" t="n">
        <f aca="false">IF(Z$5&gt;=FC_SUPUESTOS!$F$204,FC_SUPUESTOS!$E$204,0)</f>
        <v>735</v>
      </c>
      <c r="AA108" s="498" t="n">
        <f aca="false">IF(AA$5&gt;=FC_SUPUESTOS!$F$204,FC_SUPUESTOS!$E$204,0)</f>
        <v>735</v>
      </c>
      <c r="AB108" s="498" t="n">
        <f aca="false">IF(AB$5&gt;=FC_SUPUESTOS!$F$204,FC_SUPUESTOS!$E$204,0)</f>
        <v>735</v>
      </c>
      <c r="AC108" s="498" t="n">
        <f aca="false">IF(AC$5&gt;=FC_SUPUESTOS!$F$204,FC_SUPUESTOS!$E$204,0)</f>
        <v>735</v>
      </c>
      <c r="AD108" s="498" t="n">
        <f aca="false">IF(AD$5&gt;=FC_SUPUESTOS!$F$204,FC_SUPUESTOS!$E$204,0)</f>
        <v>735</v>
      </c>
      <c r="AE108" s="498" t="n">
        <f aca="false">IF(AE$5&gt;=FC_SUPUESTOS!$F$204,FC_SUPUESTOS!$E$204,0)</f>
        <v>735</v>
      </c>
      <c r="AF108" s="498" t="n">
        <f aca="false">IF(AF$5&gt;=FC_SUPUESTOS!$F$204,FC_SUPUESTOS!$E$204,0)</f>
        <v>735</v>
      </c>
      <c r="AG108" s="498" t="n">
        <f aca="false">IF(AG$5&gt;=FC_SUPUESTOS!$F$204,FC_SUPUESTOS!$E$204,0)</f>
        <v>735</v>
      </c>
      <c r="AH108" s="498" t="n">
        <f aca="false">IF(AH$5&gt;=FC_SUPUESTOS!$F$204,FC_SUPUESTOS!$E$204,0)</f>
        <v>735</v>
      </c>
      <c r="AI108" s="498" t="n">
        <f aca="false">IF(AI$5&gt;=FC_SUPUESTOS!$F$204,FC_SUPUESTOS!$E$204,0)</f>
        <v>735</v>
      </c>
      <c r="AJ108" s="498" t="n">
        <f aca="false">IF(AJ$5&gt;=FC_SUPUESTOS!$F$204,FC_SUPUESTOS!$E$204,0)</f>
        <v>735</v>
      </c>
      <c r="AK108" s="498" t="n">
        <f aca="false">IF(AK$5&gt;=FC_SUPUESTOS!$F$204,FC_SUPUESTOS!$E$204,0)</f>
        <v>735</v>
      </c>
      <c r="AL108" s="498" t="n">
        <f aca="false">IF(AL$5&gt;=FC_SUPUESTOS!$F$204,FC_SUPUESTOS!$E$204,0)</f>
        <v>735</v>
      </c>
      <c r="AM108" s="498" t="n">
        <f aca="false">IF(AM$5&gt;=FC_SUPUESTOS!$F$204,FC_SUPUESTOS!$E$204,0)</f>
        <v>735</v>
      </c>
      <c r="AN108" s="498" t="n">
        <f aca="false">IF(AN$5&gt;=FC_SUPUESTOS!$F$204,FC_SUPUESTOS!$E$204,0)</f>
        <v>735</v>
      </c>
      <c r="AO108" s="498" t="n">
        <f aca="false">IF(AO$5&gt;=FC_SUPUESTOS!$F$204,FC_SUPUESTOS!$E$204,0)</f>
        <v>735</v>
      </c>
      <c r="AP108" s="498" t="n">
        <f aca="false">IF(AP$5&gt;=FC_SUPUESTOS!$F$204,FC_SUPUESTOS!$E$204,0)</f>
        <v>735</v>
      </c>
      <c r="AQ108" s="498" t="n">
        <f aca="false">IF(AQ$5&gt;=FC_SUPUESTOS!$F$204,FC_SUPUESTOS!$E$204,0)</f>
        <v>735</v>
      </c>
      <c r="AR108" s="498" t="n">
        <f aca="false">IF(AR$5&gt;=FC_SUPUESTOS!$F$204,FC_SUPUESTOS!$E$204,0)</f>
        <v>735</v>
      </c>
      <c r="AS108" s="498" t="n">
        <f aca="false">IF(AS$5&gt;=FC_SUPUESTOS!$F$204,FC_SUPUESTOS!$E$204,0)</f>
        <v>735</v>
      </c>
      <c r="AT108" s="498" t="n">
        <f aca="false">IF(AT$5&gt;=FC_SUPUESTOS!$F$204,FC_SUPUESTOS!$E$204,0)</f>
        <v>735</v>
      </c>
      <c r="AU108" s="498" t="n">
        <f aca="false">IF(AU$5&gt;=FC_SUPUESTOS!$F$204,FC_SUPUESTOS!$E$204,0)</f>
        <v>735</v>
      </c>
      <c r="AV108" s="498" t="n">
        <f aca="false">IF(AV$5&gt;=FC_SUPUESTOS!$F$204,FC_SUPUESTOS!$E$204,0)</f>
        <v>735</v>
      </c>
      <c r="AW108" s="498" t="n">
        <f aca="false">IF(AW$5&gt;=FC_SUPUESTOS!$F$204,FC_SUPUESTOS!$E$204,0)</f>
        <v>735</v>
      </c>
      <c r="AX108" s="498" t="n">
        <f aca="false">IF(AX$5&gt;=FC_SUPUESTOS!$F$204,FC_SUPUESTOS!$E$204,0)</f>
        <v>735</v>
      </c>
      <c r="AY108" s="498" t="n">
        <f aca="false">IF(AY$5&gt;=FC_SUPUESTOS!$F$204,FC_SUPUESTOS!$E$204,0)</f>
        <v>735</v>
      </c>
      <c r="AZ108" s="498" t="n">
        <f aca="false">IF(AZ$5&gt;=FC_SUPUESTOS!$F$204,FC_SUPUESTOS!$E$204,0)</f>
        <v>735</v>
      </c>
      <c r="BA108" s="498" t="n">
        <f aca="false">IF(BA$5&gt;=FC_SUPUESTOS!$F$204,FC_SUPUESTOS!$E$204,0)</f>
        <v>735</v>
      </c>
      <c r="BB108" s="498" t="n">
        <f aca="false">IF(BB$5&gt;=FC_SUPUESTOS!$F$204,FC_SUPUESTOS!$E$204,0)</f>
        <v>735</v>
      </c>
      <c r="BC108" s="498" t="n">
        <f aca="false">IF(BC$5&gt;=FC_SUPUESTOS!$F$204,FC_SUPUESTOS!$E$204,0)</f>
        <v>735</v>
      </c>
      <c r="BD108" s="498" t="n">
        <f aca="false">IF(BD$5&gt;=FC_SUPUESTOS!$F$204,FC_SUPUESTOS!$E$204,0)</f>
        <v>735</v>
      </c>
      <c r="BE108" s="498" t="n">
        <f aca="false">IF(BE$5&gt;=FC_SUPUESTOS!$F$204,FC_SUPUESTOS!$E$204,0)</f>
        <v>735</v>
      </c>
      <c r="BF108" s="498" t="n">
        <f aca="false">IF(BF$5&gt;=FC_SUPUESTOS!$F$204,FC_SUPUESTOS!$E$204,0)</f>
        <v>735</v>
      </c>
      <c r="BG108" s="498" t="n">
        <f aca="false">IF(BG$5&gt;=FC_SUPUESTOS!$F$204,FC_SUPUESTOS!$E$204,0)</f>
        <v>735</v>
      </c>
      <c r="BH108" s="498" t="n">
        <f aca="false">IF(BH$5&gt;=FC_SUPUESTOS!$F$204,FC_SUPUESTOS!$E$204,0)</f>
        <v>735</v>
      </c>
      <c r="BI108" s="498" t="n">
        <f aca="false">IF(BI$5&gt;=FC_SUPUESTOS!$F$204,FC_SUPUESTOS!$E$204,0)</f>
        <v>735</v>
      </c>
      <c r="BJ108" s="498" t="n">
        <f aca="false">IF(BJ$5&gt;=FC_SUPUESTOS!$F$204,FC_SUPUESTOS!$E$204,0)</f>
        <v>735</v>
      </c>
      <c r="BK108" s="498" t="n">
        <f aca="false">IF(BK$5&gt;=FC_SUPUESTOS!$F$204,FC_SUPUESTOS!$E$204,0)</f>
        <v>735</v>
      </c>
    </row>
    <row r="109" customFormat="false" ht="15" hidden="false" customHeight="true" outlineLevel="0" collapsed="false">
      <c r="B109" s="283" t="s">
        <v>3002</v>
      </c>
      <c r="D109" s="498" t="n">
        <f aca="false">IF(D$5&gt;=FC_SUPUESTOS!$F$205,FC_SUPUESTOS!$E$205,0)</f>
        <v>1715</v>
      </c>
      <c r="E109" s="498" t="n">
        <f aca="false">IF(E$5&gt;=FC_SUPUESTOS!$F$205,FC_SUPUESTOS!$E$205,0)</f>
        <v>1715</v>
      </c>
      <c r="F109" s="498" t="n">
        <f aca="false">IF(F$5&gt;=FC_SUPUESTOS!$F$205,FC_SUPUESTOS!$E$205,0)</f>
        <v>1715</v>
      </c>
      <c r="G109" s="498" t="n">
        <f aca="false">IF(G$5&gt;=FC_SUPUESTOS!$F$205,FC_SUPUESTOS!$E$205,0)</f>
        <v>1715</v>
      </c>
      <c r="H109" s="498" t="n">
        <f aca="false">IF(H$5&gt;=FC_SUPUESTOS!$F$205,FC_SUPUESTOS!$E$205,0)</f>
        <v>1715</v>
      </c>
      <c r="I109" s="498" t="n">
        <f aca="false">IF(I$5&gt;=FC_SUPUESTOS!$F$205,FC_SUPUESTOS!$E$205,0)</f>
        <v>1715</v>
      </c>
      <c r="J109" s="498" t="n">
        <f aca="false">IF(J$5&gt;=FC_SUPUESTOS!$F$205,FC_SUPUESTOS!$E$205,0)</f>
        <v>1715</v>
      </c>
      <c r="K109" s="498" t="n">
        <f aca="false">IF(K$5&gt;=FC_SUPUESTOS!$F$205,FC_SUPUESTOS!$E$205,0)</f>
        <v>1715</v>
      </c>
      <c r="L109" s="498" t="n">
        <f aca="false">IF(L$5&gt;=FC_SUPUESTOS!$F$205,FC_SUPUESTOS!$E$205,0)</f>
        <v>1715</v>
      </c>
      <c r="M109" s="498" t="n">
        <f aca="false">IF(M$5&gt;=FC_SUPUESTOS!$F$205,FC_SUPUESTOS!$E$205,0)</f>
        <v>1715</v>
      </c>
      <c r="N109" s="498" t="n">
        <f aca="false">IF(N$5&gt;=FC_SUPUESTOS!$F$205,FC_SUPUESTOS!$E$205,0)</f>
        <v>1715</v>
      </c>
      <c r="O109" s="498" t="n">
        <f aca="false">IF(O$5&gt;=FC_SUPUESTOS!$F$205,FC_SUPUESTOS!$E$205,0)</f>
        <v>1715</v>
      </c>
      <c r="P109" s="498" t="n">
        <f aca="false">IF(P$5&gt;=FC_SUPUESTOS!$F$205,FC_SUPUESTOS!$E$205,0)</f>
        <v>1715</v>
      </c>
      <c r="Q109" s="498" t="n">
        <f aca="false">IF(Q$5&gt;=FC_SUPUESTOS!$F$205,FC_SUPUESTOS!$E$205,0)</f>
        <v>1715</v>
      </c>
      <c r="R109" s="498" t="n">
        <f aca="false">IF(R$5&gt;=FC_SUPUESTOS!$F$205,FC_SUPUESTOS!$E$205,0)</f>
        <v>1715</v>
      </c>
      <c r="S109" s="498" t="n">
        <f aca="false">IF(S$5&gt;=FC_SUPUESTOS!$F$205,FC_SUPUESTOS!$E$205,0)</f>
        <v>1715</v>
      </c>
      <c r="T109" s="498" t="n">
        <f aca="false">IF(T$5&gt;=FC_SUPUESTOS!$F$205,FC_SUPUESTOS!$E$205,0)</f>
        <v>1715</v>
      </c>
      <c r="U109" s="498" t="n">
        <f aca="false">IF(U$5&gt;=FC_SUPUESTOS!$F$205,FC_SUPUESTOS!$E$205,0)</f>
        <v>1715</v>
      </c>
      <c r="V109" s="498" t="n">
        <f aca="false">IF(V$5&gt;=FC_SUPUESTOS!$F$205,FC_SUPUESTOS!$E$205,0)</f>
        <v>1715</v>
      </c>
      <c r="W109" s="498" t="n">
        <f aca="false">IF(W$5&gt;=FC_SUPUESTOS!$F$205,FC_SUPUESTOS!$E$205,0)</f>
        <v>1715</v>
      </c>
      <c r="X109" s="498" t="n">
        <f aca="false">IF(X$5&gt;=FC_SUPUESTOS!$F$205,FC_SUPUESTOS!$E$205,0)</f>
        <v>1715</v>
      </c>
      <c r="Y109" s="498" t="n">
        <f aca="false">IF(Y$5&gt;=FC_SUPUESTOS!$F$205,FC_SUPUESTOS!$E$205,0)</f>
        <v>1715</v>
      </c>
      <c r="Z109" s="498" t="n">
        <f aca="false">IF(Z$5&gt;=FC_SUPUESTOS!$F$205,FC_SUPUESTOS!$E$205,0)</f>
        <v>1715</v>
      </c>
      <c r="AA109" s="498" t="n">
        <f aca="false">IF(AA$5&gt;=FC_SUPUESTOS!$F$205,FC_SUPUESTOS!$E$205,0)</f>
        <v>1715</v>
      </c>
      <c r="AB109" s="498" t="n">
        <f aca="false">IF(AB$5&gt;=FC_SUPUESTOS!$F$205,FC_SUPUESTOS!$E$205,0)</f>
        <v>1715</v>
      </c>
      <c r="AC109" s="498" t="n">
        <f aca="false">IF(AC$5&gt;=FC_SUPUESTOS!$F$205,FC_SUPUESTOS!$E$205,0)</f>
        <v>1715</v>
      </c>
      <c r="AD109" s="498" t="n">
        <f aca="false">IF(AD$5&gt;=FC_SUPUESTOS!$F$205,FC_SUPUESTOS!$E$205,0)</f>
        <v>1715</v>
      </c>
      <c r="AE109" s="498" t="n">
        <f aca="false">IF(AE$5&gt;=FC_SUPUESTOS!$F$205,FC_SUPUESTOS!$E$205,0)</f>
        <v>1715</v>
      </c>
      <c r="AF109" s="498" t="n">
        <f aca="false">IF(AF$5&gt;=FC_SUPUESTOS!$F$205,FC_SUPUESTOS!$E$205,0)</f>
        <v>1715</v>
      </c>
      <c r="AG109" s="498" t="n">
        <f aca="false">IF(AG$5&gt;=FC_SUPUESTOS!$F$205,FC_SUPUESTOS!$E$205,0)</f>
        <v>1715</v>
      </c>
      <c r="AH109" s="498" t="n">
        <f aca="false">IF(AH$5&gt;=FC_SUPUESTOS!$F$205,FC_SUPUESTOS!$E$205,0)</f>
        <v>1715</v>
      </c>
      <c r="AI109" s="498" t="n">
        <f aca="false">IF(AI$5&gt;=FC_SUPUESTOS!$F$205,FC_SUPUESTOS!$E$205,0)</f>
        <v>1715</v>
      </c>
      <c r="AJ109" s="498" t="n">
        <f aca="false">IF(AJ$5&gt;=FC_SUPUESTOS!$F$205,FC_SUPUESTOS!$E$205,0)</f>
        <v>1715</v>
      </c>
      <c r="AK109" s="498" t="n">
        <f aca="false">IF(AK$5&gt;=FC_SUPUESTOS!$F$205,FC_SUPUESTOS!$E$205,0)</f>
        <v>1715</v>
      </c>
      <c r="AL109" s="498" t="n">
        <f aca="false">IF(AL$5&gt;=FC_SUPUESTOS!$F$205,FC_SUPUESTOS!$E$205,0)</f>
        <v>1715</v>
      </c>
      <c r="AM109" s="498" t="n">
        <f aca="false">IF(AM$5&gt;=FC_SUPUESTOS!$F$205,FC_SUPUESTOS!$E$205,0)</f>
        <v>1715</v>
      </c>
      <c r="AN109" s="498" t="n">
        <f aca="false">IF(AN$5&gt;=FC_SUPUESTOS!$F$205,FC_SUPUESTOS!$E$205,0)</f>
        <v>1715</v>
      </c>
      <c r="AO109" s="498" t="n">
        <f aca="false">IF(AO$5&gt;=FC_SUPUESTOS!$F$205,FC_SUPUESTOS!$E$205,0)</f>
        <v>1715</v>
      </c>
      <c r="AP109" s="498" t="n">
        <f aca="false">IF(AP$5&gt;=FC_SUPUESTOS!$F$205,FC_SUPUESTOS!$E$205,0)</f>
        <v>1715</v>
      </c>
      <c r="AQ109" s="498" t="n">
        <f aca="false">IF(AQ$5&gt;=FC_SUPUESTOS!$F$205,FC_SUPUESTOS!$E$205,0)</f>
        <v>1715</v>
      </c>
      <c r="AR109" s="498" t="n">
        <f aca="false">IF(AR$5&gt;=FC_SUPUESTOS!$F$205,FC_SUPUESTOS!$E$205,0)</f>
        <v>1715</v>
      </c>
      <c r="AS109" s="498" t="n">
        <f aca="false">IF(AS$5&gt;=FC_SUPUESTOS!$F$205,FC_SUPUESTOS!$E$205,0)</f>
        <v>1715</v>
      </c>
      <c r="AT109" s="498" t="n">
        <f aca="false">IF(AT$5&gt;=FC_SUPUESTOS!$F$205,FC_SUPUESTOS!$E$205,0)</f>
        <v>1715</v>
      </c>
      <c r="AU109" s="498" t="n">
        <f aca="false">IF(AU$5&gt;=FC_SUPUESTOS!$F$205,FC_SUPUESTOS!$E$205,0)</f>
        <v>1715</v>
      </c>
      <c r="AV109" s="498" t="n">
        <f aca="false">IF(AV$5&gt;=FC_SUPUESTOS!$F$205,FC_SUPUESTOS!$E$205,0)</f>
        <v>1715</v>
      </c>
      <c r="AW109" s="498" t="n">
        <f aca="false">IF(AW$5&gt;=FC_SUPUESTOS!$F$205,FC_SUPUESTOS!$E$205,0)</f>
        <v>1715</v>
      </c>
      <c r="AX109" s="498" t="n">
        <f aca="false">IF(AX$5&gt;=FC_SUPUESTOS!$F$205,FC_SUPUESTOS!$E$205,0)</f>
        <v>1715</v>
      </c>
      <c r="AY109" s="498" t="n">
        <f aca="false">IF(AY$5&gt;=FC_SUPUESTOS!$F$205,FC_SUPUESTOS!$E$205,0)</f>
        <v>1715</v>
      </c>
      <c r="AZ109" s="498" t="n">
        <f aca="false">IF(AZ$5&gt;=FC_SUPUESTOS!$F$205,FC_SUPUESTOS!$E$205,0)</f>
        <v>1715</v>
      </c>
      <c r="BA109" s="498" t="n">
        <f aca="false">IF(BA$5&gt;=FC_SUPUESTOS!$F$205,FC_SUPUESTOS!$E$205,0)</f>
        <v>1715</v>
      </c>
      <c r="BB109" s="498" t="n">
        <f aca="false">IF(BB$5&gt;=FC_SUPUESTOS!$F$205,FC_SUPUESTOS!$E$205,0)</f>
        <v>1715</v>
      </c>
      <c r="BC109" s="498" t="n">
        <f aca="false">IF(BC$5&gt;=FC_SUPUESTOS!$F$205,FC_SUPUESTOS!$E$205,0)</f>
        <v>1715</v>
      </c>
      <c r="BD109" s="498" t="n">
        <f aca="false">IF(BD$5&gt;=FC_SUPUESTOS!$F$205,FC_SUPUESTOS!$E$205,0)</f>
        <v>1715</v>
      </c>
      <c r="BE109" s="498" t="n">
        <f aca="false">IF(BE$5&gt;=FC_SUPUESTOS!$F$205,FC_SUPUESTOS!$E$205,0)</f>
        <v>1715</v>
      </c>
      <c r="BF109" s="498" t="n">
        <f aca="false">IF(BF$5&gt;=FC_SUPUESTOS!$F$205,FC_SUPUESTOS!$E$205,0)</f>
        <v>1715</v>
      </c>
      <c r="BG109" s="498" t="n">
        <f aca="false">IF(BG$5&gt;=FC_SUPUESTOS!$F$205,FC_SUPUESTOS!$E$205,0)</f>
        <v>1715</v>
      </c>
      <c r="BH109" s="498" t="n">
        <f aca="false">IF(BH$5&gt;=FC_SUPUESTOS!$F$205,FC_SUPUESTOS!$E$205,0)</f>
        <v>1715</v>
      </c>
      <c r="BI109" s="498" t="n">
        <f aca="false">IF(BI$5&gt;=FC_SUPUESTOS!$F$205,FC_SUPUESTOS!$E$205,0)</f>
        <v>1715</v>
      </c>
      <c r="BJ109" s="498" t="n">
        <f aca="false">IF(BJ$5&gt;=FC_SUPUESTOS!$F$205,FC_SUPUESTOS!$E$205,0)</f>
        <v>1715</v>
      </c>
      <c r="BK109" s="498" t="n">
        <f aca="false">IF(BK$5&gt;=FC_SUPUESTOS!$F$205,FC_SUPUESTOS!$E$205,0)</f>
        <v>1715</v>
      </c>
    </row>
    <row r="110" customFormat="false" ht="15" hidden="false" customHeight="true" outlineLevel="0" collapsed="false">
      <c r="B110" s="283" t="s">
        <v>3003</v>
      </c>
      <c r="D110" s="498" t="n">
        <f aca="false">IF(D$5&gt;=FC_SUPUESTOS!$F$206,FC_SUPUESTOS!$E$206,0)</f>
        <v>1155</v>
      </c>
      <c r="E110" s="498" t="n">
        <f aca="false">IF(E$5&gt;=FC_SUPUESTOS!$F$206,FC_SUPUESTOS!$E$206,0)</f>
        <v>1155</v>
      </c>
      <c r="F110" s="498" t="n">
        <f aca="false">IF(F$5&gt;=FC_SUPUESTOS!$F$206,FC_SUPUESTOS!$E$206,0)</f>
        <v>1155</v>
      </c>
      <c r="G110" s="498" t="n">
        <f aca="false">IF(G$5&gt;=FC_SUPUESTOS!$F$206,FC_SUPUESTOS!$E$206,0)</f>
        <v>1155</v>
      </c>
      <c r="H110" s="498" t="n">
        <f aca="false">IF(H$5&gt;=FC_SUPUESTOS!$F$206,FC_SUPUESTOS!$E$206,0)</f>
        <v>1155</v>
      </c>
      <c r="I110" s="498" t="n">
        <f aca="false">IF(I$5&gt;=FC_SUPUESTOS!$F$206,FC_SUPUESTOS!$E$206,0)</f>
        <v>1155</v>
      </c>
      <c r="J110" s="498" t="n">
        <f aca="false">IF(J$5&gt;=FC_SUPUESTOS!$F$206,FC_SUPUESTOS!$E$206,0)</f>
        <v>1155</v>
      </c>
      <c r="K110" s="498" t="n">
        <f aca="false">IF(K$5&gt;=FC_SUPUESTOS!$F$206,FC_SUPUESTOS!$E$206,0)</f>
        <v>1155</v>
      </c>
      <c r="L110" s="498" t="n">
        <f aca="false">IF(L$5&gt;=FC_SUPUESTOS!$F$206,FC_SUPUESTOS!$E$206,0)</f>
        <v>1155</v>
      </c>
      <c r="M110" s="498" t="n">
        <f aca="false">IF(M$5&gt;=FC_SUPUESTOS!$F$206,FC_SUPUESTOS!$E$206,0)</f>
        <v>1155</v>
      </c>
      <c r="N110" s="498" t="n">
        <f aca="false">IF(N$5&gt;=FC_SUPUESTOS!$F$206,FC_SUPUESTOS!$E$206,0)</f>
        <v>1155</v>
      </c>
      <c r="O110" s="498" t="n">
        <f aca="false">IF(O$5&gt;=FC_SUPUESTOS!$F$206,FC_SUPUESTOS!$E$206,0)</f>
        <v>1155</v>
      </c>
      <c r="P110" s="498" t="n">
        <f aca="false">IF(P$5&gt;=FC_SUPUESTOS!$F$206,FC_SUPUESTOS!$E$206,0)</f>
        <v>1155</v>
      </c>
      <c r="Q110" s="498" t="n">
        <f aca="false">IF(Q$5&gt;=FC_SUPUESTOS!$F$206,FC_SUPUESTOS!$E$206,0)</f>
        <v>1155</v>
      </c>
      <c r="R110" s="498" t="n">
        <f aca="false">IF(R$5&gt;=FC_SUPUESTOS!$F$206,FC_SUPUESTOS!$E$206,0)</f>
        <v>1155</v>
      </c>
      <c r="S110" s="498" t="n">
        <f aca="false">IF(S$5&gt;=FC_SUPUESTOS!$F$206,FC_SUPUESTOS!$E$206,0)</f>
        <v>1155</v>
      </c>
      <c r="T110" s="498" t="n">
        <f aca="false">IF(T$5&gt;=FC_SUPUESTOS!$F$206,FC_SUPUESTOS!$E$206,0)</f>
        <v>1155</v>
      </c>
      <c r="U110" s="498" t="n">
        <f aca="false">IF(U$5&gt;=FC_SUPUESTOS!$F$206,FC_SUPUESTOS!$E$206,0)</f>
        <v>1155</v>
      </c>
      <c r="V110" s="498" t="n">
        <f aca="false">IF(V$5&gt;=FC_SUPUESTOS!$F$206,FC_SUPUESTOS!$E$206,0)</f>
        <v>1155</v>
      </c>
      <c r="W110" s="498" t="n">
        <f aca="false">IF(W$5&gt;=FC_SUPUESTOS!$F$206,FC_SUPUESTOS!$E$206,0)</f>
        <v>1155</v>
      </c>
      <c r="X110" s="498" t="n">
        <f aca="false">IF(X$5&gt;=FC_SUPUESTOS!$F$206,FC_SUPUESTOS!$E$206,0)</f>
        <v>1155</v>
      </c>
      <c r="Y110" s="498" t="n">
        <f aca="false">IF(Y$5&gt;=FC_SUPUESTOS!$F$206,FC_SUPUESTOS!$E$206,0)</f>
        <v>1155</v>
      </c>
      <c r="Z110" s="498" t="n">
        <f aca="false">IF(Z$5&gt;=FC_SUPUESTOS!$F$206,FC_SUPUESTOS!$E$206,0)</f>
        <v>1155</v>
      </c>
      <c r="AA110" s="498" t="n">
        <f aca="false">IF(AA$5&gt;=FC_SUPUESTOS!$F$206,FC_SUPUESTOS!$E$206,0)</f>
        <v>1155</v>
      </c>
      <c r="AB110" s="498" t="n">
        <f aca="false">IF(AB$5&gt;=FC_SUPUESTOS!$F$206,FC_SUPUESTOS!$E$206,0)</f>
        <v>1155</v>
      </c>
      <c r="AC110" s="498" t="n">
        <f aca="false">IF(AC$5&gt;=FC_SUPUESTOS!$F$206,FC_SUPUESTOS!$E$206,0)</f>
        <v>1155</v>
      </c>
      <c r="AD110" s="498" t="n">
        <f aca="false">IF(AD$5&gt;=FC_SUPUESTOS!$F$206,FC_SUPUESTOS!$E$206,0)</f>
        <v>1155</v>
      </c>
      <c r="AE110" s="498" t="n">
        <f aca="false">IF(AE$5&gt;=FC_SUPUESTOS!$F$206,FC_SUPUESTOS!$E$206,0)</f>
        <v>1155</v>
      </c>
      <c r="AF110" s="498" t="n">
        <f aca="false">IF(AF$5&gt;=FC_SUPUESTOS!$F$206,FC_SUPUESTOS!$E$206,0)</f>
        <v>1155</v>
      </c>
      <c r="AG110" s="498" t="n">
        <f aca="false">IF(AG$5&gt;=FC_SUPUESTOS!$F$206,FC_SUPUESTOS!$E$206,0)</f>
        <v>1155</v>
      </c>
      <c r="AH110" s="498" t="n">
        <f aca="false">IF(AH$5&gt;=FC_SUPUESTOS!$F$206,FC_SUPUESTOS!$E$206,0)</f>
        <v>1155</v>
      </c>
      <c r="AI110" s="498" t="n">
        <f aca="false">IF(AI$5&gt;=FC_SUPUESTOS!$F$206,FC_SUPUESTOS!$E$206,0)</f>
        <v>1155</v>
      </c>
      <c r="AJ110" s="498" t="n">
        <f aca="false">IF(AJ$5&gt;=FC_SUPUESTOS!$F$206,FC_SUPUESTOS!$E$206,0)</f>
        <v>1155</v>
      </c>
      <c r="AK110" s="498" t="n">
        <f aca="false">IF(AK$5&gt;=FC_SUPUESTOS!$F$206,FC_SUPUESTOS!$E$206,0)</f>
        <v>1155</v>
      </c>
      <c r="AL110" s="498" t="n">
        <f aca="false">IF(AL$5&gt;=FC_SUPUESTOS!$F$206,FC_SUPUESTOS!$E$206,0)</f>
        <v>1155</v>
      </c>
      <c r="AM110" s="498" t="n">
        <f aca="false">IF(AM$5&gt;=FC_SUPUESTOS!$F$206,FC_SUPUESTOS!$E$206,0)</f>
        <v>1155</v>
      </c>
      <c r="AN110" s="498" t="n">
        <f aca="false">IF(AN$5&gt;=FC_SUPUESTOS!$F$206,FC_SUPUESTOS!$E$206,0)</f>
        <v>1155</v>
      </c>
      <c r="AO110" s="498" t="n">
        <f aca="false">IF(AO$5&gt;=FC_SUPUESTOS!$F$206,FC_SUPUESTOS!$E$206,0)</f>
        <v>1155</v>
      </c>
      <c r="AP110" s="498" t="n">
        <f aca="false">IF(AP$5&gt;=FC_SUPUESTOS!$F$206,FC_SUPUESTOS!$E$206,0)</f>
        <v>1155</v>
      </c>
      <c r="AQ110" s="498" t="n">
        <f aca="false">IF(AQ$5&gt;=FC_SUPUESTOS!$F$206,FC_SUPUESTOS!$E$206,0)</f>
        <v>1155</v>
      </c>
      <c r="AR110" s="498" t="n">
        <f aca="false">IF(AR$5&gt;=FC_SUPUESTOS!$F$206,FC_SUPUESTOS!$E$206,0)</f>
        <v>1155</v>
      </c>
      <c r="AS110" s="498" t="n">
        <f aca="false">IF(AS$5&gt;=FC_SUPUESTOS!$F$206,FC_SUPUESTOS!$E$206,0)</f>
        <v>1155</v>
      </c>
      <c r="AT110" s="498" t="n">
        <f aca="false">IF(AT$5&gt;=FC_SUPUESTOS!$F$206,FC_SUPUESTOS!$E$206,0)</f>
        <v>1155</v>
      </c>
      <c r="AU110" s="498" t="n">
        <f aca="false">IF(AU$5&gt;=FC_SUPUESTOS!$F$206,FC_SUPUESTOS!$E$206,0)</f>
        <v>1155</v>
      </c>
      <c r="AV110" s="498" t="n">
        <f aca="false">IF(AV$5&gt;=FC_SUPUESTOS!$F$206,FC_SUPUESTOS!$E$206,0)</f>
        <v>1155</v>
      </c>
      <c r="AW110" s="498" t="n">
        <f aca="false">IF(AW$5&gt;=FC_SUPUESTOS!$F$206,FC_SUPUESTOS!$E$206,0)</f>
        <v>1155</v>
      </c>
      <c r="AX110" s="498" t="n">
        <f aca="false">IF(AX$5&gt;=FC_SUPUESTOS!$F$206,FC_SUPUESTOS!$E$206,0)</f>
        <v>1155</v>
      </c>
      <c r="AY110" s="498" t="n">
        <f aca="false">IF(AY$5&gt;=FC_SUPUESTOS!$F$206,FC_SUPUESTOS!$E$206,0)</f>
        <v>1155</v>
      </c>
      <c r="AZ110" s="498" t="n">
        <f aca="false">IF(AZ$5&gt;=FC_SUPUESTOS!$F$206,FC_SUPUESTOS!$E$206,0)</f>
        <v>1155</v>
      </c>
      <c r="BA110" s="498" t="n">
        <f aca="false">IF(BA$5&gt;=FC_SUPUESTOS!$F$206,FC_SUPUESTOS!$E$206,0)</f>
        <v>1155</v>
      </c>
      <c r="BB110" s="498" t="n">
        <f aca="false">IF(BB$5&gt;=FC_SUPUESTOS!$F$206,FC_SUPUESTOS!$E$206,0)</f>
        <v>1155</v>
      </c>
      <c r="BC110" s="498" t="n">
        <f aca="false">IF(BC$5&gt;=FC_SUPUESTOS!$F$206,FC_SUPUESTOS!$E$206,0)</f>
        <v>1155</v>
      </c>
      <c r="BD110" s="498" t="n">
        <f aca="false">IF(BD$5&gt;=FC_SUPUESTOS!$F$206,FC_SUPUESTOS!$E$206,0)</f>
        <v>1155</v>
      </c>
      <c r="BE110" s="498" t="n">
        <f aca="false">IF(BE$5&gt;=FC_SUPUESTOS!$F$206,FC_SUPUESTOS!$E$206,0)</f>
        <v>1155</v>
      </c>
      <c r="BF110" s="498" t="n">
        <f aca="false">IF(BF$5&gt;=FC_SUPUESTOS!$F$206,FC_SUPUESTOS!$E$206,0)</f>
        <v>1155</v>
      </c>
      <c r="BG110" s="498" t="n">
        <f aca="false">IF(BG$5&gt;=FC_SUPUESTOS!$F$206,FC_SUPUESTOS!$E$206,0)</f>
        <v>1155</v>
      </c>
      <c r="BH110" s="498" t="n">
        <f aca="false">IF(BH$5&gt;=FC_SUPUESTOS!$F$206,FC_SUPUESTOS!$E$206,0)</f>
        <v>1155</v>
      </c>
      <c r="BI110" s="498" t="n">
        <f aca="false">IF(BI$5&gt;=FC_SUPUESTOS!$F$206,FC_SUPUESTOS!$E$206,0)</f>
        <v>1155</v>
      </c>
      <c r="BJ110" s="498" t="n">
        <f aca="false">IF(BJ$5&gt;=FC_SUPUESTOS!$F$206,FC_SUPUESTOS!$E$206,0)</f>
        <v>1155</v>
      </c>
      <c r="BK110" s="498" t="n">
        <f aca="false">IF(BK$5&gt;=FC_SUPUESTOS!$F$206,FC_SUPUESTOS!$E$206,0)</f>
        <v>1155</v>
      </c>
    </row>
    <row r="111" customFormat="false" ht="15" hidden="false" customHeight="true" outlineLevel="0" collapsed="false">
      <c r="B111" s="283" t="s">
        <v>3004</v>
      </c>
      <c r="D111" s="498" t="n">
        <f aca="false">IF(D$5&gt;=FC_SUPUESTOS!$F$207,FC_SUPUESTOS!$E$207,0)</f>
        <v>0</v>
      </c>
      <c r="E111" s="498" t="n">
        <f aca="false">IF(E$5&gt;=FC_SUPUESTOS!$F$207,FC_SUPUESTOS!$E$207,0)</f>
        <v>0</v>
      </c>
      <c r="F111" s="498" t="n">
        <f aca="false">IF(F$5&gt;=FC_SUPUESTOS!$F$207,FC_SUPUESTOS!$E$207,0)</f>
        <v>0</v>
      </c>
      <c r="G111" s="498" t="n">
        <f aca="false">IF(G$5&gt;=FC_SUPUESTOS!$F$207,FC_SUPUESTOS!$E$207,0)</f>
        <v>0</v>
      </c>
      <c r="H111" s="498" t="n">
        <f aca="false">IF(H$5&gt;=FC_SUPUESTOS!$F$207,FC_SUPUESTOS!$E$207,0)</f>
        <v>0</v>
      </c>
      <c r="I111" s="498" t="n">
        <f aca="false">IF(I$5&gt;=FC_SUPUESTOS!$F$207,FC_SUPUESTOS!$E$207,0)</f>
        <v>0</v>
      </c>
      <c r="J111" s="498" t="n">
        <f aca="false">IF(J$5&gt;=FC_SUPUESTOS!$F$207,FC_SUPUESTOS!$E$207,0)</f>
        <v>0</v>
      </c>
      <c r="K111" s="498" t="n">
        <f aca="false">IF(K$5&gt;=FC_SUPUESTOS!$F$207,FC_SUPUESTOS!$E$207,0)</f>
        <v>0</v>
      </c>
      <c r="L111" s="498" t="n">
        <f aca="false">IF(L$5&gt;=FC_SUPUESTOS!$F$207,FC_SUPUESTOS!$E$207,0)</f>
        <v>0</v>
      </c>
      <c r="M111" s="498" t="n">
        <f aca="false">IF(M$5&gt;=FC_SUPUESTOS!$F$207,FC_SUPUESTOS!$E$207,0)</f>
        <v>0</v>
      </c>
      <c r="N111" s="498" t="n">
        <f aca="false">IF(N$5&gt;=FC_SUPUESTOS!$F$207,FC_SUPUESTOS!$E$207,0)</f>
        <v>0</v>
      </c>
      <c r="O111" s="498" t="n">
        <f aca="false">IF(O$5&gt;=FC_SUPUESTOS!$F$207,FC_SUPUESTOS!$E$207,0)</f>
        <v>0</v>
      </c>
      <c r="P111" s="498" t="n">
        <f aca="false">IF(P$5&gt;=FC_SUPUESTOS!$F$207,FC_SUPUESTOS!$E$207,0)</f>
        <v>2135</v>
      </c>
      <c r="Q111" s="498" t="n">
        <f aca="false">IF(Q$5&gt;=FC_SUPUESTOS!$F$207,FC_SUPUESTOS!$E$207,0)</f>
        <v>2135</v>
      </c>
      <c r="R111" s="498" t="n">
        <f aca="false">IF(R$5&gt;=FC_SUPUESTOS!$F$207,FC_SUPUESTOS!$E$207,0)</f>
        <v>2135</v>
      </c>
      <c r="S111" s="498" t="n">
        <f aca="false">IF(S$5&gt;=FC_SUPUESTOS!$F$207,FC_SUPUESTOS!$E$207,0)</f>
        <v>2135</v>
      </c>
      <c r="T111" s="498" t="n">
        <f aca="false">IF(T$5&gt;=FC_SUPUESTOS!$F$207,FC_SUPUESTOS!$E$207,0)</f>
        <v>2135</v>
      </c>
      <c r="U111" s="498" t="n">
        <f aca="false">IF(U$5&gt;=FC_SUPUESTOS!$F$207,FC_SUPUESTOS!$E$207,0)</f>
        <v>2135</v>
      </c>
      <c r="V111" s="498" t="n">
        <f aca="false">IF(V$5&gt;=FC_SUPUESTOS!$F$207,FC_SUPUESTOS!$E$207,0)</f>
        <v>2135</v>
      </c>
      <c r="W111" s="498" t="n">
        <f aca="false">IF(W$5&gt;=FC_SUPUESTOS!$F$207,FC_SUPUESTOS!$E$207,0)</f>
        <v>2135</v>
      </c>
      <c r="X111" s="498" t="n">
        <f aca="false">IF(X$5&gt;=FC_SUPUESTOS!$F$207,FC_SUPUESTOS!$E$207,0)</f>
        <v>2135</v>
      </c>
      <c r="Y111" s="498" t="n">
        <f aca="false">IF(Y$5&gt;=FC_SUPUESTOS!$F$207,FC_SUPUESTOS!$E$207,0)</f>
        <v>2135</v>
      </c>
      <c r="Z111" s="498" t="n">
        <f aca="false">IF(Z$5&gt;=FC_SUPUESTOS!$F$207,FC_SUPUESTOS!$E$207,0)</f>
        <v>2135</v>
      </c>
      <c r="AA111" s="498" t="n">
        <f aca="false">IF(AA$5&gt;=FC_SUPUESTOS!$F$207,FC_SUPUESTOS!$E$207,0)</f>
        <v>2135</v>
      </c>
      <c r="AB111" s="498" t="n">
        <f aca="false">IF(AB$5&gt;=FC_SUPUESTOS!$F$207,FC_SUPUESTOS!$E$207,0)</f>
        <v>2135</v>
      </c>
      <c r="AC111" s="498" t="n">
        <f aca="false">IF(AC$5&gt;=FC_SUPUESTOS!$F$207,FC_SUPUESTOS!$E$207,0)</f>
        <v>2135</v>
      </c>
      <c r="AD111" s="498" t="n">
        <f aca="false">IF(AD$5&gt;=FC_SUPUESTOS!$F$207,FC_SUPUESTOS!$E$207,0)</f>
        <v>2135</v>
      </c>
      <c r="AE111" s="498" t="n">
        <f aca="false">IF(AE$5&gt;=FC_SUPUESTOS!$F$207,FC_SUPUESTOS!$E$207,0)</f>
        <v>2135</v>
      </c>
      <c r="AF111" s="498" t="n">
        <f aca="false">IF(AF$5&gt;=FC_SUPUESTOS!$F$207,FC_SUPUESTOS!$E$207,0)</f>
        <v>2135</v>
      </c>
      <c r="AG111" s="498" t="n">
        <f aca="false">IF(AG$5&gt;=FC_SUPUESTOS!$F$207,FC_SUPUESTOS!$E$207,0)</f>
        <v>2135</v>
      </c>
      <c r="AH111" s="498" t="n">
        <f aca="false">IF(AH$5&gt;=FC_SUPUESTOS!$F$207,FC_SUPUESTOS!$E$207,0)</f>
        <v>2135</v>
      </c>
      <c r="AI111" s="498" t="n">
        <f aca="false">IF(AI$5&gt;=FC_SUPUESTOS!$F$207,FC_SUPUESTOS!$E$207,0)</f>
        <v>2135</v>
      </c>
      <c r="AJ111" s="498" t="n">
        <f aca="false">IF(AJ$5&gt;=FC_SUPUESTOS!$F$207,FC_SUPUESTOS!$E$207,0)</f>
        <v>2135</v>
      </c>
      <c r="AK111" s="498" t="n">
        <f aca="false">IF(AK$5&gt;=FC_SUPUESTOS!$F$207,FC_SUPUESTOS!$E$207,0)</f>
        <v>2135</v>
      </c>
      <c r="AL111" s="498" t="n">
        <f aca="false">IF(AL$5&gt;=FC_SUPUESTOS!$F$207,FC_SUPUESTOS!$E$207,0)</f>
        <v>2135</v>
      </c>
      <c r="AM111" s="498" t="n">
        <f aca="false">IF(AM$5&gt;=FC_SUPUESTOS!$F$207,FC_SUPUESTOS!$E$207,0)</f>
        <v>2135</v>
      </c>
      <c r="AN111" s="498" t="n">
        <f aca="false">IF(AN$5&gt;=FC_SUPUESTOS!$F$207,FC_SUPUESTOS!$E$207,0)</f>
        <v>2135</v>
      </c>
      <c r="AO111" s="498" t="n">
        <f aca="false">IF(AO$5&gt;=FC_SUPUESTOS!$F$207,FC_SUPUESTOS!$E$207,0)</f>
        <v>2135</v>
      </c>
      <c r="AP111" s="498" t="n">
        <f aca="false">IF(AP$5&gt;=FC_SUPUESTOS!$F$207,FC_SUPUESTOS!$E$207,0)</f>
        <v>2135</v>
      </c>
      <c r="AQ111" s="498" t="n">
        <f aca="false">IF(AQ$5&gt;=FC_SUPUESTOS!$F$207,FC_SUPUESTOS!$E$207,0)</f>
        <v>2135</v>
      </c>
      <c r="AR111" s="498" t="n">
        <f aca="false">IF(AR$5&gt;=FC_SUPUESTOS!$F$207,FC_SUPUESTOS!$E$207,0)</f>
        <v>2135</v>
      </c>
      <c r="AS111" s="498" t="n">
        <f aca="false">IF(AS$5&gt;=FC_SUPUESTOS!$F$207,FC_SUPUESTOS!$E$207,0)</f>
        <v>2135</v>
      </c>
      <c r="AT111" s="498" t="n">
        <f aca="false">IF(AT$5&gt;=FC_SUPUESTOS!$F$207,FC_SUPUESTOS!$E$207,0)</f>
        <v>2135</v>
      </c>
      <c r="AU111" s="498" t="n">
        <f aca="false">IF(AU$5&gt;=FC_SUPUESTOS!$F$207,FC_SUPUESTOS!$E$207,0)</f>
        <v>2135</v>
      </c>
      <c r="AV111" s="498" t="n">
        <f aca="false">IF(AV$5&gt;=FC_SUPUESTOS!$F$207,FC_SUPUESTOS!$E$207,0)</f>
        <v>2135</v>
      </c>
      <c r="AW111" s="498" t="n">
        <f aca="false">IF(AW$5&gt;=FC_SUPUESTOS!$F$207,FC_SUPUESTOS!$E$207,0)</f>
        <v>2135</v>
      </c>
      <c r="AX111" s="498" t="n">
        <f aca="false">IF(AX$5&gt;=FC_SUPUESTOS!$F$207,FC_SUPUESTOS!$E$207,0)</f>
        <v>2135</v>
      </c>
      <c r="AY111" s="498" t="n">
        <f aca="false">IF(AY$5&gt;=FC_SUPUESTOS!$F$207,FC_SUPUESTOS!$E$207,0)</f>
        <v>2135</v>
      </c>
      <c r="AZ111" s="498" t="n">
        <f aca="false">IF(AZ$5&gt;=FC_SUPUESTOS!$F$207,FC_SUPUESTOS!$E$207,0)</f>
        <v>2135</v>
      </c>
      <c r="BA111" s="498" t="n">
        <f aca="false">IF(BA$5&gt;=FC_SUPUESTOS!$F$207,FC_SUPUESTOS!$E$207,0)</f>
        <v>2135</v>
      </c>
      <c r="BB111" s="498" t="n">
        <f aca="false">IF(BB$5&gt;=FC_SUPUESTOS!$F$207,FC_SUPUESTOS!$E$207,0)</f>
        <v>2135</v>
      </c>
      <c r="BC111" s="498" t="n">
        <f aca="false">IF(BC$5&gt;=FC_SUPUESTOS!$F$207,FC_SUPUESTOS!$E$207,0)</f>
        <v>2135</v>
      </c>
      <c r="BD111" s="498" t="n">
        <f aca="false">IF(BD$5&gt;=FC_SUPUESTOS!$F$207,FC_SUPUESTOS!$E$207,0)</f>
        <v>2135</v>
      </c>
      <c r="BE111" s="498" t="n">
        <f aca="false">IF(BE$5&gt;=FC_SUPUESTOS!$F$207,FC_SUPUESTOS!$E$207,0)</f>
        <v>2135</v>
      </c>
      <c r="BF111" s="498" t="n">
        <f aca="false">IF(BF$5&gt;=FC_SUPUESTOS!$F$207,FC_SUPUESTOS!$E$207,0)</f>
        <v>2135</v>
      </c>
      <c r="BG111" s="498" t="n">
        <f aca="false">IF(BG$5&gt;=FC_SUPUESTOS!$F$207,FC_SUPUESTOS!$E$207,0)</f>
        <v>2135</v>
      </c>
      <c r="BH111" s="498" t="n">
        <f aca="false">IF(BH$5&gt;=FC_SUPUESTOS!$F$207,FC_SUPUESTOS!$E$207,0)</f>
        <v>2135</v>
      </c>
      <c r="BI111" s="498" t="n">
        <f aca="false">IF(BI$5&gt;=FC_SUPUESTOS!$F$207,FC_SUPUESTOS!$E$207,0)</f>
        <v>2135</v>
      </c>
      <c r="BJ111" s="498" t="n">
        <f aca="false">IF(BJ$5&gt;=FC_SUPUESTOS!$F$207,FC_SUPUESTOS!$E$207,0)</f>
        <v>2135</v>
      </c>
      <c r="BK111" s="498" t="n">
        <f aca="false">IF(BK$5&gt;=FC_SUPUESTOS!$F$207,FC_SUPUESTOS!$E$207,0)</f>
        <v>2135</v>
      </c>
    </row>
    <row r="112" customFormat="false" ht="15" hidden="false" customHeight="true" outlineLevel="0" collapsed="false">
      <c r="B112" s="283" t="s">
        <v>3005</v>
      </c>
      <c r="D112" s="498" t="n">
        <f aca="false">IF(D$5&gt;=FC_SUPUESTOS!$F$208,FC_SUPUESTOS!$E$208,0)</f>
        <v>0</v>
      </c>
      <c r="E112" s="498" t="n">
        <f aca="false">IF(E$5&gt;=FC_SUPUESTOS!$F$208,FC_SUPUESTOS!$E$208,0)</f>
        <v>0</v>
      </c>
      <c r="F112" s="498" t="n">
        <f aca="false">IF(F$5&gt;=FC_SUPUESTOS!$F$208,FC_SUPUESTOS!$E$208,0)</f>
        <v>0</v>
      </c>
      <c r="G112" s="498" t="n">
        <f aca="false">IF(G$5&gt;=FC_SUPUESTOS!$F$208,FC_SUPUESTOS!$E$208,0)</f>
        <v>0</v>
      </c>
      <c r="H112" s="498" t="n">
        <f aca="false">IF(H$5&gt;=FC_SUPUESTOS!$F$208,FC_SUPUESTOS!$E$208,0)</f>
        <v>0</v>
      </c>
      <c r="I112" s="498" t="n">
        <f aca="false">IF(I$5&gt;=FC_SUPUESTOS!$F$208,FC_SUPUESTOS!$E$208,0)</f>
        <v>0</v>
      </c>
      <c r="J112" s="498" t="n">
        <f aca="false">IF(J$5&gt;=FC_SUPUESTOS!$F$208,FC_SUPUESTOS!$E$208,0)</f>
        <v>0</v>
      </c>
      <c r="K112" s="498" t="n">
        <f aca="false">IF(K$5&gt;=FC_SUPUESTOS!$F$208,FC_SUPUESTOS!$E$208,0)</f>
        <v>0</v>
      </c>
      <c r="L112" s="498" t="n">
        <f aca="false">IF(L$5&gt;=FC_SUPUESTOS!$F$208,FC_SUPUESTOS!$E$208,0)</f>
        <v>0</v>
      </c>
      <c r="M112" s="498" t="n">
        <f aca="false">IF(M$5&gt;=FC_SUPUESTOS!$F$208,FC_SUPUESTOS!$E$208,0)</f>
        <v>0</v>
      </c>
      <c r="N112" s="498" t="n">
        <f aca="false">IF(N$5&gt;=FC_SUPUESTOS!$F$208,FC_SUPUESTOS!$E$208,0)</f>
        <v>0</v>
      </c>
      <c r="O112" s="498" t="n">
        <f aca="false">IF(O$5&gt;=FC_SUPUESTOS!$F$208,FC_SUPUESTOS!$E$208,0)</f>
        <v>0</v>
      </c>
      <c r="P112" s="498" t="n">
        <f aca="false">IF(P$5&gt;=FC_SUPUESTOS!$F$208,FC_SUPUESTOS!$E$208,0)</f>
        <v>0</v>
      </c>
      <c r="Q112" s="498" t="n">
        <f aca="false">IF(Q$5&gt;=FC_SUPUESTOS!$F$208,FC_SUPUESTOS!$E$208,0)</f>
        <v>0</v>
      </c>
      <c r="R112" s="498" t="n">
        <f aca="false">IF(R$5&gt;=FC_SUPUESTOS!$F$208,FC_SUPUESTOS!$E$208,0)</f>
        <v>0</v>
      </c>
      <c r="S112" s="498" t="n">
        <f aca="false">IF(S$5&gt;=FC_SUPUESTOS!$F$208,FC_SUPUESTOS!$E$208,0)</f>
        <v>0</v>
      </c>
      <c r="T112" s="498" t="n">
        <f aca="false">IF(T$5&gt;=FC_SUPUESTOS!$F$208,FC_SUPUESTOS!$E$208,0)</f>
        <v>0</v>
      </c>
      <c r="U112" s="498" t="n">
        <f aca="false">IF(U$5&gt;=FC_SUPUESTOS!$F$208,FC_SUPUESTOS!$E$208,0)</f>
        <v>0</v>
      </c>
      <c r="V112" s="498" t="n">
        <f aca="false">IF(V$5&gt;=FC_SUPUESTOS!$F$208,FC_SUPUESTOS!$E$208,0)</f>
        <v>0</v>
      </c>
      <c r="W112" s="498" t="n">
        <f aca="false">IF(W$5&gt;=FC_SUPUESTOS!$F$208,FC_SUPUESTOS!$E$208,0)</f>
        <v>0</v>
      </c>
      <c r="X112" s="498" t="n">
        <f aca="false">IF(X$5&gt;=FC_SUPUESTOS!$F$208,FC_SUPUESTOS!$E$208,0)</f>
        <v>0</v>
      </c>
      <c r="Y112" s="498" t="n">
        <f aca="false">IF(Y$5&gt;=FC_SUPUESTOS!$F$208,FC_SUPUESTOS!$E$208,0)</f>
        <v>0</v>
      </c>
      <c r="Z112" s="498" t="n">
        <f aca="false">IF(Z$5&gt;=FC_SUPUESTOS!$F$208,FC_SUPUESTOS!$E$208,0)</f>
        <v>0</v>
      </c>
      <c r="AA112" s="498" t="n">
        <f aca="false">IF(AA$5&gt;=FC_SUPUESTOS!$F$208,FC_SUPUESTOS!$E$208,0)</f>
        <v>0</v>
      </c>
      <c r="AB112" s="498" t="n">
        <f aca="false">IF(AB$5&gt;=FC_SUPUESTOS!$F$208,FC_SUPUESTOS!$E$208,0)</f>
        <v>2900</v>
      </c>
      <c r="AC112" s="498" t="n">
        <f aca="false">IF(AC$5&gt;=FC_SUPUESTOS!$F$208,FC_SUPUESTOS!$E$208,0)</f>
        <v>2900</v>
      </c>
      <c r="AD112" s="498" t="n">
        <f aca="false">IF(AD$5&gt;=FC_SUPUESTOS!$F$208,FC_SUPUESTOS!$E$208,0)</f>
        <v>2900</v>
      </c>
      <c r="AE112" s="498" t="n">
        <f aca="false">IF(AE$5&gt;=FC_SUPUESTOS!$F$208,FC_SUPUESTOS!$E$208,0)</f>
        <v>2900</v>
      </c>
      <c r="AF112" s="498" t="n">
        <f aca="false">IF(AF$5&gt;=FC_SUPUESTOS!$F$208,FC_SUPUESTOS!$E$208,0)</f>
        <v>2900</v>
      </c>
      <c r="AG112" s="498" t="n">
        <f aca="false">IF(AG$5&gt;=FC_SUPUESTOS!$F$208,FC_SUPUESTOS!$E$208,0)</f>
        <v>2900</v>
      </c>
      <c r="AH112" s="498" t="n">
        <f aca="false">IF(AH$5&gt;=FC_SUPUESTOS!$F$208,FC_SUPUESTOS!$E$208,0)</f>
        <v>2900</v>
      </c>
      <c r="AI112" s="498" t="n">
        <f aca="false">IF(AI$5&gt;=FC_SUPUESTOS!$F$208,FC_SUPUESTOS!$E$208,0)</f>
        <v>2900</v>
      </c>
      <c r="AJ112" s="498" t="n">
        <f aca="false">IF(AJ$5&gt;=FC_SUPUESTOS!$F$208,FC_SUPUESTOS!$E$208,0)</f>
        <v>2900</v>
      </c>
      <c r="AK112" s="498" t="n">
        <f aca="false">IF(AK$5&gt;=FC_SUPUESTOS!$F$208,FC_SUPUESTOS!$E$208,0)</f>
        <v>2900</v>
      </c>
      <c r="AL112" s="498" t="n">
        <f aca="false">IF(AL$5&gt;=FC_SUPUESTOS!$F$208,FC_SUPUESTOS!$E$208,0)</f>
        <v>2900</v>
      </c>
      <c r="AM112" s="498" t="n">
        <f aca="false">IF(AM$5&gt;=FC_SUPUESTOS!$F$208,FC_SUPUESTOS!$E$208,0)</f>
        <v>2900</v>
      </c>
      <c r="AN112" s="498" t="n">
        <f aca="false">IF(AN$5&gt;=FC_SUPUESTOS!$F$208,FC_SUPUESTOS!$E$208,0)</f>
        <v>2900</v>
      </c>
      <c r="AO112" s="498" t="n">
        <f aca="false">IF(AO$5&gt;=FC_SUPUESTOS!$F$208,FC_SUPUESTOS!$E$208,0)</f>
        <v>2900</v>
      </c>
      <c r="AP112" s="498" t="n">
        <f aca="false">IF(AP$5&gt;=FC_SUPUESTOS!$F$208,FC_SUPUESTOS!$E$208,0)</f>
        <v>2900</v>
      </c>
      <c r="AQ112" s="498" t="n">
        <f aca="false">IF(AQ$5&gt;=FC_SUPUESTOS!$F$208,FC_SUPUESTOS!$E$208,0)</f>
        <v>2900</v>
      </c>
      <c r="AR112" s="498" t="n">
        <f aca="false">IF(AR$5&gt;=FC_SUPUESTOS!$F$208,FC_SUPUESTOS!$E$208,0)</f>
        <v>2900</v>
      </c>
      <c r="AS112" s="498" t="n">
        <f aca="false">IF(AS$5&gt;=FC_SUPUESTOS!$F$208,FC_SUPUESTOS!$E$208,0)</f>
        <v>2900</v>
      </c>
      <c r="AT112" s="498" t="n">
        <f aca="false">IF(AT$5&gt;=FC_SUPUESTOS!$F$208,FC_SUPUESTOS!$E$208,0)</f>
        <v>2900</v>
      </c>
      <c r="AU112" s="498" t="n">
        <f aca="false">IF(AU$5&gt;=FC_SUPUESTOS!$F$208,FC_SUPUESTOS!$E$208,0)</f>
        <v>2900</v>
      </c>
      <c r="AV112" s="498" t="n">
        <f aca="false">IF(AV$5&gt;=FC_SUPUESTOS!$F$208,FC_SUPUESTOS!$E$208,0)</f>
        <v>2900</v>
      </c>
      <c r="AW112" s="498" t="n">
        <f aca="false">IF(AW$5&gt;=FC_SUPUESTOS!$F$208,FC_SUPUESTOS!$E$208,0)</f>
        <v>2900</v>
      </c>
      <c r="AX112" s="498" t="n">
        <f aca="false">IF(AX$5&gt;=FC_SUPUESTOS!$F$208,FC_SUPUESTOS!$E$208,0)</f>
        <v>2900</v>
      </c>
      <c r="AY112" s="498" t="n">
        <f aca="false">IF(AY$5&gt;=FC_SUPUESTOS!$F$208,FC_SUPUESTOS!$E$208,0)</f>
        <v>2900</v>
      </c>
      <c r="AZ112" s="498" t="n">
        <f aca="false">IF(AZ$5&gt;=FC_SUPUESTOS!$F$208,FC_SUPUESTOS!$E$208,0)</f>
        <v>2900</v>
      </c>
      <c r="BA112" s="498" t="n">
        <f aca="false">IF(BA$5&gt;=FC_SUPUESTOS!$F$208,FC_SUPUESTOS!$E$208,0)</f>
        <v>2900</v>
      </c>
      <c r="BB112" s="498" t="n">
        <f aca="false">IF(BB$5&gt;=FC_SUPUESTOS!$F$208,FC_SUPUESTOS!$E$208,0)</f>
        <v>2900</v>
      </c>
      <c r="BC112" s="498" t="n">
        <f aca="false">IF(BC$5&gt;=FC_SUPUESTOS!$F$208,FC_SUPUESTOS!$E$208,0)</f>
        <v>2900</v>
      </c>
      <c r="BD112" s="498" t="n">
        <f aca="false">IF(BD$5&gt;=FC_SUPUESTOS!$F$208,FC_SUPUESTOS!$E$208,0)</f>
        <v>2900</v>
      </c>
      <c r="BE112" s="498" t="n">
        <f aca="false">IF(BE$5&gt;=FC_SUPUESTOS!$F$208,FC_SUPUESTOS!$E$208,0)</f>
        <v>2900</v>
      </c>
      <c r="BF112" s="498" t="n">
        <f aca="false">IF(BF$5&gt;=FC_SUPUESTOS!$F$208,FC_SUPUESTOS!$E$208,0)</f>
        <v>2900</v>
      </c>
      <c r="BG112" s="498" t="n">
        <f aca="false">IF(BG$5&gt;=FC_SUPUESTOS!$F$208,FC_SUPUESTOS!$E$208,0)</f>
        <v>2900</v>
      </c>
      <c r="BH112" s="498" t="n">
        <f aca="false">IF(BH$5&gt;=FC_SUPUESTOS!$F$208,FC_SUPUESTOS!$E$208,0)</f>
        <v>2900</v>
      </c>
      <c r="BI112" s="498" t="n">
        <f aca="false">IF(BI$5&gt;=FC_SUPUESTOS!$F$208,FC_SUPUESTOS!$E$208,0)</f>
        <v>2900</v>
      </c>
      <c r="BJ112" s="498" t="n">
        <f aca="false">IF(BJ$5&gt;=FC_SUPUESTOS!$F$208,FC_SUPUESTOS!$E$208,0)</f>
        <v>2900</v>
      </c>
      <c r="BK112" s="498" t="n">
        <f aca="false">IF(BK$5&gt;=FC_SUPUESTOS!$F$208,FC_SUPUESTOS!$E$208,0)</f>
        <v>2900</v>
      </c>
    </row>
    <row r="113" customFormat="false" ht="15" hidden="false" customHeight="true" outlineLevel="0" collapsed="false">
      <c r="B113" s="283" t="s">
        <v>3006</v>
      </c>
      <c r="D113" s="498" t="n">
        <f aca="false">IF(AND(D$5&gt;=FC_SUPUESTOS!$F$209,FC_CRONOGRAMA!D22+FC_CRONOGRAMA!D44&gt;FC_SUPUESTOS!$C$211),FC_SUPUESTOS!$E$209,0)</f>
        <v>0</v>
      </c>
      <c r="E113" s="498" t="n">
        <f aca="false">IF(AND(E$5&gt;=FC_SUPUESTOS!$F$209,FC_CRONOGRAMA!E22+FC_CRONOGRAMA!E44&gt;FC_SUPUESTOS!$C$211),FC_SUPUESTOS!$E$209,0)</f>
        <v>0</v>
      </c>
      <c r="F113" s="498" t="n">
        <f aca="false">IF(AND(F$5&gt;=FC_SUPUESTOS!$F$209,FC_CRONOGRAMA!F22+FC_CRONOGRAMA!F44&gt;FC_SUPUESTOS!$C$211),FC_SUPUESTOS!$E$209,0)</f>
        <v>0</v>
      </c>
      <c r="G113" s="498" t="n">
        <f aca="false">IF(AND(G$5&gt;=FC_SUPUESTOS!$F$209,FC_CRONOGRAMA!G22+FC_CRONOGRAMA!G44&gt;FC_SUPUESTOS!$C$211),FC_SUPUESTOS!$E$209,0)</f>
        <v>0</v>
      </c>
      <c r="H113" s="498" t="n">
        <f aca="false">IF(AND(H$5&gt;=FC_SUPUESTOS!$F$209,FC_CRONOGRAMA!H22+FC_CRONOGRAMA!H44&gt;FC_SUPUESTOS!$C$211),FC_SUPUESTOS!$E$209,0)</f>
        <v>0</v>
      </c>
      <c r="I113" s="498" t="n">
        <f aca="false">IF(AND(I$5&gt;=FC_SUPUESTOS!$F$209,FC_CRONOGRAMA!I22+FC_CRONOGRAMA!I44&gt;FC_SUPUESTOS!$C$211),FC_SUPUESTOS!$E$209,0)</f>
        <v>0</v>
      </c>
      <c r="J113" s="498" t="n">
        <f aca="false">IF(AND(J$5&gt;=FC_SUPUESTOS!$F$209,FC_CRONOGRAMA!J22+FC_CRONOGRAMA!J44&gt;FC_SUPUESTOS!$C$211),FC_SUPUESTOS!$E$209,0)</f>
        <v>0</v>
      </c>
      <c r="K113" s="498" t="n">
        <f aca="false">IF(AND(K$5&gt;=FC_SUPUESTOS!$F$209,FC_CRONOGRAMA!K22+FC_CRONOGRAMA!K44&gt;FC_SUPUESTOS!$C$211),FC_SUPUESTOS!$E$209,0)</f>
        <v>0</v>
      </c>
      <c r="L113" s="498" t="n">
        <f aca="false">IF(AND(L$5&gt;=FC_SUPUESTOS!$F$209,FC_CRONOGRAMA!L22+FC_CRONOGRAMA!L44&gt;FC_SUPUESTOS!$C$211),FC_SUPUESTOS!$E$209,0)</f>
        <v>0</v>
      </c>
      <c r="M113" s="498" t="n">
        <f aca="false">IF(AND(M$5&gt;=FC_SUPUESTOS!$F$209,FC_CRONOGRAMA!M22+FC_CRONOGRAMA!M44&gt;FC_SUPUESTOS!$C$211),FC_SUPUESTOS!$E$209,0)</f>
        <v>0</v>
      </c>
      <c r="N113" s="498" t="n">
        <f aca="false">IF(AND(N$5&gt;=FC_SUPUESTOS!$F$209,FC_CRONOGRAMA!N22+FC_CRONOGRAMA!N44&gt;FC_SUPUESTOS!$C$211),FC_SUPUESTOS!$E$209,0)</f>
        <v>0</v>
      </c>
      <c r="O113" s="498" t="n">
        <f aca="false">IF(AND(O$5&gt;=FC_SUPUESTOS!$F$209,FC_CRONOGRAMA!O22+FC_CRONOGRAMA!O44&gt;FC_SUPUESTOS!$C$211),FC_SUPUESTOS!$E$209,0)</f>
        <v>0</v>
      </c>
      <c r="P113" s="498" t="n">
        <f aca="false">IF(AND(P$5&gt;=FC_SUPUESTOS!$F$209,FC_CRONOGRAMA!P22+FC_CRONOGRAMA!P44&gt;FC_SUPUESTOS!$C$211),FC_SUPUESTOS!$E$209,0)</f>
        <v>0</v>
      </c>
      <c r="Q113" s="498" t="n">
        <f aca="false">IF(AND(Q$5&gt;=FC_SUPUESTOS!$F$209,FC_CRONOGRAMA!Q22+FC_CRONOGRAMA!Q44&gt;FC_SUPUESTOS!$C$211),FC_SUPUESTOS!$E$209,0)</f>
        <v>0</v>
      </c>
      <c r="R113" s="498" t="n">
        <f aca="false">IF(AND(R$5&gt;=FC_SUPUESTOS!$F$209,FC_CRONOGRAMA!R22+FC_CRONOGRAMA!R44&gt;FC_SUPUESTOS!$C$211),FC_SUPUESTOS!$E$209,0)</f>
        <v>0</v>
      </c>
      <c r="S113" s="498" t="n">
        <f aca="false">IF(AND(S$5&gt;=FC_SUPUESTOS!$F$209,FC_CRONOGRAMA!S22+FC_CRONOGRAMA!S44&gt;FC_SUPUESTOS!$C$211),FC_SUPUESTOS!$E$209,0)</f>
        <v>0</v>
      </c>
      <c r="T113" s="498" t="n">
        <f aca="false">IF(AND(T$5&gt;=FC_SUPUESTOS!$F$209,FC_CRONOGRAMA!T22+FC_CRONOGRAMA!T44&gt;FC_SUPUESTOS!$C$211),FC_SUPUESTOS!$E$209,0)</f>
        <v>0</v>
      </c>
      <c r="U113" s="498" t="n">
        <f aca="false">IF(AND(U$5&gt;=FC_SUPUESTOS!$F$209,FC_CRONOGRAMA!U22+FC_CRONOGRAMA!U44&gt;FC_SUPUESTOS!$C$211),FC_SUPUESTOS!$E$209,0)</f>
        <v>0</v>
      </c>
      <c r="V113" s="498" t="n">
        <f aca="false">IF(AND(V$5&gt;=FC_SUPUESTOS!$F$209,FC_CRONOGRAMA!V22+FC_CRONOGRAMA!V44&gt;FC_SUPUESTOS!$C$211),FC_SUPUESTOS!$E$209,0)</f>
        <v>0</v>
      </c>
      <c r="W113" s="498" t="n">
        <f aca="false">IF(AND(W$5&gt;=FC_SUPUESTOS!$F$209,FC_CRONOGRAMA!W22+FC_CRONOGRAMA!W44&gt;FC_SUPUESTOS!$C$211),FC_SUPUESTOS!$E$209,0)</f>
        <v>0</v>
      </c>
      <c r="X113" s="498" t="n">
        <f aca="false">IF(AND(X$5&gt;=FC_SUPUESTOS!$F$209,FC_CRONOGRAMA!X22+FC_CRONOGRAMA!X44&gt;FC_SUPUESTOS!$C$211),FC_SUPUESTOS!$E$209,0)</f>
        <v>0</v>
      </c>
      <c r="Y113" s="498" t="n">
        <f aca="false">IF(AND(Y$5&gt;=FC_SUPUESTOS!$F$209,FC_CRONOGRAMA!Y22+FC_CRONOGRAMA!Y44&gt;FC_SUPUESTOS!$C$211),FC_SUPUESTOS!$E$209,0)</f>
        <v>0</v>
      </c>
      <c r="Z113" s="498" t="n">
        <f aca="false">IF(AND(Z$5&gt;=FC_SUPUESTOS!$F$209,FC_CRONOGRAMA!Z22+FC_CRONOGRAMA!Z44&gt;FC_SUPUESTOS!$C$211),FC_SUPUESTOS!$E$209,0)</f>
        <v>0</v>
      </c>
      <c r="AA113" s="498" t="n">
        <f aca="false">IF(AND(AA$5&gt;=FC_SUPUESTOS!$F$209,FC_CRONOGRAMA!AA22+FC_CRONOGRAMA!AA44&gt;FC_SUPUESTOS!$C$211),FC_SUPUESTOS!$E$209,0)</f>
        <v>0</v>
      </c>
      <c r="AB113" s="498" t="n">
        <f aca="false">IF(AND(AB$5&gt;=FC_SUPUESTOS!$F$209,FC_CRONOGRAMA!AB22+FC_CRONOGRAMA!AB44&gt;FC_SUPUESTOS!$C$211),FC_SUPUESTOS!$E$209,0)</f>
        <v>0</v>
      </c>
      <c r="AC113" s="498" t="n">
        <f aca="false">IF(AND(AC$5&gt;=FC_SUPUESTOS!$F$209,FC_CRONOGRAMA!AC22+FC_CRONOGRAMA!AC44&gt;FC_SUPUESTOS!$C$211),FC_SUPUESTOS!$E$209,0)</f>
        <v>0</v>
      </c>
      <c r="AD113" s="498" t="n">
        <f aca="false">IF(AND(AD$5&gt;=FC_SUPUESTOS!$F$209,FC_CRONOGRAMA!AD22+FC_CRONOGRAMA!AD44&gt;FC_SUPUESTOS!$C$211),FC_SUPUESTOS!$E$209,0)</f>
        <v>0</v>
      </c>
      <c r="AE113" s="498" t="n">
        <f aca="false">IF(AND(AE$5&gt;=FC_SUPUESTOS!$F$209,FC_CRONOGRAMA!AE22+FC_CRONOGRAMA!AE44&gt;FC_SUPUESTOS!$C$211),FC_SUPUESTOS!$E$209,0)</f>
        <v>0</v>
      </c>
      <c r="AF113" s="498" t="n">
        <f aca="false">IF(AND(AF$5&gt;=FC_SUPUESTOS!$F$209,FC_CRONOGRAMA!AF22+FC_CRONOGRAMA!AF44&gt;FC_SUPUESTOS!$C$211),FC_SUPUESTOS!$E$209,0)</f>
        <v>0</v>
      </c>
      <c r="AG113" s="498" t="n">
        <f aca="false">IF(AND(AG$5&gt;=FC_SUPUESTOS!$F$209,FC_CRONOGRAMA!AG22+FC_CRONOGRAMA!AG44&gt;FC_SUPUESTOS!$C$211),FC_SUPUESTOS!$E$209,0)</f>
        <v>0</v>
      </c>
      <c r="AH113" s="498" t="n">
        <f aca="false">IF(AND(AH$5&gt;=FC_SUPUESTOS!$F$209,FC_CRONOGRAMA!AH22+FC_CRONOGRAMA!AH44&gt;FC_SUPUESTOS!$C$211),FC_SUPUESTOS!$E$209,0)</f>
        <v>0</v>
      </c>
      <c r="AI113" s="498" t="n">
        <f aca="false">IF(AND(AI$5&gt;=FC_SUPUESTOS!$F$209,FC_CRONOGRAMA!AI22+FC_CRONOGRAMA!AI44&gt;FC_SUPUESTOS!$C$211),FC_SUPUESTOS!$E$209,0)</f>
        <v>0</v>
      </c>
      <c r="AJ113" s="498" t="n">
        <f aca="false">IF(AND(AJ$5&gt;=FC_SUPUESTOS!$F$209,FC_CRONOGRAMA!AJ22+FC_CRONOGRAMA!AJ44&gt;FC_SUPUESTOS!$C$211),FC_SUPUESTOS!$E$209,0)</f>
        <v>0</v>
      </c>
      <c r="AK113" s="498" t="n">
        <f aca="false">IF(AND(AK$5&gt;=FC_SUPUESTOS!$F$209,FC_CRONOGRAMA!AK22+FC_CRONOGRAMA!AK44&gt;FC_SUPUESTOS!$C$211),FC_SUPUESTOS!$E$209,0)</f>
        <v>0</v>
      </c>
      <c r="AL113" s="498" t="n">
        <f aca="false">IF(AND(AL$5&gt;=FC_SUPUESTOS!$F$209,FC_CRONOGRAMA!AL22+FC_CRONOGRAMA!AL44&gt;FC_SUPUESTOS!$C$211),FC_SUPUESTOS!$E$209,0)</f>
        <v>0</v>
      </c>
      <c r="AM113" s="498" t="n">
        <f aca="false">IF(AND(AM$5&gt;=FC_SUPUESTOS!$F$209,FC_CRONOGRAMA!AM22+FC_CRONOGRAMA!AM44&gt;FC_SUPUESTOS!$C$211),FC_SUPUESTOS!$E$209,0)</f>
        <v>0</v>
      </c>
      <c r="AN113" s="498" t="n">
        <f aca="false">IF(AND(AN$5&gt;=FC_SUPUESTOS!$F$209,FC_CRONOGRAMA!AN22+FC_CRONOGRAMA!AN44&gt;FC_SUPUESTOS!$C$211),FC_SUPUESTOS!$E$209,0)</f>
        <v>0</v>
      </c>
      <c r="AO113" s="498" t="n">
        <f aca="false">IF(AND(AO$5&gt;=FC_SUPUESTOS!$F$209,FC_CRONOGRAMA!AO22+FC_CRONOGRAMA!AO44&gt;FC_SUPUESTOS!$C$211),FC_SUPUESTOS!$E$209,0)</f>
        <v>0</v>
      </c>
      <c r="AP113" s="498" t="n">
        <f aca="false">IF(AND(AP$5&gt;=FC_SUPUESTOS!$F$209,FC_CRONOGRAMA!AP22+FC_CRONOGRAMA!AP44&gt;FC_SUPUESTOS!$C$211),FC_SUPUESTOS!$E$209,0)</f>
        <v>0</v>
      </c>
      <c r="AQ113" s="498" t="n">
        <f aca="false">IF(AND(AQ$5&gt;=FC_SUPUESTOS!$F$209,FC_CRONOGRAMA!AQ22+FC_CRONOGRAMA!AQ44&gt;FC_SUPUESTOS!$C$211),FC_SUPUESTOS!$E$209,0)</f>
        <v>0</v>
      </c>
      <c r="AR113" s="498" t="n">
        <f aca="false">IF(AND(AR$5&gt;=FC_SUPUESTOS!$F$209,FC_CRONOGRAMA!AR22+FC_CRONOGRAMA!AR44&gt;FC_SUPUESTOS!$C$211),FC_SUPUESTOS!$E$209,0)</f>
        <v>0</v>
      </c>
      <c r="AS113" s="498" t="n">
        <f aca="false">IF(AND(AS$5&gt;=FC_SUPUESTOS!$F$209,FC_CRONOGRAMA!AS22+FC_CRONOGRAMA!AS44&gt;FC_SUPUESTOS!$C$211),FC_SUPUESTOS!$E$209,0)</f>
        <v>0</v>
      </c>
      <c r="AT113" s="498" t="n">
        <f aca="false">IF(AND(AT$5&gt;=FC_SUPUESTOS!$F$209,FC_CRONOGRAMA!AT22+FC_CRONOGRAMA!AT44&gt;FC_SUPUESTOS!$C$211),FC_SUPUESTOS!$E$209,0)</f>
        <v>0</v>
      </c>
      <c r="AU113" s="498" t="n">
        <f aca="false">IF(AND(AU$5&gt;=FC_SUPUESTOS!$F$209,FC_CRONOGRAMA!AU22+FC_CRONOGRAMA!AU44&gt;FC_SUPUESTOS!$C$211),FC_SUPUESTOS!$E$209,0)</f>
        <v>0</v>
      </c>
      <c r="AV113" s="498" t="n">
        <f aca="false">IF(AND(AV$5&gt;=FC_SUPUESTOS!$F$209,FC_CRONOGRAMA!AV22+FC_CRONOGRAMA!AV44&gt;FC_SUPUESTOS!$C$211),FC_SUPUESTOS!$E$209,0)</f>
        <v>0</v>
      </c>
      <c r="AW113" s="498" t="n">
        <f aca="false">IF(AND(AW$5&gt;=FC_SUPUESTOS!$F$209,FC_CRONOGRAMA!AW22+FC_CRONOGRAMA!AW44&gt;FC_SUPUESTOS!$C$211),FC_SUPUESTOS!$E$209,0)</f>
        <v>0</v>
      </c>
      <c r="AX113" s="498" t="n">
        <f aca="false">IF(AND(AX$5&gt;=FC_SUPUESTOS!$F$209,FC_CRONOGRAMA!AX22+FC_CRONOGRAMA!AX44&gt;FC_SUPUESTOS!$C$211),FC_SUPUESTOS!$E$209,0)</f>
        <v>0</v>
      </c>
      <c r="AY113" s="498" t="n">
        <f aca="false">IF(AND(AY$5&gt;=FC_SUPUESTOS!$F$209,FC_CRONOGRAMA!AY22+FC_CRONOGRAMA!AY44&gt;FC_SUPUESTOS!$C$211),FC_SUPUESTOS!$E$209,0)</f>
        <v>0</v>
      </c>
      <c r="AZ113" s="498" t="n">
        <f aca="false">IF(AND(AZ$5&gt;=FC_SUPUESTOS!$F$209,FC_CRONOGRAMA!AZ22+FC_CRONOGRAMA!AZ44&gt;FC_SUPUESTOS!$C$211),FC_SUPUESTOS!$E$209,0)</f>
        <v>0</v>
      </c>
      <c r="BA113" s="498" t="n">
        <f aca="false">IF(AND(BA$5&gt;=FC_SUPUESTOS!$F$209,FC_CRONOGRAMA!BA22+FC_CRONOGRAMA!BA44&gt;FC_SUPUESTOS!$C$211),FC_SUPUESTOS!$E$209,0)</f>
        <v>0</v>
      </c>
      <c r="BB113" s="498" t="n">
        <f aca="false">IF(AND(BB$5&gt;=FC_SUPUESTOS!$F$209,FC_CRONOGRAMA!BB22+FC_CRONOGRAMA!BB44&gt;FC_SUPUESTOS!$C$211),FC_SUPUESTOS!$E$209,0)</f>
        <v>0</v>
      </c>
      <c r="BC113" s="498" t="n">
        <f aca="false">IF(AND(BC$5&gt;=FC_SUPUESTOS!$F$209,FC_CRONOGRAMA!BC22+FC_CRONOGRAMA!BC44&gt;FC_SUPUESTOS!$C$211),FC_SUPUESTOS!$E$209,0)</f>
        <v>0</v>
      </c>
      <c r="BD113" s="498" t="n">
        <f aca="false">IF(AND(BD$5&gt;=FC_SUPUESTOS!$F$209,FC_CRONOGRAMA!BD22+FC_CRONOGRAMA!BD44&gt;FC_SUPUESTOS!$C$211),FC_SUPUESTOS!$E$209,0)</f>
        <v>0</v>
      </c>
      <c r="BE113" s="498" t="n">
        <f aca="false">IF(AND(BE$5&gt;=FC_SUPUESTOS!$F$209,FC_CRONOGRAMA!BE22+FC_CRONOGRAMA!BE44&gt;FC_SUPUESTOS!$C$211),FC_SUPUESTOS!$E$209,0)</f>
        <v>0</v>
      </c>
      <c r="BF113" s="498" t="n">
        <f aca="false">IF(AND(BF$5&gt;=FC_SUPUESTOS!$F$209,FC_CRONOGRAMA!BF22+FC_CRONOGRAMA!BF44&gt;FC_SUPUESTOS!$C$211),FC_SUPUESTOS!$E$209,0)</f>
        <v>0</v>
      </c>
      <c r="BG113" s="498" t="n">
        <f aca="false">IF(AND(BG$5&gt;=FC_SUPUESTOS!$F$209,FC_CRONOGRAMA!BG22+FC_CRONOGRAMA!BG44&gt;FC_SUPUESTOS!$C$211),FC_SUPUESTOS!$E$209,0)</f>
        <v>0</v>
      </c>
      <c r="BH113" s="498" t="n">
        <f aca="false">IF(AND(BH$5&gt;=FC_SUPUESTOS!$F$209,FC_CRONOGRAMA!BH22+FC_CRONOGRAMA!BH44&gt;FC_SUPUESTOS!$C$211),FC_SUPUESTOS!$E$209,0)</f>
        <v>0</v>
      </c>
      <c r="BI113" s="498" t="n">
        <f aca="false">IF(AND(BI$5&gt;=FC_SUPUESTOS!$F$209,FC_CRONOGRAMA!BI22+FC_CRONOGRAMA!BI44&gt;FC_SUPUESTOS!$C$211),FC_SUPUESTOS!$E$209,0)</f>
        <v>0</v>
      </c>
      <c r="BJ113" s="498" t="n">
        <f aca="false">IF(AND(BJ$5&gt;=FC_SUPUESTOS!$F$209,FC_CRONOGRAMA!BJ22+FC_CRONOGRAMA!BJ44&gt;FC_SUPUESTOS!$C$211),FC_SUPUESTOS!$E$209,0)</f>
        <v>0</v>
      </c>
      <c r="BK113" s="498" t="n">
        <f aca="false">IF(AND(BK$5&gt;=FC_SUPUESTOS!$F$209,FC_CRONOGRAMA!BK22+FC_CRONOGRAMA!BK44&gt;FC_SUPUESTOS!$C$211),FC_SUPUESTOS!$E$209,0)</f>
        <v>0</v>
      </c>
    </row>
    <row r="114" customFormat="false" ht="15" hidden="false" customHeight="true" outlineLevel="0" collapsed="false">
      <c r="B114" s="283" t="s">
        <v>3007</v>
      </c>
      <c r="D114" s="498" t="n">
        <f aca="false">D26*(SUP_OVERHEAD!$C$15*(1+SUP_OVERHEAD!$C$11)+SUP_OVERHEAD!$C$19)</f>
        <v>0</v>
      </c>
      <c r="E114" s="498" t="n">
        <f aca="false">E26*(SUP_OVERHEAD!$C$15*(1+SUP_OVERHEAD!$C$11)+SUP_OVERHEAD!$C$19)</f>
        <v>0</v>
      </c>
      <c r="F114" s="498" t="n">
        <f aca="false">F26*(SUP_OVERHEAD!$C$15*(1+SUP_OVERHEAD!$C$11)+SUP_OVERHEAD!$C$19)</f>
        <v>0</v>
      </c>
      <c r="G114" s="498" t="n">
        <f aca="false">G26*(SUP_OVERHEAD!$C$15*(1+SUP_OVERHEAD!$C$11)+SUP_OVERHEAD!$C$19)</f>
        <v>0</v>
      </c>
      <c r="H114" s="498" t="n">
        <f aca="false">H26*(SUP_OVERHEAD!$C$15*(1+SUP_OVERHEAD!$C$11)+SUP_OVERHEAD!$C$19)</f>
        <v>0</v>
      </c>
      <c r="I114" s="498" t="n">
        <f aca="false">I26*(SUP_OVERHEAD!$C$15*(1+SUP_OVERHEAD!$C$11)+SUP_OVERHEAD!$C$19)</f>
        <v>0</v>
      </c>
      <c r="J114" s="498" t="n">
        <f aca="false">J26*(SUP_OVERHEAD!$C$15*(1+SUP_OVERHEAD!$C$11)+SUP_OVERHEAD!$C$19)</f>
        <v>0</v>
      </c>
      <c r="K114" s="498" t="n">
        <f aca="false">K26*(SUP_OVERHEAD!$C$15*(1+SUP_OVERHEAD!$C$11)+SUP_OVERHEAD!$C$19)</f>
        <v>0</v>
      </c>
      <c r="L114" s="498" t="n">
        <f aca="false">L26*(SUP_OVERHEAD!$C$15*(1+SUP_OVERHEAD!$C$11)+SUP_OVERHEAD!$C$19)</f>
        <v>0</v>
      </c>
      <c r="M114" s="498" t="n">
        <f aca="false">M26*(SUP_OVERHEAD!$C$15*(1+SUP_OVERHEAD!$C$11)+SUP_OVERHEAD!$C$19)</f>
        <v>0</v>
      </c>
      <c r="N114" s="498" t="n">
        <f aca="false">N26*(SUP_OVERHEAD!$C$15*(1+SUP_OVERHEAD!$C$11)+SUP_OVERHEAD!$C$19)</f>
        <v>0</v>
      </c>
      <c r="O114" s="498" t="n">
        <f aca="false">O26*(SUP_OVERHEAD!$C$15*(1+SUP_OVERHEAD!$C$11)+SUP_OVERHEAD!$C$19)</f>
        <v>0</v>
      </c>
      <c r="P114" s="498" t="n">
        <f aca="false">P26*(SUP_OVERHEAD!$C$15*(1+SUP_OVERHEAD!$C$11)+SUP_OVERHEAD!$C$19)</f>
        <v>0</v>
      </c>
      <c r="Q114" s="498" t="n">
        <f aca="false">Q26*(SUP_OVERHEAD!$C$15*(1+SUP_OVERHEAD!$C$11)+SUP_OVERHEAD!$C$19)</f>
        <v>0</v>
      </c>
      <c r="R114" s="498" t="n">
        <f aca="false">R26*(SUP_OVERHEAD!$C$15*(1+SUP_OVERHEAD!$C$11)+SUP_OVERHEAD!$C$19)</f>
        <v>0</v>
      </c>
      <c r="S114" s="498" t="n">
        <f aca="false">S26*(SUP_OVERHEAD!$C$15*(1+SUP_OVERHEAD!$C$11)+SUP_OVERHEAD!$C$19)</f>
        <v>0</v>
      </c>
      <c r="T114" s="498" t="n">
        <f aca="false">T26*(SUP_OVERHEAD!$C$15*(1+SUP_OVERHEAD!$C$11)+SUP_OVERHEAD!$C$19)</f>
        <v>0</v>
      </c>
      <c r="U114" s="498" t="n">
        <f aca="false">U26*(SUP_OVERHEAD!$C$15*(1+SUP_OVERHEAD!$C$11)+SUP_OVERHEAD!$C$19)</f>
        <v>0</v>
      </c>
      <c r="V114" s="498" t="n">
        <f aca="false">V26*(SUP_OVERHEAD!$C$15*(1+SUP_OVERHEAD!$C$11)+SUP_OVERHEAD!$C$19)</f>
        <v>0</v>
      </c>
      <c r="W114" s="498" t="n">
        <f aca="false">W26*(SUP_OVERHEAD!$C$15*(1+SUP_OVERHEAD!$C$11)+SUP_OVERHEAD!$C$19)</f>
        <v>0</v>
      </c>
      <c r="X114" s="498" t="n">
        <f aca="false">X26*(SUP_OVERHEAD!$C$15*(1+SUP_OVERHEAD!$C$11)+SUP_OVERHEAD!$C$19)</f>
        <v>0</v>
      </c>
      <c r="Y114" s="498" t="n">
        <f aca="false">Y26*(SUP_OVERHEAD!$C$15*(1+SUP_OVERHEAD!$C$11)+SUP_OVERHEAD!$C$19)</f>
        <v>0</v>
      </c>
      <c r="Z114" s="498" t="n">
        <f aca="false">Z26*(SUP_OVERHEAD!$C$15*(1+SUP_OVERHEAD!$C$11)+SUP_OVERHEAD!$C$19)</f>
        <v>0</v>
      </c>
      <c r="AA114" s="498" t="n">
        <f aca="false">AA26*(SUP_OVERHEAD!$C$15*(1+SUP_OVERHEAD!$C$11)+SUP_OVERHEAD!$C$19)</f>
        <v>0</v>
      </c>
      <c r="AB114" s="498" t="n">
        <f aca="false">AB26*(SUP_OVERHEAD!$C$15*(1+SUP_OVERHEAD!$C$11)+SUP_OVERHEAD!$C$19)</f>
        <v>0</v>
      </c>
      <c r="AC114" s="498" t="n">
        <f aca="false">AC26*(SUP_OVERHEAD!$C$15*(1+SUP_OVERHEAD!$C$11)+SUP_OVERHEAD!$C$19)</f>
        <v>0</v>
      </c>
      <c r="AD114" s="498" t="n">
        <f aca="false">AD26*(SUP_OVERHEAD!$C$15*(1+SUP_OVERHEAD!$C$11)+SUP_OVERHEAD!$C$19)</f>
        <v>0</v>
      </c>
      <c r="AE114" s="498" t="n">
        <f aca="false">AE26*(SUP_OVERHEAD!$C$15*(1+SUP_OVERHEAD!$C$11)+SUP_OVERHEAD!$C$19)</f>
        <v>0</v>
      </c>
      <c r="AF114" s="498" t="n">
        <f aca="false">AF26*(SUP_OVERHEAD!$C$15*(1+SUP_OVERHEAD!$C$11)+SUP_OVERHEAD!$C$19)</f>
        <v>0</v>
      </c>
      <c r="AG114" s="498" t="n">
        <f aca="false">AG26*(SUP_OVERHEAD!$C$15*(1+SUP_OVERHEAD!$C$11)+SUP_OVERHEAD!$C$19)</f>
        <v>0</v>
      </c>
      <c r="AH114" s="498" t="n">
        <f aca="false">AH26*(SUP_OVERHEAD!$C$15*(1+SUP_OVERHEAD!$C$11)+SUP_OVERHEAD!$C$19)</f>
        <v>0</v>
      </c>
      <c r="AI114" s="498" t="n">
        <f aca="false">AI26*(SUP_OVERHEAD!$C$15*(1+SUP_OVERHEAD!$C$11)+SUP_OVERHEAD!$C$19)</f>
        <v>0</v>
      </c>
      <c r="AJ114" s="498" t="n">
        <f aca="false">AJ26*(SUP_OVERHEAD!$C$15*(1+SUP_OVERHEAD!$C$11)+SUP_OVERHEAD!$C$19)</f>
        <v>0</v>
      </c>
      <c r="AK114" s="498" t="n">
        <f aca="false">AK26*(SUP_OVERHEAD!$C$15*(1+SUP_OVERHEAD!$C$11)+SUP_OVERHEAD!$C$19)</f>
        <v>0</v>
      </c>
      <c r="AL114" s="498" t="n">
        <f aca="false">AL26*(SUP_OVERHEAD!$C$15*(1+SUP_OVERHEAD!$C$11)+SUP_OVERHEAD!$C$19)</f>
        <v>0</v>
      </c>
      <c r="AM114" s="498" t="n">
        <f aca="false">AM26*(SUP_OVERHEAD!$C$15*(1+SUP_OVERHEAD!$C$11)+SUP_OVERHEAD!$C$19)</f>
        <v>0</v>
      </c>
      <c r="AN114" s="498" t="n">
        <f aca="false">AN26*(SUP_OVERHEAD!$C$15*(1+SUP_OVERHEAD!$C$11)+SUP_OVERHEAD!$C$19)</f>
        <v>0</v>
      </c>
      <c r="AO114" s="498" t="n">
        <f aca="false">AO26*(SUP_OVERHEAD!$C$15*(1+SUP_OVERHEAD!$C$11)+SUP_OVERHEAD!$C$19)</f>
        <v>0</v>
      </c>
      <c r="AP114" s="498" t="n">
        <f aca="false">AP26*(SUP_OVERHEAD!$C$15*(1+SUP_OVERHEAD!$C$11)+SUP_OVERHEAD!$C$19)</f>
        <v>0</v>
      </c>
      <c r="AQ114" s="498" t="n">
        <f aca="false">AQ26*(SUP_OVERHEAD!$C$15*(1+SUP_OVERHEAD!$C$11)+SUP_OVERHEAD!$C$19)</f>
        <v>0</v>
      </c>
      <c r="AR114" s="498" t="n">
        <f aca="false">AR26*(SUP_OVERHEAD!$C$15*(1+SUP_OVERHEAD!$C$11)+SUP_OVERHEAD!$C$19)</f>
        <v>0</v>
      </c>
      <c r="AS114" s="498" t="n">
        <f aca="false">AS26*(SUP_OVERHEAD!$C$15*(1+SUP_OVERHEAD!$C$11)+SUP_OVERHEAD!$C$19)</f>
        <v>0</v>
      </c>
      <c r="AT114" s="498" t="n">
        <f aca="false">AT26*(SUP_OVERHEAD!$C$15*(1+SUP_OVERHEAD!$C$11)+SUP_OVERHEAD!$C$19)</f>
        <v>0</v>
      </c>
      <c r="AU114" s="498" t="n">
        <f aca="false">AU26*(SUP_OVERHEAD!$C$15*(1+SUP_OVERHEAD!$C$11)+SUP_OVERHEAD!$C$19)</f>
        <v>0</v>
      </c>
      <c r="AV114" s="498" t="n">
        <f aca="false">AV26*(SUP_OVERHEAD!$C$15*(1+SUP_OVERHEAD!$C$11)+SUP_OVERHEAD!$C$19)</f>
        <v>0</v>
      </c>
      <c r="AW114" s="498" t="n">
        <f aca="false">AW26*(SUP_OVERHEAD!$C$15*(1+SUP_OVERHEAD!$C$11)+SUP_OVERHEAD!$C$19)</f>
        <v>0</v>
      </c>
      <c r="AX114" s="498" t="n">
        <f aca="false">AX26*(SUP_OVERHEAD!$C$15*(1+SUP_OVERHEAD!$C$11)+SUP_OVERHEAD!$C$19)</f>
        <v>0</v>
      </c>
      <c r="AY114" s="498" t="n">
        <f aca="false">AY26*(SUP_OVERHEAD!$C$15*(1+SUP_OVERHEAD!$C$11)+SUP_OVERHEAD!$C$19)</f>
        <v>0</v>
      </c>
      <c r="AZ114" s="498" t="n">
        <f aca="false">AZ26*(SUP_OVERHEAD!$C$15*(1+SUP_OVERHEAD!$C$11)+SUP_OVERHEAD!$C$19)</f>
        <v>0</v>
      </c>
      <c r="BA114" s="498" t="n">
        <f aca="false">BA26*(SUP_OVERHEAD!$C$15*(1+SUP_OVERHEAD!$C$11)+SUP_OVERHEAD!$C$19)</f>
        <v>0</v>
      </c>
      <c r="BB114" s="498" t="n">
        <f aca="false">BB26*(SUP_OVERHEAD!$C$15*(1+SUP_OVERHEAD!$C$11)+SUP_OVERHEAD!$C$19)</f>
        <v>0</v>
      </c>
      <c r="BC114" s="498" t="n">
        <f aca="false">BC26*(SUP_OVERHEAD!$C$15*(1+SUP_OVERHEAD!$C$11)+SUP_OVERHEAD!$C$19)</f>
        <v>0</v>
      </c>
      <c r="BD114" s="498" t="n">
        <f aca="false">BD26*(SUP_OVERHEAD!$C$15*(1+SUP_OVERHEAD!$C$11)+SUP_OVERHEAD!$C$19)</f>
        <v>0</v>
      </c>
      <c r="BE114" s="498" t="n">
        <f aca="false">BE26*(SUP_OVERHEAD!$C$15*(1+SUP_OVERHEAD!$C$11)+SUP_OVERHEAD!$C$19)</f>
        <v>0</v>
      </c>
      <c r="BF114" s="498" t="n">
        <f aca="false">BF26*(SUP_OVERHEAD!$C$15*(1+SUP_OVERHEAD!$C$11)+SUP_OVERHEAD!$C$19)</f>
        <v>0</v>
      </c>
      <c r="BG114" s="498" t="n">
        <f aca="false">BG26*(SUP_OVERHEAD!$C$15*(1+SUP_OVERHEAD!$C$11)+SUP_OVERHEAD!$C$19)</f>
        <v>0</v>
      </c>
      <c r="BH114" s="498" t="n">
        <f aca="false">BH26*(SUP_OVERHEAD!$C$15*(1+SUP_OVERHEAD!$C$11)+SUP_OVERHEAD!$C$19)</f>
        <v>0</v>
      </c>
      <c r="BI114" s="498" t="n">
        <f aca="false">BI26*(SUP_OVERHEAD!$C$15*(1+SUP_OVERHEAD!$C$11)+SUP_OVERHEAD!$C$19)</f>
        <v>0</v>
      </c>
      <c r="BJ114" s="498" t="n">
        <f aca="false">BJ26*(SUP_OVERHEAD!$C$15*(1+SUP_OVERHEAD!$C$11)+SUP_OVERHEAD!$C$19)</f>
        <v>0</v>
      </c>
      <c r="BK114" s="498" t="n">
        <f aca="false">BK26*(SUP_OVERHEAD!$C$15*(1+SUP_OVERHEAD!$C$11)+SUP_OVERHEAD!$C$19)</f>
        <v>0</v>
      </c>
    </row>
    <row r="115" customFormat="false" ht="15" hidden="false" customHeight="true" outlineLevel="0" collapsed="false">
      <c r="B115" s="283" t="s">
        <v>3008</v>
      </c>
      <c r="D115" s="498" t="n">
        <f aca="false">IF(D$5&gt;=FC_SUPUESTOS!$C$212,SUP_OVERHEAD!$C$25,0)</f>
        <v>0</v>
      </c>
      <c r="E115" s="498" t="n">
        <f aca="false">IF(E$5&gt;=FC_SUPUESTOS!$C$212,SUP_OVERHEAD!$C$25,0)</f>
        <v>675</v>
      </c>
      <c r="F115" s="498" t="n">
        <f aca="false">IF(F$5&gt;=FC_SUPUESTOS!$C$212,SUP_OVERHEAD!$C$25,0)</f>
        <v>675</v>
      </c>
      <c r="G115" s="498" t="n">
        <f aca="false">IF(G$5&gt;=FC_SUPUESTOS!$C$212,SUP_OVERHEAD!$C$25,0)</f>
        <v>675</v>
      </c>
      <c r="H115" s="498" t="n">
        <f aca="false">IF(H$5&gt;=FC_SUPUESTOS!$C$212,SUP_OVERHEAD!$C$25,0)</f>
        <v>675</v>
      </c>
      <c r="I115" s="498" t="n">
        <f aca="false">IF(I$5&gt;=FC_SUPUESTOS!$C$212,SUP_OVERHEAD!$C$25,0)</f>
        <v>675</v>
      </c>
      <c r="J115" s="498" t="n">
        <f aca="false">IF(J$5&gt;=FC_SUPUESTOS!$C$212,SUP_OVERHEAD!$C$25,0)</f>
        <v>675</v>
      </c>
      <c r="K115" s="498" t="n">
        <f aca="false">IF(K$5&gt;=FC_SUPUESTOS!$C$212,SUP_OVERHEAD!$C$25,0)</f>
        <v>675</v>
      </c>
      <c r="L115" s="498" t="n">
        <f aca="false">IF(L$5&gt;=FC_SUPUESTOS!$C$212,SUP_OVERHEAD!$C$25,0)</f>
        <v>675</v>
      </c>
      <c r="M115" s="498" t="n">
        <f aca="false">IF(M$5&gt;=FC_SUPUESTOS!$C$212,SUP_OVERHEAD!$C$25,0)</f>
        <v>675</v>
      </c>
      <c r="N115" s="498" t="n">
        <f aca="false">IF(N$5&gt;=FC_SUPUESTOS!$C$212,SUP_OVERHEAD!$C$25,0)</f>
        <v>675</v>
      </c>
      <c r="O115" s="498" t="n">
        <f aca="false">IF(O$5&gt;=FC_SUPUESTOS!$C$212,SUP_OVERHEAD!$C$25,0)</f>
        <v>675</v>
      </c>
      <c r="P115" s="498" t="n">
        <f aca="false">IF(P$5&gt;=FC_SUPUESTOS!$C$212,SUP_OVERHEAD!$C$25,0)</f>
        <v>675</v>
      </c>
      <c r="Q115" s="498" t="n">
        <f aca="false">IF(Q$5&gt;=FC_SUPUESTOS!$C$212,SUP_OVERHEAD!$C$25,0)</f>
        <v>675</v>
      </c>
      <c r="R115" s="498" t="n">
        <f aca="false">IF(R$5&gt;=FC_SUPUESTOS!$C$212,SUP_OVERHEAD!$C$25,0)</f>
        <v>675</v>
      </c>
      <c r="S115" s="498" t="n">
        <f aca="false">IF(S$5&gt;=FC_SUPUESTOS!$C$212,SUP_OVERHEAD!$C$25,0)</f>
        <v>675</v>
      </c>
      <c r="T115" s="498" t="n">
        <f aca="false">IF(T$5&gt;=FC_SUPUESTOS!$C$212,SUP_OVERHEAD!$C$25,0)</f>
        <v>675</v>
      </c>
      <c r="U115" s="498" t="n">
        <f aca="false">IF(U$5&gt;=FC_SUPUESTOS!$C$212,SUP_OVERHEAD!$C$25,0)</f>
        <v>675</v>
      </c>
      <c r="V115" s="498" t="n">
        <f aca="false">IF(V$5&gt;=FC_SUPUESTOS!$C$212,SUP_OVERHEAD!$C$25,0)</f>
        <v>675</v>
      </c>
      <c r="W115" s="498" t="n">
        <f aca="false">IF(W$5&gt;=FC_SUPUESTOS!$C$212,SUP_OVERHEAD!$C$25,0)</f>
        <v>675</v>
      </c>
      <c r="X115" s="498" t="n">
        <f aca="false">IF(X$5&gt;=FC_SUPUESTOS!$C$212,SUP_OVERHEAD!$C$25,0)</f>
        <v>675</v>
      </c>
      <c r="Y115" s="498" t="n">
        <f aca="false">IF(Y$5&gt;=FC_SUPUESTOS!$C$212,SUP_OVERHEAD!$C$25,0)</f>
        <v>675</v>
      </c>
      <c r="Z115" s="498" t="n">
        <f aca="false">IF(Z$5&gt;=FC_SUPUESTOS!$C$212,SUP_OVERHEAD!$C$25,0)</f>
        <v>675</v>
      </c>
      <c r="AA115" s="498" t="n">
        <f aca="false">IF(AA$5&gt;=FC_SUPUESTOS!$C$212,SUP_OVERHEAD!$C$25,0)</f>
        <v>675</v>
      </c>
      <c r="AB115" s="498" t="n">
        <f aca="false">IF(AB$5&gt;=FC_SUPUESTOS!$C$212,SUP_OVERHEAD!$C$25,0)</f>
        <v>675</v>
      </c>
      <c r="AC115" s="498" t="n">
        <f aca="false">IF(AC$5&gt;=FC_SUPUESTOS!$C$212,SUP_OVERHEAD!$C$25,0)</f>
        <v>675</v>
      </c>
      <c r="AD115" s="498" t="n">
        <f aca="false">IF(AD$5&gt;=FC_SUPUESTOS!$C$212,SUP_OVERHEAD!$C$25,0)</f>
        <v>675</v>
      </c>
      <c r="AE115" s="498" t="n">
        <f aca="false">IF(AE$5&gt;=FC_SUPUESTOS!$C$212,SUP_OVERHEAD!$C$25,0)</f>
        <v>675</v>
      </c>
      <c r="AF115" s="498" t="n">
        <f aca="false">IF(AF$5&gt;=FC_SUPUESTOS!$C$212,SUP_OVERHEAD!$C$25,0)</f>
        <v>675</v>
      </c>
      <c r="AG115" s="498" t="n">
        <f aca="false">IF(AG$5&gt;=FC_SUPUESTOS!$C$212,SUP_OVERHEAD!$C$25,0)</f>
        <v>675</v>
      </c>
      <c r="AH115" s="498" t="n">
        <f aca="false">IF(AH$5&gt;=FC_SUPUESTOS!$C$212,SUP_OVERHEAD!$C$25,0)</f>
        <v>675</v>
      </c>
      <c r="AI115" s="498" t="n">
        <f aca="false">IF(AI$5&gt;=FC_SUPUESTOS!$C$212,SUP_OVERHEAD!$C$25,0)</f>
        <v>675</v>
      </c>
      <c r="AJ115" s="498" t="n">
        <f aca="false">IF(AJ$5&gt;=FC_SUPUESTOS!$C$212,SUP_OVERHEAD!$C$25,0)</f>
        <v>675</v>
      </c>
      <c r="AK115" s="498" t="n">
        <f aca="false">IF(AK$5&gt;=FC_SUPUESTOS!$C$212,SUP_OVERHEAD!$C$25,0)</f>
        <v>675</v>
      </c>
      <c r="AL115" s="498" t="n">
        <f aca="false">IF(AL$5&gt;=FC_SUPUESTOS!$C$212,SUP_OVERHEAD!$C$25,0)</f>
        <v>675</v>
      </c>
      <c r="AM115" s="498" t="n">
        <f aca="false">IF(AM$5&gt;=FC_SUPUESTOS!$C$212,SUP_OVERHEAD!$C$25,0)</f>
        <v>675</v>
      </c>
      <c r="AN115" s="498" t="n">
        <f aca="false">IF(AN$5&gt;=FC_SUPUESTOS!$C$212,SUP_OVERHEAD!$C$25,0)</f>
        <v>675</v>
      </c>
      <c r="AO115" s="498" t="n">
        <f aca="false">IF(AO$5&gt;=FC_SUPUESTOS!$C$212,SUP_OVERHEAD!$C$25,0)</f>
        <v>675</v>
      </c>
      <c r="AP115" s="498" t="n">
        <f aca="false">IF(AP$5&gt;=FC_SUPUESTOS!$C$212,SUP_OVERHEAD!$C$25,0)</f>
        <v>675</v>
      </c>
      <c r="AQ115" s="498" t="n">
        <f aca="false">IF(AQ$5&gt;=FC_SUPUESTOS!$C$212,SUP_OVERHEAD!$C$25,0)</f>
        <v>675</v>
      </c>
      <c r="AR115" s="498" t="n">
        <f aca="false">IF(AR$5&gt;=FC_SUPUESTOS!$C$212,SUP_OVERHEAD!$C$25,0)</f>
        <v>675</v>
      </c>
      <c r="AS115" s="498" t="n">
        <f aca="false">IF(AS$5&gt;=FC_SUPUESTOS!$C$212,SUP_OVERHEAD!$C$25,0)</f>
        <v>675</v>
      </c>
      <c r="AT115" s="498" t="n">
        <f aca="false">IF(AT$5&gt;=FC_SUPUESTOS!$C$212,SUP_OVERHEAD!$C$25,0)</f>
        <v>675</v>
      </c>
      <c r="AU115" s="498" t="n">
        <f aca="false">IF(AU$5&gt;=FC_SUPUESTOS!$C$212,SUP_OVERHEAD!$C$25,0)</f>
        <v>675</v>
      </c>
      <c r="AV115" s="498" t="n">
        <f aca="false">IF(AV$5&gt;=FC_SUPUESTOS!$C$212,SUP_OVERHEAD!$C$25,0)</f>
        <v>675</v>
      </c>
      <c r="AW115" s="498" t="n">
        <f aca="false">IF(AW$5&gt;=FC_SUPUESTOS!$C$212,SUP_OVERHEAD!$C$25,0)</f>
        <v>675</v>
      </c>
      <c r="AX115" s="498" t="n">
        <f aca="false">IF(AX$5&gt;=FC_SUPUESTOS!$C$212,SUP_OVERHEAD!$C$25,0)</f>
        <v>675</v>
      </c>
      <c r="AY115" s="498" t="n">
        <f aca="false">IF(AY$5&gt;=FC_SUPUESTOS!$C$212,SUP_OVERHEAD!$C$25,0)</f>
        <v>675</v>
      </c>
      <c r="AZ115" s="498" t="n">
        <f aca="false">IF(AZ$5&gt;=FC_SUPUESTOS!$C$212,SUP_OVERHEAD!$C$25,0)</f>
        <v>675</v>
      </c>
      <c r="BA115" s="498" t="n">
        <f aca="false">IF(BA$5&gt;=FC_SUPUESTOS!$C$212,SUP_OVERHEAD!$C$25,0)</f>
        <v>675</v>
      </c>
      <c r="BB115" s="498" t="n">
        <f aca="false">IF(BB$5&gt;=FC_SUPUESTOS!$C$212,SUP_OVERHEAD!$C$25,0)</f>
        <v>675</v>
      </c>
      <c r="BC115" s="498" t="n">
        <f aca="false">IF(BC$5&gt;=FC_SUPUESTOS!$C$212,SUP_OVERHEAD!$C$25,0)</f>
        <v>675</v>
      </c>
      <c r="BD115" s="498" t="n">
        <f aca="false">IF(BD$5&gt;=FC_SUPUESTOS!$C$212,SUP_OVERHEAD!$C$25,0)</f>
        <v>675</v>
      </c>
      <c r="BE115" s="498" t="n">
        <f aca="false">IF(BE$5&gt;=FC_SUPUESTOS!$C$212,SUP_OVERHEAD!$C$25,0)</f>
        <v>675</v>
      </c>
      <c r="BF115" s="498" t="n">
        <f aca="false">IF(BF$5&gt;=FC_SUPUESTOS!$C$212,SUP_OVERHEAD!$C$25,0)</f>
        <v>675</v>
      </c>
      <c r="BG115" s="498" t="n">
        <f aca="false">IF(BG$5&gt;=FC_SUPUESTOS!$C$212,SUP_OVERHEAD!$C$25,0)</f>
        <v>675</v>
      </c>
      <c r="BH115" s="498" t="n">
        <f aca="false">IF(BH$5&gt;=FC_SUPUESTOS!$C$212,SUP_OVERHEAD!$C$25,0)</f>
        <v>675</v>
      </c>
      <c r="BI115" s="498" t="n">
        <f aca="false">IF(BI$5&gt;=FC_SUPUESTOS!$C$212,SUP_OVERHEAD!$C$25,0)</f>
        <v>675</v>
      </c>
      <c r="BJ115" s="498" t="n">
        <f aca="false">IF(BJ$5&gt;=FC_SUPUESTOS!$C$212,SUP_OVERHEAD!$C$25,0)</f>
        <v>675</v>
      </c>
      <c r="BK115" s="498" t="n">
        <f aca="false">IF(BK$5&gt;=FC_SUPUESTOS!$C$212,SUP_OVERHEAD!$C$25,0)</f>
        <v>675</v>
      </c>
    </row>
    <row r="116" customFormat="false" ht="15" hidden="false" customHeight="true" outlineLevel="0" collapsed="false">
      <c r="B116" s="283" t="s">
        <v>3009</v>
      </c>
      <c r="D116" s="498" t="n">
        <f aca="false">IF(D$5&gt;=FC_SUPUESTOS!$C$214,FC_SUPUESTOS!$C$213,0)</f>
        <v>0</v>
      </c>
      <c r="E116" s="498" t="n">
        <f aca="false">IF(E$5&gt;=FC_SUPUESTOS!$C$214,FC_SUPUESTOS!$C$213,0)</f>
        <v>0</v>
      </c>
      <c r="F116" s="498" t="n">
        <f aca="false">IF(F$5&gt;=FC_SUPUESTOS!$C$214,FC_SUPUESTOS!$C$213,0)</f>
        <v>0</v>
      </c>
      <c r="G116" s="498" t="n">
        <f aca="false">IF(G$5&gt;=FC_SUPUESTOS!$C$214,FC_SUPUESTOS!$C$213,0)</f>
        <v>0</v>
      </c>
      <c r="H116" s="498" t="n">
        <f aca="false">IF(H$5&gt;=FC_SUPUESTOS!$C$214,FC_SUPUESTOS!$C$213,0)</f>
        <v>0</v>
      </c>
      <c r="I116" s="498" t="n">
        <f aca="false">IF(I$5&gt;=FC_SUPUESTOS!$C$214,FC_SUPUESTOS!$C$213,0)</f>
        <v>0</v>
      </c>
      <c r="J116" s="498" t="n">
        <f aca="false">IF(J$5&gt;=FC_SUPUESTOS!$C$214,FC_SUPUESTOS!$C$213,0)</f>
        <v>0</v>
      </c>
      <c r="K116" s="498" t="n">
        <f aca="false">IF(K$5&gt;=FC_SUPUESTOS!$C$214,FC_SUPUESTOS!$C$213,0)</f>
        <v>0</v>
      </c>
      <c r="L116" s="498" t="n">
        <f aca="false">IF(L$5&gt;=FC_SUPUESTOS!$C$214,FC_SUPUESTOS!$C$213,0)</f>
        <v>0</v>
      </c>
      <c r="M116" s="498" t="n">
        <f aca="false">IF(M$5&gt;=FC_SUPUESTOS!$C$214,FC_SUPUESTOS!$C$213,0)</f>
        <v>0</v>
      </c>
      <c r="N116" s="498" t="n">
        <f aca="false">IF(N$5&gt;=FC_SUPUESTOS!$C$214,FC_SUPUESTOS!$C$213,0)</f>
        <v>0</v>
      </c>
      <c r="O116" s="498" t="n">
        <f aca="false">IF(O$5&gt;=FC_SUPUESTOS!$C$214,FC_SUPUESTOS!$C$213,0)</f>
        <v>0</v>
      </c>
      <c r="P116" s="498" t="n">
        <f aca="false">IF(P$5&gt;=FC_SUPUESTOS!$C$214,FC_SUPUESTOS!$C$213,0)</f>
        <v>0</v>
      </c>
      <c r="Q116" s="498" t="n">
        <f aca="false">IF(Q$5&gt;=FC_SUPUESTOS!$C$214,FC_SUPUESTOS!$C$213,0)</f>
        <v>0</v>
      </c>
      <c r="R116" s="498" t="n">
        <f aca="false">IF(R$5&gt;=FC_SUPUESTOS!$C$214,FC_SUPUESTOS!$C$213,0)</f>
        <v>0</v>
      </c>
      <c r="S116" s="498" t="n">
        <f aca="false">IF(S$5&gt;=FC_SUPUESTOS!$C$214,FC_SUPUESTOS!$C$213,0)</f>
        <v>0</v>
      </c>
      <c r="T116" s="498" t="n">
        <f aca="false">IF(T$5&gt;=FC_SUPUESTOS!$C$214,FC_SUPUESTOS!$C$213,0)</f>
        <v>0</v>
      </c>
      <c r="U116" s="498" t="n">
        <f aca="false">IF(U$5&gt;=FC_SUPUESTOS!$C$214,FC_SUPUESTOS!$C$213,0)</f>
        <v>0</v>
      </c>
      <c r="V116" s="498" t="n">
        <f aca="false">IF(V$5&gt;=FC_SUPUESTOS!$C$214,FC_SUPUESTOS!$C$213,0)</f>
        <v>0</v>
      </c>
      <c r="W116" s="498" t="n">
        <f aca="false">IF(W$5&gt;=FC_SUPUESTOS!$C$214,FC_SUPUESTOS!$C$213,0)</f>
        <v>0</v>
      </c>
      <c r="X116" s="498" t="n">
        <f aca="false">IF(X$5&gt;=FC_SUPUESTOS!$C$214,FC_SUPUESTOS!$C$213,0)</f>
        <v>0</v>
      </c>
      <c r="Y116" s="498" t="n">
        <f aca="false">IF(Y$5&gt;=FC_SUPUESTOS!$C$214,FC_SUPUESTOS!$C$213,0)</f>
        <v>0</v>
      </c>
      <c r="Z116" s="498" t="n">
        <f aca="false">IF(Z$5&gt;=FC_SUPUESTOS!$C$214,FC_SUPUESTOS!$C$213,0)</f>
        <v>0</v>
      </c>
      <c r="AA116" s="498" t="n">
        <f aca="false">IF(AA$5&gt;=FC_SUPUESTOS!$C$214,FC_SUPUESTOS!$C$213,0)</f>
        <v>0</v>
      </c>
      <c r="AB116" s="498" t="n">
        <f aca="false">IF(AB$5&gt;=FC_SUPUESTOS!$C$214,FC_SUPUESTOS!$C$213,0)</f>
        <v>0</v>
      </c>
      <c r="AC116" s="498" t="n">
        <f aca="false">IF(AC$5&gt;=FC_SUPUESTOS!$C$214,FC_SUPUESTOS!$C$213,0)</f>
        <v>0</v>
      </c>
      <c r="AD116" s="498" t="n">
        <f aca="false">IF(AD$5&gt;=FC_SUPUESTOS!$C$214,FC_SUPUESTOS!$C$213,0)</f>
        <v>0</v>
      </c>
      <c r="AE116" s="498" t="n">
        <f aca="false">IF(AE$5&gt;=FC_SUPUESTOS!$C$214,FC_SUPUESTOS!$C$213,0)</f>
        <v>0</v>
      </c>
      <c r="AF116" s="498" t="n">
        <f aca="false">IF(AF$5&gt;=FC_SUPUESTOS!$C$214,FC_SUPUESTOS!$C$213,0)</f>
        <v>0</v>
      </c>
      <c r="AG116" s="498" t="n">
        <f aca="false">IF(AG$5&gt;=FC_SUPUESTOS!$C$214,FC_SUPUESTOS!$C$213,0)</f>
        <v>0</v>
      </c>
      <c r="AH116" s="498" t="n">
        <f aca="false">IF(AH$5&gt;=FC_SUPUESTOS!$C$214,FC_SUPUESTOS!$C$213,0)</f>
        <v>0</v>
      </c>
      <c r="AI116" s="498" t="n">
        <f aca="false">IF(AI$5&gt;=FC_SUPUESTOS!$C$214,FC_SUPUESTOS!$C$213,0)</f>
        <v>0</v>
      </c>
      <c r="AJ116" s="498" t="n">
        <f aca="false">IF(AJ$5&gt;=FC_SUPUESTOS!$C$214,FC_SUPUESTOS!$C$213,0)</f>
        <v>0</v>
      </c>
      <c r="AK116" s="498" t="n">
        <f aca="false">IF(AK$5&gt;=FC_SUPUESTOS!$C$214,FC_SUPUESTOS!$C$213,0)</f>
        <v>0</v>
      </c>
      <c r="AL116" s="498" t="n">
        <f aca="false">IF(AL$5&gt;=FC_SUPUESTOS!$C$214,FC_SUPUESTOS!$C$213,0)</f>
        <v>0</v>
      </c>
      <c r="AM116" s="498" t="n">
        <f aca="false">IF(AM$5&gt;=FC_SUPUESTOS!$C$214,FC_SUPUESTOS!$C$213,0)</f>
        <v>0</v>
      </c>
      <c r="AN116" s="498" t="n">
        <f aca="false">IF(AN$5&gt;=FC_SUPUESTOS!$C$214,FC_SUPUESTOS!$C$213,0)</f>
        <v>0</v>
      </c>
      <c r="AO116" s="498" t="n">
        <f aca="false">IF(AO$5&gt;=FC_SUPUESTOS!$C$214,FC_SUPUESTOS!$C$213,0)</f>
        <v>0</v>
      </c>
      <c r="AP116" s="498" t="n">
        <f aca="false">IF(AP$5&gt;=FC_SUPUESTOS!$C$214,FC_SUPUESTOS!$C$213,0)</f>
        <v>0</v>
      </c>
      <c r="AQ116" s="498" t="n">
        <f aca="false">IF(AQ$5&gt;=FC_SUPUESTOS!$C$214,FC_SUPUESTOS!$C$213,0)</f>
        <v>0</v>
      </c>
      <c r="AR116" s="498" t="n">
        <f aca="false">IF(AR$5&gt;=FC_SUPUESTOS!$C$214,FC_SUPUESTOS!$C$213,0)</f>
        <v>0</v>
      </c>
      <c r="AS116" s="498" t="n">
        <f aca="false">IF(AS$5&gt;=FC_SUPUESTOS!$C$214,FC_SUPUESTOS!$C$213,0)</f>
        <v>0</v>
      </c>
      <c r="AT116" s="498" t="n">
        <f aca="false">IF(AT$5&gt;=FC_SUPUESTOS!$C$214,FC_SUPUESTOS!$C$213,0)</f>
        <v>0</v>
      </c>
      <c r="AU116" s="498" t="n">
        <f aca="false">IF(AU$5&gt;=FC_SUPUESTOS!$C$214,FC_SUPUESTOS!$C$213,0)</f>
        <v>0</v>
      </c>
      <c r="AV116" s="498" t="n">
        <f aca="false">IF(AV$5&gt;=FC_SUPUESTOS!$C$214,FC_SUPUESTOS!$C$213,0)</f>
        <v>0</v>
      </c>
      <c r="AW116" s="498" t="n">
        <f aca="false">IF(AW$5&gt;=FC_SUPUESTOS!$C$214,FC_SUPUESTOS!$C$213,0)</f>
        <v>0</v>
      </c>
      <c r="AX116" s="498" t="n">
        <f aca="false">IF(AX$5&gt;=FC_SUPUESTOS!$C$214,FC_SUPUESTOS!$C$213,0)</f>
        <v>0</v>
      </c>
      <c r="AY116" s="498" t="n">
        <f aca="false">IF(AY$5&gt;=FC_SUPUESTOS!$C$214,FC_SUPUESTOS!$C$213,0)</f>
        <v>0</v>
      </c>
      <c r="AZ116" s="498" t="n">
        <f aca="false">IF(AZ$5&gt;=FC_SUPUESTOS!$C$214,FC_SUPUESTOS!$C$213,0)</f>
        <v>0</v>
      </c>
      <c r="BA116" s="498" t="n">
        <f aca="false">IF(BA$5&gt;=FC_SUPUESTOS!$C$214,FC_SUPUESTOS!$C$213,0)</f>
        <v>0</v>
      </c>
      <c r="BB116" s="498" t="n">
        <f aca="false">IF(BB$5&gt;=FC_SUPUESTOS!$C$214,FC_SUPUESTOS!$C$213,0)</f>
        <v>0</v>
      </c>
      <c r="BC116" s="498" t="n">
        <f aca="false">IF(BC$5&gt;=FC_SUPUESTOS!$C$214,FC_SUPUESTOS!$C$213,0)</f>
        <v>0</v>
      </c>
      <c r="BD116" s="498" t="n">
        <f aca="false">IF(BD$5&gt;=FC_SUPUESTOS!$C$214,FC_SUPUESTOS!$C$213,0)</f>
        <v>0</v>
      </c>
      <c r="BE116" s="498" t="n">
        <f aca="false">IF(BE$5&gt;=FC_SUPUESTOS!$C$214,FC_SUPUESTOS!$C$213,0)</f>
        <v>0</v>
      </c>
      <c r="BF116" s="498" t="n">
        <f aca="false">IF(BF$5&gt;=FC_SUPUESTOS!$C$214,FC_SUPUESTOS!$C$213,0)</f>
        <v>0</v>
      </c>
      <c r="BG116" s="498" t="n">
        <f aca="false">IF(BG$5&gt;=FC_SUPUESTOS!$C$214,FC_SUPUESTOS!$C$213,0)</f>
        <v>0</v>
      </c>
      <c r="BH116" s="498" t="n">
        <f aca="false">IF(BH$5&gt;=FC_SUPUESTOS!$C$214,FC_SUPUESTOS!$C$213,0)</f>
        <v>0</v>
      </c>
      <c r="BI116" s="498" t="n">
        <f aca="false">IF(BI$5&gt;=FC_SUPUESTOS!$C$214,FC_SUPUESTOS!$C$213,0)</f>
        <v>0</v>
      </c>
      <c r="BJ116" s="498" t="n">
        <f aca="false">IF(BJ$5&gt;=FC_SUPUESTOS!$C$214,FC_SUPUESTOS!$C$213,0)</f>
        <v>0</v>
      </c>
      <c r="BK116" s="498" t="n">
        <f aca="false">IF(BK$5&gt;=FC_SUPUESTOS!$C$214,FC_SUPUESTOS!$C$213,0)</f>
        <v>0</v>
      </c>
    </row>
    <row r="117" customFormat="false" ht="15" hidden="false" customHeight="true" outlineLevel="0" collapsed="false">
      <c r="B117" s="283" t="s">
        <v>3010</v>
      </c>
      <c r="D117" s="498" t="n">
        <f aca="false">COUNTIF(FC_SUPUESTOS!$F$201:$F$208,D$5)*FC_SUPUESTOS!$C$232+IF(D$5=FC_SUPUESTOS!$F$201,FC_SUPUESTOS!$C$234*FC_SUPUESTOS!$C$201,0)+IF(D$5=FC_SUPUESTOS!$F$202,FC_SUPUESTOS!$C$234*FC_SUPUESTOS!$C$202,0)</f>
        <v>0</v>
      </c>
      <c r="E117" s="498" t="n">
        <f aca="false">COUNTIF(FC_SUPUESTOS!$F$201:$F$208,E$5)*FC_SUPUESTOS!$C$232+IF(E$5=FC_SUPUESTOS!$F$201,FC_SUPUESTOS!$C$234*FC_SUPUESTOS!$C$201,0)+IF(E$5=FC_SUPUESTOS!$F$202,FC_SUPUESTOS!$C$234*FC_SUPUESTOS!$C$202,0)</f>
        <v>0</v>
      </c>
      <c r="F117" s="498" t="n">
        <f aca="false">COUNTIF(FC_SUPUESTOS!$F$201:$F$208,F$5)*FC_SUPUESTOS!$C$232+IF(F$5=FC_SUPUESTOS!$F$201,FC_SUPUESTOS!$C$234*FC_SUPUESTOS!$C$201,0)+IF(F$5=FC_SUPUESTOS!$F$202,FC_SUPUESTOS!$C$234*FC_SUPUESTOS!$C$202,0)</f>
        <v>0</v>
      </c>
      <c r="G117" s="498" t="n">
        <f aca="false">COUNTIF(FC_SUPUESTOS!$F$201:$F$208,G$5)*FC_SUPUESTOS!$C$232+IF(G$5=FC_SUPUESTOS!$F$201,FC_SUPUESTOS!$C$234*FC_SUPUESTOS!$C$201,0)+IF(G$5=FC_SUPUESTOS!$F$202,FC_SUPUESTOS!$C$234*FC_SUPUESTOS!$C$202,0)</f>
        <v>0</v>
      </c>
      <c r="H117" s="498" t="n">
        <f aca="false">COUNTIF(FC_SUPUESTOS!$F$201:$F$208,H$5)*FC_SUPUESTOS!$C$232+IF(H$5=FC_SUPUESTOS!$F$201,FC_SUPUESTOS!$C$234*FC_SUPUESTOS!$C$201,0)+IF(H$5=FC_SUPUESTOS!$F$202,FC_SUPUESTOS!$C$234*FC_SUPUESTOS!$C$202,0)</f>
        <v>0</v>
      </c>
      <c r="I117" s="498" t="n">
        <f aca="false">COUNTIF(FC_SUPUESTOS!$F$201:$F$208,I$5)*FC_SUPUESTOS!$C$232+IF(I$5=FC_SUPUESTOS!$F$201,FC_SUPUESTOS!$C$234*FC_SUPUESTOS!$C$201,0)+IF(I$5=FC_SUPUESTOS!$F$202,FC_SUPUESTOS!$C$234*FC_SUPUESTOS!$C$202,0)</f>
        <v>0</v>
      </c>
      <c r="J117" s="498" t="n">
        <f aca="false">COUNTIF(FC_SUPUESTOS!$F$201:$F$208,J$5)*FC_SUPUESTOS!$C$232+IF(J$5=FC_SUPUESTOS!$F$201,FC_SUPUESTOS!$C$234*FC_SUPUESTOS!$C$201,0)+IF(J$5=FC_SUPUESTOS!$F$202,FC_SUPUESTOS!$C$234*FC_SUPUESTOS!$C$202,0)</f>
        <v>0</v>
      </c>
      <c r="K117" s="498" t="n">
        <f aca="false">COUNTIF(FC_SUPUESTOS!$F$201:$F$208,K$5)*FC_SUPUESTOS!$C$232+IF(K$5=FC_SUPUESTOS!$F$201,FC_SUPUESTOS!$C$234*FC_SUPUESTOS!$C$201,0)+IF(K$5=FC_SUPUESTOS!$F$202,FC_SUPUESTOS!$C$234*FC_SUPUESTOS!$C$202,0)</f>
        <v>0</v>
      </c>
      <c r="L117" s="498" t="n">
        <f aca="false">COUNTIF(FC_SUPUESTOS!$F$201:$F$208,L$5)*FC_SUPUESTOS!$C$232+IF(L$5=FC_SUPUESTOS!$F$201,FC_SUPUESTOS!$C$234*FC_SUPUESTOS!$C$201,0)+IF(L$5=FC_SUPUESTOS!$F$202,FC_SUPUESTOS!$C$234*FC_SUPUESTOS!$C$202,0)</f>
        <v>0</v>
      </c>
      <c r="M117" s="498" t="n">
        <f aca="false">COUNTIF(FC_SUPUESTOS!$F$201:$F$208,M$5)*FC_SUPUESTOS!$C$232+IF(M$5=FC_SUPUESTOS!$F$201,FC_SUPUESTOS!$C$234*FC_SUPUESTOS!$C$201,0)+IF(M$5=FC_SUPUESTOS!$F$202,FC_SUPUESTOS!$C$234*FC_SUPUESTOS!$C$202,0)</f>
        <v>0</v>
      </c>
      <c r="N117" s="498" t="n">
        <f aca="false">COUNTIF(FC_SUPUESTOS!$F$201:$F$208,N$5)*FC_SUPUESTOS!$C$232+IF(N$5=FC_SUPUESTOS!$F$201,FC_SUPUESTOS!$C$234*FC_SUPUESTOS!$C$201,0)+IF(N$5=FC_SUPUESTOS!$F$202,FC_SUPUESTOS!$C$234*FC_SUPUESTOS!$C$202,0)</f>
        <v>0</v>
      </c>
      <c r="O117" s="498" t="n">
        <f aca="false">COUNTIF(FC_SUPUESTOS!$F$201:$F$208,O$5)*FC_SUPUESTOS!$C$232+IF(O$5=FC_SUPUESTOS!$F$201,FC_SUPUESTOS!$C$234*FC_SUPUESTOS!$C$201,0)+IF(O$5=FC_SUPUESTOS!$F$202,FC_SUPUESTOS!$C$234*FC_SUPUESTOS!$C$202,0)</f>
        <v>0</v>
      </c>
      <c r="P117" s="498" t="n">
        <f aca="false">COUNTIF(FC_SUPUESTOS!$F$201:$F$208,P$5)*FC_SUPUESTOS!$C$232+IF(P$5=FC_SUPUESTOS!$F$201,FC_SUPUESTOS!$C$234*FC_SUPUESTOS!$C$201,0)+IF(P$5=FC_SUPUESTOS!$F$202,FC_SUPUESTOS!$C$234*FC_SUPUESTOS!$C$202,0)</f>
        <v>0</v>
      </c>
      <c r="Q117" s="498" t="n">
        <f aca="false">COUNTIF(FC_SUPUESTOS!$F$201:$F$208,Q$5)*FC_SUPUESTOS!$C$232+IF(Q$5=FC_SUPUESTOS!$F$201,FC_SUPUESTOS!$C$234*FC_SUPUESTOS!$C$201,0)+IF(Q$5=FC_SUPUESTOS!$F$202,FC_SUPUESTOS!$C$234*FC_SUPUESTOS!$C$202,0)</f>
        <v>0</v>
      </c>
      <c r="R117" s="498" t="n">
        <f aca="false">COUNTIF(FC_SUPUESTOS!$F$201:$F$208,R$5)*FC_SUPUESTOS!$C$232+IF(R$5=FC_SUPUESTOS!$F$201,FC_SUPUESTOS!$C$234*FC_SUPUESTOS!$C$201,0)+IF(R$5=FC_SUPUESTOS!$F$202,FC_SUPUESTOS!$C$234*FC_SUPUESTOS!$C$202,0)</f>
        <v>0</v>
      </c>
      <c r="S117" s="498" t="n">
        <f aca="false">COUNTIF(FC_SUPUESTOS!$F$201:$F$208,S$5)*FC_SUPUESTOS!$C$232+IF(S$5=FC_SUPUESTOS!$F$201,FC_SUPUESTOS!$C$234*FC_SUPUESTOS!$C$201,0)+IF(S$5=FC_SUPUESTOS!$F$202,FC_SUPUESTOS!$C$234*FC_SUPUESTOS!$C$202,0)</f>
        <v>0</v>
      </c>
      <c r="T117" s="498" t="n">
        <f aca="false">COUNTIF(FC_SUPUESTOS!$F$201:$F$208,T$5)*FC_SUPUESTOS!$C$232+IF(T$5=FC_SUPUESTOS!$F$201,FC_SUPUESTOS!$C$234*FC_SUPUESTOS!$C$201,0)+IF(T$5=FC_SUPUESTOS!$F$202,FC_SUPUESTOS!$C$234*FC_SUPUESTOS!$C$202,0)</f>
        <v>0</v>
      </c>
      <c r="U117" s="498" t="n">
        <f aca="false">COUNTIF(FC_SUPUESTOS!$F$201:$F$208,U$5)*FC_SUPUESTOS!$C$232+IF(U$5=FC_SUPUESTOS!$F$201,FC_SUPUESTOS!$C$234*FC_SUPUESTOS!$C$201,0)+IF(U$5=FC_SUPUESTOS!$F$202,FC_SUPUESTOS!$C$234*FC_SUPUESTOS!$C$202,0)</f>
        <v>0</v>
      </c>
      <c r="V117" s="498" t="n">
        <f aca="false">COUNTIF(FC_SUPUESTOS!$F$201:$F$208,V$5)*FC_SUPUESTOS!$C$232+IF(V$5=FC_SUPUESTOS!$F$201,FC_SUPUESTOS!$C$234*FC_SUPUESTOS!$C$201,0)+IF(V$5=FC_SUPUESTOS!$F$202,FC_SUPUESTOS!$C$234*FC_SUPUESTOS!$C$202,0)</f>
        <v>0</v>
      </c>
      <c r="W117" s="498" t="n">
        <f aca="false">COUNTIF(FC_SUPUESTOS!$F$201:$F$208,W$5)*FC_SUPUESTOS!$C$232+IF(W$5=FC_SUPUESTOS!$F$201,FC_SUPUESTOS!$C$234*FC_SUPUESTOS!$C$201,0)+IF(W$5=FC_SUPUESTOS!$F$202,FC_SUPUESTOS!$C$234*FC_SUPUESTOS!$C$202,0)</f>
        <v>0</v>
      </c>
      <c r="X117" s="498" t="n">
        <f aca="false">COUNTIF(FC_SUPUESTOS!$F$201:$F$208,X$5)*FC_SUPUESTOS!$C$232+IF(X$5=FC_SUPUESTOS!$F$201,FC_SUPUESTOS!$C$234*FC_SUPUESTOS!$C$201,0)+IF(X$5=FC_SUPUESTOS!$F$202,FC_SUPUESTOS!$C$234*FC_SUPUESTOS!$C$202,0)</f>
        <v>0</v>
      </c>
      <c r="Y117" s="498" t="n">
        <f aca="false">COUNTIF(FC_SUPUESTOS!$F$201:$F$208,Y$5)*FC_SUPUESTOS!$C$232+IF(Y$5=FC_SUPUESTOS!$F$201,FC_SUPUESTOS!$C$234*FC_SUPUESTOS!$C$201,0)+IF(Y$5=FC_SUPUESTOS!$F$202,FC_SUPUESTOS!$C$234*FC_SUPUESTOS!$C$202,0)</f>
        <v>0</v>
      </c>
      <c r="Z117" s="498" t="n">
        <f aca="false">COUNTIF(FC_SUPUESTOS!$F$201:$F$208,Z$5)*FC_SUPUESTOS!$C$232+IF(Z$5=FC_SUPUESTOS!$F$201,FC_SUPUESTOS!$C$234*FC_SUPUESTOS!$C$201,0)+IF(Z$5=FC_SUPUESTOS!$F$202,FC_SUPUESTOS!$C$234*FC_SUPUESTOS!$C$202,0)</f>
        <v>0</v>
      </c>
      <c r="AA117" s="498" t="n">
        <f aca="false">COUNTIF(FC_SUPUESTOS!$F$201:$F$208,AA$5)*FC_SUPUESTOS!$C$232+IF(AA$5=FC_SUPUESTOS!$F$201,FC_SUPUESTOS!$C$234*FC_SUPUESTOS!$C$201,0)+IF(AA$5=FC_SUPUESTOS!$F$202,FC_SUPUESTOS!$C$234*FC_SUPUESTOS!$C$202,0)</f>
        <v>0</v>
      </c>
      <c r="AB117" s="498" t="n">
        <f aca="false">COUNTIF(FC_SUPUESTOS!$F$201:$F$208,AB$5)*FC_SUPUESTOS!$C$232+IF(AB$5=FC_SUPUESTOS!$F$201,FC_SUPUESTOS!$C$234*FC_SUPUESTOS!$C$201,0)+IF(AB$5=FC_SUPUESTOS!$F$202,FC_SUPUESTOS!$C$234*FC_SUPUESTOS!$C$202,0)</f>
        <v>0</v>
      </c>
      <c r="AC117" s="498" t="n">
        <f aca="false">COUNTIF(FC_SUPUESTOS!$F$201:$F$208,AC$5)*FC_SUPUESTOS!$C$232+IF(AC$5=FC_SUPUESTOS!$F$201,FC_SUPUESTOS!$C$234*FC_SUPUESTOS!$C$201,0)+IF(AC$5=FC_SUPUESTOS!$F$202,FC_SUPUESTOS!$C$234*FC_SUPUESTOS!$C$202,0)</f>
        <v>0</v>
      </c>
      <c r="AD117" s="498" t="n">
        <f aca="false">COUNTIF(FC_SUPUESTOS!$F$201:$F$208,AD$5)*FC_SUPUESTOS!$C$232+IF(AD$5=FC_SUPUESTOS!$F$201,FC_SUPUESTOS!$C$234*FC_SUPUESTOS!$C$201,0)+IF(AD$5=FC_SUPUESTOS!$F$202,FC_SUPUESTOS!$C$234*FC_SUPUESTOS!$C$202,0)</f>
        <v>0</v>
      </c>
      <c r="AE117" s="498" t="n">
        <f aca="false">COUNTIF(FC_SUPUESTOS!$F$201:$F$208,AE$5)*FC_SUPUESTOS!$C$232+IF(AE$5=FC_SUPUESTOS!$F$201,FC_SUPUESTOS!$C$234*FC_SUPUESTOS!$C$201,0)+IF(AE$5=FC_SUPUESTOS!$F$202,FC_SUPUESTOS!$C$234*FC_SUPUESTOS!$C$202,0)</f>
        <v>0</v>
      </c>
      <c r="AF117" s="498" t="n">
        <f aca="false">COUNTIF(FC_SUPUESTOS!$F$201:$F$208,AF$5)*FC_SUPUESTOS!$C$232+IF(AF$5=FC_SUPUESTOS!$F$201,FC_SUPUESTOS!$C$234*FC_SUPUESTOS!$C$201,0)+IF(AF$5=FC_SUPUESTOS!$F$202,FC_SUPUESTOS!$C$234*FC_SUPUESTOS!$C$202,0)</f>
        <v>0</v>
      </c>
      <c r="AG117" s="498" t="n">
        <f aca="false">COUNTIF(FC_SUPUESTOS!$F$201:$F$208,AG$5)*FC_SUPUESTOS!$C$232+IF(AG$5=FC_SUPUESTOS!$F$201,FC_SUPUESTOS!$C$234*FC_SUPUESTOS!$C$201,0)+IF(AG$5=FC_SUPUESTOS!$F$202,FC_SUPUESTOS!$C$234*FC_SUPUESTOS!$C$202,0)</f>
        <v>0</v>
      </c>
      <c r="AH117" s="498" t="n">
        <f aca="false">COUNTIF(FC_SUPUESTOS!$F$201:$F$208,AH$5)*FC_SUPUESTOS!$C$232+IF(AH$5=FC_SUPUESTOS!$F$201,FC_SUPUESTOS!$C$234*FC_SUPUESTOS!$C$201,0)+IF(AH$5=FC_SUPUESTOS!$F$202,FC_SUPUESTOS!$C$234*FC_SUPUESTOS!$C$202,0)</f>
        <v>0</v>
      </c>
      <c r="AI117" s="498" t="n">
        <f aca="false">COUNTIF(FC_SUPUESTOS!$F$201:$F$208,AI$5)*FC_SUPUESTOS!$C$232+IF(AI$5=FC_SUPUESTOS!$F$201,FC_SUPUESTOS!$C$234*FC_SUPUESTOS!$C$201,0)+IF(AI$5=FC_SUPUESTOS!$F$202,FC_SUPUESTOS!$C$234*FC_SUPUESTOS!$C$202,0)</f>
        <v>0</v>
      </c>
      <c r="AJ117" s="498" t="n">
        <f aca="false">COUNTIF(FC_SUPUESTOS!$F$201:$F$208,AJ$5)*FC_SUPUESTOS!$C$232+IF(AJ$5=FC_SUPUESTOS!$F$201,FC_SUPUESTOS!$C$234*FC_SUPUESTOS!$C$201,0)+IF(AJ$5=FC_SUPUESTOS!$F$202,FC_SUPUESTOS!$C$234*FC_SUPUESTOS!$C$202,0)</f>
        <v>0</v>
      </c>
      <c r="AK117" s="498" t="n">
        <f aca="false">COUNTIF(FC_SUPUESTOS!$F$201:$F$208,AK$5)*FC_SUPUESTOS!$C$232+IF(AK$5=FC_SUPUESTOS!$F$201,FC_SUPUESTOS!$C$234*FC_SUPUESTOS!$C$201,0)+IF(AK$5=FC_SUPUESTOS!$F$202,FC_SUPUESTOS!$C$234*FC_SUPUESTOS!$C$202,0)</f>
        <v>0</v>
      </c>
      <c r="AL117" s="498" t="n">
        <f aca="false">COUNTIF(FC_SUPUESTOS!$F$201:$F$208,AL$5)*FC_SUPUESTOS!$C$232+IF(AL$5=FC_SUPUESTOS!$F$201,FC_SUPUESTOS!$C$234*FC_SUPUESTOS!$C$201,0)+IF(AL$5=FC_SUPUESTOS!$F$202,FC_SUPUESTOS!$C$234*FC_SUPUESTOS!$C$202,0)</f>
        <v>0</v>
      </c>
      <c r="AM117" s="498" t="n">
        <f aca="false">COUNTIF(FC_SUPUESTOS!$F$201:$F$208,AM$5)*FC_SUPUESTOS!$C$232+IF(AM$5=FC_SUPUESTOS!$F$201,FC_SUPUESTOS!$C$234*FC_SUPUESTOS!$C$201,0)+IF(AM$5=FC_SUPUESTOS!$F$202,FC_SUPUESTOS!$C$234*FC_SUPUESTOS!$C$202,0)</f>
        <v>0</v>
      </c>
      <c r="AN117" s="498" t="n">
        <f aca="false">COUNTIF(FC_SUPUESTOS!$F$201:$F$208,AN$5)*FC_SUPUESTOS!$C$232+IF(AN$5=FC_SUPUESTOS!$F$201,FC_SUPUESTOS!$C$234*FC_SUPUESTOS!$C$201,0)+IF(AN$5=FC_SUPUESTOS!$F$202,FC_SUPUESTOS!$C$234*FC_SUPUESTOS!$C$202,0)</f>
        <v>0</v>
      </c>
      <c r="AO117" s="498" t="n">
        <f aca="false">COUNTIF(FC_SUPUESTOS!$F$201:$F$208,AO$5)*FC_SUPUESTOS!$C$232+IF(AO$5=FC_SUPUESTOS!$F$201,FC_SUPUESTOS!$C$234*FC_SUPUESTOS!$C$201,0)+IF(AO$5=FC_SUPUESTOS!$F$202,FC_SUPUESTOS!$C$234*FC_SUPUESTOS!$C$202,0)</f>
        <v>0</v>
      </c>
      <c r="AP117" s="498" t="n">
        <f aca="false">COUNTIF(FC_SUPUESTOS!$F$201:$F$208,AP$5)*FC_SUPUESTOS!$C$232+IF(AP$5=FC_SUPUESTOS!$F$201,FC_SUPUESTOS!$C$234*FC_SUPUESTOS!$C$201,0)+IF(AP$5=FC_SUPUESTOS!$F$202,FC_SUPUESTOS!$C$234*FC_SUPUESTOS!$C$202,0)</f>
        <v>0</v>
      </c>
      <c r="AQ117" s="498" t="n">
        <f aca="false">COUNTIF(FC_SUPUESTOS!$F$201:$F$208,AQ$5)*FC_SUPUESTOS!$C$232+IF(AQ$5=FC_SUPUESTOS!$F$201,FC_SUPUESTOS!$C$234*FC_SUPUESTOS!$C$201,0)+IF(AQ$5=FC_SUPUESTOS!$F$202,FC_SUPUESTOS!$C$234*FC_SUPUESTOS!$C$202,0)</f>
        <v>0</v>
      </c>
      <c r="AR117" s="498" t="n">
        <f aca="false">COUNTIF(FC_SUPUESTOS!$F$201:$F$208,AR$5)*FC_SUPUESTOS!$C$232+IF(AR$5=FC_SUPUESTOS!$F$201,FC_SUPUESTOS!$C$234*FC_SUPUESTOS!$C$201,0)+IF(AR$5=FC_SUPUESTOS!$F$202,FC_SUPUESTOS!$C$234*FC_SUPUESTOS!$C$202,0)</f>
        <v>0</v>
      </c>
      <c r="AS117" s="498" t="n">
        <f aca="false">COUNTIF(FC_SUPUESTOS!$F$201:$F$208,AS$5)*FC_SUPUESTOS!$C$232+IF(AS$5=FC_SUPUESTOS!$F$201,FC_SUPUESTOS!$C$234*FC_SUPUESTOS!$C$201,0)+IF(AS$5=FC_SUPUESTOS!$F$202,FC_SUPUESTOS!$C$234*FC_SUPUESTOS!$C$202,0)</f>
        <v>0</v>
      </c>
      <c r="AT117" s="498" t="n">
        <f aca="false">COUNTIF(FC_SUPUESTOS!$F$201:$F$208,AT$5)*FC_SUPUESTOS!$C$232+IF(AT$5=FC_SUPUESTOS!$F$201,FC_SUPUESTOS!$C$234*FC_SUPUESTOS!$C$201,0)+IF(AT$5=FC_SUPUESTOS!$F$202,FC_SUPUESTOS!$C$234*FC_SUPUESTOS!$C$202,0)</f>
        <v>0</v>
      </c>
      <c r="AU117" s="498" t="n">
        <f aca="false">COUNTIF(FC_SUPUESTOS!$F$201:$F$208,AU$5)*FC_SUPUESTOS!$C$232+IF(AU$5=FC_SUPUESTOS!$F$201,FC_SUPUESTOS!$C$234*FC_SUPUESTOS!$C$201,0)+IF(AU$5=FC_SUPUESTOS!$F$202,FC_SUPUESTOS!$C$234*FC_SUPUESTOS!$C$202,0)</f>
        <v>0</v>
      </c>
      <c r="AV117" s="498" t="n">
        <f aca="false">COUNTIF(FC_SUPUESTOS!$F$201:$F$208,AV$5)*FC_SUPUESTOS!$C$232+IF(AV$5=FC_SUPUESTOS!$F$201,FC_SUPUESTOS!$C$234*FC_SUPUESTOS!$C$201,0)+IF(AV$5=FC_SUPUESTOS!$F$202,FC_SUPUESTOS!$C$234*FC_SUPUESTOS!$C$202,0)</f>
        <v>0</v>
      </c>
      <c r="AW117" s="498" t="n">
        <f aca="false">COUNTIF(FC_SUPUESTOS!$F$201:$F$208,AW$5)*FC_SUPUESTOS!$C$232+IF(AW$5=FC_SUPUESTOS!$F$201,FC_SUPUESTOS!$C$234*FC_SUPUESTOS!$C$201,0)+IF(AW$5=FC_SUPUESTOS!$F$202,FC_SUPUESTOS!$C$234*FC_SUPUESTOS!$C$202,0)</f>
        <v>0</v>
      </c>
      <c r="AX117" s="498" t="n">
        <f aca="false">COUNTIF(FC_SUPUESTOS!$F$201:$F$208,AX$5)*FC_SUPUESTOS!$C$232+IF(AX$5=FC_SUPUESTOS!$F$201,FC_SUPUESTOS!$C$234*FC_SUPUESTOS!$C$201,0)+IF(AX$5=FC_SUPUESTOS!$F$202,FC_SUPUESTOS!$C$234*FC_SUPUESTOS!$C$202,0)</f>
        <v>0</v>
      </c>
      <c r="AY117" s="498" t="n">
        <f aca="false">COUNTIF(FC_SUPUESTOS!$F$201:$F$208,AY$5)*FC_SUPUESTOS!$C$232+IF(AY$5=FC_SUPUESTOS!$F$201,FC_SUPUESTOS!$C$234*FC_SUPUESTOS!$C$201,0)+IF(AY$5=FC_SUPUESTOS!$F$202,FC_SUPUESTOS!$C$234*FC_SUPUESTOS!$C$202,0)</f>
        <v>0</v>
      </c>
      <c r="AZ117" s="498" t="n">
        <f aca="false">COUNTIF(FC_SUPUESTOS!$F$201:$F$208,AZ$5)*FC_SUPUESTOS!$C$232+IF(AZ$5=FC_SUPUESTOS!$F$201,FC_SUPUESTOS!$C$234*FC_SUPUESTOS!$C$201,0)+IF(AZ$5=FC_SUPUESTOS!$F$202,FC_SUPUESTOS!$C$234*FC_SUPUESTOS!$C$202,0)</f>
        <v>0</v>
      </c>
      <c r="BA117" s="498" t="n">
        <f aca="false">COUNTIF(FC_SUPUESTOS!$F$201:$F$208,BA$5)*FC_SUPUESTOS!$C$232+IF(BA$5=FC_SUPUESTOS!$F$201,FC_SUPUESTOS!$C$234*FC_SUPUESTOS!$C$201,0)+IF(BA$5=FC_SUPUESTOS!$F$202,FC_SUPUESTOS!$C$234*FC_SUPUESTOS!$C$202,0)</f>
        <v>0</v>
      </c>
      <c r="BB117" s="498" t="n">
        <f aca="false">COUNTIF(FC_SUPUESTOS!$F$201:$F$208,BB$5)*FC_SUPUESTOS!$C$232+IF(BB$5=FC_SUPUESTOS!$F$201,FC_SUPUESTOS!$C$234*FC_SUPUESTOS!$C$201,0)+IF(BB$5=FC_SUPUESTOS!$F$202,FC_SUPUESTOS!$C$234*FC_SUPUESTOS!$C$202,0)</f>
        <v>0</v>
      </c>
      <c r="BC117" s="498" t="n">
        <f aca="false">COUNTIF(FC_SUPUESTOS!$F$201:$F$208,BC$5)*FC_SUPUESTOS!$C$232+IF(BC$5=FC_SUPUESTOS!$F$201,FC_SUPUESTOS!$C$234*FC_SUPUESTOS!$C$201,0)+IF(BC$5=FC_SUPUESTOS!$F$202,FC_SUPUESTOS!$C$234*FC_SUPUESTOS!$C$202,0)</f>
        <v>0</v>
      </c>
      <c r="BD117" s="498" t="n">
        <f aca="false">COUNTIF(FC_SUPUESTOS!$F$201:$F$208,BD$5)*FC_SUPUESTOS!$C$232+IF(BD$5=FC_SUPUESTOS!$F$201,FC_SUPUESTOS!$C$234*FC_SUPUESTOS!$C$201,0)+IF(BD$5=FC_SUPUESTOS!$F$202,FC_SUPUESTOS!$C$234*FC_SUPUESTOS!$C$202,0)</f>
        <v>0</v>
      </c>
      <c r="BE117" s="498" t="n">
        <f aca="false">COUNTIF(FC_SUPUESTOS!$F$201:$F$208,BE$5)*FC_SUPUESTOS!$C$232+IF(BE$5=FC_SUPUESTOS!$F$201,FC_SUPUESTOS!$C$234*FC_SUPUESTOS!$C$201,0)+IF(BE$5=FC_SUPUESTOS!$F$202,FC_SUPUESTOS!$C$234*FC_SUPUESTOS!$C$202,0)</f>
        <v>0</v>
      </c>
      <c r="BF117" s="498" t="n">
        <f aca="false">COUNTIF(FC_SUPUESTOS!$F$201:$F$208,BF$5)*FC_SUPUESTOS!$C$232+IF(BF$5=FC_SUPUESTOS!$F$201,FC_SUPUESTOS!$C$234*FC_SUPUESTOS!$C$201,0)+IF(BF$5=FC_SUPUESTOS!$F$202,FC_SUPUESTOS!$C$234*FC_SUPUESTOS!$C$202,0)</f>
        <v>0</v>
      </c>
      <c r="BG117" s="498" t="n">
        <f aca="false">COUNTIF(FC_SUPUESTOS!$F$201:$F$208,BG$5)*FC_SUPUESTOS!$C$232+IF(BG$5=FC_SUPUESTOS!$F$201,FC_SUPUESTOS!$C$234*FC_SUPUESTOS!$C$201,0)+IF(BG$5=FC_SUPUESTOS!$F$202,FC_SUPUESTOS!$C$234*FC_SUPUESTOS!$C$202,0)</f>
        <v>0</v>
      </c>
      <c r="BH117" s="498" t="n">
        <f aca="false">COUNTIF(FC_SUPUESTOS!$F$201:$F$208,BH$5)*FC_SUPUESTOS!$C$232+IF(BH$5=FC_SUPUESTOS!$F$201,FC_SUPUESTOS!$C$234*FC_SUPUESTOS!$C$201,0)+IF(BH$5=FC_SUPUESTOS!$F$202,FC_SUPUESTOS!$C$234*FC_SUPUESTOS!$C$202,0)</f>
        <v>0</v>
      </c>
      <c r="BI117" s="498" t="n">
        <f aca="false">COUNTIF(FC_SUPUESTOS!$F$201:$F$208,BI$5)*FC_SUPUESTOS!$C$232+IF(BI$5=FC_SUPUESTOS!$F$201,FC_SUPUESTOS!$C$234*FC_SUPUESTOS!$C$201,0)+IF(BI$5=FC_SUPUESTOS!$F$202,FC_SUPUESTOS!$C$234*FC_SUPUESTOS!$C$202,0)</f>
        <v>0</v>
      </c>
      <c r="BJ117" s="498" t="n">
        <f aca="false">COUNTIF(FC_SUPUESTOS!$F$201:$F$208,BJ$5)*FC_SUPUESTOS!$C$232+IF(BJ$5=FC_SUPUESTOS!$F$201,FC_SUPUESTOS!$C$234*FC_SUPUESTOS!$C$201,0)+IF(BJ$5=FC_SUPUESTOS!$F$202,FC_SUPUESTOS!$C$234*FC_SUPUESTOS!$C$202,0)</f>
        <v>0</v>
      </c>
      <c r="BK117" s="498" t="n">
        <f aca="false">COUNTIF(FC_SUPUESTOS!$F$201:$F$208,BK$5)*FC_SUPUESTOS!$C$232+IF(BK$5=FC_SUPUESTOS!$F$201,FC_SUPUESTOS!$C$234*FC_SUPUESTOS!$C$201,0)+IF(BK$5=FC_SUPUESTOS!$F$202,FC_SUPUESTOS!$C$234*FC_SUPUESTOS!$C$202,0)</f>
        <v>0</v>
      </c>
    </row>
    <row r="118" customFormat="false" ht="15" hidden="false" customHeight="true" outlineLevel="0" collapsed="false">
      <c r="A118" s="218"/>
      <c r="B118" s="499" t="s">
        <v>3011</v>
      </c>
      <c r="C118" s="218"/>
      <c r="D118" s="403" t="n">
        <f aca="false">SUM(D105:D117)</f>
        <v>2870</v>
      </c>
      <c r="E118" s="403" t="n">
        <f aca="false">SUM(E105:E117)</f>
        <v>15715</v>
      </c>
      <c r="F118" s="403" t="n">
        <f aca="false">SUM(F105:F117)</f>
        <v>15715</v>
      </c>
      <c r="G118" s="403" t="n">
        <f aca="false">SUM(G105:G117)</f>
        <v>15715</v>
      </c>
      <c r="H118" s="403" t="n">
        <f aca="false">SUM(H105:H117)</f>
        <v>15715</v>
      </c>
      <c r="I118" s="403" t="n">
        <f aca="false">SUM(I105:I117)</f>
        <v>15715</v>
      </c>
      <c r="J118" s="403" t="n">
        <f aca="false">SUM(J105:J117)</f>
        <v>15715</v>
      </c>
      <c r="K118" s="403" t="n">
        <f aca="false">SUM(K105:K117)</f>
        <v>15715</v>
      </c>
      <c r="L118" s="403" t="n">
        <f aca="false">SUM(L105:L117)</f>
        <v>15715</v>
      </c>
      <c r="M118" s="403" t="n">
        <f aca="false">SUM(M105:M117)</f>
        <v>15715</v>
      </c>
      <c r="N118" s="403" t="n">
        <f aca="false">SUM(N105:N117)</f>
        <v>15715</v>
      </c>
      <c r="O118" s="403" t="n">
        <f aca="false">SUM(O105:O117)</f>
        <v>15715</v>
      </c>
      <c r="P118" s="403" t="n">
        <f aca="false">SUM(P105:P117)</f>
        <v>17850</v>
      </c>
      <c r="Q118" s="403" t="n">
        <f aca="false">SUM(Q105:Q117)</f>
        <v>17850</v>
      </c>
      <c r="R118" s="403" t="n">
        <f aca="false">SUM(R105:R117)</f>
        <v>17850</v>
      </c>
      <c r="S118" s="403" t="n">
        <f aca="false">SUM(S105:S117)</f>
        <v>17850</v>
      </c>
      <c r="T118" s="403" t="n">
        <f aca="false">SUM(T105:T117)</f>
        <v>17850</v>
      </c>
      <c r="U118" s="403" t="n">
        <f aca="false">SUM(U105:U117)</f>
        <v>17850</v>
      </c>
      <c r="V118" s="403" t="n">
        <f aca="false">SUM(V105:V117)</f>
        <v>17850</v>
      </c>
      <c r="W118" s="403" t="n">
        <f aca="false">SUM(W105:W117)</f>
        <v>17850</v>
      </c>
      <c r="X118" s="403" t="n">
        <f aca="false">SUM(X105:X117)</f>
        <v>17850</v>
      </c>
      <c r="Y118" s="403" t="n">
        <f aca="false">SUM(Y105:Y117)</f>
        <v>17850</v>
      </c>
      <c r="Z118" s="403" t="n">
        <f aca="false">SUM(Z105:Z117)</f>
        <v>17850</v>
      </c>
      <c r="AA118" s="403" t="n">
        <f aca="false">SUM(AA105:AA117)</f>
        <v>17850</v>
      </c>
      <c r="AB118" s="403" t="n">
        <f aca="false">SUM(AB105:AB117)</f>
        <v>20750</v>
      </c>
      <c r="AC118" s="403" t="n">
        <f aca="false">SUM(AC105:AC117)</f>
        <v>20750</v>
      </c>
      <c r="AD118" s="403" t="n">
        <f aca="false">SUM(AD105:AD117)</f>
        <v>20750</v>
      </c>
      <c r="AE118" s="403" t="n">
        <f aca="false">SUM(AE105:AE117)</f>
        <v>20750</v>
      </c>
      <c r="AF118" s="403" t="n">
        <f aca="false">SUM(AF105:AF117)</f>
        <v>20750</v>
      </c>
      <c r="AG118" s="403" t="n">
        <f aca="false">SUM(AG105:AG117)</f>
        <v>20750</v>
      </c>
      <c r="AH118" s="403" t="n">
        <f aca="false">SUM(AH105:AH117)</f>
        <v>20750</v>
      </c>
      <c r="AI118" s="403" t="n">
        <f aca="false">SUM(AI105:AI117)</f>
        <v>20750</v>
      </c>
      <c r="AJ118" s="403" t="n">
        <f aca="false">SUM(AJ105:AJ117)</f>
        <v>20750</v>
      </c>
      <c r="AK118" s="403" t="n">
        <f aca="false">SUM(AK105:AK117)</f>
        <v>20750</v>
      </c>
      <c r="AL118" s="403" t="n">
        <f aca="false">SUM(AL105:AL117)</f>
        <v>20750</v>
      </c>
      <c r="AM118" s="403" t="n">
        <f aca="false">SUM(AM105:AM117)</f>
        <v>20750</v>
      </c>
      <c r="AN118" s="403" t="n">
        <f aca="false">SUM(AN105:AN117)</f>
        <v>20750</v>
      </c>
      <c r="AO118" s="403" t="n">
        <f aca="false">SUM(AO105:AO117)</f>
        <v>20750</v>
      </c>
      <c r="AP118" s="403" t="n">
        <f aca="false">SUM(AP105:AP117)</f>
        <v>20750</v>
      </c>
      <c r="AQ118" s="403" t="n">
        <f aca="false">SUM(AQ105:AQ117)</f>
        <v>20750</v>
      </c>
      <c r="AR118" s="403" t="n">
        <f aca="false">SUM(AR105:AR117)</f>
        <v>20750</v>
      </c>
      <c r="AS118" s="403" t="n">
        <f aca="false">SUM(AS105:AS117)</f>
        <v>20750</v>
      </c>
      <c r="AT118" s="403" t="n">
        <f aca="false">SUM(AT105:AT117)</f>
        <v>20750</v>
      </c>
      <c r="AU118" s="403" t="n">
        <f aca="false">SUM(AU105:AU117)</f>
        <v>20750</v>
      </c>
      <c r="AV118" s="403" t="n">
        <f aca="false">SUM(AV105:AV117)</f>
        <v>20750</v>
      </c>
      <c r="AW118" s="403" t="n">
        <f aca="false">SUM(AW105:AW117)</f>
        <v>20750</v>
      </c>
      <c r="AX118" s="403" t="n">
        <f aca="false">SUM(AX105:AX117)</f>
        <v>20750</v>
      </c>
      <c r="AY118" s="403" t="n">
        <f aca="false">SUM(AY105:AY117)</f>
        <v>20750</v>
      </c>
      <c r="AZ118" s="403" t="n">
        <f aca="false">SUM(AZ105:AZ117)</f>
        <v>20750</v>
      </c>
      <c r="BA118" s="403" t="n">
        <f aca="false">SUM(BA105:BA117)</f>
        <v>20750</v>
      </c>
      <c r="BB118" s="403" t="n">
        <f aca="false">SUM(BB105:BB117)</f>
        <v>20750</v>
      </c>
      <c r="BC118" s="403" t="n">
        <f aca="false">SUM(BC105:BC117)</f>
        <v>20750</v>
      </c>
      <c r="BD118" s="403" t="n">
        <f aca="false">SUM(BD105:BD117)</f>
        <v>20750</v>
      </c>
      <c r="BE118" s="403" t="n">
        <f aca="false">SUM(BE105:BE117)</f>
        <v>20750</v>
      </c>
      <c r="BF118" s="403" t="n">
        <f aca="false">SUM(BF105:BF117)</f>
        <v>20750</v>
      </c>
      <c r="BG118" s="403" t="n">
        <f aca="false">SUM(BG105:BG117)</f>
        <v>20750</v>
      </c>
      <c r="BH118" s="403" t="n">
        <f aca="false">SUM(BH105:BH117)</f>
        <v>20750</v>
      </c>
      <c r="BI118" s="403" t="n">
        <f aca="false">SUM(BI105:BI117)</f>
        <v>20750</v>
      </c>
      <c r="BJ118" s="403" t="n">
        <f aca="false">SUM(BJ105:BJ117)</f>
        <v>20750</v>
      </c>
      <c r="BK118" s="403" t="n">
        <f aca="false">SUM(BK105:BK117)</f>
        <v>20750</v>
      </c>
    </row>
    <row r="120" customFormat="false" ht="15" hidden="false" customHeight="true" outlineLevel="0" collapsed="false">
      <c r="A120" s="281" t="s">
        <v>3012</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row>
    <row r="121" customFormat="false" ht="15" hidden="false" customHeight="true" outlineLevel="0" collapsed="false">
      <c r="B121" s="283" t="s">
        <v>3013</v>
      </c>
      <c r="D121" s="498" t="n">
        <f aca="false">IF(D$5&gt;=FC_SUPUESTOS!$C$23-FC_SUPUESTOS!$F$218,FC_SUPUESTOS!$E$218,0)</f>
        <v>0</v>
      </c>
      <c r="E121" s="498" t="n">
        <f aca="false">IF(E$5&gt;=FC_SUPUESTOS!$C$23-FC_SUPUESTOS!$F$218,FC_SUPUESTOS!$E$218,0)</f>
        <v>0</v>
      </c>
      <c r="F121" s="498" t="n">
        <f aca="false">IF(F$5&gt;=FC_SUPUESTOS!$C$23-FC_SUPUESTOS!$F$218,FC_SUPUESTOS!$E$218,0)</f>
        <v>0</v>
      </c>
      <c r="G121" s="498" t="n">
        <f aca="false">IF(G$5&gt;=FC_SUPUESTOS!$C$23-FC_SUPUESTOS!$F$218,FC_SUPUESTOS!$E$218,0)</f>
        <v>0</v>
      </c>
      <c r="H121" s="498" t="n">
        <f aca="false">IF(H$5&gt;=FC_SUPUESTOS!$C$23-FC_SUPUESTOS!$F$218,FC_SUPUESTOS!$E$218,0)</f>
        <v>0</v>
      </c>
      <c r="I121" s="498" t="n">
        <f aca="false">IF(I$5&gt;=FC_SUPUESTOS!$C$23-FC_SUPUESTOS!$F$218,FC_SUPUESTOS!$E$218,0)</f>
        <v>0</v>
      </c>
      <c r="J121" s="498" t="n">
        <f aca="false">IF(J$5&gt;=FC_SUPUESTOS!$C$23-FC_SUPUESTOS!$F$218,FC_SUPUESTOS!$E$218,0)</f>
        <v>0</v>
      </c>
      <c r="K121" s="498" t="n">
        <f aca="false">IF(K$5&gt;=FC_SUPUESTOS!$C$23-FC_SUPUESTOS!$F$218,FC_SUPUESTOS!$E$218,0)</f>
        <v>2900</v>
      </c>
      <c r="L121" s="498" t="n">
        <f aca="false">IF(L$5&gt;=FC_SUPUESTOS!$C$23-FC_SUPUESTOS!$F$218,FC_SUPUESTOS!$E$218,0)</f>
        <v>2900</v>
      </c>
      <c r="M121" s="498" t="n">
        <f aca="false">IF(M$5&gt;=FC_SUPUESTOS!$C$23-FC_SUPUESTOS!$F$218,FC_SUPUESTOS!$E$218,0)</f>
        <v>2900</v>
      </c>
      <c r="N121" s="498" t="n">
        <f aca="false">IF(N$5&gt;=FC_SUPUESTOS!$C$23-FC_SUPUESTOS!$F$218,FC_SUPUESTOS!$E$218,0)</f>
        <v>2900</v>
      </c>
      <c r="O121" s="498" t="n">
        <f aca="false">IF(O$5&gt;=FC_SUPUESTOS!$C$23-FC_SUPUESTOS!$F$218,FC_SUPUESTOS!$E$218,0)</f>
        <v>2900</v>
      </c>
      <c r="P121" s="498" t="n">
        <f aca="false">IF(P$5&gt;=FC_SUPUESTOS!$C$23-FC_SUPUESTOS!$F$218,FC_SUPUESTOS!$E$218,0)</f>
        <v>2900</v>
      </c>
      <c r="Q121" s="498" t="n">
        <f aca="false">IF(Q$5&gt;=FC_SUPUESTOS!$C$23-FC_SUPUESTOS!$F$218,FC_SUPUESTOS!$E$218,0)</f>
        <v>2900</v>
      </c>
      <c r="R121" s="498" t="n">
        <f aca="false">IF(R$5&gt;=FC_SUPUESTOS!$C$23-FC_SUPUESTOS!$F$218,FC_SUPUESTOS!$E$218,0)</f>
        <v>2900</v>
      </c>
      <c r="S121" s="498" t="n">
        <f aca="false">IF(S$5&gt;=FC_SUPUESTOS!$C$23-FC_SUPUESTOS!$F$218,FC_SUPUESTOS!$E$218,0)</f>
        <v>2900</v>
      </c>
      <c r="T121" s="498" t="n">
        <f aca="false">IF(T$5&gt;=FC_SUPUESTOS!$C$23-FC_SUPUESTOS!$F$218,FC_SUPUESTOS!$E$218,0)</f>
        <v>2900</v>
      </c>
      <c r="U121" s="498" t="n">
        <f aca="false">IF(U$5&gt;=FC_SUPUESTOS!$C$23-FC_SUPUESTOS!$F$218,FC_SUPUESTOS!$E$218,0)</f>
        <v>2900</v>
      </c>
      <c r="V121" s="498" t="n">
        <f aca="false">IF(V$5&gt;=FC_SUPUESTOS!$C$23-FC_SUPUESTOS!$F$218,FC_SUPUESTOS!$E$218,0)</f>
        <v>2900</v>
      </c>
      <c r="W121" s="498" t="n">
        <f aca="false">IF(W$5&gt;=FC_SUPUESTOS!$C$23-FC_SUPUESTOS!$F$218,FC_SUPUESTOS!$E$218,0)</f>
        <v>2900</v>
      </c>
      <c r="X121" s="498" t="n">
        <f aca="false">IF(X$5&gt;=FC_SUPUESTOS!$C$23-FC_SUPUESTOS!$F$218,FC_SUPUESTOS!$E$218,0)</f>
        <v>2900</v>
      </c>
      <c r="Y121" s="498" t="n">
        <f aca="false">IF(Y$5&gt;=FC_SUPUESTOS!$C$23-FC_SUPUESTOS!$F$218,FC_SUPUESTOS!$E$218,0)</f>
        <v>2900</v>
      </c>
      <c r="Z121" s="498" t="n">
        <f aca="false">IF(Z$5&gt;=FC_SUPUESTOS!$C$23-FC_SUPUESTOS!$F$218,FC_SUPUESTOS!$E$218,0)</f>
        <v>2900</v>
      </c>
      <c r="AA121" s="498" t="n">
        <f aca="false">IF(AA$5&gt;=FC_SUPUESTOS!$C$23-FC_SUPUESTOS!$F$218,FC_SUPUESTOS!$E$218,0)</f>
        <v>2900</v>
      </c>
      <c r="AB121" s="498" t="n">
        <f aca="false">IF(AB$5&gt;=FC_SUPUESTOS!$C$23-FC_SUPUESTOS!$F$218,FC_SUPUESTOS!$E$218,0)</f>
        <v>2900</v>
      </c>
      <c r="AC121" s="498" t="n">
        <f aca="false">IF(AC$5&gt;=FC_SUPUESTOS!$C$23-FC_SUPUESTOS!$F$218,FC_SUPUESTOS!$E$218,0)</f>
        <v>2900</v>
      </c>
      <c r="AD121" s="498" t="n">
        <f aca="false">IF(AD$5&gt;=FC_SUPUESTOS!$C$23-FC_SUPUESTOS!$F$218,FC_SUPUESTOS!$E$218,0)</f>
        <v>2900</v>
      </c>
      <c r="AE121" s="498" t="n">
        <f aca="false">IF(AE$5&gt;=FC_SUPUESTOS!$C$23-FC_SUPUESTOS!$F$218,FC_SUPUESTOS!$E$218,0)</f>
        <v>2900</v>
      </c>
      <c r="AF121" s="498" t="n">
        <f aca="false">IF(AF$5&gt;=FC_SUPUESTOS!$C$23-FC_SUPUESTOS!$F$218,FC_SUPUESTOS!$E$218,0)</f>
        <v>2900</v>
      </c>
      <c r="AG121" s="498" t="n">
        <f aca="false">IF(AG$5&gt;=FC_SUPUESTOS!$C$23-FC_SUPUESTOS!$F$218,FC_SUPUESTOS!$E$218,0)</f>
        <v>2900</v>
      </c>
      <c r="AH121" s="498" t="n">
        <f aca="false">IF(AH$5&gt;=FC_SUPUESTOS!$C$23-FC_SUPUESTOS!$F$218,FC_SUPUESTOS!$E$218,0)</f>
        <v>2900</v>
      </c>
      <c r="AI121" s="498" t="n">
        <f aca="false">IF(AI$5&gt;=FC_SUPUESTOS!$C$23-FC_SUPUESTOS!$F$218,FC_SUPUESTOS!$E$218,0)</f>
        <v>2900</v>
      </c>
      <c r="AJ121" s="498" t="n">
        <f aca="false">IF(AJ$5&gt;=FC_SUPUESTOS!$C$23-FC_SUPUESTOS!$F$218,FC_SUPUESTOS!$E$218,0)</f>
        <v>2900</v>
      </c>
      <c r="AK121" s="498" t="n">
        <f aca="false">IF(AK$5&gt;=FC_SUPUESTOS!$C$23-FC_SUPUESTOS!$F$218,FC_SUPUESTOS!$E$218,0)</f>
        <v>2900</v>
      </c>
      <c r="AL121" s="498" t="n">
        <f aca="false">IF(AL$5&gt;=FC_SUPUESTOS!$C$23-FC_SUPUESTOS!$F$218,FC_SUPUESTOS!$E$218,0)</f>
        <v>2900</v>
      </c>
      <c r="AM121" s="498" t="n">
        <f aca="false">IF(AM$5&gt;=FC_SUPUESTOS!$C$23-FC_SUPUESTOS!$F$218,FC_SUPUESTOS!$E$218,0)</f>
        <v>2900</v>
      </c>
      <c r="AN121" s="498" t="n">
        <f aca="false">IF(AN$5&gt;=FC_SUPUESTOS!$C$23-FC_SUPUESTOS!$F$218,FC_SUPUESTOS!$E$218,0)</f>
        <v>2900</v>
      </c>
      <c r="AO121" s="498" t="n">
        <f aca="false">IF(AO$5&gt;=FC_SUPUESTOS!$C$23-FC_SUPUESTOS!$F$218,FC_SUPUESTOS!$E$218,0)</f>
        <v>2900</v>
      </c>
      <c r="AP121" s="498" t="n">
        <f aca="false">IF(AP$5&gt;=FC_SUPUESTOS!$C$23-FC_SUPUESTOS!$F$218,FC_SUPUESTOS!$E$218,0)</f>
        <v>2900</v>
      </c>
      <c r="AQ121" s="498" t="n">
        <f aca="false">IF(AQ$5&gt;=FC_SUPUESTOS!$C$23-FC_SUPUESTOS!$F$218,FC_SUPUESTOS!$E$218,0)</f>
        <v>2900</v>
      </c>
      <c r="AR121" s="498" t="n">
        <f aca="false">IF(AR$5&gt;=FC_SUPUESTOS!$C$23-FC_SUPUESTOS!$F$218,FC_SUPUESTOS!$E$218,0)</f>
        <v>2900</v>
      </c>
      <c r="AS121" s="498" t="n">
        <f aca="false">IF(AS$5&gt;=FC_SUPUESTOS!$C$23-FC_SUPUESTOS!$F$218,FC_SUPUESTOS!$E$218,0)</f>
        <v>2900</v>
      </c>
      <c r="AT121" s="498" t="n">
        <f aca="false">IF(AT$5&gt;=FC_SUPUESTOS!$C$23-FC_SUPUESTOS!$F$218,FC_SUPUESTOS!$E$218,0)</f>
        <v>2900</v>
      </c>
      <c r="AU121" s="498" t="n">
        <f aca="false">IF(AU$5&gt;=FC_SUPUESTOS!$C$23-FC_SUPUESTOS!$F$218,FC_SUPUESTOS!$E$218,0)</f>
        <v>2900</v>
      </c>
      <c r="AV121" s="498" t="n">
        <f aca="false">IF(AV$5&gt;=FC_SUPUESTOS!$C$23-FC_SUPUESTOS!$F$218,FC_SUPUESTOS!$E$218,0)</f>
        <v>2900</v>
      </c>
      <c r="AW121" s="498" t="n">
        <f aca="false">IF(AW$5&gt;=FC_SUPUESTOS!$C$23-FC_SUPUESTOS!$F$218,FC_SUPUESTOS!$E$218,0)</f>
        <v>2900</v>
      </c>
      <c r="AX121" s="498" t="n">
        <f aca="false">IF(AX$5&gt;=FC_SUPUESTOS!$C$23-FC_SUPUESTOS!$F$218,FC_SUPUESTOS!$E$218,0)</f>
        <v>2900</v>
      </c>
      <c r="AY121" s="498" t="n">
        <f aca="false">IF(AY$5&gt;=FC_SUPUESTOS!$C$23-FC_SUPUESTOS!$F$218,FC_SUPUESTOS!$E$218,0)</f>
        <v>2900</v>
      </c>
      <c r="AZ121" s="498" t="n">
        <f aca="false">IF(AZ$5&gt;=FC_SUPUESTOS!$C$23-FC_SUPUESTOS!$F$218,FC_SUPUESTOS!$E$218,0)</f>
        <v>2900</v>
      </c>
      <c r="BA121" s="498" t="n">
        <f aca="false">IF(BA$5&gt;=FC_SUPUESTOS!$C$23-FC_SUPUESTOS!$F$218,FC_SUPUESTOS!$E$218,0)</f>
        <v>2900</v>
      </c>
      <c r="BB121" s="498" t="n">
        <f aca="false">IF(BB$5&gt;=FC_SUPUESTOS!$C$23-FC_SUPUESTOS!$F$218,FC_SUPUESTOS!$E$218,0)</f>
        <v>2900</v>
      </c>
      <c r="BC121" s="498" t="n">
        <f aca="false">IF(BC$5&gt;=FC_SUPUESTOS!$C$23-FC_SUPUESTOS!$F$218,FC_SUPUESTOS!$E$218,0)</f>
        <v>2900</v>
      </c>
      <c r="BD121" s="498" t="n">
        <f aca="false">IF(BD$5&gt;=FC_SUPUESTOS!$C$23-FC_SUPUESTOS!$F$218,FC_SUPUESTOS!$E$218,0)</f>
        <v>2900</v>
      </c>
      <c r="BE121" s="498" t="n">
        <f aca="false">IF(BE$5&gt;=FC_SUPUESTOS!$C$23-FC_SUPUESTOS!$F$218,FC_SUPUESTOS!$E$218,0)</f>
        <v>2900</v>
      </c>
      <c r="BF121" s="498" t="n">
        <f aca="false">IF(BF$5&gt;=FC_SUPUESTOS!$C$23-FC_SUPUESTOS!$F$218,FC_SUPUESTOS!$E$218,0)</f>
        <v>2900</v>
      </c>
      <c r="BG121" s="498" t="n">
        <f aca="false">IF(BG$5&gt;=FC_SUPUESTOS!$C$23-FC_SUPUESTOS!$F$218,FC_SUPUESTOS!$E$218,0)</f>
        <v>2900</v>
      </c>
      <c r="BH121" s="498" t="n">
        <f aca="false">IF(BH$5&gt;=FC_SUPUESTOS!$C$23-FC_SUPUESTOS!$F$218,FC_SUPUESTOS!$E$218,0)</f>
        <v>2900</v>
      </c>
      <c r="BI121" s="498" t="n">
        <f aca="false">IF(BI$5&gt;=FC_SUPUESTOS!$C$23-FC_SUPUESTOS!$F$218,FC_SUPUESTOS!$E$218,0)</f>
        <v>2900</v>
      </c>
      <c r="BJ121" s="498" t="n">
        <f aca="false">IF(BJ$5&gt;=FC_SUPUESTOS!$C$23-FC_SUPUESTOS!$F$218,FC_SUPUESTOS!$E$218,0)</f>
        <v>2900</v>
      </c>
      <c r="BK121" s="498" t="n">
        <f aca="false">IF(BK$5&gt;=FC_SUPUESTOS!$C$23-FC_SUPUESTOS!$F$218,FC_SUPUESTOS!$E$218,0)</f>
        <v>2900</v>
      </c>
    </row>
    <row r="122" customFormat="false" ht="15" hidden="false" customHeight="true" outlineLevel="0" collapsed="false">
      <c r="B122" s="283" t="s">
        <v>3014</v>
      </c>
      <c r="D122" s="498" t="n">
        <f aca="false">IF(D$5&gt;=FC_SUPUESTOS!$C$23-FC_SUPUESTOS!$F$219,FC_SUPUESTOS!$E$219,0)</f>
        <v>0</v>
      </c>
      <c r="E122" s="498" t="n">
        <f aca="false">IF(E$5&gt;=FC_SUPUESTOS!$C$23-FC_SUPUESTOS!$F$219,FC_SUPUESTOS!$E$219,0)</f>
        <v>0</v>
      </c>
      <c r="F122" s="498" t="n">
        <f aca="false">IF(F$5&gt;=FC_SUPUESTOS!$C$23-FC_SUPUESTOS!$F$219,FC_SUPUESTOS!$E$219,0)</f>
        <v>0</v>
      </c>
      <c r="G122" s="498" t="n">
        <f aca="false">IF(G$5&gt;=FC_SUPUESTOS!$C$23-FC_SUPUESTOS!$F$219,FC_SUPUESTOS!$E$219,0)</f>
        <v>0</v>
      </c>
      <c r="H122" s="498" t="n">
        <f aca="false">IF(H$5&gt;=FC_SUPUESTOS!$C$23-FC_SUPUESTOS!$F$219,FC_SUPUESTOS!$E$219,0)</f>
        <v>0</v>
      </c>
      <c r="I122" s="498" t="n">
        <f aca="false">IF(I$5&gt;=FC_SUPUESTOS!$C$23-FC_SUPUESTOS!$F$219,FC_SUPUESTOS!$E$219,0)</f>
        <v>0</v>
      </c>
      <c r="J122" s="498" t="n">
        <f aca="false">IF(J$5&gt;=FC_SUPUESTOS!$C$23-FC_SUPUESTOS!$F$219,FC_SUPUESTOS!$E$219,0)</f>
        <v>0</v>
      </c>
      <c r="K122" s="498" t="n">
        <f aca="false">IF(K$5&gt;=FC_SUPUESTOS!$C$23-FC_SUPUESTOS!$F$219,FC_SUPUESTOS!$E$219,0)</f>
        <v>0</v>
      </c>
      <c r="L122" s="498" t="n">
        <f aca="false">IF(L$5&gt;=FC_SUPUESTOS!$C$23-FC_SUPUESTOS!$F$219,FC_SUPUESTOS!$E$219,0)</f>
        <v>1295</v>
      </c>
      <c r="M122" s="498" t="n">
        <f aca="false">IF(M$5&gt;=FC_SUPUESTOS!$C$23-FC_SUPUESTOS!$F$219,FC_SUPUESTOS!$E$219,0)</f>
        <v>1295</v>
      </c>
      <c r="N122" s="498" t="n">
        <f aca="false">IF(N$5&gt;=FC_SUPUESTOS!$C$23-FC_SUPUESTOS!$F$219,FC_SUPUESTOS!$E$219,0)</f>
        <v>1295</v>
      </c>
      <c r="O122" s="498" t="n">
        <f aca="false">IF(O$5&gt;=FC_SUPUESTOS!$C$23-FC_SUPUESTOS!$F$219,FC_SUPUESTOS!$E$219,0)</f>
        <v>1295</v>
      </c>
      <c r="P122" s="498" t="n">
        <f aca="false">IF(P$5&gt;=FC_SUPUESTOS!$C$23-FC_SUPUESTOS!$F$219,FC_SUPUESTOS!$E$219,0)</f>
        <v>1295</v>
      </c>
      <c r="Q122" s="498" t="n">
        <f aca="false">IF(Q$5&gt;=FC_SUPUESTOS!$C$23-FC_SUPUESTOS!$F$219,FC_SUPUESTOS!$E$219,0)</f>
        <v>1295</v>
      </c>
      <c r="R122" s="498" t="n">
        <f aca="false">IF(R$5&gt;=FC_SUPUESTOS!$C$23-FC_SUPUESTOS!$F$219,FC_SUPUESTOS!$E$219,0)</f>
        <v>1295</v>
      </c>
      <c r="S122" s="498" t="n">
        <f aca="false">IF(S$5&gt;=FC_SUPUESTOS!$C$23-FC_SUPUESTOS!$F$219,FC_SUPUESTOS!$E$219,0)</f>
        <v>1295</v>
      </c>
      <c r="T122" s="498" t="n">
        <f aca="false">IF(T$5&gt;=FC_SUPUESTOS!$C$23-FC_SUPUESTOS!$F$219,FC_SUPUESTOS!$E$219,0)</f>
        <v>1295</v>
      </c>
      <c r="U122" s="498" t="n">
        <f aca="false">IF(U$5&gt;=FC_SUPUESTOS!$C$23-FC_SUPUESTOS!$F$219,FC_SUPUESTOS!$E$219,0)</f>
        <v>1295</v>
      </c>
      <c r="V122" s="498" t="n">
        <f aca="false">IF(V$5&gt;=FC_SUPUESTOS!$C$23-FC_SUPUESTOS!$F$219,FC_SUPUESTOS!$E$219,0)</f>
        <v>1295</v>
      </c>
      <c r="W122" s="498" t="n">
        <f aca="false">IF(W$5&gt;=FC_SUPUESTOS!$C$23-FC_SUPUESTOS!$F$219,FC_SUPUESTOS!$E$219,0)</f>
        <v>1295</v>
      </c>
      <c r="X122" s="498" t="n">
        <f aca="false">IF(X$5&gt;=FC_SUPUESTOS!$C$23-FC_SUPUESTOS!$F$219,FC_SUPUESTOS!$E$219,0)</f>
        <v>1295</v>
      </c>
      <c r="Y122" s="498" t="n">
        <f aca="false">IF(Y$5&gt;=FC_SUPUESTOS!$C$23-FC_SUPUESTOS!$F$219,FC_SUPUESTOS!$E$219,0)</f>
        <v>1295</v>
      </c>
      <c r="Z122" s="498" t="n">
        <f aca="false">IF(Z$5&gt;=FC_SUPUESTOS!$C$23-FC_SUPUESTOS!$F$219,FC_SUPUESTOS!$E$219,0)</f>
        <v>1295</v>
      </c>
      <c r="AA122" s="498" t="n">
        <f aca="false">IF(AA$5&gt;=FC_SUPUESTOS!$C$23-FC_SUPUESTOS!$F$219,FC_SUPUESTOS!$E$219,0)</f>
        <v>1295</v>
      </c>
      <c r="AB122" s="498" t="n">
        <f aca="false">IF(AB$5&gt;=FC_SUPUESTOS!$C$23-FC_SUPUESTOS!$F$219,FC_SUPUESTOS!$E$219,0)</f>
        <v>1295</v>
      </c>
      <c r="AC122" s="498" t="n">
        <f aca="false">IF(AC$5&gt;=FC_SUPUESTOS!$C$23-FC_SUPUESTOS!$F$219,FC_SUPUESTOS!$E$219,0)</f>
        <v>1295</v>
      </c>
      <c r="AD122" s="498" t="n">
        <f aca="false">IF(AD$5&gt;=FC_SUPUESTOS!$C$23-FC_SUPUESTOS!$F$219,FC_SUPUESTOS!$E$219,0)</f>
        <v>1295</v>
      </c>
      <c r="AE122" s="498" t="n">
        <f aca="false">IF(AE$5&gt;=FC_SUPUESTOS!$C$23-FC_SUPUESTOS!$F$219,FC_SUPUESTOS!$E$219,0)</f>
        <v>1295</v>
      </c>
      <c r="AF122" s="498" t="n">
        <f aca="false">IF(AF$5&gt;=FC_SUPUESTOS!$C$23-FC_SUPUESTOS!$F$219,FC_SUPUESTOS!$E$219,0)</f>
        <v>1295</v>
      </c>
      <c r="AG122" s="498" t="n">
        <f aca="false">IF(AG$5&gt;=FC_SUPUESTOS!$C$23-FC_SUPUESTOS!$F$219,FC_SUPUESTOS!$E$219,0)</f>
        <v>1295</v>
      </c>
      <c r="AH122" s="498" t="n">
        <f aca="false">IF(AH$5&gt;=FC_SUPUESTOS!$C$23-FC_SUPUESTOS!$F$219,FC_SUPUESTOS!$E$219,0)</f>
        <v>1295</v>
      </c>
      <c r="AI122" s="498" t="n">
        <f aca="false">IF(AI$5&gt;=FC_SUPUESTOS!$C$23-FC_SUPUESTOS!$F$219,FC_SUPUESTOS!$E$219,0)</f>
        <v>1295</v>
      </c>
      <c r="AJ122" s="498" t="n">
        <f aca="false">IF(AJ$5&gt;=FC_SUPUESTOS!$C$23-FC_SUPUESTOS!$F$219,FC_SUPUESTOS!$E$219,0)</f>
        <v>1295</v>
      </c>
      <c r="AK122" s="498" t="n">
        <f aca="false">IF(AK$5&gt;=FC_SUPUESTOS!$C$23-FC_SUPUESTOS!$F$219,FC_SUPUESTOS!$E$219,0)</f>
        <v>1295</v>
      </c>
      <c r="AL122" s="498" t="n">
        <f aca="false">IF(AL$5&gt;=FC_SUPUESTOS!$C$23-FC_SUPUESTOS!$F$219,FC_SUPUESTOS!$E$219,0)</f>
        <v>1295</v>
      </c>
      <c r="AM122" s="498" t="n">
        <f aca="false">IF(AM$5&gt;=FC_SUPUESTOS!$C$23-FC_SUPUESTOS!$F$219,FC_SUPUESTOS!$E$219,0)</f>
        <v>1295</v>
      </c>
      <c r="AN122" s="498" t="n">
        <f aca="false">IF(AN$5&gt;=FC_SUPUESTOS!$C$23-FC_SUPUESTOS!$F$219,FC_SUPUESTOS!$E$219,0)</f>
        <v>1295</v>
      </c>
      <c r="AO122" s="498" t="n">
        <f aca="false">IF(AO$5&gt;=FC_SUPUESTOS!$C$23-FC_SUPUESTOS!$F$219,FC_SUPUESTOS!$E$219,0)</f>
        <v>1295</v>
      </c>
      <c r="AP122" s="498" t="n">
        <f aca="false">IF(AP$5&gt;=FC_SUPUESTOS!$C$23-FC_SUPUESTOS!$F$219,FC_SUPUESTOS!$E$219,0)</f>
        <v>1295</v>
      </c>
      <c r="AQ122" s="498" t="n">
        <f aca="false">IF(AQ$5&gt;=FC_SUPUESTOS!$C$23-FC_SUPUESTOS!$F$219,FC_SUPUESTOS!$E$219,0)</f>
        <v>1295</v>
      </c>
      <c r="AR122" s="498" t="n">
        <f aca="false">IF(AR$5&gt;=FC_SUPUESTOS!$C$23-FC_SUPUESTOS!$F$219,FC_SUPUESTOS!$E$219,0)</f>
        <v>1295</v>
      </c>
      <c r="AS122" s="498" t="n">
        <f aca="false">IF(AS$5&gt;=FC_SUPUESTOS!$C$23-FC_SUPUESTOS!$F$219,FC_SUPUESTOS!$E$219,0)</f>
        <v>1295</v>
      </c>
      <c r="AT122" s="498" t="n">
        <f aca="false">IF(AT$5&gt;=FC_SUPUESTOS!$C$23-FC_SUPUESTOS!$F$219,FC_SUPUESTOS!$E$219,0)</f>
        <v>1295</v>
      </c>
      <c r="AU122" s="498" t="n">
        <f aca="false">IF(AU$5&gt;=FC_SUPUESTOS!$C$23-FC_SUPUESTOS!$F$219,FC_SUPUESTOS!$E$219,0)</f>
        <v>1295</v>
      </c>
      <c r="AV122" s="498" t="n">
        <f aca="false">IF(AV$5&gt;=FC_SUPUESTOS!$C$23-FC_SUPUESTOS!$F$219,FC_SUPUESTOS!$E$219,0)</f>
        <v>1295</v>
      </c>
      <c r="AW122" s="498" t="n">
        <f aca="false">IF(AW$5&gt;=FC_SUPUESTOS!$C$23-FC_SUPUESTOS!$F$219,FC_SUPUESTOS!$E$219,0)</f>
        <v>1295</v>
      </c>
      <c r="AX122" s="498" t="n">
        <f aca="false">IF(AX$5&gt;=FC_SUPUESTOS!$C$23-FC_SUPUESTOS!$F$219,FC_SUPUESTOS!$E$219,0)</f>
        <v>1295</v>
      </c>
      <c r="AY122" s="498" t="n">
        <f aca="false">IF(AY$5&gt;=FC_SUPUESTOS!$C$23-FC_SUPUESTOS!$F$219,FC_SUPUESTOS!$E$219,0)</f>
        <v>1295</v>
      </c>
      <c r="AZ122" s="498" t="n">
        <f aca="false">IF(AZ$5&gt;=FC_SUPUESTOS!$C$23-FC_SUPUESTOS!$F$219,FC_SUPUESTOS!$E$219,0)</f>
        <v>1295</v>
      </c>
      <c r="BA122" s="498" t="n">
        <f aca="false">IF(BA$5&gt;=FC_SUPUESTOS!$C$23-FC_SUPUESTOS!$F$219,FC_SUPUESTOS!$E$219,0)</f>
        <v>1295</v>
      </c>
      <c r="BB122" s="498" t="n">
        <f aca="false">IF(BB$5&gt;=FC_SUPUESTOS!$C$23-FC_SUPUESTOS!$F$219,FC_SUPUESTOS!$E$219,0)</f>
        <v>1295</v>
      </c>
      <c r="BC122" s="498" t="n">
        <f aca="false">IF(BC$5&gt;=FC_SUPUESTOS!$C$23-FC_SUPUESTOS!$F$219,FC_SUPUESTOS!$E$219,0)</f>
        <v>1295</v>
      </c>
      <c r="BD122" s="498" t="n">
        <f aca="false">IF(BD$5&gt;=FC_SUPUESTOS!$C$23-FC_SUPUESTOS!$F$219,FC_SUPUESTOS!$E$219,0)</f>
        <v>1295</v>
      </c>
      <c r="BE122" s="498" t="n">
        <f aca="false">IF(BE$5&gt;=FC_SUPUESTOS!$C$23-FC_SUPUESTOS!$F$219,FC_SUPUESTOS!$E$219,0)</f>
        <v>1295</v>
      </c>
      <c r="BF122" s="498" t="n">
        <f aca="false">IF(BF$5&gt;=FC_SUPUESTOS!$C$23-FC_SUPUESTOS!$F$219,FC_SUPUESTOS!$E$219,0)</f>
        <v>1295</v>
      </c>
      <c r="BG122" s="498" t="n">
        <f aca="false">IF(BG$5&gt;=FC_SUPUESTOS!$C$23-FC_SUPUESTOS!$F$219,FC_SUPUESTOS!$E$219,0)</f>
        <v>1295</v>
      </c>
      <c r="BH122" s="498" t="n">
        <f aca="false">IF(BH$5&gt;=FC_SUPUESTOS!$C$23-FC_SUPUESTOS!$F$219,FC_SUPUESTOS!$E$219,0)</f>
        <v>1295</v>
      </c>
      <c r="BI122" s="498" t="n">
        <f aca="false">IF(BI$5&gt;=FC_SUPUESTOS!$C$23-FC_SUPUESTOS!$F$219,FC_SUPUESTOS!$E$219,0)</f>
        <v>1295</v>
      </c>
      <c r="BJ122" s="498" t="n">
        <f aca="false">IF(BJ$5&gt;=FC_SUPUESTOS!$C$23-FC_SUPUESTOS!$F$219,FC_SUPUESTOS!$E$219,0)</f>
        <v>1295</v>
      </c>
      <c r="BK122" s="498" t="n">
        <f aca="false">IF(BK$5&gt;=FC_SUPUESTOS!$C$23-FC_SUPUESTOS!$F$219,FC_SUPUESTOS!$E$219,0)</f>
        <v>1295</v>
      </c>
    </row>
    <row r="123" customFormat="false" ht="15" hidden="false" customHeight="true" outlineLevel="0" collapsed="false">
      <c r="B123" s="283" t="s">
        <v>3015</v>
      </c>
      <c r="D123" s="498" t="n">
        <f aca="false">IF(D$5&gt;=FC_SUPUESTOS!$C$23-FC_SUPUESTOS!$F$220,FC_SUPUESTOS!$E$220,0)</f>
        <v>0</v>
      </c>
      <c r="E123" s="498" t="n">
        <f aca="false">IF(E$5&gt;=FC_SUPUESTOS!$C$23-FC_SUPUESTOS!$F$220,FC_SUPUESTOS!$E$220,0)</f>
        <v>0</v>
      </c>
      <c r="F123" s="498" t="n">
        <f aca="false">IF(F$5&gt;=FC_SUPUESTOS!$C$23-FC_SUPUESTOS!$F$220,FC_SUPUESTOS!$E$220,0)</f>
        <v>0</v>
      </c>
      <c r="G123" s="498" t="n">
        <f aca="false">IF(G$5&gt;=FC_SUPUESTOS!$C$23-FC_SUPUESTOS!$F$220,FC_SUPUESTOS!$E$220,0)</f>
        <v>0</v>
      </c>
      <c r="H123" s="498" t="n">
        <f aca="false">IF(H$5&gt;=FC_SUPUESTOS!$C$23-FC_SUPUESTOS!$F$220,FC_SUPUESTOS!$E$220,0)</f>
        <v>0</v>
      </c>
      <c r="I123" s="498" t="n">
        <f aca="false">IF(I$5&gt;=FC_SUPUESTOS!$C$23-FC_SUPUESTOS!$F$220,FC_SUPUESTOS!$E$220,0)</f>
        <v>0</v>
      </c>
      <c r="J123" s="498" t="n">
        <f aca="false">IF(J$5&gt;=FC_SUPUESTOS!$C$23-FC_SUPUESTOS!$F$220,FC_SUPUESTOS!$E$220,0)</f>
        <v>0</v>
      </c>
      <c r="K123" s="498" t="n">
        <f aca="false">IF(K$5&gt;=FC_SUPUESTOS!$C$23-FC_SUPUESTOS!$F$220,FC_SUPUESTOS!$E$220,0)</f>
        <v>0</v>
      </c>
      <c r="L123" s="498" t="n">
        <f aca="false">IF(L$5&gt;=FC_SUPUESTOS!$C$23-FC_SUPUESTOS!$F$220,FC_SUPUESTOS!$E$220,0)</f>
        <v>4440</v>
      </c>
      <c r="M123" s="498" t="n">
        <f aca="false">IF(M$5&gt;=FC_SUPUESTOS!$C$23-FC_SUPUESTOS!$F$220,FC_SUPUESTOS!$E$220,0)</f>
        <v>4440</v>
      </c>
      <c r="N123" s="498" t="n">
        <f aca="false">IF(N$5&gt;=FC_SUPUESTOS!$C$23-FC_SUPUESTOS!$F$220,FC_SUPUESTOS!$E$220,0)</f>
        <v>4440</v>
      </c>
      <c r="O123" s="498" t="n">
        <f aca="false">IF(O$5&gt;=FC_SUPUESTOS!$C$23-FC_SUPUESTOS!$F$220,FC_SUPUESTOS!$E$220,0)</f>
        <v>4440</v>
      </c>
      <c r="P123" s="498" t="n">
        <f aca="false">IF(P$5&gt;=FC_SUPUESTOS!$C$23-FC_SUPUESTOS!$F$220,FC_SUPUESTOS!$E$220,0)</f>
        <v>4440</v>
      </c>
      <c r="Q123" s="498" t="n">
        <f aca="false">IF(Q$5&gt;=FC_SUPUESTOS!$C$23-FC_SUPUESTOS!$F$220,FC_SUPUESTOS!$E$220,0)</f>
        <v>4440</v>
      </c>
      <c r="R123" s="498" t="n">
        <f aca="false">IF(R$5&gt;=FC_SUPUESTOS!$C$23-FC_SUPUESTOS!$F$220,FC_SUPUESTOS!$E$220,0)</f>
        <v>4440</v>
      </c>
      <c r="S123" s="498" t="n">
        <f aca="false">IF(S$5&gt;=FC_SUPUESTOS!$C$23-FC_SUPUESTOS!$F$220,FC_SUPUESTOS!$E$220,0)</f>
        <v>4440</v>
      </c>
      <c r="T123" s="498" t="n">
        <f aca="false">IF(T$5&gt;=FC_SUPUESTOS!$C$23-FC_SUPUESTOS!$F$220,FC_SUPUESTOS!$E$220,0)</f>
        <v>4440</v>
      </c>
      <c r="U123" s="498" t="n">
        <f aca="false">IF(U$5&gt;=FC_SUPUESTOS!$C$23-FC_SUPUESTOS!$F$220,FC_SUPUESTOS!$E$220,0)</f>
        <v>4440</v>
      </c>
      <c r="V123" s="498" t="n">
        <f aca="false">IF(V$5&gt;=FC_SUPUESTOS!$C$23-FC_SUPUESTOS!$F$220,FC_SUPUESTOS!$E$220,0)</f>
        <v>4440</v>
      </c>
      <c r="W123" s="498" t="n">
        <f aca="false">IF(W$5&gt;=FC_SUPUESTOS!$C$23-FC_SUPUESTOS!$F$220,FC_SUPUESTOS!$E$220,0)</f>
        <v>4440</v>
      </c>
      <c r="X123" s="498" t="n">
        <f aca="false">IF(X$5&gt;=FC_SUPUESTOS!$C$23-FC_SUPUESTOS!$F$220,FC_SUPUESTOS!$E$220,0)</f>
        <v>4440</v>
      </c>
      <c r="Y123" s="498" t="n">
        <f aca="false">IF(Y$5&gt;=FC_SUPUESTOS!$C$23-FC_SUPUESTOS!$F$220,FC_SUPUESTOS!$E$220,0)</f>
        <v>4440</v>
      </c>
      <c r="Z123" s="498" t="n">
        <f aca="false">IF(Z$5&gt;=FC_SUPUESTOS!$C$23-FC_SUPUESTOS!$F$220,FC_SUPUESTOS!$E$220,0)</f>
        <v>4440</v>
      </c>
      <c r="AA123" s="498" t="n">
        <f aca="false">IF(AA$5&gt;=FC_SUPUESTOS!$C$23-FC_SUPUESTOS!$F$220,FC_SUPUESTOS!$E$220,0)</f>
        <v>4440</v>
      </c>
      <c r="AB123" s="498" t="n">
        <f aca="false">IF(AB$5&gt;=FC_SUPUESTOS!$C$23-FC_SUPUESTOS!$F$220,FC_SUPUESTOS!$E$220,0)</f>
        <v>4440</v>
      </c>
      <c r="AC123" s="498" t="n">
        <f aca="false">IF(AC$5&gt;=FC_SUPUESTOS!$C$23-FC_SUPUESTOS!$F$220,FC_SUPUESTOS!$E$220,0)</f>
        <v>4440</v>
      </c>
      <c r="AD123" s="498" t="n">
        <f aca="false">IF(AD$5&gt;=FC_SUPUESTOS!$C$23-FC_SUPUESTOS!$F$220,FC_SUPUESTOS!$E$220,0)</f>
        <v>4440</v>
      </c>
      <c r="AE123" s="498" t="n">
        <f aca="false">IF(AE$5&gt;=FC_SUPUESTOS!$C$23-FC_SUPUESTOS!$F$220,FC_SUPUESTOS!$E$220,0)</f>
        <v>4440</v>
      </c>
      <c r="AF123" s="498" t="n">
        <f aca="false">IF(AF$5&gt;=FC_SUPUESTOS!$C$23-FC_SUPUESTOS!$F$220,FC_SUPUESTOS!$E$220,0)</f>
        <v>4440</v>
      </c>
      <c r="AG123" s="498" t="n">
        <f aca="false">IF(AG$5&gt;=FC_SUPUESTOS!$C$23-FC_SUPUESTOS!$F$220,FC_SUPUESTOS!$E$220,0)</f>
        <v>4440</v>
      </c>
      <c r="AH123" s="498" t="n">
        <f aca="false">IF(AH$5&gt;=FC_SUPUESTOS!$C$23-FC_SUPUESTOS!$F$220,FC_SUPUESTOS!$E$220,0)</f>
        <v>4440</v>
      </c>
      <c r="AI123" s="498" t="n">
        <f aca="false">IF(AI$5&gt;=FC_SUPUESTOS!$C$23-FC_SUPUESTOS!$F$220,FC_SUPUESTOS!$E$220,0)</f>
        <v>4440</v>
      </c>
      <c r="AJ123" s="498" t="n">
        <f aca="false">IF(AJ$5&gt;=FC_SUPUESTOS!$C$23-FC_SUPUESTOS!$F$220,FC_SUPUESTOS!$E$220,0)</f>
        <v>4440</v>
      </c>
      <c r="AK123" s="498" t="n">
        <f aca="false">IF(AK$5&gt;=FC_SUPUESTOS!$C$23-FC_SUPUESTOS!$F$220,FC_SUPUESTOS!$E$220,0)</f>
        <v>4440</v>
      </c>
      <c r="AL123" s="498" t="n">
        <f aca="false">IF(AL$5&gt;=FC_SUPUESTOS!$C$23-FC_SUPUESTOS!$F$220,FC_SUPUESTOS!$E$220,0)</f>
        <v>4440</v>
      </c>
      <c r="AM123" s="498" t="n">
        <f aca="false">IF(AM$5&gt;=FC_SUPUESTOS!$C$23-FC_SUPUESTOS!$F$220,FC_SUPUESTOS!$E$220,0)</f>
        <v>4440</v>
      </c>
      <c r="AN123" s="498" t="n">
        <f aca="false">IF(AN$5&gt;=FC_SUPUESTOS!$C$23-FC_SUPUESTOS!$F$220,FC_SUPUESTOS!$E$220,0)</f>
        <v>4440</v>
      </c>
      <c r="AO123" s="498" t="n">
        <f aca="false">IF(AO$5&gt;=FC_SUPUESTOS!$C$23-FC_SUPUESTOS!$F$220,FC_SUPUESTOS!$E$220,0)</f>
        <v>4440</v>
      </c>
      <c r="AP123" s="498" t="n">
        <f aca="false">IF(AP$5&gt;=FC_SUPUESTOS!$C$23-FC_SUPUESTOS!$F$220,FC_SUPUESTOS!$E$220,0)</f>
        <v>4440</v>
      </c>
      <c r="AQ123" s="498" t="n">
        <f aca="false">IF(AQ$5&gt;=FC_SUPUESTOS!$C$23-FC_SUPUESTOS!$F$220,FC_SUPUESTOS!$E$220,0)</f>
        <v>4440</v>
      </c>
      <c r="AR123" s="498" t="n">
        <f aca="false">IF(AR$5&gt;=FC_SUPUESTOS!$C$23-FC_SUPUESTOS!$F$220,FC_SUPUESTOS!$E$220,0)</f>
        <v>4440</v>
      </c>
      <c r="AS123" s="498" t="n">
        <f aca="false">IF(AS$5&gt;=FC_SUPUESTOS!$C$23-FC_SUPUESTOS!$F$220,FC_SUPUESTOS!$E$220,0)</f>
        <v>4440</v>
      </c>
      <c r="AT123" s="498" t="n">
        <f aca="false">IF(AT$5&gt;=FC_SUPUESTOS!$C$23-FC_SUPUESTOS!$F$220,FC_SUPUESTOS!$E$220,0)</f>
        <v>4440</v>
      </c>
      <c r="AU123" s="498" t="n">
        <f aca="false">IF(AU$5&gt;=FC_SUPUESTOS!$C$23-FC_SUPUESTOS!$F$220,FC_SUPUESTOS!$E$220,0)</f>
        <v>4440</v>
      </c>
      <c r="AV123" s="498" t="n">
        <f aca="false">IF(AV$5&gt;=FC_SUPUESTOS!$C$23-FC_SUPUESTOS!$F$220,FC_SUPUESTOS!$E$220,0)</f>
        <v>4440</v>
      </c>
      <c r="AW123" s="498" t="n">
        <f aca="false">IF(AW$5&gt;=FC_SUPUESTOS!$C$23-FC_SUPUESTOS!$F$220,FC_SUPUESTOS!$E$220,0)</f>
        <v>4440</v>
      </c>
      <c r="AX123" s="498" t="n">
        <f aca="false">IF(AX$5&gt;=FC_SUPUESTOS!$C$23-FC_SUPUESTOS!$F$220,FC_SUPUESTOS!$E$220,0)</f>
        <v>4440</v>
      </c>
      <c r="AY123" s="498" t="n">
        <f aca="false">IF(AY$5&gt;=FC_SUPUESTOS!$C$23-FC_SUPUESTOS!$F$220,FC_SUPUESTOS!$E$220,0)</f>
        <v>4440</v>
      </c>
      <c r="AZ123" s="498" t="n">
        <f aca="false">IF(AZ$5&gt;=FC_SUPUESTOS!$C$23-FC_SUPUESTOS!$F$220,FC_SUPUESTOS!$E$220,0)</f>
        <v>4440</v>
      </c>
      <c r="BA123" s="498" t="n">
        <f aca="false">IF(BA$5&gt;=FC_SUPUESTOS!$C$23-FC_SUPUESTOS!$F$220,FC_SUPUESTOS!$E$220,0)</f>
        <v>4440</v>
      </c>
      <c r="BB123" s="498" t="n">
        <f aca="false">IF(BB$5&gt;=FC_SUPUESTOS!$C$23-FC_SUPUESTOS!$F$220,FC_SUPUESTOS!$E$220,0)</f>
        <v>4440</v>
      </c>
      <c r="BC123" s="498" t="n">
        <f aca="false">IF(BC$5&gt;=FC_SUPUESTOS!$C$23-FC_SUPUESTOS!$F$220,FC_SUPUESTOS!$E$220,0)</f>
        <v>4440</v>
      </c>
      <c r="BD123" s="498" t="n">
        <f aca="false">IF(BD$5&gt;=FC_SUPUESTOS!$C$23-FC_SUPUESTOS!$F$220,FC_SUPUESTOS!$E$220,0)</f>
        <v>4440</v>
      </c>
      <c r="BE123" s="498" t="n">
        <f aca="false">IF(BE$5&gt;=FC_SUPUESTOS!$C$23-FC_SUPUESTOS!$F$220,FC_SUPUESTOS!$E$220,0)</f>
        <v>4440</v>
      </c>
      <c r="BF123" s="498" t="n">
        <f aca="false">IF(BF$5&gt;=FC_SUPUESTOS!$C$23-FC_SUPUESTOS!$F$220,FC_SUPUESTOS!$E$220,0)</f>
        <v>4440</v>
      </c>
      <c r="BG123" s="498" t="n">
        <f aca="false">IF(BG$5&gt;=FC_SUPUESTOS!$C$23-FC_SUPUESTOS!$F$220,FC_SUPUESTOS!$E$220,0)</f>
        <v>4440</v>
      </c>
      <c r="BH123" s="498" t="n">
        <f aca="false">IF(BH$5&gt;=FC_SUPUESTOS!$C$23-FC_SUPUESTOS!$F$220,FC_SUPUESTOS!$E$220,0)</f>
        <v>4440</v>
      </c>
      <c r="BI123" s="498" t="n">
        <f aca="false">IF(BI$5&gt;=FC_SUPUESTOS!$C$23-FC_SUPUESTOS!$F$220,FC_SUPUESTOS!$E$220,0)</f>
        <v>4440</v>
      </c>
      <c r="BJ123" s="498" t="n">
        <f aca="false">IF(BJ$5&gt;=FC_SUPUESTOS!$C$23-FC_SUPUESTOS!$F$220,FC_SUPUESTOS!$E$220,0)</f>
        <v>4440</v>
      </c>
      <c r="BK123" s="498" t="n">
        <f aca="false">IF(BK$5&gt;=FC_SUPUESTOS!$C$23-FC_SUPUESTOS!$F$220,FC_SUPUESTOS!$E$220,0)</f>
        <v>4440</v>
      </c>
    </row>
    <row r="124" customFormat="false" ht="15" hidden="false" customHeight="true" outlineLevel="0" collapsed="false">
      <c r="B124" s="283" t="s">
        <v>3016</v>
      </c>
      <c r="D124" s="498" t="n">
        <f aca="false">IF(D$5&gt;=FC_SUPUESTOS!$C$23-FC_SUPUESTOS!$F$221,FC_SUPUESTOS!$E$221,0)</f>
        <v>0</v>
      </c>
      <c r="E124" s="498" t="n">
        <f aca="false">IF(E$5&gt;=FC_SUPUESTOS!$C$23-FC_SUPUESTOS!$F$221,FC_SUPUESTOS!$E$221,0)</f>
        <v>0</v>
      </c>
      <c r="F124" s="498" t="n">
        <f aca="false">IF(F$5&gt;=FC_SUPUESTOS!$C$23-FC_SUPUESTOS!$F$221,FC_SUPUESTOS!$E$221,0)</f>
        <v>0</v>
      </c>
      <c r="G124" s="498" t="n">
        <f aca="false">IF(G$5&gt;=FC_SUPUESTOS!$C$23-FC_SUPUESTOS!$F$221,FC_SUPUESTOS!$E$221,0)</f>
        <v>0</v>
      </c>
      <c r="H124" s="498" t="n">
        <f aca="false">IF(H$5&gt;=FC_SUPUESTOS!$C$23-FC_SUPUESTOS!$F$221,FC_SUPUESTOS!$E$221,0)</f>
        <v>0</v>
      </c>
      <c r="I124" s="498" t="n">
        <f aca="false">IF(I$5&gt;=FC_SUPUESTOS!$C$23-FC_SUPUESTOS!$F$221,FC_SUPUESTOS!$E$221,0)</f>
        <v>0</v>
      </c>
      <c r="J124" s="498" t="n">
        <f aca="false">IF(J$5&gt;=FC_SUPUESTOS!$C$23-FC_SUPUESTOS!$F$221,FC_SUPUESTOS!$E$221,0)</f>
        <v>1000</v>
      </c>
      <c r="K124" s="498" t="n">
        <f aca="false">IF(K$5&gt;=FC_SUPUESTOS!$C$23-FC_SUPUESTOS!$F$221,FC_SUPUESTOS!$E$221,0)</f>
        <v>1000</v>
      </c>
      <c r="L124" s="498" t="n">
        <f aca="false">IF(L$5&gt;=FC_SUPUESTOS!$C$23-FC_SUPUESTOS!$F$221,FC_SUPUESTOS!$E$221,0)</f>
        <v>1000</v>
      </c>
      <c r="M124" s="498" t="n">
        <f aca="false">IF(M$5&gt;=FC_SUPUESTOS!$C$23-FC_SUPUESTOS!$F$221,FC_SUPUESTOS!$E$221,0)</f>
        <v>1000</v>
      </c>
      <c r="N124" s="498" t="n">
        <f aca="false">IF(N$5&gt;=FC_SUPUESTOS!$C$23-FC_SUPUESTOS!$F$221,FC_SUPUESTOS!$E$221,0)</f>
        <v>1000</v>
      </c>
      <c r="O124" s="498" t="n">
        <f aca="false">IF(O$5&gt;=FC_SUPUESTOS!$C$23-FC_SUPUESTOS!$F$221,FC_SUPUESTOS!$E$221,0)</f>
        <v>1000</v>
      </c>
      <c r="P124" s="498" t="n">
        <f aca="false">IF(P$5&gt;=FC_SUPUESTOS!$C$23-FC_SUPUESTOS!$F$221,FC_SUPUESTOS!$E$221,0)</f>
        <v>1000</v>
      </c>
      <c r="Q124" s="498" t="n">
        <f aca="false">IF(Q$5&gt;=FC_SUPUESTOS!$C$23-FC_SUPUESTOS!$F$221,FC_SUPUESTOS!$E$221,0)</f>
        <v>1000</v>
      </c>
      <c r="R124" s="498" t="n">
        <f aca="false">IF(R$5&gt;=FC_SUPUESTOS!$C$23-FC_SUPUESTOS!$F$221,FC_SUPUESTOS!$E$221,0)</f>
        <v>1000</v>
      </c>
      <c r="S124" s="498" t="n">
        <f aca="false">IF(S$5&gt;=FC_SUPUESTOS!$C$23-FC_SUPUESTOS!$F$221,FC_SUPUESTOS!$E$221,0)</f>
        <v>1000</v>
      </c>
      <c r="T124" s="498" t="n">
        <f aca="false">IF(T$5&gt;=FC_SUPUESTOS!$C$23-FC_SUPUESTOS!$F$221,FC_SUPUESTOS!$E$221,0)</f>
        <v>1000</v>
      </c>
      <c r="U124" s="498" t="n">
        <f aca="false">IF(U$5&gt;=FC_SUPUESTOS!$C$23-FC_SUPUESTOS!$F$221,FC_SUPUESTOS!$E$221,0)</f>
        <v>1000</v>
      </c>
      <c r="V124" s="498" t="n">
        <f aca="false">IF(V$5&gt;=FC_SUPUESTOS!$C$23-FC_SUPUESTOS!$F$221,FC_SUPUESTOS!$E$221,0)</f>
        <v>1000</v>
      </c>
      <c r="W124" s="498" t="n">
        <f aca="false">IF(W$5&gt;=FC_SUPUESTOS!$C$23-FC_SUPUESTOS!$F$221,FC_SUPUESTOS!$E$221,0)</f>
        <v>1000</v>
      </c>
      <c r="X124" s="498" t="n">
        <f aca="false">IF(X$5&gt;=FC_SUPUESTOS!$C$23-FC_SUPUESTOS!$F$221,FC_SUPUESTOS!$E$221,0)</f>
        <v>1000</v>
      </c>
      <c r="Y124" s="498" t="n">
        <f aca="false">IF(Y$5&gt;=FC_SUPUESTOS!$C$23-FC_SUPUESTOS!$F$221,FC_SUPUESTOS!$E$221,0)</f>
        <v>1000</v>
      </c>
      <c r="Z124" s="498" t="n">
        <f aca="false">IF(Z$5&gt;=FC_SUPUESTOS!$C$23-FC_SUPUESTOS!$F$221,FC_SUPUESTOS!$E$221,0)</f>
        <v>1000</v>
      </c>
      <c r="AA124" s="498" t="n">
        <f aca="false">IF(AA$5&gt;=FC_SUPUESTOS!$C$23-FC_SUPUESTOS!$F$221,FC_SUPUESTOS!$E$221,0)</f>
        <v>1000</v>
      </c>
      <c r="AB124" s="498" t="n">
        <f aca="false">IF(AB$5&gt;=FC_SUPUESTOS!$C$23-FC_SUPUESTOS!$F$221,FC_SUPUESTOS!$E$221,0)</f>
        <v>1000</v>
      </c>
      <c r="AC124" s="498" t="n">
        <f aca="false">IF(AC$5&gt;=FC_SUPUESTOS!$C$23-FC_SUPUESTOS!$F$221,FC_SUPUESTOS!$E$221,0)</f>
        <v>1000</v>
      </c>
      <c r="AD124" s="498" t="n">
        <f aca="false">IF(AD$5&gt;=FC_SUPUESTOS!$C$23-FC_SUPUESTOS!$F$221,FC_SUPUESTOS!$E$221,0)</f>
        <v>1000</v>
      </c>
      <c r="AE124" s="498" t="n">
        <f aca="false">IF(AE$5&gt;=FC_SUPUESTOS!$C$23-FC_SUPUESTOS!$F$221,FC_SUPUESTOS!$E$221,0)</f>
        <v>1000</v>
      </c>
      <c r="AF124" s="498" t="n">
        <f aca="false">IF(AF$5&gt;=FC_SUPUESTOS!$C$23-FC_SUPUESTOS!$F$221,FC_SUPUESTOS!$E$221,0)</f>
        <v>1000</v>
      </c>
      <c r="AG124" s="498" t="n">
        <f aca="false">IF(AG$5&gt;=FC_SUPUESTOS!$C$23-FC_SUPUESTOS!$F$221,FC_SUPUESTOS!$E$221,0)</f>
        <v>1000</v>
      </c>
      <c r="AH124" s="498" t="n">
        <f aca="false">IF(AH$5&gt;=FC_SUPUESTOS!$C$23-FC_SUPUESTOS!$F$221,FC_SUPUESTOS!$E$221,0)</f>
        <v>1000</v>
      </c>
      <c r="AI124" s="498" t="n">
        <f aca="false">IF(AI$5&gt;=FC_SUPUESTOS!$C$23-FC_SUPUESTOS!$F$221,FC_SUPUESTOS!$E$221,0)</f>
        <v>1000</v>
      </c>
      <c r="AJ124" s="498" t="n">
        <f aca="false">IF(AJ$5&gt;=FC_SUPUESTOS!$C$23-FC_SUPUESTOS!$F$221,FC_SUPUESTOS!$E$221,0)</f>
        <v>1000</v>
      </c>
      <c r="AK124" s="498" t="n">
        <f aca="false">IF(AK$5&gt;=FC_SUPUESTOS!$C$23-FC_SUPUESTOS!$F$221,FC_SUPUESTOS!$E$221,0)</f>
        <v>1000</v>
      </c>
      <c r="AL124" s="498" t="n">
        <f aca="false">IF(AL$5&gt;=FC_SUPUESTOS!$C$23-FC_SUPUESTOS!$F$221,FC_SUPUESTOS!$E$221,0)</f>
        <v>1000</v>
      </c>
      <c r="AM124" s="498" t="n">
        <f aca="false">IF(AM$5&gt;=FC_SUPUESTOS!$C$23-FC_SUPUESTOS!$F$221,FC_SUPUESTOS!$E$221,0)</f>
        <v>1000</v>
      </c>
      <c r="AN124" s="498" t="n">
        <f aca="false">IF(AN$5&gt;=FC_SUPUESTOS!$C$23-FC_SUPUESTOS!$F$221,FC_SUPUESTOS!$E$221,0)</f>
        <v>1000</v>
      </c>
      <c r="AO124" s="498" t="n">
        <f aca="false">IF(AO$5&gt;=FC_SUPUESTOS!$C$23-FC_SUPUESTOS!$F$221,FC_SUPUESTOS!$E$221,0)</f>
        <v>1000</v>
      </c>
      <c r="AP124" s="498" t="n">
        <f aca="false">IF(AP$5&gt;=FC_SUPUESTOS!$C$23-FC_SUPUESTOS!$F$221,FC_SUPUESTOS!$E$221,0)</f>
        <v>1000</v>
      </c>
      <c r="AQ124" s="498" t="n">
        <f aca="false">IF(AQ$5&gt;=FC_SUPUESTOS!$C$23-FC_SUPUESTOS!$F$221,FC_SUPUESTOS!$E$221,0)</f>
        <v>1000</v>
      </c>
      <c r="AR124" s="498" t="n">
        <f aca="false">IF(AR$5&gt;=FC_SUPUESTOS!$C$23-FC_SUPUESTOS!$F$221,FC_SUPUESTOS!$E$221,0)</f>
        <v>1000</v>
      </c>
      <c r="AS124" s="498" t="n">
        <f aca="false">IF(AS$5&gt;=FC_SUPUESTOS!$C$23-FC_SUPUESTOS!$F$221,FC_SUPUESTOS!$E$221,0)</f>
        <v>1000</v>
      </c>
      <c r="AT124" s="498" t="n">
        <f aca="false">IF(AT$5&gt;=FC_SUPUESTOS!$C$23-FC_SUPUESTOS!$F$221,FC_SUPUESTOS!$E$221,0)</f>
        <v>1000</v>
      </c>
      <c r="AU124" s="498" t="n">
        <f aca="false">IF(AU$5&gt;=FC_SUPUESTOS!$C$23-FC_SUPUESTOS!$F$221,FC_SUPUESTOS!$E$221,0)</f>
        <v>1000</v>
      </c>
      <c r="AV124" s="498" t="n">
        <f aca="false">IF(AV$5&gt;=FC_SUPUESTOS!$C$23-FC_SUPUESTOS!$F$221,FC_SUPUESTOS!$E$221,0)</f>
        <v>1000</v>
      </c>
      <c r="AW124" s="498" t="n">
        <f aca="false">IF(AW$5&gt;=FC_SUPUESTOS!$C$23-FC_SUPUESTOS!$F$221,FC_SUPUESTOS!$E$221,0)</f>
        <v>1000</v>
      </c>
      <c r="AX124" s="498" t="n">
        <f aca="false">IF(AX$5&gt;=FC_SUPUESTOS!$C$23-FC_SUPUESTOS!$F$221,FC_SUPUESTOS!$E$221,0)</f>
        <v>1000</v>
      </c>
      <c r="AY124" s="498" t="n">
        <f aca="false">IF(AY$5&gt;=FC_SUPUESTOS!$C$23-FC_SUPUESTOS!$F$221,FC_SUPUESTOS!$E$221,0)</f>
        <v>1000</v>
      </c>
      <c r="AZ124" s="498" t="n">
        <f aca="false">IF(AZ$5&gt;=FC_SUPUESTOS!$C$23-FC_SUPUESTOS!$F$221,FC_SUPUESTOS!$E$221,0)</f>
        <v>1000</v>
      </c>
      <c r="BA124" s="498" t="n">
        <f aca="false">IF(BA$5&gt;=FC_SUPUESTOS!$C$23-FC_SUPUESTOS!$F$221,FC_SUPUESTOS!$E$221,0)</f>
        <v>1000</v>
      </c>
      <c r="BB124" s="498" t="n">
        <f aca="false">IF(BB$5&gt;=FC_SUPUESTOS!$C$23-FC_SUPUESTOS!$F$221,FC_SUPUESTOS!$E$221,0)</f>
        <v>1000</v>
      </c>
      <c r="BC124" s="498" t="n">
        <f aca="false">IF(BC$5&gt;=FC_SUPUESTOS!$C$23-FC_SUPUESTOS!$F$221,FC_SUPUESTOS!$E$221,0)</f>
        <v>1000</v>
      </c>
      <c r="BD124" s="498" t="n">
        <f aca="false">IF(BD$5&gt;=FC_SUPUESTOS!$C$23-FC_SUPUESTOS!$F$221,FC_SUPUESTOS!$E$221,0)</f>
        <v>1000</v>
      </c>
      <c r="BE124" s="498" t="n">
        <f aca="false">IF(BE$5&gt;=FC_SUPUESTOS!$C$23-FC_SUPUESTOS!$F$221,FC_SUPUESTOS!$E$221,0)</f>
        <v>1000</v>
      </c>
      <c r="BF124" s="498" t="n">
        <f aca="false">IF(BF$5&gt;=FC_SUPUESTOS!$C$23-FC_SUPUESTOS!$F$221,FC_SUPUESTOS!$E$221,0)</f>
        <v>1000</v>
      </c>
      <c r="BG124" s="498" t="n">
        <f aca="false">IF(BG$5&gt;=FC_SUPUESTOS!$C$23-FC_SUPUESTOS!$F$221,FC_SUPUESTOS!$E$221,0)</f>
        <v>1000</v>
      </c>
      <c r="BH124" s="498" t="n">
        <f aca="false">IF(BH$5&gt;=FC_SUPUESTOS!$C$23-FC_SUPUESTOS!$F$221,FC_SUPUESTOS!$E$221,0)</f>
        <v>1000</v>
      </c>
      <c r="BI124" s="498" t="n">
        <f aca="false">IF(BI$5&gt;=FC_SUPUESTOS!$C$23-FC_SUPUESTOS!$F$221,FC_SUPUESTOS!$E$221,0)</f>
        <v>1000</v>
      </c>
      <c r="BJ124" s="498" t="n">
        <f aca="false">IF(BJ$5&gt;=FC_SUPUESTOS!$C$23-FC_SUPUESTOS!$F$221,FC_SUPUESTOS!$E$221,0)</f>
        <v>1000</v>
      </c>
      <c r="BK124" s="498" t="n">
        <f aca="false">IF(BK$5&gt;=FC_SUPUESTOS!$C$23-FC_SUPUESTOS!$F$221,FC_SUPUESTOS!$E$221,0)</f>
        <v>1000</v>
      </c>
    </row>
    <row r="125" customFormat="false" ht="15" hidden="false" customHeight="true" outlineLevel="0" collapsed="false">
      <c r="B125" s="283" t="s">
        <v>3017</v>
      </c>
      <c r="D125" s="498" t="n">
        <f aca="false">IF(D$5&gt;=FC_SUPUESTOS!$C$23-FC_SUPUESTOS!$F$222,FC_SUPUESTOS!$E$222,0)</f>
        <v>0</v>
      </c>
      <c r="E125" s="498" t="n">
        <f aca="false">IF(E$5&gt;=FC_SUPUESTOS!$C$23-FC_SUPUESTOS!$F$222,FC_SUPUESTOS!$E$222,0)</f>
        <v>0</v>
      </c>
      <c r="F125" s="498" t="n">
        <f aca="false">IF(F$5&gt;=FC_SUPUESTOS!$C$23-FC_SUPUESTOS!$F$222,FC_SUPUESTOS!$E$222,0)</f>
        <v>0</v>
      </c>
      <c r="G125" s="498" t="n">
        <f aca="false">IF(G$5&gt;=FC_SUPUESTOS!$C$23-FC_SUPUESTOS!$F$222,FC_SUPUESTOS!$E$222,0)</f>
        <v>0</v>
      </c>
      <c r="H125" s="498" t="n">
        <f aca="false">IF(H$5&gt;=FC_SUPUESTOS!$C$23-FC_SUPUESTOS!$F$222,FC_SUPUESTOS!$E$222,0)</f>
        <v>0</v>
      </c>
      <c r="I125" s="498" t="n">
        <f aca="false">IF(I$5&gt;=FC_SUPUESTOS!$C$23-FC_SUPUESTOS!$F$222,FC_SUPUESTOS!$E$222,0)</f>
        <v>0</v>
      </c>
      <c r="J125" s="498" t="n">
        <f aca="false">IF(J$5&gt;=FC_SUPUESTOS!$C$23-FC_SUPUESTOS!$F$222,FC_SUPUESTOS!$E$222,0)</f>
        <v>0</v>
      </c>
      <c r="K125" s="498" t="n">
        <f aca="false">IF(K$5&gt;=FC_SUPUESTOS!$C$23-FC_SUPUESTOS!$F$222,FC_SUPUESTOS!$E$222,0)</f>
        <v>1330.565625</v>
      </c>
      <c r="L125" s="498" t="n">
        <f aca="false">IF(L$5&gt;=FC_SUPUESTOS!$C$23-FC_SUPUESTOS!$F$222,FC_SUPUESTOS!$E$222,0)</f>
        <v>1330.565625</v>
      </c>
      <c r="M125" s="498" t="n">
        <f aca="false">IF(M$5&gt;=FC_SUPUESTOS!$C$23-FC_SUPUESTOS!$F$222,FC_SUPUESTOS!$E$222,0)</f>
        <v>1330.565625</v>
      </c>
      <c r="N125" s="498" t="n">
        <f aca="false">IF(N$5&gt;=FC_SUPUESTOS!$C$23-FC_SUPUESTOS!$F$222,FC_SUPUESTOS!$E$222,0)</f>
        <v>1330.565625</v>
      </c>
      <c r="O125" s="498" t="n">
        <f aca="false">IF(O$5&gt;=FC_SUPUESTOS!$C$23-FC_SUPUESTOS!$F$222,FC_SUPUESTOS!$E$222,0)</f>
        <v>1330.565625</v>
      </c>
      <c r="P125" s="498" t="n">
        <f aca="false">IF(P$5&gt;=FC_SUPUESTOS!$C$23-FC_SUPUESTOS!$F$222,FC_SUPUESTOS!$E$222,0)</f>
        <v>1330.565625</v>
      </c>
      <c r="Q125" s="498" t="n">
        <f aca="false">IF(Q$5&gt;=FC_SUPUESTOS!$C$23-FC_SUPUESTOS!$F$222,FC_SUPUESTOS!$E$222,0)</f>
        <v>1330.565625</v>
      </c>
      <c r="R125" s="498" t="n">
        <f aca="false">IF(R$5&gt;=FC_SUPUESTOS!$C$23-FC_SUPUESTOS!$F$222,FC_SUPUESTOS!$E$222,0)</f>
        <v>1330.565625</v>
      </c>
      <c r="S125" s="498" t="n">
        <f aca="false">IF(S$5&gt;=FC_SUPUESTOS!$C$23-FC_SUPUESTOS!$F$222,FC_SUPUESTOS!$E$222,0)</f>
        <v>1330.565625</v>
      </c>
      <c r="T125" s="498" t="n">
        <f aca="false">IF(T$5&gt;=FC_SUPUESTOS!$C$23-FC_SUPUESTOS!$F$222,FC_SUPUESTOS!$E$222,0)</f>
        <v>1330.565625</v>
      </c>
      <c r="U125" s="498" t="n">
        <f aca="false">IF(U$5&gt;=FC_SUPUESTOS!$C$23-FC_SUPUESTOS!$F$222,FC_SUPUESTOS!$E$222,0)</f>
        <v>1330.565625</v>
      </c>
      <c r="V125" s="498" t="n">
        <f aca="false">IF(V$5&gt;=FC_SUPUESTOS!$C$23-FC_SUPUESTOS!$F$222,FC_SUPUESTOS!$E$222,0)</f>
        <v>1330.565625</v>
      </c>
      <c r="W125" s="498" t="n">
        <f aca="false">IF(W$5&gt;=FC_SUPUESTOS!$C$23-FC_SUPUESTOS!$F$222,FC_SUPUESTOS!$E$222,0)</f>
        <v>1330.565625</v>
      </c>
      <c r="X125" s="498" t="n">
        <f aca="false">IF(X$5&gt;=FC_SUPUESTOS!$C$23-FC_SUPUESTOS!$F$222,FC_SUPUESTOS!$E$222,0)</f>
        <v>1330.565625</v>
      </c>
      <c r="Y125" s="498" t="n">
        <f aca="false">IF(Y$5&gt;=FC_SUPUESTOS!$C$23-FC_SUPUESTOS!$F$222,FC_SUPUESTOS!$E$222,0)</f>
        <v>1330.565625</v>
      </c>
      <c r="Z125" s="498" t="n">
        <f aca="false">IF(Z$5&gt;=FC_SUPUESTOS!$C$23-FC_SUPUESTOS!$F$222,FC_SUPUESTOS!$E$222,0)</f>
        <v>1330.565625</v>
      </c>
      <c r="AA125" s="498" t="n">
        <f aca="false">IF(AA$5&gt;=FC_SUPUESTOS!$C$23-FC_SUPUESTOS!$F$222,FC_SUPUESTOS!$E$222,0)</f>
        <v>1330.565625</v>
      </c>
      <c r="AB125" s="498" t="n">
        <f aca="false">IF(AB$5&gt;=FC_SUPUESTOS!$C$23-FC_SUPUESTOS!$F$222,FC_SUPUESTOS!$E$222,0)</f>
        <v>1330.565625</v>
      </c>
      <c r="AC125" s="498" t="n">
        <f aca="false">IF(AC$5&gt;=FC_SUPUESTOS!$C$23-FC_SUPUESTOS!$F$222,FC_SUPUESTOS!$E$222,0)</f>
        <v>1330.565625</v>
      </c>
      <c r="AD125" s="498" t="n">
        <f aca="false">IF(AD$5&gt;=FC_SUPUESTOS!$C$23-FC_SUPUESTOS!$F$222,FC_SUPUESTOS!$E$222,0)</f>
        <v>1330.565625</v>
      </c>
      <c r="AE125" s="498" t="n">
        <f aca="false">IF(AE$5&gt;=FC_SUPUESTOS!$C$23-FC_SUPUESTOS!$F$222,FC_SUPUESTOS!$E$222,0)</f>
        <v>1330.565625</v>
      </c>
      <c r="AF125" s="498" t="n">
        <f aca="false">IF(AF$5&gt;=FC_SUPUESTOS!$C$23-FC_SUPUESTOS!$F$222,FC_SUPUESTOS!$E$222,0)</f>
        <v>1330.565625</v>
      </c>
      <c r="AG125" s="498" t="n">
        <f aca="false">IF(AG$5&gt;=FC_SUPUESTOS!$C$23-FC_SUPUESTOS!$F$222,FC_SUPUESTOS!$E$222,0)</f>
        <v>1330.565625</v>
      </c>
      <c r="AH125" s="498" t="n">
        <f aca="false">IF(AH$5&gt;=FC_SUPUESTOS!$C$23-FC_SUPUESTOS!$F$222,FC_SUPUESTOS!$E$222,0)</f>
        <v>1330.565625</v>
      </c>
      <c r="AI125" s="498" t="n">
        <f aca="false">IF(AI$5&gt;=FC_SUPUESTOS!$C$23-FC_SUPUESTOS!$F$222,FC_SUPUESTOS!$E$222,0)</f>
        <v>1330.565625</v>
      </c>
      <c r="AJ125" s="498" t="n">
        <f aca="false">IF(AJ$5&gt;=FC_SUPUESTOS!$C$23-FC_SUPUESTOS!$F$222,FC_SUPUESTOS!$E$222,0)</f>
        <v>1330.565625</v>
      </c>
      <c r="AK125" s="498" t="n">
        <f aca="false">IF(AK$5&gt;=FC_SUPUESTOS!$C$23-FC_SUPUESTOS!$F$222,FC_SUPUESTOS!$E$222,0)</f>
        <v>1330.565625</v>
      </c>
      <c r="AL125" s="498" t="n">
        <f aca="false">IF(AL$5&gt;=FC_SUPUESTOS!$C$23-FC_SUPUESTOS!$F$222,FC_SUPUESTOS!$E$222,0)</f>
        <v>1330.565625</v>
      </c>
      <c r="AM125" s="498" t="n">
        <f aca="false">IF(AM$5&gt;=FC_SUPUESTOS!$C$23-FC_SUPUESTOS!$F$222,FC_SUPUESTOS!$E$222,0)</f>
        <v>1330.565625</v>
      </c>
      <c r="AN125" s="498" t="n">
        <f aca="false">IF(AN$5&gt;=FC_SUPUESTOS!$C$23-FC_SUPUESTOS!$F$222,FC_SUPUESTOS!$E$222,0)</f>
        <v>1330.565625</v>
      </c>
      <c r="AO125" s="498" t="n">
        <f aca="false">IF(AO$5&gt;=FC_SUPUESTOS!$C$23-FC_SUPUESTOS!$F$222,FC_SUPUESTOS!$E$222,0)</f>
        <v>1330.565625</v>
      </c>
      <c r="AP125" s="498" t="n">
        <f aca="false">IF(AP$5&gt;=FC_SUPUESTOS!$C$23-FC_SUPUESTOS!$F$222,FC_SUPUESTOS!$E$222,0)</f>
        <v>1330.565625</v>
      </c>
      <c r="AQ125" s="498" t="n">
        <f aca="false">IF(AQ$5&gt;=FC_SUPUESTOS!$C$23-FC_SUPUESTOS!$F$222,FC_SUPUESTOS!$E$222,0)</f>
        <v>1330.565625</v>
      </c>
      <c r="AR125" s="498" t="n">
        <f aca="false">IF(AR$5&gt;=FC_SUPUESTOS!$C$23-FC_SUPUESTOS!$F$222,FC_SUPUESTOS!$E$222,0)</f>
        <v>1330.565625</v>
      </c>
      <c r="AS125" s="498" t="n">
        <f aca="false">IF(AS$5&gt;=FC_SUPUESTOS!$C$23-FC_SUPUESTOS!$F$222,FC_SUPUESTOS!$E$222,0)</f>
        <v>1330.565625</v>
      </c>
      <c r="AT125" s="498" t="n">
        <f aca="false">IF(AT$5&gt;=FC_SUPUESTOS!$C$23-FC_SUPUESTOS!$F$222,FC_SUPUESTOS!$E$222,0)</f>
        <v>1330.565625</v>
      </c>
      <c r="AU125" s="498" t="n">
        <f aca="false">IF(AU$5&gt;=FC_SUPUESTOS!$C$23-FC_SUPUESTOS!$F$222,FC_SUPUESTOS!$E$222,0)</f>
        <v>1330.565625</v>
      </c>
      <c r="AV125" s="498" t="n">
        <f aca="false">IF(AV$5&gt;=FC_SUPUESTOS!$C$23-FC_SUPUESTOS!$F$222,FC_SUPUESTOS!$E$222,0)</f>
        <v>1330.565625</v>
      </c>
      <c r="AW125" s="498" t="n">
        <f aca="false">IF(AW$5&gt;=FC_SUPUESTOS!$C$23-FC_SUPUESTOS!$F$222,FC_SUPUESTOS!$E$222,0)</f>
        <v>1330.565625</v>
      </c>
      <c r="AX125" s="498" t="n">
        <f aca="false">IF(AX$5&gt;=FC_SUPUESTOS!$C$23-FC_SUPUESTOS!$F$222,FC_SUPUESTOS!$E$222,0)</f>
        <v>1330.565625</v>
      </c>
      <c r="AY125" s="498" t="n">
        <f aca="false">IF(AY$5&gt;=FC_SUPUESTOS!$C$23-FC_SUPUESTOS!$F$222,FC_SUPUESTOS!$E$222,0)</f>
        <v>1330.565625</v>
      </c>
      <c r="AZ125" s="498" t="n">
        <f aca="false">IF(AZ$5&gt;=FC_SUPUESTOS!$C$23-FC_SUPUESTOS!$F$222,FC_SUPUESTOS!$E$222,0)</f>
        <v>1330.565625</v>
      </c>
      <c r="BA125" s="498" t="n">
        <f aca="false">IF(BA$5&gt;=FC_SUPUESTOS!$C$23-FC_SUPUESTOS!$F$222,FC_SUPUESTOS!$E$222,0)</f>
        <v>1330.565625</v>
      </c>
      <c r="BB125" s="498" t="n">
        <f aca="false">IF(BB$5&gt;=FC_SUPUESTOS!$C$23-FC_SUPUESTOS!$F$222,FC_SUPUESTOS!$E$222,0)</f>
        <v>1330.565625</v>
      </c>
      <c r="BC125" s="498" t="n">
        <f aca="false">IF(BC$5&gt;=FC_SUPUESTOS!$C$23-FC_SUPUESTOS!$F$222,FC_SUPUESTOS!$E$222,0)</f>
        <v>1330.565625</v>
      </c>
      <c r="BD125" s="498" t="n">
        <f aca="false">IF(BD$5&gt;=FC_SUPUESTOS!$C$23-FC_SUPUESTOS!$F$222,FC_SUPUESTOS!$E$222,0)</f>
        <v>1330.565625</v>
      </c>
      <c r="BE125" s="498" t="n">
        <f aca="false">IF(BE$5&gt;=FC_SUPUESTOS!$C$23-FC_SUPUESTOS!$F$222,FC_SUPUESTOS!$E$222,0)</f>
        <v>1330.565625</v>
      </c>
      <c r="BF125" s="498" t="n">
        <f aca="false">IF(BF$5&gt;=FC_SUPUESTOS!$C$23-FC_SUPUESTOS!$F$222,FC_SUPUESTOS!$E$222,0)</f>
        <v>1330.565625</v>
      </c>
      <c r="BG125" s="498" t="n">
        <f aca="false">IF(BG$5&gt;=FC_SUPUESTOS!$C$23-FC_SUPUESTOS!$F$222,FC_SUPUESTOS!$E$222,0)</f>
        <v>1330.565625</v>
      </c>
      <c r="BH125" s="498" t="n">
        <f aca="false">IF(BH$5&gt;=FC_SUPUESTOS!$C$23-FC_SUPUESTOS!$F$222,FC_SUPUESTOS!$E$222,0)</f>
        <v>1330.565625</v>
      </c>
      <c r="BI125" s="498" t="n">
        <f aca="false">IF(BI$5&gt;=FC_SUPUESTOS!$C$23-FC_SUPUESTOS!$F$222,FC_SUPUESTOS!$E$222,0)</f>
        <v>1330.565625</v>
      </c>
      <c r="BJ125" s="498" t="n">
        <f aca="false">IF(BJ$5&gt;=FC_SUPUESTOS!$C$23-FC_SUPUESTOS!$F$222,FC_SUPUESTOS!$E$222,0)</f>
        <v>1330.565625</v>
      </c>
      <c r="BK125" s="498" t="n">
        <f aca="false">IF(BK$5&gt;=FC_SUPUESTOS!$C$23-FC_SUPUESTOS!$F$222,FC_SUPUESTOS!$E$222,0)</f>
        <v>1330.565625</v>
      </c>
    </row>
    <row r="126" customFormat="false" ht="15" hidden="false" customHeight="true" outlineLevel="0" collapsed="false">
      <c r="B126" s="283" t="s">
        <v>3018</v>
      </c>
      <c r="D126" s="498" t="n">
        <f aca="false">IF(D$5=MAX(1,FC_SUPUESTOS!$C$23-FC_SUPUESTOS!$F$218-1),FC_SUPUESTOS!$C$218*FC_SUPUESTOS!$C$232,0)+IF(D$5=MAX(1,FC_SUPUESTOS!$C$23-FC_SUPUESTOS!$F$219-1),FC_SUPUESTOS!$C$219*FC_SUPUESTOS!$C$232,0)+IF(D$5=MAX(1,FC_SUPUESTOS!$C$23-FC_SUPUESTOS!$F$220-1),FC_SUPUESTOS!$C$220*(FC_SUPUESTOS!$C$232+FC_SUPUESTOS!$C$233),0)</f>
        <v>0</v>
      </c>
      <c r="E126" s="498" t="n">
        <f aca="false">IF(E$5=MAX(1,FC_SUPUESTOS!$C$23-FC_SUPUESTOS!$F$218-1),FC_SUPUESTOS!$C$218*FC_SUPUESTOS!$C$232,0)+IF(E$5=MAX(1,FC_SUPUESTOS!$C$23-FC_SUPUESTOS!$F$219-1),FC_SUPUESTOS!$C$219*FC_SUPUESTOS!$C$232,0)+IF(E$5=MAX(1,FC_SUPUESTOS!$C$23-FC_SUPUESTOS!$F$220-1),FC_SUPUESTOS!$C$220*(FC_SUPUESTOS!$C$232+FC_SUPUESTOS!$C$233),0)</f>
        <v>0</v>
      </c>
      <c r="F126" s="498" t="n">
        <f aca="false">IF(F$5=MAX(1,FC_SUPUESTOS!$C$23-FC_SUPUESTOS!$F$218-1),FC_SUPUESTOS!$C$218*FC_SUPUESTOS!$C$232,0)+IF(F$5=MAX(1,FC_SUPUESTOS!$C$23-FC_SUPUESTOS!$F$219-1),FC_SUPUESTOS!$C$219*FC_SUPUESTOS!$C$232,0)+IF(F$5=MAX(1,FC_SUPUESTOS!$C$23-FC_SUPUESTOS!$F$220-1),FC_SUPUESTOS!$C$220*(FC_SUPUESTOS!$C$232+FC_SUPUESTOS!$C$233),0)</f>
        <v>0</v>
      </c>
      <c r="G126" s="498" t="n">
        <f aca="false">IF(G$5=MAX(1,FC_SUPUESTOS!$C$23-FC_SUPUESTOS!$F$218-1),FC_SUPUESTOS!$C$218*FC_SUPUESTOS!$C$232,0)+IF(G$5=MAX(1,FC_SUPUESTOS!$C$23-FC_SUPUESTOS!$F$219-1),FC_SUPUESTOS!$C$219*FC_SUPUESTOS!$C$232,0)+IF(G$5=MAX(1,FC_SUPUESTOS!$C$23-FC_SUPUESTOS!$F$220-1),FC_SUPUESTOS!$C$220*(FC_SUPUESTOS!$C$232+FC_SUPUESTOS!$C$233),0)</f>
        <v>0</v>
      </c>
      <c r="H126" s="498" t="n">
        <f aca="false">IF(H$5=MAX(1,FC_SUPUESTOS!$C$23-FC_SUPUESTOS!$F$218-1),FC_SUPUESTOS!$C$218*FC_SUPUESTOS!$C$232,0)+IF(H$5=MAX(1,FC_SUPUESTOS!$C$23-FC_SUPUESTOS!$F$219-1),FC_SUPUESTOS!$C$219*FC_SUPUESTOS!$C$232,0)+IF(H$5=MAX(1,FC_SUPUESTOS!$C$23-FC_SUPUESTOS!$F$220-1),FC_SUPUESTOS!$C$220*(FC_SUPUESTOS!$C$232+FC_SUPUESTOS!$C$233),0)</f>
        <v>0</v>
      </c>
      <c r="I126" s="498" t="n">
        <f aca="false">IF(I$5=MAX(1,FC_SUPUESTOS!$C$23-FC_SUPUESTOS!$F$218-1),FC_SUPUESTOS!$C$218*FC_SUPUESTOS!$C$232,0)+IF(I$5=MAX(1,FC_SUPUESTOS!$C$23-FC_SUPUESTOS!$F$219-1),FC_SUPUESTOS!$C$219*FC_SUPUESTOS!$C$232,0)+IF(I$5=MAX(1,FC_SUPUESTOS!$C$23-FC_SUPUESTOS!$F$220-1),FC_SUPUESTOS!$C$220*(FC_SUPUESTOS!$C$232+FC_SUPUESTOS!$C$233),0)</f>
        <v>0</v>
      </c>
      <c r="J126" s="498" t="n">
        <f aca="false">IF(J$5=MAX(1,FC_SUPUESTOS!$C$23-FC_SUPUESTOS!$F$218-1),FC_SUPUESTOS!$C$218*FC_SUPUESTOS!$C$232,0)+IF(J$5=MAX(1,FC_SUPUESTOS!$C$23-FC_SUPUESTOS!$F$219-1),FC_SUPUESTOS!$C$219*FC_SUPUESTOS!$C$232,0)+IF(J$5=MAX(1,FC_SUPUESTOS!$C$23-FC_SUPUESTOS!$F$220-1),FC_SUPUESTOS!$C$220*(FC_SUPUESTOS!$C$232+FC_SUPUESTOS!$C$233),0)</f>
        <v>0</v>
      </c>
      <c r="K126" s="498" t="n">
        <f aca="false">IF(K$5=MAX(1,FC_SUPUESTOS!$C$23-FC_SUPUESTOS!$F$218-1),FC_SUPUESTOS!$C$218*FC_SUPUESTOS!$C$232,0)+IF(K$5=MAX(1,FC_SUPUESTOS!$C$23-FC_SUPUESTOS!$F$219-1),FC_SUPUESTOS!$C$219*FC_SUPUESTOS!$C$232,0)+IF(K$5=MAX(1,FC_SUPUESTOS!$C$23-FC_SUPUESTOS!$F$220-1),FC_SUPUESTOS!$C$220*(FC_SUPUESTOS!$C$232+FC_SUPUESTOS!$C$233),0)</f>
        <v>0</v>
      </c>
      <c r="L126" s="498" t="n">
        <f aca="false">IF(L$5=MAX(1,FC_SUPUESTOS!$C$23-FC_SUPUESTOS!$F$218-1),FC_SUPUESTOS!$C$218*FC_SUPUESTOS!$C$232,0)+IF(L$5=MAX(1,FC_SUPUESTOS!$C$23-FC_SUPUESTOS!$F$219-1),FC_SUPUESTOS!$C$219*FC_SUPUESTOS!$C$232,0)+IF(L$5=MAX(1,FC_SUPUESTOS!$C$23-FC_SUPUESTOS!$F$220-1),FC_SUPUESTOS!$C$220*(FC_SUPUESTOS!$C$232+FC_SUPUESTOS!$C$233),0)</f>
        <v>0</v>
      </c>
      <c r="M126" s="498" t="n">
        <f aca="false">IF(M$5=MAX(1,FC_SUPUESTOS!$C$23-FC_SUPUESTOS!$F$218-1),FC_SUPUESTOS!$C$218*FC_SUPUESTOS!$C$232,0)+IF(M$5=MAX(1,FC_SUPUESTOS!$C$23-FC_SUPUESTOS!$F$219-1),FC_SUPUESTOS!$C$219*FC_SUPUESTOS!$C$232,0)+IF(M$5=MAX(1,FC_SUPUESTOS!$C$23-FC_SUPUESTOS!$F$220-1),FC_SUPUESTOS!$C$220*(FC_SUPUESTOS!$C$232+FC_SUPUESTOS!$C$233),0)</f>
        <v>0</v>
      </c>
      <c r="N126" s="498" t="n">
        <f aca="false">IF(N$5=MAX(1,FC_SUPUESTOS!$C$23-FC_SUPUESTOS!$F$218-1),FC_SUPUESTOS!$C$218*FC_SUPUESTOS!$C$232,0)+IF(N$5=MAX(1,FC_SUPUESTOS!$C$23-FC_SUPUESTOS!$F$219-1),FC_SUPUESTOS!$C$219*FC_SUPUESTOS!$C$232,0)+IF(N$5=MAX(1,FC_SUPUESTOS!$C$23-FC_SUPUESTOS!$F$220-1),FC_SUPUESTOS!$C$220*(FC_SUPUESTOS!$C$232+FC_SUPUESTOS!$C$233),0)</f>
        <v>0</v>
      </c>
      <c r="O126" s="498" t="n">
        <f aca="false">IF(O$5=MAX(1,FC_SUPUESTOS!$C$23-FC_SUPUESTOS!$F$218-1),FC_SUPUESTOS!$C$218*FC_SUPUESTOS!$C$232,0)+IF(O$5=MAX(1,FC_SUPUESTOS!$C$23-FC_SUPUESTOS!$F$219-1),FC_SUPUESTOS!$C$219*FC_SUPUESTOS!$C$232,0)+IF(O$5=MAX(1,FC_SUPUESTOS!$C$23-FC_SUPUESTOS!$F$220-1),FC_SUPUESTOS!$C$220*(FC_SUPUESTOS!$C$232+FC_SUPUESTOS!$C$233),0)</f>
        <v>0</v>
      </c>
      <c r="P126" s="498" t="n">
        <f aca="false">IF(P$5=MAX(1,FC_SUPUESTOS!$C$23-FC_SUPUESTOS!$F$218-1),FC_SUPUESTOS!$C$218*FC_SUPUESTOS!$C$232,0)+IF(P$5=MAX(1,FC_SUPUESTOS!$C$23-FC_SUPUESTOS!$F$219-1),FC_SUPUESTOS!$C$219*FC_SUPUESTOS!$C$232,0)+IF(P$5=MAX(1,FC_SUPUESTOS!$C$23-FC_SUPUESTOS!$F$220-1),FC_SUPUESTOS!$C$220*(FC_SUPUESTOS!$C$232+FC_SUPUESTOS!$C$233),0)</f>
        <v>0</v>
      </c>
      <c r="Q126" s="498" t="n">
        <f aca="false">IF(Q$5=MAX(1,FC_SUPUESTOS!$C$23-FC_SUPUESTOS!$F$218-1),FC_SUPUESTOS!$C$218*FC_SUPUESTOS!$C$232,0)+IF(Q$5=MAX(1,FC_SUPUESTOS!$C$23-FC_SUPUESTOS!$F$219-1),FC_SUPUESTOS!$C$219*FC_SUPUESTOS!$C$232,0)+IF(Q$5=MAX(1,FC_SUPUESTOS!$C$23-FC_SUPUESTOS!$F$220-1),FC_SUPUESTOS!$C$220*(FC_SUPUESTOS!$C$232+FC_SUPUESTOS!$C$233),0)</f>
        <v>0</v>
      </c>
      <c r="R126" s="498" t="n">
        <f aca="false">IF(R$5=MAX(1,FC_SUPUESTOS!$C$23-FC_SUPUESTOS!$F$218-1),FC_SUPUESTOS!$C$218*FC_SUPUESTOS!$C$232,0)+IF(R$5=MAX(1,FC_SUPUESTOS!$C$23-FC_SUPUESTOS!$F$219-1),FC_SUPUESTOS!$C$219*FC_SUPUESTOS!$C$232,0)+IF(R$5=MAX(1,FC_SUPUESTOS!$C$23-FC_SUPUESTOS!$F$220-1),FC_SUPUESTOS!$C$220*(FC_SUPUESTOS!$C$232+FC_SUPUESTOS!$C$233),0)</f>
        <v>0</v>
      </c>
      <c r="S126" s="498" t="n">
        <f aca="false">IF(S$5=MAX(1,FC_SUPUESTOS!$C$23-FC_SUPUESTOS!$F$218-1),FC_SUPUESTOS!$C$218*FC_SUPUESTOS!$C$232,0)+IF(S$5=MAX(1,FC_SUPUESTOS!$C$23-FC_SUPUESTOS!$F$219-1),FC_SUPUESTOS!$C$219*FC_SUPUESTOS!$C$232,0)+IF(S$5=MAX(1,FC_SUPUESTOS!$C$23-FC_SUPUESTOS!$F$220-1),FC_SUPUESTOS!$C$220*(FC_SUPUESTOS!$C$232+FC_SUPUESTOS!$C$233),0)</f>
        <v>0</v>
      </c>
      <c r="T126" s="498" t="n">
        <f aca="false">IF(T$5=MAX(1,FC_SUPUESTOS!$C$23-FC_SUPUESTOS!$F$218-1),FC_SUPUESTOS!$C$218*FC_SUPUESTOS!$C$232,0)+IF(T$5=MAX(1,FC_SUPUESTOS!$C$23-FC_SUPUESTOS!$F$219-1),FC_SUPUESTOS!$C$219*FC_SUPUESTOS!$C$232,0)+IF(T$5=MAX(1,FC_SUPUESTOS!$C$23-FC_SUPUESTOS!$F$220-1),FC_SUPUESTOS!$C$220*(FC_SUPUESTOS!$C$232+FC_SUPUESTOS!$C$233),0)</f>
        <v>0</v>
      </c>
      <c r="U126" s="498" t="n">
        <f aca="false">IF(U$5=MAX(1,FC_SUPUESTOS!$C$23-FC_SUPUESTOS!$F$218-1),FC_SUPUESTOS!$C$218*FC_SUPUESTOS!$C$232,0)+IF(U$5=MAX(1,FC_SUPUESTOS!$C$23-FC_SUPUESTOS!$F$219-1),FC_SUPUESTOS!$C$219*FC_SUPUESTOS!$C$232,0)+IF(U$5=MAX(1,FC_SUPUESTOS!$C$23-FC_SUPUESTOS!$F$220-1),FC_SUPUESTOS!$C$220*(FC_SUPUESTOS!$C$232+FC_SUPUESTOS!$C$233),0)</f>
        <v>0</v>
      </c>
      <c r="V126" s="498" t="n">
        <f aca="false">IF(V$5=MAX(1,FC_SUPUESTOS!$C$23-FC_SUPUESTOS!$F$218-1),FC_SUPUESTOS!$C$218*FC_SUPUESTOS!$C$232,0)+IF(V$5=MAX(1,FC_SUPUESTOS!$C$23-FC_SUPUESTOS!$F$219-1),FC_SUPUESTOS!$C$219*FC_SUPUESTOS!$C$232,0)+IF(V$5=MAX(1,FC_SUPUESTOS!$C$23-FC_SUPUESTOS!$F$220-1),FC_SUPUESTOS!$C$220*(FC_SUPUESTOS!$C$232+FC_SUPUESTOS!$C$233),0)</f>
        <v>0</v>
      </c>
      <c r="W126" s="498" t="n">
        <f aca="false">IF(W$5=MAX(1,FC_SUPUESTOS!$C$23-FC_SUPUESTOS!$F$218-1),FC_SUPUESTOS!$C$218*FC_SUPUESTOS!$C$232,0)+IF(W$5=MAX(1,FC_SUPUESTOS!$C$23-FC_SUPUESTOS!$F$219-1),FC_SUPUESTOS!$C$219*FC_SUPUESTOS!$C$232,0)+IF(W$5=MAX(1,FC_SUPUESTOS!$C$23-FC_SUPUESTOS!$F$220-1),FC_SUPUESTOS!$C$220*(FC_SUPUESTOS!$C$232+FC_SUPUESTOS!$C$233),0)</f>
        <v>0</v>
      </c>
      <c r="X126" s="498" t="n">
        <f aca="false">IF(X$5=MAX(1,FC_SUPUESTOS!$C$23-FC_SUPUESTOS!$F$218-1),FC_SUPUESTOS!$C$218*FC_SUPUESTOS!$C$232,0)+IF(X$5=MAX(1,FC_SUPUESTOS!$C$23-FC_SUPUESTOS!$F$219-1),FC_SUPUESTOS!$C$219*FC_SUPUESTOS!$C$232,0)+IF(X$5=MAX(1,FC_SUPUESTOS!$C$23-FC_SUPUESTOS!$F$220-1),FC_SUPUESTOS!$C$220*(FC_SUPUESTOS!$C$232+FC_SUPUESTOS!$C$233),0)</f>
        <v>0</v>
      </c>
      <c r="Y126" s="498" t="n">
        <f aca="false">IF(Y$5=MAX(1,FC_SUPUESTOS!$C$23-FC_SUPUESTOS!$F$218-1),FC_SUPUESTOS!$C$218*FC_SUPUESTOS!$C$232,0)+IF(Y$5=MAX(1,FC_SUPUESTOS!$C$23-FC_SUPUESTOS!$F$219-1),FC_SUPUESTOS!$C$219*FC_SUPUESTOS!$C$232,0)+IF(Y$5=MAX(1,FC_SUPUESTOS!$C$23-FC_SUPUESTOS!$F$220-1),FC_SUPUESTOS!$C$220*(FC_SUPUESTOS!$C$232+FC_SUPUESTOS!$C$233),0)</f>
        <v>0</v>
      </c>
      <c r="Z126" s="498" t="n">
        <f aca="false">IF(Z$5=MAX(1,FC_SUPUESTOS!$C$23-FC_SUPUESTOS!$F$218-1),FC_SUPUESTOS!$C$218*FC_SUPUESTOS!$C$232,0)+IF(Z$5=MAX(1,FC_SUPUESTOS!$C$23-FC_SUPUESTOS!$F$219-1),FC_SUPUESTOS!$C$219*FC_SUPUESTOS!$C$232,0)+IF(Z$5=MAX(1,FC_SUPUESTOS!$C$23-FC_SUPUESTOS!$F$220-1),FC_SUPUESTOS!$C$220*(FC_SUPUESTOS!$C$232+FC_SUPUESTOS!$C$233),0)</f>
        <v>0</v>
      </c>
      <c r="AA126" s="498" t="n">
        <f aca="false">IF(AA$5=MAX(1,FC_SUPUESTOS!$C$23-FC_SUPUESTOS!$F$218-1),FC_SUPUESTOS!$C$218*FC_SUPUESTOS!$C$232,0)+IF(AA$5=MAX(1,FC_SUPUESTOS!$C$23-FC_SUPUESTOS!$F$219-1),FC_SUPUESTOS!$C$219*FC_SUPUESTOS!$C$232,0)+IF(AA$5=MAX(1,FC_SUPUESTOS!$C$23-FC_SUPUESTOS!$F$220-1),FC_SUPUESTOS!$C$220*(FC_SUPUESTOS!$C$232+FC_SUPUESTOS!$C$233),0)</f>
        <v>0</v>
      </c>
      <c r="AB126" s="498" t="n">
        <f aca="false">IF(AB$5=MAX(1,FC_SUPUESTOS!$C$23-FC_SUPUESTOS!$F$218-1),FC_SUPUESTOS!$C$218*FC_SUPUESTOS!$C$232,0)+IF(AB$5=MAX(1,FC_SUPUESTOS!$C$23-FC_SUPUESTOS!$F$219-1),FC_SUPUESTOS!$C$219*FC_SUPUESTOS!$C$232,0)+IF(AB$5=MAX(1,FC_SUPUESTOS!$C$23-FC_SUPUESTOS!$F$220-1),FC_SUPUESTOS!$C$220*(FC_SUPUESTOS!$C$232+FC_SUPUESTOS!$C$233),0)</f>
        <v>0</v>
      </c>
      <c r="AC126" s="498" t="n">
        <f aca="false">IF(AC$5=MAX(1,FC_SUPUESTOS!$C$23-FC_SUPUESTOS!$F$218-1),FC_SUPUESTOS!$C$218*FC_SUPUESTOS!$C$232,0)+IF(AC$5=MAX(1,FC_SUPUESTOS!$C$23-FC_SUPUESTOS!$F$219-1),FC_SUPUESTOS!$C$219*FC_SUPUESTOS!$C$232,0)+IF(AC$5=MAX(1,FC_SUPUESTOS!$C$23-FC_SUPUESTOS!$F$220-1),FC_SUPUESTOS!$C$220*(FC_SUPUESTOS!$C$232+FC_SUPUESTOS!$C$233),0)</f>
        <v>0</v>
      </c>
      <c r="AD126" s="498" t="n">
        <f aca="false">IF(AD$5=MAX(1,FC_SUPUESTOS!$C$23-FC_SUPUESTOS!$F$218-1),FC_SUPUESTOS!$C$218*FC_SUPUESTOS!$C$232,0)+IF(AD$5=MAX(1,FC_SUPUESTOS!$C$23-FC_SUPUESTOS!$F$219-1),FC_SUPUESTOS!$C$219*FC_SUPUESTOS!$C$232,0)+IF(AD$5=MAX(1,FC_SUPUESTOS!$C$23-FC_SUPUESTOS!$F$220-1),FC_SUPUESTOS!$C$220*(FC_SUPUESTOS!$C$232+FC_SUPUESTOS!$C$233),0)</f>
        <v>0</v>
      </c>
      <c r="AE126" s="498" t="n">
        <f aca="false">IF(AE$5=MAX(1,FC_SUPUESTOS!$C$23-FC_SUPUESTOS!$F$218-1),FC_SUPUESTOS!$C$218*FC_SUPUESTOS!$C$232,0)+IF(AE$5=MAX(1,FC_SUPUESTOS!$C$23-FC_SUPUESTOS!$F$219-1),FC_SUPUESTOS!$C$219*FC_SUPUESTOS!$C$232,0)+IF(AE$5=MAX(1,FC_SUPUESTOS!$C$23-FC_SUPUESTOS!$F$220-1),FC_SUPUESTOS!$C$220*(FC_SUPUESTOS!$C$232+FC_SUPUESTOS!$C$233),0)</f>
        <v>0</v>
      </c>
      <c r="AF126" s="498" t="n">
        <f aca="false">IF(AF$5=MAX(1,FC_SUPUESTOS!$C$23-FC_SUPUESTOS!$F$218-1),FC_SUPUESTOS!$C$218*FC_SUPUESTOS!$C$232,0)+IF(AF$5=MAX(1,FC_SUPUESTOS!$C$23-FC_SUPUESTOS!$F$219-1),FC_SUPUESTOS!$C$219*FC_SUPUESTOS!$C$232,0)+IF(AF$5=MAX(1,FC_SUPUESTOS!$C$23-FC_SUPUESTOS!$F$220-1),FC_SUPUESTOS!$C$220*(FC_SUPUESTOS!$C$232+FC_SUPUESTOS!$C$233),0)</f>
        <v>0</v>
      </c>
      <c r="AG126" s="498" t="n">
        <f aca="false">IF(AG$5=MAX(1,FC_SUPUESTOS!$C$23-FC_SUPUESTOS!$F$218-1),FC_SUPUESTOS!$C$218*FC_SUPUESTOS!$C$232,0)+IF(AG$5=MAX(1,FC_SUPUESTOS!$C$23-FC_SUPUESTOS!$F$219-1),FC_SUPUESTOS!$C$219*FC_SUPUESTOS!$C$232,0)+IF(AG$5=MAX(1,FC_SUPUESTOS!$C$23-FC_SUPUESTOS!$F$220-1),FC_SUPUESTOS!$C$220*(FC_SUPUESTOS!$C$232+FC_SUPUESTOS!$C$233),0)</f>
        <v>0</v>
      </c>
      <c r="AH126" s="498" t="n">
        <f aca="false">IF(AH$5=MAX(1,FC_SUPUESTOS!$C$23-FC_SUPUESTOS!$F$218-1),FC_SUPUESTOS!$C$218*FC_SUPUESTOS!$C$232,0)+IF(AH$5=MAX(1,FC_SUPUESTOS!$C$23-FC_SUPUESTOS!$F$219-1),FC_SUPUESTOS!$C$219*FC_SUPUESTOS!$C$232,0)+IF(AH$5=MAX(1,FC_SUPUESTOS!$C$23-FC_SUPUESTOS!$F$220-1),FC_SUPUESTOS!$C$220*(FC_SUPUESTOS!$C$232+FC_SUPUESTOS!$C$233),0)</f>
        <v>0</v>
      </c>
      <c r="AI126" s="498" t="n">
        <f aca="false">IF(AI$5=MAX(1,FC_SUPUESTOS!$C$23-FC_SUPUESTOS!$F$218-1),FC_SUPUESTOS!$C$218*FC_SUPUESTOS!$C$232,0)+IF(AI$5=MAX(1,FC_SUPUESTOS!$C$23-FC_SUPUESTOS!$F$219-1),FC_SUPUESTOS!$C$219*FC_SUPUESTOS!$C$232,0)+IF(AI$5=MAX(1,FC_SUPUESTOS!$C$23-FC_SUPUESTOS!$F$220-1),FC_SUPUESTOS!$C$220*(FC_SUPUESTOS!$C$232+FC_SUPUESTOS!$C$233),0)</f>
        <v>0</v>
      </c>
      <c r="AJ126" s="498" t="n">
        <f aca="false">IF(AJ$5=MAX(1,FC_SUPUESTOS!$C$23-FC_SUPUESTOS!$F$218-1),FC_SUPUESTOS!$C$218*FC_SUPUESTOS!$C$232,0)+IF(AJ$5=MAX(1,FC_SUPUESTOS!$C$23-FC_SUPUESTOS!$F$219-1),FC_SUPUESTOS!$C$219*FC_SUPUESTOS!$C$232,0)+IF(AJ$5=MAX(1,FC_SUPUESTOS!$C$23-FC_SUPUESTOS!$F$220-1),FC_SUPUESTOS!$C$220*(FC_SUPUESTOS!$C$232+FC_SUPUESTOS!$C$233),0)</f>
        <v>0</v>
      </c>
      <c r="AK126" s="498" t="n">
        <f aca="false">IF(AK$5=MAX(1,FC_SUPUESTOS!$C$23-FC_SUPUESTOS!$F$218-1),FC_SUPUESTOS!$C$218*FC_SUPUESTOS!$C$232,0)+IF(AK$5=MAX(1,FC_SUPUESTOS!$C$23-FC_SUPUESTOS!$F$219-1),FC_SUPUESTOS!$C$219*FC_SUPUESTOS!$C$232,0)+IF(AK$5=MAX(1,FC_SUPUESTOS!$C$23-FC_SUPUESTOS!$F$220-1),FC_SUPUESTOS!$C$220*(FC_SUPUESTOS!$C$232+FC_SUPUESTOS!$C$233),0)</f>
        <v>0</v>
      </c>
      <c r="AL126" s="498" t="n">
        <f aca="false">IF(AL$5=MAX(1,FC_SUPUESTOS!$C$23-FC_SUPUESTOS!$F$218-1),FC_SUPUESTOS!$C$218*FC_SUPUESTOS!$C$232,0)+IF(AL$5=MAX(1,FC_SUPUESTOS!$C$23-FC_SUPUESTOS!$F$219-1),FC_SUPUESTOS!$C$219*FC_SUPUESTOS!$C$232,0)+IF(AL$5=MAX(1,FC_SUPUESTOS!$C$23-FC_SUPUESTOS!$F$220-1),FC_SUPUESTOS!$C$220*(FC_SUPUESTOS!$C$232+FC_SUPUESTOS!$C$233),0)</f>
        <v>0</v>
      </c>
      <c r="AM126" s="498" t="n">
        <f aca="false">IF(AM$5=MAX(1,FC_SUPUESTOS!$C$23-FC_SUPUESTOS!$F$218-1),FC_SUPUESTOS!$C$218*FC_SUPUESTOS!$C$232,0)+IF(AM$5=MAX(1,FC_SUPUESTOS!$C$23-FC_SUPUESTOS!$F$219-1),FC_SUPUESTOS!$C$219*FC_SUPUESTOS!$C$232,0)+IF(AM$5=MAX(1,FC_SUPUESTOS!$C$23-FC_SUPUESTOS!$F$220-1),FC_SUPUESTOS!$C$220*(FC_SUPUESTOS!$C$232+FC_SUPUESTOS!$C$233),0)</f>
        <v>0</v>
      </c>
      <c r="AN126" s="498" t="n">
        <f aca="false">IF(AN$5=MAX(1,FC_SUPUESTOS!$C$23-FC_SUPUESTOS!$F$218-1),FC_SUPUESTOS!$C$218*FC_SUPUESTOS!$C$232,0)+IF(AN$5=MAX(1,FC_SUPUESTOS!$C$23-FC_SUPUESTOS!$F$219-1),FC_SUPUESTOS!$C$219*FC_SUPUESTOS!$C$232,0)+IF(AN$5=MAX(1,FC_SUPUESTOS!$C$23-FC_SUPUESTOS!$F$220-1),FC_SUPUESTOS!$C$220*(FC_SUPUESTOS!$C$232+FC_SUPUESTOS!$C$233),0)</f>
        <v>0</v>
      </c>
      <c r="AO126" s="498" t="n">
        <f aca="false">IF(AO$5=MAX(1,FC_SUPUESTOS!$C$23-FC_SUPUESTOS!$F$218-1),FC_SUPUESTOS!$C$218*FC_SUPUESTOS!$C$232,0)+IF(AO$5=MAX(1,FC_SUPUESTOS!$C$23-FC_SUPUESTOS!$F$219-1),FC_SUPUESTOS!$C$219*FC_SUPUESTOS!$C$232,0)+IF(AO$5=MAX(1,FC_SUPUESTOS!$C$23-FC_SUPUESTOS!$F$220-1),FC_SUPUESTOS!$C$220*(FC_SUPUESTOS!$C$232+FC_SUPUESTOS!$C$233),0)</f>
        <v>0</v>
      </c>
      <c r="AP126" s="498" t="n">
        <f aca="false">IF(AP$5=MAX(1,FC_SUPUESTOS!$C$23-FC_SUPUESTOS!$F$218-1),FC_SUPUESTOS!$C$218*FC_SUPUESTOS!$C$232,0)+IF(AP$5=MAX(1,FC_SUPUESTOS!$C$23-FC_SUPUESTOS!$F$219-1),FC_SUPUESTOS!$C$219*FC_SUPUESTOS!$C$232,0)+IF(AP$5=MAX(1,FC_SUPUESTOS!$C$23-FC_SUPUESTOS!$F$220-1),FC_SUPUESTOS!$C$220*(FC_SUPUESTOS!$C$232+FC_SUPUESTOS!$C$233),0)</f>
        <v>0</v>
      </c>
      <c r="AQ126" s="498" t="n">
        <f aca="false">IF(AQ$5=MAX(1,FC_SUPUESTOS!$C$23-FC_SUPUESTOS!$F$218-1),FC_SUPUESTOS!$C$218*FC_SUPUESTOS!$C$232,0)+IF(AQ$5=MAX(1,FC_SUPUESTOS!$C$23-FC_SUPUESTOS!$F$219-1),FC_SUPUESTOS!$C$219*FC_SUPUESTOS!$C$232,0)+IF(AQ$5=MAX(1,FC_SUPUESTOS!$C$23-FC_SUPUESTOS!$F$220-1),FC_SUPUESTOS!$C$220*(FC_SUPUESTOS!$C$232+FC_SUPUESTOS!$C$233),0)</f>
        <v>0</v>
      </c>
      <c r="AR126" s="498" t="n">
        <f aca="false">IF(AR$5=MAX(1,FC_SUPUESTOS!$C$23-FC_SUPUESTOS!$F$218-1),FC_SUPUESTOS!$C$218*FC_SUPUESTOS!$C$232,0)+IF(AR$5=MAX(1,FC_SUPUESTOS!$C$23-FC_SUPUESTOS!$F$219-1),FC_SUPUESTOS!$C$219*FC_SUPUESTOS!$C$232,0)+IF(AR$5=MAX(1,FC_SUPUESTOS!$C$23-FC_SUPUESTOS!$F$220-1),FC_SUPUESTOS!$C$220*(FC_SUPUESTOS!$C$232+FC_SUPUESTOS!$C$233),0)</f>
        <v>0</v>
      </c>
      <c r="AS126" s="498" t="n">
        <f aca="false">IF(AS$5=MAX(1,FC_SUPUESTOS!$C$23-FC_SUPUESTOS!$F$218-1),FC_SUPUESTOS!$C$218*FC_SUPUESTOS!$C$232,0)+IF(AS$5=MAX(1,FC_SUPUESTOS!$C$23-FC_SUPUESTOS!$F$219-1),FC_SUPUESTOS!$C$219*FC_SUPUESTOS!$C$232,0)+IF(AS$5=MAX(1,FC_SUPUESTOS!$C$23-FC_SUPUESTOS!$F$220-1),FC_SUPUESTOS!$C$220*(FC_SUPUESTOS!$C$232+FC_SUPUESTOS!$C$233),0)</f>
        <v>0</v>
      </c>
      <c r="AT126" s="498" t="n">
        <f aca="false">IF(AT$5=MAX(1,FC_SUPUESTOS!$C$23-FC_SUPUESTOS!$F$218-1),FC_SUPUESTOS!$C$218*FC_SUPUESTOS!$C$232,0)+IF(AT$5=MAX(1,FC_SUPUESTOS!$C$23-FC_SUPUESTOS!$F$219-1),FC_SUPUESTOS!$C$219*FC_SUPUESTOS!$C$232,0)+IF(AT$5=MAX(1,FC_SUPUESTOS!$C$23-FC_SUPUESTOS!$F$220-1),FC_SUPUESTOS!$C$220*(FC_SUPUESTOS!$C$232+FC_SUPUESTOS!$C$233),0)</f>
        <v>0</v>
      </c>
      <c r="AU126" s="498" t="n">
        <f aca="false">IF(AU$5=MAX(1,FC_SUPUESTOS!$C$23-FC_SUPUESTOS!$F$218-1),FC_SUPUESTOS!$C$218*FC_SUPUESTOS!$C$232,0)+IF(AU$5=MAX(1,FC_SUPUESTOS!$C$23-FC_SUPUESTOS!$F$219-1),FC_SUPUESTOS!$C$219*FC_SUPUESTOS!$C$232,0)+IF(AU$5=MAX(1,FC_SUPUESTOS!$C$23-FC_SUPUESTOS!$F$220-1),FC_SUPUESTOS!$C$220*(FC_SUPUESTOS!$C$232+FC_SUPUESTOS!$C$233),0)</f>
        <v>0</v>
      </c>
      <c r="AV126" s="498" t="n">
        <f aca="false">IF(AV$5=MAX(1,FC_SUPUESTOS!$C$23-FC_SUPUESTOS!$F$218-1),FC_SUPUESTOS!$C$218*FC_SUPUESTOS!$C$232,0)+IF(AV$5=MAX(1,FC_SUPUESTOS!$C$23-FC_SUPUESTOS!$F$219-1),FC_SUPUESTOS!$C$219*FC_SUPUESTOS!$C$232,0)+IF(AV$5=MAX(1,FC_SUPUESTOS!$C$23-FC_SUPUESTOS!$F$220-1),FC_SUPUESTOS!$C$220*(FC_SUPUESTOS!$C$232+FC_SUPUESTOS!$C$233),0)</f>
        <v>0</v>
      </c>
      <c r="AW126" s="498" t="n">
        <f aca="false">IF(AW$5=MAX(1,FC_SUPUESTOS!$C$23-FC_SUPUESTOS!$F$218-1),FC_SUPUESTOS!$C$218*FC_SUPUESTOS!$C$232,0)+IF(AW$5=MAX(1,FC_SUPUESTOS!$C$23-FC_SUPUESTOS!$F$219-1),FC_SUPUESTOS!$C$219*FC_SUPUESTOS!$C$232,0)+IF(AW$5=MAX(1,FC_SUPUESTOS!$C$23-FC_SUPUESTOS!$F$220-1),FC_SUPUESTOS!$C$220*(FC_SUPUESTOS!$C$232+FC_SUPUESTOS!$C$233),0)</f>
        <v>0</v>
      </c>
      <c r="AX126" s="498" t="n">
        <f aca="false">IF(AX$5=MAX(1,FC_SUPUESTOS!$C$23-FC_SUPUESTOS!$F$218-1),FC_SUPUESTOS!$C$218*FC_SUPUESTOS!$C$232,0)+IF(AX$5=MAX(1,FC_SUPUESTOS!$C$23-FC_SUPUESTOS!$F$219-1),FC_SUPUESTOS!$C$219*FC_SUPUESTOS!$C$232,0)+IF(AX$5=MAX(1,FC_SUPUESTOS!$C$23-FC_SUPUESTOS!$F$220-1),FC_SUPUESTOS!$C$220*(FC_SUPUESTOS!$C$232+FC_SUPUESTOS!$C$233),0)</f>
        <v>0</v>
      </c>
      <c r="AY126" s="498" t="n">
        <f aca="false">IF(AY$5=MAX(1,FC_SUPUESTOS!$C$23-FC_SUPUESTOS!$F$218-1),FC_SUPUESTOS!$C$218*FC_SUPUESTOS!$C$232,0)+IF(AY$5=MAX(1,FC_SUPUESTOS!$C$23-FC_SUPUESTOS!$F$219-1),FC_SUPUESTOS!$C$219*FC_SUPUESTOS!$C$232,0)+IF(AY$5=MAX(1,FC_SUPUESTOS!$C$23-FC_SUPUESTOS!$F$220-1),FC_SUPUESTOS!$C$220*(FC_SUPUESTOS!$C$232+FC_SUPUESTOS!$C$233),0)</f>
        <v>0</v>
      </c>
      <c r="AZ126" s="498" t="n">
        <f aca="false">IF(AZ$5=MAX(1,FC_SUPUESTOS!$C$23-FC_SUPUESTOS!$F$218-1),FC_SUPUESTOS!$C$218*FC_SUPUESTOS!$C$232,0)+IF(AZ$5=MAX(1,FC_SUPUESTOS!$C$23-FC_SUPUESTOS!$F$219-1),FC_SUPUESTOS!$C$219*FC_SUPUESTOS!$C$232,0)+IF(AZ$5=MAX(1,FC_SUPUESTOS!$C$23-FC_SUPUESTOS!$F$220-1),FC_SUPUESTOS!$C$220*(FC_SUPUESTOS!$C$232+FC_SUPUESTOS!$C$233),0)</f>
        <v>0</v>
      </c>
      <c r="BA126" s="498" t="n">
        <f aca="false">IF(BA$5=MAX(1,FC_SUPUESTOS!$C$23-FC_SUPUESTOS!$F$218-1),FC_SUPUESTOS!$C$218*FC_SUPUESTOS!$C$232,0)+IF(BA$5=MAX(1,FC_SUPUESTOS!$C$23-FC_SUPUESTOS!$F$219-1),FC_SUPUESTOS!$C$219*FC_SUPUESTOS!$C$232,0)+IF(BA$5=MAX(1,FC_SUPUESTOS!$C$23-FC_SUPUESTOS!$F$220-1),FC_SUPUESTOS!$C$220*(FC_SUPUESTOS!$C$232+FC_SUPUESTOS!$C$233),0)</f>
        <v>0</v>
      </c>
      <c r="BB126" s="498" t="n">
        <f aca="false">IF(BB$5=MAX(1,FC_SUPUESTOS!$C$23-FC_SUPUESTOS!$F$218-1),FC_SUPUESTOS!$C$218*FC_SUPUESTOS!$C$232,0)+IF(BB$5=MAX(1,FC_SUPUESTOS!$C$23-FC_SUPUESTOS!$F$219-1),FC_SUPUESTOS!$C$219*FC_SUPUESTOS!$C$232,0)+IF(BB$5=MAX(1,FC_SUPUESTOS!$C$23-FC_SUPUESTOS!$F$220-1),FC_SUPUESTOS!$C$220*(FC_SUPUESTOS!$C$232+FC_SUPUESTOS!$C$233),0)</f>
        <v>0</v>
      </c>
      <c r="BC126" s="498" t="n">
        <f aca="false">IF(BC$5=MAX(1,FC_SUPUESTOS!$C$23-FC_SUPUESTOS!$F$218-1),FC_SUPUESTOS!$C$218*FC_SUPUESTOS!$C$232,0)+IF(BC$5=MAX(1,FC_SUPUESTOS!$C$23-FC_SUPUESTOS!$F$219-1),FC_SUPUESTOS!$C$219*FC_SUPUESTOS!$C$232,0)+IF(BC$5=MAX(1,FC_SUPUESTOS!$C$23-FC_SUPUESTOS!$F$220-1),FC_SUPUESTOS!$C$220*(FC_SUPUESTOS!$C$232+FC_SUPUESTOS!$C$233),0)</f>
        <v>0</v>
      </c>
      <c r="BD126" s="498" t="n">
        <f aca="false">IF(BD$5=MAX(1,FC_SUPUESTOS!$C$23-FC_SUPUESTOS!$F$218-1),FC_SUPUESTOS!$C$218*FC_SUPUESTOS!$C$232,0)+IF(BD$5=MAX(1,FC_SUPUESTOS!$C$23-FC_SUPUESTOS!$F$219-1),FC_SUPUESTOS!$C$219*FC_SUPUESTOS!$C$232,0)+IF(BD$5=MAX(1,FC_SUPUESTOS!$C$23-FC_SUPUESTOS!$F$220-1),FC_SUPUESTOS!$C$220*(FC_SUPUESTOS!$C$232+FC_SUPUESTOS!$C$233),0)</f>
        <v>0</v>
      </c>
      <c r="BE126" s="498" t="n">
        <f aca="false">IF(BE$5=MAX(1,FC_SUPUESTOS!$C$23-FC_SUPUESTOS!$F$218-1),FC_SUPUESTOS!$C$218*FC_SUPUESTOS!$C$232,0)+IF(BE$5=MAX(1,FC_SUPUESTOS!$C$23-FC_SUPUESTOS!$F$219-1),FC_SUPUESTOS!$C$219*FC_SUPUESTOS!$C$232,0)+IF(BE$5=MAX(1,FC_SUPUESTOS!$C$23-FC_SUPUESTOS!$F$220-1),FC_SUPUESTOS!$C$220*(FC_SUPUESTOS!$C$232+FC_SUPUESTOS!$C$233),0)</f>
        <v>0</v>
      </c>
      <c r="BF126" s="498" t="n">
        <f aca="false">IF(BF$5=MAX(1,FC_SUPUESTOS!$C$23-FC_SUPUESTOS!$F$218-1),FC_SUPUESTOS!$C$218*FC_SUPUESTOS!$C$232,0)+IF(BF$5=MAX(1,FC_SUPUESTOS!$C$23-FC_SUPUESTOS!$F$219-1),FC_SUPUESTOS!$C$219*FC_SUPUESTOS!$C$232,0)+IF(BF$5=MAX(1,FC_SUPUESTOS!$C$23-FC_SUPUESTOS!$F$220-1),FC_SUPUESTOS!$C$220*(FC_SUPUESTOS!$C$232+FC_SUPUESTOS!$C$233),0)</f>
        <v>0</v>
      </c>
      <c r="BG126" s="498" t="n">
        <f aca="false">IF(BG$5=MAX(1,FC_SUPUESTOS!$C$23-FC_SUPUESTOS!$F$218-1),FC_SUPUESTOS!$C$218*FC_SUPUESTOS!$C$232,0)+IF(BG$5=MAX(1,FC_SUPUESTOS!$C$23-FC_SUPUESTOS!$F$219-1),FC_SUPUESTOS!$C$219*FC_SUPUESTOS!$C$232,0)+IF(BG$5=MAX(1,FC_SUPUESTOS!$C$23-FC_SUPUESTOS!$F$220-1),FC_SUPUESTOS!$C$220*(FC_SUPUESTOS!$C$232+FC_SUPUESTOS!$C$233),0)</f>
        <v>0</v>
      </c>
      <c r="BH126" s="498" t="n">
        <f aca="false">IF(BH$5=MAX(1,FC_SUPUESTOS!$C$23-FC_SUPUESTOS!$F$218-1),FC_SUPUESTOS!$C$218*FC_SUPUESTOS!$C$232,0)+IF(BH$5=MAX(1,FC_SUPUESTOS!$C$23-FC_SUPUESTOS!$F$219-1),FC_SUPUESTOS!$C$219*FC_SUPUESTOS!$C$232,0)+IF(BH$5=MAX(1,FC_SUPUESTOS!$C$23-FC_SUPUESTOS!$F$220-1),FC_SUPUESTOS!$C$220*(FC_SUPUESTOS!$C$232+FC_SUPUESTOS!$C$233),0)</f>
        <v>0</v>
      </c>
      <c r="BI126" s="498" t="n">
        <f aca="false">IF(BI$5=MAX(1,FC_SUPUESTOS!$C$23-FC_SUPUESTOS!$F$218-1),FC_SUPUESTOS!$C$218*FC_SUPUESTOS!$C$232,0)+IF(BI$5=MAX(1,FC_SUPUESTOS!$C$23-FC_SUPUESTOS!$F$219-1),FC_SUPUESTOS!$C$219*FC_SUPUESTOS!$C$232,0)+IF(BI$5=MAX(1,FC_SUPUESTOS!$C$23-FC_SUPUESTOS!$F$220-1),FC_SUPUESTOS!$C$220*(FC_SUPUESTOS!$C$232+FC_SUPUESTOS!$C$233),0)</f>
        <v>0</v>
      </c>
      <c r="BJ126" s="498" t="n">
        <f aca="false">IF(BJ$5=MAX(1,FC_SUPUESTOS!$C$23-FC_SUPUESTOS!$F$218-1),FC_SUPUESTOS!$C$218*FC_SUPUESTOS!$C$232,0)+IF(BJ$5=MAX(1,FC_SUPUESTOS!$C$23-FC_SUPUESTOS!$F$219-1),FC_SUPUESTOS!$C$219*FC_SUPUESTOS!$C$232,0)+IF(BJ$5=MAX(1,FC_SUPUESTOS!$C$23-FC_SUPUESTOS!$F$220-1),FC_SUPUESTOS!$C$220*(FC_SUPUESTOS!$C$232+FC_SUPUESTOS!$C$233),0)</f>
        <v>0</v>
      </c>
      <c r="BK126" s="498" t="n">
        <f aca="false">IF(BK$5=MAX(1,FC_SUPUESTOS!$C$23-FC_SUPUESTOS!$F$218-1),FC_SUPUESTOS!$C$218*FC_SUPUESTOS!$C$232,0)+IF(BK$5=MAX(1,FC_SUPUESTOS!$C$23-FC_SUPUESTOS!$F$219-1),FC_SUPUESTOS!$C$219*FC_SUPUESTOS!$C$232,0)+IF(BK$5=MAX(1,FC_SUPUESTOS!$C$23-FC_SUPUESTOS!$F$220-1),FC_SUPUESTOS!$C$220*(FC_SUPUESTOS!$C$232+FC_SUPUESTOS!$C$233),0)</f>
        <v>0</v>
      </c>
    </row>
    <row r="128" customFormat="false" ht="15" hidden="false" customHeight="true" outlineLevel="0" collapsed="false">
      <c r="A128" s="281" t="s">
        <v>3019</v>
      </c>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row>
    <row r="129" customFormat="false" ht="15" hidden="false" customHeight="true" outlineLevel="0" collapsed="false">
      <c r="B129" s="283" t="s">
        <v>3020</v>
      </c>
      <c r="D129" s="498" t="n">
        <f aca="false">SUMPRODUCT((FC_CRONOGRAMA!$D$4:$BK$4&gt;D$5)*(FC_CRONOGRAMA!$D$4:$BK$4&lt;=D$5+FC_SUPUESTOS!$C$226)*FC_CRONOGRAMA!$D$17:$BK$17)*(SUP_OPEX!$D$15+SUP_OPEX!$D$21)+SUMPRODUCT((FC_CRONOGRAMA!$D$4:$BK$4&gt;D$5)*(FC_CRONOGRAMA!$D$4:$BK$4&lt;=D$5+FC_SUPUESTOS!$C$226)*FC_CRONOGRAMA!$D$18:$BK$18)*(SUP_OPEX!$E$15+SUP_OPEX!$E$21)</f>
        <v>0</v>
      </c>
      <c r="E129" s="498" t="n">
        <f aca="false">SUMPRODUCT((FC_CRONOGRAMA!$D$4:$BK$4&gt;E$5)*(FC_CRONOGRAMA!$D$4:$BK$4&lt;=E$5+FC_SUPUESTOS!$C$226)*FC_CRONOGRAMA!$D$17:$BK$17)*(SUP_OPEX!$D$15+SUP_OPEX!$D$21)+SUMPRODUCT((FC_CRONOGRAMA!$D$4:$BK$4&gt;E$5)*(FC_CRONOGRAMA!$D$4:$BK$4&lt;=E$5+FC_SUPUESTOS!$C$226)*FC_CRONOGRAMA!$D$18:$BK$18)*(SUP_OPEX!$E$15+SUP_OPEX!$E$21)</f>
        <v>0</v>
      </c>
      <c r="F129" s="498" t="n">
        <f aca="false">SUMPRODUCT((FC_CRONOGRAMA!$D$4:$BK$4&gt;F$5)*(FC_CRONOGRAMA!$D$4:$BK$4&lt;=F$5+FC_SUPUESTOS!$C$226)*FC_CRONOGRAMA!$D$17:$BK$17)*(SUP_OPEX!$D$15+SUP_OPEX!$D$21)+SUMPRODUCT((FC_CRONOGRAMA!$D$4:$BK$4&gt;F$5)*(FC_CRONOGRAMA!$D$4:$BK$4&lt;=F$5+FC_SUPUESTOS!$C$226)*FC_CRONOGRAMA!$D$18:$BK$18)*(SUP_OPEX!$E$15+SUP_OPEX!$E$21)</f>
        <v>0</v>
      </c>
      <c r="G129" s="498" t="n">
        <f aca="false">SUMPRODUCT((FC_CRONOGRAMA!$D$4:$BK$4&gt;G$5)*(FC_CRONOGRAMA!$D$4:$BK$4&lt;=G$5+FC_SUPUESTOS!$C$226)*FC_CRONOGRAMA!$D$17:$BK$17)*(SUP_OPEX!$D$15+SUP_OPEX!$D$21)+SUMPRODUCT((FC_CRONOGRAMA!$D$4:$BK$4&gt;G$5)*(FC_CRONOGRAMA!$D$4:$BK$4&lt;=G$5+FC_SUPUESTOS!$C$226)*FC_CRONOGRAMA!$D$18:$BK$18)*(SUP_OPEX!$E$15+SUP_OPEX!$E$21)</f>
        <v>0</v>
      </c>
      <c r="H129" s="498" t="n">
        <f aca="false">SUMPRODUCT((FC_CRONOGRAMA!$D$4:$BK$4&gt;H$5)*(FC_CRONOGRAMA!$D$4:$BK$4&lt;=H$5+FC_SUPUESTOS!$C$226)*FC_CRONOGRAMA!$D$17:$BK$17)*(SUP_OPEX!$D$15+SUP_OPEX!$D$21)+SUMPRODUCT((FC_CRONOGRAMA!$D$4:$BK$4&gt;H$5)*(FC_CRONOGRAMA!$D$4:$BK$4&lt;=H$5+FC_SUPUESTOS!$C$226)*FC_CRONOGRAMA!$D$18:$BK$18)*(SUP_OPEX!$E$15+SUP_OPEX!$E$21)</f>
        <v>0</v>
      </c>
      <c r="I129" s="498" t="n">
        <f aca="false">SUMPRODUCT((FC_CRONOGRAMA!$D$4:$BK$4&gt;I$5)*(FC_CRONOGRAMA!$D$4:$BK$4&lt;=I$5+FC_SUPUESTOS!$C$226)*FC_CRONOGRAMA!$D$17:$BK$17)*(SUP_OPEX!$D$15+SUP_OPEX!$D$21)+SUMPRODUCT((FC_CRONOGRAMA!$D$4:$BK$4&gt;I$5)*(FC_CRONOGRAMA!$D$4:$BK$4&lt;=I$5+FC_SUPUESTOS!$C$226)*FC_CRONOGRAMA!$D$18:$BK$18)*(SUP_OPEX!$E$15+SUP_OPEX!$E$21)</f>
        <v>0</v>
      </c>
      <c r="J129" s="498" t="n">
        <f aca="false">SUMPRODUCT((FC_CRONOGRAMA!$D$4:$BK$4&gt;J$5)*(FC_CRONOGRAMA!$D$4:$BK$4&lt;=J$5+FC_SUPUESTOS!$C$226)*FC_CRONOGRAMA!$D$17:$BK$17)*(SUP_OPEX!$D$15+SUP_OPEX!$D$21)+SUMPRODUCT((FC_CRONOGRAMA!$D$4:$BK$4&gt;J$5)*(FC_CRONOGRAMA!$D$4:$BK$4&lt;=J$5+FC_SUPUESTOS!$C$226)*FC_CRONOGRAMA!$D$18:$BK$18)*(SUP_OPEX!$E$15+SUP_OPEX!$E$21)</f>
        <v>0</v>
      </c>
      <c r="K129" s="498" t="n">
        <f aca="false">SUMPRODUCT((FC_CRONOGRAMA!$D$4:$BK$4&gt;K$5)*(FC_CRONOGRAMA!$D$4:$BK$4&lt;=K$5+FC_SUPUESTOS!$C$226)*FC_CRONOGRAMA!$D$17:$BK$17)*(SUP_OPEX!$D$15+SUP_OPEX!$D$21)+SUMPRODUCT((FC_CRONOGRAMA!$D$4:$BK$4&gt;K$5)*(FC_CRONOGRAMA!$D$4:$BK$4&lt;=K$5+FC_SUPUESTOS!$C$226)*FC_CRONOGRAMA!$D$18:$BK$18)*(SUP_OPEX!$E$15+SUP_OPEX!$E$21)</f>
        <v>0</v>
      </c>
      <c r="L129" s="498" t="n">
        <f aca="false">SUMPRODUCT((FC_CRONOGRAMA!$D$4:$BK$4&gt;L$5)*(FC_CRONOGRAMA!$D$4:$BK$4&lt;=L$5+FC_SUPUESTOS!$C$226)*FC_CRONOGRAMA!$D$17:$BK$17)*(SUP_OPEX!$D$15+SUP_OPEX!$D$21)+SUMPRODUCT((FC_CRONOGRAMA!$D$4:$BK$4&gt;L$5)*(FC_CRONOGRAMA!$D$4:$BK$4&lt;=L$5+FC_SUPUESTOS!$C$226)*FC_CRONOGRAMA!$D$18:$BK$18)*(SUP_OPEX!$E$15+SUP_OPEX!$E$21)</f>
        <v>8878</v>
      </c>
      <c r="M129" s="498" t="n">
        <f aca="false">SUMPRODUCT((FC_CRONOGRAMA!$D$4:$BK$4&gt;M$5)*(FC_CRONOGRAMA!$D$4:$BK$4&lt;=M$5+FC_SUPUESTOS!$C$226)*FC_CRONOGRAMA!$D$17:$BK$17)*(SUP_OPEX!$D$15+SUP_OPEX!$D$21)+SUMPRODUCT((FC_CRONOGRAMA!$D$4:$BK$4&gt;M$5)*(FC_CRONOGRAMA!$D$4:$BK$4&lt;=M$5+FC_SUPUESTOS!$C$226)*FC_CRONOGRAMA!$D$18:$BK$18)*(SUP_OPEX!$E$15+SUP_OPEX!$E$21)</f>
        <v>8878</v>
      </c>
      <c r="N129" s="498" t="n">
        <f aca="false">SUMPRODUCT((FC_CRONOGRAMA!$D$4:$BK$4&gt;N$5)*(FC_CRONOGRAMA!$D$4:$BK$4&lt;=N$5+FC_SUPUESTOS!$C$226)*FC_CRONOGRAMA!$D$17:$BK$17)*(SUP_OPEX!$D$15+SUP_OPEX!$D$21)+SUMPRODUCT((FC_CRONOGRAMA!$D$4:$BK$4&gt;N$5)*(FC_CRONOGRAMA!$D$4:$BK$4&lt;=N$5+FC_SUPUESTOS!$C$226)*FC_CRONOGRAMA!$D$18:$BK$18)*(SUP_OPEX!$E$15+SUP_OPEX!$E$21)</f>
        <v>8878</v>
      </c>
      <c r="O129" s="498" t="n">
        <f aca="false">SUMPRODUCT((FC_CRONOGRAMA!$D$4:$BK$4&gt;O$5)*(FC_CRONOGRAMA!$D$4:$BK$4&lt;=O$5+FC_SUPUESTOS!$C$226)*FC_CRONOGRAMA!$D$17:$BK$17)*(SUP_OPEX!$D$15+SUP_OPEX!$D$21)+SUMPRODUCT((FC_CRONOGRAMA!$D$4:$BK$4&gt;O$5)*(FC_CRONOGRAMA!$D$4:$BK$4&lt;=O$5+FC_SUPUESTOS!$C$226)*FC_CRONOGRAMA!$D$18:$BK$18)*(SUP_OPEX!$E$15+SUP_OPEX!$E$21)</f>
        <v>10014</v>
      </c>
      <c r="P129" s="498" t="n">
        <f aca="false">SUMPRODUCT((FC_CRONOGRAMA!$D$4:$BK$4&gt;P$5)*(FC_CRONOGRAMA!$D$4:$BK$4&lt;=P$5+FC_SUPUESTOS!$C$226)*FC_CRONOGRAMA!$D$17:$BK$17)*(SUP_OPEX!$D$15+SUP_OPEX!$D$21)+SUMPRODUCT((FC_CRONOGRAMA!$D$4:$BK$4&gt;P$5)*(FC_CRONOGRAMA!$D$4:$BK$4&lt;=P$5+FC_SUPUESTOS!$C$226)*FC_CRONOGRAMA!$D$18:$BK$18)*(SUP_OPEX!$E$15+SUP_OPEX!$E$21)</f>
        <v>11150</v>
      </c>
      <c r="Q129" s="498" t="n">
        <f aca="false">SUMPRODUCT((FC_CRONOGRAMA!$D$4:$BK$4&gt;Q$5)*(FC_CRONOGRAMA!$D$4:$BK$4&lt;=Q$5+FC_SUPUESTOS!$C$226)*FC_CRONOGRAMA!$D$17:$BK$17)*(SUP_OPEX!$D$15+SUP_OPEX!$D$21)+SUMPRODUCT((FC_CRONOGRAMA!$D$4:$BK$4&gt;Q$5)*(FC_CRONOGRAMA!$D$4:$BK$4&lt;=Q$5+FC_SUPUESTOS!$C$226)*FC_CRONOGRAMA!$D$18:$BK$18)*(SUP_OPEX!$E$15+SUP_OPEX!$E$21)</f>
        <v>0</v>
      </c>
      <c r="R129" s="498" t="n">
        <f aca="false">SUMPRODUCT((FC_CRONOGRAMA!$D$4:$BK$4&gt;R$5)*(FC_CRONOGRAMA!$D$4:$BK$4&lt;=R$5+FC_SUPUESTOS!$C$226)*FC_CRONOGRAMA!$D$17:$BK$17)*(SUP_OPEX!$D$15+SUP_OPEX!$D$21)+SUMPRODUCT((FC_CRONOGRAMA!$D$4:$BK$4&gt;R$5)*(FC_CRONOGRAMA!$D$4:$BK$4&lt;=R$5+FC_SUPUESTOS!$C$226)*FC_CRONOGRAMA!$D$18:$BK$18)*(SUP_OPEX!$E$15+SUP_OPEX!$E$21)</f>
        <v>0</v>
      </c>
      <c r="S129" s="498" t="n">
        <f aca="false">SUMPRODUCT((FC_CRONOGRAMA!$D$4:$BK$4&gt;S$5)*(FC_CRONOGRAMA!$D$4:$BK$4&lt;=S$5+FC_SUPUESTOS!$C$226)*FC_CRONOGRAMA!$D$17:$BK$17)*(SUP_OPEX!$D$15+SUP_OPEX!$D$21)+SUMPRODUCT((FC_CRONOGRAMA!$D$4:$BK$4&gt;S$5)*(FC_CRONOGRAMA!$D$4:$BK$4&lt;=S$5+FC_SUPUESTOS!$C$226)*FC_CRONOGRAMA!$D$18:$BK$18)*(SUP_OPEX!$E$15+SUP_OPEX!$E$21)</f>
        <v>0</v>
      </c>
      <c r="T129" s="498" t="n">
        <f aca="false">SUMPRODUCT((FC_CRONOGRAMA!$D$4:$BK$4&gt;T$5)*(FC_CRONOGRAMA!$D$4:$BK$4&lt;=T$5+FC_SUPUESTOS!$C$226)*FC_CRONOGRAMA!$D$17:$BK$17)*(SUP_OPEX!$D$15+SUP_OPEX!$D$21)+SUMPRODUCT((FC_CRONOGRAMA!$D$4:$BK$4&gt;T$5)*(FC_CRONOGRAMA!$D$4:$BK$4&lt;=T$5+FC_SUPUESTOS!$C$226)*FC_CRONOGRAMA!$D$18:$BK$18)*(SUP_OPEX!$E$15+SUP_OPEX!$E$21)</f>
        <v>0</v>
      </c>
      <c r="U129" s="498" t="n">
        <f aca="false">SUMPRODUCT((FC_CRONOGRAMA!$D$4:$BK$4&gt;U$5)*(FC_CRONOGRAMA!$D$4:$BK$4&lt;=U$5+FC_SUPUESTOS!$C$226)*FC_CRONOGRAMA!$D$17:$BK$17)*(SUP_OPEX!$D$15+SUP_OPEX!$D$21)+SUMPRODUCT((FC_CRONOGRAMA!$D$4:$BK$4&gt;U$5)*(FC_CRONOGRAMA!$D$4:$BK$4&lt;=U$5+FC_SUPUESTOS!$C$226)*FC_CRONOGRAMA!$D$18:$BK$18)*(SUP_OPEX!$E$15+SUP_OPEX!$E$21)</f>
        <v>0</v>
      </c>
      <c r="V129" s="498" t="n">
        <f aca="false">SUMPRODUCT((FC_CRONOGRAMA!$D$4:$BK$4&gt;V$5)*(FC_CRONOGRAMA!$D$4:$BK$4&lt;=V$5+FC_SUPUESTOS!$C$226)*FC_CRONOGRAMA!$D$17:$BK$17)*(SUP_OPEX!$D$15+SUP_OPEX!$D$21)+SUMPRODUCT((FC_CRONOGRAMA!$D$4:$BK$4&gt;V$5)*(FC_CRONOGRAMA!$D$4:$BK$4&lt;=V$5+FC_SUPUESTOS!$C$226)*FC_CRONOGRAMA!$D$18:$BK$18)*(SUP_OPEX!$E$15+SUP_OPEX!$E$21)</f>
        <v>0</v>
      </c>
      <c r="W129" s="498" t="n">
        <f aca="false">SUMPRODUCT((FC_CRONOGRAMA!$D$4:$BK$4&gt;W$5)*(FC_CRONOGRAMA!$D$4:$BK$4&lt;=W$5+FC_SUPUESTOS!$C$226)*FC_CRONOGRAMA!$D$17:$BK$17)*(SUP_OPEX!$D$15+SUP_OPEX!$D$21)+SUMPRODUCT((FC_CRONOGRAMA!$D$4:$BK$4&gt;W$5)*(FC_CRONOGRAMA!$D$4:$BK$4&lt;=W$5+FC_SUPUESTOS!$C$226)*FC_CRONOGRAMA!$D$18:$BK$18)*(SUP_OPEX!$E$15+SUP_OPEX!$E$21)</f>
        <v>0</v>
      </c>
      <c r="X129" s="498" t="n">
        <f aca="false">SUMPRODUCT((FC_CRONOGRAMA!$D$4:$BK$4&gt;X$5)*(FC_CRONOGRAMA!$D$4:$BK$4&lt;=X$5+FC_SUPUESTOS!$C$226)*FC_CRONOGRAMA!$D$17:$BK$17)*(SUP_OPEX!$D$15+SUP_OPEX!$D$21)+SUMPRODUCT((FC_CRONOGRAMA!$D$4:$BK$4&gt;X$5)*(FC_CRONOGRAMA!$D$4:$BK$4&lt;=X$5+FC_SUPUESTOS!$C$226)*FC_CRONOGRAMA!$D$18:$BK$18)*(SUP_OPEX!$E$15+SUP_OPEX!$E$21)</f>
        <v>0</v>
      </c>
      <c r="Y129" s="498" t="n">
        <f aca="false">SUMPRODUCT((FC_CRONOGRAMA!$D$4:$BK$4&gt;Y$5)*(FC_CRONOGRAMA!$D$4:$BK$4&lt;=Y$5+FC_SUPUESTOS!$C$226)*FC_CRONOGRAMA!$D$17:$BK$17)*(SUP_OPEX!$D$15+SUP_OPEX!$D$21)+SUMPRODUCT((FC_CRONOGRAMA!$D$4:$BK$4&gt;Y$5)*(FC_CRONOGRAMA!$D$4:$BK$4&lt;=Y$5+FC_SUPUESTOS!$C$226)*FC_CRONOGRAMA!$D$18:$BK$18)*(SUP_OPEX!$E$15+SUP_OPEX!$E$21)</f>
        <v>0</v>
      </c>
      <c r="Z129" s="498" t="n">
        <f aca="false">SUMPRODUCT((FC_CRONOGRAMA!$D$4:$BK$4&gt;Z$5)*(FC_CRONOGRAMA!$D$4:$BK$4&lt;=Z$5+FC_SUPUESTOS!$C$226)*FC_CRONOGRAMA!$D$17:$BK$17)*(SUP_OPEX!$D$15+SUP_OPEX!$D$21)+SUMPRODUCT((FC_CRONOGRAMA!$D$4:$BK$4&gt;Z$5)*(FC_CRONOGRAMA!$D$4:$BK$4&lt;=Z$5+FC_SUPUESTOS!$C$226)*FC_CRONOGRAMA!$D$18:$BK$18)*(SUP_OPEX!$E$15+SUP_OPEX!$E$21)</f>
        <v>0</v>
      </c>
      <c r="AA129" s="498" t="n">
        <f aca="false">SUMPRODUCT((FC_CRONOGRAMA!$D$4:$BK$4&gt;AA$5)*(FC_CRONOGRAMA!$D$4:$BK$4&lt;=AA$5+FC_SUPUESTOS!$C$226)*FC_CRONOGRAMA!$D$17:$BK$17)*(SUP_OPEX!$D$15+SUP_OPEX!$D$21)+SUMPRODUCT((FC_CRONOGRAMA!$D$4:$BK$4&gt;AA$5)*(FC_CRONOGRAMA!$D$4:$BK$4&lt;=AA$5+FC_SUPUESTOS!$C$226)*FC_CRONOGRAMA!$D$18:$BK$18)*(SUP_OPEX!$E$15+SUP_OPEX!$E$21)</f>
        <v>0</v>
      </c>
      <c r="AB129" s="498" t="n">
        <f aca="false">SUMPRODUCT((FC_CRONOGRAMA!$D$4:$BK$4&gt;AB$5)*(FC_CRONOGRAMA!$D$4:$BK$4&lt;=AB$5+FC_SUPUESTOS!$C$226)*FC_CRONOGRAMA!$D$17:$BK$17)*(SUP_OPEX!$D$15+SUP_OPEX!$D$21)+SUMPRODUCT((FC_CRONOGRAMA!$D$4:$BK$4&gt;AB$5)*(FC_CRONOGRAMA!$D$4:$BK$4&lt;=AB$5+FC_SUPUESTOS!$C$226)*FC_CRONOGRAMA!$D$18:$BK$18)*(SUP_OPEX!$E$15+SUP_OPEX!$E$21)</f>
        <v>0</v>
      </c>
      <c r="AC129" s="498" t="n">
        <f aca="false">SUMPRODUCT((FC_CRONOGRAMA!$D$4:$BK$4&gt;AC$5)*(FC_CRONOGRAMA!$D$4:$BK$4&lt;=AC$5+FC_SUPUESTOS!$C$226)*FC_CRONOGRAMA!$D$17:$BK$17)*(SUP_OPEX!$D$15+SUP_OPEX!$D$21)+SUMPRODUCT((FC_CRONOGRAMA!$D$4:$BK$4&gt;AC$5)*(FC_CRONOGRAMA!$D$4:$BK$4&lt;=AC$5+FC_SUPUESTOS!$C$226)*FC_CRONOGRAMA!$D$18:$BK$18)*(SUP_OPEX!$E$15+SUP_OPEX!$E$21)</f>
        <v>0</v>
      </c>
      <c r="AD129" s="498" t="n">
        <f aca="false">SUMPRODUCT((FC_CRONOGRAMA!$D$4:$BK$4&gt;AD$5)*(FC_CRONOGRAMA!$D$4:$BK$4&lt;=AD$5+FC_SUPUESTOS!$C$226)*FC_CRONOGRAMA!$D$17:$BK$17)*(SUP_OPEX!$D$15+SUP_OPEX!$D$21)+SUMPRODUCT((FC_CRONOGRAMA!$D$4:$BK$4&gt;AD$5)*(FC_CRONOGRAMA!$D$4:$BK$4&lt;=AD$5+FC_SUPUESTOS!$C$226)*FC_CRONOGRAMA!$D$18:$BK$18)*(SUP_OPEX!$E$15+SUP_OPEX!$E$21)</f>
        <v>0</v>
      </c>
      <c r="AE129" s="498" t="n">
        <f aca="false">SUMPRODUCT((FC_CRONOGRAMA!$D$4:$BK$4&gt;AE$5)*(FC_CRONOGRAMA!$D$4:$BK$4&lt;=AE$5+FC_SUPUESTOS!$C$226)*FC_CRONOGRAMA!$D$17:$BK$17)*(SUP_OPEX!$D$15+SUP_OPEX!$D$21)+SUMPRODUCT((FC_CRONOGRAMA!$D$4:$BK$4&gt;AE$5)*(FC_CRONOGRAMA!$D$4:$BK$4&lt;=AE$5+FC_SUPUESTOS!$C$226)*FC_CRONOGRAMA!$D$18:$BK$18)*(SUP_OPEX!$E$15+SUP_OPEX!$E$21)</f>
        <v>0</v>
      </c>
      <c r="AF129" s="498" t="n">
        <f aca="false">SUMPRODUCT((FC_CRONOGRAMA!$D$4:$BK$4&gt;AF$5)*(FC_CRONOGRAMA!$D$4:$BK$4&lt;=AF$5+FC_SUPUESTOS!$C$226)*FC_CRONOGRAMA!$D$17:$BK$17)*(SUP_OPEX!$D$15+SUP_OPEX!$D$21)+SUMPRODUCT((FC_CRONOGRAMA!$D$4:$BK$4&gt;AF$5)*(FC_CRONOGRAMA!$D$4:$BK$4&lt;=AF$5+FC_SUPUESTOS!$C$226)*FC_CRONOGRAMA!$D$18:$BK$18)*(SUP_OPEX!$E$15+SUP_OPEX!$E$21)</f>
        <v>0</v>
      </c>
      <c r="AG129" s="498" t="n">
        <f aca="false">SUMPRODUCT((FC_CRONOGRAMA!$D$4:$BK$4&gt;AG$5)*(FC_CRONOGRAMA!$D$4:$BK$4&lt;=AG$5+FC_SUPUESTOS!$C$226)*FC_CRONOGRAMA!$D$17:$BK$17)*(SUP_OPEX!$D$15+SUP_OPEX!$D$21)+SUMPRODUCT((FC_CRONOGRAMA!$D$4:$BK$4&gt;AG$5)*(FC_CRONOGRAMA!$D$4:$BK$4&lt;=AG$5+FC_SUPUESTOS!$C$226)*FC_CRONOGRAMA!$D$18:$BK$18)*(SUP_OPEX!$E$15+SUP_OPEX!$E$21)</f>
        <v>0</v>
      </c>
      <c r="AH129" s="498" t="n">
        <f aca="false">SUMPRODUCT((FC_CRONOGRAMA!$D$4:$BK$4&gt;AH$5)*(FC_CRONOGRAMA!$D$4:$BK$4&lt;=AH$5+FC_SUPUESTOS!$C$226)*FC_CRONOGRAMA!$D$17:$BK$17)*(SUP_OPEX!$D$15+SUP_OPEX!$D$21)+SUMPRODUCT((FC_CRONOGRAMA!$D$4:$BK$4&gt;AH$5)*(FC_CRONOGRAMA!$D$4:$BK$4&lt;=AH$5+FC_SUPUESTOS!$C$226)*FC_CRONOGRAMA!$D$18:$BK$18)*(SUP_OPEX!$E$15+SUP_OPEX!$E$21)</f>
        <v>0</v>
      </c>
      <c r="AI129" s="498" t="n">
        <f aca="false">SUMPRODUCT((FC_CRONOGRAMA!$D$4:$BK$4&gt;AI$5)*(FC_CRONOGRAMA!$D$4:$BK$4&lt;=AI$5+FC_SUPUESTOS!$C$226)*FC_CRONOGRAMA!$D$17:$BK$17)*(SUP_OPEX!$D$15+SUP_OPEX!$D$21)+SUMPRODUCT((FC_CRONOGRAMA!$D$4:$BK$4&gt;AI$5)*(FC_CRONOGRAMA!$D$4:$BK$4&lt;=AI$5+FC_SUPUESTOS!$C$226)*FC_CRONOGRAMA!$D$18:$BK$18)*(SUP_OPEX!$E$15+SUP_OPEX!$E$21)</f>
        <v>0</v>
      </c>
      <c r="AJ129" s="498" t="n">
        <f aca="false">SUMPRODUCT((FC_CRONOGRAMA!$D$4:$BK$4&gt;AJ$5)*(FC_CRONOGRAMA!$D$4:$BK$4&lt;=AJ$5+FC_SUPUESTOS!$C$226)*FC_CRONOGRAMA!$D$17:$BK$17)*(SUP_OPEX!$D$15+SUP_OPEX!$D$21)+SUMPRODUCT((FC_CRONOGRAMA!$D$4:$BK$4&gt;AJ$5)*(FC_CRONOGRAMA!$D$4:$BK$4&lt;=AJ$5+FC_SUPUESTOS!$C$226)*FC_CRONOGRAMA!$D$18:$BK$18)*(SUP_OPEX!$E$15+SUP_OPEX!$E$21)</f>
        <v>0</v>
      </c>
      <c r="AK129" s="498" t="n">
        <f aca="false">SUMPRODUCT((FC_CRONOGRAMA!$D$4:$BK$4&gt;AK$5)*(FC_CRONOGRAMA!$D$4:$BK$4&lt;=AK$5+FC_SUPUESTOS!$C$226)*FC_CRONOGRAMA!$D$17:$BK$17)*(SUP_OPEX!$D$15+SUP_OPEX!$D$21)+SUMPRODUCT((FC_CRONOGRAMA!$D$4:$BK$4&gt;AK$5)*(FC_CRONOGRAMA!$D$4:$BK$4&lt;=AK$5+FC_SUPUESTOS!$C$226)*FC_CRONOGRAMA!$D$18:$BK$18)*(SUP_OPEX!$E$15+SUP_OPEX!$E$21)</f>
        <v>0</v>
      </c>
      <c r="AL129" s="498" t="n">
        <f aca="false">SUMPRODUCT((FC_CRONOGRAMA!$D$4:$BK$4&gt;AL$5)*(FC_CRONOGRAMA!$D$4:$BK$4&lt;=AL$5+FC_SUPUESTOS!$C$226)*FC_CRONOGRAMA!$D$17:$BK$17)*(SUP_OPEX!$D$15+SUP_OPEX!$D$21)+SUMPRODUCT((FC_CRONOGRAMA!$D$4:$BK$4&gt;AL$5)*(FC_CRONOGRAMA!$D$4:$BK$4&lt;=AL$5+FC_SUPUESTOS!$C$226)*FC_CRONOGRAMA!$D$18:$BK$18)*(SUP_OPEX!$E$15+SUP_OPEX!$E$21)</f>
        <v>0</v>
      </c>
      <c r="AM129" s="498" t="n">
        <f aca="false">SUMPRODUCT((FC_CRONOGRAMA!$D$4:$BK$4&gt;AM$5)*(FC_CRONOGRAMA!$D$4:$BK$4&lt;=AM$5+FC_SUPUESTOS!$C$226)*FC_CRONOGRAMA!$D$17:$BK$17)*(SUP_OPEX!$D$15+SUP_OPEX!$D$21)+SUMPRODUCT((FC_CRONOGRAMA!$D$4:$BK$4&gt;AM$5)*(FC_CRONOGRAMA!$D$4:$BK$4&lt;=AM$5+FC_SUPUESTOS!$C$226)*FC_CRONOGRAMA!$D$18:$BK$18)*(SUP_OPEX!$E$15+SUP_OPEX!$E$21)</f>
        <v>0</v>
      </c>
      <c r="AN129" s="498" t="n">
        <f aca="false">SUMPRODUCT((FC_CRONOGRAMA!$D$4:$BK$4&gt;AN$5)*(FC_CRONOGRAMA!$D$4:$BK$4&lt;=AN$5+FC_SUPUESTOS!$C$226)*FC_CRONOGRAMA!$D$17:$BK$17)*(SUP_OPEX!$D$15+SUP_OPEX!$D$21)+SUMPRODUCT((FC_CRONOGRAMA!$D$4:$BK$4&gt;AN$5)*(FC_CRONOGRAMA!$D$4:$BK$4&lt;=AN$5+FC_SUPUESTOS!$C$226)*FC_CRONOGRAMA!$D$18:$BK$18)*(SUP_OPEX!$E$15+SUP_OPEX!$E$21)</f>
        <v>0</v>
      </c>
      <c r="AO129" s="498" t="n">
        <f aca="false">SUMPRODUCT((FC_CRONOGRAMA!$D$4:$BK$4&gt;AO$5)*(FC_CRONOGRAMA!$D$4:$BK$4&lt;=AO$5+FC_SUPUESTOS!$C$226)*FC_CRONOGRAMA!$D$17:$BK$17)*(SUP_OPEX!$D$15+SUP_OPEX!$D$21)+SUMPRODUCT((FC_CRONOGRAMA!$D$4:$BK$4&gt;AO$5)*(FC_CRONOGRAMA!$D$4:$BK$4&lt;=AO$5+FC_SUPUESTOS!$C$226)*FC_CRONOGRAMA!$D$18:$BK$18)*(SUP_OPEX!$E$15+SUP_OPEX!$E$21)</f>
        <v>0</v>
      </c>
      <c r="AP129" s="498" t="n">
        <f aca="false">SUMPRODUCT((FC_CRONOGRAMA!$D$4:$BK$4&gt;AP$5)*(FC_CRONOGRAMA!$D$4:$BK$4&lt;=AP$5+FC_SUPUESTOS!$C$226)*FC_CRONOGRAMA!$D$17:$BK$17)*(SUP_OPEX!$D$15+SUP_OPEX!$D$21)+SUMPRODUCT((FC_CRONOGRAMA!$D$4:$BK$4&gt;AP$5)*(FC_CRONOGRAMA!$D$4:$BK$4&lt;=AP$5+FC_SUPUESTOS!$C$226)*FC_CRONOGRAMA!$D$18:$BK$18)*(SUP_OPEX!$E$15+SUP_OPEX!$E$21)</f>
        <v>0</v>
      </c>
      <c r="AQ129" s="498" t="n">
        <f aca="false">SUMPRODUCT((FC_CRONOGRAMA!$D$4:$BK$4&gt;AQ$5)*(FC_CRONOGRAMA!$D$4:$BK$4&lt;=AQ$5+FC_SUPUESTOS!$C$226)*FC_CRONOGRAMA!$D$17:$BK$17)*(SUP_OPEX!$D$15+SUP_OPEX!$D$21)+SUMPRODUCT((FC_CRONOGRAMA!$D$4:$BK$4&gt;AQ$5)*(FC_CRONOGRAMA!$D$4:$BK$4&lt;=AQ$5+FC_SUPUESTOS!$C$226)*FC_CRONOGRAMA!$D$18:$BK$18)*(SUP_OPEX!$E$15+SUP_OPEX!$E$21)</f>
        <v>0</v>
      </c>
      <c r="AR129" s="498" t="n">
        <f aca="false">SUMPRODUCT((FC_CRONOGRAMA!$D$4:$BK$4&gt;AR$5)*(FC_CRONOGRAMA!$D$4:$BK$4&lt;=AR$5+FC_SUPUESTOS!$C$226)*FC_CRONOGRAMA!$D$17:$BK$17)*(SUP_OPEX!$D$15+SUP_OPEX!$D$21)+SUMPRODUCT((FC_CRONOGRAMA!$D$4:$BK$4&gt;AR$5)*(FC_CRONOGRAMA!$D$4:$BK$4&lt;=AR$5+FC_SUPUESTOS!$C$226)*FC_CRONOGRAMA!$D$18:$BK$18)*(SUP_OPEX!$E$15+SUP_OPEX!$E$21)</f>
        <v>0</v>
      </c>
      <c r="AS129" s="498" t="n">
        <f aca="false">SUMPRODUCT((FC_CRONOGRAMA!$D$4:$BK$4&gt;AS$5)*(FC_CRONOGRAMA!$D$4:$BK$4&lt;=AS$5+FC_SUPUESTOS!$C$226)*FC_CRONOGRAMA!$D$17:$BK$17)*(SUP_OPEX!$D$15+SUP_OPEX!$D$21)+SUMPRODUCT((FC_CRONOGRAMA!$D$4:$BK$4&gt;AS$5)*(FC_CRONOGRAMA!$D$4:$BK$4&lt;=AS$5+FC_SUPUESTOS!$C$226)*FC_CRONOGRAMA!$D$18:$BK$18)*(SUP_OPEX!$E$15+SUP_OPEX!$E$21)</f>
        <v>0</v>
      </c>
      <c r="AT129" s="498" t="n">
        <f aca="false">SUMPRODUCT((FC_CRONOGRAMA!$D$4:$BK$4&gt;AT$5)*(FC_CRONOGRAMA!$D$4:$BK$4&lt;=AT$5+FC_SUPUESTOS!$C$226)*FC_CRONOGRAMA!$D$17:$BK$17)*(SUP_OPEX!$D$15+SUP_OPEX!$D$21)+SUMPRODUCT((FC_CRONOGRAMA!$D$4:$BK$4&gt;AT$5)*(FC_CRONOGRAMA!$D$4:$BK$4&lt;=AT$5+FC_SUPUESTOS!$C$226)*FC_CRONOGRAMA!$D$18:$BK$18)*(SUP_OPEX!$E$15+SUP_OPEX!$E$21)</f>
        <v>0</v>
      </c>
      <c r="AU129" s="498" t="n">
        <f aca="false">SUMPRODUCT((FC_CRONOGRAMA!$D$4:$BK$4&gt;AU$5)*(FC_CRONOGRAMA!$D$4:$BK$4&lt;=AU$5+FC_SUPUESTOS!$C$226)*FC_CRONOGRAMA!$D$17:$BK$17)*(SUP_OPEX!$D$15+SUP_OPEX!$D$21)+SUMPRODUCT((FC_CRONOGRAMA!$D$4:$BK$4&gt;AU$5)*(FC_CRONOGRAMA!$D$4:$BK$4&lt;=AU$5+FC_SUPUESTOS!$C$226)*FC_CRONOGRAMA!$D$18:$BK$18)*(SUP_OPEX!$E$15+SUP_OPEX!$E$21)</f>
        <v>0</v>
      </c>
      <c r="AV129" s="498" t="n">
        <f aca="false">SUMPRODUCT((FC_CRONOGRAMA!$D$4:$BK$4&gt;AV$5)*(FC_CRONOGRAMA!$D$4:$BK$4&lt;=AV$5+FC_SUPUESTOS!$C$226)*FC_CRONOGRAMA!$D$17:$BK$17)*(SUP_OPEX!$D$15+SUP_OPEX!$D$21)+SUMPRODUCT((FC_CRONOGRAMA!$D$4:$BK$4&gt;AV$5)*(FC_CRONOGRAMA!$D$4:$BK$4&lt;=AV$5+FC_SUPUESTOS!$C$226)*FC_CRONOGRAMA!$D$18:$BK$18)*(SUP_OPEX!$E$15+SUP_OPEX!$E$21)</f>
        <v>0</v>
      </c>
      <c r="AW129" s="498" t="n">
        <f aca="false">SUMPRODUCT((FC_CRONOGRAMA!$D$4:$BK$4&gt;AW$5)*(FC_CRONOGRAMA!$D$4:$BK$4&lt;=AW$5+FC_SUPUESTOS!$C$226)*FC_CRONOGRAMA!$D$17:$BK$17)*(SUP_OPEX!$D$15+SUP_OPEX!$D$21)+SUMPRODUCT((FC_CRONOGRAMA!$D$4:$BK$4&gt;AW$5)*(FC_CRONOGRAMA!$D$4:$BK$4&lt;=AW$5+FC_SUPUESTOS!$C$226)*FC_CRONOGRAMA!$D$18:$BK$18)*(SUP_OPEX!$E$15+SUP_OPEX!$E$21)</f>
        <v>0</v>
      </c>
      <c r="AX129" s="498" t="n">
        <f aca="false">SUMPRODUCT((FC_CRONOGRAMA!$D$4:$BK$4&gt;AX$5)*(FC_CRONOGRAMA!$D$4:$BK$4&lt;=AX$5+FC_SUPUESTOS!$C$226)*FC_CRONOGRAMA!$D$17:$BK$17)*(SUP_OPEX!$D$15+SUP_OPEX!$D$21)+SUMPRODUCT((FC_CRONOGRAMA!$D$4:$BK$4&gt;AX$5)*(FC_CRONOGRAMA!$D$4:$BK$4&lt;=AX$5+FC_SUPUESTOS!$C$226)*FC_CRONOGRAMA!$D$18:$BK$18)*(SUP_OPEX!$E$15+SUP_OPEX!$E$21)</f>
        <v>0</v>
      </c>
      <c r="AY129" s="498" t="n">
        <f aca="false">SUMPRODUCT((FC_CRONOGRAMA!$D$4:$BK$4&gt;AY$5)*(FC_CRONOGRAMA!$D$4:$BK$4&lt;=AY$5+FC_SUPUESTOS!$C$226)*FC_CRONOGRAMA!$D$17:$BK$17)*(SUP_OPEX!$D$15+SUP_OPEX!$D$21)+SUMPRODUCT((FC_CRONOGRAMA!$D$4:$BK$4&gt;AY$5)*(FC_CRONOGRAMA!$D$4:$BK$4&lt;=AY$5+FC_SUPUESTOS!$C$226)*FC_CRONOGRAMA!$D$18:$BK$18)*(SUP_OPEX!$E$15+SUP_OPEX!$E$21)</f>
        <v>0</v>
      </c>
      <c r="AZ129" s="498" t="n">
        <f aca="false">SUMPRODUCT((FC_CRONOGRAMA!$D$4:$BK$4&gt;AZ$5)*(FC_CRONOGRAMA!$D$4:$BK$4&lt;=AZ$5+FC_SUPUESTOS!$C$226)*FC_CRONOGRAMA!$D$17:$BK$17)*(SUP_OPEX!$D$15+SUP_OPEX!$D$21)+SUMPRODUCT((FC_CRONOGRAMA!$D$4:$BK$4&gt;AZ$5)*(FC_CRONOGRAMA!$D$4:$BK$4&lt;=AZ$5+FC_SUPUESTOS!$C$226)*FC_CRONOGRAMA!$D$18:$BK$18)*(SUP_OPEX!$E$15+SUP_OPEX!$E$21)</f>
        <v>0</v>
      </c>
      <c r="BA129" s="498" t="n">
        <f aca="false">SUMPRODUCT((FC_CRONOGRAMA!$D$4:$BK$4&gt;BA$5)*(FC_CRONOGRAMA!$D$4:$BK$4&lt;=BA$5+FC_SUPUESTOS!$C$226)*FC_CRONOGRAMA!$D$17:$BK$17)*(SUP_OPEX!$D$15+SUP_OPEX!$D$21)+SUMPRODUCT((FC_CRONOGRAMA!$D$4:$BK$4&gt;BA$5)*(FC_CRONOGRAMA!$D$4:$BK$4&lt;=BA$5+FC_SUPUESTOS!$C$226)*FC_CRONOGRAMA!$D$18:$BK$18)*(SUP_OPEX!$E$15+SUP_OPEX!$E$21)</f>
        <v>0</v>
      </c>
      <c r="BB129" s="498" t="n">
        <f aca="false">SUMPRODUCT((FC_CRONOGRAMA!$D$4:$BK$4&gt;BB$5)*(FC_CRONOGRAMA!$D$4:$BK$4&lt;=BB$5+FC_SUPUESTOS!$C$226)*FC_CRONOGRAMA!$D$17:$BK$17)*(SUP_OPEX!$D$15+SUP_OPEX!$D$21)+SUMPRODUCT((FC_CRONOGRAMA!$D$4:$BK$4&gt;BB$5)*(FC_CRONOGRAMA!$D$4:$BK$4&lt;=BB$5+FC_SUPUESTOS!$C$226)*FC_CRONOGRAMA!$D$18:$BK$18)*(SUP_OPEX!$E$15+SUP_OPEX!$E$21)</f>
        <v>0</v>
      </c>
      <c r="BC129" s="498" t="n">
        <f aca="false">SUMPRODUCT((FC_CRONOGRAMA!$D$4:$BK$4&gt;BC$5)*(FC_CRONOGRAMA!$D$4:$BK$4&lt;=BC$5+FC_SUPUESTOS!$C$226)*FC_CRONOGRAMA!$D$17:$BK$17)*(SUP_OPEX!$D$15+SUP_OPEX!$D$21)+SUMPRODUCT((FC_CRONOGRAMA!$D$4:$BK$4&gt;BC$5)*(FC_CRONOGRAMA!$D$4:$BK$4&lt;=BC$5+FC_SUPUESTOS!$C$226)*FC_CRONOGRAMA!$D$18:$BK$18)*(SUP_OPEX!$E$15+SUP_OPEX!$E$21)</f>
        <v>0</v>
      </c>
      <c r="BD129" s="498" t="n">
        <f aca="false">SUMPRODUCT((FC_CRONOGRAMA!$D$4:$BK$4&gt;BD$5)*(FC_CRONOGRAMA!$D$4:$BK$4&lt;=BD$5+FC_SUPUESTOS!$C$226)*FC_CRONOGRAMA!$D$17:$BK$17)*(SUP_OPEX!$D$15+SUP_OPEX!$D$21)+SUMPRODUCT((FC_CRONOGRAMA!$D$4:$BK$4&gt;BD$5)*(FC_CRONOGRAMA!$D$4:$BK$4&lt;=BD$5+FC_SUPUESTOS!$C$226)*FC_CRONOGRAMA!$D$18:$BK$18)*(SUP_OPEX!$E$15+SUP_OPEX!$E$21)</f>
        <v>0</v>
      </c>
      <c r="BE129" s="498" t="n">
        <f aca="false">SUMPRODUCT((FC_CRONOGRAMA!$D$4:$BK$4&gt;BE$5)*(FC_CRONOGRAMA!$D$4:$BK$4&lt;=BE$5+FC_SUPUESTOS!$C$226)*FC_CRONOGRAMA!$D$17:$BK$17)*(SUP_OPEX!$D$15+SUP_OPEX!$D$21)+SUMPRODUCT((FC_CRONOGRAMA!$D$4:$BK$4&gt;BE$5)*(FC_CRONOGRAMA!$D$4:$BK$4&lt;=BE$5+FC_SUPUESTOS!$C$226)*FC_CRONOGRAMA!$D$18:$BK$18)*(SUP_OPEX!$E$15+SUP_OPEX!$E$21)</f>
        <v>0</v>
      </c>
      <c r="BF129" s="498" t="n">
        <f aca="false">SUMPRODUCT((FC_CRONOGRAMA!$D$4:$BK$4&gt;BF$5)*(FC_CRONOGRAMA!$D$4:$BK$4&lt;=BF$5+FC_SUPUESTOS!$C$226)*FC_CRONOGRAMA!$D$17:$BK$17)*(SUP_OPEX!$D$15+SUP_OPEX!$D$21)+SUMPRODUCT((FC_CRONOGRAMA!$D$4:$BK$4&gt;BF$5)*(FC_CRONOGRAMA!$D$4:$BK$4&lt;=BF$5+FC_SUPUESTOS!$C$226)*FC_CRONOGRAMA!$D$18:$BK$18)*(SUP_OPEX!$E$15+SUP_OPEX!$E$21)</f>
        <v>0</v>
      </c>
      <c r="BG129" s="498" t="n">
        <f aca="false">SUMPRODUCT((FC_CRONOGRAMA!$D$4:$BK$4&gt;BG$5)*(FC_CRONOGRAMA!$D$4:$BK$4&lt;=BG$5+FC_SUPUESTOS!$C$226)*FC_CRONOGRAMA!$D$17:$BK$17)*(SUP_OPEX!$D$15+SUP_OPEX!$D$21)+SUMPRODUCT((FC_CRONOGRAMA!$D$4:$BK$4&gt;BG$5)*(FC_CRONOGRAMA!$D$4:$BK$4&lt;=BG$5+FC_SUPUESTOS!$C$226)*FC_CRONOGRAMA!$D$18:$BK$18)*(SUP_OPEX!$E$15+SUP_OPEX!$E$21)</f>
        <v>0</v>
      </c>
      <c r="BH129" s="498" t="n">
        <f aca="false">SUMPRODUCT((FC_CRONOGRAMA!$D$4:$BK$4&gt;BH$5)*(FC_CRONOGRAMA!$D$4:$BK$4&lt;=BH$5+FC_SUPUESTOS!$C$226)*FC_CRONOGRAMA!$D$17:$BK$17)*(SUP_OPEX!$D$15+SUP_OPEX!$D$21)+SUMPRODUCT((FC_CRONOGRAMA!$D$4:$BK$4&gt;BH$5)*(FC_CRONOGRAMA!$D$4:$BK$4&lt;=BH$5+FC_SUPUESTOS!$C$226)*FC_CRONOGRAMA!$D$18:$BK$18)*(SUP_OPEX!$E$15+SUP_OPEX!$E$21)</f>
        <v>0</v>
      </c>
      <c r="BI129" s="498" t="n">
        <f aca="false">SUMPRODUCT((FC_CRONOGRAMA!$D$4:$BK$4&gt;BI$5)*(FC_CRONOGRAMA!$D$4:$BK$4&lt;=BI$5+FC_SUPUESTOS!$C$226)*FC_CRONOGRAMA!$D$17:$BK$17)*(SUP_OPEX!$D$15+SUP_OPEX!$D$21)+SUMPRODUCT((FC_CRONOGRAMA!$D$4:$BK$4&gt;BI$5)*(FC_CRONOGRAMA!$D$4:$BK$4&lt;=BI$5+FC_SUPUESTOS!$C$226)*FC_CRONOGRAMA!$D$18:$BK$18)*(SUP_OPEX!$E$15+SUP_OPEX!$E$21)</f>
        <v>0</v>
      </c>
      <c r="BJ129" s="498" t="n">
        <f aca="false">SUMPRODUCT((FC_CRONOGRAMA!$D$4:$BK$4&gt;BJ$5)*(FC_CRONOGRAMA!$D$4:$BK$4&lt;=BJ$5+FC_SUPUESTOS!$C$226)*FC_CRONOGRAMA!$D$17:$BK$17)*(SUP_OPEX!$D$15+SUP_OPEX!$D$21)+SUMPRODUCT((FC_CRONOGRAMA!$D$4:$BK$4&gt;BJ$5)*(FC_CRONOGRAMA!$D$4:$BK$4&lt;=BJ$5+FC_SUPUESTOS!$C$226)*FC_CRONOGRAMA!$D$18:$BK$18)*(SUP_OPEX!$E$15+SUP_OPEX!$E$21)</f>
        <v>0</v>
      </c>
      <c r="BK129" s="498" t="n">
        <f aca="false">SUMPRODUCT((FC_CRONOGRAMA!$D$4:$BK$4&gt;BK$5)*(FC_CRONOGRAMA!$D$4:$BK$4&lt;=BK$5+FC_SUPUESTOS!$C$226)*FC_CRONOGRAMA!$D$17:$BK$17)*(SUP_OPEX!$D$15+SUP_OPEX!$D$21)+SUMPRODUCT((FC_CRONOGRAMA!$D$4:$BK$4&gt;BK$5)*(FC_CRONOGRAMA!$D$4:$BK$4&lt;=BK$5+FC_SUPUESTOS!$C$226)*FC_CRONOGRAMA!$D$18:$BK$18)*(SUP_OPEX!$E$15+SUP_OPEX!$E$21)</f>
        <v>0</v>
      </c>
    </row>
    <row r="130" customFormat="false" ht="15" hidden="false" customHeight="true" outlineLevel="0" collapsed="false">
      <c r="B130" s="283" t="s">
        <v>3021</v>
      </c>
      <c r="D130" s="498" t="n">
        <f aca="false">(SUMPRODUCT((FC_CRONOGRAMA!$D$4:$BK$4=D$5+FC_SUPUESTOS!$C$227)*FC_CRONOGRAMA!$D$17:$BK$17)*FC_SUPUESTOS!$C$228+SUMPRODUCT((FC_CRONOGRAMA!$D$4:$BK$4=D$5+FC_SUPUESTOS!$C$227)*FC_CRONOGRAMA!$D$18:$BK$18)*FC_SUPUESTOS!$C$229)*(FC_SUPUESTOS!$C$232+FC_SUPUESTOS!$C$233)</f>
        <v>0</v>
      </c>
      <c r="E130" s="498" t="n">
        <f aca="false">(SUMPRODUCT((FC_CRONOGRAMA!$D$4:$BK$4=E$5+FC_SUPUESTOS!$C$227)*FC_CRONOGRAMA!$D$17:$BK$17)*FC_SUPUESTOS!$C$228+SUMPRODUCT((FC_CRONOGRAMA!$D$4:$BK$4=E$5+FC_SUPUESTOS!$C$227)*FC_CRONOGRAMA!$D$18:$BK$18)*FC_SUPUESTOS!$C$229)*(FC_SUPUESTOS!$C$232+FC_SUPUESTOS!$C$233)</f>
        <v>0</v>
      </c>
      <c r="F130" s="498" t="n">
        <f aca="false">(SUMPRODUCT((FC_CRONOGRAMA!$D$4:$BK$4=F$5+FC_SUPUESTOS!$C$227)*FC_CRONOGRAMA!$D$17:$BK$17)*FC_SUPUESTOS!$C$228+SUMPRODUCT((FC_CRONOGRAMA!$D$4:$BK$4=F$5+FC_SUPUESTOS!$C$227)*FC_CRONOGRAMA!$D$18:$BK$18)*FC_SUPUESTOS!$C$229)*(FC_SUPUESTOS!$C$232+FC_SUPUESTOS!$C$233)</f>
        <v>0</v>
      </c>
      <c r="G130" s="498" t="n">
        <f aca="false">(SUMPRODUCT((FC_CRONOGRAMA!$D$4:$BK$4=G$5+FC_SUPUESTOS!$C$227)*FC_CRONOGRAMA!$D$17:$BK$17)*FC_SUPUESTOS!$C$228+SUMPRODUCT((FC_CRONOGRAMA!$D$4:$BK$4=G$5+FC_SUPUESTOS!$C$227)*FC_CRONOGRAMA!$D$18:$BK$18)*FC_SUPUESTOS!$C$229)*(FC_SUPUESTOS!$C$232+FC_SUPUESTOS!$C$233)</f>
        <v>0</v>
      </c>
      <c r="H130" s="498" t="n">
        <f aca="false">(SUMPRODUCT((FC_CRONOGRAMA!$D$4:$BK$4=H$5+FC_SUPUESTOS!$C$227)*FC_CRONOGRAMA!$D$17:$BK$17)*FC_SUPUESTOS!$C$228+SUMPRODUCT((FC_CRONOGRAMA!$D$4:$BK$4=H$5+FC_SUPUESTOS!$C$227)*FC_CRONOGRAMA!$D$18:$BK$18)*FC_SUPUESTOS!$C$229)*(FC_SUPUESTOS!$C$232+FC_SUPUESTOS!$C$233)</f>
        <v>0</v>
      </c>
      <c r="I130" s="498" t="n">
        <f aca="false">(SUMPRODUCT((FC_CRONOGRAMA!$D$4:$BK$4=I$5+FC_SUPUESTOS!$C$227)*FC_CRONOGRAMA!$D$17:$BK$17)*FC_SUPUESTOS!$C$228+SUMPRODUCT((FC_CRONOGRAMA!$D$4:$BK$4=I$5+FC_SUPUESTOS!$C$227)*FC_CRONOGRAMA!$D$18:$BK$18)*FC_SUPUESTOS!$C$229)*(FC_SUPUESTOS!$C$232+FC_SUPUESTOS!$C$233)</f>
        <v>0</v>
      </c>
      <c r="J130" s="498" t="n">
        <f aca="false">(SUMPRODUCT((FC_CRONOGRAMA!$D$4:$BK$4=J$5+FC_SUPUESTOS!$C$227)*FC_CRONOGRAMA!$D$17:$BK$17)*FC_SUPUESTOS!$C$228+SUMPRODUCT((FC_CRONOGRAMA!$D$4:$BK$4=J$5+FC_SUPUESTOS!$C$227)*FC_CRONOGRAMA!$D$18:$BK$18)*FC_SUPUESTOS!$C$229)*(FC_SUPUESTOS!$C$232+FC_SUPUESTOS!$C$233)</f>
        <v>0</v>
      </c>
      <c r="K130" s="498" t="n">
        <f aca="false">(SUMPRODUCT((FC_CRONOGRAMA!$D$4:$BK$4=K$5+FC_SUPUESTOS!$C$227)*FC_CRONOGRAMA!$D$17:$BK$17)*FC_SUPUESTOS!$C$228+SUMPRODUCT((FC_CRONOGRAMA!$D$4:$BK$4=K$5+FC_SUPUESTOS!$C$227)*FC_CRONOGRAMA!$D$18:$BK$18)*FC_SUPUESTOS!$C$229)*(FC_SUPUESTOS!$C$232+FC_SUPUESTOS!$C$233)</f>
        <v>0</v>
      </c>
      <c r="L130" s="498" t="n">
        <f aca="false">(SUMPRODUCT((FC_CRONOGRAMA!$D$4:$BK$4=L$5+FC_SUPUESTOS!$C$227)*FC_CRONOGRAMA!$D$17:$BK$17)*FC_SUPUESTOS!$C$228+SUMPRODUCT((FC_CRONOGRAMA!$D$4:$BK$4=L$5+FC_SUPUESTOS!$C$227)*FC_CRONOGRAMA!$D$18:$BK$18)*FC_SUPUESTOS!$C$229)*(FC_SUPUESTOS!$C$232+FC_SUPUESTOS!$C$233)</f>
        <v>0</v>
      </c>
      <c r="M130" s="498" t="n">
        <f aca="false">(SUMPRODUCT((FC_CRONOGRAMA!$D$4:$BK$4=M$5+FC_SUPUESTOS!$C$227)*FC_CRONOGRAMA!$D$17:$BK$17)*FC_SUPUESTOS!$C$228+SUMPRODUCT((FC_CRONOGRAMA!$D$4:$BK$4=M$5+FC_SUPUESTOS!$C$227)*FC_CRONOGRAMA!$D$18:$BK$18)*FC_SUPUESTOS!$C$229)*(FC_SUPUESTOS!$C$232+FC_SUPUESTOS!$C$233)</f>
        <v>0</v>
      </c>
      <c r="N130" s="498" t="n">
        <f aca="false">(SUMPRODUCT((FC_CRONOGRAMA!$D$4:$BK$4=N$5+FC_SUPUESTOS!$C$227)*FC_CRONOGRAMA!$D$17:$BK$17)*FC_SUPUESTOS!$C$228+SUMPRODUCT((FC_CRONOGRAMA!$D$4:$BK$4=N$5+FC_SUPUESTOS!$C$227)*FC_CRONOGRAMA!$D$18:$BK$18)*FC_SUPUESTOS!$C$229)*(FC_SUPUESTOS!$C$232+FC_SUPUESTOS!$C$233)</f>
        <v>0</v>
      </c>
      <c r="O130" s="498" t="n">
        <f aca="false">(SUMPRODUCT((FC_CRONOGRAMA!$D$4:$BK$4=O$5+FC_SUPUESTOS!$C$227)*FC_CRONOGRAMA!$D$17:$BK$17)*FC_SUPUESTOS!$C$228+SUMPRODUCT((FC_CRONOGRAMA!$D$4:$BK$4=O$5+FC_SUPUESTOS!$C$227)*FC_CRONOGRAMA!$D$18:$BK$18)*FC_SUPUESTOS!$C$229)*(FC_SUPUESTOS!$C$232+FC_SUPUESTOS!$C$233)</f>
        <v>0</v>
      </c>
      <c r="P130" s="498" t="n">
        <f aca="false">(SUMPRODUCT((FC_CRONOGRAMA!$D$4:$BK$4=P$5+FC_SUPUESTOS!$C$227)*FC_CRONOGRAMA!$D$17:$BK$17)*FC_SUPUESTOS!$C$228+SUMPRODUCT((FC_CRONOGRAMA!$D$4:$BK$4=P$5+FC_SUPUESTOS!$C$227)*FC_CRONOGRAMA!$D$18:$BK$18)*FC_SUPUESTOS!$C$229)*(FC_SUPUESTOS!$C$232+FC_SUPUESTOS!$C$233)</f>
        <v>0</v>
      </c>
      <c r="Q130" s="498" t="n">
        <f aca="false">(SUMPRODUCT((FC_CRONOGRAMA!$D$4:$BK$4=Q$5+FC_SUPUESTOS!$C$227)*FC_CRONOGRAMA!$D$17:$BK$17)*FC_SUPUESTOS!$C$228+SUMPRODUCT((FC_CRONOGRAMA!$D$4:$BK$4=Q$5+FC_SUPUESTOS!$C$227)*FC_CRONOGRAMA!$D$18:$BK$18)*FC_SUPUESTOS!$C$229)*(FC_SUPUESTOS!$C$232+FC_SUPUESTOS!$C$233)</f>
        <v>0</v>
      </c>
      <c r="R130" s="498" t="n">
        <f aca="false">(SUMPRODUCT((FC_CRONOGRAMA!$D$4:$BK$4=R$5+FC_SUPUESTOS!$C$227)*FC_CRONOGRAMA!$D$17:$BK$17)*FC_SUPUESTOS!$C$228+SUMPRODUCT((FC_CRONOGRAMA!$D$4:$BK$4=R$5+FC_SUPUESTOS!$C$227)*FC_CRONOGRAMA!$D$18:$BK$18)*FC_SUPUESTOS!$C$229)*(FC_SUPUESTOS!$C$232+FC_SUPUESTOS!$C$233)</f>
        <v>0</v>
      </c>
      <c r="S130" s="498" t="n">
        <f aca="false">(SUMPRODUCT((FC_CRONOGRAMA!$D$4:$BK$4=S$5+FC_SUPUESTOS!$C$227)*FC_CRONOGRAMA!$D$17:$BK$17)*FC_SUPUESTOS!$C$228+SUMPRODUCT((FC_CRONOGRAMA!$D$4:$BK$4=S$5+FC_SUPUESTOS!$C$227)*FC_CRONOGRAMA!$D$18:$BK$18)*FC_SUPUESTOS!$C$229)*(FC_SUPUESTOS!$C$232+FC_SUPUESTOS!$C$233)</f>
        <v>0</v>
      </c>
      <c r="T130" s="498" t="n">
        <f aca="false">(SUMPRODUCT((FC_CRONOGRAMA!$D$4:$BK$4=T$5+FC_SUPUESTOS!$C$227)*FC_CRONOGRAMA!$D$17:$BK$17)*FC_SUPUESTOS!$C$228+SUMPRODUCT((FC_CRONOGRAMA!$D$4:$BK$4=T$5+FC_SUPUESTOS!$C$227)*FC_CRONOGRAMA!$D$18:$BK$18)*FC_SUPUESTOS!$C$229)*(FC_SUPUESTOS!$C$232+FC_SUPUESTOS!$C$233)</f>
        <v>0</v>
      </c>
      <c r="U130" s="498" t="n">
        <f aca="false">(SUMPRODUCT((FC_CRONOGRAMA!$D$4:$BK$4=U$5+FC_SUPUESTOS!$C$227)*FC_CRONOGRAMA!$D$17:$BK$17)*FC_SUPUESTOS!$C$228+SUMPRODUCT((FC_CRONOGRAMA!$D$4:$BK$4=U$5+FC_SUPUESTOS!$C$227)*FC_CRONOGRAMA!$D$18:$BK$18)*FC_SUPUESTOS!$C$229)*(FC_SUPUESTOS!$C$232+FC_SUPUESTOS!$C$233)</f>
        <v>0</v>
      </c>
      <c r="V130" s="498" t="n">
        <f aca="false">(SUMPRODUCT((FC_CRONOGRAMA!$D$4:$BK$4=V$5+FC_SUPUESTOS!$C$227)*FC_CRONOGRAMA!$D$17:$BK$17)*FC_SUPUESTOS!$C$228+SUMPRODUCT((FC_CRONOGRAMA!$D$4:$BK$4=V$5+FC_SUPUESTOS!$C$227)*FC_CRONOGRAMA!$D$18:$BK$18)*FC_SUPUESTOS!$C$229)*(FC_SUPUESTOS!$C$232+FC_SUPUESTOS!$C$233)</f>
        <v>0</v>
      </c>
      <c r="W130" s="498" t="n">
        <f aca="false">(SUMPRODUCT((FC_CRONOGRAMA!$D$4:$BK$4=W$5+FC_SUPUESTOS!$C$227)*FC_CRONOGRAMA!$D$17:$BK$17)*FC_SUPUESTOS!$C$228+SUMPRODUCT((FC_CRONOGRAMA!$D$4:$BK$4=W$5+FC_SUPUESTOS!$C$227)*FC_CRONOGRAMA!$D$18:$BK$18)*FC_SUPUESTOS!$C$229)*(FC_SUPUESTOS!$C$232+FC_SUPUESTOS!$C$233)</f>
        <v>0</v>
      </c>
      <c r="X130" s="498" t="n">
        <f aca="false">(SUMPRODUCT((FC_CRONOGRAMA!$D$4:$BK$4=X$5+FC_SUPUESTOS!$C$227)*FC_CRONOGRAMA!$D$17:$BK$17)*FC_SUPUESTOS!$C$228+SUMPRODUCT((FC_CRONOGRAMA!$D$4:$BK$4=X$5+FC_SUPUESTOS!$C$227)*FC_CRONOGRAMA!$D$18:$BK$18)*FC_SUPUESTOS!$C$229)*(FC_SUPUESTOS!$C$232+FC_SUPUESTOS!$C$233)</f>
        <v>0</v>
      </c>
      <c r="Y130" s="498" t="n">
        <f aca="false">(SUMPRODUCT((FC_CRONOGRAMA!$D$4:$BK$4=Y$5+FC_SUPUESTOS!$C$227)*FC_CRONOGRAMA!$D$17:$BK$17)*FC_SUPUESTOS!$C$228+SUMPRODUCT((FC_CRONOGRAMA!$D$4:$BK$4=Y$5+FC_SUPUESTOS!$C$227)*FC_CRONOGRAMA!$D$18:$BK$18)*FC_SUPUESTOS!$C$229)*(FC_SUPUESTOS!$C$232+FC_SUPUESTOS!$C$233)</f>
        <v>0</v>
      </c>
      <c r="Z130" s="498" t="n">
        <f aca="false">(SUMPRODUCT((FC_CRONOGRAMA!$D$4:$BK$4=Z$5+FC_SUPUESTOS!$C$227)*FC_CRONOGRAMA!$D$17:$BK$17)*FC_SUPUESTOS!$C$228+SUMPRODUCT((FC_CRONOGRAMA!$D$4:$BK$4=Z$5+FC_SUPUESTOS!$C$227)*FC_CRONOGRAMA!$D$18:$BK$18)*FC_SUPUESTOS!$C$229)*(FC_SUPUESTOS!$C$232+FC_SUPUESTOS!$C$233)</f>
        <v>0</v>
      </c>
      <c r="AA130" s="498" t="n">
        <f aca="false">(SUMPRODUCT((FC_CRONOGRAMA!$D$4:$BK$4=AA$5+FC_SUPUESTOS!$C$227)*FC_CRONOGRAMA!$D$17:$BK$17)*FC_SUPUESTOS!$C$228+SUMPRODUCT((FC_CRONOGRAMA!$D$4:$BK$4=AA$5+FC_SUPUESTOS!$C$227)*FC_CRONOGRAMA!$D$18:$BK$18)*FC_SUPUESTOS!$C$229)*(FC_SUPUESTOS!$C$232+FC_SUPUESTOS!$C$233)</f>
        <v>0</v>
      </c>
      <c r="AB130" s="498" t="n">
        <f aca="false">(SUMPRODUCT((FC_CRONOGRAMA!$D$4:$BK$4=AB$5+FC_SUPUESTOS!$C$227)*FC_CRONOGRAMA!$D$17:$BK$17)*FC_SUPUESTOS!$C$228+SUMPRODUCT((FC_CRONOGRAMA!$D$4:$BK$4=AB$5+FC_SUPUESTOS!$C$227)*FC_CRONOGRAMA!$D$18:$BK$18)*FC_SUPUESTOS!$C$229)*(FC_SUPUESTOS!$C$232+FC_SUPUESTOS!$C$233)</f>
        <v>0</v>
      </c>
      <c r="AC130" s="498" t="n">
        <f aca="false">(SUMPRODUCT((FC_CRONOGRAMA!$D$4:$BK$4=AC$5+FC_SUPUESTOS!$C$227)*FC_CRONOGRAMA!$D$17:$BK$17)*FC_SUPUESTOS!$C$228+SUMPRODUCT((FC_CRONOGRAMA!$D$4:$BK$4=AC$5+FC_SUPUESTOS!$C$227)*FC_CRONOGRAMA!$D$18:$BK$18)*FC_SUPUESTOS!$C$229)*(FC_SUPUESTOS!$C$232+FC_SUPUESTOS!$C$233)</f>
        <v>0</v>
      </c>
      <c r="AD130" s="498" t="n">
        <f aca="false">(SUMPRODUCT((FC_CRONOGRAMA!$D$4:$BK$4=AD$5+FC_SUPUESTOS!$C$227)*FC_CRONOGRAMA!$D$17:$BK$17)*FC_SUPUESTOS!$C$228+SUMPRODUCT((FC_CRONOGRAMA!$D$4:$BK$4=AD$5+FC_SUPUESTOS!$C$227)*FC_CRONOGRAMA!$D$18:$BK$18)*FC_SUPUESTOS!$C$229)*(FC_SUPUESTOS!$C$232+FC_SUPUESTOS!$C$233)</f>
        <v>0</v>
      </c>
      <c r="AE130" s="498" t="n">
        <f aca="false">(SUMPRODUCT((FC_CRONOGRAMA!$D$4:$BK$4=AE$5+FC_SUPUESTOS!$C$227)*FC_CRONOGRAMA!$D$17:$BK$17)*FC_SUPUESTOS!$C$228+SUMPRODUCT((FC_CRONOGRAMA!$D$4:$BK$4=AE$5+FC_SUPUESTOS!$C$227)*FC_CRONOGRAMA!$D$18:$BK$18)*FC_SUPUESTOS!$C$229)*(FC_SUPUESTOS!$C$232+FC_SUPUESTOS!$C$233)</f>
        <v>0</v>
      </c>
      <c r="AF130" s="498" t="n">
        <f aca="false">(SUMPRODUCT((FC_CRONOGRAMA!$D$4:$BK$4=AF$5+FC_SUPUESTOS!$C$227)*FC_CRONOGRAMA!$D$17:$BK$17)*FC_SUPUESTOS!$C$228+SUMPRODUCT((FC_CRONOGRAMA!$D$4:$BK$4=AF$5+FC_SUPUESTOS!$C$227)*FC_CRONOGRAMA!$D$18:$BK$18)*FC_SUPUESTOS!$C$229)*(FC_SUPUESTOS!$C$232+FC_SUPUESTOS!$C$233)</f>
        <v>0</v>
      </c>
      <c r="AG130" s="498" t="n">
        <f aca="false">(SUMPRODUCT((FC_CRONOGRAMA!$D$4:$BK$4=AG$5+FC_SUPUESTOS!$C$227)*FC_CRONOGRAMA!$D$17:$BK$17)*FC_SUPUESTOS!$C$228+SUMPRODUCT((FC_CRONOGRAMA!$D$4:$BK$4=AG$5+FC_SUPUESTOS!$C$227)*FC_CRONOGRAMA!$D$18:$BK$18)*FC_SUPUESTOS!$C$229)*(FC_SUPUESTOS!$C$232+FC_SUPUESTOS!$C$233)</f>
        <v>0</v>
      </c>
      <c r="AH130" s="498" t="n">
        <f aca="false">(SUMPRODUCT((FC_CRONOGRAMA!$D$4:$BK$4=AH$5+FC_SUPUESTOS!$C$227)*FC_CRONOGRAMA!$D$17:$BK$17)*FC_SUPUESTOS!$C$228+SUMPRODUCT((FC_CRONOGRAMA!$D$4:$BK$4=AH$5+FC_SUPUESTOS!$C$227)*FC_CRONOGRAMA!$D$18:$BK$18)*FC_SUPUESTOS!$C$229)*(FC_SUPUESTOS!$C$232+FC_SUPUESTOS!$C$233)</f>
        <v>0</v>
      </c>
      <c r="AI130" s="498" t="n">
        <f aca="false">(SUMPRODUCT((FC_CRONOGRAMA!$D$4:$BK$4=AI$5+FC_SUPUESTOS!$C$227)*FC_CRONOGRAMA!$D$17:$BK$17)*FC_SUPUESTOS!$C$228+SUMPRODUCT((FC_CRONOGRAMA!$D$4:$BK$4=AI$5+FC_SUPUESTOS!$C$227)*FC_CRONOGRAMA!$D$18:$BK$18)*FC_SUPUESTOS!$C$229)*(FC_SUPUESTOS!$C$232+FC_SUPUESTOS!$C$233)</f>
        <v>0</v>
      </c>
      <c r="AJ130" s="498" t="n">
        <f aca="false">(SUMPRODUCT((FC_CRONOGRAMA!$D$4:$BK$4=AJ$5+FC_SUPUESTOS!$C$227)*FC_CRONOGRAMA!$D$17:$BK$17)*FC_SUPUESTOS!$C$228+SUMPRODUCT((FC_CRONOGRAMA!$D$4:$BK$4=AJ$5+FC_SUPUESTOS!$C$227)*FC_CRONOGRAMA!$D$18:$BK$18)*FC_SUPUESTOS!$C$229)*(FC_SUPUESTOS!$C$232+FC_SUPUESTOS!$C$233)</f>
        <v>0</v>
      </c>
      <c r="AK130" s="498" t="n">
        <f aca="false">(SUMPRODUCT((FC_CRONOGRAMA!$D$4:$BK$4=AK$5+FC_SUPUESTOS!$C$227)*FC_CRONOGRAMA!$D$17:$BK$17)*FC_SUPUESTOS!$C$228+SUMPRODUCT((FC_CRONOGRAMA!$D$4:$BK$4=AK$5+FC_SUPUESTOS!$C$227)*FC_CRONOGRAMA!$D$18:$BK$18)*FC_SUPUESTOS!$C$229)*(FC_SUPUESTOS!$C$232+FC_SUPUESTOS!$C$233)</f>
        <v>0</v>
      </c>
      <c r="AL130" s="498" t="n">
        <f aca="false">(SUMPRODUCT((FC_CRONOGRAMA!$D$4:$BK$4=AL$5+FC_SUPUESTOS!$C$227)*FC_CRONOGRAMA!$D$17:$BK$17)*FC_SUPUESTOS!$C$228+SUMPRODUCT((FC_CRONOGRAMA!$D$4:$BK$4=AL$5+FC_SUPUESTOS!$C$227)*FC_CRONOGRAMA!$D$18:$BK$18)*FC_SUPUESTOS!$C$229)*(FC_SUPUESTOS!$C$232+FC_SUPUESTOS!$C$233)</f>
        <v>0</v>
      </c>
      <c r="AM130" s="498" t="n">
        <f aca="false">(SUMPRODUCT((FC_CRONOGRAMA!$D$4:$BK$4=AM$5+FC_SUPUESTOS!$C$227)*FC_CRONOGRAMA!$D$17:$BK$17)*FC_SUPUESTOS!$C$228+SUMPRODUCT((FC_CRONOGRAMA!$D$4:$BK$4=AM$5+FC_SUPUESTOS!$C$227)*FC_CRONOGRAMA!$D$18:$BK$18)*FC_SUPUESTOS!$C$229)*(FC_SUPUESTOS!$C$232+FC_SUPUESTOS!$C$233)</f>
        <v>0</v>
      </c>
      <c r="AN130" s="498" t="n">
        <f aca="false">(SUMPRODUCT((FC_CRONOGRAMA!$D$4:$BK$4=AN$5+FC_SUPUESTOS!$C$227)*FC_CRONOGRAMA!$D$17:$BK$17)*FC_SUPUESTOS!$C$228+SUMPRODUCT((FC_CRONOGRAMA!$D$4:$BK$4=AN$5+FC_SUPUESTOS!$C$227)*FC_CRONOGRAMA!$D$18:$BK$18)*FC_SUPUESTOS!$C$229)*(FC_SUPUESTOS!$C$232+FC_SUPUESTOS!$C$233)</f>
        <v>0</v>
      </c>
      <c r="AO130" s="498" t="n">
        <f aca="false">(SUMPRODUCT((FC_CRONOGRAMA!$D$4:$BK$4=AO$5+FC_SUPUESTOS!$C$227)*FC_CRONOGRAMA!$D$17:$BK$17)*FC_SUPUESTOS!$C$228+SUMPRODUCT((FC_CRONOGRAMA!$D$4:$BK$4=AO$5+FC_SUPUESTOS!$C$227)*FC_CRONOGRAMA!$D$18:$BK$18)*FC_SUPUESTOS!$C$229)*(FC_SUPUESTOS!$C$232+FC_SUPUESTOS!$C$233)</f>
        <v>0</v>
      </c>
      <c r="AP130" s="498" t="n">
        <f aca="false">(SUMPRODUCT((FC_CRONOGRAMA!$D$4:$BK$4=AP$5+FC_SUPUESTOS!$C$227)*FC_CRONOGRAMA!$D$17:$BK$17)*FC_SUPUESTOS!$C$228+SUMPRODUCT((FC_CRONOGRAMA!$D$4:$BK$4=AP$5+FC_SUPUESTOS!$C$227)*FC_CRONOGRAMA!$D$18:$BK$18)*FC_SUPUESTOS!$C$229)*(FC_SUPUESTOS!$C$232+FC_SUPUESTOS!$C$233)</f>
        <v>0</v>
      </c>
      <c r="AQ130" s="498" t="n">
        <f aca="false">(SUMPRODUCT((FC_CRONOGRAMA!$D$4:$BK$4=AQ$5+FC_SUPUESTOS!$C$227)*FC_CRONOGRAMA!$D$17:$BK$17)*FC_SUPUESTOS!$C$228+SUMPRODUCT((FC_CRONOGRAMA!$D$4:$BK$4=AQ$5+FC_SUPUESTOS!$C$227)*FC_CRONOGRAMA!$D$18:$BK$18)*FC_SUPUESTOS!$C$229)*(FC_SUPUESTOS!$C$232+FC_SUPUESTOS!$C$233)</f>
        <v>0</v>
      </c>
      <c r="AR130" s="498" t="n">
        <f aca="false">(SUMPRODUCT((FC_CRONOGRAMA!$D$4:$BK$4=AR$5+FC_SUPUESTOS!$C$227)*FC_CRONOGRAMA!$D$17:$BK$17)*FC_SUPUESTOS!$C$228+SUMPRODUCT((FC_CRONOGRAMA!$D$4:$BK$4=AR$5+FC_SUPUESTOS!$C$227)*FC_CRONOGRAMA!$D$18:$BK$18)*FC_SUPUESTOS!$C$229)*(FC_SUPUESTOS!$C$232+FC_SUPUESTOS!$C$233)</f>
        <v>0</v>
      </c>
      <c r="AS130" s="498" t="n">
        <f aca="false">(SUMPRODUCT((FC_CRONOGRAMA!$D$4:$BK$4=AS$5+FC_SUPUESTOS!$C$227)*FC_CRONOGRAMA!$D$17:$BK$17)*FC_SUPUESTOS!$C$228+SUMPRODUCT((FC_CRONOGRAMA!$D$4:$BK$4=AS$5+FC_SUPUESTOS!$C$227)*FC_CRONOGRAMA!$D$18:$BK$18)*FC_SUPUESTOS!$C$229)*(FC_SUPUESTOS!$C$232+FC_SUPUESTOS!$C$233)</f>
        <v>0</v>
      </c>
      <c r="AT130" s="498" t="n">
        <f aca="false">(SUMPRODUCT((FC_CRONOGRAMA!$D$4:$BK$4=AT$5+FC_SUPUESTOS!$C$227)*FC_CRONOGRAMA!$D$17:$BK$17)*FC_SUPUESTOS!$C$228+SUMPRODUCT((FC_CRONOGRAMA!$D$4:$BK$4=AT$5+FC_SUPUESTOS!$C$227)*FC_CRONOGRAMA!$D$18:$BK$18)*FC_SUPUESTOS!$C$229)*(FC_SUPUESTOS!$C$232+FC_SUPUESTOS!$C$233)</f>
        <v>0</v>
      </c>
      <c r="AU130" s="498" t="n">
        <f aca="false">(SUMPRODUCT((FC_CRONOGRAMA!$D$4:$BK$4=AU$5+FC_SUPUESTOS!$C$227)*FC_CRONOGRAMA!$D$17:$BK$17)*FC_SUPUESTOS!$C$228+SUMPRODUCT((FC_CRONOGRAMA!$D$4:$BK$4=AU$5+FC_SUPUESTOS!$C$227)*FC_CRONOGRAMA!$D$18:$BK$18)*FC_SUPUESTOS!$C$229)*(FC_SUPUESTOS!$C$232+FC_SUPUESTOS!$C$233)</f>
        <v>0</v>
      </c>
      <c r="AV130" s="498" t="n">
        <f aca="false">(SUMPRODUCT((FC_CRONOGRAMA!$D$4:$BK$4=AV$5+FC_SUPUESTOS!$C$227)*FC_CRONOGRAMA!$D$17:$BK$17)*FC_SUPUESTOS!$C$228+SUMPRODUCT((FC_CRONOGRAMA!$D$4:$BK$4=AV$5+FC_SUPUESTOS!$C$227)*FC_CRONOGRAMA!$D$18:$BK$18)*FC_SUPUESTOS!$C$229)*(FC_SUPUESTOS!$C$232+FC_SUPUESTOS!$C$233)</f>
        <v>0</v>
      </c>
      <c r="AW130" s="498" t="n">
        <f aca="false">(SUMPRODUCT((FC_CRONOGRAMA!$D$4:$BK$4=AW$5+FC_SUPUESTOS!$C$227)*FC_CRONOGRAMA!$D$17:$BK$17)*FC_SUPUESTOS!$C$228+SUMPRODUCT((FC_CRONOGRAMA!$D$4:$BK$4=AW$5+FC_SUPUESTOS!$C$227)*FC_CRONOGRAMA!$D$18:$BK$18)*FC_SUPUESTOS!$C$229)*(FC_SUPUESTOS!$C$232+FC_SUPUESTOS!$C$233)</f>
        <v>0</v>
      </c>
      <c r="AX130" s="498" t="n">
        <f aca="false">(SUMPRODUCT((FC_CRONOGRAMA!$D$4:$BK$4=AX$5+FC_SUPUESTOS!$C$227)*FC_CRONOGRAMA!$D$17:$BK$17)*FC_SUPUESTOS!$C$228+SUMPRODUCT((FC_CRONOGRAMA!$D$4:$BK$4=AX$5+FC_SUPUESTOS!$C$227)*FC_CRONOGRAMA!$D$18:$BK$18)*FC_SUPUESTOS!$C$229)*(FC_SUPUESTOS!$C$232+FC_SUPUESTOS!$C$233)</f>
        <v>0</v>
      </c>
      <c r="AY130" s="498" t="n">
        <f aca="false">(SUMPRODUCT((FC_CRONOGRAMA!$D$4:$BK$4=AY$5+FC_SUPUESTOS!$C$227)*FC_CRONOGRAMA!$D$17:$BK$17)*FC_SUPUESTOS!$C$228+SUMPRODUCT((FC_CRONOGRAMA!$D$4:$BK$4=AY$5+FC_SUPUESTOS!$C$227)*FC_CRONOGRAMA!$D$18:$BK$18)*FC_SUPUESTOS!$C$229)*(FC_SUPUESTOS!$C$232+FC_SUPUESTOS!$C$233)</f>
        <v>0</v>
      </c>
      <c r="AZ130" s="498" t="n">
        <f aca="false">(SUMPRODUCT((FC_CRONOGRAMA!$D$4:$BK$4=AZ$5+FC_SUPUESTOS!$C$227)*FC_CRONOGRAMA!$D$17:$BK$17)*FC_SUPUESTOS!$C$228+SUMPRODUCT((FC_CRONOGRAMA!$D$4:$BK$4=AZ$5+FC_SUPUESTOS!$C$227)*FC_CRONOGRAMA!$D$18:$BK$18)*FC_SUPUESTOS!$C$229)*(FC_SUPUESTOS!$C$232+FC_SUPUESTOS!$C$233)</f>
        <v>0</v>
      </c>
      <c r="BA130" s="498" t="n">
        <f aca="false">(SUMPRODUCT((FC_CRONOGRAMA!$D$4:$BK$4=BA$5+FC_SUPUESTOS!$C$227)*FC_CRONOGRAMA!$D$17:$BK$17)*FC_SUPUESTOS!$C$228+SUMPRODUCT((FC_CRONOGRAMA!$D$4:$BK$4=BA$5+FC_SUPUESTOS!$C$227)*FC_CRONOGRAMA!$D$18:$BK$18)*FC_SUPUESTOS!$C$229)*(FC_SUPUESTOS!$C$232+FC_SUPUESTOS!$C$233)</f>
        <v>0</v>
      </c>
      <c r="BB130" s="498" t="n">
        <f aca="false">(SUMPRODUCT((FC_CRONOGRAMA!$D$4:$BK$4=BB$5+FC_SUPUESTOS!$C$227)*FC_CRONOGRAMA!$D$17:$BK$17)*FC_SUPUESTOS!$C$228+SUMPRODUCT((FC_CRONOGRAMA!$D$4:$BK$4=BB$5+FC_SUPUESTOS!$C$227)*FC_CRONOGRAMA!$D$18:$BK$18)*FC_SUPUESTOS!$C$229)*(FC_SUPUESTOS!$C$232+FC_SUPUESTOS!$C$233)</f>
        <v>0</v>
      </c>
      <c r="BC130" s="498" t="n">
        <f aca="false">(SUMPRODUCT((FC_CRONOGRAMA!$D$4:$BK$4=BC$5+FC_SUPUESTOS!$C$227)*FC_CRONOGRAMA!$D$17:$BK$17)*FC_SUPUESTOS!$C$228+SUMPRODUCT((FC_CRONOGRAMA!$D$4:$BK$4=BC$5+FC_SUPUESTOS!$C$227)*FC_CRONOGRAMA!$D$18:$BK$18)*FC_SUPUESTOS!$C$229)*(FC_SUPUESTOS!$C$232+FC_SUPUESTOS!$C$233)</f>
        <v>0</v>
      </c>
      <c r="BD130" s="498" t="n">
        <f aca="false">(SUMPRODUCT((FC_CRONOGRAMA!$D$4:$BK$4=BD$5+FC_SUPUESTOS!$C$227)*FC_CRONOGRAMA!$D$17:$BK$17)*FC_SUPUESTOS!$C$228+SUMPRODUCT((FC_CRONOGRAMA!$D$4:$BK$4=BD$5+FC_SUPUESTOS!$C$227)*FC_CRONOGRAMA!$D$18:$BK$18)*FC_SUPUESTOS!$C$229)*(FC_SUPUESTOS!$C$232+FC_SUPUESTOS!$C$233)</f>
        <v>0</v>
      </c>
      <c r="BE130" s="498" t="n">
        <f aca="false">(SUMPRODUCT((FC_CRONOGRAMA!$D$4:$BK$4=BE$5+FC_SUPUESTOS!$C$227)*FC_CRONOGRAMA!$D$17:$BK$17)*FC_SUPUESTOS!$C$228+SUMPRODUCT((FC_CRONOGRAMA!$D$4:$BK$4=BE$5+FC_SUPUESTOS!$C$227)*FC_CRONOGRAMA!$D$18:$BK$18)*FC_SUPUESTOS!$C$229)*(FC_SUPUESTOS!$C$232+FC_SUPUESTOS!$C$233)</f>
        <v>0</v>
      </c>
      <c r="BF130" s="498" t="n">
        <f aca="false">(SUMPRODUCT((FC_CRONOGRAMA!$D$4:$BK$4=BF$5+FC_SUPUESTOS!$C$227)*FC_CRONOGRAMA!$D$17:$BK$17)*FC_SUPUESTOS!$C$228+SUMPRODUCT((FC_CRONOGRAMA!$D$4:$BK$4=BF$5+FC_SUPUESTOS!$C$227)*FC_CRONOGRAMA!$D$18:$BK$18)*FC_SUPUESTOS!$C$229)*(FC_SUPUESTOS!$C$232+FC_SUPUESTOS!$C$233)</f>
        <v>0</v>
      </c>
      <c r="BG130" s="498" t="n">
        <f aca="false">(SUMPRODUCT((FC_CRONOGRAMA!$D$4:$BK$4=BG$5+FC_SUPUESTOS!$C$227)*FC_CRONOGRAMA!$D$17:$BK$17)*FC_SUPUESTOS!$C$228+SUMPRODUCT((FC_CRONOGRAMA!$D$4:$BK$4=BG$5+FC_SUPUESTOS!$C$227)*FC_CRONOGRAMA!$D$18:$BK$18)*FC_SUPUESTOS!$C$229)*(FC_SUPUESTOS!$C$232+FC_SUPUESTOS!$C$233)</f>
        <v>0</v>
      </c>
      <c r="BH130" s="498" t="n">
        <f aca="false">(SUMPRODUCT((FC_CRONOGRAMA!$D$4:$BK$4=BH$5+FC_SUPUESTOS!$C$227)*FC_CRONOGRAMA!$D$17:$BK$17)*FC_SUPUESTOS!$C$228+SUMPRODUCT((FC_CRONOGRAMA!$D$4:$BK$4=BH$5+FC_SUPUESTOS!$C$227)*FC_CRONOGRAMA!$D$18:$BK$18)*FC_SUPUESTOS!$C$229)*(FC_SUPUESTOS!$C$232+FC_SUPUESTOS!$C$233)</f>
        <v>0</v>
      </c>
      <c r="BI130" s="498" t="n">
        <f aca="false">(SUMPRODUCT((FC_CRONOGRAMA!$D$4:$BK$4=BI$5+FC_SUPUESTOS!$C$227)*FC_CRONOGRAMA!$D$17:$BK$17)*FC_SUPUESTOS!$C$228+SUMPRODUCT((FC_CRONOGRAMA!$D$4:$BK$4=BI$5+FC_SUPUESTOS!$C$227)*FC_CRONOGRAMA!$D$18:$BK$18)*FC_SUPUESTOS!$C$229)*(FC_SUPUESTOS!$C$232+FC_SUPUESTOS!$C$233)</f>
        <v>0</v>
      </c>
      <c r="BJ130" s="498" t="n">
        <f aca="false">(SUMPRODUCT((FC_CRONOGRAMA!$D$4:$BK$4=BJ$5+FC_SUPUESTOS!$C$227)*FC_CRONOGRAMA!$D$17:$BK$17)*FC_SUPUESTOS!$C$228+SUMPRODUCT((FC_CRONOGRAMA!$D$4:$BK$4=BJ$5+FC_SUPUESTOS!$C$227)*FC_CRONOGRAMA!$D$18:$BK$18)*FC_SUPUESTOS!$C$229)*(FC_SUPUESTOS!$C$232+FC_SUPUESTOS!$C$233)</f>
        <v>0</v>
      </c>
      <c r="BK130" s="498" t="n">
        <f aca="false">(SUMPRODUCT((FC_CRONOGRAMA!$D$4:$BK$4=BK$5+FC_SUPUESTOS!$C$227)*FC_CRONOGRAMA!$D$17:$BK$17)*FC_SUPUESTOS!$C$228+SUMPRODUCT((FC_CRONOGRAMA!$D$4:$BK$4=BK$5+FC_SUPUESTOS!$C$227)*FC_CRONOGRAMA!$D$18:$BK$18)*FC_SUPUESTOS!$C$229)*(FC_SUPUESTOS!$C$232+FC_SUPUESTOS!$C$233)</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A1:S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21" topLeftCell="C22" activePane="bottomRight" state="frozen"/>
      <selection pane="topLeft" activeCell="A1" activeCellId="0" sqref="A1"/>
      <selection pane="topRight" activeCell="C1" activeCellId="0" sqref="C1"/>
      <selection pane="bottomLeft" activeCell="A22" activeCellId="0" sqref="A22"/>
      <selection pane="bottomRight" activeCell="A1" activeCellId="0" sqref="A1"/>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7"/>
    <col collapsed="false" customWidth="true" hidden="false" outlineLevel="0" max="3" min="3" style="1" width="10"/>
    <col collapsed="false" customWidth="true" hidden="false" outlineLevel="0" max="4" min="4" style="1" width="44"/>
    <col collapsed="false" customWidth="true" hidden="false" outlineLevel="0" max="6" min="5" style="1" width="15"/>
    <col collapsed="false" customWidth="true" hidden="false" outlineLevel="0" max="7" min="7" style="1" width="13"/>
    <col collapsed="false" customWidth="true" hidden="false" outlineLevel="0" max="8" min="8" style="1" width="16"/>
    <col collapsed="false" customWidth="true" hidden="false" outlineLevel="0" max="9" min="9" style="1" width="17"/>
    <col collapsed="false" customWidth="true" hidden="false" outlineLevel="0" max="12" min="10" style="1" width="15"/>
    <col collapsed="false" customWidth="true" hidden="false" outlineLevel="0" max="13" min="13" style="1" width="14"/>
    <col collapsed="false" customWidth="true" hidden="false" outlineLevel="0" max="15" min="14" style="1" width="17"/>
    <col collapsed="false" customWidth="true" hidden="false" outlineLevel="0" max="16" min="16" style="1" width="15"/>
    <col collapsed="false" customWidth="true" hidden="false" outlineLevel="0" max="17" min="17" style="1" width="56"/>
    <col collapsed="false" customWidth="true" hidden="true" outlineLevel="0" max="19" min="19" style="1" width="13"/>
  </cols>
  <sheetData>
    <row r="1" customFormat="false" ht="15.75" hidden="false" customHeight="true" outlineLevel="0" collapsed="false">
      <c r="A1" s="185" t="s">
        <v>3022</v>
      </c>
      <c r="B1" s="126"/>
      <c r="C1" s="126"/>
      <c r="D1" s="126"/>
      <c r="E1" s="126"/>
      <c r="F1" s="126"/>
    </row>
    <row r="2" customFormat="false" ht="15" hidden="false" customHeight="true" outlineLevel="0" collapsed="false">
      <c r="A2" s="350" t="s">
        <v>3023</v>
      </c>
    </row>
    <row r="3" customFormat="false" ht="15" hidden="false" customHeight="true" outlineLevel="0" collapsed="false">
      <c r="A3" s="94" t="s">
        <v>1958</v>
      </c>
    </row>
    <row r="5" customFormat="false" ht="15" hidden="false" customHeight="true" outlineLevel="0" collapsed="false">
      <c r="A5" s="351" t="s">
        <v>3024</v>
      </c>
      <c r="B5" s="25"/>
      <c r="C5" s="25"/>
      <c r="D5" s="25"/>
      <c r="E5" s="25"/>
      <c r="F5" s="25"/>
    </row>
    <row r="6" customFormat="false" ht="15" hidden="false" customHeight="true" outlineLevel="0" collapsed="false">
      <c r="B6" s="297" t="s">
        <v>3025</v>
      </c>
      <c r="C6" s="500" t="str">
        <f aca="false">SUP_CONTROL!$C$7</f>
        <v>MEDIO</v>
      </c>
      <c r="E6" s="357" t="s">
        <v>3026</v>
      </c>
      <c r="F6" s="501" t="n">
        <f aca="false">SUM(FC_FLUJO_CAJA!$D$84:$BK$84)</f>
        <v>1902376.23475</v>
      </c>
    </row>
    <row r="7" customFormat="false" ht="15" hidden="false" customHeight="true" outlineLevel="0" collapsed="false">
      <c r="B7" s="297" t="s">
        <v>3027</v>
      </c>
      <c r="C7" s="500" t="str">
        <f aca="false">IF(FC_SUPUESTOS!$C$12=1,"SÍ — apertura en el mes "&amp;TEXT(FC_SUPUESTOS!$C$13,"0"),"NO")</f>
        <v>NO</v>
      </c>
      <c r="E7" s="297" t="s">
        <v>3028</v>
      </c>
      <c r="F7" s="502" t="n">
        <f aca="false">SUM(FC_FLUJO_CAJA!$D$54:$BK$54)</f>
        <v>674744.609</v>
      </c>
    </row>
    <row r="8" customFormat="false" ht="15" hidden="false" customHeight="true" outlineLevel="0" collapsed="false">
      <c r="B8" s="297" t="s">
        <v>3029</v>
      </c>
      <c r="C8" s="358" t="n">
        <f aca="false">FC_SUPUESTOS!$C$23</f>
        <v>10</v>
      </c>
      <c r="E8" s="297" t="s">
        <v>3030</v>
      </c>
      <c r="F8" s="502" t="n">
        <f aca="false">SUM(FC_FLUJO_CAJA!$D$68:$BK$68)</f>
        <v>1227631.62575</v>
      </c>
    </row>
    <row r="9" customFormat="false" ht="15" hidden="false" customHeight="true" outlineLevel="0" collapsed="false">
      <c r="B9" s="297" t="s">
        <v>3031</v>
      </c>
      <c r="C9" s="358" t="n">
        <f aca="false">FC_SUPUESTOS!$C$40</f>
        <v>10</v>
      </c>
      <c r="E9" s="297" t="s">
        <v>3032</v>
      </c>
      <c r="F9" s="502" t="n">
        <f aca="false">SUM(FC_FLUJO_CAJA!$D$81:$BK$81)</f>
        <v>0</v>
      </c>
    </row>
    <row r="10" customFormat="false" ht="15" hidden="false" customHeight="true" outlineLevel="0" collapsed="false">
      <c r="B10" s="297" t="s">
        <v>3033</v>
      </c>
      <c r="C10" s="358" t="n">
        <f aca="false">COUNTIF(FC_FLUJO_CAJA!$D$11:$BK$11,"&lt;=0")+1</f>
        <v>10</v>
      </c>
      <c r="E10" s="357" t="s">
        <v>3034</v>
      </c>
      <c r="F10" s="501" t="n">
        <f aca="false">SUM(FC_FLUJO_CAJA!$D$92:$BK$92)</f>
        <v>2100000</v>
      </c>
    </row>
    <row r="11" customFormat="false" ht="15" hidden="false" customHeight="true" outlineLevel="0" collapsed="false">
      <c r="B11" s="297" t="s">
        <v>3035</v>
      </c>
      <c r="C11" s="358" t="n">
        <f aca="false">COUNTIF(FC_FLUJO_CAJA!$D$30:$BK$30,"&lt;=0")+1</f>
        <v>12</v>
      </c>
      <c r="E11" s="297" t="s">
        <v>3036</v>
      </c>
      <c r="F11" s="358" t="n">
        <f aca="false">COUNTIF(FC_FLUJO_CAJA!$D$92:$BK$92,"&gt;0")</f>
        <v>12</v>
      </c>
    </row>
    <row r="12" customFormat="false" ht="15" hidden="false" customHeight="true" outlineLevel="0" collapsed="false">
      <c r="B12" s="297" t="s">
        <v>3037</v>
      </c>
      <c r="C12" s="358" t="n">
        <f aca="false">COUNTIF(FC_FLUJO_CAJA!$D$85:$BK$85,"&lt;=0")+1</f>
        <v>14</v>
      </c>
      <c r="E12" s="297" t="s">
        <v>3038</v>
      </c>
      <c r="F12" s="358" t="n">
        <f aca="false">IF(SUM(FC_FLUJO_CAJA!$D$92:$BK$92)=0,0,COUNTIF(FC_FLUJO_CAJA!$D$93:$BK$93,0)+1)</f>
        <v>1</v>
      </c>
    </row>
    <row r="13" customFormat="false" ht="15" hidden="false" customHeight="true" outlineLevel="0" collapsed="false">
      <c r="B13" s="297" t="s">
        <v>3039</v>
      </c>
      <c r="C13" s="500" t="n">
        <f aca="false">IF(COUNTIF(FC_FLUJO_CAJA!$D$86:$BK$86,"&lt;0")&gt;=60,"no recupera en 60 meses",COUNTIF(FC_FLUJO_CAJA!$D$86:$BK$86,"&lt;0")+1)</f>
        <v>47</v>
      </c>
      <c r="E13" s="297" t="s">
        <v>3040</v>
      </c>
      <c r="F13" s="358" t="n">
        <f aca="false">IFERROR(MATCH(MAX(FC_FLUJO_CAJA!$D$93:$BK$93),FC_FLUJO_CAJA!$D$93:$BK$93,0),0)</f>
        <v>13</v>
      </c>
    </row>
    <row r="14" customFormat="false" ht="15" hidden="false" customHeight="true" outlineLevel="0" collapsed="false">
      <c r="B14" s="297" t="s">
        <v>3041</v>
      </c>
      <c r="C14" s="502" t="n">
        <f aca="false">INDEX(FC_FLUJO_CAJA!$D$30:$BK$30,1,60)</f>
        <v>86017.2557226634</v>
      </c>
      <c r="E14" s="297" t="s">
        <v>3042</v>
      </c>
      <c r="F14" s="502" t="n">
        <f aca="false">MAX(FC_FLUJO_CAJA!$D$92:$BK$92)</f>
        <v>450000</v>
      </c>
    </row>
    <row r="15" customFormat="false" ht="15" hidden="false" customHeight="true" outlineLevel="0" collapsed="false">
      <c r="B15" s="297" t="s">
        <v>3043</v>
      </c>
      <c r="C15" s="502" t="n">
        <f aca="false">NPV(FC_SUPUESTOS!$C$82,FC_FLUJO_CAJA!$D$85:$BK$85)</f>
        <v>-144795.708618661</v>
      </c>
      <c r="E15" s="297" t="s">
        <v>3044</v>
      </c>
      <c r="F15" s="502" t="n">
        <f aca="false">INDEX(FC_FLUJO_CAJA!$D$94:$BK$94,1,60)</f>
        <v>2918560.50968639</v>
      </c>
    </row>
    <row r="16" customFormat="false" ht="15" hidden="false" customHeight="true" outlineLevel="0" collapsed="false">
      <c r="B16" s="297" t="s">
        <v>3045</v>
      </c>
      <c r="C16" s="503" t="n">
        <f aca="false">IFERROR((1+IRR(FC_FLUJO_CAJA!$D$85:$BK$85,0.01))^12-1,"n/a")</f>
        <v>0.155861773500385</v>
      </c>
      <c r="E16" s="297" t="str">
        <f aca="false">IF(SUM(FC_FLUJO_CAJA!$D$84:$BK$84)&gt;=SUM(FC_FLUJO_CAJA!$D$92:$BK$92),"Inversión financiada con la caja del propio piloto","Fondeo por encima de la inversión: operación en maduración y colchón de caja")</f>
        <v>Fondeo por encima de la inversión: operación en maduración y colchón de caja</v>
      </c>
      <c r="F16" s="502" t="n">
        <f aca="false">ABS(SUM(FC_FLUJO_CAJA!$D$84:$BK$84)-SUM(FC_FLUJO_CAJA!$D$92:$BK$92))</f>
        <v>197623.76525</v>
      </c>
    </row>
    <row r="17" customFormat="false" ht="15" hidden="false" customHeight="true" outlineLevel="0" collapsed="false">
      <c r="B17" s="283" t="s">
        <v>3046</v>
      </c>
      <c r="C17" s="504" t="n">
        <f aca="false">FC_SUPUESTOS!$D$14</f>
        <v>46300</v>
      </c>
      <c r="E17" s="283" t="s">
        <v>3047</v>
      </c>
      <c r="F17" s="505" t="n">
        <f aca="false">SUM(FC_FLUJO_CAJA!$D$92:$O$92)</f>
        <v>2050000</v>
      </c>
    </row>
    <row r="18" customFormat="false" ht="15" hidden="false" customHeight="true" outlineLevel="0" collapsed="false">
      <c r="B18" s="506" t="s">
        <v>3048</v>
      </c>
      <c r="C18" s="506"/>
      <c r="D18" s="506"/>
      <c r="E18" s="506"/>
      <c r="F18" s="506"/>
    </row>
    <row r="20" customFormat="false" ht="15" hidden="false" customHeight="true" outlineLevel="0" collapsed="false">
      <c r="A20" s="351" t="s">
        <v>3049</v>
      </c>
      <c r="B20" s="25"/>
      <c r="C20" s="25"/>
      <c r="D20" s="25"/>
      <c r="E20" s="25"/>
      <c r="F20" s="25"/>
      <c r="G20" s="25"/>
      <c r="H20" s="25"/>
      <c r="I20" s="25"/>
      <c r="J20" s="25"/>
      <c r="K20" s="25"/>
      <c r="L20" s="25"/>
      <c r="M20" s="25"/>
      <c r="N20" s="25"/>
      <c r="O20" s="25"/>
      <c r="P20" s="25"/>
      <c r="Q20" s="25"/>
    </row>
    <row r="21" customFormat="false" ht="33.75" hidden="false" customHeight="true" outlineLevel="0" collapsed="false">
      <c r="B21" s="507" t="s">
        <v>1430</v>
      </c>
      <c r="C21" s="508" t="s">
        <v>2349</v>
      </c>
      <c r="D21" s="507" t="s">
        <v>3050</v>
      </c>
      <c r="E21" s="507" t="s">
        <v>2171</v>
      </c>
      <c r="F21" s="507" t="s">
        <v>3051</v>
      </c>
      <c r="G21" s="507" t="s">
        <v>3052</v>
      </c>
      <c r="H21" s="507" t="s">
        <v>3053</v>
      </c>
      <c r="I21" s="507" t="s">
        <v>3054</v>
      </c>
      <c r="J21" s="507" t="s">
        <v>3055</v>
      </c>
      <c r="K21" s="507" t="s">
        <v>3056</v>
      </c>
      <c r="L21" s="507" t="s">
        <v>3057</v>
      </c>
      <c r="M21" s="507" t="s">
        <v>3058</v>
      </c>
      <c r="N21" s="507" t="s">
        <v>3059</v>
      </c>
      <c r="O21" s="507" t="s">
        <v>3060</v>
      </c>
      <c r="P21" s="507" t="s">
        <v>3061</v>
      </c>
      <c r="Q21" s="507" t="s">
        <v>3062</v>
      </c>
    </row>
    <row r="22" customFormat="false" ht="15" hidden="false" customHeight="true" outlineLevel="0" collapsed="false">
      <c r="B22" s="509" t="n">
        <v>1</v>
      </c>
      <c r="C22" s="510" t="n">
        <f aca="false">EDATE(DATE(YEAR(FC_SUPUESTOS!$D$14),MONTH(FC_SUPUESTOS!$D$14),1),$B22-1)</f>
        <v>46296</v>
      </c>
      <c r="D22" s="388" t="str">
        <f aca="false">IF(LEN(S22)=0,"",LEFT(S22,LEN(S22)-3))</f>
        <v>Orden de compra de equipos de PLANTA · Orden de compra de equipos de PDV</v>
      </c>
      <c r="E22" s="380" t="n">
        <f aca="false">INDEX(FC_FLUJO_CAJA!$D$14:$BK$14,1,$B22)</f>
        <v>0</v>
      </c>
      <c r="F22" s="380" t="n">
        <f aca="false">INDEX(FC_FLUJO_CAJA!$D$35:$BK$35,1,$B22)</f>
        <v>2870</v>
      </c>
      <c r="G22" s="380" t="n">
        <f aca="false">INDEX(FC_FLUJO_CAJA!$D$39:$BK$39,1,$B22)</f>
        <v>0</v>
      </c>
      <c r="H22" s="380" t="n">
        <f aca="false">INDEX(FC_FLUJO_CAJA!$D$54:$BK$54,1,$B22)</f>
        <v>87979.2178211779</v>
      </c>
      <c r="I22" s="380" t="n">
        <f aca="false">INDEX(FC_FLUJO_CAJA!$D$68:$BK$68,1,$B22)</f>
        <v>80627.8</v>
      </c>
      <c r="J22" s="380" t="n">
        <f aca="false">INDEX(FC_FLUJO_CAJA!$D$81:$BK$81,1,$B22)</f>
        <v>0</v>
      </c>
      <c r="K22" s="383" t="n">
        <f aca="false">F22+G22+H22+I22+J22</f>
        <v>171477.017821178</v>
      </c>
      <c r="L22" s="380" t="n">
        <f aca="false">INDEX(FC_FLUJO_CAJA!$D$85:$BK$85,1,$B22)</f>
        <v>-171477.017821178</v>
      </c>
      <c r="M22" s="495" t="n">
        <f aca="false">INDEX(FC_FLUJO_CAJA!$D$89:$BK$89,1,$B22)</f>
        <v>0</v>
      </c>
      <c r="N22" s="511" t="n">
        <f aca="false">INDEX(FC_FLUJO_CAJA!$D$92:$BK$92,1,$B22)</f>
        <v>250000</v>
      </c>
      <c r="O22" s="380" t="n">
        <f aca="false">INDEX(FC_FLUJO_CAJA!$D$93:$BK$93,1,$B22)</f>
        <v>250000</v>
      </c>
      <c r="P22" s="383" t="n">
        <f aca="false">INDEX(FC_FLUJO_CAJA!$D$94:$BK$94,1,$B22)</f>
        <v>78522.982178822</v>
      </c>
      <c r="Q22" s="426" t="str">
        <f aca="false">IF(N22=0,"",IF(MAX(H22,I22,J22)&gt;=MAX(0,F22+G22-E22),IF(H22&gt;=MAX(I22,J22),"Equipos, montaje y arranque del centro de producción",IF(I22&gt;=J22,"Equipos, obra, depósitos y arranque de los PDV del piloto","Equipos y adecuación del flagship")),"Estructura corporativa, personal y operación de la red"))</f>
        <v>Equipos, montaje y arranque del centro de producción</v>
      </c>
      <c r="S22" s="512" t="str">
        <f aca="false">IF(INDEX(FC_CRONOGRAMA!$D$8:$BK$8,1,$B22)=1,"Orden de compra de equipos de PLANTA · ","")&amp;IF(INDEX(FC_CRONOGRAMA!$D$28:$BK$28,1,$B22)+INDEX(FC_CRONOGRAMA!$D$29:$BK$29,1,$B22)&gt;0,"Orden de compra de equipos de PDV · ","")&amp;IF(INDEX(FC_CRONOGRAMA!$D$9:$BK$9,1,$B22)=1,"Embarque de equipos de planta · ","")&amp;IF(INDEX(FC_CRONOGRAMA!$D$30:$BK$30,1,$B22)+INDEX(FC_CRONOGRAMA!$D$31:$BK$31,1,$B22)&gt;0,"Embarque de equipos de PDV · ","")&amp;IF(INDEX(FC_CRONOGRAMA!$D$10:$BK$10,1,$B22)=1,"Arribo y nacionalización — planta · ","")&amp;IF(INDEX(FC_CRONOGRAMA!$D$32:$BK$32,1,$B22)+INDEX(FC_CRONOGRAMA!$D$33:$BK$33,1,$B22)&gt;0,"Arribo y nacionalización — PDV · ","")&amp;IF(INDEX(FC_CRONOGRAMA!$D$11:$BK$11,1,$B22)=1,"Montaje y puesta en marcha de la planta · ","")&amp;IF(AND($B22=FC_SUPUESTOS!$C$23),"ARRANQUE DE LA PLANTA · ","")&amp;IF(INDEX(FC_CRONOGRAMA!$D$40:$BK$40,1,$B22)+INDEX(FC_CRONOGRAMA!$D$41:$BK$41,1,$B22)&gt;0,"Obra de adecuación de locales · ","")&amp;IF(INDEX(FC_CRONOGRAMA!$D$19:$BK$19,1,$B22)&gt;0,"Apertura de "&amp;TEXT(INDEX(FC_CRONOGRAMA!$D$19:$BK$19,1,$B22),"0")&amp;" PDV del piloto · ","")&amp;IF(INDEX(FC_CRONOGRAMA!$D$46:$BK$46,1,$B22)=1,"Orden de compra de equipos del flagship · ","")&amp;IF(INDEX(FC_CRONOGRAMA!$D$48:$BK$48,1,$B22)=1,"Arribo de equipos del flagship · ","")&amp;IF(INDEX(FC_CRONOGRAMA!$D$53:$BK$53,1,$B22)=1,"Obra de adecuación del flagship · ","")&amp;IF(AND(FC_SUPUESTOS!$C$12=1,$B22=FC_SUPUESTOS!$C$13),"APERTURA DEL FLAGSHIP · ","")</f>
        <v>Orden de compra de equipos de PLANTA · Orden de compra de equipos de PDV · </v>
      </c>
    </row>
    <row r="23" customFormat="false" ht="15" hidden="false" customHeight="true" outlineLevel="0" collapsed="false">
      <c r="B23" s="509" t="n">
        <v>2</v>
      </c>
      <c r="C23" s="510" t="n">
        <f aca="false">EDATE(DATE(YEAR(FC_SUPUESTOS!$D$14),MONTH(FC_SUPUESTOS!$D$14),1),$B23-1)</f>
        <v>46327</v>
      </c>
      <c r="D23" s="388" t="str">
        <f aca="false">IF(LEN(S23)=0,"",LEFT(S23,LEN(S23)-3))</f>
        <v/>
      </c>
      <c r="E23" s="380" t="n">
        <f aca="false">INDEX(FC_FLUJO_CAJA!$D$14:$BK$14,1,$B23)</f>
        <v>0</v>
      </c>
      <c r="F23" s="380" t="n">
        <f aca="false">INDEX(FC_FLUJO_CAJA!$D$35:$BK$35,1,$B23)</f>
        <v>15715</v>
      </c>
      <c r="G23" s="380" t="n">
        <f aca="false">INDEX(FC_FLUJO_CAJA!$D$39:$BK$39,1,$B23)</f>
        <v>0</v>
      </c>
      <c r="H23" s="380" t="n">
        <f aca="false">INDEX(FC_FLUJO_CAJA!$D$54:$BK$54,1,$B23)</f>
        <v>0</v>
      </c>
      <c r="I23" s="380" t="n">
        <f aca="false">INDEX(FC_FLUJO_CAJA!$D$68:$BK$68,1,$B23)</f>
        <v>0</v>
      </c>
      <c r="J23" s="380" t="n">
        <f aca="false">INDEX(FC_FLUJO_CAJA!$D$81:$BK$81,1,$B23)</f>
        <v>0</v>
      </c>
      <c r="K23" s="383" t="n">
        <f aca="false">F23+G23+H23+I23+J23</f>
        <v>15715</v>
      </c>
      <c r="L23" s="380" t="n">
        <f aca="false">INDEX(FC_FLUJO_CAJA!$D$85:$BK$85,1,$B23)</f>
        <v>-15715</v>
      </c>
      <c r="M23" s="495" t="n">
        <f aca="false">INDEX(FC_FLUJO_CAJA!$D$89:$BK$89,1,$B23)</f>
        <v>78522.982178822</v>
      </c>
      <c r="N23" s="511" t="n">
        <f aca="false">INDEX(FC_FLUJO_CAJA!$D$92:$BK$92,1,$B23)</f>
        <v>0</v>
      </c>
      <c r="O23" s="380" t="n">
        <f aca="false">INDEX(FC_FLUJO_CAJA!$D$93:$BK$93,1,$B23)</f>
        <v>250000</v>
      </c>
      <c r="P23" s="383" t="n">
        <f aca="false">INDEX(FC_FLUJO_CAJA!$D$94:$BK$94,1,$B23)</f>
        <v>62807.982178822</v>
      </c>
      <c r="Q23" s="426" t="str">
        <f aca="false">IF(N23=0,"",IF(MAX(H23,I23,J23)&gt;=MAX(0,F23+G23-E23),IF(H23&gt;=MAX(I23,J23),"Equipos, montaje y arranque del centro de producción",IF(I23&gt;=J23,"Equipos, obra, depósitos y arranque de los PDV del piloto","Equipos y adecuación del flagship")),"Estructura corporativa, personal y operación de la red"))</f>
        <v/>
      </c>
      <c r="S23" s="512" t="str">
        <f aca="false">IF(INDEX(FC_CRONOGRAMA!$D$8:$BK$8,1,$B23)=1,"Orden de compra de equipos de PLANTA · ","")&amp;IF(INDEX(FC_CRONOGRAMA!$D$28:$BK$28,1,$B23)+INDEX(FC_CRONOGRAMA!$D$29:$BK$29,1,$B23)&gt;0,"Orden de compra de equipos de PDV · ","")&amp;IF(INDEX(FC_CRONOGRAMA!$D$9:$BK$9,1,$B23)=1,"Embarque de equipos de planta · ","")&amp;IF(INDEX(FC_CRONOGRAMA!$D$30:$BK$30,1,$B23)+INDEX(FC_CRONOGRAMA!$D$31:$BK$31,1,$B23)&gt;0,"Embarque de equipos de PDV · ","")&amp;IF(INDEX(FC_CRONOGRAMA!$D$10:$BK$10,1,$B23)=1,"Arribo y nacionalización — planta · ","")&amp;IF(INDEX(FC_CRONOGRAMA!$D$32:$BK$32,1,$B23)+INDEX(FC_CRONOGRAMA!$D$33:$BK$33,1,$B23)&gt;0,"Arribo y nacionalización — PDV · ","")&amp;IF(INDEX(FC_CRONOGRAMA!$D$11:$BK$11,1,$B23)=1,"Montaje y puesta en marcha de la planta · ","")&amp;IF(AND($B23=FC_SUPUESTOS!$C$23),"ARRANQUE DE LA PLANTA · ","")&amp;IF(INDEX(FC_CRONOGRAMA!$D$40:$BK$40,1,$B23)+INDEX(FC_CRONOGRAMA!$D$41:$BK$41,1,$B23)&gt;0,"Obra de adecuación de locales · ","")&amp;IF(INDEX(FC_CRONOGRAMA!$D$19:$BK$19,1,$B23)&gt;0,"Apertura de "&amp;TEXT(INDEX(FC_CRONOGRAMA!$D$19:$BK$19,1,$B23),"0")&amp;" PDV del piloto · ","")&amp;IF(INDEX(FC_CRONOGRAMA!$D$46:$BK$46,1,$B23)=1,"Orden de compra de equipos del flagship · ","")&amp;IF(INDEX(FC_CRONOGRAMA!$D$48:$BK$48,1,$B23)=1,"Arribo de equipos del flagship · ","")&amp;IF(INDEX(FC_CRONOGRAMA!$D$53:$BK$53,1,$B23)=1,"Obra de adecuación del flagship · ","")&amp;IF(AND(FC_SUPUESTOS!$C$12=1,$B23=FC_SUPUESTOS!$C$13),"APERTURA DEL FLAGSHIP · ","")</f>
        <v/>
      </c>
    </row>
    <row r="24" customFormat="false" ht="15" hidden="false" customHeight="true" outlineLevel="0" collapsed="false">
      <c r="B24" s="509" t="n">
        <v>3</v>
      </c>
      <c r="C24" s="510" t="n">
        <f aca="false">EDATE(DATE(YEAR(FC_SUPUESTOS!$D$14),MONTH(FC_SUPUESTOS!$D$14),1),$B24-1)</f>
        <v>46357</v>
      </c>
      <c r="D24" s="388" t="str">
        <f aca="false">IF(LEN(S24)=0,"",LEFT(S24,LEN(S24)-3))</f>
        <v/>
      </c>
      <c r="E24" s="380" t="n">
        <f aca="false">INDEX(FC_FLUJO_CAJA!$D$14:$BK$14,1,$B24)</f>
        <v>0</v>
      </c>
      <c r="F24" s="380" t="n">
        <f aca="false">INDEX(FC_FLUJO_CAJA!$D$35:$BK$35,1,$B24)</f>
        <v>15715</v>
      </c>
      <c r="G24" s="380" t="n">
        <f aca="false">INDEX(FC_FLUJO_CAJA!$D$39:$BK$39,1,$B24)</f>
        <v>0</v>
      </c>
      <c r="H24" s="380" t="n">
        <f aca="false">INDEX(FC_FLUJO_CAJA!$D$54:$BK$54,1,$B24)</f>
        <v>0</v>
      </c>
      <c r="I24" s="380" t="n">
        <f aca="false">INDEX(FC_FLUJO_CAJA!$D$68:$BK$68,1,$B24)</f>
        <v>0</v>
      </c>
      <c r="J24" s="380" t="n">
        <f aca="false">INDEX(FC_FLUJO_CAJA!$D$81:$BK$81,1,$B24)</f>
        <v>0</v>
      </c>
      <c r="K24" s="383" t="n">
        <f aca="false">F24+G24+H24+I24+J24</f>
        <v>15715</v>
      </c>
      <c r="L24" s="380" t="n">
        <f aca="false">INDEX(FC_FLUJO_CAJA!$D$85:$BK$85,1,$B24)</f>
        <v>-15715</v>
      </c>
      <c r="M24" s="495" t="n">
        <f aca="false">INDEX(FC_FLUJO_CAJA!$D$89:$BK$89,1,$B24)</f>
        <v>62807.982178822</v>
      </c>
      <c r="N24" s="511" t="n">
        <f aca="false">INDEX(FC_FLUJO_CAJA!$D$92:$BK$92,1,$B24)</f>
        <v>50000</v>
      </c>
      <c r="O24" s="380" t="n">
        <f aca="false">INDEX(FC_FLUJO_CAJA!$D$93:$BK$93,1,$B24)</f>
        <v>300000</v>
      </c>
      <c r="P24" s="383" t="n">
        <f aca="false">INDEX(FC_FLUJO_CAJA!$D$94:$BK$94,1,$B24)</f>
        <v>97092.982178822</v>
      </c>
      <c r="Q24" s="426" t="str">
        <f aca="false">IF(N24=0,"",IF(MAX(H24,I24,J24)&gt;=MAX(0,F24+G24-E24),IF(H24&gt;=MAX(I24,J24),"Equipos, montaje y arranque del centro de producción",IF(I24&gt;=J24,"Equipos, obra, depósitos y arranque de los PDV del piloto","Equipos y adecuación del flagship")),"Estructura corporativa, personal y operación de la red"))</f>
        <v>Estructura corporativa, personal y operación de la red</v>
      </c>
      <c r="S24" s="512" t="str">
        <f aca="false">IF(INDEX(FC_CRONOGRAMA!$D$8:$BK$8,1,$B24)=1,"Orden de compra de equipos de PLANTA · ","")&amp;IF(INDEX(FC_CRONOGRAMA!$D$28:$BK$28,1,$B24)+INDEX(FC_CRONOGRAMA!$D$29:$BK$29,1,$B24)&gt;0,"Orden de compra de equipos de PDV · ","")&amp;IF(INDEX(FC_CRONOGRAMA!$D$9:$BK$9,1,$B24)=1,"Embarque de equipos de planta · ","")&amp;IF(INDEX(FC_CRONOGRAMA!$D$30:$BK$30,1,$B24)+INDEX(FC_CRONOGRAMA!$D$31:$BK$31,1,$B24)&gt;0,"Embarque de equipos de PDV · ","")&amp;IF(INDEX(FC_CRONOGRAMA!$D$10:$BK$10,1,$B24)=1,"Arribo y nacionalización — planta · ","")&amp;IF(INDEX(FC_CRONOGRAMA!$D$32:$BK$32,1,$B24)+INDEX(FC_CRONOGRAMA!$D$33:$BK$33,1,$B24)&gt;0,"Arribo y nacionalización — PDV · ","")&amp;IF(INDEX(FC_CRONOGRAMA!$D$11:$BK$11,1,$B24)=1,"Montaje y puesta en marcha de la planta · ","")&amp;IF(AND($B24=FC_SUPUESTOS!$C$23),"ARRANQUE DE LA PLANTA · ","")&amp;IF(INDEX(FC_CRONOGRAMA!$D$40:$BK$40,1,$B24)+INDEX(FC_CRONOGRAMA!$D$41:$BK$41,1,$B24)&gt;0,"Obra de adecuación de locales · ","")&amp;IF(INDEX(FC_CRONOGRAMA!$D$19:$BK$19,1,$B24)&gt;0,"Apertura de "&amp;TEXT(INDEX(FC_CRONOGRAMA!$D$19:$BK$19,1,$B24),"0")&amp;" PDV del piloto · ","")&amp;IF(INDEX(FC_CRONOGRAMA!$D$46:$BK$46,1,$B24)=1,"Orden de compra de equipos del flagship · ","")&amp;IF(INDEX(FC_CRONOGRAMA!$D$48:$BK$48,1,$B24)=1,"Arribo de equipos del flagship · ","")&amp;IF(INDEX(FC_CRONOGRAMA!$D$53:$BK$53,1,$B24)=1,"Obra de adecuación del flagship · ","")&amp;IF(AND(FC_SUPUESTOS!$C$12=1,$B24=FC_SUPUESTOS!$C$13),"APERTURA DEL FLAGSHIP · ","")</f>
        <v/>
      </c>
    </row>
    <row r="25" customFormat="false" ht="15" hidden="false" customHeight="true" outlineLevel="0" collapsed="false">
      <c r="B25" s="509" t="n">
        <v>4</v>
      </c>
      <c r="C25" s="510" t="n">
        <f aca="false">EDATE(DATE(YEAR(FC_SUPUESTOS!$D$14),MONTH(FC_SUPUESTOS!$D$14),1),$B25-1)</f>
        <v>46388</v>
      </c>
      <c r="D25" s="388" t="str">
        <f aca="false">IF(LEN(S25)=0,"",LEFT(S25,LEN(S25)-3))</f>
        <v>Embarque de equipos de PDV</v>
      </c>
      <c r="E25" s="380" t="n">
        <f aca="false">INDEX(FC_FLUJO_CAJA!$D$14:$BK$14,1,$B25)</f>
        <v>0</v>
      </c>
      <c r="F25" s="380" t="n">
        <f aca="false">INDEX(FC_FLUJO_CAJA!$D$35:$BK$35,1,$B25)</f>
        <v>15715</v>
      </c>
      <c r="G25" s="380" t="n">
        <f aca="false">INDEX(FC_FLUJO_CAJA!$D$39:$BK$39,1,$B25)</f>
        <v>0</v>
      </c>
      <c r="H25" s="380" t="n">
        <f aca="false">INDEX(FC_FLUJO_CAJA!$D$54:$BK$54,1,$B25)</f>
        <v>0</v>
      </c>
      <c r="I25" s="380" t="n">
        <f aca="false">INDEX(FC_FLUJO_CAJA!$D$68:$BK$68,1,$B25)</f>
        <v>147145.735</v>
      </c>
      <c r="J25" s="380" t="n">
        <f aca="false">INDEX(FC_FLUJO_CAJA!$D$81:$BK$81,1,$B25)</f>
        <v>0</v>
      </c>
      <c r="K25" s="383" t="n">
        <f aca="false">F25+G25+H25+I25+J25</f>
        <v>162860.735</v>
      </c>
      <c r="L25" s="380" t="n">
        <f aca="false">INDEX(FC_FLUJO_CAJA!$D$85:$BK$85,1,$B25)</f>
        <v>-162860.735</v>
      </c>
      <c r="M25" s="495" t="n">
        <f aca="false">INDEX(FC_FLUJO_CAJA!$D$89:$BK$89,1,$B25)</f>
        <v>97092.982178822</v>
      </c>
      <c r="N25" s="511" t="n">
        <f aca="false">INDEX(FC_FLUJO_CAJA!$D$92:$BK$92,1,$B25)</f>
        <v>150000</v>
      </c>
      <c r="O25" s="380" t="n">
        <f aca="false">INDEX(FC_FLUJO_CAJA!$D$93:$BK$93,1,$B25)</f>
        <v>450000</v>
      </c>
      <c r="P25" s="383" t="n">
        <f aca="false">INDEX(FC_FLUJO_CAJA!$D$94:$BK$94,1,$B25)</f>
        <v>84232.247178822</v>
      </c>
      <c r="Q25" s="426" t="str">
        <f aca="false">IF(N25=0,"",IF(MAX(H25,I25,J25)&gt;=MAX(0,F25+G25-E25),IF(H25&gt;=MAX(I25,J25),"Equipos, montaje y arranque del centro de producción",IF(I25&gt;=J25,"Equipos, obra, depósitos y arranque de los PDV del piloto","Equipos y adecuación del flagship")),"Estructura corporativa, personal y operación de la red"))</f>
        <v>Equipos, obra, depósitos y arranque de los PDV del piloto</v>
      </c>
      <c r="S25" s="512" t="str">
        <f aca="false">IF(INDEX(FC_CRONOGRAMA!$D$8:$BK$8,1,$B25)=1,"Orden de compra de equipos de PLANTA · ","")&amp;IF(INDEX(FC_CRONOGRAMA!$D$28:$BK$28,1,$B25)+INDEX(FC_CRONOGRAMA!$D$29:$BK$29,1,$B25)&gt;0,"Orden de compra de equipos de PDV · ","")&amp;IF(INDEX(FC_CRONOGRAMA!$D$9:$BK$9,1,$B25)=1,"Embarque de equipos de planta · ","")&amp;IF(INDEX(FC_CRONOGRAMA!$D$30:$BK$30,1,$B25)+INDEX(FC_CRONOGRAMA!$D$31:$BK$31,1,$B25)&gt;0,"Embarque de equipos de PDV · ","")&amp;IF(INDEX(FC_CRONOGRAMA!$D$10:$BK$10,1,$B25)=1,"Arribo y nacionalización — planta · ","")&amp;IF(INDEX(FC_CRONOGRAMA!$D$32:$BK$32,1,$B25)+INDEX(FC_CRONOGRAMA!$D$33:$BK$33,1,$B25)&gt;0,"Arribo y nacionalización — PDV · ","")&amp;IF(INDEX(FC_CRONOGRAMA!$D$11:$BK$11,1,$B25)=1,"Montaje y puesta en marcha de la planta · ","")&amp;IF(AND($B25=FC_SUPUESTOS!$C$23),"ARRANQUE DE LA PLANTA · ","")&amp;IF(INDEX(FC_CRONOGRAMA!$D$40:$BK$40,1,$B25)+INDEX(FC_CRONOGRAMA!$D$41:$BK$41,1,$B25)&gt;0,"Obra de adecuación de locales · ","")&amp;IF(INDEX(FC_CRONOGRAMA!$D$19:$BK$19,1,$B25)&gt;0,"Apertura de "&amp;TEXT(INDEX(FC_CRONOGRAMA!$D$19:$BK$19,1,$B25),"0")&amp;" PDV del piloto · ","")&amp;IF(INDEX(FC_CRONOGRAMA!$D$46:$BK$46,1,$B25)=1,"Orden de compra de equipos del flagship · ","")&amp;IF(INDEX(FC_CRONOGRAMA!$D$48:$BK$48,1,$B25)=1,"Arribo de equipos del flagship · ","")&amp;IF(INDEX(FC_CRONOGRAMA!$D$53:$BK$53,1,$B25)=1,"Obra de adecuación del flagship · ","")&amp;IF(AND(FC_SUPUESTOS!$C$12=1,$B25=FC_SUPUESTOS!$C$13),"APERTURA DEL FLAGSHIP · ","")</f>
        <v>Embarque de equipos de PDV · </v>
      </c>
    </row>
    <row r="26" customFormat="false" ht="15" hidden="false" customHeight="true" outlineLevel="0" collapsed="false">
      <c r="B26" s="509" t="n">
        <v>5</v>
      </c>
      <c r="C26" s="510" t="n">
        <f aca="false">EDATE(DATE(YEAR(FC_SUPUESTOS!$D$14),MONTH(FC_SUPUESTOS!$D$14),1),$B26-1)</f>
        <v>46419</v>
      </c>
      <c r="D26" s="388" t="str">
        <f aca="false">IF(LEN(S26)=0,"",LEFT(S26,LEN(S26)-3))</f>
        <v>Embarque de equipos de planta · Arribo y nacionalización — PDV</v>
      </c>
      <c r="E26" s="380" t="n">
        <f aca="false">INDEX(FC_FLUJO_CAJA!$D$14:$BK$14,1,$B26)</f>
        <v>0</v>
      </c>
      <c r="F26" s="380" t="n">
        <f aca="false">INDEX(FC_FLUJO_CAJA!$D$35:$BK$35,1,$B26)</f>
        <v>15715</v>
      </c>
      <c r="G26" s="380" t="n">
        <f aca="false">INDEX(FC_FLUJO_CAJA!$D$39:$BK$39,1,$B26)</f>
        <v>0</v>
      </c>
      <c r="H26" s="380" t="n">
        <f aca="false">INDEX(FC_FLUJO_CAJA!$D$54:$BK$54,1,$B26)</f>
        <v>160562.07252365</v>
      </c>
      <c r="I26" s="380" t="n">
        <f aca="false">INDEX(FC_FLUJO_CAJA!$D$68:$BK$68,1,$B26)</f>
        <v>102498.09075</v>
      </c>
      <c r="J26" s="380" t="n">
        <f aca="false">INDEX(FC_FLUJO_CAJA!$D$81:$BK$81,1,$B26)</f>
        <v>0</v>
      </c>
      <c r="K26" s="383" t="n">
        <f aca="false">F26+G26+H26+I26+J26</f>
        <v>278775.16327365</v>
      </c>
      <c r="L26" s="380" t="n">
        <f aca="false">INDEX(FC_FLUJO_CAJA!$D$85:$BK$85,1,$B26)</f>
        <v>-278775.16327365</v>
      </c>
      <c r="M26" s="495" t="n">
        <f aca="false">INDEX(FC_FLUJO_CAJA!$D$89:$BK$89,1,$B26)</f>
        <v>84232.247178822</v>
      </c>
      <c r="N26" s="511" t="n">
        <f aca="false">INDEX(FC_FLUJO_CAJA!$D$92:$BK$92,1,$B26)</f>
        <v>250000</v>
      </c>
      <c r="O26" s="380" t="n">
        <f aca="false">INDEX(FC_FLUJO_CAJA!$D$93:$BK$93,1,$B26)</f>
        <v>700000</v>
      </c>
      <c r="P26" s="383" t="n">
        <f aca="false">INDEX(FC_FLUJO_CAJA!$D$94:$BK$94,1,$B26)</f>
        <v>55457.0839051724</v>
      </c>
      <c r="Q26" s="426" t="str">
        <f aca="false">IF(N26=0,"",IF(MAX(H26,I26,J26)&gt;=MAX(0,F26+G26-E26),IF(H26&gt;=MAX(I26,J26),"Equipos, montaje y arranque del centro de producción",IF(I26&gt;=J26,"Equipos, obra, depósitos y arranque de los PDV del piloto","Equipos y adecuación del flagship")),"Estructura corporativa, personal y operación de la red"))</f>
        <v>Equipos, montaje y arranque del centro de producción</v>
      </c>
      <c r="S26" s="512" t="str">
        <f aca="false">IF(INDEX(FC_CRONOGRAMA!$D$8:$BK$8,1,$B26)=1,"Orden de compra de equipos de PLANTA · ","")&amp;IF(INDEX(FC_CRONOGRAMA!$D$28:$BK$28,1,$B26)+INDEX(FC_CRONOGRAMA!$D$29:$BK$29,1,$B26)&gt;0,"Orden de compra de equipos de PDV · ","")&amp;IF(INDEX(FC_CRONOGRAMA!$D$9:$BK$9,1,$B26)=1,"Embarque de equipos de planta · ","")&amp;IF(INDEX(FC_CRONOGRAMA!$D$30:$BK$30,1,$B26)+INDEX(FC_CRONOGRAMA!$D$31:$BK$31,1,$B26)&gt;0,"Embarque de equipos de PDV · ","")&amp;IF(INDEX(FC_CRONOGRAMA!$D$10:$BK$10,1,$B26)=1,"Arribo y nacionalización — planta · ","")&amp;IF(INDEX(FC_CRONOGRAMA!$D$32:$BK$32,1,$B26)+INDEX(FC_CRONOGRAMA!$D$33:$BK$33,1,$B26)&gt;0,"Arribo y nacionalización — PDV · ","")&amp;IF(INDEX(FC_CRONOGRAMA!$D$11:$BK$11,1,$B26)=1,"Montaje y puesta en marcha de la planta · ","")&amp;IF(AND($B26=FC_SUPUESTOS!$C$23),"ARRANQUE DE LA PLANTA · ","")&amp;IF(INDEX(FC_CRONOGRAMA!$D$40:$BK$40,1,$B26)+INDEX(FC_CRONOGRAMA!$D$41:$BK$41,1,$B26)&gt;0,"Obra de adecuación de locales · ","")&amp;IF(INDEX(FC_CRONOGRAMA!$D$19:$BK$19,1,$B26)&gt;0,"Apertura de "&amp;TEXT(INDEX(FC_CRONOGRAMA!$D$19:$BK$19,1,$B26),"0")&amp;" PDV del piloto · ","")&amp;IF(INDEX(FC_CRONOGRAMA!$D$46:$BK$46,1,$B26)=1,"Orden de compra de equipos del flagship · ","")&amp;IF(INDEX(FC_CRONOGRAMA!$D$48:$BK$48,1,$B26)=1,"Arribo de equipos del flagship · ","")&amp;IF(INDEX(FC_CRONOGRAMA!$D$53:$BK$53,1,$B26)=1,"Obra de adecuación del flagship · ","")&amp;IF(AND(FC_SUPUESTOS!$C$12=1,$B26=FC_SUPUESTOS!$C$13),"APERTURA DEL FLAGSHIP · ","")</f>
        <v>Embarque de equipos de planta · Arribo y nacionalización — PDV · </v>
      </c>
    </row>
    <row r="27" customFormat="false" ht="15" hidden="false" customHeight="true" outlineLevel="0" collapsed="false">
      <c r="B27" s="509" t="n">
        <v>6</v>
      </c>
      <c r="C27" s="510" t="n">
        <f aca="false">EDATE(DATE(YEAR(FC_SUPUESTOS!$D$14),MONTH(FC_SUPUESTOS!$D$14),1),$B27-1)</f>
        <v>46447</v>
      </c>
      <c r="D27" s="388" t="str">
        <f aca="false">IF(LEN(S27)=0,"",LEFT(S27,LEN(S27)-3))</f>
        <v/>
      </c>
      <c r="E27" s="380" t="n">
        <f aca="false">INDEX(FC_FLUJO_CAJA!$D$14:$BK$14,1,$B27)</f>
        <v>0</v>
      </c>
      <c r="F27" s="380" t="n">
        <f aca="false">INDEX(FC_FLUJO_CAJA!$D$35:$BK$35,1,$B27)</f>
        <v>15715</v>
      </c>
      <c r="G27" s="380" t="n">
        <f aca="false">INDEX(FC_FLUJO_CAJA!$D$39:$BK$39,1,$B27)</f>
        <v>0</v>
      </c>
      <c r="H27" s="380" t="n">
        <f aca="false">INDEX(FC_FLUJO_CAJA!$D$54:$BK$54,1,$B27)</f>
        <v>0</v>
      </c>
      <c r="I27" s="380" t="n">
        <f aca="false">INDEX(FC_FLUJO_CAJA!$D$68:$BK$68,1,$B27)</f>
        <v>0</v>
      </c>
      <c r="J27" s="380" t="n">
        <f aca="false">INDEX(FC_FLUJO_CAJA!$D$81:$BK$81,1,$B27)</f>
        <v>0</v>
      </c>
      <c r="K27" s="383" t="n">
        <f aca="false">F27+G27+H27+I27+J27</f>
        <v>15715</v>
      </c>
      <c r="L27" s="380" t="n">
        <f aca="false">INDEX(FC_FLUJO_CAJA!$D$85:$BK$85,1,$B27)</f>
        <v>-15715</v>
      </c>
      <c r="M27" s="495" t="n">
        <f aca="false">INDEX(FC_FLUJO_CAJA!$D$89:$BK$89,1,$B27)</f>
        <v>55457.0839051724</v>
      </c>
      <c r="N27" s="511" t="n">
        <f aca="false">INDEX(FC_FLUJO_CAJA!$D$92:$BK$92,1,$B27)</f>
        <v>50000</v>
      </c>
      <c r="O27" s="380" t="n">
        <f aca="false">INDEX(FC_FLUJO_CAJA!$D$93:$BK$93,1,$B27)</f>
        <v>750000</v>
      </c>
      <c r="P27" s="383" t="n">
        <f aca="false">INDEX(FC_FLUJO_CAJA!$D$94:$BK$94,1,$B27)</f>
        <v>89742.0839051724</v>
      </c>
      <c r="Q27" s="426" t="str">
        <f aca="false">IF(N27=0,"",IF(MAX(H27,I27,J27)&gt;=MAX(0,F27+G27-E27),IF(H27&gt;=MAX(I27,J27),"Equipos, montaje y arranque del centro de producción",IF(I27&gt;=J27,"Equipos, obra, depósitos y arranque de los PDV del piloto","Equipos y adecuación del flagship")),"Estructura corporativa, personal y operación de la red"))</f>
        <v>Estructura corporativa, personal y operación de la red</v>
      </c>
      <c r="S27" s="512" t="str">
        <f aca="false">IF(INDEX(FC_CRONOGRAMA!$D$8:$BK$8,1,$B27)=1,"Orden de compra de equipos de PLANTA · ","")&amp;IF(INDEX(FC_CRONOGRAMA!$D$28:$BK$28,1,$B27)+INDEX(FC_CRONOGRAMA!$D$29:$BK$29,1,$B27)&gt;0,"Orden de compra de equipos de PDV · ","")&amp;IF(INDEX(FC_CRONOGRAMA!$D$9:$BK$9,1,$B27)=1,"Embarque de equipos de planta · ","")&amp;IF(INDEX(FC_CRONOGRAMA!$D$30:$BK$30,1,$B27)+INDEX(FC_CRONOGRAMA!$D$31:$BK$31,1,$B27)&gt;0,"Embarque de equipos de PDV · ","")&amp;IF(INDEX(FC_CRONOGRAMA!$D$10:$BK$10,1,$B27)=1,"Arribo y nacionalización — planta · ","")&amp;IF(INDEX(FC_CRONOGRAMA!$D$32:$BK$32,1,$B27)+INDEX(FC_CRONOGRAMA!$D$33:$BK$33,1,$B27)&gt;0,"Arribo y nacionalización — PDV · ","")&amp;IF(INDEX(FC_CRONOGRAMA!$D$11:$BK$11,1,$B27)=1,"Montaje y puesta en marcha de la planta · ","")&amp;IF(AND($B27=FC_SUPUESTOS!$C$23),"ARRANQUE DE LA PLANTA · ","")&amp;IF(INDEX(FC_CRONOGRAMA!$D$40:$BK$40,1,$B27)+INDEX(FC_CRONOGRAMA!$D$41:$BK$41,1,$B27)&gt;0,"Obra de adecuación de locales · ","")&amp;IF(INDEX(FC_CRONOGRAMA!$D$19:$BK$19,1,$B27)&gt;0,"Apertura de "&amp;TEXT(INDEX(FC_CRONOGRAMA!$D$19:$BK$19,1,$B27),"0")&amp;" PDV del piloto · ","")&amp;IF(INDEX(FC_CRONOGRAMA!$D$46:$BK$46,1,$B27)=1,"Orden de compra de equipos del flagship · ","")&amp;IF(INDEX(FC_CRONOGRAMA!$D$48:$BK$48,1,$B27)=1,"Arribo de equipos del flagship · ","")&amp;IF(INDEX(FC_CRONOGRAMA!$D$53:$BK$53,1,$B27)=1,"Obra de adecuación del flagship · ","")&amp;IF(AND(FC_SUPUESTOS!$C$12=1,$B27=FC_SUPUESTOS!$C$13),"APERTURA DEL FLAGSHIP · ","")</f>
        <v/>
      </c>
    </row>
    <row r="28" customFormat="false" ht="15" hidden="false" customHeight="true" outlineLevel="0" collapsed="false">
      <c r="B28" s="509" t="n">
        <v>7</v>
      </c>
      <c r="C28" s="510" t="n">
        <f aca="false">EDATE(DATE(YEAR(FC_SUPUESTOS!$D$14),MONTH(FC_SUPUESTOS!$D$14),1),$B28-1)</f>
        <v>46478</v>
      </c>
      <c r="D28" s="388" t="str">
        <f aca="false">IF(LEN(S28)=0,"",LEFT(S28,LEN(S28)-3))</f>
        <v>Arribo y nacionalización — planta</v>
      </c>
      <c r="E28" s="380" t="n">
        <f aca="false">INDEX(FC_FLUJO_CAJA!$D$14:$BK$14,1,$B28)</f>
        <v>0</v>
      </c>
      <c r="F28" s="380" t="n">
        <f aca="false">INDEX(FC_FLUJO_CAJA!$D$35:$BK$35,1,$B28)</f>
        <v>16715</v>
      </c>
      <c r="G28" s="380" t="n">
        <f aca="false">INDEX(FC_FLUJO_CAJA!$D$39:$BK$39,1,$B28)</f>
        <v>0</v>
      </c>
      <c r="H28" s="380" t="n">
        <f aca="false">INDEX(FC_FLUJO_CAJA!$D$54:$BK$54,1,$B28)</f>
        <v>120643.580655172</v>
      </c>
      <c r="I28" s="380" t="n">
        <f aca="false">INDEX(FC_FLUJO_CAJA!$D$68:$BK$68,1,$B28)</f>
        <v>39580</v>
      </c>
      <c r="J28" s="380" t="n">
        <f aca="false">INDEX(FC_FLUJO_CAJA!$D$81:$BK$81,1,$B28)</f>
        <v>0</v>
      </c>
      <c r="K28" s="383" t="n">
        <f aca="false">F28+G28+H28+I28+J28</f>
        <v>176938.580655172</v>
      </c>
      <c r="L28" s="380" t="n">
        <f aca="false">INDEX(FC_FLUJO_CAJA!$D$85:$BK$85,1,$B28)</f>
        <v>-176938.580655172</v>
      </c>
      <c r="M28" s="495" t="n">
        <f aca="false">INDEX(FC_FLUJO_CAJA!$D$89:$BK$89,1,$B28)</f>
        <v>89742.0839051724</v>
      </c>
      <c r="N28" s="511" t="n">
        <f aca="false">INDEX(FC_FLUJO_CAJA!$D$92:$BK$92,1,$B28)</f>
        <v>150000</v>
      </c>
      <c r="O28" s="380" t="n">
        <f aca="false">INDEX(FC_FLUJO_CAJA!$D$93:$BK$93,1,$B28)</f>
        <v>900000</v>
      </c>
      <c r="P28" s="383" t="n">
        <f aca="false">INDEX(FC_FLUJO_CAJA!$D$94:$BK$94,1,$B28)</f>
        <v>62803.50325</v>
      </c>
      <c r="Q28" s="426" t="str">
        <f aca="false">IF(N28=0,"",IF(MAX(H28,I28,J28)&gt;=MAX(0,F28+G28-E28),IF(H28&gt;=MAX(I28,J28),"Equipos, montaje y arranque del centro de producción",IF(I28&gt;=J28,"Equipos, obra, depósitos y arranque de los PDV del piloto","Equipos y adecuación del flagship")),"Estructura corporativa, personal y operación de la red"))</f>
        <v>Equipos, montaje y arranque del centro de producción</v>
      </c>
      <c r="S28" s="512" t="str">
        <f aca="false">IF(INDEX(FC_CRONOGRAMA!$D$8:$BK$8,1,$B28)=1,"Orden de compra de equipos de PLANTA · ","")&amp;IF(INDEX(FC_CRONOGRAMA!$D$28:$BK$28,1,$B28)+INDEX(FC_CRONOGRAMA!$D$29:$BK$29,1,$B28)&gt;0,"Orden de compra de equipos de PDV · ","")&amp;IF(INDEX(FC_CRONOGRAMA!$D$9:$BK$9,1,$B28)=1,"Embarque de equipos de planta · ","")&amp;IF(INDEX(FC_CRONOGRAMA!$D$30:$BK$30,1,$B28)+INDEX(FC_CRONOGRAMA!$D$31:$BK$31,1,$B28)&gt;0,"Embarque de equipos de PDV · ","")&amp;IF(INDEX(FC_CRONOGRAMA!$D$10:$BK$10,1,$B28)=1,"Arribo y nacionalización — planta · ","")&amp;IF(INDEX(FC_CRONOGRAMA!$D$32:$BK$32,1,$B28)+INDEX(FC_CRONOGRAMA!$D$33:$BK$33,1,$B28)&gt;0,"Arribo y nacionalización — PDV · ","")&amp;IF(INDEX(FC_CRONOGRAMA!$D$11:$BK$11,1,$B28)=1,"Montaje y puesta en marcha de la planta · ","")&amp;IF(AND($B28=FC_SUPUESTOS!$C$23),"ARRANQUE DE LA PLANTA · ","")&amp;IF(INDEX(FC_CRONOGRAMA!$D$40:$BK$40,1,$B28)+INDEX(FC_CRONOGRAMA!$D$41:$BK$41,1,$B28)&gt;0,"Obra de adecuación de locales · ","")&amp;IF(INDEX(FC_CRONOGRAMA!$D$19:$BK$19,1,$B28)&gt;0,"Apertura de "&amp;TEXT(INDEX(FC_CRONOGRAMA!$D$19:$BK$19,1,$B28),"0")&amp;" PDV del piloto · ","")&amp;IF(INDEX(FC_CRONOGRAMA!$D$46:$BK$46,1,$B28)=1,"Orden de compra de equipos del flagship · ","")&amp;IF(INDEX(FC_CRONOGRAMA!$D$48:$BK$48,1,$B28)=1,"Arribo de equipos del flagship · ","")&amp;IF(INDEX(FC_CRONOGRAMA!$D$53:$BK$53,1,$B28)=1,"Obra de adecuación del flagship · ","")&amp;IF(AND(FC_SUPUESTOS!$C$12=1,$B28=FC_SUPUESTOS!$C$13),"APERTURA DEL FLAGSHIP · ","")</f>
        <v>Arribo y nacionalización — planta · </v>
      </c>
    </row>
    <row r="29" customFormat="false" ht="15" hidden="false" customHeight="true" outlineLevel="0" collapsed="false">
      <c r="B29" s="509" t="n">
        <v>8</v>
      </c>
      <c r="C29" s="510" t="n">
        <f aca="false">EDATE(DATE(YEAR(FC_SUPUESTOS!$D$14),MONTH(FC_SUPUESTOS!$D$14),1),$B29-1)</f>
        <v>46508</v>
      </c>
      <c r="D29" s="388" t="str">
        <f aca="false">IF(LEN(S29)=0,"",LEFT(S29,LEN(S29)-3))</f>
        <v>Montaje y puesta en marcha de la planta · Obra de adecuación de locales</v>
      </c>
      <c r="E29" s="380" t="n">
        <f aca="false">INDEX(FC_FLUJO_CAJA!$D$14:$BK$14,1,$B29)</f>
        <v>0</v>
      </c>
      <c r="F29" s="380" t="n">
        <f aca="false">INDEX(FC_FLUJO_CAJA!$D$35:$BK$35,1,$B29)</f>
        <v>20945.565625</v>
      </c>
      <c r="G29" s="380" t="n">
        <f aca="false">INDEX(FC_FLUJO_CAJA!$D$39:$BK$39,1,$B29)</f>
        <v>0</v>
      </c>
      <c r="H29" s="380" t="n">
        <f aca="false">INDEX(FC_FLUJO_CAJA!$D$54:$BK$54,1,$B29)</f>
        <v>55902.319</v>
      </c>
      <c r="I29" s="380" t="n">
        <f aca="false">INDEX(FC_FLUJO_CAJA!$D$68:$BK$68,1,$B29)</f>
        <v>134960</v>
      </c>
      <c r="J29" s="380" t="n">
        <f aca="false">INDEX(FC_FLUJO_CAJA!$D$81:$BK$81,1,$B29)</f>
        <v>0</v>
      </c>
      <c r="K29" s="383" t="n">
        <f aca="false">F29+G29+H29+I29+J29</f>
        <v>211807.884625</v>
      </c>
      <c r="L29" s="380" t="n">
        <f aca="false">INDEX(FC_FLUJO_CAJA!$D$85:$BK$85,1,$B29)</f>
        <v>-211807.884625</v>
      </c>
      <c r="M29" s="495" t="n">
        <f aca="false">INDEX(FC_FLUJO_CAJA!$D$89:$BK$89,1,$B29)</f>
        <v>62803.50325</v>
      </c>
      <c r="N29" s="511" t="n">
        <f aca="false">INDEX(FC_FLUJO_CAJA!$D$92:$BK$92,1,$B29)</f>
        <v>200000</v>
      </c>
      <c r="O29" s="380" t="n">
        <f aca="false">INDEX(FC_FLUJO_CAJA!$D$93:$BK$93,1,$B29)</f>
        <v>1100000</v>
      </c>
      <c r="P29" s="383" t="n">
        <f aca="false">INDEX(FC_FLUJO_CAJA!$D$94:$BK$94,1,$B29)</f>
        <v>50995.618625</v>
      </c>
      <c r="Q29" s="426" t="str">
        <f aca="false">IF(N29=0,"",IF(MAX(H29,I29,J29)&gt;=MAX(0,F29+G29-E29),IF(H29&gt;=MAX(I29,J29),"Equipos, montaje y arranque del centro de producción",IF(I29&gt;=J29,"Equipos, obra, depósitos y arranque de los PDV del piloto","Equipos y adecuación del flagship")),"Estructura corporativa, personal y operación de la red"))</f>
        <v>Equipos, obra, depósitos y arranque de los PDV del piloto</v>
      </c>
      <c r="S29" s="512" t="str">
        <f aca="false">IF(INDEX(FC_CRONOGRAMA!$D$8:$BK$8,1,$B29)=1,"Orden de compra de equipos de PLANTA · ","")&amp;IF(INDEX(FC_CRONOGRAMA!$D$28:$BK$28,1,$B29)+INDEX(FC_CRONOGRAMA!$D$29:$BK$29,1,$B29)&gt;0,"Orden de compra de equipos de PDV · ","")&amp;IF(INDEX(FC_CRONOGRAMA!$D$9:$BK$9,1,$B29)=1,"Embarque de equipos de planta · ","")&amp;IF(INDEX(FC_CRONOGRAMA!$D$30:$BK$30,1,$B29)+INDEX(FC_CRONOGRAMA!$D$31:$BK$31,1,$B29)&gt;0,"Embarque de equipos de PDV · ","")&amp;IF(INDEX(FC_CRONOGRAMA!$D$10:$BK$10,1,$B29)=1,"Arribo y nacionalización — planta · ","")&amp;IF(INDEX(FC_CRONOGRAMA!$D$32:$BK$32,1,$B29)+INDEX(FC_CRONOGRAMA!$D$33:$BK$33,1,$B29)&gt;0,"Arribo y nacionalización — PDV · ","")&amp;IF(INDEX(FC_CRONOGRAMA!$D$11:$BK$11,1,$B29)=1,"Montaje y puesta en marcha de la planta · ","")&amp;IF(AND($B29=FC_SUPUESTOS!$C$23),"ARRANQUE DE LA PLANTA · ","")&amp;IF(INDEX(FC_CRONOGRAMA!$D$40:$BK$40,1,$B29)+INDEX(FC_CRONOGRAMA!$D$41:$BK$41,1,$B29)&gt;0,"Obra de adecuación de locales · ","")&amp;IF(INDEX(FC_CRONOGRAMA!$D$19:$BK$19,1,$B29)&gt;0,"Apertura de "&amp;TEXT(INDEX(FC_CRONOGRAMA!$D$19:$BK$19,1,$B29),"0")&amp;" PDV del piloto · ","")&amp;IF(INDEX(FC_CRONOGRAMA!$D$46:$BK$46,1,$B29)=1,"Orden de compra de equipos del flagship · ","")&amp;IF(INDEX(FC_CRONOGRAMA!$D$48:$BK$48,1,$B29)=1,"Arribo de equipos del flagship · ","")&amp;IF(INDEX(FC_CRONOGRAMA!$D$53:$BK$53,1,$B29)=1,"Obra de adecuación del flagship · ","")&amp;IF(AND(FC_SUPUESTOS!$C$12=1,$B29=FC_SUPUESTOS!$C$13),"APERTURA DEL FLAGSHIP · ","")</f>
        <v>Montaje y puesta en marcha de la planta · Obra de adecuación de locales · </v>
      </c>
    </row>
    <row r="30" customFormat="false" ht="15" hidden="false" customHeight="true" outlineLevel="0" collapsed="false">
      <c r="B30" s="509" t="n">
        <v>9</v>
      </c>
      <c r="C30" s="510" t="n">
        <f aca="false">EDATE(DATE(YEAR(FC_SUPUESTOS!$D$14),MONTH(FC_SUPUESTOS!$D$14),1),$B30-1)</f>
        <v>46539</v>
      </c>
      <c r="D30" s="388" t="str">
        <f aca="false">IF(LEN(S30)=0,"",LEFT(S30,LEN(S30)-3))</f>
        <v>Montaje y puesta en marcha de la planta · Obra de adecuación de locales</v>
      </c>
      <c r="E30" s="380" t="n">
        <f aca="false">INDEX(FC_FLUJO_CAJA!$D$14:$BK$14,1,$B30)</f>
        <v>0</v>
      </c>
      <c r="F30" s="380" t="n">
        <f aca="false">INDEX(FC_FLUJO_CAJA!$D$35:$BK$35,1,$B30)</f>
        <v>35558.565625</v>
      </c>
      <c r="G30" s="380" t="n">
        <f aca="false">INDEX(FC_FLUJO_CAJA!$D$39:$BK$39,1,$B30)</f>
        <v>0</v>
      </c>
      <c r="H30" s="380" t="n">
        <f aca="false">INDEX(FC_FLUJO_CAJA!$D$54:$BK$54,1,$B30)</f>
        <v>249657.419</v>
      </c>
      <c r="I30" s="380" t="n">
        <f aca="false">INDEX(FC_FLUJO_CAJA!$D$68:$BK$68,1,$B30)</f>
        <v>142320</v>
      </c>
      <c r="J30" s="380" t="n">
        <f aca="false">INDEX(FC_FLUJO_CAJA!$D$81:$BK$81,1,$B30)</f>
        <v>0</v>
      </c>
      <c r="K30" s="383" t="n">
        <f aca="false">F30+G30+H30+I30+J30</f>
        <v>427535.984625</v>
      </c>
      <c r="L30" s="380" t="n">
        <f aca="false">INDEX(FC_FLUJO_CAJA!$D$85:$BK$85,1,$B30)</f>
        <v>-427535.984625</v>
      </c>
      <c r="M30" s="495" t="n">
        <f aca="false">INDEX(FC_FLUJO_CAJA!$D$89:$BK$89,1,$B30)</f>
        <v>50995.618625</v>
      </c>
      <c r="N30" s="511" t="n">
        <f aca="false">INDEX(FC_FLUJO_CAJA!$D$92:$BK$92,1,$B30)</f>
        <v>450000</v>
      </c>
      <c r="O30" s="380" t="n">
        <f aca="false">INDEX(FC_FLUJO_CAJA!$D$93:$BK$93,1,$B30)</f>
        <v>1550000</v>
      </c>
      <c r="P30" s="383" t="n">
        <f aca="false">INDEX(FC_FLUJO_CAJA!$D$94:$BK$94,1,$B30)</f>
        <v>73459.6340000001</v>
      </c>
      <c r="Q30" s="426" t="str">
        <f aca="false">IF(N30=0,"",IF(MAX(H30,I30,J30)&gt;=MAX(0,F30+G30-E30),IF(H30&gt;=MAX(I30,J30),"Equipos, montaje y arranque del centro de producción",IF(I30&gt;=J30,"Equipos, obra, depósitos y arranque de los PDV del piloto","Equipos y adecuación del flagship")),"Estructura corporativa, personal y operación de la red"))</f>
        <v>Equipos, montaje y arranque del centro de producción</v>
      </c>
      <c r="S30" s="512" t="str">
        <f aca="false">IF(INDEX(FC_CRONOGRAMA!$D$8:$BK$8,1,$B30)=1,"Orden de compra de equipos de PLANTA · ","")&amp;IF(INDEX(FC_CRONOGRAMA!$D$28:$BK$28,1,$B30)+INDEX(FC_CRONOGRAMA!$D$29:$BK$29,1,$B30)&gt;0,"Orden de compra de equipos de PDV · ","")&amp;IF(INDEX(FC_CRONOGRAMA!$D$9:$BK$9,1,$B30)=1,"Embarque de equipos de planta · ","")&amp;IF(INDEX(FC_CRONOGRAMA!$D$30:$BK$30,1,$B30)+INDEX(FC_CRONOGRAMA!$D$31:$BK$31,1,$B30)&gt;0,"Embarque de equipos de PDV · ","")&amp;IF(INDEX(FC_CRONOGRAMA!$D$10:$BK$10,1,$B30)=1,"Arribo y nacionalización — planta · ","")&amp;IF(INDEX(FC_CRONOGRAMA!$D$32:$BK$32,1,$B30)+INDEX(FC_CRONOGRAMA!$D$33:$BK$33,1,$B30)&gt;0,"Arribo y nacionalización — PDV · ","")&amp;IF(INDEX(FC_CRONOGRAMA!$D$11:$BK$11,1,$B30)=1,"Montaje y puesta en marcha de la planta · ","")&amp;IF(AND($B30=FC_SUPUESTOS!$C$23),"ARRANQUE DE LA PLANTA · ","")&amp;IF(INDEX(FC_CRONOGRAMA!$D$40:$BK$40,1,$B30)+INDEX(FC_CRONOGRAMA!$D$41:$BK$41,1,$B30)&gt;0,"Obra de adecuación de locales · ","")&amp;IF(INDEX(FC_CRONOGRAMA!$D$19:$BK$19,1,$B30)&gt;0,"Apertura de "&amp;TEXT(INDEX(FC_CRONOGRAMA!$D$19:$BK$19,1,$B30),"0")&amp;" PDV del piloto · ","")&amp;IF(INDEX(FC_CRONOGRAMA!$D$46:$BK$46,1,$B30)=1,"Orden de compra de equipos del flagship · ","")&amp;IF(INDEX(FC_CRONOGRAMA!$D$48:$BK$48,1,$B30)=1,"Arribo de equipos del flagship · ","")&amp;IF(INDEX(FC_CRONOGRAMA!$D$53:$BK$53,1,$B30)=1,"Obra de adecuación del flagship · ","")&amp;IF(AND(FC_SUPUESTOS!$C$12=1,$B30=FC_SUPUESTOS!$C$13),"APERTURA DEL FLAGSHIP · ","")</f>
        <v>Montaje y puesta en marcha de la planta · Obra de adecuación de locales · </v>
      </c>
    </row>
    <row r="31" customFormat="false" ht="15" hidden="false" customHeight="true" outlineLevel="0" collapsed="false">
      <c r="B31" s="509" t="n">
        <v>10</v>
      </c>
      <c r="C31" s="510" t="n">
        <f aca="false">EDATE(DATE(YEAR(FC_SUPUESTOS!$D$14),MONTH(FC_SUPUESTOS!$D$14),1),$B31-1)</f>
        <v>46569</v>
      </c>
      <c r="D31" s="388" t="str">
        <f aca="false">IF(LEN(S31)=0,"",LEFT(S31,LEN(S31)-3))</f>
        <v>ARRANQUE DE LA PLANTA · Obra de adecuación de locales · Apertura de 2 PDV del piloto</v>
      </c>
      <c r="E31" s="380" t="n">
        <f aca="false">INDEX(FC_FLUJO_CAJA!$D$14:$BK$14,1,$B31)</f>
        <v>70927.4208346856</v>
      </c>
      <c r="F31" s="380" t="n">
        <f aca="false">INDEX(FC_FLUJO_CAJA!$D$35:$BK$35,1,$B31)</f>
        <v>83834.570166575</v>
      </c>
      <c r="G31" s="380" t="n">
        <f aca="false">INDEX(FC_FLUJO_CAJA!$D$39:$BK$39,1,$B31)</f>
        <v>0</v>
      </c>
      <c r="H31" s="380" t="n">
        <f aca="false">INDEX(FC_FLUJO_CAJA!$D$54:$BK$54,1,$B31)</f>
        <v>0</v>
      </c>
      <c r="I31" s="380" t="n">
        <f aca="false">INDEX(FC_FLUJO_CAJA!$D$68:$BK$68,1,$B31)</f>
        <v>151785</v>
      </c>
      <c r="J31" s="380" t="n">
        <f aca="false">INDEX(FC_FLUJO_CAJA!$D$81:$BK$81,1,$B31)</f>
        <v>0</v>
      </c>
      <c r="K31" s="383" t="n">
        <f aca="false">F31+G31+H31+I31+J31</f>
        <v>235619.570166575</v>
      </c>
      <c r="L31" s="380" t="n">
        <f aca="false">INDEX(FC_FLUJO_CAJA!$D$85:$BK$85,1,$B31)</f>
        <v>-164692.149331889</v>
      </c>
      <c r="M31" s="495" t="n">
        <f aca="false">INDEX(FC_FLUJO_CAJA!$D$89:$BK$89,1,$B31)</f>
        <v>73459.6340000001</v>
      </c>
      <c r="N31" s="511" t="n">
        <f aca="false">INDEX(FC_FLUJO_CAJA!$D$92:$BK$92,1,$B31)</f>
        <v>150000</v>
      </c>
      <c r="O31" s="380" t="n">
        <f aca="false">INDEX(FC_FLUJO_CAJA!$D$93:$BK$93,1,$B31)</f>
        <v>1700000</v>
      </c>
      <c r="P31" s="383" t="n">
        <f aca="false">INDEX(FC_FLUJO_CAJA!$D$94:$BK$94,1,$B31)</f>
        <v>58767.4846681107</v>
      </c>
      <c r="Q31" s="426" t="str">
        <f aca="false">IF(N31=0,"",IF(MAX(H31,I31,J31)&gt;=MAX(0,F31+G31-E31),IF(H31&gt;=MAX(I31,J31),"Equipos, montaje y arranque del centro de producción",IF(I31&gt;=J31,"Equipos, obra, depósitos y arranque de los PDV del piloto","Equipos y adecuación del flagship")),"Estructura corporativa, personal y operación de la red"))</f>
        <v>Equipos, obra, depósitos y arranque de los PDV del piloto</v>
      </c>
      <c r="S31" s="512" t="str">
        <f aca="false">IF(INDEX(FC_CRONOGRAMA!$D$8:$BK$8,1,$B31)=1,"Orden de compra de equipos de PLANTA · ","")&amp;IF(INDEX(FC_CRONOGRAMA!$D$28:$BK$28,1,$B31)+INDEX(FC_CRONOGRAMA!$D$29:$BK$29,1,$B31)&gt;0,"Orden de compra de equipos de PDV · ","")&amp;IF(INDEX(FC_CRONOGRAMA!$D$9:$BK$9,1,$B31)=1,"Embarque de equipos de planta · ","")&amp;IF(INDEX(FC_CRONOGRAMA!$D$30:$BK$30,1,$B31)+INDEX(FC_CRONOGRAMA!$D$31:$BK$31,1,$B31)&gt;0,"Embarque de equipos de PDV · ","")&amp;IF(INDEX(FC_CRONOGRAMA!$D$10:$BK$10,1,$B31)=1,"Arribo y nacionalización — planta · ","")&amp;IF(INDEX(FC_CRONOGRAMA!$D$32:$BK$32,1,$B31)+INDEX(FC_CRONOGRAMA!$D$33:$BK$33,1,$B31)&gt;0,"Arribo y nacionalización — PDV · ","")&amp;IF(INDEX(FC_CRONOGRAMA!$D$11:$BK$11,1,$B31)=1,"Montaje y puesta en marcha de la planta · ","")&amp;IF(AND($B31=FC_SUPUESTOS!$C$23),"ARRANQUE DE LA PLANTA · ","")&amp;IF(INDEX(FC_CRONOGRAMA!$D$40:$BK$40,1,$B31)+INDEX(FC_CRONOGRAMA!$D$41:$BK$41,1,$B31)&gt;0,"Obra de adecuación de locales · ","")&amp;IF(INDEX(FC_CRONOGRAMA!$D$19:$BK$19,1,$B31)&gt;0,"Apertura de "&amp;TEXT(INDEX(FC_CRONOGRAMA!$D$19:$BK$19,1,$B31),"0")&amp;" PDV del piloto · ","")&amp;IF(INDEX(FC_CRONOGRAMA!$D$46:$BK$46,1,$B31)=1,"Orden de compra de equipos del flagship · ","")&amp;IF(INDEX(FC_CRONOGRAMA!$D$48:$BK$48,1,$B31)=1,"Arribo de equipos del flagship · ","")&amp;IF(INDEX(FC_CRONOGRAMA!$D$53:$BK$53,1,$B31)=1,"Obra de adecuación del flagship · ","")&amp;IF(AND(FC_SUPUESTOS!$C$12=1,$B31=FC_SUPUESTOS!$C$13),"APERTURA DEL FLAGSHIP · ","")</f>
        <v>ARRANQUE DE LA PLANTA · Obra de adecuación de locales · Apertura de 2 PDV del piloto · </v>
      </c>
    </row>
    <row r="32" customFormat="false" ht="15" hidden="false" customHeight="true" outlineLevel="0" collapsed="false">
      <c r="B32" s="509" t="n">
        <v>11</v>
      </c>
      <c r="C32" s="510" t="n">
        <f aca="false">EDATE(DATE(YEAR(FC_SUPUESTOS!$D$14),MONTH(FC_SUPUESTOS!$D$14),1),$B32-1)</f>
        <v>46600</v>
      </c>
      <c r="D32" s="388" t="str">
        <f aca="false">IF(LEN(S32)=0,"",LEFT(S32,LEN(S32)-3))</f>
        <v>Obra de adecuación de locales · Apertura de 2 PDV del piloto</v>
      </c>
      <c r="E32" s="380" t="n">
        <f aca="false">INDEX(FC_FLUJO_CAJA!$D$14:$BK$14,1,$B32)</f>
        <v>162119.81905071</v>
      </c>
      <c r="F32" s="380" t="n">
        <f aca="false">INDEX(FC_FLUJO_CAJA!$D$35:$BK$35,1,$B32)</f>
        <v>154864.944290054</v>
      </c>
      <c r="G32" s="380" t="n">
        <f aca="false">INDEX(FC_FLUJO_CAJA!$D$39:$BK$39,1,$B32)</f>
        <v>0</v>
      </c>
      <c r="H32" s="380" t="n">
        <f aca="false">INDEX(FC_FLUJO_CAJA!$D$54:$BK$54,1,$B32)</f>
        <v>0</v>
      </c>
      <c r="I32" s="380" t="n">
        <f aca="false">INDEX(FC_FLUJO_CAJA!$D$68:$BK$68,1,$B32)</f>
        <v>180115</v>
      </c>
      <c r="J32" s="380" t="n">
        <f aca="false">INDEX(FC_FLUJO_CAJA!$D$81:$BK$81,1,$B32)</f>
        <v>0</v>
      </c>
      <c r="K32" s="383" t="n">
        <f aca="false">F32+G32+H32+I32+J32</f>
        <v>334979.944290054</v>
      </c>
      <c r="L32" s="380" t="n">
        <f aca="false">INDEX(FC_FLUJO_CAJA!$D$85:$BK$85,1,$B32)</f>
        <v>-172860.125239344</v>
      </c>
      <c r="M32" s="495" t="n">
        <f aca="false">INDEX(FC_FLUJO_CAJA!$D$89:$BK$89,1,$B32)</f>
        <v>58767.4846681107</v>
      </c>
      <c r="N32" s="511" t="n">
        <f aca="false">INDEX(FC_FLUJO_CAJA!$D$92:$BK$92,1,$B32)</f>
        <v>200000</v>
      </c>
      <c r="O32" s="380" t="n">
        <f aca="false">INDEX(FC_FLUJO_CAJA!$D$93:$BK$93,1,$B32)</f>
        <v>1900000</v>
      </c>
      <c r="P32" s="383" t="n">
        <f aca="false">INDEX(FC_FLUJO_CAJA!$D$94:$BK$94,1,$B32)</f>
        <v>85907.3594287671</v>
      </c>
      <c r="Q32" s="426" t="str">
        <f aca="false">IF(N32=0,"",IF(MAX(H32,I32,J32)&gt;=MAX(0,F32+G32-E32),IF(H32&gt;=MAX(I32,J32),"Equipos, montaje y arranque del centro de producción",IF(I32&gt;=J32,"Equipos, obra, depósitos y arranque de los PDV del piloto","Equipos y adecuación del flagship")),"Estructura corporativa, personal y operación de la red"))</f>
        <v>Equipos, obra, depósitos y arranque de los PDV del piloto</v>
      </c>
      <c r="S32" s="512" t="str">
        <f aca="false">IF(INDEX(FC_CRONOGRAMA!$D$8:$BK$8,1,$B32)=1,"Orden de compra de equipos de PLANTA · ","")&amp;IF(INDEX(FC_CRONOGRAMA!$D$28:$BK$28,1,$B32)+INDEX(FC_CRONOGRAMA!$D$29:$BK$29,1,$B32)&gt;0,"Orden de compra de equipos de PDV · ","")&amp;IF(INDEX(FC_CRONOGRAMA!$D$9:$BK$9,1,$B32)=1,"Embarque de equipos de planta · ","")&amp;IF(INDEX(FC_CRONOGRAMA!$D$30:$BK$30,1,$B32)+INDEX(FC_CRONOGRAMA!$D$31:$BK$31,1,$B32)&gt;0,"Embarque de equipos de PDV · ","")&amp;IF(INDEX(FC_CRONOGRAMA!$D$10:$BK$10,1,$B32)=1,"Arribo y nacionalización — planta · ","")&amp;IF(INDEX(FC_CRONOGRAMA!$D$32:$BK$32,1,$B32)+INDEX(FC_CRONOGRAMA!$D$33:$BK$33,1,$B32)&gt;0,"Arribo y nacionalización — PDV · ","")&amp;IF(INDEX(FC_CRONOGRAMA!$D$11:$BK$11,1,$B32)=1,"Montaje y puesta en marcha de la planta · ","")&amp;IF(AND($B32=FC_SUPUESTOS!$C$23),"ARRANQUE DE LA PLANTA · ","")&amp;IF(INDEX(FC_CRONOGRAMA!$D$40:$BK$40,1,$B32)+INDEX(FC_CRONOGRAMA!$D$41:$BK$41,1,$B32)&gt;0,"Obra de adecuación de locales · ","")&amp;IF(INDEX(FC_CRONOGRAMA!$D$19:$BK$19,1,$B32)&gt;0,"Apertura de "&amp;TEXT(INDEX(FC_CRONOGRAMA!$D$19:$BK$19,1,$B32),"0")&amp;" PDV del piloto · ","")&amp;IF(INDEX(FC_CRONOGRAMA!$D$46:$BK$46,1,$B32)=1,"Orden de compra de equipos del flagship · ","")&amp;IF(INDEX(FC_CRONOGRAMA!$D$48:$BK$48,1,$B32)=1,"Arribo de equipos del flagship · ","")&amp;IF(INDEX(FC_CRONOGRAMA!$D$53:$BK$53,1,$B32)=1,"Obra de adecuación del flagship · ","")&amp;IF(AND(FC_SUPUESTOS!$C$12=1,$B32=FC_SUPUESTOS!$C$13),"APERTURA DEL FLAGSHIP · ","")</f>
        <v>Obra de adecuación de locales · Apertura de 2 PDV del piloto · </v>
      </c>
    </row>
    <row r="33" customFormat="false" ht="15" hidden="false" customHeight="true" outlineLevel="0" collapsed="false">
      <c r="B33" s="509" t="n">
        <v>12</v>
      </c>
      <c r="C33" s="510" t="n">
        <f aca="false">EDATE(DATE(YEAR(FC_SUPUESTOS!$D$14),MONTH(FC_SUPUESTOS!$D$14),1),$B33-1)</f>
        <v>46631</v>
      </c>
      <c r="D33" s="388" t="str">
        <f aca="false">IF(LEN(S33)=0,"",LEFT(S33,LEN(S33)-3))</f>
        <v>Obra de adecuación de locales · Apertura de 2 PDV del piloto</v>
      </c>
      <c r="E33" s="380" t="n">
        <f aca="false">INDEX(FC_FLUJO_CAJA!$D$14:$BK$14,1,$B33)</f>
        <v>269596.574091024</v>
      </c>
      <c r="F33" s="380" t="n">
        <f aca="false">INDEX(FC_FLUJO_CAJA!$D$35:$BK$35,1,$B33)</f>
        <v>244298.848145138</v>
      </c>
      <c r="G33" s="380" t="n">
        <f aca="false">INDEX(FC_FLUJO_CAJA!$D$39:$BK$39,1,$B33)</f>
        <v>0</v>
      </c>
      <c r="H33" s="380" t="n">
        <f aca="false">INDEX(FC_FLUJO_CAJA!$D$54:$BK$54,1,$B33)</f>
        <v>0</v>
      </c>
      <c r="I33" s="380" t="n">
        <f aca="false">INDEX(FC_FLUJO_CAJA!$D$68:$BK$68,1,$B33)</f>
        <v>159060</v>
      </c>
      <c r="J33" s="380" t="n">
        <f aca="false">INDEX(FC_FLUJO_CAJA!$D$81:$BK$81,1,$B33)</f>
        <v>0</v>
      </c>
      <c r="K33" s="383" t="n">
        <f aca="false">F33+G33+H33+I33+J33</f>
        <v>403358.848145138</v>
      </c>
      <c r="L33" s="380" t="n">
        <f aca="false">INDEX(FC_FLUJO_CAJA!$D$85:$BK$85,1,$B33)</f>
        <v>-133762.274054113</v>
      </c>
      <c r="M33" s="495" t="n">
        <f aca="false">INDEX(FC_FLUJO_CAJA!$D$89:$BK$89,1,$B33)</f>
        <v>85907.3594287671</v>
      </c>
      <c r="N33" s="511" t="n">
        <f aca="false">INDEX(FC_FLUJO_CAJA!$D$92:$BK$92,1,$B33)</f>
        <v>150000</v>
      </c>
      <c r="O33" s="380" t="n">
        <f aca="false">INDEX(FC_FLUJO_CAJA!$D$93:$BK$93,1,$B33)</f>
        <v>2050000</v>
      </c>
      <c r="P33" s="383" t="n">
        <f aca="false">INDEX(FC_FLUJO_CAJA!$D$94:$BK$94,1,$B33)</f>
        <v>102145.085374654</v>
      </c>
      <c r="Q33" s="426" t="str">
        <f aca="false">IF(N33=0,"",IF(MAX(H33,I33,J33)&gt;=MAX(0,F33+G33-E33),IF(H33&gt;=MAX(I33,J33),"Equipos, montaje y arranque del centro de producción",IF(I33&gt;=J33,"Equipos, obra, depósitos y arranque de los PDV del piloto","Equipos y adecuación del flagship")),"Estructura corporativa, personal y operación de la red"))</f>
        <v>Equipos, obra, depósitos y arranque de los PDV del piloto</v>
      </c>
      <c r="S33" s="512" t="str">
        <f aca="false">IF(INDEX(FC_CRONOGRAMA!$D$8:$BK$8,1,$B33)=1,"Orden de compra de equipos de PLANTA · ","")&amp;IF(INDEX(FC_CRONOGRAMA!$D$28:$BK$28,1,$B33)+INDEX(FC_CRONOGRAMA!$D$29:$BK$29,1,$B33)&gt;0,"Orden de compra de equipos de PDV · ","")&amp;IF(INDEX(FC_CRONOGRAMA!$D$9:$BK$9,1,$B33)=1,"Embarque de equipos de planta · ","")&amp;IF(INDEX(FC_CRONOGRAMA!$D$30:$BK$30,1,$B33)+INDEX(FC_CRONOGRAMA!$D$31:$BK$31,1,$B33)&gt;0,"Embarque de equipos de PDV · ","")&amp;IF(INDEX(FC_CRONOGRAMA!$D$10:$BK$10,1,$B33)=1,"Arribo y nacionalización — planta · ","")&amp;IF(INDEX(FC_CRONOGRAMA!$D$32:$BK$32,1,$B33)+INDEX(FC_CRONOGRAMA!$D$33:$BK$33,1,$B33)&gt;0,"Arribo y nacionalización — PDV · ","")&amp;IF(INDEX(FC_CRONOGRAMA!$D$11:$BK$11,1,$B33)=1,"Montaje y puesta en marcha de la planta · ","")&amp;IF(AND($B33=FC_SUPUESTOS!$C$23),"ARRANQUE DE LA PLANTA · ","")&amp;IF(INDEX(FC_CRONOGRAMA!$D$40:$BK$40,1,$B33)+INDEX(FC_CRONOGRAMA!$D$41:$BK$41,1,$B33)&gt;0,"Obra de adecuación de locales · ","")&amp;IF(INDEX(FC_CRONOGRAMA!$D$19:$BK$19,1,$B33)&gt;0,"Apertura de "&amp;TEXT(INDEX(FC_CRONOGRAMA!$D$19:$BK$19,1,$B33),"0")&amp;" PDV del piloto · ","")&amp;IF(INDEX(FC_CRONOGRAMA!$D$46:$BK$46,1,$B33)=1,"Orden de compra de equipos del flagship · ","")&amp;IF(INDEX(FC_CRONOGRAMA!$D$48:$BK$48,1,$B33)=1,"Arribo de equipos del flagship · ","")&amp;IF(INDEX(FC_CRONOGRAMA!$D$53:$BK$53,1,$B33)=1,"Obra de adecuación del flagship · ","")&amp;IF(AND(FC_SUPUESTOS!$C$12=1,$B33=FC_SUPUESTOS!$C$13),"APERTURA DEL FLAGSHIP · ","")</f>
        <v>Obra de adecuación de locales · Apertura de 2 PDV del piloto · </v>
      </c>
    </row>
    <row r="34" customFormat="false" ht="15" hidden="false" customHeight="true" outlineLevel="0" collapsed="false">
      <c r="B34" s="509" t="n">
        <v>13</v>
      </c>
      <c r="C34" s="510" t="n">
        <f aca="false">EDATE(DATE(YEAR(FC_SUPUESTOS!$D$14),MONTH(FC_SUPUESTOS!$D$14),1),$B34-1)</f>
        <v>46661</v>
      </c>
      <c r="D34" s="388" t="str">
        <f aca="false">IF(LEN(S34)=0,"",LEFT(S34,LEN(S34)-3))</f>
        <v>Obra de adecuación de locales · Apertura de 2 PDV del piloto</v>
      </c>
      <c r="E34" s="380" t="n">
        <f aca="false">INDEX(FC_FLUJO_CAJA!$D$14:$BK$14,1,$B34)</f>
        <v>388798.066044828</v>
      </c>
      <c r="F34" s="380" t="n">
        <f aca="false">INDEX(FC_FLUJO_CAJA!$D$35:$BK$35,1,$B34)</f>
        <v>343826.204505777</v>
      </c>
      <c r="G34" s="380" t="n">
        <f aca="false">INDEX(FC_FLUJO_CAJA!$D$39:$BK$39,1,$B34)</f>
        <v>0</v>
      </c>
      <c r="H34" s="380" t="n">
        <f aca="false">INDEX(FC_FLUJO_CAJA!$D$54:$BK$54,1,$B34)</f>
        <v>0</v>
      </c>
      <c r="I34" s="380" t="n">
        <f aca="false">INDEX(FC_FLUJO_CAJA!$D$68:$BK$68,1,$B34)</f>
        <v>89540</v>
      </c>
      <c r="J34" s="380" t="n">
        <f aca="false">INDEX(FC_FLUJO_CAJA!$D$81:$BK$81,1,$B34)</f>
        <v>0</v>
      </c>
      <c r="K34" s="383" t="n">
        <f aca="false">F34+G34+H34+I34+J34</f>
        <v>433366.204505777</v>
      </c>
      <c r="L34" s="380" t="n">
        <f aca="false">INDEX(FC_FLUJO_CAJA!$D$85:$BK$85,1,$B34)</f>
        <v>-44568.1384609498</v>
      </c>
      <c r="M34" s="495" t="n">
        <f aca="false">INDEX(FC_FLUJO_CAJA!$D$89:$BK$89,1,$B34)</f>
        <v>102145.085374654</v>
      </c>
      <c r="N34" s="511" t="n">
        <f aca="false">INDEX(FC_FLUJO_CAJA!$D$92:$BK$92,1,$B34)</f>
        <v>50000</v>
      </c>
      <c r="O34" s="380" t="n">
        <f aca="false">INDEX(FC_FLUJO_CAJA!$D$93:$BK$93,1,$B34)</f>
        <v>2100000</v>
      </c>
      <c r="P34" s="383" t="n">
        <f aca="false">INDEX(FC_FLUJO_CAJA!$D$94:$BK$94,1,$B34)</f>
        <v>107576.946913704</v>
      </c>
      <c r="Q34" s="426" t="str">
        <f aca="false">IF(N34=0,"",IF(MAX(H34,I34,J34)&gt;=MAX(0,F34+G34-E34),IF(H34&gt;=MAX(I34,J34),"Equipos, montaje y arranque del centro de producción",IF(I34&gt;=J34,"Equipos, obra, depósitos y arranque de los PDV del piloto","Equipos y adecuación del flagship")),"Estructura corporativa, personal y operación de la red"))</f>
        <v>Equipos, obra, depósitos y arranque de los PDV del piloto</v>
      </c>
      <c r="S34" s="512" t="str">
        <f aca="false">IF(INDEX(FC_CRONOGRAMA!$D$8:$BK$8,1,$B34)=1,"Orden de compra de equipos de PLANTA · ","")&amp;IF(INDEX(FC_CRONOGRAMA!$D$28:$BK$28,1,$B34)+INDEX(FC_CRONOGRAMA!$D$29:$BK$29,1,$B34)&gt;0,"Orden de compra de equipos de PDV · ","")&amp;IF(INDEX(FC_CRONOGRAMA!$D$9:$BK$9,1,$B34)=1,"Embarque de equipos de planta · ","")&amp;IF(INDEX(FC_CRONOGRAMA!$D$30:$BK$30,1,$B34)+INDEX(FC_CRONOGRAMA!$D$31:$BK$31,1,$B34)&gt;0,"Embarque de equipos de PDV · ","")&amp;IF(INDEX(FC_CRONOGRAMA!$D$10:$BK$10,1,$B34)=1,"Arribo y nacionalización — planta · ","")&amp;IF(INDEX(FC_CRONOGRAMA!$D$32:$BK$32,1,$B34)+INDEX(FC_CRONOGRAMA!$D$33:$BK$33,1,$B34)&gt;0,"Arribo y nacionalización — PDV · ","")&amp;IF(INDEX(FC_CRONOGRAMA!$D$11:$BK$11,1,$B34)=1,"Montaje y puesta en marcha de la planta · ","")&amp;IF(AND($B34=FC_SUPUESTOS!$C$23),"ARRANQUE DE LA PLANTA · ","")&amp;IF(INDEX(FC_CRONOGRAMA!$D$40:$BK$40,1,$B34)+INDEX(FC_CRONOGRAMA!$D$41:$BK$41,1,$B34)&gt;0,"Obra de adecuación de locales · ","")&amp;IF(INDEX(FC_CRONOGRAMA!$D$19:$BK$19,1,$B34)&gt;0,"Apertura de "&amp;TEXT(INDEX(FC_CRONOGRAMA!$D$19:$BK$19,1,$B34),"0")&amp;" PDV del piloto · ","")&amp;IF(INDEX(FC_CRONOGRAMA!$D$46:$BK$46,1,$B34)=1,"Orden de compra de equipos del flagship · ","")&amp;IF(INDEX(FC_CRONOGRAMA!$D$48:$BK$48,1,$B34)=1,"Arribo de equipos del flagship · ","")&amp;IF(INDEX(FC_CRONOGRAMA!$D$53:$BK$53,1,$B34)=1,"Obra de adecuación del flagship · ","")&amp;IF(AND(FC_SUPUESTOS!$C$12=1,$B34=FC_SUPUESTOS!$C$13),"APERTURA DEL FLAGSHIP · ","")</f>
        <v>Obra de adecuación de locales · Apertura de 2 PDV del piloto · </v>
      </c>
    </row>
    <row r="35" customFormat="false" ht="15" hidden="false" customHeight="true" outlineLevel="0" collapsed="false">
      <c r="B35" s="509" t="n">
        <v>14</v>
      </c>
      <c r="C35" s="510" t="n">
        <f aca="false">EDATE(DATE(YEAR(FC_SUPUESTOS!$D$14),MONTH(FC_SUPUESTOS!$D$14),1),$B35-1)</f>
        <v>46692</v>
      </c>
      <c r="D35" s="388" t="str">
        <f aca="false">IF(LEN(S35)=0,"",LEFT(S35,LEN(S35)-3))</f>
        <v>Apertura de 2 PDV del piloto</v>
      </c>
      <c r="E35" s="380" t="n">
        <f aca="false">INDEX(FC_FLUJO_CAJA!$D$14:$BK$14,1,$B35)</f>
        <v>521678.417731035</v>
      </c>
      <c r="F35" s="380" t="n">
        <f aca="false">INDEX(FC_FLUJO_CAJA!$D$35:$BK$35,1,$B35)</f>
        <v>445863.676876113</v>
      </c>
      <c r="G35" s="380" t="n">
        <f aca="false">INDEX(FC_FLUJO_CAJA!$D$39:$BK$39,1,$B35)</f>
        <v>0</v>
      </c>
      <c r="H35" s="380" t="n">
        <f aca="false">INDEX(FC_FLUJO_CAJA!$D$54:$BK$54,1,$B35)</f>
        <v>0</v>
      </c>
      <c r="I35" s="380" t="n">
        <f aca="false">INDEX(FC_FLUJO_CAJA!$D$68:$BK$68,1,$B35)</f>
        <v>0</v>
      </c>
      <c r="J35" s="380" t="n">
        <f aca="false">INDEX(FC_FLUJO_CAJA!$D$81:$BK$81,1,$B35)</f>
        <v>0</v>
      </c>
      <c r="K35" s="383" t="n">
        <f aca="false">F35+G35+H35+I35+J35</f>
        <v>445863.676876113</v>
      </c>
      <c r="L35" s="380" t="n">
        <f aca="false">INDEX(FC_FLUJO_CAJA!$D$85:$BK$85,1,$B35)</f>
        <v>75814.7408549211</v>
      </c>
      <c r="M35" s="495" t="n">
        <f aca="false">INDEX(FC_FLUJO_CAJA!$D$89:$BK$89,1,$B35)</f>
        <v>107576.946913704</v>
      </c>
      <c r="N35" s="511" t="n">
        <f aca="false">INDEX(FC_FLUJO_CAJA!$D$92:$BK$92,1,$B35)</f>
        <v>0</v>
      </c>
      <c r="O35" s="380" t="n">
        <f aca="false">INDEX(FC_FLUJO_CAJA!$D$93:$BK$93,1,$B35)</f>
        <v>2100000</v>
      </c>
      <c r="P35" s="383" t="n">
        <f aca="false">INDEX(FC_FLUJO_CAJA!$D$94:$BK$94,1,$B35)</f>
        <v>183391.687768625</v>
      </c>
      <c r="Q35" s="426" t="str">
        <f aca="false">IF(N35=0,"",IF(MAX(H35,I35,J35)&gt;=MAX(0,F35+G35-E35),IF(H35&gt;=MAX(I35,J35),"Equipos, montaje y arranque del centro de producción",IF(I35&gt;=J35,"Equipos, obra, depósitos y arranque de los PDV del piloto","Equipos y adecuación del flagship")),"Estructura corporativa, personal y operación de la red"))</f>
        <v/>
      </c>
      <c r="S35" s="512" t="str">
        <f aca="false">IF(INDEX(FC_CRONOGRAMA!$D$8:$BK$8,1,$B35)=1,"Orden de compra de equipos de PLANTA · ","")&amp;IF(INDEX(FC_CRONOGRAMA!$D$28:$BK$28,1,$B35)+INDEX(FC_CRONOGRAMA!$D$29:$BK$29,1,$B35)&gt;0,"Orden de compra de equipos de PDV · ","")&amp;IF(INDEX(FC_CRONOGRAMA!$D$9:$BK$9,1,$B35)=1,"Embarque de equipos de planta · ","")&amp;IF(INDEX(FC_CRONOGRAMA!$D$30:$BK$30,1,$B35)+INDEX(FC_CRONOGRAMA!$D$31:$BK$31,1,$B35)&gt;0,"Embarque de equipos de PDV · ","")&amp;IF(INDEX(FC_CRONOGRAMA!$D$10:$BK$10,1,$B35)=1,"Arribo y nacionalización — planta · ","")&amp;IF(INDEX(FC_CRONOGRAMA!$D$32:$BK$32,1,$B35)+INDEX(FC_CRONOGRAMA!$D$33:$BK$33,1,$B35)&gt;0,"Arribo y nacionalización — PDV · ","")&amp;IF(INDEX(FC_CRONOGRAMA!$D$11:$BK$11,1,$B35)=1,"Montaje y puesta en marcha de la planta · ","")&amp;IF(AND($B35=FC_SUPUESTOS!$C$23),"ARRANQUE DE LA PLANTA · ","")&amp;IF(INDEX(FC_CRONOGRAMA!$D$40:$BK$40,1,$B35)+INDEX(FC_CRONOGRAMA!$D$41:$BK$41,1,$B35)&gt;0,"Obra de adecuación de locales · ","")&amp;IF(INDEX(FC_CRONOGRAMA!$D$19:$BK$19,1,$B35)&gt;0,"Apertura de "&amp;TEXT(INDEX(FC_CRONOGRAMA!$D$19:$BK$19,1,$B35),"0")&amp;" PDV del piloto · ","")&amp;IF(INDEX(FC_CRONOGRAMA!$D$46:$BK$46,1,$B35)=1,"Orden de compra de equipos del flagship · ","")&amp;IF(INDEX(FC_CRONOGRAMA!$D$48:$BK$48,1,$B35)=1,"Arribo de equipos del flagship · ","")&amp;IF(INDEX(FC_CRONOGRAMA!$D$53:$BK$53,1,$B35)=1,"Obra de adecuación del flagship · ","")&amp;IF(AND(FC_SUPUESTOS!$C$12=1,$B35=FC_SUPUESTOS!$C$13),"APERTURA DEL FLAGSHIP · ","")</f>
        <v>Apertura de 2 PDV del piloto · </v>
      </c>
    </row>
    <row r="36" customFormat="false" ht="15" hidden="false" customHeight="true" outlineLevel="0" collapsed="false">
      <c r="B36" s="509" t="n">
        <v>15</v>
      </c>
      <c r="C36" s="510" t="n">
        <f aca="false">EDATE(DATE(YEAR(FC_SUPUESTOS!$D$14),MONTH(FC_SUPUESTOS!$D$14),1),$B36-1)</f>
        <v>46722</v>
      </c>
      <c r="D36" s="388" t="str">
        <f aca="false">IF(LEN(S36)=0,"",LEFT(S36,LEN(S36)-3))</f>
        <v/>
      </c>
      <c r="E36" s="380" t="n">
        <f aca="false">INDEX(FC_FLUJO_CAJA!$D$14:$BK$14,1,$B36)</f>
        <v>567835.522462995</v>
      </c>
      <c r="F36" s="380" t="n">
        <f aca="false">INDEX(FC_FLUJO_CAJA!$D$35:$BK$35,1,$B36)</f>
        <v>493948.817409201</v>
      </c>
      <c r="G36" s="380" t="n">
        <f aca="false">INDEX(FC_FLUJO_CAJA!$D$39:$BK$39,1,$B36)</f>
        <v>0</v>
      </c>
      <c r="H36" s="380" t="n">
        <f aca="false">INDEX(FC_FLUJO_CAJA!$D$54:$BK$54,1,$B36)</f>
        <v>0</v>
      </c>
      <c r="I36" s="380" t="n">
        <f aca="false">INDEX(FC_FLUJO_CAJA!$D$68:$BK$68,1,$B36)</f>
        <v>0</v>
      </c>
      <c r="J36" s="380" t="n">
        <f aca="false">INDEX(FC_FLUJO_CAJA!$D$81:$BK$81,1,$B36)</f>
        <v>0</v>
      </c>
      <c r="K36" s="383" t="n">
        <f aca="false">F36+G36+H36+I36+J36</f>
        <v>493948.817409201</v>
      </c>
      <c r="L36" s="380" t="n">
        <f aca="false">INDEX(FC_FLUJO_CAJA!$D$85:$BK$85,1,$B36)</f>
        <v>73886.7050537932</v>
      </c>
      <c r="M36" s="495" t="n">
        <f aca="false">INDEX(FC_FLUJO_CAJA!$D$89:$BK$89,1,$B36)</f>
        <v>183391.687768625</v>
      </c>
      <c r="N36" s="511" t="n">
        <f aca="false">INDEX(FC_FLUJO_CAJA!$D$92:$BK$92,1,$B36)</f>
        <v>0</v>
      </c>
      <c r="O36" s="380" t="n">
        <f aca="false">INDEX(FC_FLUJO_CAJA!$D$93:$BK$93,1,$B36)</f>
        <v>2100000</v>
      </c>
      <c r="P36" s="383" t="n">
        <f aca="false">INDEX(FC_FLUJO_CAJA!$D$94:$BK$94,1,$B36)</f>
        <v>257278.392822418</v>
      </c>
      <c r="Q36" s="426" t="str">
        <f aca="false">IF(N36=0,"",IF(MAX(H36,I36,J36)&gt;=MAX(0,F36+G36-E36),IF(H36&gt;=MAX(I36,J36),"Equipos, montaje y arranque del centro de producción",IF(I36&gt;=J36,"Equipos, obra, depósitos y arranque de los PDV del piloto","Equipos y adecuación del flagship")),"Estructura corporativa, personal y operación de la red"))</f>
        <v/>
      </c>
      <c r="S36" s="512" t="str">
        <f aca="false">IF(INDEX(FC_CRONOGRAMA!$D$8:$BK$8,1,$B36)=1,"Orden de compra de equipos de PLANTA · ","")&amp;IF(INDEX(FC_CRONOGRAMA!$D$28:$BK$28,1,$B36)+INDEX(FC_CRONOGRAMA!$D$29:$BK$29,1,$B36)&gt;0,"Orden de compra de equipos de PDV · ","")&amp;IF(INDEX(FC_CRONOGRAMA!$D$9:$BK$9,1,$B36)=1,"Embarque de equipos de planta · ","")&amp;IF(INDEX(FC_CRONOGRAMA!$D$30:$BK$30,1,$B36)+INDEX(FC_CRONOGRAMA!$D$31:$BK$31,1,$B36)&gt;0,"Embarque de equipos de PDV · ","")&amp;IF(INDEX(FC_CRONOGRAMA!$D$10:$BK$10,1,$B36)=1,"Arribo y nacionalización — planta · ","")&amp;IF(INDEX(FC_CRONOGRAMA!$D$32:$BK$32,1,$B36)+INDEX(FC_CRONOGRAMA!$D$33:$BK$33,1,$B36)&gt;0,"Arribo y nacionalización — PDV · ","")&amp;IF(INDEX(FC_CRONOGRAMA!$D$11:$BK$11,1,$B36)=1,"Montaje y puesta en marcha de la planta · ","")&amp;IF(AND($B36=FC_SUPUESTOS!$C$23),"ARRANQUE DE LA PLANTA · ","")&amp;IF(INDEX(FC_CRONOGRAMA!$D$40:$BK$40,1,$B36)+INDEX(FC_CRONOGRAMA!$D$41:$BK$41,1,$B36)&gt;0,"Obra de adecuación de locales · ","")&amp;IF(INDEX(FC_CRONOGRAMA!$D$19:$BK$19,1,$B36)&gt;0,"Apertura de "&amp;TEXT(INDEX(FC_CRONOGRAMA!$D$19:$BK$19,1,$B36),"0")&amp;" PDV del piloto · ","")&amp;IF(INDEX(FC_CRONOGRAMA!$D$46:$BK$46,1,$B36)=1,"Orden de compra de equipos del flagship · ","")&amp;IF(INDEX(FC_CRONOGRAMA!$D$48:$BK$48,1,$B36)=1,"Arribo de equipos del flagship · ","")&amp;IF(INDEX(FC_CRONOGRAMA!$D$53:$BK$53,1,$B36)=1,"Obra de adecuación del flagship · ","")&amp;IF(AND(FC_SUPUESTOS!$C$12=1,$B36=FC_SUPUESTOS!$C$13),"APERTURA DEL FLAGSHIP · ","")</f>
        <v/>
      </c>
    </row>
    <row r="37" customFormat="false" ht="15" hidden="false" customHeight="true" outlineLevel="0" collapsed="false">
      <c r="B37" s="509" t="n">
        <v>16</v>
      </c>
      <c r="C37" s="510" t="n">
        <f aca="false">EDATE(DATE(YEAR(FC_SUPUESTOS!$D$14),MONTH(FC_SUPUESTOS!$D$14),1),$B37-1)</f>
        <v>46753</v>
      </c>
      <c r="D37" s="388" t="str">
        <f aca="false">IF(LEN(S37)=0,"",LEFT(S37,LEN(S37)-3))</f>
        <v/>
      </c>
      <c r="E37" s="380" t="n">
        <f aca="false">INDEX(FC_FLUJO_CAJA!$D$14:$BK$14,1,$B37)</f>
        <v>590253.6536911</v>
      </c>
      <c r="F37" s="380" t="n">
        <f aca="false">INDEX(FC_FLUJO_CAJA!$D$35:$BK$35,1,$B37)</f>
        <v>513255.335093508</v>
      </c>
      <c r="G37" s="380" t="n">
        <f aca="false">INDEX(FC_FLUJO_CAJA!$D$39:$BK$39,1,$B37)</f>
        <v>5212.26198259122</v>
      </c>
      <c r="H37" s="380" t="n">
        <f aca="false">INDEX(FC_FLUJO_CAJA!$D$54:$BK$54,1,$B37)</f>
        <v>0</v>
      </c>
      <c r="I37" s="380" t="n">
        <f aca="false">INDEX(FC_FLUJO_CAJA!$D$68:$BK$68,1,$B37)</f>
        <v>0</v>
      </c>
      <c r="J37" s="380" t="n">
        <f aca="false">INDEX(FC_FLUJO_CAJA!$D$81:$BK$81,1,$B37)</f>
        <v>0</v>
      </c>
      <c r="K37" s="383" t="n">
        <f aca="false">F37+G37+H37+I37+J37</f>
        <v>518467.5970761</v>
      </c>
      <c r="L37" s="380" t="n">
        <f aca="false">INDEX(FC_FLUJO_CAJA!$D$85:$BK$85,1,$B37)</f>
        <v>71786.0566150009</v>
      </c>
      <c r="M37" s="495" t="n">
        <f aca="false">INDEX(FC_FLUJO_CAJA!$D$89:$BK$89,1,$B37)</f>
        <v>257278.392822418</v>
      </c>
      <c r="N37" s="511" t="n">
        <f aca="false">INDEX(FC_FLUJO_CAJA!$D$92:$BK$92,1,$B37)</f>
        <v>0</v>
      </c>
      <c r="O37" s="380" t="n">
        <f aca="false">INDEX(FC_FLUJO_CAJA!$D$93:$BK$93,1,$B37)</f>
        <v>2100000</v>
      </c>
      <c r="P37" s="383" t="n">
        <f aca="false">INDEX(FC_FLUJO_CAJA!$D$94:$BK$94,1,$B37)</f>
        <v>329064.449437419</v>
      </c>
      <c r="Q37" s="426" t="str">
        <f aca="false">IF(N37=0,"",IF(MAX(H37,I37,J37)&gt;=MAX(0,F37+G37-E37),IF(H37&gt;=MAX(I37,J37),"Equipos, montaje y arranque del centro de producción",IF(I37&gt;=J37,"Equipos, obra, depósitos y arranque de los PDV del piloto","Equipos y adecuación del flagship")),"Estructura corporativa, personal y operación de la red"))</f>
        <v/>
      </c>
      <c r="S37" s="512" t="str">
        <f aca="false">IF(INDEX(FC_CRONOGRAMA!$D$8:$BK$8,1,$B37)=1,"Orden de compra de equipos de PLANTA · ","")&amp;IF(INDEX(FC_CRONOGRAMA!$D$28:$BK$28,1,$B37)+INDEX(FC_CRONOGRAMA!$D$29:$BK$29,1,$B37)&gt;0,"Orden de compra de equipos de PDV · ","")&amp;IF(INDEX(FC_CRONOGRAMA!$D$9:$BK$9,1,$B37)=1,"Embarque de equipos de planta · ","")&amp;IF(INDEX(FC_CRONOGRAMA!$D$30:$BK$30,1,$B37)+INDEX(FC_CRONOGRAMA!$D$31:$BK$31,1,$B37)&gt;0,"Embarque de equipos de PDV · ","")&amp;IF(INDEX(FC_CRONOGRAMA!$D$10:$BK$10,1,$B37)=1,"Arribo y nacionalización — planta · ","")&amp;IF(INDEX(FC_CRONOGRAMA!$D$32:$BK$32,1,$B37)+INDEX(FC_CRONOGRAMA!$D$33:$BK$33,1,$B37)&gt;0,"Arribo y nacionalización — PDV · ","")&amp;IF(INDEX(FC_CRONOGRAMA!$D$11:$BK$11,1,$B37)=1,"Montaje y puesta en marcha de la planta · ","")&amp;IF(AND($B37=FC_SUPUESTOS!$C$23),"ARRANQUE DE LA PLANTA · ","")&amp;IF(INDEX(FC_CRONOGRAMA!$D$40:$BK$40,1,$B37)+INDEX(FC_CRONOGRAMA!$D$41:$BK$41,1,$B37)&gt;0,"Obra de adecuación de locales · ","")&amp;IF(INDEX(FC_CRONOGRAMA!$D$19:$BK$19,1,$B37)&gt;0,"Apertura de "&amp;TEXT(INDEX(FC_CRONOGRAMA!$D$19:$BK$19,1,$B37),"0")&amp;" PDV del piloto · ","")&amp;IF(INDEX(FC_CRONOGRAMA!$D$46:$BK$46,1,$B37)=1,"Orden de compra de equipos del flagship · ","")&amp;IF(INDEX(FC_CRONOGRAMA!$D$48:$BK$48,1,$B37)=1,"Arribo de equipos del flagship · ","")&amp;IF(INDEX(FC_CRONOGRAMA!$D$53:$BK$53,1,$B37)=1,"Obra de adecuación del flagship · ","")&amp;IF(AND(FC_SUPUESTOS!$C$12=1,$B37=FC_SUPUESTOS!$C$13),"APERTURA DEL FLAGSHIP · ","")</f>
        <v/>
      </c>
    </row>
    <row r="38" customFormat="false" ht="15" hidden="false" customHeight="true" outlineLevel="0" collapsed="false">
      <c r="B38" s="509" t="n">
        <v>17</v>
      </c>
      <c r="C38" s="510" t="n">
        <f aca="false">EDATE(DATE(YEAR(FC_SUPUESTOS!$D$14),MONTH(FC_SUPUESTOS!$D$14),1),$B38-1)</f>
        <v>46784</v>
      </c>
      <c r="D38" s="388" t="str">
        <f aca="false">IF(LEN(S38)=0,"",LEFT(S38,LEN(S38)-3))</f>
        <v/>
      </c>
      <c r="E38" s="380" t="n">
        <f aca="false">INDEX(FC_FLUJO_CAJA!$D$14:$BK$14,1,$B38)</f>
        <v>591664.964615872</v>
      </c>
      <c r="F38" s="380" t="n">
        <f aca="false">INDEX(FC_FLUJO_CAJA!$D$35:$BK$35,1,$B38)</f>
        <v>517481.008185526</v>
      </c>
      <c r="G38" s="380" t="n">
        <f aca="false">INDEX(FC_FLUJO_CAJA!$D$39:$BK$39,1,$B38)</f>
        <v>15073.1865912687</v>
      </c>
      <c r="H38" s="380" t="n">
        <f aca="false">INDEX(FC_FLUJO_CAJA!$D$54:$BK$54,1,$B38)</f>
        <v>0</v>
      </c>
      <c r="I38" s="380" t="n">
        <f aca="false">INDEX(FC_FLUJO_CAJA!$D$68:$BK$68,1,$B38)</f>
        <v>0</v>
      </c>
      <c r="J38" s="380" t="n">
        <f aca="false">INDEX(FC_FLUJO_CAJA!$D$81:$BK$81,1,$B38)</f>
        <v>0</v>
      </c>
      <c r="K38" s="383" t="n">
        <f aca="false">F38+G38+H38+I38+J38</f>
        <v>532554.194776795</v>
      </c>
      <c r="L38" s="380" t="n">
        <f aca="false">INDEX(FC_FLUJO_CAJA!$D$85:$BK$85,1,$B38)</f>
        <v>59110.7698390772</v>
      </c>
      <c r="M38" s="495" t="n">
        <f aca="false">INDEX(FC_FLUJO_CAJA!$D$89:$BK$89,1,$B38)</f>
        <v>329064.449437419</v>
      </c>
      <c r="N38" s="511" t="n">
        <f aca="false">INDEX(FC_FLUJO_CAJA!$D$92:$BK$92,1,$B38)</f>
        <v>0</v>
      </c>
      <c r="O38" s="380" t="n">
        <f aca="false">INDEX(FC_FLUJO_CAJA!$D$93:$BK$93,1,$B38)</f>
        <v>2100000</v>
      </c>
      <c r="P38" s="383" t="n">
        <f aca="false">INDEX(FC_FLUJO_CAJA!$D$94:$BK$94,1,$B38)</f>
        <v>388175.219276496</v>
      </c>
      <c r="Q38" s="426" t="str">
        <f aca="false">IF(N38=0,"",IF(MAX(H38,I38,J38)&gt;=MAX(0,F38+G38-E38),IF(H38&gt;=MAX(I38,J38),"Equipos, montaje y arranque del centro de producción",IF(I38&gt;=J38,"Equipos, obra, depósitos y arranque de los PDV del piloto","Equipos y adecuación del flagship")),"Estructura corporativa, personal y operación de la red"))</f>
        <v/>
      </c>
      <c r="S38" s="512" t="str">
        <f aca="false">IF(INDEX(FC_CRONOGRAMA!$D$8:$BK$8,1,$B38)=1,"Orden de compra de equipos de PLANTA · ","")&amp;IF(INDEX(FC_CRONOGRAMA!$D$28:$BK$28,1,$B38)+INDEX(FC_CRONOGRAMA!$D$29:$BK$29,1,$B38)&gt;0,"Orden de compra de equipos de PDV · ","")&amp;IF(INDEX(FC_CRONOGRAMA!$D$9:$BK$9,1,$B38)=1,"Embarque de equipos de planta · ","")&amp;IF(INDEX(FC_CRONOGRAMA!$D$30:$BK$30,1,$B38)+INDEX(FC_CRONOGRAMA!$D$31:$BK$31,1,$B38)&gt;0,"Embarque de equipos de PDV · ","")&amp;IF(INDEX(FC_CRONOGRAMA!$D$10:$BK$10,1,$B38)=1,"Arribo y nacionalización — planta · ","")&amp;IF(INDEX(FC_CRONOGRAMA!$D$32:$BK$32,1,$B38)+INDEX(FC_CRONOGRAMA!$D$33:$BK$33,1,$B38)&gt;0,"Arribo y nacionalización — PDV · ","")&amp;IF(INDEX(FC_CRONOGRAMA!$D$11:$BK$11,1,$B38)=1,"Montaje y puesta en marcha de la planta · ","")&amp;IF(AND($B38=FC_SUPUESTOS!$C$23),"ARRANQUE DE LA PLANTA · ","")&amp;IF(INDEX(FC_CRONOGRAMA!$D$40:$BK$40,1,$B38)+INDEX(FC_CRONOGRAMA!$D$41:$BK$41,1,$B38)&gt;0,"Obra de adecuación de locales · ","")&amp;IF(INDEX(FC_CRONOGRAMA!$D$19:$BK$19,1,$B38)&gt;0,"Apertura de "&amp;TEXT(INDEX(FC_CRONOGRAMA!$D$19:$BK$19,1,$B38),"0")&amp;" PDV del piloto · ","")&amp;IF(INDEX(FC_CRONOGRAMA!$D$46:$BK$46,1,$B38)=1,"Orden de compra de equipos del flagship · ","")&amp;IF(INDEX(FC_CRONOGRAMA!$D$48:$BK$48,1,$B38)=1,"Arribo de equipos del flagship · ","")&amp;IF(INDEX(FC_CRONOGRAMA!$D$53:$BK$53,1,$B38)=1,"Obra de adecuación del flagship · ","")&amp;IF(AND(FC_SUPUESTOS!$C$12=1,$B38=FC_SUPUESTOS!$C$13),"APERTURA DEL FLAGSHIP · ","")</f>
        <v/>
      </c>
    </row>
    <row r="39" customFormat="false" ht="15" hidden="false" customHeight="true" outlineLevel="0" collapsed="false">
      <c r="B39" s="509" t="n">
        <v>18</v>
      </c>
      <c r="C39" s="510" t="n">
        <f aca="false">EDATE(DATE(YEAR(FC_SUPUESTOS!$D$14),MONTH(FC_SUPUESTOS!$D$14),1),$B39-1)</f>
        <v>46813</v>
      </c>
      <c r="D39" s="388" t="str">
        <f aca="false">IF(LEN(S39)=0,"",LEFT(S39,LEN(S39)-3))</f>
        <v/>
      </c>
      <c r="E39" s="380" t="n">
        <f aca="false">INDEX(FC_FLUJO_CAJA!$D$14:$BK$14,1,$B39)</f>
        <v>591664.964615872</v>
      </c>
      <c r="F39" s="380" t="n">
        <f aca="false">INDEX(FC_FLUJO_CAJA!$D$35:$BK$35,1,$B39)</f>
        <v>517481.008185526</v>
      </c>
      <c r="G39" s="380" t="n">
        <f aca="false">INDEX(FC_FLUJO_CAJA!$D$39:$BK$39,1,$B39)</f>
        <v>18662.2898721524</v>
      </c>
      <c r="H39" s="380" t="n">
        <f aca="false">INDEX(FC_FLUJO_CAJA!$D$54:$BK$54,1,$B39)</f>
        <v>0</v>
      </c>
      <c r="I39" s="380" t="n">
        <f aca="false">INDEX(FC_FLUJO_CAJA!$D$68:$BK$68,1,$B39)</f>
        <v>0</v>
      </c>
      <c r="J39" s="380" t="n">
        <f aca="false">INDEX(FC_FLUJO_CAJA!$D$81:$BK$81,1,$B39)</f>
        <v>0</v>
      </c>
      <c r="K39" s="383" t="n">
        <f aca="false">F39+G39+H39+I39+J39</f>
        <v>536143.298057679</v>
      </c>
      <c r="L39" s="380" t="n">
        <f aca="false">INDEX(FC_FLUJO_CAJA!$D$85:$BK$85,1,$B39)</f>
        <v>55521.6665581936</v>
      </c>
      <c r="M39" s="495" t="n">
        <f aca="false">INDEX(FC_FLUJO_CAJA!$D$89:$BK$89,1,$B39)</f>
        <v>388175.219276496</v>
      </c>
      <c r="N39" s="511" t="n">
        <f aca="false">INDEX(FC_FLUJO_CAJA!$D$92:$BK$92,1,$B39)</f>
        <v>0</v>
      </c>
      <c r="O39" s="380" t="n">
        <f aca="false">INDEX(FC_FLUJO_CAJA!$D$93:$BK$93,1,$B39)</f>
        <v>2100000</v>
      </c>
      <c r="P39" s="383" t="n">
        <f aca="false">INDEX(FC_FLUJO_CAJA!$D$94:$BK$94,1,$B39)</f>
        <v>443696.88583469</v>
      </c>
      <c r="Q39" s="426" t="str">
        <f aca="false">IF(N39=0,"",IF(MAX(H39,I39,J39)&gt;=MAX(0,F39+G39-E39),IF(H39&gt;=MAX(I39,J39),"Equipos, montaje y arranque del centro de producción",IF(I39&gt;=J39,"Equipos, obra, depósitos y arranque de los PDV del piloto","Equipos y adecuación del flagship")),"Estructura corporativa, personal y operación de la red"))</f>
        <v/>
      </c>
      <c r="S39" s="512" t="str">
        <f aca="false">IF(INDEX(FC_CRONOGRAMA!$D$8:$BK$8,1,$B39)=1,"Orden de compra de equipos de PLANTA · ","")&amp;IF(INDEX(FC_CRONOGRAMA!$D$28:$BK$28,1,$B39)+INDEX(FC_CRONOGRAMA!$D$29:$BK$29,1,$B39)&gt;0,"Orden de compra de equipos de PDV · ","")&amp;IF(INDEX(FC_CRONOGRAMA!$D$9:$BK$9,1,$B39)=1,"Embarque de equipos de planta · ","")&amp;IF(INDEX(FC_CRONOGRAMA!$D$30:$BK$30,1,$B39)+INDEX(FC_CRONOGRAMA!$D$31:$BK$31,1,$B39)&gt;0,"Embarque de equipos de PDV · ","")&amp;IF(INDEX(FC_CRONOGRAMA!$D$10:$BK$10,1,$B39)=1,"Arribo y nacionalización — planta · ","")&amp;IF(INDEX(FC_CRONOGRAMA!$D$32:$BK$32,1,$B39)+INDEX(FC_CRONOGRAMA!$D$33:$BK$33,1,$B39)&gt;0,"Arribo y nacionalización — PDV · ","")&amp;IF(INDEX(FC_CRONOGRAMA!$D$11:$BK$11,1,$B39)=1,"Montaje y puesta en marcha de la planta · ","")&amp;IF(AND($B39=FC_SUPUESTOS!$C$23),"ARRANQUE DE LA PLANTA · ","")&amp;IF(INDEX(FC_CRONOGRAMA!$D$40:$BK$40,1,$B39)+INDEX(FC_CRONOGRAMA!$D$41:$BK$41,1,$B39)&gt;0,"Obra de adecuación de locales · ","")&amp;IF(INDEX(FC_CRONOGRAMA!$D$19:$BK$19,1,$B39)&gt;0,"Apertura de "&amp;TEXT(INDEX(FC_CRONOGRAMA!$D$19:$BK$19,1,$B39),"0")&amp;" PDV del piloto · ","")&amp;IF(INDEX(FC_CRONOGRAMA!$D$46:$BK$46,1,$B39)=1,"Orden de compra de equipos del flagship · ","")&amp;IF(INDEX(FC_CRONOGRAMA!$D$48:$BK$48,1,$B39)=1,"Arribo de equipos del flagship · ","")&amp;IF(INDEX(FC_CRONOGRAMA!$D$53:$BK$53,1,$B39)=1,"Obra de adecuación del flagship · ","")&amp;IF(AND(FC_SUPUESTOS!$C$12=1,$B39=FC_SUPUESTOS!$C$13),"APERTURA DEL FLAGSHIP · ","")</f>
        <v/>
      </c>
    </row>
    <row r="40" customFormat="false" ht="15" hidden="false" customHeight="true" outlineLevel="0" collapsed="false">
      <c r="B40" s="509" t="n">
        <v>19</v>
      </c>
      <c r="C40" s="510" t="n">
        <f aca="false">EDATE(DATE(YEAR(FC_SUPUESTOS!$D$14),MONTH(FC_SUPUESTOS!$D$14),1),$B40-1)</f>
        <v>46844</v>
      </c>
      <c r="D40" s="388" t="str">
        <f aca="false">IF(LEN(S40)=0,"",LEFT(S40,LEN(S40)-3))</f>
        <v/>
      </c>
      <c r="E40" s="380" t="n">
        <f aca="false">INDEX(FC_FLUJO_CAJA!$D$14:$BK$14,1,$B40)</f>
        <v>591664.964615872</v>
      </c>
      <c r="F40" s="380" t="n">
        <f aca="false">INDEX(FC_FLUJO_CAJA!$D$35:$BK$35,1,$B40)</f>
        <v>517481.008185526</v>
      </c>
      <c r="G40" s="380" t="n">
        <f aca="false">INDEX(FC_FLUJO_CAJA!$D$39:$BK$39,1,$B40)</f>
        <v>20566.7120211926</v>
      </c>
      <c r="H40" s="380" t="n">
        <f aca="false">INDEX(FC_FLUJO_CAJA!$D$54:$BK$54,1,$B40)</f>
        <v>0</v>
      </c>
      <c r="I40" s="380" t="n">
        <f aca="false">INDEX(FC_FLUJO_CAJA!$D$68:$BK$68,1,$B40)</f>
        <v>0</v>
      </c>
      <c r="J40" s="380" t="n">
        <f aca="false">INDEX(FC_FLUJO_CAJA!$D$81:$BK$81,1,$B40)</f>
        <v>0</v>
      </c>
      <c r="K40" s="383" t="n">
        <f aca="false">F40+G40+H40+I40+J40</f>
        <v>538047.720206719</v>
      </c>
      <c r="L40" s="380" t="n">
        <f aca="false">INDEX(FC_FLUJO_CAJA!$D$85:$BK$85,1,$B40)</f>
        <v>53617.2444091533</v>
      </c>
      <c r="M40" s="495" t="n">
        <f aca="false">INDEX(FC_FLUJO_CAJA!$D$89:$BK$89,1,$B40)</f>
        <v>443696.88583469</v>
      </c>
      <c r="N40" s="511" t="n">
        <f aca="false">INDEX(FC_FLUJO_CAJA!$D$92:$BK$92,1,$B40)</f>
        <v>0</v>
      </c>
      <c r="O40" s="380" t="n">
        <f aca="false">INDEX(FC_FLUJO_CAJA!$D$93:$BK$93,1,$B40)</f>
        <v>2100000</v>
      </c>
      <c r="P40" s="383" t="n">
        <f aca="false">INDEX(FC_FLUJO_CAJA!$D$94:$BK$94,1,$B40)</f>
        <v>497314.130243843</v>
      </c>
      <c r="Q40" s="426" t="str">
        <f aca="false">IF(N40=0,"",IF(MAX(H40,I40,J40)&gt;=MAX(0,F40+G40-E40),IF(H40&gt;=MAX(I40,J40),"Equipos, montaje y arranque del centro de producción",IF(I40&gt;=J40,"Equipos, obra, depósitos y arranque de los PDV del piloto","Equipos y adecuación del flagship")),"Estructura corporativa, personal y operación de la red"))</f>
        <v/>
      </c>
      <c r="S40" s="512" t="str">
        <f aca="false">IF(INDEX(FC_CRONOGRAMA!$D$8:$BK$8,1,$B40)=1,"Orden de compra de equipos de PLANTA · ","")&amp;IF(INDEX(FC_CRONOGRAMA!$D$28:$BK$28,1,$B40)+INDEX(FC_CRONOGRAMA!$D$29:$BK$29,1,$B40)&gt;0,"Orden de compra de equipos de PDV · ","")&amp;IF(INDEX(FC_CRONOGRAMA!$D$9:$BK$9,1,$B40)=1,"Embarque de equipos de planta · ","")&amp;IF(INDEX(FC_CRONOGRAMA!$D$30:$BK$30,1,$B40)+INDEX(FC_CRONOGRAMA!$D$31:$BK$31,1,$B40)&gt;0,"Embarque de equipos de PDV · ","")&amp;IF(INDEX(FC_CRONOGRAMA!$D$10:$BK$10,1,$B40)=1,"Arribo y nacionalización — planta · ","")&amp;IF(INDEX(FC_CRONOGRAMA!$D$32:$BK$32,1,$B40)+INDEX(FC_CRONOGRAMA!$D$33:$BK$33,1,$B40)&gt;0,"Arribo y nacionalización — PDV · ","")&amp;IF(INDEX(FC_CRONOGRAMA!$D$11:$BK$11,1,$B40)=1,"Montaje y puesta en marcha de la planta · ","")&amp;IF(AND($B40=FC_SUPUESTOS!$C$23),"ARRANQUE DE LA PLANTA · ","")&amp;IF(INDEX(FC_CRONOGRAMA!$D$40:$BK$40,1,$B40)+INDEX(FC_CRONOGRAMA!$D$41:$BK$41,1,$B40)&gt;0,"Obra de adecuación de locales · ","")&amp;IF(INDEX(FC_CRONOGRAMA!$D$19:$BK$19,1,$B40)&gt;0,"Apertura de "&amp;TEXT(INDEX(FC_CRONOGRAMA!$D$19:$BK$19,1,$B40),"0")&amp;" PDV del piloto · ","")&amp;IF(INDEX(FC_CRONOGRAMA!$D$46:$BK$46,1,$B40)=1,"Orden de compra de equipos del flagship · ","")&amp;IF(INDEX(FC_CRONOGRAMA!$D$48:$BK$48,1,$B40)=1,"Arribo de equipos del flagship · ","")&amp;IF(INDEX(FC_CRONOGRAMA!$D$53:$BK$53,1,$B40)=1,"Obra de adecuación del flagship · ","")&amp;IF(AND(FC_SUPUESTOS!$C$12=1,$B40=FC_SUPUESTOS!$C$13),"APERTURA DEL FLAGSHIP · ","")</f>
        <v/>
      </c>
    </row>
    <row r="41" customFormat="false" ht="15" hidden="false" customHeight="true" outlineLevel="0" collapsed="false">
      <c r="B41" s="509" t="n">
        <v>20</v>
      </c>
      <c r="C41" s="510" t="n">
        <f aca="false">EDATE(DATE(YEAR(FC_SUPUESTOS!$D$14),MONTH(FC_SUPUESTOS!$D$14),1),$B41-1)</f>
        <v>46874</v>
      </c>
      <c r="D41" s="388" t="str">
        <f aca="false">IF(LEN(S41)=0,"",LEFT(S41,LEN(S41)-3))</f>
        <v/>
      </c>
      <c r="E41" s="380" t="n">
        <f aca="false">INDEX(FC_FLUJO_CAJA!$D$14:$BK$14,1,$B41)</f>
        <v>591664.964615872</v>
      </c>
      <c r="F41" s="380" t="n">
        <f aca="false">INDEX(FC_FLUJO_CAJA!$D$35:$BK$35,1,$B41)</f>
        <v>517481.008185526</v>
      </c>
      <c r="G41" s="380" t="n">
        <f aca="false">INDEX(FC_FLUJO_CAJA!$D$39:$BK$39,1,$B41)</f>
        <v>20566.7120211926</v>
      </c>
      <c r="H41" s="380" t="n">
        <f aca="false">INDEX(FC_FLUJO_CAJA!$D$54:$BK$54,1,$B41)</f>
        <v>0</v>
      </c>
      <c r="I41" s="380" t="n">
        <f aca="false">INDEX(FC_FLUJO_CAJA!$D$68:$BK$68,1,$B41)</f>
        <v>0</v>
      </c>
      <c r="J41" s="380" t="n">
        <f aca="false">INDEX(FC_FLUJO_CAJA!$D$81:$BK$81,1,$B41)</f>
        <v>0</v>
      </c>
      <c r="K41" s="383" t="n">
        <f aca="false">F41+G41+H41+I41+J41</f>
        <v>538047.720206719</v>
      </c>
      <c r="L41" s="380" t="n">
        <f aca="false">INDEX(FC_FLUJO_CAJA!$D$85:$BK$85,1,$B41)</f>
        <v>53617.2444091533</v>
      </c>
      <c r="M41" s="495" t="n">
        <f aca="false">INDEX(FC_FLUJO_CAJA!$D$89:$BK$89,1,$B41)</f>
        <v>497314.130243843</v>
      </c>
      <c r="N41" s="511" t="n">
        <f aca="false">INDEX(FC_FLUJO_CAJA!$D$92:$BK$92,1,$B41)</f>
        <v>0</v>
      </c>
      <c r="O41" s="380" t="n">
        <f aca="false">INDEX(FC_FLUJO_CAJA!$D$93:$BK$93,1,$B41)</f>
        <v>2100000</v>
      </c>
      <c r="P41" s="383" t="n">
        <f aca="false">INDEX(FC_FLUJO_CAJA!$D$94:$BK$94,1,$B41)</f>
        <v>550931.374652997</v>
      </c>
      <c r="Q41" s="426" t="str">
        <f aca="false">IF(N41=0,"",IF(MAX(H41,I41,J41)&gt;=MAX(0,F41+G41-E41),IF(H41&gt;=MAX(I41,J41),"Equipos, montaje y arranque del centro de producción",IF(I41&gt;=J41,"Equipos, obra, depósitos y arranque de los PDV del piloto","Equipos y adecuación del flagship")),"Estructura corporativa, personal y operación de la red"))</f>
        <v/>
      </c>
      <c r="S41" s="512" t="str">
        <f aca="false">IF(INDEX(FC_CRONOGRAMA!$D$8:$BK$8,1,$B41)=1,"Orden de compra de equipos de PLANTA · ","")&amp;IF(INDEX(FC_CRONOGRAMA!$D$28:$BK$28,1,$B41)+INDEX(FC_CRONOGRAMA!$D$29:$BK$29,1,$B41)&gt;0,"Orden de compra de equipos de PDV · ","")&amp;IF(INDEX(FC_CRONOGRAMA!$D$9:$BK$9,1,$B41)=1,"Embarque de equipos de planta · ","")&amp;IF(INDEX(FC_CRONOGRAMA!$D$30:$BK$30,1,$B41)+INDEX(FC_CRONOGRAMA!$D$31:$BK$31,1,$B41)&gt;0,"Embarque de equipos de PDV · ","")&amp;IF(INDEX(FC_CRONOGRAMA!$D$10:$BK$10,1,$B41)=1,"Arribo y nacionalización — planta · ","")&amp;IF(INDEX(FC_CRONOGRAMA!$D$32:$BK$32,1,$B41)+INDEX(FC_CRONOGRAMA!$D$33:$BK$33,1,$B41)&gt;0,"Arribo y nacionalización — PDV · ","")&amp;IF(INDEX(FC_CRONOGRAMA!$D$11:$BK$11,1,$B41)=1,"Montaje y puesta en marcha de la planta · ","")&amp;IF(AND($B41=FC_SUPUESTOS!$C$23),"ARRANQUE DE LA PLANTA · ","")&amp;IF(INDEX(FC_CRONOGRAMA!$D$40:$BK$40,1,$B41)+INDEX(FC_CRONOGRAMA!$D$41:$BK$41,1,$B41)&gt;0,"Obra de adecuación de locales · ","")&amp;IF(INDEX(FC_CRONOGRAMA!$D$19:$BK$19,1,$B41)&gt;0,"Apertura de "&amp;TEXT(INDEX(FC_CRONOGRAMA!$D$19:$BK$19,1,$B41),"0")&amp;" PDV del piloto · ","")&amp;IF(INDEX(FC_CRONOGRAMA!$D$46:$BK$46,1,$B41)=1,"Orden de compra de equipos del flagship · ","")&amp;IF(INDEX(FC_CRONOGRAMA!$D$48:$BK$48,1,$B41)=1,"Arribo de equipos del flagship · ","")&amp;IF(INDEX(FC_CRONOGRAMA!$D$53:$BK$53,1,$B41)=1,"Obra de adecuación del flagship · ","")&amp;IF(AND(FC_SUPUESTOS!$C$12=1,$B41=FC_SUPUESTOS!$C$13),"APERTURA DEL FLAGSHIP · ","")</f>
        <v/>
      </c>
    </row>
    <row r="42" customFormat="false" ht="15" hidden="false" customHeight="true" outlineLevel="0" collapsed="false">
      <c r="B42" s="509" t="n">
        <v>21</v>
      </c>
      <c r="C42" s="510" t="n">
        <f aca="false">EDATE(DATE(YEAR(FC_SUPUESTOS!$D$14),MONTH(FC_SUPUESTOS!$D$14),1),$B42-1)</f>
        <v>46905</v>
      </c>
      <c r="D42" s="388" t="str">
        <f aca="false">IF(LEN(S42)=0,"",LEFT(S42,LEN(S42)-3))</f>
        <v/>
      </c>
      <c r="E42" s="380" t="n">
        <f aca="false">INDEX(FC_FLUJO_CAJA!$D$14:$BK$14,1,$B42)</f>
        <v>591664.964615872</v>
      </c>
      <c r="F42" s="380" t="n">
        <f aca="false">INDEX(FC_FLUJO_CAJA!$D$35:$BK$35,1,$B42)</f>
        <v>517481.008185526</v>
      </c>
      <c r="G42" s="380" t="n">
        <f aca="false">INDEX(FC_FLUJO_CAJA!$D$39:$BK$39,1,$B42)</f>
        <v>20566.7120211926</v>
      </c>
      <c r="H42" s="380" t="n">
        <f aca="false">INDEX(FC_FLUJO_CAJA!$D$54:$BK$54,1,$B42)</f>
        <v>0</v>
      </c>
      <c r="I42" s="380" t="n">
        <f aca="false">INDEX(FC_FLUJO_CAJA!$D$68:$BK$68,1,$B42)</f>
        <v>0</v>
      </c>
      <c r="J42" s="380" t="n">
        <f aca="false">INDEX(FC_FLUJO_CAJA!$D$81:$BK$81,1,$B42)</f>
        <v>0</v>
      </c>
      <c r="K42" s="383" t="n">
        <f aca="false">F42+G42+H42+I42+J42</f>
        <v>538047.720206719</v>
      </c>
      <c r="L42" s="380" t="n">
        <f aca="false">INDEX(FC_FLUJO_CAJA!$D$85:$BK$85,1,$B42)</f>
        <v>53617.2444091533</v>
      </c>
      <c r="M42" s="495" t="n">
        <f aca="false">INDEX(FC_FLUJO_CAJA!$D$89:$BK$89,1,$B42)</f>
        <v>550931.374652997</v>
      </c>
      <c r="N42" s="511" t="n">
        <f aca="false">INDEX(FC_FLUJO_CAJA!$D$92:$BK$92,1,$B42)</f>
        <v>0</v>
      </c>
      <c r="O42" s="380" t="n">
        <f aca="false">INDEX(FC_FLUJO_CAJA!$D$93:$BK$93,1,$B42)</f>
        <v>2100000</v>
      </c>
      <c r="P42" s="383" t="n">
        <f aca="false">INDEX(FC_FLUJO_CAJA!$D$94:$BK$94,1,$B42)</f>
        <v>604548.61906215</v>
      </c>
      <c r="Q42" s="426" t="str">
        <f aca="false">IF(N42=0,"",IF(MAX(H42,I42,J42)&gt;=MAX(0,F42+G42-E42),IF(H42&gt;=MAX(I42,J42),"Equipos, montaje y arranque del centro de producción",IF(I42&gt;=J42,"Equipos, obra, depósitos y arranque de los PDV del piloto","Equipos y adecuación del flagship")),"Estructura corporativa, personal y operación de la red"))</f>
        <v/>
      </c>
      <c r="S42" s="512" t="str">
        <f aca="false">IF(INDEX(FC_CRONOGRAMA!$D$8:$BK$8,1,$B42)=1,"Orden de compra de equipos de PLANTA · ","")&amp;IF(INDEX(FC_CRONOGRAMA!$D$28:$BK$28,1,$B42)+INDEX(FC_CRONOGRAMA!$D$29:$BK$29,1,$B42)&gt;0,"Orden de compra de equipos de PDV · ","")&amp;IF(INDEX(FC_CRONOGRAMA!$D$9:$BK$9,1,$B42)=1,"Embarque de equipos de planta · ","")&amp;IF(INDEX(FC_CRONOGRAMA!$D$30:$BK$30,1,$B42)+INDEX(FC_CRONOGRAMA!$D$31:$BK$31,1,$B42)&gt;0,"Embarque de equipos de PDV · ","")&amp;IF(INDEX(FC_CRONOGRAMA!$D$10:$BK$10,1,$B42)=1,"Arribo y nacionalización — planta · ","")&amp;IF(INDEX(FC_CRONOGRAMA!$D$32:$BK$32,1,$B42)+INDEX(FC_CRONOGRAMA!$D$33:$BK$33,1,$B42)&gt;0,"Arribo y nacionalización — PDV · ","")&amp;IF(INDEX(FC_CRONOGRAMA!$D$11:$BK$11,1,$B42)=1,"Montaje y puesta en marcha de la planta · ","")&amp;IF(AND($B42=FC_SUPUESTOS!$C$23),"ARRANQUE DE LA PLANTA · ","")&amp;IF(INDEX(FC_CRONOGRAMA!$D$40:$BK$40,1,$B42)+INDEX(FC_CRONOGRAMA!$D$41:$BK$41,1,$B42)&gt;0,"Obra de adecuación de locales · ","")&amp;IF(INDEX(FC_CRONOGRAMA!$D$19:$BK$19,1,$B42)&gt;0,"Apertura de "&amp;TEXT(INDEX(FC_CRONOGRAMA!$D$19:$BK$19,1,$B42),"0")&amp;" PDV del piloto · ","")&amp;IF(INDEX(FC_CRONOGRAMA!$D$46:$BK$46,1,$B42)=1,"Orden de compra de equipos del flagship · ","")&amp;IF(INDEX(FC_CRONOGRAMA!$D$48:$BK$48,1,$B42)=1,"Arribo de equipos del flagship · ","")&amp;IF(INDEX(FC_CRONOGRAMA!$D$53:$BK$53,1,$B42)=1,"Obra de adecuación del flagship · ","")&amp;IF(AND(FC_SUPUESTOS!$C$12=1,$B42=FC_SUPUESTOS!$C$13),"APERTURA DEL FLAGSHIP · ","")</f>
        <v/>
      </c>
    </row>
    <row r="43" customFormat="false" ht="15" hidden="false" customHeight="true" outlineLevel="0" collapsed="false">
      <c r="B43" s="509" t="n">
        <v>22</v>
      </c>
      <c r="C43" s="510" t="n">
        <f aca="false">EDATE(DATE(YEAR(FC_SUPUESTOS!$D$14),MONTH(FC_SUPUESTOS!$D$14),1),$B43-1)</f>
        <v>46935</v>
      </c>
      <c r="D43" s="388" t="str">
        <f aca="false">IF(LEN(S43)=0,"",LEFT(S43,LEN(S43)-3))</f>
        <v/>
      </c>
      <c r="E43" s="380" t="n">
        <f aca="false">INDEX(FC_FLUJO_CAJA!$D$14:$BK$14,1,$B43)</f>
        <v>591664.964615872</v>
      </c>
      <c r="F43" s="380" t="n">
        <f aca="false">INDEX(FC_FLUJO_CAJA!$D$35:$BK$35,1,$B43)</f>
        <v>517481.008185526</v>
      </c>
      <c r="G43" s="380" t="n">
        <f aca="false">INDEX(FC_FLUJO_CAJA!$D$39:$BK$39,1,$B43)</f>
        <v>20566.7120211926</v>
      </c>
      <c r="H43" s="380" t="n">
        <f aca="false">INDEX(FC_FLUJO_CAJA!$D$54:$BK$54,1,$B43)</f>
        <v>0</v>
      </c>
      <c r="I43" s="380" t="n">
        <f aca="false">INDEX(FC_FLUJO_CAJA!$D$68:$BK$68,1,$B43)</f>
        <v>0</v>
      </c>
      <c r="J43" s="380" t="n">
        <f aca="false">INDEX(FC_FLUJO_CAJA!$D$81:$BK$81,1,$B43)</f>
        <v>0</v>
      </c>
      <c r="K43" s="383" t="n">
        <f aca="false">F43+G43+H43+I43+J43</f>
        <v>538047.720206719</v>
      </c>
      <c r="L43" s="380" t="n">
        <f aca="false">INDEX(FC_FLUJO_CAJA!$D$85:$BK$85,1,$B43)</f>
        <v>53617.2444091533</v>
      </c>
      <c r="M43" s="495" t="n">
        <f aca="false">INDEX(FC_FLUJO_CAJA!$D$89:$BK$89,1,$B43)</f>
        <v>604548.61906215</v>
      </c>
      <c r="N43" s="511" t="n">
        <f aca="false">INDEX(FC_FLUJO_CAJA!$D$92:$BK$92,1,$B43)</f>
        <v>0</v>
      </c>
      <c r="O43" s="380" t="n">
        <f aca="false">INDEX(FC_FLUJO_CAJA!$D$93:$BK$93,1,$B43)</f>
        <v>2100000</v>
      </c>
      <c r="P43" s="383" t="n">
        <f aca="false">INDEX(FC_FLUJO_CAJA!$D$94:$BK$94,1,$B43)</f>
        <v>658165.863471303</v>
      </c>
      <c r="Q43" s="426" t="str">
        <f aca="false">IF(N43=0,"",IF(MAX(H43,I43,J43)&gt;=MAX(0,F43+G43-E43),IF(H43&gt;=MAX(I43,J43),"Equipos, montaje y arranque del centro de producción",IF(I43&gt;=J43,"Equipos, obra, depósitos y arranque de los PDV del piloto","Equipos y adecuación del flagship")),"Estructura corporativa, personal y operación de la red"))</f>
        <v/>
      </c>
      <c r="S43" s="512" t="str">
        <f aca="false">IF(INDEX(FC_CRONOGRAMA!$D$8:$BK$8,1,$B43)=1,"Orden de compra de equipos de PLANTA · ","")&amp;IF(INDEX(FC_CRONOGRAMA!$D$28:$BK$28,1,$B43)+INDEX(FC_CRONOGRAMA!$D$29:$BK$29,1,$B43)&gt;0,"Orden de compra de equipos de PDV · ","")&amp;IF(INDEX(FC_CRONOGRAMA!$D$9:$BK$9,1,$B43)=1,"Embarque de equipos de planta · ","")&amp;IF(INDEX(FC_CRONOGRAMA!$D$30:$BK$30,1,$B43)+INDEX(FC_CRONOGRAMA!$D$31:$BK$31,1,$B43)&gt;0,"Embarque de equipos de PDV · ","")&amp;IF(INDEX(FC_CRONOGRAMA!$D$10:$BK$10,1,$B43)=1,"Arribo y nacionalización — planta · ","")&amp;IF(INDEX(FC_CRONOGRAMA!$D$32:$BK$32,1,$B43)+INDEX(FC_CRONOGRAMA!$D$33:$BK$33,1,$B43)&gt;0,"Arribo y nacionalización — PDV · ","")&amp;IF(INDEX(FC_CRONOGRAMA!$D$11:$BK$11,1,$B43)=1,"Montaje y puesta en marcha de la planta · ","")&amp;IF(AND($B43=FC_SUPUESTOS!$C$23),"ARRANQUE DE LA PLANTA · ","")&amp;IF(INDEX(FC_CRONOGRAMA!$D$40:$BK$40,1,$B43)+INDEX(FC_CRONOGRAMA!$D$41:$BK$41,1,$B43)&gt;0,"Obra de adecuación de locales · ","")&amp;IF(INDEX(FC_CRONOGRAMA!$D$19:$BK$19,1,$B43)&gt;0,"Apertura de "&amp;TEXT(INDEX(FC_CRONOGRAMA!$D$19:$BK$19,1,$B43),"0")&amp;" PDV del piloto · ","")&amp;IF(INDEX(FC_CRONOGRAMA!$D$46:$BK$46,1,$B43)=1,"Orden de compra de equipos del flagship · ","")&amp;IF(INDEX(FC_CRONOGRAMA!$D$48:$BK$48,1,$B43)=1,"Arribo de equipos del flagship · ","")&amp;IF(INDEX(FC_CRONOGRAMA!$D$53:$BK$53,1,$B43)=1,"Obra de adecuación del flagship · ","")&amp;IF(AND(FC_SUPUESTOS!$C$12=1,$B43=FC_SUPUESTOS!$C$13),"APERTURA DEL FLAGSHIP · ","")</f>
        <v/>
      </c>
    </row>
    <row r="44" customFormat="false" ht="15" hidden="false" customHeight="true" outlineLevel="0" collapsed="false">
      <c r="B44" s="509" t="n">
        <v>23</v>
      </c>
      <c r="C44" s="510" t="n">
        <f aca="false">EDATE(DATE(YEAR(FC_SUPUESTOS!$D$14),MONTH(FC_SUPUESTOS!$D$14),1),$B44-1)</f>
        <v>46966</v>
      </c>
      <c r="D44" s="388" t="str">
        <f aca="false">IF(LEN(S44)=0,"",LEFT(S44,LEN(S44)-3))</f>
        <v/>
      </c>
      <c r="E44" s="380" t="n">
        <f aca="false">INDEX(FC_FLUJO_CAJA!$D$14:$BK$14,1,$B44)</f>
        <v>591664.964615872</v>
      </c>
      <c r="F44" s="380" t="n">
        <f aca="false">INDEX(FC_FLUJO_CAJA!$D$35:$BK$35,1,$B44)</f>
        <v>517481.008185526</v>
      </c>
      <c r="G44" s="380" t="n">
        <f aca="false">INDEX(FC_FLUJO_CAJA!$D$39:$BK$39,1,$B44)</f>
        <v>20566.7120211926</v>
      </c>
      <c r="H44" s="380" t="n">
        <f aca="false">INDEX(FC_FLUJO_CAJA!$D$54:$BK$54,1,$B44)</f>
        <v>0</v>
      </c>
      <c r="I44" s="380" t="n">
        <f aca="false">INDEX(FC_FLUJO_CAJA!$D$68:$BK$68,1,$B44)</f>
        <v>0</v>
      </c>
      <c r="J44" s="380" t="n">
        <f aca="false">INDEX(FC_FLUJO_CAJA!$D$81:$BK$81,1,$B44)</f>
        <v>0</v>
      </c>
      <c r="K44" s="383" t="n">
        <f aca="false">F44+G44+H44+I44+J44</f>
        <v>538047.720206719</v>
      </c>
      <c r="L44" s="380" t="n">
        <f aca="false">INDEX(FC_FLUJO_CAJA!$D$85:$BK$85,1,$B44)</f>
        <v>53617.2444091533</v>
      </c>
      <c r="M44" s="495" t="n">
        <f aca="false">INDEX(FC_FLUJO_CAJA!$D$89:$BK$89,1,$B44)</f>
        <v>658165.863471303</v>
      </c>
      <c r="N44" s="511" t="n">
        <f aca="false">INDEX(FC_FLUJO_CAJA!$D$92:$BK$92,1,$B44)</f>
        <v>0</v>
      </c>
      <c r="O44" s="380" t="n">
        <f aca="false">INDEX(FC_FLUJO_CAJA!$D$93:$BK$93,1,$B44)</f>
        <v>2100000</v>
      </c>
      <c r="P44" s="383" t="n">
        <f aca="false">INDEX(FC_FLUJO_CAJA!$D$94:$BK$94,1,$B44)</f>
        <v>711783.107880457</v>
      </c>
      <c r="Q44" s="426" t="str">
        <f aca="false">IF(N44=0,"",IF(MAX(H44,I44,J44)&gt;=MAX(0,F44+G44-E44),IF(H44&gt;=MAX(I44,J44),"Equipos, montaje y arranque del centro de producción",IF(I44&gt;=J44,"Equipos, obra, depósitos y arranque de los PDV del piloto","Equipos y adecuación del flagship")),"Estructura corporativa, personal y operación de la red"))</f>
        <v/>
      </c>
      <c r="S44" s="512" t="str">
        <f aca="false">IF(INDEX(FC_CRONOGRAMA!$D$8:$BK$8,1,$B44)=1,"Orden de compra de equipos de PLANTA · ","")&amp;IF(INDEX(FC_CRONOGRAMA!$D$28:$BK$28,1,$B44)+INDEX(FC_CRONOGRAMA!$D$29:$BK$29,1,$B44)&gt;0,"Orden de compra de equipos de PDV · ","")&amp;IF(INDEX(FC_CRONOGRAMA!$D$9:$BK$9,1,$B44)=1,"Embarque de equipos de planta · ","")&amp;IF(INDEX(FC_CRONOGRAMA!$D$30:$BK$30,1,$B44)+INDEX(FC_CRONOGRAMA!$D$31:$BK$31,1,$B44)&gt;0,"Embarque de equipos de PDV · ","")&amp;IF(INDEX(FC_CRONOGRAMA!$D$10:$BK$10,1,$B44)=1,"Arribo y nacionalización — planta · ","")&amp;IF(INDEX(FC_CRONOGRAMA!$D$32:$BK$32,1,$B44)+INDEX(FC_CRONOGRAMA!$D$33:$BK$33,1,$B44)&gt;0,"Arribo y nacionalización — PDV · ","")&amp;IF(INDEX(FC_CRONOGRAMA!$D$11:$BK$11,1,$B44)=1,"Montaje y puesta en marcha de la planta · ","")&amp;IF(AND($B44=FC_SUPUESTOS!$C$23),"ARRANQUE DE LA PLANTA · ","")&amp;IF(INDEX(FC_CRONOGRAMA!$D$40:$BK$40,1,$B44)+INDEX(FC_CRONOGRAMA!$D$41:$BK$41,1,$B44)&gt;0,"Obra de adecuación de locales · ","")&amp;IF(INDEX(FC_CRONOGRAMA!$D$19:$BK$19,1,$B44)&gt;0,"Apertura de "&amp;TEXT(INDEX(FC_CRONOGRAMA!$D$19:$BK$19,1,$B44),"0")&amp;" PDV del piloto · ","")&amp;IF(INDEX(FC_CRONOGRAMA!$D$46:$BK$46,1,$B44)=1,"Orden de compra de equipos del flagship · ","")&amp;IF(INDEX(FC_CRONOGRAMA!$D$48:$BK$48,1,$B44)=1,"Arribo de equipos del flagship · ","")&amp;IF(INDEX(FC_CRONOGRAMA!$D$53:$BK$53,1,$B44)=1,"Obra de adecuación del flagship · ","")&amp;IF(AND(FC_SUPUESTOS!$C$12=1,$B44=FC_SUPUESTOS!$C$13),"APERTURA DEL FLAGSHIP · ","")</f>
        <v/>
      </c>
    </row>
    <row r="45" customFormat="false" ht="15" hidden="false" customHeight="true" outlineLevel="0" collapsed="false">
      <c r="B45" s="509" t="n">
        <v>24</v>
      </c>
      <c r="C45" s="510" t="n">
        <f aca="false">EDATE(DATE(YEAR(FC_SUPUESTOS!$D$14),MONTH(FC_SUPUESTOS!$D$14),1),$B45-1)</f>
        <v>46997</v>
      </c>
      <c r="D45" s="388" t="str">
        <f aca="false">IF(LEN(S45)=0,"",LEFT(S45,LEN(S45)-3))</f>
        <v/>
      </c>
      <c r="E45" s="380" t="n">
        <f aca="false">INDEX(FC_FLUJO_CAJA!$D$14:$BK$14,1,$B45)</f>
        <v>591664.964615872</v>
      </c>
      <c r="F45" s="380" t="n">
        <f aca="false">INDEX(FC_FLUJO_CAJA!$D$35:$BK$35,1,$B45)</f>
        <v>517481.008185526</v>
      </c>
      <c r="G45" s="380" t="n">
        <f aca="false">INDEX(FC_FLUJO_CAJA!$D$39:$BK$39,1,$B45)</f>
        <v>20566.7120211926</v>
      </c>
      <c r="H45" s="380" t="n">
        <f aca="false">INDEX(FC_FLUJO_CAJA!$D$54:$BK$54,1,$B45)</f>
        <v>0</v>
      </c>
      <c r="I45" s="380" t="n">
        <f aca="false">INDEX(FC_FLUJO_CAJA!$D$68:$BK$68,1,$B45)</f>
        <v>0</v>
      </c>
      <c r="J45" s="380" t="n">
        <f aca="false">INDEX(FC_FLUJO_CAJA!$D$81:$BK$81,1,$B45)</f>
        <v>0</v>
      </c>
      <c r="K45" s="383" t="n">
        <f aca="false">F45+G45+H45+I45+J45</f>
        <v>538047.720206719</v>
      </c>
      <c r="L45" s="380" t="n">
        <f aca="false">INDEX(FC_FLUJO_CAJA!$D$85:$BK$85,1,$B45)</f>
        <v>53617.2444091533</v>
      </c>
      <c r="M45" s="495" t="n">
        <f aca="false">INDEX(FC_FLUJO_CAJA!$D$89:$BK$89,1,$B45)</f>
        <v>711783.107880457</v>
      </c>
      <c r="N45" s="511" t="n">
        <f aca="false">INDEX(FC_FLUJO_CAJA!$D$92:$BK$92,1,$B45)</f>
        <v>0</v>
      </c>
      <c r="O45" s="380" t="n">
        <f aca="false">INDEX(FC_FLUJO_CAJA!$D$93:$BK$93,1,$B45)</f>
        <v>2100000</v>
      </c>
      <c r="P45" s="383" t="n">
        <f aca="false">INDEX(FC_FLUJO_CAJA!$D$94:$BK$94,1,$B45)</f>
        <v>765400.35228961</v>
      </c>
      <c r="Q45" s="426" t="str">
        <f aca="false">IF(N45=0,"",IF(MAX(H45,I45,J45)&gt;=MAX(0,F45+G45-E45),IF(H45&gt;=MAX(I45,J45),"Equipos, montaje y arranque del centro de producción",IF(I45&gt;=J45,"Equipos, obra, depósitos y arranque de los PDV del piloto","Equipos y adecuación del flagship")),"Estructura corporativa, personal y operación de la red"))</f>
        <v/>
      </c>
      <c r="S45" s="512" t="str">
        <f aca="false">IF(INDEX(FC_CRONOGRAMA!$D$8:$BK$8,1,$B45)=1,"Orden de compra de equipos de PLANTA · ","")&amp;IF(INDEX(FC_CRONOGRAMA!$D$28:$BK$28,1,$B45)+INDEX(FC_CRONOGRAMA!$D$29:$BK$29,1,$B45)&gt;0,"Orden de compra de equipos de PDV · ","")&amp;IF(INDEX(FC_CRONOGRAMA!$D$9:$BK$9,1,$B45)=1,"Embarque de equipos de planta · ","")&amp;IF(INDEX(FC_CRONOGRAMA!$D$30:$BK$30,1,$B45)+INDEX(FC_CRONOGRAMA!$D$31:$BK$31,1,$B45)&gt;0,"Embarque de equipos de PDV · ","")&amp;IF(INDEX(FC_CRONOGRAMA!$D$10:$BK$10,1,$B45)=1,"Arribo y nacionalización — planta · ","")&amp;IF(INDEX(FC_CRONOGRAMA!$D$32:$BK$32,1,$B45)+INDEX(FC_CRONOGRAMA!$D$33:$BK$33,1,$B45)&gt;0,"Arribo y nacionalización — PDV · ","")&amp;IF(INDEX(FC_CRONOGRAMA!$D$11:$BK$11,1,$B45)=1,"Montaje y puesta en marcha de la planta · ","")&amp;IF(AND($B45=FC_SUPUESTOS!$C$23),"ARRANQUE DE LA PLANTA · ","")&amp;IF(INDEX(FC_CRONOGRAMA!$D$40:$BK$40,1,$B45)+INDEX(FC_CRONOGRAMA!$D$41:$BK$41,1,$B45)&gt;0,"Obra de adecuación de locales · ","")&amp;IF(INDEX(FC_CRONOGRAMA!$D$19:$BK$19,1,$B45)&gt;0,"Apertura de "&amp;TEXT(INDEX(FC_CRONOGRAMA!$D$19:$BK$19,1,$B45),"0")&amp;" PDV del piloto · ","")&amp;IF(INDEX(FC_CRONOGRAMA!$D$46:$BK$46,1,$B45)=1,"Orden de compra de equipos del flagship · ","")&amp;IF(INDEX(FC_CRONOGRAMA!$D$48:$BK$48,1,$B45)=1,"Arribo de equipos del flagship · ","")&amp;IF(INDEX(FC_CRONOGRAMA!$D$53:$BK$53,1,$B45)=1,"Obra de adecuación del flagship · ","")&amp;IF(AND(FC_SUPUESTOS!$C$12=1,$B45=FC_SUPUESTOS!$C$13),"APERTURA DEL FLAGSHIP · ","")</f>
        <v/>
      </c>
    </row>
    <row r="46" customFormat="false" ht="15" hidden="false" customHeight="true" outlineLevel="0" collapsed="false">
      <c r="B46" s="509" t="n">
        <v>25</v>
      </c>
      <c r="C46" s="510" t="n">
        <f aca="false">EDATE(DATE(YEAR(FC_SUPUESTOS!$D$14),MONTH(FC_SUPUESTOS!$D$14),1),$B46-1)</f>
        <v>47027</v>
      </c>
      <c r="D46" s="388" t="str">
        <f aca="false">IF(LEN(S46)=0,"",LEFT(S46,LEN(S46)-3))</f>
        <v/>
      </c>
      <c r="E46" s="380" t="n">
        <f aca="false">INDEX(FC_FLUJO_CAJA!$D$14:$BK$14,1,$B46)</f>
        <v>591664.964615872</v>
      </c>
      <c r="F46" s="380" t="n">
        <f aca="false">INDEX(FC_FLUJO_CAJA!$D$35:$BK$35,1,$B46)</f>
        <v>511564.358539368</v>
      </c>
      <c r="G46" s="380" t="n">
        <f aca="false">INDEX(FC_FLUJO_CAJA!$D$39:$BK$39,1,$B46)</f>
        <v>20566.7120211926</v>
      </c>
      <c r="H46" s="380" t="n">
        <f aca="false">INDEX(FC_FLUJO_CAJA!$D$54:$BK$54,1,$B46)</f>
        <v>0</v>
      </c>
      <c r="I46" s="380" t="n">
        <f aca="false">INDEX(FC_FLUJO_CAJA!$D$68:$BK$68,1,$B46)</f>
        <v>0</v>
      </c>
      <c r="J46" s="380" t="n">
        <f aca="false">INDEX(FC_FLUJO_CAJA!$D$81:$BK$81,1,$B46)</f>
        <v>0</v>
      </c>
      <c r="K46" s="383" t="n">
        <f aca="false">F46+G46+H46+I46+J46</f>
        <v>532131.07056056</v>
      </c>
      <c r="L46" s="380" t="n">
        <f aca="false">INDEX(FC_FLUJO_CAJA!$D$85:$BK$85,1,$B46)</f>
        <v>59533.8940553121</v>
      </c>
      <c r="M46" s="495" t="n">
        <f aca="false">INDEX(FC_FLUJO_CAJA!$D$89:$BK$89,1,$B46)</f>
        <v>765400.35228961</v>
      </c>
      <c r="N46" s="511" t="n">
        <f aca="false">INDEX(FC_FLUJO_CAJA!$D$92:$BK$92,1,$B46)</f>
        <v>0</v>
      </c>
      <c r="O46" s="380" t="n">
        <f aca="false">INDEX(FC_FLUJO_CAJA!$D$93:$BK$93,1,$B46)</f>
        <v>2100000</v>
      </c>
      <c r="P46" s="383" t="n">
        <f aca="false">INDEX(FC_FLUJO_CAJA!$D$94:$BK$94,1,$B46)</f>
        <v>824934.246344922</v>
      </c>
      <c r="Q46" s="426" t="str">
        <f aca="false">IF(N46=0,"",IF(MAX(H46,I46,J46)&gt;=MAX(0,F46+G46-E46),IF(H46&gt;=MAX(I46,J46),"Equipos, montaje y arranque del centro de producción",IF(I46&gt;=J46,"Equipos, obra, depósitos y arranque de los PDV del piloto","Equipos y adecuación del flagship")),"Estructura corporativa, personal y operación de la red"))</f>
        <v/>
      </c>
      <c r="S46" s="512" t="str">
        <f aca="false">IF(INDEX(FC_CRONOGRAMA!$D$8:$BK$8,1,$B46)=1,"Orden de compra de equipos de PLANTA · ","")&amp;IF(INDEX(FC_CRONOGRAMA!$D$28:$BK$28,1,$B46)+INDEX(FC_CRONOGRAMA!$D$29:$BK$29,1,$B46)&gt;0,"Orden de compra de equipos de PDV · ","")&amp;IF(INDEX(FC_CRONOGRAMA!$D$9:$BK$9,1,$B46)=1,"Embarque de equipos de planta · ","")&amp;IF(INDEX(FC_CRONOGRAMA!$D$30:$BK$30,1,$B46)+INDEX(FC_CRONOGRAMA!$D$31:$BK$31,1,$B46)&gt;0,"Embarque de equipos de PDV · ","")&amp;IF(INDEX(FC_CRONOGRAMA!$D$10:$BK$10,1,$B46)=1,"Arribo y nacionalización — planta · ","")&amp;IF(INDEX(FC_CRONOGRAMA!$D$32:$BK$32,1,$B46)+INDEX(FC_CRONOGRAMA!$D$33:$BK$33,1,$B46)&gt;0,"Arribo y nacionalización — PDV · ","")&amp;IF(INDEX(FC_CRONOGRAMA!$D$11:$BK$11,1,$B46)=1,"Montaje y puesta en marcha de la planta · ","")&amp;IF(AND($B46=FC_SUPUESTOS!$C$23),"ARRANQUE DE LA PLANTA · ","")&amp;IF(INDEX(FC_CRONOGRAMA!$D$40:$BK$40,1,$B46)+INDEX(FC_CRONOGRAMA!$D$41:$BK$41,1,$B46)&gt;0,"Obra de adecuación de locales · ","")&amp;IF(INDEX(FC_CRONOGRAMA!$D$19:$BK$19,1,$B46)&gt;0,"Apertura de "&amp;TEXT(INDEX(FC_CRONOGRAMA!$D$19:$BK$19,1,$B46),"0")&amp;" PDV del piloto · ","")&amp;IF(INDEX(FC_CRONOGRAMA!$D$46:$BK$46,1,$B46)=1,"Orden de compra de equipos del flagship · ","")&amp;IF(INDEX(FC_CRONOGRAMA!$D$48:$BK$48,1,$B46)=1,"Arribo de equipos del flagship · ","")&amp;IF(INDEX(FC_CRONOGRAMA!$D$53:$BK$53,1,$B46)=1,"Obra de adecuación del flagship · ","")&amp;IF(AND(FC_SUPUESTOS!$C$12=1,$B46=FC_SUPUESTOS!$C$13),"APERTURA DEL FLAGSHIP · ","")</f>
        <v/>
      </c>
    </row>
    <row r="47" customFormat="false" ht="15" hidden="false" customHeight="true" outlineLevel="0" collapsed="false">
      <c r="B47" s="509" t="n">
        <v>26</v>
      </c>
      <c r="C47" s="510" t="n">
        <f aca="false">EDATE(DATE(YEAR(FC_SUPUESTOS!$D$14),MONTH(FC_SUPUESTOS!$D$14),1),$B47-1)</f>
        <v>47058</v>
      </c>
      <c r="D47" s="388" t="str">
        <f aca="false">IF(LEN(S47)=0,"",LEFT(S47,LEN(S47)-3))</f>
        <v/>
      </c>
      <c r="E47" s="380" t="n">
        <f aca="false">INDEX(FC_FLUJO_CAJA!$D$14:$BK$14,1,$B47)</f>
        <v>591664.964615872</v>
      </c>
      <c r="F47" s="380" t="n">
        <f aca="false">INDEX(FC_FLUJO_CAJA!$D$35:$BK$35,1,$B47)</f>
        <v>511564.358539368</v>
      </c>
      <c r="G47" s="380" t="n">
        <f aca="false">INDEX(FC_FLUJO_CAJA!$D$39:$BK$39,1,$B47)</f>
        <v>20566.7120211926</v>
      </c>
      <c r="H47" s="380" t="n">
        <f aca="false">INDEX(FC_FLUJO_CAJA!$D$54:$BK$54,1,$B47)</f>
        <v>0</v>
      </c>
      <c r="I47" s="380" t="n">
        <f aca="false">INDEX(FC_FLUJO_CAJA!$D$68:$BK$68,1,$B47)</f>
        <v>0</v>
      </c>
      <c r="J47" s="380" t="n">
        <f aca="false">INDEX(FC_FLUJO_CAJA!$D$81:$BK$81,1,$B47)</f>
        <v>0</v>
      </c>
      <c r="K47" s="383" t="n">
        <f aca="false">F47+G47+H47+I47+J47</f>
        <v>532131.07056056</v>
      </c>
      <c r="L47" s="380" t="n">
        <f aca="false">INDEX(FC_FLUJO_CAJA!$D$85:$BK$85,1,$B47)</f>
        <v>59533.8940553121</v>
      </c>
      <c r="M47" s="495" t="n">
        <f aca="false">INDEX(FC_FLUJO_CAJA!$D$89:$BK$89,1,$B47)</f>
        <v>824934.246344922</v>
      </c>
      <c r="N47" s="511" t="n">
        <f aca="false">INDEX(FC_FLUJO_CAJA!$D$92:$BK$92,1,$B47)</f>
        <v>0</v>
      </c>
      <c r="O47" s="380" t="n">
        <f aca="false">INDEX(FC_FLUJO_CAJA!$D$93:$BK$93,1,$B47)</f>
        <v>2100000</v>
      </c>
      <c r="P47" s="383" t="n">
        <f aca="false">INDEX(FC_FLUJO_CAJA!$D$94:$BK$94,1,$B47)</f>
        <v>884468.140400234</v>
      </c>
      <c r="Q47" s="426" t="str">
        <f aca="false">IF(N47=0,"",IF(MAX(H47,I47,J47)&gt;=MAX(0,F47+G47-E47),IF(H47&gt;=MAX(I47,J47),"Equipos, montaje y arranque del centro de producción",IF(I47&gt;=J47,"Equipos, obra, depósitos y arranque de los PDV del piloto","Equipos y adecuación del flagship")),"Estructura corporativa, personal y operación de la red"))</f>
        <v/>
      </c>
      <c r="S47" s="512" t="str">
        <f aca="false">IF(INDEX(FC_CRONOGRAMA!$D$8:$BK$8,1,$B47)=1,"Orden de compra de equipos de PLANTA · ","")&amp;IF(INDEX(FC_CRONOGRAMA!$D$28:$BK$28,1,$B47)+INDEX(FC_CRONOGRAMA!$D$29:$BK$29,1,$B47)&gt;0,"Orden de compra de equipos de PDV · ","")&amp;IF(INDEX(FC_CRONOGRAMA!$D$9:$BK$9,1,$B47)=1,"Embarque de equipos de planta · ","")&amp;IF(INDEX(FC_CRONOGRAMA!$D$30:$BK$30,1,$B47)+INDEX(FC_CRONOGRAMA!$D$31:$BK$31,1,$B47)&gt;0,"Embarque de equipos de PDV · ","")&amp;IF(INDEX(FC_CRONOGRAMA!$D$10:$BK$10,1,$B47)=1,"Arribo y nacionalización — planta · ","")&amp;IF(INDEX(FC_CRONOGRAMA!$D$32:$BK$32,1,$B47)+INDEX(FC_CRONOGRAMA!$D$33:$BK$33,1,$B47)&gt;0,"Arribo y nacionalización — PDV · ","")&amp;IF(INDEX(FC_CRONOGRAMA!$D$11:$BK$11,1,$B47)=1,"Montaje y puesta en marcha de la planta · ","")&amp;IF(AND($B47=FC_SUPUESTOS!$C$23),"ARRANQUE DE LA PLANTA · ","")&amp;IF(INDEX(FC_CRONOGRAMA!$D$40:$BK$40,1,$B47)+INDEX(FC_CRONOGRAMA!$D$41:$BK$41,1,$B47)&gt;0,"Obra de adecuación de locales · ","")&amp;IF(INDEX(FC_CRONOGRAMA!$D$19:$BK$19,1,$B47)&gt;0,"Apertura de "&amp;TEXT(INDEX(FC_CRONOGRAMA!$D$19:$BK$19,1,$B47),"0")&amp;" PDV del piloto · ","")&amp;IF(INDEX(FC_CRONOGRAMA!$D$46:$BK$46,1,$B47)=1,"Orden de compra de equipos del flagship · ","")&amp;IF(INDEX(FC_CRONOGRAMA!$D$48:$BK$48,1,$B47)=1,"Arribo de equipos del flagship · ","")&amp;IF(INDEX(FC_CRONOGRAMA!$D$53:$BK$53,1,$B47)=1,"Obra de adecuación del flagship · ","")&amp;IF(AND(FC_SUPUESTOS!$C$12=1,$B47=FC_SUPUESTOS!$C$13),"APERTURA DEL FLAGSHIP · ","")</f>
        <v/>
      </c>
    </row>
    <row r="48" customFormat="false" ht="15" hidden="false" customHeight="true" outlineLevel="0" collapsed="false">
      <c r="B48" s="509" t="n">
        <v>27</v>
      </c>
      <c r="C48" s="510" t="n">
        <f aca="false">EDATE(DATE(YEAR(FC_SUPUESTOS!$D$14),MONTH(FC_SUPUESTOS!$D$14),1),$B48-1)</f>
        <v>47088</v>
      </c>
      <c r="D48" s="388" t="str">
        <f aca="false">IF(LEN(S48)=0,"",LEFT(S48,LEN(S48)-3))</f>
        <v/>
      </c>
      <c r="E48" s="380" t="n">
        <f aca="false">INDEX(FC_FLUJO_CAJA!$D$14:$BK$14,1,$B48)</f>
        <v>591664.964615872</v>
      </c>
      <c r="F48" s="380" t="n">
        <f aca="false">INDEX(FC_FLUJO_CAJA!$D$35:$BK$35,1,$B48)</f>
        <v>511564.358539368</v>
      </c>
      <c r="G48" s="380" t="n">
        <f aca="false">INDEX(FC_FLUJO_CAJA!$D$39:$BK$39,1,$B48)</f>
        <v>20566.7120211926</v>
      </c>
      <c r="H48" s="380" t="n">
        <f aca="false">INDEX(FC_FLUJO_CAJA!$D$54:$BK$54,1,$B48)</f>
        <v>0</v>
      </c>
      <c r="I48" s="380" t="n">
        <f aca="false">INDEX(FC_FLUJO_CAJA!$D$68:$BK$68,1,$B48)</f>
        <v>0</v>
      </c>
      <c r="J48" s="380" t="n">
        <f aca="false">INDEX(FC_FLUJO_CAJA!$D$81:$BK$81,1,$B48)</f>
        <v>0</v>
      </c>
      <c r="K48" s="383" t="n">
        <f aca="false">F48+G48+H48+I48+J48</f>
        <v>532131.07056056</v>
      </c>
      <c r="L48" s="380" t="n">
        <f aca="false">INDEX(FC_FLUJO_CAJA!$D$85:$BK$85,1,$B48)</f>
        <v>59533.8940553121</v>
      </c>
      <c r="M48" s="495" t="n">
        <f aca="false">INDEX(FC_FLUJO_CAJA!$D$89:$BK$89,1,$B48)</f>
        <v>884468.140400234</v>
      </c>
      <c r="N48" s="511" t="n">
        <f aca="false">INDEX(FC_FLUJO_CAJA!$D$92:$BK$92,1,$B48)</f>
        <v>0</v>
      </c>
      <c r="O48" s="380" t="n">
        <f aca="false">INDEX(FC_FLUJO_CAJA!$D$93:$BK$93,1,$B48)</f>
        <v>2100000</v>
      </c>
      <c r="P48" s="383" t="n">
        <f aca="false">INDEX(FC_FLUJO_CAJA!$D$94:$BK$94,1,$B48)</f>
        <v>944002.034455546</v>
      </c>
      <c r="Q48" s="426" t="str">
        <f aca="false">IF(N48=0,"",IF(MAX(H48,I48,J48)&gt;=MAX(0,F48+G48-E48),IF(H48&gt;=MAX(I48,J48),"Equipos, montaje y arranque del centro de producción",IF(I48&gt;=J48,"Equipos, obra, depósitos y arranque de los PDV del piloto","Equipos y adecuación del flagship")),"Estructura corporativa, personal y operación de la red"))</f>
        <v/>
      </c>
      <c r="S48" s="512" t="str">
        <f aca="false">IF(INDEX(FC_CRONOGRAMA!$D$8:$BK$8,1,$B48)=1,"Orden de compra de equipos de PLANTA · ","")&amp;IF(INDEX(FC_CRONOGRAMA!$D$28:$BK$28,1,$B48)+INDEX(FC_CRONOGRAMA!$D$29:$BK$29,1,$B48)&gt;0,"Orden de compra de equipos de PDV · ","")&amp;IF(INDEX(FC_CRONOGRAMA!$D$9:$BK$9,1,$B48)=1,"Embarque de equipos de planta · ","")&amp;IF(INDEX(FC_CRONOGRAMA!$D$30:$BK$30,1,$B48)+INDEX(FC_CRONOGRAMA!$D$31:$BK$31,1,$B48)&gt;0,"Embarque de equipos de PDV · ","")&amp;IF(INDEX(FC_CRONOGRAMA!$D$10:$BK$10,1,$B48)=1,"Arribo y nacionalización — planta · ","")&amp;IF(INDEX(FC_CRONOGRAMA!$D$32:$BK$32,1,$B48)+INDEX(FC_CRONOGRAMA!$D$33:$BK$33,1,$B48)&gt;0,"Arribo y nacionalización — PDV · ","")&amp;IF(INDEX(FC_CRONOGRAMA!$D$11:$BK$11,1,$B48)=1,"Montaje y puesta en marcha de la planta · ","")&amp;IF(AND($B48=FC_SUPUESTOS!$C$23),"ARRANQUE DE LA PLANTA · ","")&amp;IF(INDEX(FC_CRONOGRAMA!$D$40:$BK$40,1,$B48)+INDEX(FC_CRONOGRAMA!$D$41:$BK$41,1,$B48)&gt;0,"Obra de adecuación de locales · ","")&amp;IF(INDEX(FC_CRONOGRAMA!$D$19:$BK$19,1,$B48)&gt;0,"Apertura de "&amp;TEXT(INDEX(FC_CRONOGRAMA!$D$19:$BK$19,1,$B48),"0")&amp;" PDV del piloto · ","")&amp;IF(INDEX(FC_CRONOGRAMA!$D$46:$BK$46,1,$B48)=1,"Orden de compra de equipos del flagship · ","")&amp;IF(INDEX(FC_CRONOGRAMA!$D$48:$BK$48,1,$B48)=1,"Arribo de equipos del flagship · ","")&amp;IF(INDEX(FC_CRONOGRAMA!$D$53:$BK$53,1,$B48)=1,"Obra de adecuación del flagship · ","")&amp;IF(AND(FC_SUPUESTOS!$C$12=1,$B48=FC_SUPUESTOS!$C$13),"APERTURA DEL FLAGSHIP · ","")</f>
        <v/>
      </c>
    </row>
    <row r="49" customFormat="false" ht="15" hidden="false" customHeight="true" outlineLevel="0" collapsed="false">
      <c r="B49" s="509" t="n">
        <v>28</v>
      </c>
      <c r="C49" s="510" t="n">
        <f aca="false">EDATE(DATE(YEAR(FC_SUPUESTOS!$D$14),MONTH(FC_SUPUESTOS!$D$14),1),$B49-1)</f>
        <v>47119</v>
      </c>
      <c r="D49" s="388" t="str">
        <f aca="false">IF(LEN(S49)=0,"",LEFT(S49,LEN(S49)-3))</f>
        <v/>
      </c>
      <c r="E49" s="380" t="n">
        <f aca="false">INDEX(FC_FLUJO_CAJA!$D$14:$BK$14,1,$B49)</f>
        <v>591664.964615872</v>
      </c>
      <c r="F49" s="380" t="n">
        <f aca="false">INDEX(FC_FLUJO_CAJA!$D$35:$BK$35,1,$B49)</f>
        <v>511564.358539368</v>
      </c>
      <c r="G49" s="380" t="n">
        <f aca="false">INDEX(FC_FLUJO_CAJA!$D$39:$BK$39,1,$B49)</f>
        <v>22578.3729008866</v>
      </c>
      <c r="H49" s="380" t="n">
        <f aca="false">INDEX(FC_FLUJO_CAJA!$D$54:$BK$54,1,$B49)</f>
        <v>0</v>
      </c>
      <c r="I49" s="380" t="n">
        <f aca="false">INDEX(FC_FLUJO_CAJA!$D$68:$BK$68,1,$B49)</f>
        <v>0</v>
      </c>
      <c r="J49" s="380" t="n">
        <f aca="false">INDEX(FC_FLUJO_CAJA!$D$81:$BK$81,1,$B49)</f>
        <v>0</v>
      </c>
      <c r="K49" s="383" t="n">
        <f aca="false">F49+G49+H49+I49+J49</f>
        <v>534142.731440254</v>
      </c>
      <c r="L49" s="380" t="n">
        <f aca="false">INDEX(FC_FLUJO_CAJA!$D$85:$BK$85,1,$B49)</f>
        <v>57522.2331756181</v>
      </c>
      <c r="M49" s="495" t="n">
        <f aca="false">INDEX(FC_FLUJO_CAJA!$D$89:$BK$89,1,$B49)</f>
        <v>944002.034455546</v>
      </c>
      <c r="N49" s="511" t="n">
        <f aca="false">INDEX(FC_FLUJO_CAJA!$D$92:$BK$92,1,$B49)</f>
        <v>0</v>
      </c>
      <c r="O49" s="380" t="n">
        <f aca="false">INDEX(FC_FLUJO_CAJA!$D$93:$BK$93,1,$B49)</f>
        <v>2100000</v>
      </c>
      <c r="P49" s="383" t="n">
        <f aca="false">INDEX(FC_FLUJO_CAJA!$D$94:$BK$94,1,$B49)</f>
        <v>1001524.26763116</v>
      </c>
      <c r="Q49" s="426" t="str">
        <f aca="false">IF(N49=0,"",IF(MAX(H49,I49,J49)&gt;=MAX(0,F49+G49-E49),IF(H49&gt;=MAX(I49,J49),"Equipos, montaje y arranque del centro de producción",IF(I49&gt;=J49,"Equipos, obra, depósitos y arranque de los PDV del piloto","Equipos y adecuación del flagship")),"Estructura corporativa, personal y operación de la red"))</f>
        <v/>
      </c>
      <c r="S49" s="512" t="str">
        <f aca="false">IF(INDEX(FC_CRONOGRAMA!$D$8:$BK$8,1,$B49)=1,"Orden de compra de equipos de PLANTA · ","")&amp;IF(INDEX(FC_CRONOGRAMA!$D$28:$BK$28,1,$B49)+INDEX(FC_CRONOGRAMA!$D$29:$BK$29,1,$B49)&gt;0,"Orden de compra de equipos de PDV · ","")&amp;IF(INDEX(FC_CRONOGRAMA!$D$9:$BK$9,1,$B49)=1,"Embarque de equipos de planta · ","")&amp;IF(INDEX(FC_CRONOGRAMA!$D$30:$BK$30,1,$B49)+INDEX(FC_CRONOGRAMA!$D$31:$BK$31,1,$B49)&gt;0,"Embarque de equipos de PDV · ","")&amp;IF(INDEX(FC_CRONOGRAMA!$D$10:$BK$10,1,$B49)=1,"Arribo y nacionalización — planta · ","")&amp;IF(INDEX(FC_CRONOGRAMA!$D$32:$BK$32,1,$B49)+INDEX(FC_CRONOGRAMA!$D$33:$BK$33,1,$B49)&gt;0,"Arribo y nacionalización — PDV · ","")&amp;IF(INDEX(FC_CRONOGRAMA!$D$11:$BK$11,1,$B49)=1,"Montaje y puesta en marcha de la planta · ","")&amp;IF(AND($B49=FC_SUPUESTOS!$C$23),"ARRANQUE DE LA PLANTA · ","")&amp;IF(INDEX(FC_CRONOGRAMA!$D$40:$BK$40,1,$B49)+INDEX(FC_CRONOGRAMA!$D$41:$BK$41,1,$B49)&gt;0,"Obra de adecuación de locales · ","")&amp;IF(INDEX(FC_CRONOGRAMA!$D$19:$BK$19,1,$B49)&gt;0,"Apertura de "&amp;TEXT(INDEX(FC_CRONOGRAMA!$D$19:$BK$19,1,$B49),"0")&amp;" PDV del piloto · ","")&amp;IF(INDEX(FC_CRONOGRAMA!$D$46:$BK$46,1,$B49)=1,"Orden de compra de equipos del flagship · ","")&amp;IF(INDEX(FC_CRONOGRAMA!$D$48:$BK$48,1,$B49)=1,"Arribo de equipos del flagship · ","")&amp;IF(INDEX(FC_CRONOGRAMA!$D$53:$BK$53,1,$B49)=1,"Obra de adecuación del flagship · ","")&amp;IF(AND(FC_SUPUESTOS!$C$12=1,$B49=FC_SUPUESTOS!$C$13),"APERTURA DEL FLAGSHIP · ","")</f>
        <v/>
      </c>
    </row>
    <row r="50" customFormat="false" ht="15" hidden="false" customHeight="true" outlineLevel="0" collapsed="false">
      <c r="B50" s="509" t="n">
        <v>29</v>
      </c>
      <c r="C50" s="510" t="n">
        <f aca="false">EDATE(DATE(YEAR(FC_SUPUESTOS!$D$14),MONTH(FC_SUPUESTOS!$D$14),1),$B50-1)</f>
        <v>47150</v>
      </c>
      <c r="D50" s="388" t="str">
        <f aca="false">IF(LEN(S50)=0,"",LEFT(S50,LEN(S50)-3))</f>
        <v/>
      </c>
      <c r="E50" s="380" t="n">
        <f aca="false">INDEX(FC_FLUJO_CAJA!$D$14:$BK$14,1,$B50)</f>
        <v>591664.964615872</v>
      </c>
      <c r="F50" s="380" t="n">
        <f aca="false">INDEX(FC_FLUJO_CAJA!$D$35:$BK$35,1,$B50)</f>
        <v>511564.358539368</v>
      </c>
      <c r="G50" s="380" t="n">
        <f aca="false">INDEX(FC_FLUJO_CAJA!$D$39:$BK$39,1,$B50)</f>
        <v>22578.3729008866</v>
      </c>
      <c r="H50" s="380" t="n">
        <f aca="false">INDEX(FC_FLUJO_CAJA!$D$54:$BK$54,1,$B50)</f>
        <v>0</v>
      </c>
      <c r="I50" s="380" t="n">
        <f aca="false">INDEX(FC_FLUJO_CAJA!$D$68:$BK$68,1,$B50)</f>
        <v>0</v>
      </c>
      <c r="J50" s="380" t="n">
        <f aca="false">INDEX(FC_FLUJO_CAJA!$D$81:$BK$81,1,$B50)</f>
        <v>0</v>
      </c>
      <c r="K50" s="383" t="n">
        <f aca="false">F50+G50+H50+I50+J50</f>
        <v>534142.731440254</v>
      </c>
      <c r="L50" s="380" t="n">
        <f aca="false">INDEX(FC_FLUJO_CAJA!$D$85:$BK$85,1,$B50)</f>
        <v>57522.2331756181</v>
      </c>
      <c r="M50" s="495" t="n">
        <f aca="false">INDEX(FC_FLUJO_CAJA!$D$89:$BK$89,1,$B50)</f>
        <v>1001524.26763116</v>
      </c>
      <c r="N50" s="511" t="n">
        <f aca="false">INDEX(FC_FLUJO_CAJA!$D$92:$BK$92,1,$B50)</f>
        <v>0</v>
      </c>
      <c r="O50" s="380" t="n">
        <f aca="false">INDEX(FC_FLUJO_CAJA!$D$93:$BK$93,1,$B50)</f>
        <v>2100000</v>
      </c>
      <c r="P50" s="383" t="n">
        <f aca="false">INDEX(FC_FLUJO_CAJA!$D$94:$BK$94,1,$B50)</f>
        <v>1059046.50080678</v>
      </c>
      <c r="Q50" s="426" t="str">
        <f aca="false">IF(N50=0,"",IF(MAX(H50,I50,J50)&gt;=MAX(0,F50+G50-E50),IF(H50&gt;=MAX(I50,J50),"Equipos, montaje y arranque del centro de producción",IF(I50&gt;=J50,"Equipos, obra, depósitos y arranque de los PDV del piloto","Equipos y adecuación del flagship")),"Estructura corporativa, personal y operación de la red"))</f>
        <v/>
      </c>
      <c r="S50" s="512" t="str">
        <f aca="false">IF(INDEX(FC_CRONOGRAMA!$D$8:$BK$8,1,$B50)=1,"Orden de compra de equipos de PLANTA · ","")&amp;IF(INDEX(FC_CRONOGRAMA!$D$28:$BK$28,1,$B50)+INDEX(FC_CRONOGRAMA!$D$29:$BK$29,1,$B50)&gt;0,"Orden de compra de equipos de PDV · ","")&amp;IF(INDEX(FC_CRONOGRAMA!$D$9:$BK$9,1,$B50)=1,"Embarque de equipos de planta · ","")&amp;IF(INDEX(FC_CRONOGRAMA!$D$30:$BK$30,1,$B50)+INDEX(FC_CRONOGRAMA!$D$31:$BK$31,1,$B50)&gt;0,"Embarque de equipos de PDV · ","")&amp;IF(INDEX(FC_CRONOGRAMA!$D$10:$BK$10,1,$B50)=1,"Arribo y nacionalización — planta · ","")&amp;IF(INDEX(FC_CRONOGRAMA!$D$32:$BK$32,1,$B50)+INDEX(FC_CRONOGRAMA!$D$33:$BK$33,1,$B50)&gt;0,"Arribo y nacionalización — PDV · ","")&amp;IF(INDEX(FC_CRONOGRAMA!$D$11:$BK$11,1,$B50)=1,"Montaje y puesta en marcha de la planta · ","")&amp;IF(AND($B50=FC_SUPUESTOS!$C$23),"ARRANQUE DE LA PLANTA · ","")&amp;IF(INDEX(FC_CRONOGRAMA!$D$40:$BK$40,1,$B50)+INDEX(FC_CRONOGRAMA!$D$41:$BK$41,1,$B50)&gt;0,"Obra de adecuación de locales · ","")&amp;IF(INDEX(FC_CRONOGRAMA!$D$19:$BK$19,1,$B50)&gt;0,"Apertura de "&amp;TEXT(INDEX(FC_CRONOGRAMA!$D$19:$BK$19,1,$B50),"0")&amp;" PDV del piloto · ","")&amp;IF(INDEX(FC_CRONOGRAMA!$D$46:$BK$46,1,$B50)=1,"Orden de compra de equipos del flagship · ","")&amp;IF(INDEX(FC_CRONOGRAMA!$D$48:$BK$48,1,$B50)=1,"Arribo de equipos del flagship · ","")&amp;IF(INDEX(FC_CRONOGRAMA!$D$53:$BK$53,1,$B50)=1,"Obra de adecuación del flagship · ","")&amp;IF(AND(FC_SUPUESTOS!$C$12=1,$B50=FC_SUPUESTOS!$C$13),"APERTURA DEL FLAGSHIP · ","")</f>
        <v/>
      </c>
    </row>
    <row r="51" customFormat="false" ht="15" hidden="false" customHeight="true" outlineLevel="0" collapsed="false">
      <c r="B51" s="509" t="n">
        <v>30</v>
      </c>
      <c r="C51" s="510" t="n">
        <f aca="false">EDATE(DATE(YEAR(FC_SUPUESTOS!$D$14),MONTH(FC_SUPUESTOS!$D$14),1),$B51-1)</f>
        <v>47178</v>
      </c>
      <c r="D51" s="388" t="str">
        <f aca="false">IF(LEN(S51)=0,"",LEFT(S51,LEN(S51)-3))</f>
        <v/>
      </c>
      <c r="E51" s="380" t="n">
        <f aca="false">INDEX(FC_FLUJO_CAJA!$D$14:$BK$14,1,$B51)</f>
        <v>591664.964615872</v>
      </c>
      <c r="F51" s="380" t="n">
        <f aca="false">INDEX(FC_FLUJO_CAJA!$D$35:$BK$35,1,$B51)</f>
        <v>511564.358539368</v>
      </c>
      <c r="G51" s="380" t="n">
        <f aca="false">INDEX(FC_FLUJO_CAJA!$D$39:$BK$39,1,$B51)</f>
        <v>22578.3729008866</v>
      </c>
      <c r="H51" s="380" t="n">
        <f aca="false">INDEX(FC_FLUJO_CAJA!$D$54:$BK$54,1,$B51)</f>
        <v>0</v>
      </c>
      <c r="I51" s="380" t="n">
        <f aca="false">INDEX(FC_FLUJO_CAJA!$D$68:$BK$68,1,$B51)</f>
        <v>0</v>
      </c>
      <c r="J51" s="380" t="n">
        <f aca="false">INDEX(FC_FLUJO_CAJA!$D$81:$BK$81,1,$B51)</f>
        <v>0</v>
      </c>
      <c r="K51" s="383" t="n">
        <f aca="false">F51+G51+H51+I51+J51</f>
        <v>534142.731440254</v>
      </c>
      <c r="L51" s="380" t="n">
        <f aca="false">INDEX(FC_FLUJO_CAJA!$D$85:$BK$85,1,$B51)</f>
        <v>57522.2331756181</v>
      </c>
      <c r="M51" s="495" t="n">
        <f aca="false">INDEX(FC_FLUJO_CAJA!$D$89:$BK$89,1,$B51)</f>
        <v>1059046.50080678</v>
      </c>
      <c r="N51" s="511" t="n">
        <f aca="false">INDEX(FC_FLUJO_CAJA!$D$92:$BK$92,1,$B51)</f>
        <v>0</v>
      </c>
      <c r="O51" s="380" t="n">
        <f aca="false">INDEX(FC_FLUJO_CAJA!$D$93:$BK$93,1,$B51)</f>
        <v>2100000</v>
      </c>
      <c r="P51" s="383" t="n">
        <f aca="false">INDEX(FC_FLUJO_CAJA!$D$94:$BK$94,1,$B51)</f>
        <v>1116568.7339824</v>
      </c>
      <c r="Q51" s="426" t="str">
        <f aca="false">IF(N51=0,"",IF(MAX(H51,I51,J51)&gt;=MAX(0,F51+G51-E51),IF(H51&gt;=MAX(I51,J51),"Equipos, montaje y arranque del centro de producción",IF(I51&gt;=J51,"Equipos, obra, depósitos y arranque de los PDV del piloto","Equipos y adecuación del flagship")),"Estructura corporativa, personal y operación de la red"))</f>
        <v/>
      </c>
      <c r="S51" s="512" t="str">
        <f aca="false">IF(INDEX(FC_CRONOGRAMA!$D$8:$BK$8,1,$B51)=1,"Orden de compra de equipos de PLANTA · ","")&amp;IF(INDEX(FC_CRONOGRAMA!$D$28:$BK$28,1,$B51)+INDEX(FC_CRONOGRAMA!$D$29:$BK$29,1,$B51)&gt;0,"Orden de compra de equipos de PDV · ","")&amp;IF(INDEX(FC_CRONOGRAMA!$D$9:$BK$9,1,$B51)=1,"Embarque de equipos de planta · ","")&amp;IF(INDEX(FC_CRONOGRAMA!$D$30:$BK$30,1,$B51)+INDEX(FC_CRONOGRAMA!$D$31:$BK$31,1,$B51)&gt;0,"Embarque de equipos de PDV · ","")&amp;IF(INDEX(FC_CRONOGRAMA!$D$10:$BK$10,1,$B51)=1,"Arribo y nacionalización — planta · ","")&amp;IF(INDEX(FC_CRONOGRAMA!$D$32:$BK$32,1,$B51)+INDEX(FC_CRONOGRAMA!$D$33:$BK$33,1,$B51)&gt;0,"Arribo y nacionalización — PDV · ","")&amp;IF(INDEX(FC_CRONOGRAMA!$D$11:$BK$11,1,$B51)=1,"Montaje y puesta en marcha de la planta · ","")&amp;IF(AND($B51=FC_SUPUESTOS!$C$23),"ARRANQUE DE LA PLANTA · ","")&amp;IF(INDEX(FC_CRONOGRAMA!$D$40:$BK$40,1,$B51)+INDEX(FC_CRONOGRAMA!$D$41:$BK$41,1,$B51)&gt;0,"Obra de adecuación de locales · ","")&amp;IF(INDEX(FC_CRONOGRAMA!$D$19:$BK$19,1,$B51)&gt;0,"Apertura de "&amp;TEXT(INDEX(FC_CRONOGRAMA!$D$19:$BK$19,1,$B51),"0")&amp;" PDV del piloto · ","")&amp;IF(INDEX(FC_CRONOGRAMA!$D$46:$BK$46,1,$B51)=1,"Orden de compra de equipos del flagship · ","")&amp;IF(INDEX(FC_CRONOGRAMA!$D$48:$BK$48,1,$B51)=1,"Arribo de equipos del flagship · ","")&amp;IF(INDEX(FC_CRONOGRAMA!$D$53:$BK$53,1,$B51)=1,"Obra de adecuación del flagship · ","")&amp;IF(AND(FC_SUPUESTOS!$C$12=1,$B51=FC_SUPUESTOS!$C$13),"APERTURA DEL FLAGSHIP · ","")</f>
        <v/>
      </c>
    </row>
    <row r="52" customFormat="false" ht="15" hidden="false" customHeight="true" outlineLevel="0" collapsed="false">
      <c r="B52" s="509" t="n">
        <v>31</v>
      </c>
      <c r="C52" s="510" t="n">
        <f aca="false">EDATE(DATE(YEAR(FC_SUPUESTOS!$D$14),MONTH(FC_SUPUESTOS!$D$14),1),$B52-1)</f>
        <v>47209</v>
      </c>
      <c r="D52" s="388" t="str">
        <f aca="false">IF(LEN(S52)=0,"",LEFT(S52,LEN(S52)-3))</f>
        <v/>
      </c>
      <c r="E52" s="380" t="n">
        <f aca="false">INDEX(FC_FLUJO_CAJA!$D$14:$BK$14,1,$B52)</f>
        <v>591664.964615872</v>
      </c>
      <c r="F52" s="380" t="n">
        <f aca="false">INDEX(FC_FLUJO_CAJA!$D$35:$BK$35,1,$B52)</f>
        <v>511564.358539368</v>
      </c>
      <c r="G52" s="380" t="n">
        <f aca="false">INDEX(FC_FLUJO_CAJA!$D$39:$BK$39,1,$B52)</f>
        <v>22578.3729008866</v>
      </c>
      <c r="H52" s="380" t="n">
        <f aca="false">INDEX(FC_FLUJO_CAJA!$D$54:$BK$54,1,$B52)</f>
        <v>0</v>
      </c>
      <c r="I52" s="380" t="n">
        <f aca="false">INDEX(FC_FLUJO_CAJA!$D$68:$BK$68,1,$B52)</f>
        <v>0</v>
      </c>
      <c r="J52" s="380" t="n">
        <f aca="false">INDEX(FC_FLUJO_CAJA!$D$81:$BK$81,1,$B52)</f>
        <v>0</v>
      </c>
      <c r="K52" s="383" t="n">
        <f aca="false">F52+G52+H52+I52+J52</f>
        <v>534142.731440254</v>
      </c>
      <c r="L52" s="380" t="n">
        <f aca="false">INDEX(FC_FLUJO_CAJA!$D$85:$BK$85,1,$B52)</f>
        <v>57522.2331756181</v>
      </c>
      <c r="M52" s="495" t="n">
        <f aca="false">INDEX(FC_FLUJO_CAJA!$D$89:$BK$89,1,$B52)</f>
        <v>1116568.7339824</v>
      </c>
      <c r="N52" s="511" t="n">
        <f aca="false">INDEX(FC_FLUJO_CAJA!$D$92:$BK$92,1,$B52)</f>
        <v>0</v>
      </c>
      <c r="O52" s="380" t="n">
        <f aca="false">INDEX(FC_FLUJO_CAJA!$D$93:$BK$93,1,$B52)</f>
        <v>2100000</v>
      </c>
      <c r="P52" s="383" t="n">
        <f aca="false">INDEX(FC_FLUJO_CAJA!$D$94:$BK$94,1,$B52)</f>
        <v>1174090.96715802</v>
      </c>
      <c r="Q52" s="426" t="str">
        <f aca="false">IF(N52=0,"",IF(MAX(H52,I52,J52)&gt;=MAX(0,F52+G52-E52),IF(H52&gt;=MAX(I52,J52),"Equipos, montaje y arranque del centro de producción",IF(I52&gt;=J52,"Equipos, obra, depósitos y arranque de los PDV del piloto","Equipos y adecuación del flagship")),"Estructura corporativa, personal y operación de la red"))</f>
        <v/>
      </c>
      <c r="S52" s="512" t="str">
        <f aca="false">IF(INDEX(FC_CRONOGRAMA!$D$8:$BK$8,1,$B52)=1,"Orden de compra de equipos de PLANTA · ","")&amp;IF(INDEX(FC_CRONOGRAMA!$D$28:$BK$28,1,$B52)+INDEX(FC_CRONOGRAMA!$D$29:$BK$29,1,$B52)&gt;0,"Orden de compra de equipos de PDV · ","")&amp;IF(INDEX(FC_CRONOGRAMA!$D$9:$BK$9,1,$B52)=1,"Embarque de equipos de planta · ","")&amp;IF(INDEX(FC_CRONOGRAMA!$D$30:$BK$30,1,$B52)+INDEX(FC_CRONOGRAMA!$D$31:$BK$31,1,$B52)&gt;0,"Embarque de equipos de PDV · ","")&amp;IF(INDEX(FC_CRONOGRAMA!$D$10:$BK$10,1,$B52)=1,"Arribo y nacionalización — planta · ","")&amp;IF(INDEX(FC_CRONOGRAMA!$D$32:$BK$32,1,$B52)+INDEX(FC_CRONOGRAMA!$D$33:$BK$33,1,$B52)&gt;0,"Arribo y nacionalización — PDV · ","")&amp;IF(INDEX(FC_CRONOGRAMA!$D$11:$BK$11,1,$B52)=1,"Montaje y puesta en marcha de la planta · ","")&amp;IF(AND($B52=FC_SUPUESTOS!$C$23),"ARRANQUE DE LA PLANTA · ","")&amp;IF(INDEX(FC_CRONOGRAMA!$D$40:$BK$40,1,$B52)+INDEX(FC_CRONOGRAMA!$D$41:$BK$41,1,$B52)&gt;0,"Obra de adecuación de locales · ","")&amp;IF(INDEX(FC_CRONOGRAMA!$D$19:$BK$19,1,$B52)&gt;0,"Apertura de "&amp;TEXT(INDEX(FC_CRONOGRAMA!$D$19:$BK$19,1,$B52),"0")&amp;" PDV del piloto · ","")&amp;IF(INDEX(FC_CRONOGRAMA!$D$46:$BK$46,1,$B52)=1,"Orden de compra de equipos del flagship · ","")&amp;IF(INDEX(FC_CRONOGRAMA!$D$48:$BK$48,1,$B52)=1,"Arribo de equipos del flagship · ","")&amp;IF(INDEX(FC_CRONOGRAMA!$D$53:$BK$53,1,$B52)=1,"Obra de adecuación del flagship · ","")&amp;IF(AND(FC_SUPUESTOS!$C$12=1,$B52=FC_SUPUESTOS!$C$13),"APERTURA DEL FLAGSHIP · ","")</f>
        <v/>
      </c>
    </row>
    <row r="53" customFormat="false" ht="15" hidden="false" customHeight="true" outlineLevel="0" collapsed="false">
      <c r="B53" s="509" t="n">
        <v>32</v>
      </c>
      <c r="C53" s="510" t="n">
        <f aca="false">EDATE(DATE(YEAR(FC_SUPUESTOS!$D$14),MONTH(FC_SUPUESTOS!$D$14),1),$B53-1)</f>
        <v>47239</v>
      </c>
      <c r="D53" s="388" t="str">
        <f aca="false">IF(LEN(S53)=0,"",LEFT(S53,LEN(S53)-3))</f>
        <v/>
      </c>
      <c r="E53" s="380" t="n">
        <f aca="false">INDEX(FC_FLUJO_CAJA!$D$14:$BK$14,1,$B53)</f>
        <v>591664.964615872</v>
      </c>
      <c r="F53" s="380" t="n">
        <f aca="false">INDEX(FC_FLUJO_CAJA!$D$35:$BK$35,1,$B53)</f>
        <v>511564.358539368</v>
      </c>
      <c r="G53" s="380" t="n">
        <f aca="false">INDEX(FC_FLUJO_CAJA!$D$39:$BK$39,1,$B53)</f>
        <v>22578.3729008866</v>
      </c>
      <c r="H53" s="380" t="n">
        <f aca="false">INDEX(FC_FLUJO_CAJA!$D$54:$BK$54,1,$B53)</f>
        <v>0</v>
      </c>
      <c r="I53" s="380" t="n">
        <f aca="false">INDEX(FC_FLUJO_CAJA!$D$68:$BK$68,1,$B53)</f>
        <v>0</v>
      </c>
      <c r="J53" s="380" t="n">
        <f aca="false">INDEX(FC_FLUJO_CAJA!$D$81:$BK$81,1,$B53)</f>
        <v>0</v>
      </c>
      <c r="K53" s="383" t="n">
        <f aca="false">F53+G53+H53+I53+J53</f>
        <v>534142.731440254</v>
      </c>
      <c r="L53" s="380" t="n">
        <f aca="false">INDEX(FC_FLUJO_CAJA!$D$85:$BK$85,1,$B53)</f>
        <v>57522.2331756181</v>
      </c>
      <c r="M53" s="495" t="n">
        <f aca="false">INDEX(FC_FLUJO_CAJA!$D$89:$BK$89,1,$B53)</f>
        <v>1174090.96715802</v>
      </c>
      <c r="N53" s="511" t="n">
        <f aca="false">INDEX(FC_FLUJO_CAJA!$D$92:$BK$92,1,$B53)</f>
        <v>0</v>
      </c>
      <c r="O53" s="380" t="n">
        <f aca="false">INDEX(FC_FLUJO_CAJA!$D$93:$BK$93,1,$B53)</f>
        <v>2100000</v>
      </c>
      <c r="P53" s="383" t="n">
        <f aca="false">INDEX(FC_FLUJO_CAJA!$D$94:$BK$94,1,$B53)</f>
        <v>1231613.20033364</v>
      </c>
      <c r="Q53" s="426" t="str">
        <f aca="false">IF(N53=0,"",IF(MAX(H53,I53,J53)&gt;=MAX(0,F53+G53-E53),IF(H53&gt;=MAX(I53,J53),"Equipos, montaje y arranque del centro de producción",IF(I53&gt;=J53,"Equipos, obra, depósitos y arranque de los PDV del piloto","Equipos y adecuación del flagship")),"Estructura corporativa, personal y operación de la red"))</f>
        <v/>
      </c>
      <c r="S53" s="512" t="str">
        <f aca="false">IF(INDEX(FC_CRONOGRAMA!$D$8:$BK$8,1,$B53)=1,"Orden de compra de equipos de PLANTA · ","")&amp;IF(INDEX(FC_CRONOGRAMA!$D$28:$BK$28,1,$B53)+INDEX(FC_CRONOGRAMA!$D$29:$BK$29,1,$B53)&gt;0,"Orden de compra de equipos de PDV · ","")&amp;IF(INDEX(FC_CRONOGRAMA!$D$9:$BK$9,1,$B53)=1,"Embarque de equipos de planta · ","")&amp;IF(INDEX(FC_CRONOGRAMA!$D$30:$BK$30,1,$B53)+INDEX(FC_CRONOGRAMA!$D$31:$BK$31,1,$B53)&gt;0,"Embarque de equipos de PDV · ","")&amp;IF(INDEX(FC_CRONOGRAMA!$D$10:$BK$10,1,$B53)=1,"Arribo y nacionalización — planta · ","")&amp;IF(INDEX(FC_CRONOGRAMA!$D$32:$BK$32,1,$B53)+INDEX(FC_CRONOGRAMA!$D$33:$BK$33,1,$B53)&gt;0,"Arribo y nacionalización — PDV · ","")&amp;IF(INDEX(FC_CRONOGRAMA!$D$11:$BK$11,1,$B53)=1,"Montaje y puesta en marcha de la planta · ","")&amp;IF(AND($B53=FC_SUPUESTOS!$C$23),"ARRANQUE DE LA PLANTA · ","")&amp;IF(INDEX(FC_CRONOGRAMA!$D$40:$BK$40,1,$B53)+INDEX(FC_CRONOGRAMA!$D$41:$BK$41,1,$B53)&gt;0,"Obra de adecuación de locales · ","")&amp;IF(INDEX(FC_CRONOGRAMA!$D$19:$BK$19,1,$B53)&gt;0,"Apertura de "&amp;TEXT(INDEX(FC_CRONOGRAMA!$D$19:$BK$19,1,$B53),"0")&amp;" PDV del piloto · ","")&amp;IF(INDEX(FC_CRONOGRAMA!$D$46:$BK$46,1,$B53)=1,"Orden de compra de equipos del flagship · ","")&amp;IF(INDEX(FC_CRONOGRAMA!$D$48:$BK$48,1,$B53)=1,"Arribo de equipos del flagship · ","")&amp;IF(INDEX(FC_CRONOGRAMA!$D$53:$BK$53,1,$B53)=1,"Obra de adecuación del flagship · ","")&amp;IF(AND(FC_SUPUESTOS!$C$12=1,$B53=FC_SUPUESTOS!$C$13),"APERTURA DEL FLAGSHIP · ","")</f>
        <v/>
      </c>
    </row>
    <row r="54" customFormat="false" ht="15" hidden="false" customHeight="true" outlineLevel="0" collapsed="false">
      <c r="B54" s="509" t="n">
        <v>33</v>
      </c>
      <c r="C54" s="510" t="n">
        <f aca="false">EDATE(DATE(YEAR(FC_SUPUESTOS!$D$14),MONTH(FC_SUPUESTOS!$D$14),1),$B54-1)</f>
        <v>47270</v>
      </c>
      <c r="D54" s="388" t="str">
        <f aca="false">IF(LEN(S54)=0,"",LEFT(S54,LEN(S54)-3))</f>
        <v/>
      </c>
      <c r="E54" s="380" t="n">
        <f aca="false">INDEX(FC_FLUJO_CAJA!$D$14:$BK$14,1,$B54)</f>
        <v>591664.964615872</v>
      </c>
      <c r="F54" s="380" t="n">
        <f aca="false">INDEX(FC_FLUJO_CAJA!$D$35:$BK$35,1,$B54)</f>
        <v>511564.358539368</v>
      </c>
      <c r="G54" s="380" t="n">
        <f aca="false">INDEX(FC_FLUJO_CAJA!$D$39:$BK$39,1,$B54)</f>
        <v>22578.3729008866</v>
      </c>
      <c r="H54" s="380" t="n">
        <f aca="false">INDEX(FC_FLUJO_CAJA!$D$54:$BK$54,1,$B54)</f>
        <v>0</v>
      </c>
      <c r="I54" s="380" t="n">
        <f aca="false">INDEX(FC_FLUJO_CAJA!$D$68:$BK$68,1,$B54)</f>
        <v>0</v>
      </c>
      <c r="J54" s="380" t="n">
        <f aca="false">INDEX(FC_FLUJO_CAJA!$D$81:$BK$81,1,$B54)</f>
        <v>0</v>
      </c>
      <c r="K54" s="383" t="n">
        <f aca="false">F54+G54+H54+I54+J54</f>
        <v>534142.731440254</v>
      </c>
      <c r="L54" s="380" t="n">
        <f aca="false">INDEX(FC_FLUJO_CAJA!$D$85:$BK$85,1,$B54)</f>
        <v>57522.2331756181</v>
      </c>
      <c r="M54" s="495" t="n">
        <f aca="false">INDEX(FC_FLUJO_CAJA!$D$89:$BK$89,1,$B54)</f>
        <v>1231613.20033364</v>
      </c>
      <c r="N54" s="511" t="n">
        <f aca="false">INDEX(FC_FLUJO_CAJA!$D$92:$BK$92,1,$B54)</f>
        <v>0</v>
      </c>
      <c r="O54" s="380" t="n">
        <f aca="false">INDEX(FC_FLUJO_CAJA!$D$93:$BK$93,1,$B54)</f>
        <v>2100000</v>
      </c>
      <c r="P54" s="383" t="n">
        <f aca="false">INDEX(FC_FLUJO_CAJA!$D$94:$BK$94,1,$B54)</f>
        <v>1289135.43350925</v>
      </c>
      <c r="Q54" s="426" t="str">
        <f aca="false">IF(N54=0,"",IF(MAX(H54,I54,J54)&gt;=MAX(0,F54+G54-E54),IF(H54&gt;=MAX(I54,J54),"Equipos, montaje y arranque del centro de producción",IF(I54&gt;=J54,"Equipos, obra, depósitos y arranque de los PDV del piloto","Equipos y adecuación del flagship")),"Estructura corporativa, personal y operación de la red"))</f>
        <v/>
      </c>
      <c r="S54" s="512" t="str">
        <f aca="false">IF(INDEX(FC_CRONOGRAMA!$D$8:$BK$8,1,$B54)=1,"Orden de compra de equipos de PLANTA · ","")&amp;IF(INDEX(FC_CRONOGRAMA!$D$28:$BK$28,1,$B54)+INDEX(FC_CRONOGRAMA!$D$29:$BK$29,1,$B54)&gt;0,"Orden de compra de equipos de PDV · ","")&amp;IF(INDEX(FC_CRONOGRAMA!$D$9:$BK$9,1,$B54)=1,"Embarque de equipos de planta · ","")&amp;IF(INDEX(FC_CRONOGRAMA!$D$30:$BK$30,1,$B54)+INDEX(FC_CRONOGRAMA!$D$31:$BK$31,1,$B54)&gt;0,"Embarque de equipos de PDV · ","")&amp;IF(INDEX(FC_CRONOGRAMA!$D$10:$BK$10,1,$B54)=1,"Arribo y nacionalización — planta · ","")&amp;IF(INDEX(FC_CRONOGRAMA!$D$32:$BK$32,1,$B54)+INDEX(FC_CRONOGRAMA!$D$33:$BK$33,1,$B54)&gt;0,"Arribo y nacionalización — PDV · ","")&amp;IF(INDEX(FC_CRONOGRAMA!$D$11:$BK$11,1,$B54)=1,"Montaje y puesta en marcha de la planta · ","")&amp;IF(AND($B54=FC_SUPUESTOS!$C$23),"ARRANQUE DE LA PLANTA · ","")&amp;IF(INDEX(FC_CRONOGRAMA!$D$40:$BK$40,1,$B54)+INDEX(FC_CRONOGRAMA!$D$41:$BK$41,1,$B54)&gt;0,"Obra de adecuación de locales · ","")&amp;IF(INDEX(FC_CRONOGRAMA!$D$19:$BK$19,1,$B54)&gt;0,"Apertura de "&amp;TEXT(INDEX(FC_CRONOGRAMA!$D$19:$BK$19,1,$B54),"0")&amp;" PDV del piloto · ","")&amp;IF(INDEX(FC_CRONOGRAMA!$D$46:$BK$46,1,$B54)=1,"Orden de compra de equipos del flagship · ","")&amp;IF(INDEX(FC_CRONOGRAMA!$D$48:$BK$48,1,$B54)=1,"Arribo de equipos del flagship · ","")&amp;IF(INDEX(FC_CRONOGRAMA!$D$53:$BK$53,1,$B54)=1,"Obra de adecuación del flagship · ","")&amp;IF(AND(FC_SUPUESTOS!$C$12=1,$B54=FC_SUPUESTOS!$C$13),"APERTURA DEL FLAGSHIP · ","")</f>
        <v/>
      </c>
    </row>
    <row r="55" customFormat="false" ht="15" hidden="false" customHeight="true" outlineLevel="0" collapsed="false">
      <c r="B55" s="509" t="n">
        <v>34</v>
      </c>
      <c r="C55" s="510" t="n">
        <f aca="false">EDATE(DATE(YEAR(FC_SUPUESTOS!$D$14),MONTH(FC_SUPUESTOS!$D$14),1),$B55-1)</f>
        <v>47300</v>
      </c>
      <c r="D55" s="388" t="str">
        <f aca="false">IF(LEN(S55)=0,"",LEFT(S55,LEN(S55)-3))</f>
        <v/>
      </c>
      <c r="E55" s="380" t="n">
        <f aca="false">INDEX(FC_FLUJO_CAJA!$D$14:$BK$14,1,$B55)</f>
        <v>591664.964615872</v>
      </c>
      <c r="F55" s="380" t="n">
        <f aca="false">INDEX(FC_FLUJO_CAJA!$D$35:$BK$35,1,$B55)</f>
        <v>511564.358539368</v>
      </c>
      <c r="G55" s="380" t="n">
        <f aca="false">INDEX(FC_FLUJO_CAJA!$D$39:$BK$39,1,$B55)</f>
        <v>22578.3729008866</v>
      </c>
      <c r="H55" s="380" t="n">
        <f aca="false">INDEX(FC_FLUJO_CAJA!$D$54:$BK$54,1,$B55)</f>
        <v>0</v>
      </c>
      <c r="I55" s="380" t="n">
        <f aca="false">INDEX(FC_FLUJO_CAJA!$D$68:$BK$68,1,$B55)</f>
        <v>0</v>
      </c>
      <c r="J55" s="380" t="n">
        <f aca="false">INDEX(FC_FLUJO_CAJA!$D$81:$BK$81,1,$B55)</f>
        <v>0</v>
      </c>
      <c r="K55" s="383" t="n">
        <f aca="false">F55+G55+H55+I55+J55</f>
        <v>534142.731440254</v>
      </c>
      <c r="L55" s="380" t="n">
        <f aca="false">INDEX(FC_FLUJO_CAJA!$D$85:$BK$85,1,$B55)</f>
        <v>57522.2331756181</v>
      </c>
      <c r="M55" s="495" t="n">
        <f aca="false">INDEX(FC_FLUJO_CAJA!$D$89:$BK$89,1,$B55)</f>
        <v>1289135.43350925</v>
      </c>
      <c r="N55" s="511" t="n">
        <f aca="false">INDEX(FC_FLUJO_CAJA!$D$92:$BK$92,1,$B55)</f>
        <v>0</v>
      </c>
      <c r="O55" s="380" t="n">
        <f aca="false">INDEX(FC_FLUJO_CAJA!$D$93:$BK$93,1,$B55)</f>
        <v>2100000</v>
      </c>
      <c r="P55" s="383" t="n">
        <f aca="false">INDEX(FC_FLUJO_CAJA!$D$94:$BK$94,1,$B55)</f>
        <v>1346657.66668487</v>
      </c>
      <c r="Q55" s="426" t="str">
        <f aca="false">IF(N55=0,"",IF(MAX(H55,I55,J55)&gt;=MAX(0,F55+G55-E55),IF(H55&gt;=MAX(I55,J55),"Equipos, montaje y arranque del centro de producción",IF(I55&gt;=J55,"Equipos, obra, depósitos y arranque de los PDV del piloto","Equipos y adecuación del flagship")),"Estructura corporativa, personal y operación de la red"))</f>
        <v/>
      </c>
      <c r="S55" s="512" t="str">
        <f aca="false">IF(INDEX(FC_CRONOGRAMA!$D$8:$BK$8,1,$B55)=1,"Orden de compra de equipos de PLANTA · ","")&amp;IF(INDEX(FC_CRONOGRAMA!$D$28:$BK$28,1,$B55)+INDEX(FC_CRONOGRAMA!$D$29:$BK$29,1,$B55)&gt;0,"Orden de compra de equipos de PDV · ","")&amp;IF(INDEX(FC_CRONOGRAMA!$D$9:$BK$9,1,$B55)=1,"Embarque de equipos de planta · ","")&amp;IF(INDEX(FC_CRONOGRAMA!$D$30:$BK$30,1,$B55)+INDEX(FC_CRONOGRAMA!$D$31:$BK$31,1,$B55)&gt;0,"Embarque de equipos de PDV · ","")&amp;IF(INDEX(FC_CRONOGRAMA!$D$10:$BK$10,1,$B55)=1,"Arribo y nacionalización — planta · ","")&amp;IF(INDEX(FC_CRONOGRAMA!$D$32:$BK$32,1,$B55)+INDEX(FC_CRONOGRAMA!$D$33:$BK$33,1,$B55)&gt;0,"Arribo y nacionalización — PDV · ","")&amp;IF(INDEX(FC_CRONOGRAMA!$D$11:$BK$11,1,$B55)=1,"Montaje y puesta en marcha de la planta · ","")&amp;IF(AND($B55=FC_SUPUESTOS!$C$23),"ARRANQUE DE LA PLANTA · ","")&amp;IF(INDEX(FC_CRONOGRAMA!$D$40:$BK$40,1,$B55)+INDEX(FC_CRONOGRAMA!$D$41:$BK$41,1,$B55)&gt;0,"Obra de adecuación de locales · ","")&amp;IF(INDEX(FC_CRONOGRAMA!$D$19:$BK$19,1,$B55)&gt;0,"Apertura de "&amp;TEXT(INDEX(FC_CRONOGRAMA!$D$19:$BK$19,1,$B55),"0")&amp;" PDV del piloto · ","")&amp;IF(INDEX(FC_CRONOGRAMA!$D$46:$BK$46,1,$B55)=1,"Orden de compra de equipos del flagship · ","")&amp;IF(INDEX(FC_CRONOGRAMA!$D$48:$BK$48,1,$B55)=1,"Arribo de equipos del flagship · ","")&amp;IF(INDEX(FC_CRONOGRAMA!$D$53:$BK$53,1,$B55)=1,"Obra de adecuación del flagship · ","")&amp;IF(AND(FC_SUPUESTOS!$C$12=1,$B55=FC_SUPUESTOS!$C$13),"APERTURA DEL FLAGSHIP · ","")</f>
        <v/>
      </c>
    </row>
    <row r="56" customFormat="false" ht="15" hidden="false" customHeight="true" outlineLevel="0" collapsed="false">
      <c r="B56" s="509" t="n">
        <v>35</v>
      </c>
      <c r="C56" s="510" t="n">
        <f aca="false">EDATE(DATE(YEAR(FC_SUPUESTOS!$D$14),MONTH(FC_SUPUESTOS!$D$14),1),$B56-1)</f>
        <v>47331</v>
      </c>
      <c r="D56" s="388" t="str">
        <f aca="false">IF(LEN(S56)=0,"",LEFT(S56,LEN(S56)-3))</f>
        <v/>
      </c>
      <c r="E56" s="380" t="n">
        <f aca="false">INDEX(FC_FLUJO_CAJA!$D$14:$BK$14,1,$B56)</f>
        <v>591664.964615872</v>
      </c>
      <c r="F56" s="380" t="n">
        <f aca="false">INDEX(FC_FLUJO_CAJA!$D$35:$BK$35,1,$B56)</f>
        <v>511564.358539368</v>
      </c>
      <c r="G56" s="380" t="n">
        <f aca="false">INDEX(FC_FLUJO_CAJA!$D$39:$BK$39,1,$B56)</f>
        <v>22578.3729008866</v>
      </c>
      <c r="H56" s="380" t="n">
        <f aca="false">INDEX(FC_FLUJO_CAJA!$D$54:$BK$54,1,$B56)</f>
        <v>0</v>
      </c>
      <c r="I56" s="380" t="n">
        <f aca="false">INDEX(FC_FLUJO_CAJA!$D$68:$BK$68,1,$B56)</f>
        <v>0</v>
      </c>
      <c r="J56" s="380" t="n">
        <f aca="false">INDEX(FC_FLUJO_CAJA!$D$81:$BK$81,1,$B56)</f>
        <v>0</v>
      </c>
      <c r="K56" s="383" t="n">
        <f aca="false">F56+G56+H56+I56+J56</f>
        <v>534142.731440254</v>
      </c>
      <c r="L56" s="380" t="n">
        <f aca="false">INDEX(FC_FLUJO_CAJA!$D$85:$BK$85,1,$B56)</f>
        <v>57522.2331756181</v>
      </c>
      <c r="M56" s="495" t="n">
        <f aca="false">INDEX(FC_FLUJO_CAJA!$D$89:$BK$89,1,$B56)</f>
        <v>1346657.66668487</v>
      </c>
      <c r="N56" s="511" t="n">
        <f aca="false">INDEX(FC_FLUJO_CAJA!$D$92:$BK$92,1,$B56)</f>
        <v>0</v>
      </c>
      <c r="O56" s="380" t="n">
        <f aca="false">INDEX(FC_FLUJO_CAJA!$D$93:$BK$93,1,$B56)</f>
        <v>2100000</v>
      </c>
      <c r="P56" s="383" t="n">
        <f aca="false">INDEX(FC_FLUJO_CAJA!$D$94:$BK$94,1,$B56)</f>
        <v>1404179.89986049</v>
      </c>
      <c r="Q56" s="426" t="str">
        <f aca="false">IF(N56=0,"",IF(MAX(H56,I56,J56)&gt;=MAX(0,F56+G56-E56),IF(H56&gt;=MAX(I56,J56),"Equipos, montaje y arranque del centro de producción",IF(I56&gt;=J56,"Equipos, obra, depósitos y arranque de los PDV del piloto","Equipos y adecuación del flagship")),"Estructura corporativa, personal y operación de la red"))</f>
        <v/>
      </c>
      <c r="S56" s="512" t="str">
        <f aca="false">IF(INDEX(FC_CRONOGRAMA!$D$8:$BK$8,1,$B56)=1,"Orden de compra de equipos de PLANTA · ","")&amp;IF(INDEX(FC_CRONOGRAMA!$D$28:$BK$28,1,$B56)+INDEX(FC_CRONOGRAMA!$D$29:$BK$29,1,$B56)&gt;0,"Orden de compra de equipos de PDV · ","")&amp;IF(INDEX(FC_CRONOGRAMA!$D$9:$BK$9,1,$B56)=1,"Embarque de equipos de planta · ","")&amp;IF(INDEX(FC_CRONOGRAMA!$D$30:$BK$30,1,$B56)+INDEX(FC_CRONOGRAMA!$D$31:$BK$31,1,$B56)&gt;0,"Embarque de equipos de PDV · ","")&amp;IF(INDEX(FC_CRONOGRAMA!$D$10:$BK$10,1,$B56)=1,"Arribo y nacionalización — planta · ","")&amp;IF(INDEX(FC_CRONOGRAMA!$D$32:$BK$32,1,$B56)+INDEX(FC_CRONOGRAMA!$D$33:$BK$33,1,$B56)&gt;0,"Arribo y nacionalización — PDV · ","")&amp;IF(INDEX(FC_CRONOGRAMA!$D$11:$BK$11,1,$B56)=1,"Montaje y puesta en marcha de la planta · ","")&amp;IF(AND($B56=FC_SUPUESTOS!$C$23),"ARRANQUE DE LA PLANTA · ","")&amp;IF(INDEX(FC_CRONOGRAMA!$D$40:$BK$40,1,$B56)+INDEX(FC_CRONOGRAMA!$D$41:$BK$41,1,$B56)&gt;0,"Obra de adecuación de locales · ","")&amp;IF(INDEX(FC_CRONOGRAMA!$D$19:$BK$19,1,$B56)&gt;0,"Apertura de "&amp;TEXT(INDEX(FC_CRONOGRAMA!$D$19:$BK$19,1,$B56),"0")&amp;" PDV del piloto · ","")&amp;IF(INDEX(FC_CRONOGRAMA!$D$46:$BK$46,1,$B56)=1,"Orden de compra de equipos del flagship · ","")&amp;IF(INDEX(FC_CRONOGRAMA!$D$48:$BK$48,1,$B56)=1,"Arribo de equipos del flagship · ","")&amp;IF(INDEX(FC_CRONOGRAMA!$D$53:$BK$53,1,$B56)=1,"Obra de adecuación del flagship · ","")&amp;IF(AND(FC_SUPUESTOS!$C$12=1,$B56=FC_SUPUESTOS!$C$13),"APERTURA DEL FLAGSHIP · ","")</f>
        <v/>
      </c>
    </row>
    <row r="57" customFormat="false" ht="15" hidden="false" customHeight="true" outlineLevel="0" collapsed="false">
      <c r="B57" s="509" t="n">
        <v>36</v>
      </c>
      <c r="C57" s="510" t="n">
        <f aca="false">EDATE(DATE(YEAR(FC_SUPUESTOS!$D$14),MONTH(FC_SUPUESTOS!$D$14),1),$B57-1)</f>
        <v>47362</v>
      </c>
      <c r="D57" s="388" t="str">
        <f aca="false">IF(LEN(S57)=0,"",LEFT(S57,LEN(S57)-3))</f>
        <v/>
      </c>
      <c r="E57" s="380" t="n">
        <f aca="false">INDEX(FC_FLUJO_CAJA!$D$14:$BK$14,1,$B57)</f>
        <v>591664.964615872</v>
      </c>
      <c r="F57" s="380" t="n">
        <f aca="false">INDEX(FC_FLUJO_CAJA!$D$35:$BK$35,1,$B57)</f>
        <v>511564.358539368</v>
      </c>
      <c r="G57" s="380" t="n">
        <f aca="false">INDEX(FC_FLUJO_CAJA!$D$39:$BK$39,1,$B57)</f>
        <v>22578.3729008866</v>
      </c>
      <c r="H57" s="380" t="n">
        <f aca="false">INDEX(FC_FLUJO_CAJA!$D$54:$BK$54,1,$B57)</f>
        <v>0</v>
      </c>
      <c r="I57" s="380" t="n">
        <f aca="false">INDEX(FC_FLUJO_CAJA!$D$68:$BK$68,1,$B57)</f>
        <v>0</v>
      </c>
      <c r="J57" s="380" t="n">
        <f aca="false">INDEX(FC_FLUJO_CAJA!$D$81:$BK$81,1,$B57)</f>
        <v>0</v>
      </c>
      <c r="K57" s="383" t="n">
        <f aca="false">F57+G57+H57+I57+J57</f>
        <v>534142.731440254</v>
      </c>
      <c r="L57" s="380" t="n">
        <f aca="false">INDEX(FC_FLUJO_CAJA!$D$85:$BK$85,1,$B57)</f>
        <v>57522.2331756181</v>
      </c>
      <c r="M57" s="495" t="n">
        <f aca="false">INDEX(FC_FLUJO_CAJA!$D$89:$BK$89,1,$B57)</f>
        <v>1404179.89986049</v>
      </c>
      <c r="N57" s="511" t="n">
        <f aca="false">INDEX(FC_FLUJO_CAJA!$D$92:$BK$92,1,$B57)</f>
        <v>0</v>
      </c>
      <c r="O57" s="380" t="n">
        <f aca="false">INDEX(FC_FLUJO_CAJA!$D$93:$BK$93,1,$B57)</f>
        <v>2100000</v>
      </c>
      <c r="P57" s="383" t="n">
        <f aca="false">INDEX(FC_FLUJO_CAJA!$D$94:$BK$94,1,$B57)</f>
        <v>1461702.13303611</v>
      </c>
      <c r="Q57" s="426" t="str">
        <f aca="false">IF(N57=0,"",IF(MAX(H57,I57,J57)&gt;=MAX(0,F57+G57-E57),IF(H57&gt;=MAX(I57,J57),"Equipos, montaje y arranque del centro de producción",IF(I57&gt;=J57,"Equipos, obra, depósitos y arranque de los PDV del piloto","Equipos y adecuación del flagship")),"Estructura corporativa, personal y operación de la red"))</f>
        <v/>
      </c>
      <c r="S57" s="512" t="str">
        <f aca="false">IF(INDEX(FC_CRONOGRAMA!$D$8:$BK$8,1,$B57)=1,"Orden de compra de equipos de PLANTA · ","")&amp;IF(INDEX(FC_CRONOGRAMA!$D$28:$BK$28,1,$B57)+INDEX(FC_CRONOGRAMA!$D$29:$BK$29,1,$B57)&gt;0,"Orden de compra de equipos de PDV · ","")&amp;IF(INDEX(FC_CRONOGRAMA!$D$9:$BK$9,1,$B57)=1,"Embarque de equipos de planta · ","")&amp;IF(INDEX(FC_CRONOGRAMA!$D$30:$BK$30,1,$B57)+INDEX(FC_CRONOGRAMA!$D$31:$BK$31,1,$B57)&gt;0,"Embarque de equipos de PDV · ","")&amp;IF(INDEX(FC_CRONOGRAMA!$D$10:$BK$10,1,$B57)=1,"Arribo y nacionalización — planta · ","")&amp;IF(INDEX(FC_CRONOGRAMA!$D$32:$BK$32,1,$B57)+INDEX(FC_CRONOGRAMA!$D$33:$BK$33,1,$B57)&gt;0,"Arribo y nacionalización — PDV · ","")&amp;IF(INDEX(FC_CRONOGRAMA!$D$11:$BK$11,1,$B57)=1,"Montaje y puesta en marcha de la planta · ","")&amp;IF(AND($B57=FC_SUPUESTOS!$C$23),"ARRANQUE DE LA PLANTA · ","")&amp;IF(INDEX(FC_CRONOGRAMA!$D$40:$BK$40,1,$B57)+INDEX(FC_CRONOGRAMA!$D$41:$BK$41,1,$B57)&gt;0,"Obra de adecuación de locales · ","")&amp;IF(INDEX(FC_CRONOGRAMA!$D$19:$BK$19,1,$B57)&gt;0,"Apertura de "&amp;TEXT(INDEX(FC_CRONOGRAMA!$D$19:$BK$19,1,$B57),"0")&amp;" PDV del piloto · ","")&amp;IF(INDEX(FC_CRONOGRAMA!$D$46:$BK$46,1,$B57)=1,"Orden de compra de equipos del flagship · ","")&amp;IF(INDEX(FC_CRONOGRAMA!$D$48:$BK$48,1,$B57)=1,"Arribo de equipos del flagship · ","")&amp;IF(INDEX(FC_CRONOGRAMA!$D$53:$BK$53,1,$B57)=1,"Obra de adecuación del flagship · ","")&amp;IF(AND(FC_SUPUESTOS!$C$12=1,$B57=FC_SUPUESTOS!$C$13),"APERTURA DEL FLAGSHIP · ","")</f>
        <v/>
      </c>
    </row>
    <row r="58" customFormat="false" ht="15" hidden="false" customHeight="true" outlineLevel="0" collapsed="false">
      <c r="B58" s="509" t="n">
        <v>37</v>
      </c>
      <c r="C58" s="510" t="n">
        <f aca="false">EDATE(DATE(YEAR(FC_SUPUESTOS!$D$14),MONTH(FC_SUPUESTOS!$D$14),1),$B58-1)</f>
        <v>47392</v>
      </c>
      <c r="D58" s="388" t="str">
        <f aca="false">IF(LEN(S58)=0,"",LEFT(S58,LEN(S58)-3))</f>
        <v/>
      </c>
      <c r="E58" s="380" t="n">
        <f aca="false">INDEX(FC_FLUJO_CAJA!$D$14:$BK$14,1,$B58)</f>
        <v>591664.964615872</v>
      </c>
      <c r="F58" s="380" t="n">
        <f aca="false">INDEX(FC_FLUJO_CAJA!$D$35:$BK$35,1,$B58)</f>
        <v>508606.033716288</v>
      </c>
      <c r="G58" s="380" t="n">
        <f aca="false">INDEX(FC_FLUJO_CAJA!$D$39:$BK$39,1,$B58)</f>
        <v>22578.3729008866</v>
      </c>
      <c r="H58" s="380" t="n">
        <f aca="false">INDEX(FC_FLUJO_CAJA!$D$54:$BK$54,1,$B58)</f>
        <v>0</v>
      </c>
      <c r="I58" s="380" t="n">
        <f aca="false">INDEX(FC_FLUJO_CAJA!$D$68:$BK$68,1,$B58)</f>
        <v>0</v>
      </c>
      <c r="J58" s="380" t="n">
        <f aca="false">INDEX(FC_FLUJO_CAJA!$D$81:$BK$81,1,$B58)</f>
        <v>0</v>
      </c>
      <c r="K58" s="383" t="n">
        <f aca="false">F58+G58+H58+I58+J58</f>
        <v>531184.406617175</v>
      </c>
      <c r="L58" s="380" t="n">
        <f aca="false">INDEX(FC_FLUJO_CAJA!$D$85:$BK$85,1,$B58)</f>
        <v>60480.5579986974</v>
      </c>
      <c r="M58" s="495" t="n">
        <f aca="false">INDEX(FC_FLUJO_CAJA!$D$89:$BK$89,1,$B58)</f>
        <v>1461702.13303611</v>
      </c>
      <c r="N58" s="511" t="n">
        <f aca="false">INDEX(FC_FLUJO_CAJA!$D$92:$BK$92,1,$B58)</f>
        <v>0</v>
      </c>
      <c r="O58" s="380" t="n">
        <f aca="false">INDEX(FC_FLUJO_CAJA!$D$93:$BK$93,1,$B58)</f>
        <v>2100000</v>
      </c>
      <c r="P58" s="383" t="n">
        <f aca="false">INDEX(FC_FLUJO_CAJA!$D$94:$BK$94,1,$B58)</f>
        <v>1522182.69103481</v>
      </c>
      <c r="Q58" s="426" t="str">
        <f aca="false">IF(N58=0,"",IF(MAX(H58,I58,J58)&gt;=MAX(0,F58+G58-E58),IF(H58&gt;=MAX(I58,J58),"Equipos, montaje y arranque del centro de producción",IF(I58&gt;=J58,"Equipos, obra, depósitos y arranque de los PDV del piloto","Equipos y adecuación del flagship")),"Estructura corporativa, personal y operación de la red"))</f>
        <v/>
      </c>
      <c r="S58" s="512" t="str">
        <f aca="false">IF(INDEX(FC_CRONOGRAMA!$D$8:$BK$8,1,$B58)=1,"Orden de compra de equipos de PLANTA · ","")&amp;IF(INDEX(FC_CRONOGRAMA!$D$28:$BK$28,1,$B58)+INDEX(FC_CRONOGRAMA!$D$29:$BK$29,1,$B58)&gt;0,"Orden de compra de equipos de PDV · ","")&amp;IF(INDEX(FC_CRONOGRAMA!$D$9:$BK$9,1,$B58)=1,"Embarque de equipos de planta · ","")&amp;IF(INDEX(FC_CRONOGRAMA!$D$30:$BK$30,1,$B58)+INDEX(FC_CRONOGRAMA!$D$31:$BK$31,1,$B58)&gt;0,"Embarque de equipos de PDV · ","")&amp;IF(INDEX(FC_CRONOGRAMA!$D$10:$BK$10,1,$B58)=1,"Arribo y nacionalización — planta · ","")&amp;IF(INDEX(FC_CRONOGRAMA!$D$32:$BK$32,1,$B58)+INDEX(FC_CRONOGRAMA!$D$33:$BK$33,1,$B58)&gt;0,"Arribo y nacionalización — PDV · ","")&amp;IF(INDEX(FC_CRONOGRAMA!$D$11:$BK$11,1,$B58)=1,"Montaje y puesta en marcha de la planta · ","")&amp;IF(AND($B58=FC_SUPUESTOS!$C$23),"ARRANQUE DE LA PLANTA · ","")&amp;IF(INDEX(FC_CRONOGRAMA!$D$40:$BK$40,1,$B58)+INDEX(FC_CRONOGRAMA!$D$41:$BK$41,1,$B58)&gt;0,"Obra de adecuación de locales · ","")&amp;IF(INDEX(FC_CRONOGRAMA!$D$19:$BK$19,1,$B58)&gt;0,"Apertura de "&amp;TEXT(INDEX(FC_CRONOGRAMA!$D$19:$BK$19,1,$B58),"0")&amp;" PDV del piloto · ","")&amp;IF(INDEX(FC_CRONOGRAMA!$D$46:$BK$46,1,$B58)=1,"Orden de compra de equipos del flagship · ","")&amp;IF(INDEX(FC_CRONOGRAMA!$D$48:$BK$48,1,$B58)=1,"Arribo de equipos del flagship · ","")&amp;IF(INDEX(FC_CRONOGRAMA!$D$53:$BK$53,1,$B58)=1,"Obra de adecuación del flagship · ","")&amp;IF(AND(FC_SUPUESTOS!$C$12=1,$B58=FC_SUPUESTOS!$C$13),"APERTURA DEL FLAGSHIP · ","")</f>
        <v/>
      </c>
    </row>
    <row r="59" customFormat="false" ht="15" hidden="false" customHeight="true" outlineLevel="0" collapsed="false">
      <c r="B59" s="509" t="n">
        <v>38</v>
      </c>
      <c r="C59" s="510" t="n">
        <f aca="false">EDATE(DATE(YEAR(FC_SUPUESTOS!$D$14),MONTH(FC_SUPUESTOS!$D$14),1),$B59-1)</f>
        <v>47423</v>
      </c>
      <c r="D59" s="388" t="str">
        <f aca="false">IF(LEN(S59)=0,"",LEFT(S59,LEN(S59)-3))</f>
        <v/>
      </c>
      <c r="E59" s="380" t="n">
        <f aca="false">INDEX(FC_FLUJO_CAJA!$D$14:$BK$14,1,$B59)</f>
        <v>591664.964615872</v>
      </c>
      <c r="F59" s="380" t="n">
        <f aca="false">INDEX(FC_FLUJO_CAJA!$D$35:$BK$35,1,$B59)</f>
        <v>508606.033716288</v>
      </c>
      <c r="G59" s="380" t="n">
        <f aca="false">INDEX(FC_FLUJO_CAJA!$D$39:$BK$39,1,$B59)</f>
        <v>22578.3729008866</v>
      </c>
      <c r="H59" s="380" t="n">
        <f aca="false">INDEX(FC_FLUJO_CAJA!$D$54:$BK$54,1,$B59)</f>
        <v>0</v>
      </c>
      <c r="I59" s="380" t="n">
        <f aca="false">INDEX(FC_FLUJO_CAJA!$D$68:$BK$68,1,$B59)</f>
        <v>0</v>
      </c>
      <c r="J59" s="380" t="n">
        <f aca="false">INDEX(FC_FLUJO_CAJA!$D$81:$BK$81,1,$B59)</f>
        <v>0</v>
      </c>
      <c r="K59" s="383" t="n">
        <f aca="false">F59+G59+H59+I59+J59</f>
        <v>531184.406617175</v>
      </c>
      <c r="L59" s="380" t="n">
        <f aca="false">INDEX(FC_FLUJO_CAJA!$D$85:$BK$85,1,$B59)</f>
        <v>60480.5579986974</v>
      </c>
      <c r="M59" s="495" t="n">
        <f aca="false">INDEX(FC_FLUJO_CAJA!$D$89:$BK$89,1,$B59)</f>
        <v>1522182.69103481</v>
      </c>
      <c r="N59" s="511" t="n">
        <f aca="false">INDEX(FC_FLUJO_CAJA!$D$92:$BK$92,1,$B59)</f>
        <v>0</v>
      </c>
      <c r="O59" s="380" t="n">
        <f aca="false">INDEX(FC_FLUJO_CAJA!$D$93:$BK$93,1,$B59)</f>
        <v>2100000</v>
      </c>
      <c r="P59" s="383" t="n">
        <f aca="false">INDEX(FC_FLUJO_CAJA!$D$94:$BK$94,1,$B59)</f>
        <v>1582663.2490335</v>
      </c>
      <c r="Q59" s="426" t="str">
        <f aca="false">IF(N59=0,"",IF(MAX(H59,I59,J59)&gt;=MAX(0,F59+G59-E59),IF(H59&gt;=MAX(I59,J59),"Equipos, montaje y arranque del centro de producción",IF(I59&gt;=J59,"Equipos, obra, depósitos y arranque de los PDV del piloto","Equipos y adecuación del flagship")),"Estructura corporativa, personal y operación de la red"))</f>
        <v/>
      </c>
      <c r="S59" s="512" t="str">
        <f aca="false">IF(INDEX(FC_CRONOGRAMA!$D$8:$BK$8,1,$B59)=1,"Orden de compra de equipos de PLANTA · ","")&amp;IF(INDEX(FC_CRONOGRAMA!$D$28:$BK$28,1,$B59)+INDEX(FC_CRONOGRAMA!$D$29:$BK$29,1,$B59)&gt;0,"Orden de compra de equipos de PDV · ","")&amp;IF(INDEX(FC_CRONOGRAMA!$D$9:$BK$9,1,$B59)=1,"Embarque de equipos de planta · ","")&amp;IF(INDEX(FC_CRONOGRAMA!$D$30:$BK$30,1,$B59)+INDEX(FC_CRONOGRAMA!$D$31:$BK$31,1,$B59)&gt;0,"Embarque de equipos de PDV · ","")&amp;IF(INDEX(FC_CRONOGRAMA!$D$10:$BK$10,1,$B59)=1,"Arribo y nacionalización — planta · ","")&amp;IF(INDEX(FC_CRONOGRAMA!$D$32:$BK$32,1,$B59)+INDEX(FC_CRONOGRAMA!$D$33:$BK$33,1,$B59)&gt;0,"Arribo y nacionalización — PDV · ","")&amp;IF(INDEX(FC_CRONOGRAMA!$D$11:$BK$11,1,$B59)=1,"Montaje y puesta en marcha de la planta · ","")&amp;IF(AND($B59=FC_SUPUESTOS!$C$23),"ARRANQUE DE LA PLANTA · ","")&amp;IF(INDEX(FC_CRONOGRAMA!$D$40:$BK$40,1,$B59)+INDEX(FC_CRONOGRAMA!$D$41:$BK$41,1,$B59)&gt;0,"Obra de adecuación de locales · ","")&amp;IF(INDEX(FC_CRONOGRAMA!$D$19:$BK$19,1,$B59)&gt;0,"Apertura de "&amp;TEXT(INDEX(FC_CRONOGRAMA!$D$19:$BK$19,1,$B59),"0")&amp;" PDV del piloto · ","")&amp;IF(INDEX(FC_CRONOGRAMA!$D$46:$BK$46,1,$B59)=1,"Orden de compra de equipos del flagship · ","")&amp;IF(INDEX(FC_CRONOGRAMA!$D$48:$BK$48,1,$B59)=1,"Arribo de equipos del flagship · ","")&amp;IF(INDEX(FC_CRONOGRAMA!$D$53:$BK$53,1,$B59)=1,"Obra de adecuación del flagship · ","")&amp;IF(AND(FC_SUPUESTOS!$C$12=1,$B59=FC_SUPUESTOS!$C$13),"APERTURA DEL FLAGSHIP · ","")</f>
        <v/>
      </c>
    </row>
    <row r="60" customFormat="false" ht="15" hidden="false" customHeight="true" outlineLevel="0" collapsed="false">
      <c r="B60" s="509" t="n">
        <v>39</v>
      </c>
      <c r="C60" s="510" t="n">
        <f aca="false">EDATE(DATE(YEAR(FC_SUPUESTOS!$D$14),MONTH(FC_SUPUESTOS!$D$14),1),$B60-1)</f>
        <v>47453</v>
      </c>
      <c r="D60" s="388" t="str">
        <f aca="false">IF(LEN(S60)=0,"",LEFT(S60,LEN(S60)-3))</f>
        <v/>
      </c>
      <c r="E60" s="380" t="n">
        <f aca="false">INDEX(FC_FLUJO_CAJA!$D$14:$BK$14,1,$B60)</f>
        <v>591664.964615872</v>
      </c>
      <c r="F60" s="380" t="n">
        <f aca="false">INDEX(FC_FLUJO_CAJA!$D$35:$BK$35,1,$B60)</f>
        <v>508606.033716288</v>
      </c>
      <c r="G60" s="380" t="n">
        <f aca="false">INDEX(FC_FLUJO_CAJA!$D$39:$BK$39,1,$B60)</f>
        <v>22578.3729008866</v>
      </c>
      <c r="H60" s="380" t="n">
        <f aca="false">INDEX(FC_FLUJO_CAJA!$D$54:$BK$54,1,$B60)</f>
        <v>0</v>
      </c>
      <c r="I60" s="380" t="n">
        <f aca="false">INDEX(FC_FLUJO_CAJA!$D$68:$BK$68,1,$B60)</f>
        <v>0</v>
      </c>
      <c r="J60" s="380" t="n">
        <f aca="false">INDEX(FC_FLUJO_CAJA!$D$81:$BK$81,1,$B60)</f>
        <v>0</v>
      </c>
      <c r="K60" s="383" t="n">
        <f aca="false">F60+G60+H60+I60+J60</f>
        <v>531184.406617175</v>
      </c>
      <c r="L60" s="380" t="n">
        <f aca="false">INDEX(FC_FLUJO_CAJA!$D$85:$BK$85,1,$B60)</f>
        <v>60480.5579986974</v>
      </c>
      <c r="M60" s="495" t="n">
        <f aca="false">INDEX(FC_FLUJO_CAJA!$D$89:$BK$89,1,$B60)</f>
        <v>1582663.2490335</v>
      </c>
      <c r="N60" s="511" t="n">
        <f aca="false">INDEX(FC_FLUJO_CAJA!$D$92:$BK$92,1,$B60)</f>
        <v>0</v>
      </c>
      <c r="O60" s="380" t="n">
        <f aca="false">INDEX(FC_FLUJO_CAJA!$D$93:$BK$93,1,$B60)</f>
        <v>2100000</v>
      </c>
      <c r="P60" s="383" t="n">
        <f aca="false">INDEX(FC_FLUJO_CAJA!$D$94:$BK$94,1,$B60)</f>
        <v>1643143.8070322</v>
      </c>
      <c r="Q60" s="426" t="str">
        <f aca="false">IF(N60=0,"",IF(MAX(H60,I60,J60)&gt;=MAX(0,F60+G60-E60),IF(H60&gt;=MAX(I60,J60),"Equipos, montaje y arranque del centro de producción",IF(I60&gt;=J60,"Equipos, obra, depósitos y arranque de los PDV del piloto","Equipos y adecuación del flagship")),"Estructura corporativa, personal y operación de la red"))</f>
        <v/>
      </c>
      <c r="S60" s="512" t="str">
        <f aca="false">IF(INDEX(FC_CRONOGRAMA!$D$8:$BK$8,1,$B60)=1,"Orden de compra de equipos de PLANTA · ","")&amp;IF(INDEX(FC_CRONOGRAMA!$D$28:$BK$28,1,$B60)+INDEX(FC_CRONOGRAMA!$D$29:$BK$29,1,$B60)&gt;0,"Orden de compra de equipos de PDV · ","")&amp;IF(INDEX(FC_CRONOGRAMA!$D$9:$BK$9,1,$B60)=1,"Embarque de equipos de planta · ","")&amp;IF(INDEX(FC_CRONOGRAMA!$D$30:$BK$30,1,$B60)+INDEX(FC_CRONOGRAMA!$D$31:$BK$31,1,$B60)&gt;0,"Embarque de equipos de PDV · ","")&amp;IF(INDEX(FC_CRONOGRAMA!$D$10:$BK$10,1,$B60)=1,"Arribo y nacionalización — planta · ","")&amp;IF(INDEX(FC_CRONOGRAMA!$D$32:$BK$32,1,$B60)+INDEX(FC_CRONOGRAMA!$D$33:$BK$33,1,$B60)&gt;0,"Arribo y nacionalización — PDV · ","")&amp;IF(INDEX(FC_CRONOGRAMA!$D$11:$BK$11,1,$B60)=1,"Montaje y puesta en marcha de la planta · ","")&amp;IF(AND($B60=FC_SUPUESTOS!$C$23),"ARRANQUE DE LA PLANTA · ","")&amp;IF(INDEX(FC_CRONOGRAMA!$D$40:$BK$40,1,$B60)+INDEX(FC_CRONOGRAMA!$D$41:$BK$41,1,$B60)&gt;0,"Obra de adecuación de locales · ","")&amp;IF(INDEX(FC_CRONOGRAMA!$D$19:$BK$19,1,$B60)&gt;0,"Apertura de "&amp;TEXT(INDEX(FC_CRONOGRAMA!$D$19:$BK$19,1,$B60),"0")&amp;" PDV del piloto · ","")&amp;IF(INDEX(FC_CRONOGRAMA!$D$46:$BK$46,1,$B60)=1,"Orden de compra de equipos del flagship · ","")&amp;IF(INDEX(FC_CRONOGRAMA!$D$48:$BK$48,1,$B60)=1,"Arribo de equipos del flagship · ","")&amp;IF(INDEX(FC_CRONOGRAMA!$D$53:$BK$53,1,$B60)=1,"Obra de adecuación del flagship · ","")&amp;IF(AND(FC_SUPUESTOS!$C$12=1,$B60=FC_SUPUESTOS!$C$13),"APERTURA DEL FLAGSHIP · ","")</f>
        <v/>
      </c>
    </row>
    <row r="61" customFormat="false" ht="15" hidden="false" customHeight="true" outlineLevel="0" collapsed="false">
      <c r="B61" s="509" t="n">
        <v>40</v>
      </c>
      <c r="C61" s="510" t="n">
        <f aca="false">EDATE(DATE(YEAR(FC_SUPUESTOS!$D$14),MONTH(FC_SUPUESTOS!$D$14),1),$B61-1)</f>
        <v>47484</v>
      </c>
      <c r="D61" s="388" t="str">
        <f aca="false">IF(LEN(S61)=0,"",LEFT(S61,LEN(S61)-3))</f>
        <v/>
      </c>
      <c r="E61" s="380" t="n">
        <f aca="false">INDEX(FC_FLUJO_CAJA!$D$14:$BK$14,1,$B61)</f>
        <v>591664.964615872</v>
      </c>
      <c r="F61" s="380" t="n">
        <f aca="false">INDEX(FC_FLUJO_CAJA!$D$35:$BK$35,1,$B61)</f>
        <v>508606.033716288</v>
      </c>
      <c r="G61" s="380" t="n">
        <f aca="false">INDEX(FC_FLUJO_CAJA!$D$39:$BK$39,1,$B61)</f>
        <v>23584.2033407336</v>
      </c>
      <c r="H61" s="380" t="n">
        <f aca="false">INDEX(FC_FLUJO_CAJA!$D$54:$BK$54,1,$B61)</f>
        <v>0</v>
      </c>
      <c r="I61" s="380" t="n">
        <f aca="false">INDEX(FC_FLUJO_CAJA!$D$68:$BK$68,1,$B61)</f>
        <v>0</v>
      </c>
      <c r="J61" s="380" t="n">
        <f aca="false">INDEX(FC_FLUJO_CAJA!$D$81:$BK$81,1,$B61)</f>
        <v>0</v>
      </c>
      <c r="K61" s="383" t="n">
        <f aca="false">F61+G61+H61+I61+J61</f>
        <v>532190.237057022</v>
      </c>
      <c r="L61" s="380" t="n">
        <f aca="false">INDEX(FC_FLUJO_CAJA!$D$85:$BK$85,1,$B61)</f>
        <v>59474.7275588505</v>
      </c>
      <c r="M61" s="495" t="n">
        <f aca="false">INDEX(FC_FLUJO_CAJA!$D$89:$BK$89,1,$B61)</f>
        <v>1643143.8070322</v>
      </c>
      <c r="N61" s="511" t="n">
        <f aca="false">INDEX(FC_FLUJO_CAJA!$D$92:$BK$92,1,$B61)</f>
        <v>0</v>
      </c>
      <c r="O61" s="380" t="n">
        <f aca="false">INDEX(FC_FLUJO_CAJA!$D$93:$BK$93,1,$B61)</f>
        <v>2100000</v>
      </c>
      <c r="P61" s="383" t="n">
        <f aca="false">INDEX(FC_FLUJO_CAJA!$D$94:$BK$94,1,$B61)</f>
        <v>1702618.53459105</v>
      </c>
      <c r="Q61" s="426" t="str">
        <f aca="false">IF(N61=0,"",IF(MAX(H61,I61,J61)&gt;=MAX(0,F61+G61-E61),IF(H61&gt;=MAX(I61,J61),"Equipos, montaje y arranque del centro de producción",IF(I61&gt;=J61,"Equipos, obra, depósitos y arranque de los PDV del piloto","Equipos y adecuación del flagship")),"Estructura corporativa, personal y operación de la red"))</f>
        <v/>
      </c>
      <c r="S61" s="512" t="str">
        <f aca="false">IF(INDEX(FC_CRONOGRAMA!$D$8:$BK$8,1,$B61)=1,"Orden de compra de equipos de PLANTA · ","")&amp;IF(INDEX(FC_CRONOGRAMA!$D$28:$BK$28,1,$B61)+INDEX(FC_CRONOGRAMA!$D$29:$BK$29,1,$B61)&gt;0,"Orden de compra de equipos de PDV · ","")&amp;IF(INDEX(FC_CRONOGRAMA!$D$9:$BK$9,1,$B61)=1,"Embarque de equipos de planta · ","")&amp;IF(INDEX(FC_CRONOGRAMA!$D$30:$BK$30,1,$B61)+INDEX(FC_CRONOGRAMA!$D$31:$BK$31,1,$B61)&gt;0,"Embarque de equipos de PDV · ","")&amp;IF(INDEX(FC_CRONOGRAMA!$D$10:$BK$10,1,$B61)=1,"Arribo y nacionalización — planta · ","")&amp;IF(INDEX(FC_CRONOGRAMA!$D$32:$BK$32,1,$B61)+INDEX(FC_CRONOGRAMA!$D$33:$BK$33,1,$B61)&gt;0,"Arribo y nacionalización — PDV · ","")&amp;IF(INDEX(FC_CRONOGRAMA!$D$11:$BK$11,1,$B61)=1,"Montaje y puesta en marcha de la planta · ","")&amp;IF(AND($B61=FC_SUPUESTOS!$C$23),"ARRANQUE DE LA PLANTA · ","")&amp;IF(INDEX(FC_CRONOGRAMA!$D$40:$BK$40,1,$B61)+INDEX(FC_CRONOGRAMA!$D$41:$BK$41,1,$B61)&gt;0,"Obra de adecuación de locales · ","")&amp;IF(INDEX(FC_CRONOGRAMA!$D$19:$BK$19,1,$B61)&gt;0,"Apertura de "&amp;TEXT(INDEX(FC_CRONOGRAMA!$D$19:$BK$19,1,$B61),"0")&amp;" PDV del piloto · ","")&amp;IF(INDEX(FC_CRONOGRAMA!$D$46:$BK$46,1,$B61)=1,"Orden de compra de equipos del flagship · ","")&amp;IF(INDEX(FC_CRONOGRAMA!$D$48:$BK$48,1,$B61)=1,"Arribo de equipos del flagship · ","")&amp;IF(INDEX(FC_CRONOGRAMA!$D$53:$BK$53,1,$B61)=1,"Obra de adecuación del flagship · ","")&amp;IF(AND(FC_SUPUESTOS!$C$12=1,$B61=FC_SUPUESTOS!$C$13),"APERTURA DEL FLAGSHIP · ","")</f>
        <v/>
      </c>
    </row>
    <row r="62" customFormat="false" ht="15" hidden="false" customHeight="true" outlineLevel="0" collapsed="false">
      <c r="B62" s="509" t="n">
        <v>41</v>
      </c>
      <c r="C62" s="510" t="n">
        <f aca="false">EDATE(DATE(YEAR(FC_SUPUESTOS!$D$14),MONTH(FC_SUPUESTOS!$D$14),1),$B62-1)</f>
        <v>47515</v>
      </c>
      <c r="D62" s="388" t="str">
        <f aca="false">IF(LEN(S62)=0,"",LEFT(S62,LEN(S62)-3))</f>
        <v/>
      </c>
      <c r="E62" s="380" t="n">
        <f aca="false">INDEX(FC_FLUJO_CAJA!$D$14:$BK$14,1,$B62)</f>
        <v>591664.964615872</v>
      </c>
      <c r="F62" s="380" t="n">
        <f aca="false">INDEX(FC_FLUJO_CAJA!$D$35:$BK$35,1,$B62)</f>
        <v>508606.033716288</v>
      </c>
      <c r="G62" s="380" t="n">
        <f aca="false">INDEX(FC_FLUJO_CAJA!$D$39:$BK$39,1,$B62)</f>
        <v>23584.2033407336</v>
      </c>
      <c r="H62" s="380" t="n">
        <f aca="false">INDEX(FC_FLUJO_CAJA!$D$54:$BK$54,1,$B62)</f>
        <v>0</v>
      </c>
      <c r="I62" s="380" t="n">
        <f aca="false">INDEX(FC_FLUJO_CAJA!$D$68:$BK$68,1,$B62)</f>
        <v>0</v>
      </c>
      <c r="J62" s="380" t="n">
        <f aca="false">INDEX(FC_FLUJO_CAJA!$D$81:$BK$81,1,$B62)</f>
        <v>0</v>
      </c>
      <c r="K62" s="383" t="n">
        <f aca="false">F62+G62+H62+I62+J62</f>
        <v>532190.237057022</v>
      </c>
      <c r="L62" s="380" t="n">
        <f aca="false">INDEX(FC_FLUJO_CAJA!$D$85:$BK$85,1,$B62)</f>
        <v>59474.7275588505</v>
      </c>
      <c r="M62" s="495" t="n">
        <f aca="false">INDEX(FC_FLUJO_CAJA!$D$89:$BK$89,1,$B62)</f>
        <v>1702618.53459105</v>
      </c>
      <c r="N62" s="511" t="n">
        <f aca="false">INDEX(FC_FLUJO_CAJA!$D$92:$BK$92,1,$B62)</f>
        <v>0</v>
      </c>
      <c r="O62" s="380" t="n">
        <f aca="false">INDEX(FC_FLUJO_CAJA!$D$93:$BK$93,1,$B62)</f>
        <v>2100000</v>
      </c>
      <c r="P62" s="383" t="n">
        <f aca="false">INDEX(FC_FLUJO_CAJA!$D$94:$BK$94,1,$B62)</f>
        <v>1762093.2621499</v>
      </c>
      <c r="Q62" s="426" t="str">
        <f aca="false">IF(N62=0,"",IF(MAX(H62,I62,J62)&gt;=MAX(0,F62+G62-E62),IF(H62&gt;=MAX(I62,J62),"Equipos, montaje y arranque del centro de producción",IF(I62&gt;=J62,"Equipos, obra, depósitos y arranque de los PDV del piloto","Equipos y adecuación del flagship")),"Estructura corporativa, personal y operación de la red"))</f>
        <v/>
      </c>
      <c r="S62" s="512" t="str">
        <f aca="false">IF(INDEX(FC_CRONOGRAMA!$D$8:$BK$8,1,$B62)=1,"Orden de compra de equipos de PLANTA · ","")&amp;IF(INDEX(FC_CRONOGRAMA!$D$28:$BK$28,1,$B62)+INDEX(FC_CRONOGRAMA!$D$29:$BK$29,1,$B62)&gt;0,"Orden de compra de equipos de PDV · ","")&amp;IF(INDEX(FC_CRONOGRAMA!$D$9:$BK$9,1,$B62)=1,"Embarque de equipos de planta · ","")&amp;IF(INDEX(FC_CRONOGRAMA!$D$30:$BK$30,1,$B62)+INDEX(FC_CRONOGRAMA!$D$31:$BK$31,1,$B62)&gt;0,"Embarque de equipos de PDV · ","")&amp;IF(INDEX(FC_CRONOGRAMA!$D$10:$BK$10,1,$B62)=1,"Arribo y nacionalización — planta · ","")&amp;IF(INDEX(FC_CRONOGRAMA!$D$32:$BK$32,1,$B62)+INDEX(FC_CRONOGRAMA!$D$33:$BK$33,1,$B62)&gt;0,"Arribo y nacionalización — PDV · ","")&amp;IF(INDEX(FC_CRONOGRAMA!$D$11:$BK$11,1,$B62)=1,"Montaje y puesta en marcha de la planta · ","")&amp;IF(AND($B62=FC_SUPUESTOS!$C$23),"ARRANQUE DE LA PLANTA · ","")&amp;IF(INDEX(FC_CRONOGRAMA!$D$40:$BK$40,1,$B62)+INDEX(FC_CRONOGRAMA!$D$41:$BK$41,1,$B62)&gt;0,"Obra de adecuación de locales · ","")&amp;IF(INDEX(FC_CRONOGRAMA!$D$19:$BK$19,1,$B62)&gt;0,"Apertura de "&amp;TEXT(INDEX(FC_CRONOGRAMA!$D$19:$BK$19,1,$B62),"0")&amp;" PDV del piloto · ","")&amp;IF(INDEX(FC_CRONOGRAMA!$D$46:$BK$46,1,$B62)=1,"Orden de compra de equipos del flagship · ","")&amp;IF(INDEX(FC_CRONOGRAMA!$D$48:$BK$48,1,$B62)=1,"Arribo de equipos del flagship · ","")&amp;IF(INDEX(FC_CRONOGRAMA!$D$53:$BK$53,1,$B62)=1,"Obra de adecuación del flagship · ","")&amp;IF(AND(FC_SUPUESTOS!$C$12=1,$B62=FC_SUPUESTOS!$C$13),"APERTURA DEL FLAGSHIP · ","")</f>
        <v/>
      </c>
    </row>
    <row r="63" customFormat="false" ht="15" hidden="false" customHeight="true" outlineLevel="0" collapsed="false">
      <c r="B63" s="509" t="n">
        <v>42</v>
      </c>
      <c r="C63" s="510" t="n">
        <f aca="false">EDATE(DATE(YEAR(FC_SUPUESTOS!$D$14),MONTH(FC_SUPUESTOS!$D$14),1),$B63-1)</f>
        <v>47543</v>
      </c>
      <c r="D63" s="388" t="str">
        <f aca="false">IF(LEN(S63)=0,"",LEFT(S63,LEN(S63)-3))</f>
        <v/>
      </c>
      <c r="E63" s="380" t="n">
        <f aca="false">INDEX(FC_FLUJO_CAJA!$D$14:$BK$14,1,$B63)</f>
        <v>591664.964615872</v>
      </c>
      <c r="F63" s="380" t="n">
        <f aca="false">INDEX(FC_FLUJO_CAJA!$D$35:$BK$35,1,$B63)</f>
        <v>508606.033716288</v>
      </c>
      <c r="G63" s="380" t="n">
        <f aca="false">INDEX(FC_FLUJO_CAJA!$D$39:$BK$39,1,$B63)</f>
        <v>23584.2033407336</v>
      </c>
      <c r="H63" s="380" t="n">
        <f aca="false">INDEX(FC_FLUJO_CAJA!$D$54:$BK$54,1,$B63)</f>
        <v>0</v>
      </c>
      <c r="I63" s="380" t="n">
        <f aca="false">INDEX(FC_FLUJO_CAJA!$D$68:$BK$68,1,$B63)</f>
        <v>0</v>
      </c>
      <c r="J63" s="380" t="n">
        <f aca="false">INDEX(FC_FLUJO_CAJA!$D$81:$BK$81,1,$B63)</f>
        <v>0</v>
      </c>
      <c r="K63" s="383" t="n">
        <f aca="false">F63+G63+H63+I63+J63</f>
        <v>532190.237057022</v>
      </c>
      <c r="L63" s="380" t="n">
        <f aca="false">INDEX(FC_FLUJO_CAJA!$D$85:$BK$85,1,$B63)</f>
        <v>59474.7275588505</v>
      </c>
      <c r="M63" s="495" t="n">
        <f aca="false">INDEX(FC_FLUJO_CAJA!$D$89:$BK$89,1,$B63)</f>
        <v>1762093.2621499</v>
      </c>
      <c r="N63" s="511" t="n">
        <f aca="false">INDEX(FC_FLUJO_CAJA!$D$92:$BK$92,1,$B63)</f>
        <v>0</v>
      </c>
      <c r="O63" s="380" t="n">
        <f aca="false">INDEX(FC_FLUJO_CAJA!$D$93:$BK$93,1,$B63)</f>
        <v>2100000</v>
      </c>
      <c r="P63" s="383" t="n">
        <f aca="false">INDEX(FC_FLUJO_CAJA!$D$94:$BK$94,1,$B63)</f>
        <v>1821567.98970875</v>
      </c>
      <c r="Q63" s="426" t="str">
        <f aca="false">IF(N63=0,"",IF(MAX(H63,I63,J63)&gt;=MAX(0,F63+G63-E63),IF(H63&gt;=MAX(I63,J63),"Equipos, montaje y arranque del centro de producción",IF(I63&gt;=J63,"Equipos, obra, depósitos y arranque de los PDV del piloto","Equipos y adecuación del flagship")),"Estructura corporativa, personal y operación de la red"))</f>
        <v/>
      </c>
      <c r="S63" s="512" t="str">
        <f aca="false">IF(INDEX(FC_CRONOGRAMA!$D$8:$BK$8,1,$B63)=1,"Orden de compra de equipos de PLANTA · ","")&amp;IF(INDEX(FC_CRONOGRAMA!$D$28:$BK$28,1,$B63)+INDEX(FC_CRONOGRAMA!$D$29:$BK$29,1,$B63)&gt;0,"Orden de compra de equipos de PDV · ","")&amp;IF(INDEX(FC_CRONOGRAMA!$D$9:$BK$9,1,$B63)=1,"Embarque de equipos de planta · ","")&amp;IF(INDEX(FC_CRONOGRAMA!$D$30:$BK$30,1,$B63)+INDEX(FC_CRONOGRAMA!$D$31:$BK$31,1,$B63)&gt;0,"Embarque de equipos de PDV · ","")&amp;IF(INDEX(FC_CRONOGRAMA!$D$10:$BK$10,1,$B63)=1,"Arribo y nacionalización — planta · ","")&amp;IF(INDEX(FC_CRONOGRAMA!$D$32:$BK$32,1,$B63)+INDEX(FC_CRONOGRAMA!$D$33:$BK$33,1,$B63)&gt;0,"Arribo y nacionalización — PDV · ","")&amp;IF(INDEX(FC_CRONOGRAMA!$D$11:$BK$11,1,$B63)=1,"Montaje y puesta en marcha de la planta · ","")&amp;IF(AND($B63=FC_SUPUESTOS!$C$23),"ARRANQUE DE LA PLANTA · ","")&amp;IF(INDEX(FC_CRONOGRAMA!$D$40:$BK$40,1,$B63)+INDEX(FC_CRONOGRAMA!$D$41:$BK$41,1,$B63)&gt;0,"Obra de adecuación de locales · ","")&amp;IF(INDEX(FC_CRONOGRAMA!$D$19:$BK$19,1,$B63)&gt;0,"Apertura de "&amp;TEXT(INDEX(FC_CRONOGRAMA!$D$19:$BK$19,1,$B63),"0")&amp;" PDV del piloto · ","")&amp;IF(INDEX(FC_CRONOGRAMA!$D$46:$BK$46,1,$B63)=1,"Orden de compra de equipos del flagship · ","")&amp;IF(INDEX(FC_CRONOGRAMA!$D$48:$BK$48,1,$B63)=1,"Arribo de equipos del flagship · ","")&amp;IF(INDEX(FC_CRONOGRAMA!$D$53:$BK$53,1,$B63)=1,"Obra de adecuación del flagship · ","")&amp;IF(AND(FC_SUPUESTOS!$C$12=1,$B63=FC_SUPUESTOS!$C$13),"APERTURA DEL FLAGSHIP · ","")</f>
        <v/>
      </c>
    </row>
    <row r="64" customFormat="false" ht="15" hidden="false" customHeight="true" outlineLevel="0" collapsed="false">
      <c r="B64" s="509" t="n">
        <v>43</v>
      </c>
      <c r="C64" s="510" t="n">
        <f aca="false">EDATE(DATE(YEAR(FC_SUPUESTOS!$D$14),MONTH(FC_SUPUESTOS!$D$14),1),$B64-1)</f>
        <v>47574</v>
      </c>
      <c r="D64" s="388" t="str">
        <f aca="false">IF(LEN(S64)=0,"",LEFT(S64,LEN(S64)-3))</f>
        <v/>
      </c>
      <c r="E64" s="380" t="n">
        <f aca="false">INDEX(FC_FLUJO_CAJA!$D$14:$BK$14,1,$B64)</f>
        <v>591664.964615872</v>
      </c>
      <c r="F64" s="380" t="n">
        <f aca="false">INDEX(FC_FLUJO_CAJA!$D$35:$BK$35,1,$B64)</f>
        <v>508606.033716288</v>
      </c>
      <c r="G64" s="380" t="n">
        <f aca="false">INDEX(FC_FLUJO_CAJA!$D$39:$BK$39,1,$B64)</f>
        <v>23584.2033407336</v>
      </c>
      <c r="H64" s="380" t="n">
        <f aca="false">INDEX(FC_FLUJO_CAJA!$D$54:$BK$54,1,$B64)</f>
        <v>0</v>
      </c>
      <c r="I64" s="380" t="n">
        <f aca="false">INDEX(FC_FLUJO_CAJA!$D$68:$BK$68,1,$B64)</f>
        <v>0</v>
      </c>
      <c r="J64" s="380" t="n">
        <f aca="false">INDEX(FC_FLUJO_CAJA!$D$81:$BK$81,1,$B64)</f>
        <v>0</v>
      </c>
      <c r="K64" s="383" t="n">
        <f aca="false">F64+G64+H64+I64+J64</f>
        <v>532190.237057022</v>
      </c>
      <c r="L64" s="380" t="n">
        <f aca="false">INDEX(FC_FLUJO_CAJA!$D$85:$BK$85,1,$B64)</f>
        <v>59474.7275588505</v>
      </c>
      <c r="M64" s="495" t="n">
        <f aca="false">INDEX(FC_FLUJO_CAJA!$D$89:$BK$89,1,$B64)</f>
        <v>1821567.98970875</v>
      </c>
      <c r="N64" s="511" t="n">
        <f aca="false">INDEX(FC_FLUJO_CAJA!$D$92:$BK$92,1,$B64)</f>
        <v>0</v>
      </c>
      <c r="O64" s="380" t="n">
        <f aca="false">INDEX(FC_FLUJO_CAJA!$D$93:$BK$93,1,$B64)</f>
        <v>2100000</v>
      </c>
      <c r="P64" s="383" t="n">
        <f aca="false">INDEX(FC_FLUJO_CAJA!$D$94:$BK$94,1,$B64)</f>
        <v>1881042.7172676</v>
      </c>
      <c r="Q64" s="426" t="str">
        <f aca="false">IF(N64=0,"",IF(MAX(H64,I64,J64)&gt;=MAX(0,F64+G64-E64),IF(H64&gt;=MAX(I64,J64),"Equipos, montaje y arranque del centro de producción",IF(I64&gt;=J64,"Equipos, obra, depósitos y arranque de los PDV del piloto","Equipos y adecuación del flagship")),"Estructura corporativa, personal y operación de la red"))</f>
        <v/>
      </c>
      <c r="S64" s="512" t="str">
        <f aca="false">IF(INDEX(FC_CRONOGRAMA!$D$8:$BK$8,1,$B64)=1,"Orden de compra de equipos de PLANTA · ","")&amp;IF(INDEX(FC_CRONOGRAMA!$D$28:$BK$28,1,$B64)+INDEX(FC_CRONOGRAMA!$D$29:$BK$29,1,$B64)&gt;0,"Orden de compra de equipos de PDV · ","")&amp;IF(INDEX(FC_CRONOGRAMA!$D$9:$BK$9,1,$B64)=1,"Embarque de equipos de planta · ","")&amp;IF(INDEX(FC_CRONOGRAMA!$D$30:$BK$30,1,$B64)+INDEX(FC_CRONOGRAMA!$D$31:$BK$31,1,$B64)&gt;0,"Embarque de equipos de PDV · ","")&amp;IF(INDEX(FC_CRONOGRAMA!$D$10:$BK$10,1,$B64)=1,"Arribo y nacionalización — planta · ","")&amp;IF(INDEX(FC_CRONOGRAMA!$D$32:$BK$32,1,$B64)+INDEX(FC_CRONOGRAMA!$D$33:$BK$33,1,$B64)&gt;0,"Arribo y nacionalización — PDV · ","")&amp;IF(INDEX(FC_CRONOGRAMA!$D$11:$BK$11,1,$B64)=1,"Montaje y puesta en marcha de la planta · ","")&amp;IF(AND($B64=FC_SUPUESTOS!$C$23),"ARRANQUE DE LA PLANTA · ","")&amp;IF(INDEX(FC_CRONOGRAMA!$D$40:$BK$40,1,$B64)+INDEX(FC_CRONOGRAMA!$D$41:$BK$41,1,$B64)&gt;0,"Obra de adecuación de locales · ","")&amp;IF(INDEX(FC_CRONOGRAMA!$D$19:$BK$19,1,$B64)&gt;0,"Apertura de "&amp;TEXT(INDEX(FC_CRONOGRAMA!$D$19:$BK$19,1,$B64),"0")&amp;" PDV del piloto · ","")&amp;IF(INDEX(FC_CRONOGRAMA!$D$46:$BK$46,1,$B64)=1,"Orden de compra de equipos del flagship · ","")&amp;IF(INDEX(FC_CRONOGRAMA!$D$48:$BK$48,1,$B64)=1,"Arribo de equipos del flagship · ","")&amp;IF(INDEX(FC_CRONOGRAMA!$D$53:$BK$53,1,$B64)=1,"Obra de adecuación del flagship · ","")&amp;IF(AND(FC_SUPUESTOS!$C$12=1,$B64=FC_SUPUESTOS!$C$13),"APERTURA DEL FLAGSHIP · ","")</f>
        <v/>
      </c>
    </row>
    <row r="65" customFormat="false" ht="15" hidden="false" customHeight="true" outlineLevel="0" collapsed="false">
      <c r="B65" s="509" t="n">
        <v>44</v>
      </c>
      <c r="C65" s="510" t="n">
        <f aca="false">EDATE(DATE(YEAR(FC_SUPUESTOS!$D$14),MONTH(FC_SUPUESTOS!$D$14),1),$B65-1)</f>
        <v>47604</v>
      </c>
      <c r="D65" s="388" t="str">
        <f aca="false">IF(LEN(S65)=0,"",LEFT(S65,LEN(S65)-3))</f>
        <v/>
      </c>
      <c r="E65" s="380" t="n">
        <f aca="false">INDEX(FC_FLUJO_CAJA!$D$14:$BK$14,1,$B65)</f>
        <v>591664.964615872</v>
      </c>
      <c r="F65" s="380" t="n">
        <f aca="false">INDEX(FC_FLUJO_CAJA!$D$35:$BK$35,1,$B65)</f>
        <v>508606.033716288</v>
      </c>
      <c r="G65" s="380" t="n">
        <f aca="false">INDEX(FC_FLUJO_CAJA!$D$39:$BK$39,1,$B65)</f>
        <v>23584.2033407336</v>
      </c>
      <c r="H65" s="380" t="n">
        <f aca="false">INDEX(FC_FLUJO_CAJA!$D$54:$BK$54,1,$B65)</f>
        <v>0</v>
      </c>
      <c r="I65" s="380" t="n">
        <f aca="false">INDEX(FC_FLUJO_CAJA!$D$68:$BK$68,1,$B65)</f>
        <v>0</v>
      </c>
      <c r="J65" s="380" t="n">
        <f aca="false">INDEX(FC_FLUJO_CAJA!$D$81:$BK$81,1,$B65)</f>
        <v>0</v>
      </c>
      <c r="K65" s="383" t="n">
        <f aca="false">F65+G65+H65+I65+J65</f>
        <v>532190.237057022</v>
      </c>
      <c r="L65" s="380" t="n">
        <f aca="false">INDEX(FC_FLUJO_CAJA!$D$85:$BK$85,1,$B65)</f>
        <v>59474.7275588505</v>
      </c>
      <c r="M65" s="495" t="n">
        <f aca="false">INDEX(FC_FLUJO_CAJA!$D$89:$BK$89,1,$B65)</f>
        <v>1881042.7172676</v>
      </c>
      <c r="N65" s="511" t="n">
        <f aca="false">INDEX(FC_FLUJO_CAJA!$D$92:$BK$92,1,$B65)</f>
        <v>0</v>
      </c>
      <c r="O65" s="380" t="n">
        <f aca="false">INDEX(FC_FLUJO_CAJA!$D$93:$BK$93,1,$B65)</f>
        <v>2100000</v>
      </c>
      <c r="P65" s="383" t="n">
        <f aca="false">INDEX(FC_FLUJO_CAJA!$D$94:$BK$94,1,$B65)</f>
        <v>1940517.44482645</v>
      </c>
      <c r="Q65" s="426" t="str">
        <f aca="false">IF(N65=0,"",IF(MAX(H65,I65,J65)&gt;=MAX(0,F65+G65-E65),IF(H65&gt;=MAX(I65,J65),"Equipos, montaje y arranque del centro de producción",IF(I65&gt;=J65,"Equipos, obra, depósitos y arranque de los PDV del piloto","Equipos y adecuación del flagship")),"Estructura corporativa, personal y operación de la red"))</f>
        <v/>
      </c>
      <c r="S65" s="512" t="str">
        <f aca="false">IF(INDEX(FC_CRONOGRAMA!$D$8:$BK$8,1,$B65)=1,"Orden de compra de equipos de PLANTA · ","")&amp;IF(INDEX(FC_CRONOGRAMA!$D$28:$BK$28,1,$B65)+INDEX(FC_CRONOGRAMA!$D$29:$BK$29,1,$B65)&gt;0,"Orden de compra de equipos de PDV · ","")&amp;IF(INDEX(FC_CRONOGRAMA!$D$9:$BK$9,1,$B65)=1,"Embarque de equipos de planta · ","")&amp;IF(INDEX(FC_CRONOGRAMA!$D$30:$BK$30,1,$B65)+INDEX(FC_CRONOGRAMA!$D$31:$BK$31,1,$B65)&gt;0,"Embarque de equipos de PDV · ","")&amp;IF(INDEX(FC_CRONOGRAMA!$D$10:$BK$10,1,$B65)=1,"Arribo y nacionalización — planta · ","")&amp;IF(INDEX(FC_CRONOGRAMA!$D$32:$BK$32,1,$B65)+INDEX(FC_CRONOGRAMA!$D$33:$BK$33,1,$B65)&gt;0,"Arribo y nacionalización — PDV · ","")&amp;IF(INDEX(FC_CRONOGRAMA!$D$11:$BK$11,1,$B65)=1,"Montaje y puesta en marcha de la planta · ","")&amp;IF(AND($B65=FC_SUPUESTOS!$C$23),"ARRANQUE DE LA PLANTA · ","")&amp;IF(INDEX(FC_CRONOGRAMA!$D$40:$BK$40,1,$B65)+INDEX(FC_CRONOGRAMA!$D$41:$BK$41,1,$B65)&gt;0,"Obra de adecuación de locales · ","")&amp;IF(INDEX(FC_CRONOGRAMA!$D$19:$BK$19,1,$B65)&gt;0,"Apertura de "&amp;TEXT(INDEX(FC_CRONOGRAMA!$D$19:$BK$19,1,$B65),"0")&amp;" PDV del piloto · ","")&amp;IF(INDEX(FC_CRONOGRAMA!$D$46:$BK$46,1,$B65)=1,"Orden de compra de equipos del flagship · ","")&amp;IF(INDEX(FC_CRONOGRAMA!$D$48:$BK$48,1,$B65)=1,"Arribo de equipos del flagship · ","")&amp;IF(INDEX(FC_CRONOGRAMA!$D$53:$BK$53,1,$B65)=1,"Obra de adecuación del flagship · ","")&amp;IF(AND(FC_SUPUESTOS!$C$12=1,$B65=FC_SUPUESTOS!$C$13),"APERTURA DEL FLAGSHIP · ","")</f>
        <v/>
      </c>
    </row>
    <row r="66" customFormat="false" ht="15" hidden="false" customHeight="true" outlineLevel="0" collapsed="false">
      <c r="B66" s="509" t="n">
        <v>45</v>
      </c>
      <c r="C66" s="510" t="n">
        <f aca="false">EDATE(DATE(YEAR(FC_SUPUESTOS!$D$14),MONTH(FC_SUPUESTOS!$D$14),1),$B66-1)</f>
        <v>47635</v>
      </c>
      <c r="D66" s="388" t="str">
        <f aca="false">IF(LEN(S66)=0,"",LEFT(S66,LEN(S66)-3))</f>
        <v/>
      </c>
      <c r="E66" s="380" t="n">
        <f aca="false">INDEX(FC_FLUJO_CAJA!$D$14:$BK$14,1,$B66)</f>
        <v>591664.964615872</v>
      </c>
      <c r="F66" s="380" t="n">
        <f aca="false">INDEX(FC_FLUJO_CAJA!$D$35:$BK$35,1,$B66)</f>
        <v>508606.033716288</v>
      </c>
      <c r="G66" s="380" t="n">
        <f aca="false">INDEX(FC_FLUJO_CAJA!$D$39:$BK$39,1,$B66)</f>
        <v>23584.2033407336</v>
      </c>
      <c r="H66" s="380" t="n">
        <f aca="false">INDEX(FC_FLUJO_CAJA!$D$54:$BK$54,1,$B66)</f>
        <v>0</v>
      </c>
      <c r="I66" s="380" t="n">
        <f aca="false">INDEX(FC_FLUJO_CAJA!$D$68:$BK$68,1,$B66)</f>
        <v>0</v>
      </c>
      <c r="J66" s="380" t="n">
        <f aca="false">INDEX(FC_FLUJO_CAJA!$D$81:$BK$81,1,$B66)</f>
        <v>0</v>
      </c>
      <c r="K66" s="383" t="n">
        <f aca="false">F66+G66+H66+I66+J66</f>
        <v>532190.237057022</v>
      </c>
      <c r="L66" s="380" t="n">
        <f aca="false">INDEX(FC_FLUJO_CAJA!$D$85:$BK$85,1,$B66)</f>
        <v>59474.7275588505</v>
      </c>
      <c r="M66" s="495" t="n">
        <f aca="false">INDEX(FC_FLUJO_CAJA!$D$89:$BK$89,1,$B66)</f>
        <v>1940517.44482645</v>
      </c>
      <c r="N66" s="511" t="n">
        <f aca="false">INDEX(FC_FLUJO_CAJA!$D$92:$BK$92,1,$B66)</f>
        <v>0</v>
      </c>
      <c r="O66" s="380" t="n">
        <f aca="false">INDEX(FC_FLUJO_CAJA!$D$93:$BK$93,1,$B66)</f>
        <v>2100000</v>
      </c>
      <c r="P66" s="383" t="n">
        <f aca="false">INDEX(FC_FLUJO_CAJA!$D$94:$BK$94,1,$B66)</f>
        <v>1999992.1723853</v>
      </c>
      <c r="Q66" s="426" t="str">
        <f aca="false">IF(N66=0,"",IF(MAX(H66,I66,J66)&gt;=MAX(0,F66+G66-E66),IF(H66&gt;=MAX(I66,J66),"Equipos, montaje y arranque del centro de producción",IF(I66&gt;=J66,"Equipos, obra, depósitos y arranque de los PDV del piloto","Equipos y adecuación del flagship")),"Estructura corporativa, personal y operación de la red"))</f>
        <v/>
      </c>
      <c r="S66" s="512" t="str">
        <f aca="false">IF(INDEX(FC_CRONOGRAMA!$D$8:$BK$8,1,$B66)=1,"Orden de compra de equipos de PLANTA · ","")&amp;IF(INDEX(FC_CRONOGRAMA!$D$28:$BK$28,1,$B66)+INDEX(FC_CRONOGRAMA!$D$29:$BK$29,1,$B66)&gt;0,"Orden de compra de equipos de PDV · ","")&amp;IF(INDEX(FC_CRONOGRAMA!$D$9:$BK$9,1,$B66)=1,"Embarque de equipos de planta · ","")&amp;IF(INDEX(FC_CRONOGRAMA!$D$30:$BK$30,1,$B66)+INDEX(FC_CRONOGRAMA!$D$31:$BK$31,1,$B66)&gt;0,"Embarque de equipos de PDV · ","")&amp;IF(INDEX(FC_CRONOGRAMA!$D$10:$BK$10,1,$B66)=1,"Arribo y nacionalización — planta · ","")&amp;IF(INDEX(FC_CRONOGRAMA!$D$32:$BK$32,1,$B66)+INDEX(FC_CRONOGRAMA!$D$33:$BK$33,1,$B66)&gt;0,"Arribo y nacionalización — PDV · ","")&amp;IF(INDEX(FC_CRONOGRAMA!$D$11:$BK$11,1,$B66)=1,"Montaje y puesta en marcha de la planta · ","")&amp;IF(AND($B66=FC_SUPUESTOS!$C$23),"ARRANQUE DE LA PLANTA · ","")&amp;IF(INDEX(FC_CRONOGRAMA!$D$40:$BK$40,1,$B66)+INDEX(FC_CRONOGRAMA!$D$41:$BK$41,1,$B66)&gt;0,"Obra de adecuación de locales · ","")&amp;IF(INDEX(FC_CRONOGRAMA!$D$19:$BK$19,1,$B66)&gt;0,"Apertura de "&amp;TEXT(INDEX(FC_CRONOGRAMA!$D$19:$BK$19,1,$B66),"0")&amp;" PDV del piloto · ","")&amp;IF(INDEX(FC_CRONOGRAMA!$D$46:$BK$46,1,$B66)=1,"Orden de compra de equipos del flagship · ","")&amp;IF(INDEX(FC_CRONOGRAMA!$D$48:$BK$48,1,$B66)=1,"Arribo de equipos del flagship · ","")&amp;IF(INDEX(FC_CRONOGRAMA!$D$53:$BK$53,1,$B66)=1,"Obra de adecuación del flagship · ","")&amp;IF(AND(FC_SUPUESTOS!$C$12=1,$B66=FC_SUPUESTOS!$C$13),"APERTURA DEL FLAGSHIP · ","")</f>
        <v/>
      </c>
    </row>
    <row r="67" customFormat="false" ht="15" hidden="false" customHeight="true" outlineLevel="0" collapsed="false">
      <c r="B67" s="509" t="n">
        <v>46</v>
      </c>
      <c r="C67" s="510" t="n">
        <f aca="false">EDATE(DATE(YEAR(FC_SUPUESTOS!$D$14),MONTH(FC_SUPUESTOS!$D$14),1),$B67-1)</f>
        <v>47665</v>
      </c>
      <c r="D67" s="388" t="str">
        <f aca="false">IF(LEN(S67)=0,"",LEFT(S67,LEN(S67)-3))</f>
        <v/>
      </c>
      <c r="E67" s="380" t="n">
        <f aca="false">INDEX(FC_FLUJO_CAJA!$D$14:$BK$14,1,$B67)</f>
        <v>591664.964615872</v>
      </c>
      <c r="F67" s="380" t="n">
        <f aca="false">INDEX(FC_FLUJO_CAJA!$D$35:$BK$35,1,$B67)</f>
        <v>508606.033716288</v>
      </c>
      <c r="G67" s="380" t="n">
        <f aca="false">INDEX(FC_FLUJO_CAJA!$D$39:$BK$39,1,$B67)</f>
        <v>23584.2033407336</v>
      </c>
      <c r="H67" s="380" t="n">
        <f aca="false">INDEX(FC_FLUJO_CAJA!$D$54:$BK$54,1,$B67)</f>
        <v>0</v>
      </c>
      <c r="I67" s="380" t="n">
        <f aca="false">INDEX(FC_FLUJO_CAJA!$D$68:$BK$68,1,$B67)</f>
        <v>0</v>
      </c>
      <c r="J67" s="380" t="n">
        <f aca="false">INDEX(FC_FLUJO_CAJA!$D$81:$BK$81,1,$B67)</f>
        <v>0</v>
      </c>
      <c r="K67" s="383" t="n">
        <f aca="false">F67+G67+H67+I67+J67</f>
        <v>532190.237057022</v>
      </c>
      <c r="L67" s="380" t="n">
        <f aca="false">INDEX(FC_FLUJO_CAJA!$D$85:$BK$85,1,$B67)</f>
        <v>59474.7275588505</v>
      </c>
      <c r="M67" s="495" t="n">
        <f aca="false">INDEX(FC_FLUJO_CAJA!$D$89:$BK$89,1,$B67)</f>
        <v>1999992.1723853</v>
      </c>
      <c r="N67" s="511" t="n">
        <f aca="false">INDEX(FC_FLUJO_CAJA!$D$92:$BK$92,1,$B67)</f>
        <v>0</v>
      </c>
      <c r="O67" s="380" t="n">
        <f aca="false">INDEX(FC_FLUJO_CAJA!$D$93:$BK$93,1,$B67)</f>
        <v>2100000</v>
      </c>
      <c r="P67" s="383" t="n">
        <f aca="false">INDEX(FC_FLUJO_CAJA!$D$94:$BK$94,1,$B67)</f>
        <v>2059466.89994416</v>
      </c>
      <c r="Q67" s="426" t="str">
        <f aca="false">IF(N67=0,"",IF(MAX(H67,I67,J67)&gt;=MAX(0,F67+G67-E67),IF(H67&gt;=MAX(I67,J67),"Equipos, montaje y arranque del centro de producción",IF(I67&gt;=J67,"Equipos, obra, depósitos y arranque de los PDV del piloto","Equipos y adecuación del flagship")),"Estructura corporativa, personal y operación de la red"))</f>
        <v/>
      </c>
      <c r="S67" s="512" t="str">
        <f aca="false">IF(INDEX(FC_CRONOGRAMA!$D$8:$BK$8,1,$B67)=1,"Orden de compra de equipos de PLANTA · ","")&amp;IF(INDEX(FC_CRONOGRAMA!$D$28:$BK$28,1,$B67)+INDEX(FC_CRONOGRAMA!$D$29:$BK$29,1,$B67)&gt;0,"Orden de compra de equipos de PDV · ","")&amp;IF(INDEX(FC_CRONOGRAMA!$D$9:$BK$9,1,$B67)=1,"Embarque de equipos de planta · ","")&amp;IF(INDEX(FC_CRONOGRAMA!$D$30:$BK$30,1,$B67)+INDEX(FC_CRONOGRAMA!$D$31:$BK$31,1,$B67)&gt;0,"Embarque de equipos de PDV · ","")&amp;IF(INDEX(FC_CRONOGRAMA!$D$10:$BK$10,1,$B67)=1,"Arribo y nacionalización — planta · ","")&amp;IF(INDEX(FC_CRONOGRAMA!$D$32:$BK$32,1,$B67)+INDEX(FC_CRONOGRAMA!$D$33:$BK$33,1,$B67)&gt;0,"Arribo y nacionalización — PDV · ","")&amp;IF(INDEX(FC_CRONOGRAMA!$D$11:$BK$11,1,$B67)=1,"Montaje y puesta en marcha de la planta · ","")&amp;IF(AND($B67=FC_SUPUESTOS!$C$23),"ARRANQUE DE LA PLANTA · ","")&amp;IF(INDEX(FC_CRONOGRAMA!$D$40:$BK$40,1,$B67)+INDEX(FC_CRONOGRAMA!$D$41:$BK$41,1,$B67)&gt;0,"Obra de adecuación de locales · ","")&amp;IF(INDEX(FC_CRONOGRAMA!$D$19:$BK$19,1,$B67)&gt;0,"Apertura de "&amp;TEXT(INDEX(FC_CRONOGRAMA!$D$19:$BK$19,1,$B67),"0")&amp;" PDV del piloto · ","")&amp;IF(INDEX(FC_CRONOGRAMA!$D$46:$BK$46,1,$B67)=1,"Orden de compra de equipos del flagship · ","")&amp;IF(INDEX(FC_CRONOGRAMA!$D$48:$BK$48,1,$B67)=1,"Arribo de equipos del flagship · ","")&amp;IF(INDEX(FC_CRONOGRAMA!$D$53:$BK$53,1,$B67)=1,"Obra de adecuación del flagship · ","")&amp;IF(AND(FC_SUPUESTOS!$C$12=1,$B67=FC_SUPUESTOS!$C$13),"APERTURA DEL FLAGSHIP · ","")</f>
        <v/>
      </c>
    </row>
    <row r="68" customFormat="false" ht="15" hidden="false" customHeight="true" outlineLevel="0" collapsed="false">
      <c r="B68" s="509" t="n">
        <v>47</v>
      </c>
      <c r="C68" s="510" t="n">
        <f aca="false">EDATE(DATE(YEAR(FC_SUPUESTOS!$D$14),MONTH(FC_SUPUESTOS!$D$14),1),$B68-1)</f>
        <v>47696</v>
      </c>
      <c r="D68" s="388" t="str">
        <f aca="false">IF(LEN(S68)=0,"",LEFT(S68,LEN(S68)-3))</f>
        <v/>
      </c>
      <c r="E68" s="380" t="n">
        <f aca="false">INDEX(FC_FLUJO_CAJA!$D$14:$BK$14,1,$B68)</f>
        <v>591664.964615872</v>
      </c>
      <c r="F68" s="380" t="n">
        <f aca="false">INDEX(FC_FLUJO_CAJA!$D$35:$BK$35,1,$B68)</f>
        <v>508606.033716288</v>
      </c>
      <c r="G68" s="380" t="n">
        <f aca="false">INDEX(FC_FLUJO_CAJA!$D$39:$BK$39,1,$B68)</f>
        <v>23584.2033407336</v>
      </c>
      <c r="H68" s="380" t="n">
        <f aca="false">INDEX(FC_FLUJO_CAJA!$D$54:$BK$54,1,$B68)</f>
        <v>0</v>
      </c>
      <c r="I68" s="380" t="n">
        <f aca="false">INDEX(FC_FLUJO_CAJA!$D$68:$BK$68,1,$B68)</f>
        <v>0</v>
      </c>
      <c r="J68" s="380" t="n">
        <f aca="false">INDEX(FC_FLUJO_CAJA!$D$81:$BK$81,1,$B68)</f>
        <v>0</v>
      </c>
      <c r="K68" s="383" t="n">
        <f aca="false">F68+G68+H68+I68+J68</f>
        <v>532190.237057022</v>
      </c>
      <c r="L68" s="380" t="n">
        <f aca="false">INDEX(FC_FLUJO_CAJA!$D$85:$BK$85,1,$B68)</f>
        <v>59474.7275588505</v>
      </c>
      <c r="M68" s="495" t="n">
        <f aca="false">INDEX(FC_FLUJO_CAJA!$D$89:$BK$89,1,$B68)</f>
        <v>2059466.89994416</v>
      </c>
      <c r="N68" s="511" t="n">
        <f aca="false">INDEX(FC_FLUJO_CAJA!$D$92:$BK$92,1,$B68)</f>
        <v>0</v>
      </c>
      <c r="O68" s="380" t="n">
        <f aca="false">INDEX(FC_FLUJO_CAJA!$D$93:$BK$93,1,$B68)</f>
        <v>2100000</v>
      </c>
      <c r="P68" s="383" t="n">
        <f aca="false">INDEX(FC_FLUJO_CAJA!$D$94:$BK$94,1,$B68)</f>
        <v>2118941.62750301</v>
      </c>
      <c r="Q68" s="426" t="str">
        <f aca="false">IF(N68=0,"",IF(MAX(H68,I68,J68)&gt;=MAX(0,F68+G68-E68),IF(H68&gt;=MAX(I68,J68),"Equipos, montaje y arranque del centro de producción",IF(I68&gt;=J68,"Equipos, obra, depósitos y arranque de los PDV del piloto","Equipos y adecuación del flagship")),"Estructura corporativa, personal y operación de la red"))</f>
        <v/>
      </c>
      <c r="S68" s="512" t="str">
        <f aca="false">IF(INDEX(FC_CRONOGRAMA!$D$8:$BK$8,1,$B68)=1,"Orden de compra de equipos de PLANTA · ","")&amp;IF(INDEX(FC_CRONOGRAMA!$D$28:$BK$28,1,$B68)+INDEX(FC_CRONOGRAMA!$D$29:$BK$29,1,$B68)&gt;0,"Orden de compra de equipos de PDV · ","")&amp;IF(INDEX(FC_CRONOGRAMA!$D$9:$BK$9,1,$B68)=1,"Embarque de equipos de planta · ","")&amp;IF(INDEX(FC_CRONOGRAMA!$D$30:$BK$30,1,$B68)+INDEX(FC_CRONOGRAMA!$D$31:$BK$31,1,$B68)&gt;0,"Embarque de equipos de PDV · ","")&amp;IF(INDEX(FC_CRONOGRAMA!$D$10:$BK$10,1,$B68)=1,"Arribo y nacionalización — planta · ","")&amp;IF(INDEX(FC_CRONOGRAMA!$D$32:$BK$32,1,$B68)+INDEX(FC_CRONOGRAMA!$D$33:$BK$33,1,$B68)&gt;0,"Arribo y nacionalización — PDV · ","")&amp;IF(INDEX(FC_CRONOGRAMA!$D$11:$BK$11,1,$B68)=1,"Montaje y puesta en marcha de la planta · ","")&amp;IF(AND($B68=FC_SUPUESTOS!$C$23),"ARRANQUE DE LA PLANTA · ","")&amp;IF(INDEX(FC_CRONOGRAMA!$D$40:$BK$40,1,$B68)+INDEX(FC_CRONOGRAMA!$D$41:$BK$41,1,$B68)&gt;0,"Obra de adecuación de locales · ","")&amp;IF(INDEX(FC_CRONOGRAMA!$D$19:$BK$19,1,$B68)&gt;0,"Apertura de "&amp;TEXT(INDEX(FC_CRONOGRAMA!$D$19:$BK$19,1,$B68),"0")&amp;" PDV del piloto · ","")&amp;IF(INDEX(FC_CRONOGRAMA!$D$46:$BK$46,1,$B68)=1,"Orden de compra de equipos del flagship · ","")&amp;IF(INDEX(FC_CRONOGRAMA!$D$48:$BK$48,1,$B68)=1,"Arribo de equipos del flagship · ","")&amp;IF(INDEX(FC_CRONOGRAMA!$D$53:$BK$53,1,$B68)=1,"Obra de adecuación del flagship · ","")&amp;IF(AND(FC_SUPUESTOS!$C$12=1,$B68=FC_SUPUESTOS!$C$13),"APERTURA DEL FLAGSHIP · ","")</f>
        <v/>
      </c>
    </row>
    <row r="69" customFormat="false" ht="15" hidden="false" customHeight="true" outlineLevel="0" collapsed="false">
      <c r="B69" s="509" t="n">
        <v>48</v>
      </c>
      <c r="C69" s="510" t="n">
        <f aca="false">EDATE(DATE(YEAR(FC_SUPUESTOS!$D$14),MONTH(FC_SUPUESTOS!$D$14),1),$B69-1)</f>
        <v>47727</v>
      </c>
      <c r="D69" s="388" t="str">
        <f aca="false">IF(LEN(S69)=0,"",LEFT(S69,LEN(S69)-3))</f>
        <v/>
      </c>
      <c r="E69" s="380" t="n">
        <f aca="false">INDEX(FC_FLUJO_CAJA!$D$14:$BK$14,1,$B69)</f>
        <v>591664.964615872</v>
      </c>
      <c r="F69" s="380" t="n">
        <f aca="false">INDEX(FC_FLUJO_CAJA!$D$35:$BK$35,1,$B69)</f>
        <v>508606.033716288</v>
      </c>
      <c r="G69" s="380" t="n">
        <f aca="false">INDEX(FC_FLUJO_CAJA!$D$39:$BK$39,1,$B69)</f>
        <v>23584.2033407336</v>
      </c>
      <c r="H69" s="380" t="n">
        <f aca="false">INDEX(FC_FLUJO_CAJA!$D$54:$BK$54,1,$B69)</f>
        <v>0</v>
      </c>
      <c r="I69" s="380" t="n">
        <f aca="false">INDEX(FC_FLUJO_CAJA!$D$68:$BK$68,1,$B69)</f>
        <v>0</v>
      </c>
      <c r="J69" s="380" t="n">
        <f aca="false">INDEX(FC_FLUJO_CAJA!$D$81:$BK$81,1,$B69)</f>
        <v>0</v>
      </c>
      <c r="K69" s="383" t="n">
        <f aca="false">F69+G69+H69+I69+J69</f>
        <v>532190.237057022</v>
      </c>
      <c r="L69" s="380" t="n">
        <f aca="false">INDEX(FC_FLUJO_CAJA!$D$85:$BK$85,1,$B69)</f>
        <v>59474.7275588505</v>
      </c>
      <c r="M69" s="495" t="n">
        <f aca="false">INDEX(FC_FLUJO_CAJA!$D$89:$BK$89,1,$B69)</f>
        <v>2118941.62750301</v>
      </c>
      <c r="N69" s="511" t="n">
        <f aca="false">INDEX(FC_FLUJO_CAJA!$D$92:$BK$92,1,$B69)</f>
        <v>0</v>
      </c>
      <c r="O69" s="380" t="n">
        <f aca="false">INDEX(FC_FLUJO_CAJA!$D$93:$BK$93,1,$B69)</f>
        <v>2100000</v>
      </c>
      <c r="P69" s="383" t="n">
        <f aca="false">INDEX(FC_FLUJO_CAJA!$D$94:$BK$94,1,$B69)</f>
        <v>2178416.35506186</v>
      </c>
      <c r="Q69" s="426" t="str">
        <f aca="false">IF(N69=0,"",IF(MAX(H69,I69,J69)&gt;=MAX(0,F69+G69-E69),IF(H69&gt;=MAX(I69,J69),"Equipos, montaje y arranque del centro de producción",IF(I69&gt;=J69,"Equipos, obra, depósitos y arranque de los PDV del piloto","Equipos y adecuación del flagship")),"Estructura corporativa, personal y operación de la red"))</f>
        <v/>
      </c>
      <c r="S69" s="512" t="str">
        <f aca="false">IF(INDEX(FC_CRONOGRAMA!$D$8:$BK$8,1,$B69)=1,"Orden de compra de equipos de PLANTA · ","")&amp;IF(INDEX(FC_CRONOGRAMA!$D$28:$BK$28,1,$B69)+INDEX(FC_CRONOGRAMA!$D$29:$BK$29,1,$B69)&gt;0,"Orden de compra de equipos de PDV · ","")&amp;IF(INDEX(FC_CRONOGRAMA!$D$9:$BK$9,1,$B69)=1,"Embarque de equipos de planta · ","")&amp;IF(INDEX(FC_CRONOGRAMA!$D$30:$BK$30,1,$B69)+INDEX(FC_CRONOGRAMA!$D$31:$BK$31,1,$B69)&gt;0,"Embarque de equipos de PDV · ","")&amp;IF(INDEX(FC_CRONOGRAMA!$D$10:$BK$10,1,$B69)=1,"Arribo y nacionalización — planta · ","")&amp;IF(INDEX(FC_CRONOGRAMA!$D$32:$BK$32,1,$B69)+INDEX(FC_CRONOGRAMA!$D$33:$BK$33,1,$B69)&gt;0,"Arribo y nacionalización — PDV · ","")&amp;IF(INDEX(FC_CRONOGRAMA!$D$11:$BK$11,1,$B69)=1,"Montaje y puesta en marcha de la planta · ","")&amp;IF(AND($B69=FC_SUPUESTOS!$C$23),"ARRANQUE DE LA PLANTA · ","")&amp;IF(INDEX(FC_CRONOGRAMA!$D$40:$BK$40,1,$B69)+INDEX(FC_CRONOGRAMA!$D$41:$BK$41,1,$B69)&gt;0,"Obra de adecuación de locales · ","")&amp;IF(INDEX(FC_CRONOGRAMA!$D$19:$BK$19,1,$B69)&gt;0,"Apertura de "&amp;TEXT(INDEX(FC_CRONOGRAMA!$D$19:$BK$19,1,$B69),"0")&amp;" PDV del piloto · ","")&amp;IF(INDEX(FC_CRONOGRAMA!$D$46:$BK$46,1,$B69)=1,"Orden de compra de equipos del flagship · ","")&amp;IF(INDEX(FC_CRONOGRAMA!$D$48:$BK$48,1,$B69)=1,"Arribo de equipos del flagship · ","")&amp;IF(INDEX(FC_CRONOGRAMA!$D$53:$BK$53,1,$B69)=1,"Obra de adecuación del flagship · ","")&amp;IF(AND(FC_SUPUESTOS!$C$12=1,$B69=FC_SUPUESTOS!$C$13),"APERTURA DEL FLAGSHIP · ","")</f>
        <v/>
      </c>
    </row>
    <row r="70" customFormat="false" ht="15" hidden="false" customHeight="true" outlineLevel="0" collapsed="false">
      <c r="B70" s="509" t="n">
        <v>49</v>
      </c>
      <c r="C70" s="510" t="n">
        <f aca="false">EDATE(DATE(YEAR(FC_SUPUESTOS!$D$14),MONTH(FC_SUPUESTOS!$D$14),1),$B70-1)</f>
        <v>47757</v>
      </c>
      <c r="D70" s="388" t="str">
        <f aca="false">IF(LEN(S70)=0,"",LEFT(S70,LEN(S70)-3))</f>
        <v/>
      </c>
      <c r="E70" s="380" t="n">
        <f aca="false">INDEX(FC_FLUJO_CAJA!$D$14:$BK$14,1,$B70)</f>
        <v>591664.964615872</v>
      </c>
      <c r="F70" s="380" t="n">
        <f aca="false">INDEX(FC_FLUJO_CAJA!$D$35:$BK$35,1,$B70)</f>
        <v>505647.708893209</v>
      </c>
      <c r="G70" s="380" t="n">
        <f aca="false">INDEX(FC_FLUJO_CAJA!$D$39:$BK$39,1,$B70)</f>
        <v>23584.2033407336</v>
      </c>
      <c r="H70" s="380" t="n">
        <f aca="false">INDEX(FC_FLUJO_CAJA!$D$54:$BK$54,1,$B70)</f>
        <v>0</v>
      </c>
      <c r="I70" s="380" t="n">
        <f aca="false">INDEX(FC_FLUJO_CAJA!$D$68:$BK$68,1,$B70)</f>
        <v>0</v>
      </c>
      <c r="J70" s="380" t="n">
        <f aca="false">INDEX(FC_FLUJO_CAJA!$D$81:$BK$81,1,$B70)</f>
        <v>0</v>
      </c>
      <c r="K70" s="383" t="n">
        <f aca="false">F70+G70+H70+I70+J70</f>
        <v>529231.912233942</v>
      </c>
      <c r="L70" s="380" t="n">
        <f aca="false">INDEX(FC_FLUJO_CAJA!$D$85:$BK$85,1,$B70)</f>
        <v>62433.0523819298</v>
      </c>
      <c r="M70" s="495" t="n">
        <f aca="false">INDEX(FC_FLUJO_CAJA!$D$89:$BK$89,1,$B70)</f>
        <v>2178416.35506186</v>
      </c>
      <c r="N70" s="511" t="n">
        <f aca="false">INDEX(FC_FLUJO_CAJA!$D$92:$BK$92,1,$B70)</f>
        <v>0</v>
      </c>
      <c r="O70" s="380" t="n">
        <f aca="false">INDEX(FC_FLUJO_CAJA!$D$93:$BK$93,1,$B70)</f>
        <v>2100000</v>
      </c>
      <c r="P70" s="383" t="n">
        <f aca="false">INDEX(FC_FLUJO_CAJA!$D$94:$BK$94,1,$B70)</f>
        <v>2240849.40744379</v>
      </c>
      <c r="Q70" s="426" t="str">
        <f aca="false">IF(N70=0,"",IF(MAX(H70,I70,J70)&gt;=MAX(0,F70+G70-E70),IF(H70&gt;=MAX(I70,J70),"Equipos, montaje y arranque del centro de producción",IF(I70&gt;=J70,"Equipos, obra, depósitos y arranque de los PDV del piloto","Equipos y adecuación del flagship")),"Estructura corporativa, personal y operación de la red"))</f>
        <v/>
      </c>
      <c r="S70" s="512" t="str">
        <f aca="false">IF(INDEX(FC_CRONOGRAMA!$D$8:$BK$8,1,$B70)=1,"Orden de compra de equipos de PLANTA · ","")&amp;IF(INDEX(FC_CRONOGRAMA!$D$28:$BK$28,1,$B70)+INDEX(FC_CRONOGRAMA!$D$29:$BK$29,1,$B70)&gt;0,"Orden de compra de equipos de PDV · ","")&amp;IF(INDEX(FC_CRONOGRAMA!$D$9:$BK$9,1,$B70)=1,"Embarque de equipos de planta · ","")&amp;IF(INDEX(FC_CRONOGRAMA!$D$30:$BK$30,1,$B70)+INDEX(FC_CRONOGRAMA!$D$31:$BK$31,1,$B70)&gt;0,"Embarque de equipos de PDV · ","")&amp;IF(INDEX(FC_CRONOGRAMA!$D$10:$BK$10,1,$B70)=1,"Arribo y nacionalización — planta · ","")&amp;IF(INDEX(FC_CRONOGRAMA!$D$32:$BK$32,1,$B70)+INDEX(FC_CRONOGRAMA!$D$33:$BK$33,1,$B70)&gt;0,"Arribo y nacionalización — PDV · ","")&amp;IF(INDEX(FC_CRONOGRAMA!$D$11:$BK$11,1,$B70)=1,"Montaje y puesta en marcha de la planta · ","")&amp;IF(AND($B70=FC_SUPUESTOS!$C$23),"ARRANQUE DE LA PLANTA · ","")&amp;IF(INDEX(FC_CRONOGRAMA!$D$40:$BK$40,1,$B70)+INDEX(FC_CRONOGRAMA!$D$41:$BK$41,1,$B70)&gt;0,"Obra de adecuación de locales · ","")&amp;IF(INDEX(FC_CRONOGRAMA!$D$19:$BK$19,1,$B70)&gt;0,"Apertura de "&amp;TEXT(INDEX(FC_CRONOGRAMA!$D$19:$BK$19,1,$B70),"0")&amp;" PDV del piloto · ","")&amp;IF(INDEX(FC_CRONOGRAMA!$D$46:$BK$46,1,$B70)=1,"Orden de compra de equipos del flagship · ","")&amp;IF(INDEX(FC_CRONOGRAMA!$D$48:$BK$48,1,$B70)=1,"Arribo de equipos del flagship · ","")&amp;IF(INDEX(FC_CRONOGRAMA!$D$53:$BK$53,1,$B70)=1,"Obra de adecuación del flagship · ","")&amp;IF(AND(FC_SUPUESTOS!$C$12=1,$B70=FC_SUPUESTOS!$C$13),"APERTURA DEL FLAGSHIP · ","")</f>
        <v/>
      </c>
    </row>
    <row r="71" customFormat="false" ht="15" hidden="false" customHeight="true" outlineLevel="0" collapsed="false">
      <c r="B71" s="509" t="n">
        <v>50</v>
      </c>
      <c r="C71" s="510" t="n">
        <f aca="false">EDATE(DATE(YEAR(FC_SUPUESTOS!$D$14),MONTH(FC_SUPUESTOS!$D$14),1),$B71-1)</f>
        <v>47788</v>
      </c>
      <c r="D71" s="388" t="str">
        <f aca="false">IF(LEN(S71)=0,"",LEFT(S71,LEN(S71)-3))</f>
        <v/>
      </c>
      <c r="E71" s="380" t="n">
        <f aca="false">INDEX(FC_FLUJO_CAJA!$D$14:$BK$14,1,$B71)</f>
        <v>591664.964615872</v>
      </c>
      <c r="F71" s="380" t="n">
        <f aca="false">INDEX(FC_FLUJO_CAJA!$D$35:$BK$35,1,$B71)</f>
        <v>505647.708893209</v>
      </c>
      <c r="G71" s="380" t="n">
        <f aca="false">INDEX(FC_FLUJO_CAJA!$D$39:$BK$39,1,$B71)</f>
        <v>23584.2033407336</v>
      </c>
      <c r="H71" s="380" t="n">
        <f aca="false">INDEX(FC_FLUJO_CAJA!$D$54:$BK$54,1,$B71)</f>
        <v>0</v>
      </c>
      <c r="I71" s="380" t="n">
        <f aca="false">INDEX(FC_FLUJO_CAJA!$D$68:$BK$68,1,$B71)</f>
        <v>0</v>
      </c>
      <c r="J71" s="380" t="n">
        <f aca="false">INDEX(FC_FLUJO_CAJA!$D$81:$BK$81,1,$B71)</f>
        <v>0</v>
      </c>
      <c r="K71" s="383" t="n">
        <f aca="false">F71+G71+H71+I71+J71</f>
        <v>529231.912233942</v>
      </c>
      <c r="L71" s="380" t="n">
        <f aca="false">INDEX(FC_FLUJO_CAJA!$D$85:$BK$85,1,$B71)</f>
        <v>62433.0523819298</v>
      </c>
      <c r="M71" s="495" t="n">
        <f aca="false">INDEX(FC_FLUJO_CAJA!$D$89:$BK$89,1,$B71)</f>
        <v>2240849.40744379</v>
      </c>
      <c r="N71" s="511" t="n">
        <f aca="false">INDEX(FC_FLUJO_CAJA!$D$92:$BK$92,1,$B71)</f>
        <v>0</v>
      </c>
      <c r="O71" s="380" t="n">
        <f aca="false">INDEX(FC_FLUJO_CAJA!$D$93:$BK$93,1,$B71)</f>
        <v>2100000</v>
      </c>
      <c r="P71" s="383" t="n">
        <f aca="false">INDEX(FC_FLUJO_CAJA!$D$94:$BK$94,1,$B71)</f>
        <v>2303282.45982572</v>
      </c>
      <c r="Q71" s="426" t="str">
        <f aca="false">IF(N71=0,"",IF(MAX(H71,I71,J71)&gt;=MAX(0,F71+G71-E71),IF(H71&gt;=MAX(I71,J71),"Equipos, montaje y arranque del centro de producción",IF(I71&gt;=J71,"Equipos, obra, depósitos y arranque de los PDV del piloto","Equipos y adecuación del flagship")),"Estructura corporativa, personal y operación de la red"))</f>
        <v/>
      </c>
      <c r="S71" s="512" t="str">
        <f aca="false">IF(INDEX(FC_CRONOGRAMA!$D$8:$BK$8,1,$B71)=1,"Orden de compra de equipos de PLANTA · ","")&amp;IF(INDEX(FC_CRONOGRAMA!$D$28:$BK$28,1,$B71)+INDEX(FC_CRONOGRAMA!$D$29:$BK$29,1,$B71)&gt;0,"Orden de compra de equipos de PDV · ","")&amp;IF(INDEX(FC_CRONOGRAMA!$D$9:$BK$9,1,$B71)=1,"Embarque de equipos de planta · ","")&amp;IF(INDEX(FC_CRONOGRAMA!$D$30:$BK$30,1,$B71)+INDEX(FC_CRONOGRAMA!$D$31:$BK$31,1,$B71)&gt;0,"Embarque de equipos de PDV · ","")&amp;IF(INDEX(FC_CRONOGRAMA!$D$10:$BK$10,1,$B71)=1,"Arribo y nacionalización — planta · ","")&amp;IF(INDEX(FC_CRONOGRAMA!$D$32:$BK$32,1,$B71)+INDEX(FC_CRONOGRAMA!$D$33:$BK$33,1,$B71)&gt;0,"Arribo y nacionalización — PDV · ","")&amp;IF(INDEX(FC_CRONOGRAMA!$D$11:$BK$11,1,$B71)=1,"Montaje y puesta en marcha de la planta · ","")&amp;IF(AND($B71=FC_SUPUESTOS!$C$23),"ARRANQUE DE LA PLANTA · ","")&amp;IF(INDEX(FC_CRONOGRAMA!$D$40:$BK$40,1,$B71)+INDEX(FC_CRONOGRAMA!$D$41:$BK$41,1,$B71)&gt;0,"Obra de adecuación de locales · ","")&amp;IF(INDEX(FC_CRONOGRAMA!$D$19:$BK$19,1,$B71)&gt;0,"Apertura de "&amp;TEXT(INDEX(FC_CRONOGRAMA!$D$19:$BK$19,1,$B71),"0")&amp;" PDV del piloto · ","")&amp;IF(INDEX(FC_CRONOGRAMA!$D$46:$BK$46,1,$B71)=1,"Orden de compra de equipos del flagship · ","")&amp;IF(INDEX(FC_CRONOGRAMA!$D$48:$BK$48,1,$B71)=1,"Arribo de equipos del flagship · ","")&amp;IF(INDEX(FC_CRONOGRAMA!$D$53:$BK$53,1,$B71)=1,"Obra de adecuación del flagship · ","")&amp;IF(AND(FC_SUPUESTOS!$C$12=1,$B71=FC_SUPUESTOS!$C$13),"APERTURA DEL FLAGSHIP · ","")</f>
        <v/>
      </c>
    </row>
    <row r="72" customFormat="false" ht="15" hidden="false" customHeight="true" outlineLevel="0" collapsed="false">
      <c r="B72" s="509" t="n">
        <v>51</v>
      </c>
      <c r="C72" s="510" t="n">
        <f aca="false">EDATE(DATE(YEAR(FC_SUPUESTOS!$D$14),MONTH(FC_SUPUESTOS!$D$14),1),$B72-1)</f>
        <v>47818</v>
      </c>
      <c r="D72" s="388" t="str">
        <f aca="false">IF(LEN(S72)=0,"",LEFT(S72,LEN(S72)-3))</f>
        <v/>
      </c>
      <c r="E72" s="380" t="n">
        <f aca="false">INDEX(FC_FLUJO_CAJA!$D$14:$BK$14,1,$B72)</f>
        <v>591664.964615872</v>
      </c>
      <c r="F72" s="380" t="n">
        <f aca="false">INDEX(FC_FLUJO_CAJA!$D$35:$BK$35,1,$B72)</f>
        <v>505647.708893209</v>
      </c>
      <c r="G72" s="380" t="n">
        <f aca="false">INDEX(FC_FLUJO_CAJA!$D$39:$BK$39,1,$B72)</f>
        <v>23584.2033407336</v>
      </c>
      <c r="H72" s="380" t="n">
        <f aca="false">INDEX(FC_FLUJO_CAJA!$D$54:$BK$54,1,$B72)</f>
        <v>0</v>
      </c>
      <c r="I72" s="380" t="n">
        <f aca="false">INDEX(FC_FLUJO_CAJA!$D$68:$BK$68,1,$B72)</f>
        <v>0</v>
      </c>
      <c r="J72" s="380" t="n">
        <f aca="false">INDEX(FC_FLUJO_CAJA!$D$81:$BK$81,1,$B72)</f>
        <v>0</v>
      </c>
      <c r="K72" s="383" t="n">
        <f aca="false">F72+G72+H72+I72+J72</f>
        <v>529231.912233942</v>
      </c>
      <c r="L72" s="380" t="n">
        <f aca="false">INDEX(FC_FLUJO_CAJA!$D$85:$BK$85,1,$B72)</f>
        <v>62433.0523819298</v>
      </c>
      <c r="M72" s="495" t="n">
        <f aca="false">INDEX(FC_FLUJO_CAJA!$D$89:$BK$89,1,$B72)</f>
        <v>2303282.45982572</v>
      </c>
      <c r="N72" s="511" t="n">
        <f aca="false">INDEX(FC_FLUJO_CAJA!$D$92:$BK$92,1,$B72)</f>
        <v>0</v>
      </c>
      <c r="O72" s="380" t="n">
        <f aca="false">INDEX(FC_FLUJO_CAJA!$D$93:$BK$93,1,$B72)</f>
        <v>2100000</v>
      </c>
      <c r="P72" s="383" t="n">
        <f aca="false">INDEX(FC_FLUJO_CAJA!$D$94:$BK$94,1,$B72)</f>
        <v>2365715.51220765</v>
      </c>
      <c r="Q72" s="426" t="str">
        <f aca="false">IF(N72=0,"",IF(MAX(H72,I72,J72)&gt;=MAX(0,F72+G72-E72),IF(H72&gt;=MAX(I72,J72),"Equipos, montaje y arranque del centro de producción",IF(I72&gt;=J72,"Equipos, obra, depósitos y arranque de los PDV del piloto","Equipos y adecuación del flagship")),"Estructura corporativa, personal y operación de la red"))</f>
        <v/>
      </c>
      <c r="S72" s="512" t="str">
        <f aca="false">IF(INDEX(FC_CRONOGRAMA!$D$8:$BK$8,1,$B72)=1,"Orden de compra de equipos de PLANTA · ","")&amp;IF(INDEX(FC_CRONOGRAMA!$D$28:$BK$28,1,$B72)+INDEX(FC_CRONOGRAMA!$D$29:$BK$29,1,$B72)&gt;0,"Orden de compra de equipos de PDV · ","")&amp;IF(INDEX(FC_CRONOGRAMA!$D$9:$BK$9,1,$B72)=1,"Embarque de equipos de planta · ","")&amp;IF(INDEX(FC_CRONOGRAMA!$D$30:$BK$30,1,$B72)+INDEX(FC_CRONOGRAMA!$D$31:$BK$31,1,$B72)&gt;0,"Embarque de equipos de PDV · ","")&amp;IF(INDEX(FC_CRONOGRAMA!$D$10:$BK$10,1,$B72)=1,"Arribo y nacionalización — planta · ","")&amp;IF(INDEX(FC_CRONOGRAMA!$D$32:$BK$32,1,$B72)+INDEX(FC_CRONOGRAMA!$D$33:$BK$33,1,$B72)&gt;0,"Arribo y nacionalización — PDV · ","")&amp;IF(INDEX(FC_CRONOGRAMA!$D$11:$BK$11,1,$B72)=1,"Montaje y puesta en marcha de la planta · ","")&amp;IF(AND($B72=FC_SUPUESTOS!$C$23),"ARRANQUE DE LA PLANTA · ","")&amp;IF(INDEX(FC_CRONOGRAMA!$D$40:$BK$40,1,$B72)+INDEX(FC_CRONOGRAMA!$D$41:$BK$41,1,$B72)&gt;0,"Obra de adecuación de locales · ","")&amp;IF(INDEX(FC_CRONOGRAMA!$D$19:$BK$19,1,$B72)&gt;0,"Apertura de "&amp;TEXT(INDEX(FC_CRONOGRAMA!$D$19:$BK$19,1,$B72),"0")&amp;" PDV del piloto · ","")&amp;IF(INDEX(FC_CRONOGRAMA!$D$46:$BK$46,1,$B72)=1,"Orden de compra de equipos del flagship · ","")&amp;IF(INDEX(FC_CRONOGRAMA!$D$48:$BK$48,1,$B72)=1,"Arribo de equipos del flagship · ","")&amp;IF(INDEX(FC_CRONOGRAMA!$D$53:$BK$53,1,$B72)=1,"Obra de adecuación del flagship · ","")&amp;IF(AND(FC_SUPUESTOS!$C$12=1,$B72=FC_SUPUESTOS!$C$13),"APERTURA DEL FLAGSHIP · ","")</f>
        <v/>
      </c>
    </row>
    <row r="73" customFormat="false" ht="15" hidden="false" customHeight="true" outlineLevel="0" collapsed="false">
      <c r="B73" s="509" t="n">
        <v>52</v>
      </c>
      <c r="C73" s="510" t="n">
        <f aca="false">EDATE(DATE(YEAR(FC_SUPUESTOS!$D$14),MONTH(FC_SUPUESTOS!$D$14),1),$B73-1)</f>
        <v>47849</v>
      </c>
      <c r="D73" s="388" t="str">
        <f aca="false">IF(LEN(S73)=0,"",LEFT(S73,LEN(S73)-3))</f>
        <v/>
      </c>
      <c r="E73" s="380" t="n">
        <f aca="false">INDEX(FC_FLUJO_CAJA!$D$14:$BK$14,1,$B73)</f>
        <v>591664.964615872</v>
      </c>
      <c r="F73" s="380" t="n">
        <f aca="false">INDEX(FC_FLUJO_CAJA!$D$35:$BK$35,1,$B73)</f>
        <v>505647.708893209</v>
      </c>
      <c r="G73" s="380" t="n">
        <f aca="false">INDEX(FC_FLUJO_CAJA!$D$39:$BK$39,1,$B73)</f>
        <v>24590.0337805805</v>
      </c>
      <c r="H73" s="380" t="n">
        <f aca="false">INDEX(FC_FLUJO_CAJA!$D$54:$BK$54,1,$B73)</f>
        <v>0</v>
      </c>
      <c r="I73" s="380" t="n">
        <f aca="false">INDEX(FC_FLUJO_CAJA!$D$68:$BK$68,1,$B73)</f>
        <v>0</v>
      </c>
      <c r="J73" s="380" t="n">
        <f aca="false">INDEX(FC_FLUJO_CAJA!$D$81:$BK$81,1,$B73)</f>
        <v>0</v>
      </c>
      <c r="K73" s="383" t="n">
        <f aca="false">F73+G73+H73+I73+J73</f>
        <v>530237.742673789</v>
      </c>
      <c r="L73" s="380" t="n">
        <f aca="false">INDEX(FC_FLUJO_CAJA!$D$85:$BK$85,1,$B73)</f>
        <v>61427.2219420828</v>
      </c>
      <c r="M73" s="495" t="n">
        <f aca="false">INDEX(FC_FLUJO_CAJA!$D$89:$BK$89,1,$B73)</f>
        <v>2365715.51220765</v>
      </c>
      <c r="N73" s="511" t="n">
        <f aca="false">INDEX(FC_FLUJO_CAJA!$D$92:$BK$92,1,$B73)</f>
        <v>0</v>
      </c>
      <c r="O73" s="380" t="n">
        <f aca="false">INDEX(FC_FLUJO_CAJA!$D$93:$BK$93,1,$B73)</f>
        <v>2100000</v>
      </c>
      <c r="P73" s="383" t="n">
        <f aca="false">INDEX(FC_FLUJO_CAJA!$D$94:$BK$94,1,$B73)</f>
        <v>2427142.73414973</v>
      </c>
      <c r="Q73" s="426" t="str">
        <f aca="false">IF(N73=0,"",IF(MAX(H73,I73,J73)&gt;=MAX(0,F73+G73-E73),IF(H73&gt;=MAX(I73,J73),"Equipos, montaje y arranque del centro de producción",IF(I73&gt;=J73,"Equipos, obra, depósitos y arranque de los PDV del piloto","Equipos y adecuación del flagship")),"Estructura corporativa, personal y operación de la red"))</f>
        <v/>
      </c>
      <c r="S73" s="512" t="str">
        <f aca="false">IF(INDEX(FC_CRONOGRAMA!$D$8:$BK$8,1,$B73)=1,"Orden de compra de equipos de PLANTA · ","")&amp;IF(INDEX(FC_CRONOGRAMA!$D$28:$BK$28,1,$B73)+INDEX(FC_CRONOGRAMA!$D$29:$BK$29,1,$B73)&gt;0,"Orden de compra de equipos de PDV · ","")&amp;IF(INDEX(FC_CRONOGRAMA!$D$9:$BK$9,1,$B73)=1,"Embarque de equipos de planta · ","")&amp;IF(INDEX(FC_CRONOGRAMA!$D$30:$BK$30,1,$B73)+INDEX(FC_CRONOGRAMA!$D$31:$BK$31,1,$B73)&gt;0,"Embarque de equipos de PDV · ","")&amp;IF(INDEX(FC_CRONOGRAMA!$D$10:$BK$10,1,$B73)=1,"Arribo y nacionalización — planta · ","")&amp;IF(INDEX(FC_CRONOGRAMA!$D$32:$BK$32,1,$B73)+INDEX(FC_CRONOGRAMA!$D$33:$BK$33,1,$B73)&gt;0,"Arribo y nacionalización — PDV · ","")&amp;IF(INDEX(FC_CRONOGRAMA!$D$11:$BK$11,1,$B73)=1,"Montaje y puesta en marcha de la planta · ","")&amp;IF(AND($B73=FC_SUPUESTOS!$C$23),"ARRANQUE DE LA PLANTA · ","")&amp;IF(INDEX(FC_CRONOGRAMA!$D$40:$BK$40,1,$B73)+INDEX(FC_CRONOGRAMA!$D$41:$BK$41,1,$B73)&gt;0,"Obra de adecuación de locales · ","")&amp;IF(INDEX(FC_CRONOGRAMA!$D$19:$BK$19,1,$B73)&gt;0,"Apertura de "&amp;TEXT(INDEX(FC_CRONOGRAMA!$D$19:$BK$19,1,$B73),"0")&amp;" PDV del piloto · ","")&amp;IF(INDEX(FC_CRONOGRAMA!$D$46:$BK$46,1,$B73)=1,"Orden de compra de equipos del flagship · ","")&amp;IF(INDEX(FC_CRONOGRAMA!$D$48:$BK$48,1,$B73)=1,"Arribo de equipos del flagship · ","")&amp;IF(INDEX(FC_CRONOGRAMA!$D$53:$BK$53,1,$B73)=1,"Obra de adecuación del flagship · ","")&amp;IF(AND(FC_SUPUESTOS!$C$12=1,$B73=FC_SUPUESTOS!$C$13),"APERTURA DEL FLAGSHIP · ","")</f>
        <v/>
      </c>
    </row>
    <row r="74" customFormat="false" ht="15" hidden="false" customHeight="true" outlineLevel="0" collapsed="false">
      <c r="B74" s="509" t="n">
        <v>53</v>
      </c>
      <c r="C74" s="510" t="n">
        <f aca="false">EDATE(DATE(YEAR(FC_SUPUESTOS!$D$14),MONTH(FC_SUPUESTOS!$D$14),1),$B74-1)</f>
        <v>47880</v>
      </c>
      <c r="D74" s="388" t="str">
        <f aca="false">IF(LEN(S74)=0,"",LEFT(S74,LEN(S74)-3))</f>
        <v/>
      </c>
      <c r="E74" s="380" t="n">
        <f aca="false">INDEX(FC_FLUJO_CAJA!$D$14:$BK$14,1,$B74)</f>
        <v>591664.964615872</v>
      </c>
      <c r="F74" s="380" t="n">
        <f aca="false">INDEX(FC_FLUJO_CAJA!$D$35:$BK$35,1,$B74)</f>
        <v>505647.708893209</v>
      </c>
      <c r="G74" s="380" t="n">
        <f aca="false">INDEX(FC_FLUJO_CAJA!$D$39:$BK$39,1,$B74)</f>
        <v>24590.0337805805</v>
      </c>
      <c r="H74" s="380" t="n">
        <f aca="false">INDEX(FC_FLUJO_CAJA!$D$54:$BK$54,1,$B74)</f>
        <v>0</v>
      </c>
      <c r="I74" s="380" t="n">
        <f aca="false">INDEX(FC_FLUJO_CAJA!$D$68:$BK$68,1,$B74)</f>
        <v>0</v>
      </c>
      <c r="J74" s="380" t="n">
        <f aca="false">INDEX(FC_FLUJO_CAJA!$D$81:$BK$81,1,$B74)</f>
        <v>0</v>
      </c>
      <c r="K74" s="383" t="n">
        <f aca="false">F74+G74+H74+I74+J74</f>
        <v>530237.742673789</v>
      </c>
      <c r="L74" s="380" t="n">
        <f aca="false">INDEX(FC_FLUJO_CAJA!$D$85:$BK$85,1,$B74)</f>
        <v>61427.2219420828</v>
      </c>
      <c r="M74" s="495" t="n">
        <f aca="false">INDEX(FC_FLUJO_CAJA!$D$89:$BK$89,1,$B74)</f>
        <v>2427142.73414973</v>
      </c>
      <c r="N74" s="511" t="n">
        <f aca="false">INDEX(FC_FLUJO_CAJA!$D$92:$BK$92,1,$B74)</f>
        <v>0</v>
      </c>
      <c r="O74" s="380" t="n">
        <f aca="false">INDEX(FC_FLUJO_CAJA!$D$93:$BK$93,1,$B74)</f>
        <v>2100000</v>
      </c>
      <c r="P74" s="383" t="n">
        <f aca="false">INDEX(FC_FLUJO_CAJA!$D$94:$BK$94,1,$B74)</f>
        <v>2488569.95609181</v>
      </c>
      <c r="Q74" s="426" t="str">
        <f aca="false">IF(N74=0,"",IF(MAX(H74,I74,J74)&gt;=MAX(0,F74+G74-E74),IF(H74&gt;=MAX(I74,J74),"Equipos, montaje y arranque del centro de producción",IF(I74&gt;=J74,"Equipos, obra, depósitos y arranque de los PDV del piloto","Equipos y adecuación del flagship")),"Estructura corporativa, personal y operación de la red"))</f>
        <v/>
      </c>
      <c r="S74" s="512" t="str">
        <f aca="false">IF(INDEX(FC_CRONOGRAMA!$D$8:$BK$8,1,$B74)=1,"Orden de compra de equipos de PLANTA · ","")&amp;IF(INDEX(FC_CRONOGRAMA!$D$28:$BK$28,1,$B74)+INDEX(FC_CRONOGRAMA!$D$29:$BK$29,1,$B74)&gt;0,"Orden de compra de equipos de PDV · ","")&amp;IF(INDEX(FC_CRONOGRAMA!$D$9:$BK$9,1,$B74)=1,"Embarque de equipos de planta · ","")&amp;IF(INDEX(FC_CRONOGRAMA!$D$30:$BK$30,1,$B74)+INDEX(FC_CRONOGRAMA!$D$31:$BK$31,1,$B74)&gt;0,"Embarque de equipos de PDV · ","")&amp;IF(INDEX(FC_CRONOGRAMA!$D$10:$BK$10,1,$B74)=1,"Arribo y nacionalización — planta · ","")&amp;IF(INDEX(FC_CRONOGRAMA!$D$32:$BK$32,1,$B74)+INDEX(FC_CRONOGRAMA!$D$33:$BK$33,1,$B74)&gt;0,"Arribo y nacionalización — PDV · ","")&amp;IF(INDEX(FC_CRONOGRAMA!$D$11:$BK$11,1,$B74)=1,"Montaje y puesta en marcha de la planta · ","")&amp;IF(AND($B74=FC_SUPUESTOS!$C$23),"ARRANQUE DE LA PLANTA · ","")&amp;IF(INDEX(FC_CRONOGRAMA!$D$40:$BK$40,1,$B74)+INDEX(FC_CRONOGRAMA!$D$41:$BK$41,1,$B74)&gt;0,"Obra de adecuación de locales · ","")&amp;IF(INDEX(FC_CRONOGRAMA!$D$19:$BK$19,1,$B74)&gt;0,"Apertura de "&amp;TEXT(INDEX(FC_CRONOGRAMA!$D$19:$BK$19,1,$B74),"0")&amp;" PDV del piloto · ","")&amp;IF(INDEX(FC_CRONOGRAMA!$D$46:$BK$46,1,$B74)=1,"Orden de compra de equipos del flagship · ","")&amp;IF(INDEX(FC_CRONOGRAMA!$D$48:$BK$48,1,$B74)=1,"Arribo de equipos del flagship · ","")&amp;IF(INDEX(FC_CRONOGRAMA!$D$53:$BK$53,1,$B74)=1,"Obra de adecuación del flagship · ","")&amp;IF(AND(FC_SUPUESTOS!$C$12=1,$B74=FC_SUPUESTOS!$C$13),"APERTURA DEL FLAGSHIP · ","")</f>
        <v/>
      </c>
    </row>
    <row r="75" customFormat="false" ht="15" hidden="false" customHeight="true" outlineLevel="0" collapsed="false">
      <c r="B75" s="509" t="n">
        <v>54</v>
      </c>
      <c r="C75" s="510" t="n">
        <f aca="false">EDATE(DATE(YEAR(FC_SUPUESTOS!$D$14),MONTH(FC_SUPUESTOS!$D$14),1),$B75-1)</f>
        <v>47908</v>
      </c>
      <c r="D75" s="388" t="str">
        <f aca="false">IF(LEN(S75)=0,"",LEFT(S75,LEN(S75)-3))</f>
        <v/>
      </c>
      <c r="E75" s="380" t="n">
        <f aca="false">INDEX(FC_FLUJO_CAJA!$D$14:$BK$14,1,$B75)</f>
        <v>591664.964615872</v>
      </c>
      <c r="F75" s="380" t="n">
        <f aca="false">INDEX(FC_FLUJO_CAJA!$D$35:$BK$35,1,$B75)</f>
        <v>505647.708893209</v>
      </c>
      <c r="G75" s="380" t="n">
        <f aca="false">INDEX(FC_FLUJO_CAJA!$D$39:$BK$39,1,$B75)</f>
        <v>24590.0337805805</v>
      </c>
      <c r="H75" s="380" t="n">
        <f aca="false">INDEX(FC_FLUJO_CAJA!$D$54:$BK$54,1,$B75)</f>
        <v>0</v>
      </c>
      <c r="I75" s="380" t="n">
        <f aca="false">INDEX(FC_FLUJO_CAJA!$D$68:$BK$68,1,$B75)</f>
        <v>0</v>
      </c>
      <c r="J75" s="380" t="n">
        <f aca="false">INDEX(FC_FLUJO_CAJA!$D$81:$BK$81,1,$B75)</f>
        <v>0</v>
      </c>
      <c r="K75" s="383" t="n">
        <f aca="false">F75+G75+H75+I75+J75</f>
        <v>530237.742673789</v>
      </c>
      <c r="L75" s="380" t="n">
        <f aca="false">INDEX(FC_FLUJO_CAJA!$D$85:$BK$85,1,$B75)</f>
        <v>61427.2219420828</v>
      </c>
      <c r="M75" s="495" t="n">
        <f aca="false">INDEX(FC_FLUJO_CAJA!$D$89:$BK$89,1,$B75)</f>
        <v>2488569.95609181</v>
      </c>
      <c r="N75" s="511" t="n">
        <f aca="false">INDEX(FC_FLUJO_CAJA!$D$92:$BK$92,1,$B75)</f>
        <v>0</v>
      </c>
      <c r="O75" s="380" t="n">
        <f aca="false">INDEX(FC_FLUJO_CAJA!$D$93:$BK$93,1,$B75)</f>
        <v>2100000</v>
      </c>
      <c r="P75" s="383" t="n">
        <f aca="false">INDEX(FC_FLUJO_CAJA!$D$94:$BK$94,1,$B75)</f>
        <v>2549997.1780339</v>
      </c>
      <c r="Q75" s="426" t="str">
        <f aca="false">IF(N75=0,"",IF(MAX(H75,I75,J75)&gt;=MAX(0,F75+G75-E75),IF(H75&gt;=MAX(I75,J75),"Equipos, montaje y arranque del centro de producción",IF(I75&gt;=J75,"Equipos, obra, depósitos y arranque de los PDV del piloto","Equipos y adecuación del flagship")),"Estructura corporativa, personal y operación de la red"))</f>
        <v/>
      </c>
      <c r="S75" s="512" t="str">
        <f aca="false">IF(INDEX(FC_CRONOGRAMA!$D$8:$BK$8,1,$B75)=1,"Orden de compra de equipos de PLANTA · ","")&amp;IF(INDEX(FC_CRONOGRAMA!$D$28:$BK$28,1,$B75)+INDEX(FC_CRONOGRAMA!$D$29:$BK$29,1,$B75)&gt;0,"Orden de compra de equipos de PDV · ","")&amp;IF(INDEX(FC_CRONOGRAMA!$D$9:$BK$9,1,$B75)=1,"Embarque de equipos de planta · ","")&amp;IF(INDEX(FC_CRONOGRAMA!$D$30:$BK$30,1,$B75)+INDEX(FC_CRONOGRAMA!$D$31:$BK$31,1,$B75)&gt;0,"Embarque de equipos de PDV · ","")&amp;IF(INDEX(FC_CRONOGRAMA!$D$10:$BK$10,1,$B75)=1,"Arribo y nacionalización — planta · ","")&amp;IF(INDEX(FC_CRONOGRAMA!$D$32:$BK$32,1,$B75)+INDEX(FC_CRONOGRAMA!$D$33:$BK$33,1,$B75)&gt;0,"Arribo y nacionalización — PDV · ","")&amp;IF(INDEX(FC_CRONOGRAMA!$D$11:$BK$11,1,$B75)=1,"Montaje y puesta en marcha de la planta · ","")&amp;IF(AND($B75=FC_SUPUESTOS!$C$23),"ARRANQUE DE LA PLANTA · ","")&amp;IF(INDEX(FC_CRONOGRAMA!$D$40:$BK$40,1,$B75)+INDEX(FC_CRONOGRAMA!$D$41:$BK$41,1,$B75)&gt;0,"Obra de adecuación de locales · ","")&amp;IF(INDEX(FC_CRONOGRAMA!$D$19:$BK$19,1,$B75)&gt;0,"Apertura de "&amp;TEXT(INDEX(FC_CRONOGRAMA!$D$19:$BK$19,1,$B75),"0")&amp;" PDV del piloto · ","")&amp;IF(INDEX(FC_CRONOGRAMA!$D$46:$BK$46,1,$B75)=1,"Orden de compra de equipos del flagship · ","")&amp;IF(INDEX(FC_CRONOGRAMA!$D$48:$BK$48,1,$B75)=1,"Arribo de equipos del flagship · ","")&amp;IF(INDEX(FC_CRONOGRAMA!$D$53:$BK$53,1,$B75)=1,"Obra de adecuación del flagship · ","")&amp;IF(AND(FC_SUPUESTOS!$C$12=1,$B75=FC_SUPUESTOS!$C$13),"APERTURA DEL FLAGSHIP · ","")</f>
        <v/>
      </c>
    </row>
    <row r="76" customFormat="false" ht="15" hidden="false" customHeight="true" outlineLevel="0" collapsed="false">
      <c r="B76" s="509" t="n">
        <v>55</v>
      </c>
      <c r="C76" s="510" t="n">
        <f aca="false">EDATE(DATE(YEAR(FC_SUPUESTOS!$D$14),MONTH(FC_SUPUESTOS!$D$14),1),$B76-1)</f>
        <v>47939</v>
      </c>
      <c r="D76" s="388" t="str">
        <f aca="false">IF(LEN(S76)=0,"",LEFT(S76,LEN(S76)-3))</f>
        <v/>
      </c>
      <c r="E76" s="380" t="n">
        <f aca="false">INDEX(FC_FLUJO_CAJA!$D$14:$BK$14,1,$B76)</f>
        <v>591664.964615872</v>
      </c>
      <c r="F76" s="380" t="n">
        <f aca="false">INDEX(FC_FLUJO_CAJA!$D$35:$BK$35,1,$B76)</f>
        <v>505647.708893209</v>
      </c>
      <c r="G76" s="380" t="n">
        <f aca="false">INDEX(FC_FLUJO_CAJA!$D$39:$BK$39,1,$B76)</f>
        <v>24590.0337805805</v>
      </c>
      <c r="H76" s="380" t="n">
        <f aca="false">INDEX(FC_FLUJO_CAJA!$D$54:$BK$54,1,$B76)</f>
        <v>0</v>
      </c>
      <c r="I76" s="380" t="n">
        <f aca="false">INDEX(FC_FLUJO_CAJA!$D$68:$BK$68,1,$B76)</f>
        <v>0</v>
      </c>
      <c r="J76" s="380" t="n">
        <f aca="false">INDEX(FC_FLUJO_CAJA!$D$81:$BK$81,1,$B76)</f>
        <v>0</v>
      </c>
      <c r="K76" s="383" t="n">
        <f aca="false">F76+G76+H76+I76+J76</f>
        <v>530237.742673789</v>
      </c>
      <c r="L76" s="380" t="n">
        <f aca="false">INDEX(FC_FLUJO_CAJA!$D$85:$BK$85,1,$B76)</f>
        <v>61427.2219420828</v>
      </c>
      <c r="M76" s="495" t="n">
        <f aca="false">INDEX(FC_FLUJO_CAJA!$D$89:$BK$89,1,$B76)</f>
        <v>2549997.1780339</v>
      </c>
      <c r="N76" s="511" t="n">
        <f aca="false">INDEX(FC_FLUJO_CAJA!$D$92:$BK$92,1,$B76)</f>
        <v>0</v>
      </c>
      <c r="O76" s="380" t="n">
        <f aca="false">INDEX(FC_FLUJO_CAJA!$D$93:$BK$93,1,$B76)</f>
        <v>2100000</v>
      </c>
      <c r="P76" s="383" t="n">
        <f aca="false">INDEX(FC_FLUJO_CAJA!$D$94:$BK$94,1,$B76)</f>
        <v>2611424.39997598</v>
      </c>
      <c r="Q76" s="426" t="str">
        <f aca="false">IF(N76=0,"",IF(MAX(H76,I76,J76)&gt;=MAX(0,F76+G76-E76),IF(H76&gt;=MAX(I76,J76),"Equipos, montaje y arranque del centro de producción",IF(I76&gt;=J76,"Equipos, obra, depósitos y arranque de los PDV del piloto","Equipos y adecuación del flagship")),"Estructura corporativa, personal y operación de la red"))</f>
        <v/>
      </c>
      <c r="S76" s="512" t="str">
        <f aca="false">IF(INDEX(FC_CRONOGRAMA!$D$8:$BK$8,1,$B76)=1,"Orden de compra de equipos de PLANTA · ","")&amp;IF(INDEX(FC_CRONOGRAMA!$D$28:$BK$28,1,$B76)+INDEX(FC_CRONOGRAMA!$D$29:$BK$29,1,$B76)&gt;0,"Orden de compra de equipos de PDV · ","")&amp;IF(INDEX(FC_CRONOGRAMA!$D$9:$BK$9,1,$B76)=1,"Embarque de equipos de planta · ","")&amp;IF(INDEX(FC_CRONOGRAMA!$D$30:$BK$30,1,$B76)+INDEX(FC_CRONOGRAMA!$D$31:$BK$31,1,$B76)&gt;0,"Embarque de equipos de PDV · ","")&amp;IF(INDEX(FC_CRONOGRAMA!$D$10:$BK$10,1,$B76)=1,"Arribo y nacionalización — planta · ","")&amp;IF(INDEX(FC_CRONOGRAMA!$D$32:$BK$32,1,$B76)+INDEX(FC_CRONOGRAMA!$D$33:$BK$33,1,$B76)&gt;0,"Arribo y nacionalización — PDV · ","")&amp;IF(INDEX(FC_CRONOGRAMA!$D$11:$BK$11,1,$B76)=1,"Montaje y puesta en marcha de la planta · ","")&amp;IF(AND($B76=FC_SUPUESTOS!$C$23),"ARRANQUE DE LA PLANTA · ","")&amp;IF(INDEX(FC_CRONOGRAMA!$D$40:$BK$40,1,$B76)+INDEX(FC_CRONOGRAMA!$D$41:$BK$41,1,$B76)&gt;0,"Obra de adecuación de locales · ","")&amp;IF(INDEX(FC_CRONOGRAMA!$D$19:$BK$19,1,$B76)&gt;0,"Apertura de "&amp;TEXT(INDEX(FC_CRONOGRAMA!$D$19:$BK$19,1,$B76),"0")&amp;" PDV del piloto · ","")&amp;IF(INDEX(FC_CRONOGRAMA!$D$46:$BK$46,1,$B76)=1,"Orden de compra de equipos del flagship · ","")&amp;IF(INDEX(FC_CRONOGRAMA!$D$48:$BK$48,1,$B76)=1,"Arribo de equipos del flagship · ","")&amp;IF(INDEX(FC_CRONOGRAMA!$D$53:$BK$53,1,$B76)=1,"Obra de adecuación del flagship · ","")&amp;IF(AND(FC_SUPUESTOS!$C$12=1,$B76=FC_SUPUESTOS!$C$13),"APERTURA DEL FLAGSHIP · ","")</f>
        <v/>
      </c>
    </row>
    <row r="77" customFormat="false" ht="15" hidden="false" customHeight="true" outlineLevel="0" collapsed="false">
      <c r="B77" s="509" t="n">
        <v>56</v>
      </c>
      <c r="C77" s="510" t="n">
        <f aca="false">EDATE(DATE(YEAR(FC_SUPUESTOS!$D$14),MONTH(FC_SUPUESTOS!$D$14),1),$B77-1)</f>
        <v>47969</v>
      </c>
      <c r="D77" s="388" t="str">
        <f aca="false">IF(LEN(S77)=0,"",LEFT(S77,LEN(S77)-3))</f>
        <v/>
      </c>
      <c r="E77" s="380" t="n">
        <f aca="false">INDEX(FC_FLUJO_CAJA!$D$14:$BK$14,1,$B77)</f>
        <v>591664.964615872</v>
      </c>
      <c r="F77" s="380" t="n">
        <f aca="false">INDEX(FC_FLUJO_CAJA!$D$35:$BK$35,1,$B77)</f>
        <v>505647.708893209</v>
      </c>
      <c r="G77" s="380" t="n">
        <f aca="false">INDEX(FC_FLUJO_CAJA!$D$39:$BK$39,1,$B77)</f>
        <v>24590.0337805805</v>
      </c>
      <c r="H77" s="380" t="n">
        <f aca="false">INDEX(FC_FLUJO_CAJA!$D$54:$BK$54,1,$B77)</f>
        <v>0</v>
      </c>
      <c r="I77" s="380" t="n">
        <f aca="false">INDEX(FC_FLUJO_CAJA!$D$68:$BK$68,1,$B77)</f>
        <v>0</v>
      </c>
      <c r="J77" s="380" t="n">
        <f aca="false">INDEX(FC_FLUJO_CAJA!$D$81:$BK$81,1,$B77)</f>
        <v>0</v>
      </c>
      <c r="K77" s="383" t="n">
        <f aca="false">F77+G77+H77+I77+J77</f>
        <v>530237.742673789</v>
      </c>
      <c r="L77" s="380" t="n">
        <f aca="false">INDEX(FC_FLUJO_CAJA!$D$85:$BK$85,1,$B77)</f>
        <v>61427.2219420828</v>
      </c>
      <c r="M77" s="495" t="n">
        <f aca="false">INDEX(FC_FLUJO_CAJA!$D$89:$BK$89,1,$B77)</f>
        <v>2611424.39997598</v>
      </c>
      <c r="N77" s="511" t="n">
        <f aca="false">INDEX(FC_FLUJO_CAJA!$D$92:$BK$92,1,$B77)</f>
        <v>0</v>
      </c>
      <c r="O77" s="380" t="n">
        <f aca="false">INDEX(FC_FLUJO_CAJA!$D$93:$BK$93,1,$B77)</f>
        <v>2100000</v>
      </c>
      <c r="P77" s="383" t="n">
        <f aca="false">INDEX(FC_FLUJO_CAJA!$D$94:$BK$94,1,$B77)</f>
        <v>2672851.62191806</v>
      </c>
      <c r="Q77" s="426" t="str">
        <f aca="false">IF(N77=0,"",IF(MAX(H77,I77,J77)&gt;=MAX(0,F77+G77-E77),IF(H77&gt;=MAX(I77,J77),"Equipos, montaje y arranque del centro de producción",IF(I77&gt;=J77,"Equipos, obra, depósitos y arranque de los PDV del piloto","Equipos y adecuación del flagship")),"Estructura corporativa, personal y operación de la red"))</f>
        <v/>
      </c>
      <c r="S77" s="512" t="str">
        <f aca="false">IF(INDEX(FC_CRONOGRAMA!$D$8:$BK$8,1,$B77)=1,"Orden de compra de equipos de PLANTA · ","")&amp;IF(INDEX(FC_CRONOGRAMA!$D$28:$BK$28,1,$B77)+INDEX(FC_CRONOGRAMA!$D$29:$BK$29,1,$B77)&gt;0,"Orden de compra de equipos de PDV · ","")&amp;IF(INDEX(FC_CRONOGRAMA!$D$9:$BK$9,1,$B77)=1,"Embarque de equipos de planta · ","")&amp;IF(INDEX(FC_CRONOGRAMA!$D$30:$BK$30,1,$B77)+INDEX(FC_CRONOGRAMA!$D$31:$BK$31,1,$B77)&gt;0,"Embarque de equipos de PDV · ","")&amp;IF(INDEX(FC_CRONOGRAMA!$D$10:$BK$10,1,$B77)=1,"Arribo y nacionalización — planta · ","")&amp;IF(INDEX(FC_CRONOGRAMA!$D$32:$BK$32,1,$B77)+INDEX(FC_CRONOGRAMA!$D$33:$BK$33,1,$B77)&gt;0,"Arribo y nacionalización — PDV · ","")&amp;IF(INDEX(FC_CRONOGRAMA!$D$11:$BK$11,1,$B77)=1,"Montaje y puesta en marcha de la planta · ","")&amp;IF(AND($B77=FC_SUPUESTOS!$C$23),"ARRANQUE DE LA PLANTA · ","")&amp;IF(INDEX(FC_CRONOGRAMA!$D$40:$BK$40,1,$B77)+INDEX(FC_CRONOGRAMA!$D$41:$BK$41,1,$B77)&gt;0,"Obra de adecuación de locales · ","")&amp;IF(INDEX(FC_CRONOGRAMA!$D$19:$BK$19,1,$B77)&gt;0,"Apertura de "&amp;TEXT(INDEX(FC_CRONOGRAMA!$D$19:$BK$19,1,$B77),"0")&amp;" PDV del piloto · ","")&amp;IF(INDEX(FC_CRONOGRAMA!$D$46:$BK$46,1,$B77)=1,"Orden de compra de equipos del flagship · ","")&amp;IF(INDEX(FC_CRONOGRAMA!$D$48:$BK$48,1,$B77)=1,"Arribo de equipos del flagship · ","")&amp;IF(INDEX(FC_CRONOGRAMA!$D$53:$BK$53,1,$B77)=1,"Obra de adecuación del flagship · ","")&amp;IF(AND(FC_SUPUESTOS!$C$12=1,$B77=FC_SUPUESTOS!$C$13),"APERTURA DEL FLAGSHIP · ","")</f>
        <v/>
      </c>
    </row>
    <row r="78" customFormat="false" ht="15" hidden="false" customHeight="true" outlineLevel="0" collapsed="false">
      <c r="B78" s="509" t="n">
        <v>57</v>
      </c>
      <c r="C78" s="510" t="n">
        <f aca="false">EDATE(DATE(YEAR(FC_SUPUESTOS!$D$14),MONTH(FC_SUPUESTOS!$D$14),1),$B78-1)</f>
        <v>48000</v>
      </c>
      <c r="D78" s="388" t="str">
        <f aca="false">IF(LEN(S78)=0,"",LEFT(S78,LEN(S78)-3))</f>
        <v/>
      </c>
      <c r="E78" s="380" t="n">
        <f aca="false">INDEX(FC_FLUJO_CAJA!$D$14:$BK$14,1,$B78)</f>
        <v>591664.964615872</v>
      </c>
      <c r="F78" s="380" t="n">
        <f aca="false">INDEX(FC_FLUJO_CAJA!$D$35:$BK$35,1,$B78)</f>
        <v>505647.708893209</v>
      </c>
      <c r="G78" s="380" t="n">
        <f aca="false">INDEX(FC_FLUJO_CAJA!$D$39:$BK$39,1,$B78)</f>
        <v>24590.0337805805</v>
      </c>
      <c r="H78" s="380" t="n">
        <f aca="false">INDEX(FC_FLUJO_CAJA!$D$54:$BK$54,1,$B78)</f>
        <v>0</v>
      </c>
      <c r="I78" s="380" t="n">
        <f aca="false">INDEX(FC_FLUJO_CAJA!$D$68:$BK$68,1,$B78)</f>
        <v>0</v>
      </c>
      <c r="J78" s="380" t="n">
        <f aca="false">INDEX(FC_FLUJO_CAJA!$D$81:$BK$81,1,$B78)</f>
        <v>0</v>
      </c>
      <c r="K78" s="383" t="n">
        <f aca="false">F78+G78+H78+I78+J78</f>
        <v>530237.742673789</v>
      </c>
      <c r="L78" s="380" t="n">
        <f aca="false">INDEX(FC_FLUJO_CAJA!$D$85:$BK$85,1,$B78)</f>
        <v>61427.2219420828</v>
      </c>
      <c r="M78" s="495" t="n">
        <f aca="false">INDEX(FC_FLUJO_CAJA!$D$89:$BK$89,1,$B78)</f>
        <v>2672851.62191806</v>
      </c>
      <c r="N78" s="511" t="n">
        <f aca="false">INDEX(FC_FLUJO_CAJA!$D$92:$BK$92,1,$B78)</f>
        <v>0</v>
      </c>
      <c r="O78" s="380" t="n">
        <f aca="false">INDEX(FC_FLUJO_CAJA!$D$93:$BK$93,1,$B78)</f>
        <v>2100000</v>
      </c>
      <c r="P78" s="383" t="n">
        <f aca="false">INDEX(FC_FLUJO_CAJA!$D$94:$BK$94,1,$B78)</f>
        <v>2734278.84386014</v>
      </c>
      <c r="Q78" s="426" t="str">
        <f aca="false">IF(N78=0,"",IF(MAX(H78,I78,J78)&gt;=MAX(0,F78+G78-E78),IF(H78&gt;=MAX(I78,J78),"Equipos, montaje y arranque del centro de producción",IF(I78&gt;=J78,"Equipos, obra, depósitos y arranque de los PDV del piloto","Equipos y adecuación del flagship")),"Estructura corporativa, personal y operación de la red"))</f>
        <v/>
      </c>
      <c r="S78" s="512" t="str">
        <f aca="false">IF(INDEX(FC_CRONOGRAMA!$D$8:$BK$8,1,$B78)=1,"Orden de compra de equipos de PLANTA · ","")&amp;IF(INDEX(FC_CRONOGRAMA!$D$28:$BK$28,1,$B78)+INDEX(FC_CRONOGRAMA!$D$29:$BK$29,1,$B78)&gt;0,"Orden de compra de equipos de PDV · ","")&amp;IF(INDEX(FC_CRONOGRAMA!$D$9:$BK$9,1,$B78)=1,"Embarque de equipos de planta · ","")&amp;IF(INDEX(FC_CRONOGRAMA!$D$30:$BK$30,1,$B78)+INDEX(FC_CRONOGRAMA!$D$31:$BK$31,1,$B78)&gt;0,"Embarque de equipos de PDV · ","")&amp;IF(INDEX(FC_CRONOGRAMA!$D$10:$BK$10,1,$B78)=1,"Arribo y nacionalización — planta · ","")&amp;IF(INDEX(FC_CRONOGRAMA!$D$32:$BK$32,1,$B78)+INDEX(FC_CRONOGRAMA!$D$33:$BK$33,1,$B78)&gt;0,"Arribo y nacionalización — PDV · ","")&amp;IF(INDEX(FC_CRONOGRAMA!$D$11:$BK$11,1,$B78)=1,"Montaje y puesta en marcha de la planta · ","")&amp;IF(AND($B78=FC_SUPUESTOS!$C$23),"ARRANQUE DE LA PLANTA · ","")&amp;IF(INDEX(FC_CRONOGRAMA!$D$40:$BK$40,1,$B78)+INDEX(FC_CRONOGRAMA!$D$41:$BK$41,1,$B78)&gt;0,"Obra de adecuación de locales · ","")&amp;IF(INDEX(FC_CRONOGRAMA!$D$19:$BK$19,1,$B78)&gt;0,"Apertura de "&amp;TEXT(INDEX(FC_CRONOGRAMA!$D$19:$BK$19,1,$B78),"0")&amp;" PDV del piloto · ","")&amp;IF(INDEX(FC_CRONOGRAMA!$D$46:$BK$46,1,$B78)=1,"Orden de compra de equipos del flagship · ","")&amp;IF(INDEX(FC_CRONOGRAMA!$D$48:$BK$48,1,$B78)=1,"Arribo de equipos del flagship · ","")&amp;IF(INDEX(FC_CRONOGRAMA!$D$53:$BK$53,1,$B78)=1,"Obra de adecuación del flagship · ","")&amp;IF(AND(FC_SUPUESTOS!$C$12=1,$B78=FC_SUPUESTOS!$C$13),"APERTURA DEL FLAGSHIP · ","")</f>
        <v/>
      </c>
    </row>
    <row r="79" customFormat="false" ht="15" hidden="false" customHeight="true" outlineLevel="0" collapsed="false">
      <c r="B79" s="509" t="n">
        <v>58</v>
      </c>
      <c r="C79" s="510" t="n">
        <f aca="false">EDATE(DATE(YEAR(FC_SUPUESTOS!$D$14),MONTH(FC_SUPUESTOS!$D$14),1),$B79-1)</f>
        <v>48030</v>
      </c>
      <c r="D79" s="388" t="str">
        <f aca="false">IF(LEN(S79)=0,"",LEFT(S79,LEN(S79)-3))</f>
        <v/>
      </c>
      <c r="E79" s="380" t="n">
        <f aca="false">INDEX(FC_FLUJO_CAJA!$D$14:$BK$14,1,$B79)</f>
        <v>591664.964615872</v>
      </c>
      <c r="F79" s="380" t="n">
        <f aca="false">INDEX(FC_FLUJO_CAJA!$D$35:$BK$35,1,$B79)</f>
        <v>505647.708893209</v>
      </c>
      <c r="G79" s="380" t="n">
        <f aca="false">INDEX(FC_FLUJO_CAJA!$D$39:$BK$39,1,$B79)</f>
        <v>24590.0337805805</v>
      </c>
      <c r="H79" s="380" t="n">
        <f aca="false">INDEX(FC_FLUJO_CAJA!$D$54:$BK$54,1,$B79)</f>
        <v>0</v>
      </c>
      <c r="I79" s="380" t="n">
        <f aca="false">INDEX(FC_FLUJO_CAJA!$D$68:$BK$68,1,$B79)</f>
        <v>0</v>
      </c>
      <c r="J79" s="380" t="n">
        <f aca="false">INDEX(FC_FLUJO_CAJA!$D$81:$BK$81,1,$B79)</f>
        <v>0</v>
      </c>
      <c r="K79" s="383" t="n">
        <f aca="false">F79+G79+H79+I79+J79</f>
        <v>530237.742673789</v>
      </c>
      <c r="L79" s="380" t="n">
        <f aca="false">INDEX(FC_FLUJO_CAJA!$D$85:$BK$85,1,$B79)</f>
        <v>61427.2219420828</v>
      </c>
      <c r="M79" s="495" t="n">
        <f aca="false">INDEX(FC_FLUJO_CAJA!$D$89:$BK$89,1,$B79)</f>
        <v>2734278.84386014</v>
      </c>
      <c r="N79" s="511" t="n">
        <f aca="false">INDEX(FC_FLUJO_CAJA!$D$92:$BK$92,1,$B79)</f>
        <v>0</v>
      </c>
      <c r="O79" s="380" t="n">
        <f aca="false">INDEX(FC_FLUJO_CAJA!$D$93:$BK$93,1,$B79)</f>
        <v>2100000</v>
      </c>
      <c r="P79" s="383" t="n">
        <f aca="false">INDEX(FC_FLUJO_CAJA!$D$94:$BK$94,1,$B79)</f>
        <v>2795706.06580223</v>
      </c>
      <c r="Q79" s="426" t="str">
        <f aca="false">IF(N79=0,"",IF(MAX(H79,I79,J79)&gt;=MAX(0,F79+G79-E79),IF(H79&gt;=MAX(I79,J79),"Equipos, montaje y arranque del centro de producción",IF(I79&gt;=J79,"Equipos, obra, depósitos y arranque de los PDV del piloto","Equipos y adecuación del flagship")),"Estructura corporativa, personal y operación de la red"))</f>
        <v/>
      </c>
      <c r="S79" s="512" t="str">
        <f aca="false">IF(INDEX(FC_CRONOGRAMA!$D$8:$BK$8,1,$B79)=1,"Orden de compra de equipos de PLANTA · ","")&amp;IF(INDEX(FC_CRONOGRAMA!$D$28:$BK$28,1,$B79)+INDEX(FC_CRONOGRAMA!$D$29:$BK$29,1,$B79)&gt;0,"Orden de compra de equipos de PDV · ","")&amp;IF(INDEX(FC_CRONOGRAMA!$D$9:$BK$9,1,$B79)=1,"Embarque de equipos de planta · ","")&amp;IF(INDEX(FC_CRONOGRAMA!$D$30:$BK$30,1,$B79)+INDEX(FC_CRONOGRAMA!$D$31:$BK$31,1,$B79)&gt;0,"Embarque de equipos de PDV · ","")&amp;IF(INDEX(FC_CRONOGRAMA!$D$10:$BK$10,1,$B79)=1,"Arribo y nacionalización — planta · ","")&amp;IF(INDEX(FC_CRONOGRAMA!$D$32:$BK$32,1,$B79)+INDEX(FC_CRONOGRAMA!$D$33:$BK$33,1,$B79)&gt;0,"Arribo y nacionalización — PDV · ","")&amp;IF(INDEX(FC_CRONOGRAMA!$D$11:$BK$11,1,$B79)=1,"Montaje y puesta en marcha de la planta · ","")&amp;IF(AND($B79=FC_SUPUESTOS!$C$23),"ARRANQUE DE LA PLANTA · ","")&amp;IF(INDEX(FC_CRONOGRAMA!$D$40:$BK$40,1,$B79)+INDEX(FC_CRONOGRAMA!$D$41:$BK$41,1,$B79)&gt;0,"Obra de adecuación de locales · ","")&amp;IF(INDEX(FC_CRONOGRAMA!$D$19:$BK$19,1,$B79)&gt;0,"Apertura de "&amp;TEXT(INDEX(FC_CRONOGRAMA!$D$19:$BK$19,1,$B79),"0")&amp;" PDV del piloto · ","")&amp;IF(INDEX(FC_CRONOGRAMA!$D$46:$BK$46,1,$B79)=1,"Orden de compra de equipos del flagship · ","")&amp;IF(INDEX(FC_CRONOGRAMA!$D$48:$BK$48,1,$B79)=1,"Arribo de equipos del flagship · ","")&amp;IF(INDEX(FC_CRONOGRAMA!$D$53:$BK$53,1,$B79)=1,"Obra de adecuación del flagship · ","")&amp;IF(AND(FC_SUPUESTOS!$C$12=1,$B79=FC_SUPUESTOS!$C$13),"APERTURA DEL FLAGSHIP · ","")</f>
        <v/>
      </c>
    </row>
    <row r="80" customFormat="false" ht="15" hidden="false" customHeight="true" outlineLevel="0" collapsed="false">
      <c r="B80" s="509" t="n">
        <v>59</v>
      </c>
      <c r="C80" s="510" t="n">
        <f aca="false">EDATE(DATE(YEAR(FC_SUPUESTOS!$D$14),MONTH(FC_SUPUESTOS!$D$14),1),$B80-1)</f>
        <v>48061</v>
      </c>
      <c r="D80" s="388" t="str">
        <f aca="false">IF(LEN(S80)=0,"",LEFT(S80,LEN(S80)-3))</f>
        <v/>
      </c>
      <c r="E80" s="380" t="n">
        <f aca="false">INDEX(FC_FLUJO_CAJA!$D$14:$BK$14,1,$B80)</f>
        <v>591664.964615872</v>
      </c>
      <c r="F80" s="380" t="n">
        <f aca="false">INDEX(FC_FLUJO_CAJA!$D$35:$BK$35,1,$B80)</f>
        <v>505647.708893209</v>
      </c>
      <c r="G80" s="380" t="n">
        <f aca="false">INDEX(FC_FLUJO_CAJA!$D$39:$BK$39,1,$B80)</f>
        <v>24590.0337805805</v>
      </c>
      <c r="H80" s="380" t="n">
        <f aca="false">INDEX(FC_FLUJO_CAJA!$D$54:$BK$54,1,$B80)</f>
        <v>0</v>
      </c>
      <c r="I80" s="380" t="n">
        <f aca="false">INDEX(FC_FLUJO_CAJA!$D$68:$BK$68,1,$B80)</f>
        <v>0</v>
      </c>
      <c r="J80" s="380" t="n">
        <f aca="false">INDEX(FC_FLUJO_CAJA!$D$81:$BK$81,1,$B80)</f>
        <v>0</v>
      </c>
      <c r="K80" s="383" t="n">
        <f aca="false">F80+G80+H80+I80+J80</f>
        <v>530237.742673789</v>
      </c>
      <c r="L80" s="380" t="n">
        <f aca="false">INDEX(FC_FLUJO_CAJA!$D$85:$BK$85,1,$B80)</f>
        <v>61427.2219420828</v>
      </c>
      <c r="M80" s="495" t="n">
        <f aca="false">INDEX(FC_FLUJO_CAJA!$D$89:$BK$89,1,$B80)</f>
        <v>2795706.06580223</v>
      </c>
      <c r="N80" s="511" t="n">
        <f aca="false">INDEX(FC_FLUJO_CAJA!$D$92:$BK$92,1,$B80)</f>
        <v>0</v>
      </c>
      <c r="O80" s="380" t="n">
        <f aca="false">INDEX(FC_FLUJO_CAJA!$D$93:$BK$93,1,$B80)</f>
        <v>2100000</v>
      </c>
      <c r="P80" s="383" t="n">
        <f aca="false">INDEX(FC_FLUJO_CAJA!$D$94:$BK$94,1,$B80)</f>
        <v>2857133.28774431</v>
      </c>
      <c r="Q80" s="426" t="str">
        <f aca="false">IF(N80=0,"",IF(MAX(H80,I80,J80)&gt;=MAX(0,F80+G80-E80),IF(H80&gt;=MAX(I80,J80),"Equipos, montaje y arranque del centro de producción",IF(I80&gt;=J80,"Equipos, obra, depósitos y arranque de los PDV del piloto","Equipos y adecuación del flagship")),"Estructura corporativa, personal y operación de la red"))</f>
        <v/>
      </c>
      <c r="S80" s="512" t="str">
        <f aca="false">IF(INDEX(FC_CRONOGRAMA!$D$8:$BK$8,1,$B80)=1,"Orden de compra de equipos de PLANTA · ","")&amp;IF(INDEX(FC_CRONOGRAMA!$D$28:$BK$28,1,$B80)+INDEX(FC_CRONOGRAMA!$D$29:$BK$29,1,$B80)&gt;0,"Orden de compra de equipos de PDV · ","")&amp;IF(INDEX(FC_CRONOGRAMA!$D$9:$BK$9,1,$B80)=1,"Embarque de equipos de planta · ","")&amp;IF(INDEX(FC_CRONOGRAMA!$D$30:$BK$30,1,$B80)+INDEX(FC_CRONOGRAMA!$D$31:$BK$31,1,$B80)&gt;0,"Embarque de equipos de PDV · ","")&amp;IF(INDEX(FC_CRONOGRAMA!$D$10:$BK$10,1,$B80)=1,"Arribo y nacionalización — planta · ","")&amp;IF(INDEX(FC_CRONOGRAMA!$D$32:$BK$32,1,$B80)+INDEX(FC_CRONOGRAMA!$D$33:$BK$33,1,$B80)&gt;0,"Arribo y nacionalización — PDV · ","")&amp;IF(INDEX(FC_CRONOGRAMA!$D$11:$BK$11,1,$B80)=1,"Montaje y puesta en marcha de la planta · ","")&amp;IF(AND($B80=FC_SUPUESTOS!$C$23),"ARRANQUE DE LA PLANTA · ","")&amp;IF(INDEX(FC_CRONOGRAMA!$D$40:$BK$40,1,$B80)+INDEX(FC_CRONOGRAMA!$D$41:$BK$41,1,$B80)&gt;0,"Obra de adecuación de locales · ","")&amp;IF(INDEX(FC_CRONOGRAMA!$D$19:$BK$19,1,$B80)&gt;0,"Apertura de "&amp;TEXT(INDEX(FC_CRONOGRAMA!$D$19:$BK$19,1,$B80),"0")&amp;" PDV del piloto · ","")&amp;IF(INDEX(FC_CRONOGRAMA!$D$46:$BK$46,1,$B80)=1,"Orden de compra de equipos del flagship · ","")&amp;IF(INDEX(FC_CRONOGRAMA!$D$48:$BK$48,1,$B80)=1,"Arribo de equipos del flagship · ","")&amp;IF(INDEX(FC_CRONOGRAMA!$D$53:$BK$53,1,$B80)=1,"Obra de adecuación del flagship · ","")&amp;IF(AND(FC_SUPUESTOS!$C$12=1,$B80=FC_SUPUESTOS!$C$13),"APERTURA DEL FLAGSHIP · ","")</f>
        <v/>
      </c>
    </row>
    <row r="81" customFormat="false" ht="15" hidden="false" customHeight="true" outlineLevel="0" collapsed="false">
      <c r="B81" s="509" t="n">
        <v>60</v>
      </c>
      <c r="C81" s="510" t="n">
        <f aca="false">EDATE(DATE(YEAR(FC_SUPUESTOS!$D$14),MONTH(FC_SUPUESTOS!$D$14),1),$B81-1)</f>
        <v>48092</v>
      </c>
      <c r="D81" s="388" t="str">
        <f aca="false">IF(LEN(S81)=0,"",LEFT(S81,LEN(S81)-3))</f>
        <v/>
      </c>
      <c r="E81" s="380" t="n">
        <f aca="false">INDEX(FC_FLUJO_CAJA!$D$14:$BK$14,1,$B81)</f>
        <v>591664.964615872</v>
      </c>
      <c r="F81" s="380" t="n">
        <f aca="false">INDEX(FC_FLUJO_CAJA!$D$35:$BK$35,1,$B81)</f>
        <v>505647.708893209</v>
      </c>
      <c r="G81" s="380" t="n">
        <f aca="false">INDEX(FC_FLUJO_CAJA!$D$39:$BK$39,1,$B81)</f>
        <v>24590.0337805805</v>
      </c>
      <c r="H81" s="380" t="n">
        <f aca="false">INDEX(FC_FLUJO_CAJA!$D$54:$BK$54,1,$B81)</f>
        <v>0</v>
      </c>
      <c r="I81" s="380" t="n">
        <f aca="false">INDEX(FC_FLUJO_CAJA!$D$68:$BK$68,1,$B81)</f>
        <v>0</v>
      </c>
      <c r="J81" s="380" t="n">
        <f aca="false">INDEX(FC_FLUJO_CAJA!$D$81:$BK$81,1,$B81)</f>
        <v>0</v>
      </c>
      <c r="K81" s="383" t="n">
        <f aca="false">F81+G81+H81+I81+J81</f>
        <v>530237.742673789</v>
      </c>
      <c r="L81" s="380" t="n">
        <f aca="false">INDEX(FC_FLUJO_CAJA!$D$85:$BK$85,1,$B81)</f>
        <v>61427.2219420828</v>
      </c>
      <c r="M81" s="495" t="n">
        <f aca="false">INDEX(FC_FLUJO_CAJA!$D$89:$BK$89,1,$B81)</f>
        <v>2857133.28774431</v>
      </c>
      <c r="N81" s="511" t="n">
        <f aca="false">INDEX(FC_FLUJO_CAJA!$D$92:$BK$92,1,$B81)</f>
        <v>0</v>
      </c>
      <c r="O81" s="380" t="n">
        <f aca="false">INDEX(FC_FLUJO_CAJA!$D$93:$BK$93,1,$B81)</f>
        <v>2100000</v>
      </c>
      <c r="P81" s="383" t="n">
        <f aca="false">INDEX(FC_FLUJO_CAJA!$D$94:$BK$94,1,$B81)</f>
        <v>2918560.50968639</v>
      </c>
      <c r="Q81" s="426" t="str">
        <f aca="false">IF(N81=0,"",IF(MAX(H81,I81,J81)&gt;=MAX(0,F81+G81-E81),IF(H81&gt;=MAX(I81,J81),"Equipos, montaje y arranque del centro de producción",IF(I81&gt;=J81,"Equipos, obra, depósitos y arranque de los PDV del piloto","Equipos y adecuación del flagship")),"Estructura corporativa, personal y operación de la red"))</f>
        <v/>
      </c>
      <c r="S81" s="512" t="str">
        <f aca="false">IF(INDEX(FC_CRONOGRAMA!$D$8:$BK$8,1,$B81)=1,"Orden de compra de equipos de PLANTA · ","")&amp;IF(INDEX(FC_CRONOGRAMA!$D$28:$BK$28,1,$B81)+INDEX(FC_CRONOGRAMA!$D$29:$BK$29,1,$B81)&gt;0,"Orden de compra de equipos de PDV · ","")&amp;IF(INDEX(FC_CRONOGRAMA!$D$9:$BK$9,1,$B81)=1,"Embarque de equipos de planta · ","")&amp;IF(INDEX(FC_CRONOGRAMA!$D$30:$BK$30,1,$B81)+INDEX(FC_CRONOGRAMA!$D$31:$BK$31,1,$B81)&gt;0,"Embarque de equipos de PDV · ","")&amp;IF(INDEX(FC_CRONOGRAMA!$D$10:$BK$10,1,$B81)=1,"Arribo y nacionalización — planta · ","")&amp;IF(INDEX(FC_CRONOGRAMA!$D$32:$BK$32,1,$B81)+INDEX(FC_CRONOGRAMA!$D$33:$BK$33,1,$B81)&gt;0,"Arribo y nacionalización — PDV · ","")&amp;IF(INDEX(FC_CRONOGRAMA!$D$11:$BK$11,1,$B81)=1,"Montaje y puesta en marcha de la planta · ","")&amp;IF(AND($B81=FC_SUPUESTOS!$C$23),"ARRANQUE DE LA PLANTA · ","")&amp;IF(INDEX(FC_CRONOGRAMA!$D$40:$BK$40,1,$B81)+INDEX(FC_CRONOGRAMA!$D$41:$BK$41,1,$B81)&gt;0,"Obra de adecuación de locales · ","")&amp;IF(INDEX(FC_CRONOGRAMA!$D$19:$BK$19,1,$B81)&gt;0,"Apertura de "&amp;TEXT(INDEX(FC_CRONOGRAMA!$D$19:$BK$19,1,$B81),"0")&amp;" PDV del piloto · ","")&amp;IF(INDEX(FC_CRONOGRAMA!$D$46:$BK$46,1,$B81)=1,"Orden de compra de equipos del flagship · ","")&amp;IF(INDEX(FC_CRONOGRAMA!$D$48:$BK$48,1,$B81)=1,"Arribo de equipos del flagship · ","")&amp;IF(INDEX(FC_CRONOGRAMA!$D$53:$BK$53,1,$B81)=1,"Obra de adecuación del flagship · ","")&amp;IF(AND(FC_SUPUESTOS!$C$12=1,$B81=FC_SUPUESTOS!$C$13),"APERTURA DEL FLAGSHIP · ","")</f>
        <v/>
      </c>
    </row>
    <row r="82" customFormat="false" ht="15" hidden="false" customHeight="true" outlineLevel="0" collapsed="false">
      <c r="B82" s="513" t="s">
        <v>240</v>
      </c>
      <c r="C82" s="126"/>
      <c r="D82" s="126"/>
      <c r="E82" s="126"/>
      <c r="F82" s="514" t="n">
        <f aca="false">SUM(F22:F81)</f>
        <v>24884221.807007</v>
      </c>
      <c r="G82" s="514" t="n">
        <f aca="false">SUM(G22:G81)</f>
        <v>999309.365561413</v>
      </c>
      <c r="H82" s="514" t="n">
        <f aca="false">SUM(H22:H81)</f>
        <v>674744.609</v>
      </c>
      <c r="I82" s="514" t="n">
        <f aca="false">SUM(I22:I81)</f>
        <v>1227631.62575</v>
      </c>
      <c r="J82" s="514" t="n">
        <f aca="false">SUM(J22:J81)</f>
        <v>0</v>
      </c>
      <c r="K82" s="514" t="n">
        <f aca="false">SUM(K22:K81)</f>
        <v>27785907.4073184</v>
      </c>
      <c r="L82" s="514" t="n">
        <f aca="false">SUM(L22:L81)</f>
        <v>818560.50968639</v>
      </c>
      <c r="M82" s="126"/>
      <c r="N82" s="514" t="n">
        <f aca="false">SUM(N22:N81)</f>
        <v>2100000</v>
      </c>
      <c r="O82" s="514" t="n">
        <f aca="false">O81</f>
        <v>2100000</v>
      </c>
      <c r="P82" s="514" t="n">
        <f aca="false">P81</f>
        <v>2918560.50968639</v>
      </c>
      <c r="Q82" s="126"/>
    </row>
    <row r="84" customFormat="false" ht="15" hidden="false" customHeight="true" outlineLevel="0" collapsed="false">
      <c r="B84" s="506" t="s">
        <v>3063</v>
      </c>
      <c r="C84" s="506"/>
      <c r="D84" s="506"/>
      <c r="E84" s="506"/>
      <c r="F84" s="506"/>
      <c r="G84" s="506"/>
      <c r="H84" s="506"/>
      <c r="I84" s="506"/>
      <c r="J84" s="506"/>
      <c r="K84" s="506"/>
      <c r="L84" s="506"/>
      <c r="M84" s="506"/>
      <c r="N84" s="506"/>
      <c r="O84" s="506"/>
      <c r="P84" s="506"/>
      <c r="Q84" s="506"/>
    </row>
  </sheetData>
  <mergeCells count="2">
    <mergeCell ref="B18:F18"/>
    <mergeCell ref="B84:Q8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A1:BE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16" topLeftCell="F17" activePane="bottomRight" state="frozen"/>
      <selection pane="topLeft" activeCell="A1" activeCellId="0" sqref="A1"/>
      <selection pane="topRight" activeCell="F1" activeCellId="0" sqref="F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62"/>
    <col collapsed="false" customWidth="true" hidden="false" outlineLevel="0" max="3" min="3" style="1" width="34"/>
    <col collapsed="false" customWidth="true" hidden="false" outlineLevel="0" max="4" min="4" style="1" width="7"/>
    <col collapsed="false" customWidth="true" hidden="false" outlineLevel="0" max="5" min="5" style="1" width="14"/>
    <col collapsed="false" customWidth="true" hidden="false" outlineLevel="0" max="18" min="6" style="1" width="11.5"/>
    <col collapsed="false" customWidth="true" hidden="false" outlineLevel="0" max="19" min="19" style="1" width="14"/>
    <col collapsed="false" customWidth="true" hidden="false" outlineLevel="0" max="57" min="20" style="1" width="11.5"/>
  </cols>
  <sheetData>
    <row r="1" customFormat="false" ht="15" hidden="false" customHeight="true" outlineLevel="0" collapsed="false">
      <c r="A1" s="125" t="s">
        <v>3064</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row>
    <row r="2" customFormat="false" ht="15" hidden="false" customHeight="true" outlineLevel="0" collapsed="false">
      <c r="A2" s="515" t="s">
        <v>3065</v>
      </c>
    </row>
    <row r="3" customFormat="false" ht="15" hidden="false" customHeight="true" outlineLevel="0" collapsed="false">
      <c r="B3" s="287" t="s">
        <v>3066</v>
      </c>
      <c r="C3" s="516" t="n">
        <f aca="false">FC_SUPUESTOS!$D$14</f>
        <v>46300</v>
      </c>
      <c r="F3" s="517" t="s">
        <v>3067</v>
      </c>
      <c r="G3" s="517"/>
      <c r="H3" s="517"/>
      <c r="I3" s="517"/>
      <c r="J3" s="517"/>
      <c r="K3" s="517"/>
      <c r="L3" s="518" t="n">
        <f aca="false">E64</f>
        <v>2450498.72860177</v>
      </c>
      <c r="M3" s="518"/>
    </row>
    <row r="4" customFormat="false" ht="15" hidden="false" customHeight="true" outlineLevel="0" collapsed="false">
      <c r="B4" s="287" t="s">
        <v>3068</v>
      </c>
      <c r="C4" s="516" t="n">
        <f aca="false">BE11</f>
        <v>46663</v>
      </c>
      <c r="F4" s="517" t="s">
        <v>3069</v>
      </c>
      <c r="G4" s="517"/>
      <c r="H4" s="517"/>
      <c r="I4" s="517"/>
      <c r="J4" s="517"/>
      <c r="K4" s="517"/>
      <c r="L4" s="518" t="n">
        <f aca="false">E44+E59+E61</f>
        <v>1812836.23475</v>
      </c>
      <c r="M4" s="518"/>
    </row>
    <row r="5" customFormat="false" ht="15" hidden="false" customHeight="true" outlineLevel="0" collapsed="false">
      <c r="B5" s="287" t="s">
        <v>3070</v>
      </c>
      <c r="C5" s="519" t="n">
        <f aca="false">E67</f>
        <v>2050000</v>
      </c>
      <c r="F5" s="517" t="s">
        <v>3071</v>
      </c>
      <c r="G5" s="517"/>
      <c r="H5" s="517"/>
      <c r="I5" s="517"/>
      <c r="J5" s="517"/>
      <c r="K5" s="517"/>
      <c r="L5" s="518" t="n">
        <f aca="false">E30+E32</f>
        <v>637662.493851767</v>
      </c>
      <c r="M5" s="518"/>
    </row>
    <row r="6" customFormat="false" ht="15" hidden="false" customHeight="true" outlineLevel="0" collapsed="false">
      <c r="B6" s="287" t="str">
        <f aca="false">"Saldo de caja mínimo semanal (semana "&amp;MATCH(MIN(F69:BE69),F69:BE69,0)&amp;")"</f>
        <v>Saldo de caja mínimo semanal (semana 35)</v>
      </c>
      <c r="C6" s="505" t="n">
        <f aca="false">MIN(F69:BE69)</f>
        <v>50995.6186250001</v>
      </c>
      <c r="F6" s="517" t="s">
        <v>3072</v>
      </c>
      <c r="G6" s="517"/>
      <c r="H6" s="517"/>
      <c r="I6" s="517"/>
      <c r="J6" s="517"/>
      <c r="K6" s="517"/>
      <c r="L6" s="518" t="n">
        <f aca="false">E18</f>
        <v>502643.81397642</v>
      </c>
      <c r="M6" s="518"/>
    </row>
    <row r="7" customFormat="false" ht="15" hidden="false" customHeight="true" outlineLevel="0" collapsed="false">
      <c r="B7" s="287" t="str">
        <f aca="false">"Mayor pago semanal del año (semana "&amp;MATCH(MAX(F64:BE64),F64:BE64,0)&amp;")"</f>
        <v>Mayor pago semanal del año (semana 38)</v>
      </c>
      <c r="C7" s="505" t="n">
        <f aca="false">MAX(F64:BE64)</f>
        <v>217025.10475</v>
      </c>
      <c r="F7" s="517" t="s">
        <v>3073</v>
      </c>
      <c r="G7" s="517"/>
      <c r="H7" s="517"/>
      <c r="I7" s="517"/>
      <c r="J7" s="517"/>
      <c r="K7" s="517"/>
      <c r="L7" s="520" t="n">
        <f aca="false">COUNTIF(F70:BE70,"✗")</f>
        <v>0</v>
      </c>
      <c r="M7" s="520"/>
    </row>
    <row r="9" customFormat="false" ht="15" hidden="false" customHeight="true" outlineLevel="0" collapsed="false">
      <c r="E9" s="521" t="s">
        <v>2417</v>
      </c>
      <c r="F9" s="522" t="n">
        <v>1</v>
      </c>
      <c r="G9" s="522" t="n">
        <v>2</v>
      </c>
      <c r="H9" s="522" t="n">
        <v>3</v>
      </c>
      <c r="I9" s="522" t="n">
        <v>4</v>
      </c>
      <c r="J9" s="522" t="n">
        <v>5</v>
      </c>
      <c r="K9" s="522" t="n">
        <v>6</v>
      </c>
      <c r="L9" s="522" t="n">
        <v>7</v>
      </c>
      <c r="M9" s="522" t="n">
        <v>8</v>
      </c>
      <c r="N9" s="522" t="n">
        <v>9</v>
      </c>
      <c r="O9" s="522" t="n">
        <v>10</v>
      </c>
      <c r="P9" s="522" t="n">
        <v>11</v>
      </c>
      <c r="Q9" s="522" t="n">
        <v>12</v>
      </c>
      <c r="R9" s="522" t="n">
        <v>13</v>
      </c>
      <c r="S9" s="522" t="n">
        <v>14</v>
      </c>
      <c r="T9" s="522" t="n">
        <v>15</v>
      </c>
      <c r="U9" s="522" t="n">
        <v>16</v>
      </c>
      <c r="V9" s="522" t="n">
        <v>17</v>
      </c>
      <c r="W9" s="522" t="n">
        <v>18</v>
      </c>
      <c r="X9" s="522" t="n">
        <v>19</v>
      </c>
      <c r="Y9" s="522" t="n">
        <v>20</v>
      </c>
      <c r="Z9" s="522" t="n">
        <v>21</v>
      </c>
      <c r="AA9" s="522" t="n">
        <v>22</v>
      </c>
      <c r="AB9" s="522" t="n">
        <v>23</v>
      </c>
      <c r="AC9" s="522" t="n">
        <v>24</v>
      </c>
      <c r="AD9" s="522" t="n">
        <v>25</v>
      </c>
      <c r="AE9" s="522" t="n">
        <v>26</v>
      </c>
      <c r="AF9" s="522" t="n">
        <v>27</v>
      </c>
      <c r="AG9" s="522" t="n">
        <v>28</v>
      </c>
      <c r="AH9" s="522" t="n">
        <v>29</v>
      </c>
      <c r="AI9" s="522" t="n">
        <v>30</v>
      </c>
      <c r="AJ9" s="522" t="n">
        <v>31</v>
      </c>
      <c r="AK9" s="522" t="n">
        <v>32</v>
      </c>
      <c r="AL9" s="522" t="n">
        <v>33</v>
      </c>
      <c r="AM9" s="522" t="n">
        <v>34</v>
      </c>
      <c r="AN9" s="522" t="n">
        <v>35</v>
      </c>
      <c r="AO9" s="522" t="n">
        <v>36</v>
      </c>
      <c r="AP9" s="522" t="n">
        <v>37</v>
      </c>
      <c r="AQ9" s="522" t="n">
        <v>38</v>
      </c>
      <c r="AR9" s="522" t="n">
        <v>39</v>
      </c>
      <c r="AS9" s="522" t="n">
        <v>40</v>
      </c>
      <c r="AT9" s="522" t="n">
        <v>41</v>
      </c>
      <c r="AU9" s="522" t="n">
        <v>42</v>
      </c>
      <c r="AV9" s="522" t="n">
        <v>43</v>
      </c>
      <c r="AW9" s="522" t="n">
        <v>44</v>
      </c>
      <c r="AX9" s="522" t="n">
        <v>45</v>
      </c>
      <c r="AY9" s="522" t="n">
        <v>46</v>
      </c>
      <c r="AZ9" s="522" t="n">
        <v>47</v>
      </c>
      <c r="BA9" s="522" t="n">
        <v>48</v>
      </c>
      <c r="BB9" s="522" t="n">
        <v>49</v>
      </c>
      <c r="BC9" s="522" t="n">
        <v>50</v>
      </c>
      <c r="BD9" s="522" t="n">
        <v>51</v>
      </c>
      <c r="BE9" s="522" t="n">
        <v>52</v>
      </c>
    </row>
    <row r="10" customFormat="false" ht="15" hidden="false" customHeight="true" outlineLevel="0" collapsed="false">
      <c r="E10" s="521" t="s">
        <v>3074</v>
      </c>
      <c r="F10" s="523" t="n">
        <f aca="false">FC_SUPUESTOS!$D$14+(F9-1)*7</f>
        <v>46300</v>
      </c>
      <c r="G10" s="523" t="n">
        <f aca="false">FC_SUPUESTOS!$D$14+(G9-1)*7</f>
        <v>46307</v>
      </c>
      <c r="H10" s="523" t="n">
        <f aca="false">FC_SUPUESTOS!$D$14+(H9-1)*7</f>
        <v>46314</v>
      </c>
      <c r="I10" s="523" t="n">
        <f aca="false">FC_SUPUESTOS!$D$14+(I9-1)*7</f>
        <v>46321</v>
      </c>
      <c r="J10" s="523" t="n">
        <f aca="false">FC_SUPUESTOS!$D$14+(J9-1)*7</f>
        <v>46328</v>
      </c>
      <c r="K10" s="523" t="n">
        <f aca="false">FC_SUPUESTOS!$D$14+(K9-1)*7</f>
        <v>46335</v>
      </c>
      <c r="L10" s="523" t="n">
        <f aca="false">FC_SUPUESTOS!$D$14+(L9-1)*7</f>
        <v>46342</v>
      </c>
      <c r="M10" s="523" t="n">
        <f aca="false">FC_SUPUESTOS!$D$14+(M9-1)*7</f>
        <v>46349</v>
      </c>
      <c r="N10" s="523" t="n">
        <f aca="false">FC_SUPUESTOS!$D$14+(N9-1)*7</f>
        <v>46356</v>
      </c>
      <c r="O10" s="523" t="n">
        <f aca="false">FC_SUPUESTOS!$D$14+(O9-1)*7</f>
        <v>46363</v>
      </c>
      <c r="P10" s="523" t="n">
        <f aca="false">FC_SUPUESTOS!$D$14+(P9-1)*7</f>
        <v>46370</v>
      </c>
      <c r="Q10" s="523" t="n">
        <f aca="false">FC_SUPUESTOS!$D$14+(Q9-1)*7</f>
        <v>46377</v>
      </c>
      <c r="R10" s="523" t="n">
        <f aca="false">FC_SUPUESTOS!$D$14+(R9-1)*7</f>
        <v>46384</v>
      </c>
      <c r="S10" s="523" t="n">
        <f aca="false">FC_SUPUESTOS!$D$14+(S9-1)*7</f>
        <v>46391</v>
      </c>
      <c r="T10" s="523" t="n">
        <f aca="false">FC_SUPUESTOS!$D$14+(T9-1)*7</f>
        <v>46398</v>
      </c>
      <c r="U10" s="523" t="n">
        <f aca="false">FC_SUPUESTOS!$D$14+(U9-1)*7</f>
        <v>46405</v>
      </c>
      <c r="V10" s="523" t="n">
        <f aca="false">FC_SUPUESTOS!$D$14+(V9-1)*7</f>
        <v>46412</v>
      </c>
      <c r="W10" s="523" t="n">
        <f aca="false">FC_SUPUESTOS!$D$14+(W9-1)*7</f>
        <v>46419</v>
      </c>
      <c r="X10" s="523" t="n">
        <f aca="false">FC_SUPUESTOS!$D$14+(X9-1)*7</f>
        <v>46426</v>
      </c>
      <c r="Y10" s="523" t="n">
        <f aca="false">FC_SUPUESTOS!$D$14+(Y9-1)*7</f>
        <v>46433</v>
      </c>
      <c r="Z10" s="523" t="n">
        <f aca="false">FC_SUPUESTOS!$D$14+(Z9-1)*7</f>
        <v>46440</v>
      </c>
      <c r="AA10" s="523" t="n">
        <f aca="false">FC_SUPUESTOS!$D$14+(AA9-1)*7</f>
        <v>46447</v>
      </c>
      <c r="AB10" s="523" t="n">
        <f aca="false">FC_SUPUESTOS!$D$14+(AB9-1)*7</f>
        <v>46454</v>
      </c>
      <c r="AC10" s="523" t="n">
        <f aca="false">FC_SUPUESTOS!$D$14+(AC9-1)*7</f>
        <v>46461</v>
      </c>
      <c r="AD10" s="523" t="n">
        <f aca="false">FC_SUPUESTOS!$D$14+(AD9-1)*7</f>
        <v>46468</v>
      </c>
      <c r="AE10" s="523" t="n">
        <f aca="false">FC_SUPUESTOS!$D$14+(AE9-1)*7</f>
        <v>46475</v>
      </c>
      <c r="AF10" s="523" t="n">
        <f aca="false">FC_SUPUESTOS!$D$14+(AF9-1)*7</f>
        <v>46482</v>
      </c>
      <c r="AG10" s="523" t="n">
        <f aca="false">FC_SUPUESTOS!$D$14+(AG9-1)*7</f>
        <v>46489</v>
      </c>
      <c r="AH10" s="523" t="n">
        <f aca="false">FC_SUPUESTOS!$D$14+(AH9-1)*7</f>
        <v>46496</v>
      </c>
      <c r="AI10" s="523" t="n">
        <f aca="false">FC_SUPUESTOS!$D$14+(AI9-1)*7</f>
        <v>46503</v>
      </c>
      <c r="AJ10" s="523" t="n">
        <f aca="false">FC_SUPUESTOS!$D$14+(AJ9-1)*7</f>
        <v>46510</v>
      </c>
      <c r="AK10" s="523" t="n">
        <f aca="false">FC_SUPUESTOS!$D$14+(AK9-1)*7</f>
        <v>46517</v>
      </c>
      <c r="AL10" s="523" t="n">
        <f aca="false">FC_SUPUESTOS!$D$14+(AL9-1)*7</f>
        <v>46524</v>
      </c>
      <c r="AM10" s="523" t="n">
        <f aca="false">FC_SUPUESTOS!$D$14+(AM9-1)*7</f>
        <v>46531</v>
      </c>
      <c r="AN10" s="523" t="n">
        <f aca="false">FC_SUPUESTOS!$D$14+(AN9-1)*7</f>
        <v>46538</v>
      </c>
      <c r="AO10" s="523" t="n">
        <f aca="false">FC_SUPUESTOS!$D$14+(AO9-1)*7</f>
        <v>46545</v>
      </c>
      <c r="AP10" s="523" t="n">
        <f aca="false">FC_SUPUESTOS!$D$14+(AP9-1)*7</f>
        <v>46552</v>
      </c>
      <c r="AQ10" s="523" t="n">
        <f aca="false">FC_SUPUESTOS!$D$14+(AQ9-1)*7</f>
        <v>46559</v>
      </c>
      <c r="AR10" s="523" t="n">
        <f aca="false">FC_SUPUESTOS!$D$14+(AR9-1)*7</f>
        <v>46566</v>
      </c>
      <c r="AS10" s="523" t="n">
        <f aca="false">FC_SUPUESTOS!$D$14+(AS9-1)*7</f>
        <v>46573</v>
      </c>
      <c r="AT10" s="523" t="n">
        <f aca="false">FC_SUPUESTOS!$D$14+(AT9-1)*7</f>
        <v>46580</v>
      </c>
      <c r="AU10" s="523" t="n">
        <f aca="false">FC_SUPUESTOS!$D$14+(AU9-1)*7</f>
        <v>46587</v>
      </c>
      <c r="AV10" s="523" t="n">
        <f aca="false">FC_SUPUESTOS!$D$14+(AV9-1)*7</f>
        <v>46594</v>
      </c>
      <c r="AW10" s="523" t="n">
        <f aca="false">FC_SUPUESTOS!$D$14+(AW9-1)*7</f>
        <v>46601</v>
      </c>
      <c r="AX10" s="523" t="n">
        <f aca="false">FC_SUPUESTOS!$D$14+(AX9-1)*7</f>
        <v>46608</v>
      </c>
      <c r="AY10" s="523" t="n">
        <f aca="false">FC_SUPUESTOS!$D$14+(AY9-1)*7</f>
        <v>46615</v>
      </c>
      <c r="AZ10" s="523" t="n">
        <f aca="false">FC_SUPUESTOS!$D$14+(AZ9-1)*7</f>
        <v>46622</v>
      </c>
      <c r="BA10" s="523" t="n">
        <f aca="false">FC_SUPUESTOS!$D$14+(BA9-1)*7</f>
        <v>46629</v>
      </c>
      <c r="BB10" s="523" t="n">
        <f aca="false">FC_SUPUESTOS!$D$14+(BB9-1)*7</f>
        <v>46636</v>
      </c>
      <c r="BC10" s="523" t="n">
        <f aca="false">FC_SUPUESTOS!$D$14+(BC9-1)*7</f>
        <v>46643</v>
      </c>
      <c r="BD10" s="523" t="n">
        <f aca="false">FC_SUPUESTOS!$D$14+(BD9-1)*7</f>
        <v>46650</v>
      </c>
      <c r="BE10" s="523" t="n">
        <f aca="false">FC_SUPUESTOS!$D$14+(BE9-1)*7</f>
        <v>46657</v>
      </c>
    </row>
    <row r="11" customFormat="false" ht="15" hidden="false" customHeight="true" outlineLevel="0" collapsed="false">
      <c r="E11" s="521" t="s">
        <v>3075</v>
      </c>
      <c r="F11" s="524" t="n">
        <f aca="false">F10+6</f>
        <v>46306</v>
      </c>
      <c r="G11" s="524" t="n">
        <f aca="false">G10+6</f>
        <v>46313</v>
      </c>
      <c r="H11" s="524" t="n">
        <f aca="false">H10+6</f>
        <v>46320</v>
      </c>
      <c r="I11" s="524" t="n">
        <f aca="false">I10+6</f>
        <v>46327</v>
      </c>
      <c r="J11" s="524" t="n">
        <f aca="false">J10+6</f>
        <v>46334</v>
      </c>
      <c r="K11" s="524" t="n">
        <f aca="false">K10+6</f>
        <v>46341</v>
      </c>
      <c r="L11" s="524" t="n">
        <f aca="false">L10+6</f>
        <v>46348</v>
      </c>
      <c r="M11" s="524" t="n">
        <f aca="false">M10+6</f>
        <v>46355</v>
      </c>
      <c r="N11" s="524" t="n">
        <f aca="false">N10+6</f>
        <v>46362</v>
      </c>
      <c r="O11" s="524" t="n">
        <f aca="false">O10+6</f>
        <v>46369</v>
      </c>
      <c r="P11" s="524" t="n">
        <f aca="false">P10+6</f>
        <v>46376</v>
      </c>
      <c r="Q11" s="524" t="n">
        <f aca="false">Q10+6</f>
        <v>46383</v>
      </c>
      <c r="R11" s="524" t="n">
        <f aca="false">R10+6</f>
        <v>46390</v>
      </c>
      <c r="S11" s="524" t="n">
        <f aca="false">S10+6</f>
        <v>46397</v>
      </c>
      <c r="T11" s="524" t="n">
        <f aca="false">T10+6</f>
        <v>46404</v>
      </c>
      <c r="U11" s="524" t="n">
        <f aca="false">U10+6</f>
        <v>46411</v>
      </c>
      <c r="V11" s="524" t="n">
        <f aca="false">V10+6</f>
        <v>46418</v>
      </c>
      <c r="W11" s="524" t="n">
        <f aca="false">W10+6</f>
        <v>46425</v>
      </c>
      <c r="X11" s="524" t="n">
        <f aca="false">X10+6</f>
        <v>46432</v>
      </c>
      <c r="Y11" s="524" t="n">
        <f aca="false">Y10+6</f>
        <v>46439</v>
      </c>
      <c r="Z11" s="524" t="n">
        <f aca="false">Z10+6</f>
        <v>46446</v>
      </c>
      <c r="AA11" s="524" t="n">
        <f aca="false">AA10+6</f>
        <v>46453</v>
      </c>
      <c r="AB11" s="524" t="n">
        <f aca="false">AB10+6</f>
        <v>46460</v>
      </c>
      <c r="AC11" s="524" t="n">
        <f aca="false">AC10+6</f>
        <v>46467</v>
      </c>
      <c r="AD11" s="524" t="n">
        <f aca="false">AD10+6</f>
        <v>46474</v>
      </c>
      <c r="AE11" s="524" t="n">
        <f aca="false">AE10+6</f>
        <v>46481</v>
      </c>
      <c r="AF11" s="524" t="n">
        <f aca="false">AF10+6</f>
        <v>46488</v>
      </c>
      <c r="AG11" s="524" t="n">
        <f aca="false">AG10+6</f>
        <v>46495</v>
      </c>
      <c r="AH11" s="524" t="n">
        <f aca="false">AH10+6</f>
        <v>46502</v>
      </c>
      <c r="AI11" s="524" t="n">
        <f aca="false">AI10+6</f>
        <v>46509</v>
      </c>
      <c r="AJ11" s="524" t="n">
        <f aca="false">AJ10+6</f>
        <v>46516</v>
      </c>
      <c r="AK11" s="524" t="n">
        <f aca="false">AK10+6</f>
        <v>46523</v>
      </c>
      <c r="AL11" s="524" t="n">
        <f aca="false">AL10+6</f>
        <v>46530</v>
      </c>
      <c r="AM11" s="524" t="n">
        <f aca="false">AM10+6</f>
        <v>46537</v>
      </c>
      <c r="AN11" s="524" t="n">
        <f aca="false">AN10+6</f>
        <v>46544</v>
      </c>
      <c r="AO11" s="524" t="n">
        <f aca="false">AO10+6</f>
        <v>46551</v>
      </c>
      <c r="AP11" s="524" t="n">
        <f aca="false">AP10+6</f>
        <v>46558</v>
      </c>
      <c r="AQ11" s="524" t="n">
        <f aca="false">AQ10+6</f>
        <v>46565</v>
      </c>
      <c r="AR11" s="524" t="n">
        <f aca="false">AR10+6</f>
        <v>46572</v>
      </c>
      <c r="AS11" s="524" t="n">
        <f aca="false">AS10+6</f>
        <v>46579</v>
      </c>
      <c r="AT11" s="524" t="n">
        <f aca="false">AT10+6</f>
        <v>46586</v>
      </c>
      <c r="AU11" s="524" t="n">
        <f aca="false">AU10+6</f>
        <v>46593</v>
      </c>
      <c r="AV11" s="524" t="n">
        <f aca="false">AV10+6</f>
        <v>46600</v>
      </c>
      <c r="AW11" s="524" t="n">
        <f aca="false">AW10+6</f>
        <v>46607</v>
      </c>
      <c r="AX11" s="524" t="n">
        <f aca="false">AX10+6</f>
        <v>46614</v>
      </c>
      <c r="AY11" s="524" t="n">
        <f aca="false">AY10+6</f>
        <v>46621</v>
      </c>
      <c r="AZ11" s="524" t="n">
        <f aca="false">AZ10+6</f>
        <v>46628</v>
      </c>
      <c r="BA11" s="524" t="n">
        <f aca="false">BA10+6</f>
        <v>46635</v>
      </c>
      <c r="BB11" s="524" t="n">
        <f aca="false">BB10+6</f>
        <v>46642</v>
      </c>
      <c r="BC11" s="524" t="n">
        <f aca="false">BC10+6</f>
        <v>46649</v>
      </c>
      <c r="BD11" s="524" t="n">
        <f aca="false">BD10+6</f>
        <v>46656</v>
      </c>
      <c r="BE11" s="524" t="n">
        <f aca="false">BE10+6</f>
        <v>46663</v>
      </c>
    </row>
    <row r="12" customFormat="false" ht="15" hidden="false" customHeight="true" outlineLevel="0" collapsed="false">
      <c r="E12" s="521" t="s">
        <v>3076</v>
      </c>
      <c r="F12" s="525" t="n">
        <f aca="false">F10</f>
        <v>46300</v>
      </c>
      <c r="G12" s="525" t="n">
        <f aca="false">G10</f>
        <v>46307</v>
      </c>
      <c r="H12" s="525" t="n">
        <f aca="false">H10</f>
        <v>46314</v>
      </c>
      <c r="I12" s="525" t="n">
        <f aca="false">I10</f>
        <v>46321</v>
      </c>
      <c r="J12" s="525" t="n">
        <f aca="false">J10</f>
        <v>46328</v>
      </c>
      <c r="K12" s="525" t="n">
        <f aca="false">K10</f>
        <v>46335</v>
      </c>
      <c r="L12" s="525" t="n">
        <f aca="false">L10</f>
        <v>46342</v>
      </c>
      <c r="M12" s="525" t="n">
        <f aca="false">M10</f>
        <v>46349</v>
      </c>
      <c r="N12" s="525" t="n">
        <f aca="false">N10</f>
        <v>46356</v>
      </c>
      <c r="O12" s="525" t="n">
        <f aca="false">O10</f>
        <v>46363</v>
      </c>
      <c r="P12" s="525" t="n">
        <f aca="false">P10</f>
        <v>46370</v>
      </c>
      <c r="Q12" s="525" t="n">
        <f aca="false">Q10</f>
        <v>46377</v>
      </c>
      <c r="R12" s="525" t="n">
        <f aca="false">R10</f>
        <v>46384</v>
      </c>
      <c r="S12" s="525" t="n">
        <f aca="false">S10</f>
        <v>46391</v>
      </c>
      <c r="T12" s="525" t="n">
        <f aca="false">T10</f>
        <v>46398</v>
      </c>
      <c r="U12" s="525" t="n">
        <f aca="false">U10</f>
        <v>46405</v>
      </c>
      <c r="V12" s="525" t="n">
        <f aca="false">V10</f>
        <v>46412</v>
      </c>
      <c r="W12" s="525" t="n">
        <f aca="false">W10</f>
        <v>46419</v>
      </c>
      <c r="X12" s="525" t="n">
        <f aca="false">X10</f>
        <v>46426</v>
      </c>
      <c r="Y12" s="525" t="n">
        <f aca="false">Y10</f>
        <v>46433</v>
      </c>
      <c r="Z12" s="525" t="n">
        <f aca="false">Z10</f>
        <v>46440</v>
      </c>
      <c r="AA12" s="525" t="n">
        <f aca="false">AA10</f>
        <v>46447</v>
      </c>
      <c r="AB12" s="525" t="n">
        <f aca="false">AB10</f>
        <v>46454</v>
      </c>
      <c r="AC12" s="525" t="n">
        <f aca="false">AC10</f>
        <v>46461</v>
      </c>
      <c r="AD12" s="525" t="n">
        <f aca="false">AD10</f>
        <v>46468</v>
      </c>
      <c r="AE12" s="525" t="n">
        <f aca="false">AE10</f>
        <v>46475</v>
      </c>
      <c r="AF12" s="525" t="n">
        <f aca="false">AF10</f>
        <v>46482</v>
      </c>
      <c r="AG12" s="525" t="n">
        <f aca="false">AG10</f>
        <v>46489</v>
      </c>
      <c r="AH12" s="525" t="n">
        <f aca="false">AH10</f>
        <v>46496</v>
      </c>
      <c r="AI12" s="525" t="n">
        <f aca="false">AI10</f>
        <v>46503</v>
      </c>
      <c r="AJ12" s="525" t="n">
        <f aca="false">AJ10</f>
        <v>46510</v>
      </c>
      <c r="AK12" s="525" t="n">
        <f aca="false">AK10</f>
        <v>46517</v>
      </c>
      <c r="AL12" s="525" t="n">
        <f aca="false">AL10</f>
        <v>46524</v>
      </c>
      <c r="AM12" s="525" t="n">
        <f aca="false">AM10</f>
        <v>46531</v>
      </c>
      <c r="AN12" s="525" t="n">
        <f aca="false">AN10</f>
        <v>46538</v>
      </c>
      <c r="AO12" s="525" t="n">
        <f aca="false">AO10</f>
        <v>46545</v>
      </c>
      <c r="AP12" s="525" t="n">
        <f aca="false">AP10</f>
        <v>46552</v>
      </c>
      <c r="AQ12" s="525" t="n">
        <f aca="false">AQ10</f>
        <v>46559</v>
      </c>
      <c r="AR12" s="525" t="n">
        <f aca="false">AR10</f>
        <v>46566</v>
      </c>
      <c r="AS12" s="525" t="n">
        <f aca="false">AS10</f>
        <v>46573</v>
      </c>
      <c r="AT12" s="525" t="n">
        <f aca="false">AT10</f>
        <v>46580</v>
      </c>
      <c r="AU12" s="525" t="n">
        <f aca="false">AU10</f>
        <v>46587</v>
      </c>
      <c r="AV12" s="525" t="n">
        <f aca="false">AV10</f>
        <v>46594</v>
      </c>
      <c r="AW12" s="525" t="n">
        <f aca="false">AW10</f>
        <v>46601</v>
      </c>
      <c r="AX12" s="525" t="n">
        <f aca="false">AX10</f>
        <v>46608</v>
      </c>
      <c r="AY12" s="525" t="n">
        <f aca="false">AY10</f>
        <v>46615</v>
      </c>
      <c r="AZ12" s="525" t="n">
        <f aca="false">AZ10</f>
        <v>46622</v>
      </c>
      <c r="BA12" s="525" t="n">
        <f aca="false">BA10</f>
        <v>46629</v>
      </c>
      <c r="BB12" s="525" t="n">
        <f aca="false">BB10</f>
        <v>46636</v>
      </c>
      <c r="BC12" s="525" t="n">
        <f aca="false">BC10</f>
        <v>46643</v>
      </c>
      <c r="BD12" s="525" t="n">
        <f aca="false">BD10</f>
        <v>46650</v>
      </c>
      <c r="BE12" s="525" t="n">
        <f aca="false">BE10</f>
        <v>46657</v>
      </c>
    </row>
    <row r="13" customFormat="false" ht="15" hidden="false" customHeight="true" outlineLevel="0" collapsed="false">
      <c r="E13" s="521" t="s">
        <v>3077</v>
      </c>
      <c r="F13" s="526" t="n">
        <f aca="false">(YEAR(F10)-YEAR(FC_SUPUESTOS!$D$14))*12+MONTH(F10)-MONTH(FC_SUPUESTOS!$D$14)+1</f>
        <v>1</v>
      </c>
      <c r="G13" s="526" t="n">
        <f aca="false">(YEAR(G10)-YEAR(FC_SUPUESTOS!$D$14))*12+MONTH(G10)-MONTH(FC_SUPUESTOS!$D$14)+1</f>
        <v>1</v>
      </c>
      <c r="H13" s="526" t="n">
        <f aca="false">(YEAR(H10)-YEAR(FC_SUPUESTOS!$D$14))*12+MONTH(H10)-MONTH(FC_SUPUESTOS!$D$14)+1</f>
        <v>1</v>
      </c>
      <c r="I13" s="526" t="n">
        <f aca="false">(YEAR(I10)-YEAR(FC_SUPUESTOS!$D$14))*12+MONTH(I10)-MONTH(FC_SUPUESTOS!$D$14)+1</f>
        <v>1</v>
      </c>
      <c r="J13" s="526" t="n">
        <f aca="false">(YEAR(J10)-YEAR(FC_SUPUESTOS!$D$14))*12+MONTH(J10)-MONTH(FC_SUPUESTOS!$D$14)+1</f>
        <v>2</v>
      </c>
      <c r="K13" s="526" t="n">
        <f aca="false">(YEAR(K10)-YEAR(FC_SUPUESTOS!$D$14))*12+MONTH(K10)-MONTH(FC_SUPUESTOS!$D$14)+1</f>
        <v>2</v>
      </c>
      <c r="L13" s="526" t="n">
        <f aca="false">(YEAR(L10)-YEAR(FC_SUPUESTOS!$D$14))*12+MONTH(L10)-MONTH(FC_SUPUESTOS!$D$14)+1</f>
        <v>2</v>
      </c>
      <c r="M13" s="526" t="n">
        <f aca="false">(YEAR(M10)-YEAR(FC_SUPUESTOS!$D$14))*12+MONTH(M10)-MONTH(FC_SUPUESTOS!$D$14)+1</f>
        <v>2</v>
      </c>
      <c r="N13" s="526" t="n">
        <f aca="false">(YEAR(N10)-YEAR(FC_SUPUESTOS!$D$14))*12+MONTH(N10)-MONTH(FC_SUPUESTOS!$D$14)+1</f>
        <v>2</v>
      </c>
      <c r="O13" s="526" t="n">
        <f aca="false">(YEAR(O10)-YEAR(FC_SUPUESTOS!$D$14))*12+MONTH(O10)-MONTH(FC_SUPUESTOS!$D$14)+1</f>
        <v>3</v>
      </c>
      <c r="P13" s="526" t="n">
        <f aca="false">(YEAR(P10)-YEAR(FC_SUPUESTOS!$D$14))*12+MONTH(P10)-MONTH(FC_SUPUESTOS!$D$14)+1</f>
        <v>3</v>
      </c>
      <c r="Q13" s="526" t="n">
        <f aca="false">(YEAR(Q10)-YEAR(FC_SUPUESTOS!$D$14))*12+MONTH(Q10)-MONTH(FC_SUPUESTOS!$D$14)+1</f>
        <v>3</v>
      </c>
      <c r="R13" s="526" t="n">
        <f aca="false">(YEAR(R10)-YEAR(FC_SUPUESTOS!$D$14))*12+MONTH(R10)-MONTH(FC_SUPUESTOS!$D$14)+1</f>
        <v>3</v>
      </c>
      <c r="S13" s="526" t="n">
        <f aca="false">(YEAR(S10)-YEAR(FC_SUPUESTOS!$D$14))*12+MONTH(S10)-MONTH(FC_SUPUESTOS!$D$14)+1</f>
        <v>4</v>
      </c>
      <c r="T13" s="526" t="n">
        <f aca="false">(YEAR(T10)-YEAR(FC_SUPUESTOS!$D$14))*12+MONTH(T10)-MONTH(FC_SUPUESTOS!$D$14)+1</f>
        <v>4</v>
      </c>
      <c r="U13" s="526" t="n">
        <f aca="false">(YEAR(U10)-YEAR(FC_SUPUESTOS!$D$14))*12+MONTH(U10)-MONTH(FC_SUPUESTOS!$D$14)+1</f>
        <v>4</v>
      </c>
      <c r="V13" s="526" t="n">
        <f aca="false">(YEAR(V10)-YEAR(FC_SUPUESTOS!$D$14))*12+MONTH(V10)-MONTH(FC_SUPUESTOS!$D$14)+1</f>
        <v>4</v>
      </c>
      <c r="W13" s="526" t="n">
        <f aca="false">(YEAR(W10)-YEAR(FC_SUPUESTOS!$D$14))*12+MONTH(W10)-MONTH(FC_SUPUESTOS!$D$14)+1</f>
        <v>5</v>
      </c>
      <c r="X13" s="526" t="n">
        <f aca="false">(YEAR(X10)-YEAR(FC_SUPUESTOS!$D$14))*12+MONTH(X10)-MONTH(FC_SUPUESTOS!$D$14)+1</f>
        <v>5</v>
      </c>
      <c r="Y13" s="526" t="n">
        <f aca="false">(YEAR(Y10)-YEAR(FC_SUPUESTOS!$D$14))*12+MONTH(Y10)-MONTH(FC_SUPUESTOS!$D$14)+1</f>
        <v>5</v>
      </c>
      <c r="Z13" s="526" t="n">
        <f aca="false">(YEAR(Z10)-YEAR(FC_SUPUESTOS!$D$14))*12+MONTH(Z10)-MONTH(FC_SUPUESTOS!$D$14)+1</f>
        <v>5</v>
      </c>
      <c r="AA13" s="526" t="n">
        <f aca="false">(YEAR(AA10)-YEAR(FC_SUPUESTOS!$D$14))*12+MONTH(AA10)-MONTH(FC_SUPUESTOS!$D$14)+1</f>
        <v>6</v>
      </c>
      <c r="AB13" s="526" t="n">
        <f aca="false">(YEAR(AB10)-YEAR(FC_SUPUESTOS!$D$14))*12+MONTH(AB10)-MONTH(FC_SUPUESTOS!$D$14)+1</f>
        <v>6</v>
      </c>
      <c r="AC13" s="526" t="n">
        <f aca="false">(YEAR(AC10)-YEAR(FC_SUPUESTOS!$D$14))*12+MONTH(AC10)-MONTH(FC_SUPUESTOS!$D$14)+1</f>
        <v>6</v>
      </c>
      <c r="AD13" s="526" t="n">
        <f aca="false">(YEAR(AD10)-YEAR(FC_SUPUESTOS!$D$14))*12+MONTH(AD10)-MONTH(FC_SUPUESTOS!$D$14)+1</f>
        <v>6</v>
      </c>
      <c r="AE13" s="526" t="n">
        <f aca="false">(YEAR(AE10)-YEAR(FC_SUPUESTOS!$D$14))*12+MONTH(AE10)-MONTH(FC_SUPUESTOS!$D$14)+1</f>
        <v>6</v>
      </c>
      <c r="AF13" s="526" t="n">
        <f aca="false">(YEAR(AF10)-YEAR(FC_SUPUESTOS!$D$14))*12+MONTH(AF10)-MONTH(FC_SUPUESTOS!$D$14)+1</f>
        <v>7</v>
      </c>
      <c r="AG13" s="526" t="n">
        <f aca="false">(YEAR(AG10)-YEAR(FC_SUPUESTOS!$D$14))*12+MONTH(AG10)-MONTH(FC_SUPUESTOS!$D$14)+1</f>
        <v>7</v>
      </c>
      <c r="AH13" s="526" t="n">
        <f aca="false">(YEAR(AH10)-YEAR(FC_SUPUESTOS!$D$14))*12+MONTH(AH10)-MONTH(FC_SUPUESTOS!$D$14)+1</f>
        <v>7</v>
      </c>
      <c r="AI13" s="526" t="n">
        <f aca="false">(YEAR(AI10)-YEAR(FC_SUPUESTOS!$D$14))*12+MONTH(AI10)-MONTH(FC_SUPUESTOS!$D$14)+1</f>
        <v>7</v>
      </c>
      <c r="AJ13" s="526" t="n">
        <f aca="false">(YEAR(AJ10)-YEAR(FC_SUPUESTOS!$D$14))*12+MONTH(AJ10)-MONTH(FC_SUPUESTOS!$D$14)+1</f>
        <v>8</v>
      </c>
      <c r="AK13" s="526" t="n">
        <f aca="false">(YEAR(AK10)-YEAR(FC_SUPUESTOS!$D$14))*12+MONTH(AK10)-MONTH(FC_SUPUESTOS!$D$14)+1</f>
        <v>8</v>
      </c>
      <c r="AL13" s="526" t="n">
        <f aca="false">(YEAR(AL10)-YEAR(FC_SUPUESTOS!$D$14))*12+MONTH(AL10)-MONTH(FC_SUPUESTOS!$D$14)+1</f>
        <v>8</v>
      </c>
      <c r="AM13" s="526" t="n">
        <f aca="false">(YEAR(AM10)-YEAR(FC_SUPUESTOS!$D$14))*12+MONTH(AM10)-MONTH(FC_SUPUESTOS!$D$14)+1</f>
        <v>8</v>
      </c>
      <c r="AN13" s="526" t="n">
        <f aca="false">(YEAR(AN10)-YEAR(FC_SUPUESTOS!$D$14))*12+MONTH(AN10)-MONTH(FC_SUPUESTOS!$D$14)+1</f>
        <v>8</v>
      </c>
      <c r="AO13" s="526" t="n">
        <f aca="false">(YEAR(AO10)-YEAR(FC_SUPUESTOS!$D$14))*12+MONTH(AO10)-MONTH(FC_SUPUESTOS!$D$14)+1</f>
        <v>9</v>
      </c>
      <c r="AP13" s="526" t="n">
        <f aca="false">(YEAR(AP10)-YEAR(FC_SUPUESTOS!$D$14))*12+MONTH(AP10)-MONTH(FC_SUPUESTOS!$D$14)+1</f>
        <v>9</v>
      </c>
      <c r="AQ13" s="526" t="n">
        <f aca="false">(YEAR(AQ10)-YEAR(FC_SUPUESTOS!$D$14))*12+MONTH(AQ10)-MONTH(FC_SUPUESTOS!$D$14)+1</f>
        <v>9</v>
      </c>
      <c r="AR13" s="526" t="n">
        <f aca="false">(YEAR(AR10)-YEAR(FC_SUPUESTOS!$D$14))*12+MONTH(AR10)-MONTH(FC_SUPUESTOS!$D$14)+1</f>
        <v>9</v>
      </c>
      <c r="AS13" s="526" t="n">
        <f aca="false">(YEAR(AS10)-YEAR(FC_SUPUESTOS!$D$14))*12+MONTH(AS10)-MONTH(FC_SUPUESTOS!$D$14)+1</f>
        <v>10</v>
      </c>
      <c r="AT13" s="526" t="n">
        <f aca="false">(YEAR(AT10)-YEAR(FC_SUPUESTOS!$D$14))*12+MONTH(AT10)-MONTH(FC_SUPUESTOS!$D$14)+1</f>
        <v>10</v>
      </c>
      <c r="AU13" s="526" t="n">
        <f aca="false">(YEAR(AU10)-YEAR(FC_SUPUESTOS!$D$14))*12+MONTH(AU10)-MONTH(FC_SUPUESTOS!$D$14)+1</f>
        <v>10</v>
      </c>
      <c r="AV13" s="526" t="n">
        <f aca="false">(YEAR(AV10)-YEAR(FC_SUPUESTOS!$D$14))*12+MONTH(AV10)-MONTH(FC_SUPUESTOS!$D$14)+1</f>
        <v>10</v>
      </c>
      <c r="AW13" s="526" t="n">
        <f aca="false">(YEAR(AW10)-YEAR(FC_SUPUESTOS!$D$14))*12+MONTH(AW10)-MONTH(FC_SUPUESTOS!$D$14)+1</f>
        <v>11</v>
      </c>
      <c r="AX13" s="526" t="n">
        <f aca="false">(YEAR(AX10)-YEAR(FC_SUPUESTOS!$D$14))*12+MONTH(AX10)-MONTH(FC_SUPUESTOS!$D$14)+1</f>
        <v>11</v>
      </c>
      <c r="AY13" s="526" t="n">
        <f aca="false">(YEAR(AY10)-YEAR(FC_SUPUESTOS!$D$14))*12+MONTH(AY10)-MONTH(FC_SUPUESTOS!$D$14)+1</f>
        <v>11</v>
      </c>
      <c r="AZ13" s="526" t="n">
        <f aca="false">(YEAR(AZ10)-YEAR(FC_SUPUESTOS!$D$14))*12+MONTH(AZ10)-MONTH(FC_SUPUESTOS!$D$14)+1</f>
        <v>11</v>
      </c>
      <c r="BA13" s="526" t="n">
        <f aca="false">(YEAR(BA10)-YEAR(FC_SUPUESTOS!$D$14))*12+MONTH(BA10)-MONTH(FC_SUPUESTOS!$D$14)+1</f>
        <v>11</v>
      </c>
      <c r="BB13" s="526" t="n">
        <f aca="false">(YEAR(BB10)-YEAR(FC_SUPUESTOS!$D$14))*12+MONTH(BB10)-MONTH(FC_SUPUESTOS!$D$14)+1</f>
        <v>12</v>
      </c>
      <c r="BC13" s="526" t="n">
        <f aca="false">(YEAR(BC10)-YEAR(FC_SUPUESTOS!$D$14))*12+MONTH(BC10)-MONTH(FC_SUPUESTOS!$D$14)+1</f>
        <v>12</v>
      </c>
      <c r="BD13" s="526" t="n">
        <f aca="false">(YEAR(BD10)-YEAR(FC_SUPUESTOS!$D$14))*12+MONTH(BD10)-MONTH(FC_SUPUESTOS!$D$14)+1</f>
        <v>12</v>
      </c>
      <c r="BE13" s="526" t="n">
        <f aca="false">(YEAR(BE10)-YEAR(FC_SUPUESTOS!$D$14))*12+MONTH(BE10)-MONTH(FC_SUPUESTOS!$D$14)+1</f>
        <v>12</v>
      </c>
    </row>
    <row r="14" customFormat="false" ht="15" hidden="true" customHeight="true" outlineLevel="0" collapsed="false">
      <c r="E14" s="527" t="s">
        <v>3078</v>
      </c>
      <c r="F14" s="528" t="n">
        <f aca="false">COUNTIF($F$13:F$13,F13)</f>
        <v>1</v>
      </c>
      <c r="G14" s="528" t="n">
        <f aca="false">COUNTIF($F$13:G$13,G13)</f>
        <v>2</v>
      </c>
      <c r="H14" s="528" t="n">
        <f aca="false">COUNTIF($F$13:H$13,H13)</f>
        <v>3</v>
      </c>
      <c r="I14" s="528" t="n">
        <f aca="false">COUNTIF($F$13:I$13,I13)</f>
        <v>4</v>
      </c>
      <c r="J14" s="528" t="n">
        <f aca="false">COUNTIF($F$13:J$13,J13)</f>
        <v>1</v>
      </c>
      <c r="K14" s="528" t="n">
        <f aca="false">COUNTIF($F$13:K$13,K13)</f>
        <v>2</v>
      </c>
      <c r="L14" s="528" t="n">
        <f aca="false">COUNTIF($F$13:L$13,L13)</f>
        <v>3</v>
      </c>
      <c r="M14" s="528" t="n">
        <f aca="false">COUNTIF($F$13:M$13,M13)</f>
        <v>4</v>
      </c>
      <c r="N14" s="528" t="n">
        <f aca="false">COUNTIF($F$13:N$13,N13)</f>
        <v>5</v>
      </c>
      <c r="O14" s="528" t="n">
        <f aca="false">COUNTIF($F$13:O$13,O13)</f>
        <v>1</v>
      </c>
      <c r="P14" s="528" t="n">
        <f aca="false">COUNTIF($F$13:P$13,P13)</f>
        <v>2</v>
      </c>
      <c r="Q14" s="528" t="n">
        <f aca="false">COUNTIF($F$13:Q$13,Q13)</f>
        <v>3</v>
      </c>
      <c r="R14" s="528" t="n">
        <f aca="false">COUNTIF($F$13:R$13,R13)</f>
        <v>4</v>
      </c>
      <c r="S14" s="528" t="n">
        <f aca="false">COUNTIF($F$13:S$13,S13)</f>
        <v>1</v>
      </c>
      <c r="T14" s="528" t="n">
        <f aca="false">COUNTIF($F$13:T$13,T13)</f>
        <v>2</v>
      </c>
      <c r="U14" s="528" t="n">
        <f aca="false">COUNTIF($F$13:U$13,U13)</f>
        <v>3</v>
      </c>
      <c r="V14" s="528" t="n">
        <f aca="false">COUNTIF($F$13:V$13,V13)</f>
        <v>4</v>
      </c>
      <c r="W14" s="528" t="n">
        <f aca="false">COUNTIF($F$13:W$13,W13)</f>
        <v>1</v>
      </c>
      <c r="X14" s="528" t="n">
        <f aca="false">COUNTIF($F$13:X$13,X13)</f>
        <v>2</v>
      </c>
      <c r="Y14" s="528" t="n">
        <f aca="false">COUNTIF($F$13:Y$13,Y13)</f>
        <v>3</v>
      </c>
      <c r="Z14" s="528" t="n">
        <f aca="false">COUNTIF($F$13:Z$13,Z13)</f>
        <v>4</v>
      </c>
      <c r="AA14" s="528" t="n">
        <f aca="false">COUNTIF($F$13:AA$13,AA13)</f>
        <v>1</v>
      </c>
      <c r="AB14" s="528" t="n">
        <f aca="false">COUNTIF($F$13:AB$13,AB13)</f>
        <v>2</v>
      </c>
      <c r="AC14" s="528" t="n">
        <f aca="false">COUNTIF($F$13:AC$13,AC13)</f>
        <v>3</v>
      </c>
      <c r="AD14" s="528" t="n">
        <f aca="false">COUNTIF($F$13:AD$13,AD13)</f>
        <v>4</v>
      </c>
      <c r="AE14" s="528" t="n">
        <f aca="false">COUNTIF($F$13:AE$13,AE13)</f>
        <v>5</v>
      </c>
      <c r="AF14" s="528" t="n">
        <f aca="false">COUNTIF($F$13:AF$13,AF13)</f>
        <v>1</v>
      </c>
      <c r="AG14" s="528" t="n">
        <f aca="false">COUNTIF($F$13:AG$13,AG13)</f>
        <v>2</v>
      </c>
      <c r="AH14" s="528" t="n">
        <f aca="false">COUNTIF($F$13:AH$13,AH13)</f>
        <v>3</v>
      </c>
      <c r="AI14" s="528" t="n">
        <f aca="false">COUNTIF($F$13:AI$13,AI13)</f>
        <v>4</v>
      </c>
      <c r="AJ14" s="528" t="n">
        <f aca="false">COUNTIF($F$13:AJ$13,AJ13)</f>
        <v>1</v>
      </c>
      <c r="AK14" s="528" t="n">
        <f aca="false">COUNTIF($F$13:AK$13,AK13)</f>
        <v>2</v>
      </c>
      <c r="AL14" s="528" t="n">
        <f aca="false">COUNTIF($F$13:AL$13,AL13)</f>
        <v>3</v>
      </c>
      <c r="AM14" s="528" t="n">
        <f aca="false">COUNTIF($F$13:AM$13,AM13)</f>
        <v>4</v>
      </c>
      <c r="AN14" s="528" t="n">
        <f aca="false">COUNTIF($F$13:AN$13,AN13)</f>
        <v>5</v>
      </c>
      <c r="AO14" s="528" t="n">
        <f aca="false">COUNTIF($F$13:AO$13,AO13)</f>
        <v>1</v>
      </c>
      <c r="AP14" s="528" t="n">
        <f aca="false">COUNTIF($F$13:AP$13,AP13)</f>
        <v>2</v>
      </c>
      <c r="AQ14" s="528" t="n">
        <f aca="false">COUNTIF($F$13:AQ$13,AQ13)</f>
        <v>3</v>
      </c>
      <c r="AR14" s="528" t="n">
        <f aca="false">COUNTIF($F$13:AR$13,AR13)</f>
        <v>4</v>
      </c>
      <c r="AS14" s="528" t="n">
        <f aca="false">COUNTIF($F$13:AS$13,AS13)</f>
        <v>1</v>
      </c>
      <c r="AT14" s="528" t="n">
        <f aca="false">COUNTIF($F$13:AT$13,AT13)</f>
        <v>2</v>
      </c>
      <c r="AU14" s="528" t="n">
        <f aca="false">COUNTIF($F$13:AU$13,AU13)</f>
        <v>3</v>
      </c>
      <c r="AV14" s="528" t="n">
        <f aca="false">COUNTIF($F$13:AV$13,AV13)</f>
        <v>4</v>
      </c>
      <c r="AW14" s="528" t="n">
        <f aca="false">COUNTIF($F$13:AW$13,AW13)</f>
        <v>1</v>
      </c>
      <c r="AX14" s="528" t="n">
        <f aca="false">COUNTIF($F$13:AX$13,AX13)</f>
        <v>2</v>
      </c>
      <c r="AY14" s="528" t="n">
        <f aca="false">COUNTIF($F$13:AY$13,AY13)</f>
        <v>3</v>
      </c>
      <c r="AZ14" s="528" t="n">
        <f aca="false">COUNTIF($F$13:AZ$13,AZ13)</f>
        <v>4</v>
      </c>
      <c r="BA14" s="528" t="n">
        <f aca="false">COUNTIF($F$13:BA$13,BA13)</f>
        <v>5</v>
      </c>
      <c r="BB14" s="528" t="n">
        <f aca="false">COUNTIF($F$13:BB$13,BB13)</f>
        <v>1</v>
      </c>
      <c r="BC14" s="528" t="n">
        <f aca="false">COUNTIF($F$13:BC$13,BC13)</f>
        <v>2</v>
      </c>
      <c r="BD14" s="528" t="n">
        <f aca="false">COUNTIF($F$13:BD$13,BD13)</f>
        <v>3</v>
      </c>
      <c r="BE14" s="528" t="n">
        <f aca="false">COUNTIF($F$13:BE$13,BE13)</f>
        <v>4</v>
      </c>
    </row>
    <row r="15" customFormat="false" ht="15" hidden="true" customHeight="true" outlineLevel="0" collapsed="false">
      <c r="E15" s="527" t="s">
        <v>3079</v>
      </c>
      <c r="F15" s="528" t="n">
        <f aca="false">INT((EOMONTH(F10,0)-MAX(DATE(YEAR(F10),MONTH(F10),1)+MOD(8-WEEKDAY(DATE(YEAR(F10),MONTH(F10),1),2),7),FC_SUPUESTOS!$D$14))/7)+1</f>
        <v>4</v>
      </c>
      <c r="G15" s="528" t="n">
        <f aca="false">INT((EOMONTH(G10,0)-MAX(DATE(YEAR(G10),MONTH(G10),1)+MOD(8-WEEKDAY(DATE(YEAR(G10),MONTH(G10),1),2),7),FC_SUPUESTOS!$D$14))/7)+1</f>
        <v>4</v>
      </c>
      <c r="H15" s="528" t="n">
        <f aca="false">INT((EOMONTH(H10,0)-MAX(DATE(YEAR(H10),MONTH(H10),1)+MOD(8-WEEKDAY(DATE(YEAR(H10),MONTH(H10),1),2),7),FC_SUPUESTOS!$D$14))/7)+1</f>
        <v>4</v>
      </c>
      <c r="I15" s="528" t="n">
        <f aca="false">INT((EOMONTH(I10,0)-MAX(DATE(YEAR(I10),MONTH(I10),1)+MOD(8-WEEKDAY(DATE(YEAR(I10),MONTH(I10),1),2),7),FC_SUPUESTOS!$D$14))/7)+1</f>
        <v>4</v>
      </c>
      <c r="J15" s="528" t="n">
        <f aca="false">INT((EOMONTH(J10,0)-MAX(DATE(YEAR(J10),MONTH(J10),1)+MOD(8-WEEKDAY(DATE(YEAR(J10),MONTH(J10),1),2),7),FC_SUPUESTOS!$D$14))/7)+1</f>
        <v>5</v>
      </c>
      <c r="K15" s="528" t="n">
        <f aca="false">INT((EOMONTH(K10,0)-MAX(DATE(YEAR(K10),MONTH(K10),1)+MOD(8-WEEKDAY(DATE(YEAR(K10),MONTH(K10),1),2),7),FC_SUPUESTOS!$D$14))/7)+1</f>
        <v>5</v>
      </c>
      <c r="L15" s="528" t="n">
        <f aca="false">INT((EOMONTH(L10,0)-MAX(DATE(YEAR(L10),MONTH(L10),1)+MOD(8-WEEKDAY(DATE(YEAR(L10),MONTH(L10),1),2),7),FC_SUPUESTOS!$D$14))/7)+1</f>
        <v>5</v>
      </c>
      <c r="M15" s="528" t="n">
        <f aca="false">INT((EOMONTH(M10,0)-MAX(DATE(YEAR(M10),MONTH(M10),1)+MOD(8-WEEKDAY(DATE(YEAR(M10),MONTH(M10),1),2),7),FC_SUPUESTOS!$D$14))/7)+1</f>
        <v>5</v>
      </c>
      <c r="N15" s="528" t="n">
        <f aca="false">INT((EOMONTH(N10,0)-MAX(DATE(YEAR(N10),MONTH(N10),1)+MOD(8-WEEKDAY(DATE(YEAR(N10),MONTH(N10),1),2),7),FC_SUPUESTOS!$D$14))/7)+1</f>
        <v>5</v>
      </c>
      <c r="O15" s="528" t="n">
        <f aca="false">INT((EOMONTH(O10,0)-MAX(DATE(YEAR(O10),MONTH(O10),1)+MOD(8-WEEKDAY(DATE(YEAR(O10),MONTH(O10),1),2),7),FC_SUPUESTOS!$D$14))/7)+1</f>
        <v>4</v>
      </c>
      <c r="P15" s="528" t="n">
        <f aca="false">INT((EOMONTH(P10,0)-MAX(DATE(YEAR(P10),MONTH(P10),1)+MOD(8-WEEKDAY(DATE(YEAR(P10),MONTH(P10),1),2),7),FC_SUPUESTOS!$D$14))/7)+1</f>
        <v>4</v>
      </c>
      <c r="Q15" s="528" t="n">
        <f aca="false">INT((EOMONTH(Q10,0)-MAX(DATE(YEAR(Q10),MONTH(Q10),1)+MOD(8-WEEKDAY(DATE(YEAR(Q10),MONTH(Q10),1),2),7),FC_SUPUESTOS!$D$14))/7)+1</f>
        <v>4</v>
      </c>
      <c r="R15" s="528" t="n">
        <f aca="false">INT((EOMONTH(R10,0)-MAX(DATE(YEAR(R10),MONTH(R10),1)+MOD(8-WEEKDAY(DATE(YEAR(R10),MONTH(R10),1),2),7),FC_SUPUESTOS!$D$14))/7)+1</f>
        <v>4</v>
      </c>
      <c r="S15" s="528" t="n">
        <f aca="false">INT((EOMONTH(S10,0)-MAX(DATE(YEAR(S10),MONTH(S10),1)+MOD(8-WEEKDAY(DATE(YEAR(S10),MONTH(S10),1),2),7),FC_SUPUESTOS!$D$14))/7)+1</f>
        <v>4</v>
      </c>
      <c r="T15" s="528" t="n">
        <f aca="false">INT((EOMONTH(T10,0)-MAX(DATE(YEAR(T10),MONTH(T10),1)+MOD(8-WEEKDAY(DATE(YEAR(T10),MONTH(T10),1),2),7),FC_SUPUESTOS!$D$14))/7)+1</f>
        <v>4</v>
      </c>
      <c r="U15" s="528" t="n">
        <f aca="false">INT((EOMONTH(U10,0)-MAX(DATE(YEAR(U10),MONTH(U10),1)+MOD(8-WEEKDAY(DATE(YEAR(U10),MONTH(U10),1),2),7),FC_SUPUESTOS!$D$14))/7)+1</f>
        <v>4</v>
      </c>
      <c r="V15" s="528" t="n">
        <f aca="false">INT((EOMONTH(V10,0)-MAX(DATE(YEAR(V10),MONTH(V10),1)+MOD(8-WEEKDAY(DATE(YEAR(V10),MONTH(V10),1),2),7),FC_SUPUESTOS!$D$14))/7)+1</f>
        <v>4</v>
      </c>
      <c r="W15" s="528" t="n">
        <f aca="false">INT((EOMONTH(W10,0)-MAX(DATE(YEAR(W10),MONTH(W10),1)+MOD(8-WEEKDAY(DATE(YEAR(W10),MONTH(W10),1),2),7),FC_SUPUESTOS!$D$14))/7)+1</f>
        <v>4</v>
      </c>
      <c r="X15" s="528" t="n">
        <f aca="false">INT((EOMONTH(X10,0)-MAX(DATE(YEAR(X10),MONTH(X10),1)+MOD(8-WEEKDAY(DATE(YEAR(X10),MONTH(X10),1),2),7),FC_SUPUESTOS!$D$14))/7)+1</f>
        <v>4</v>
      </c>
      <c r="Y15" s="528" t="n">
        <f aca="false">INT((EOMONTH(Y10,0)-MAX(DATE(YEAR(Y10),MONTH(Y10),1)+MOD(8-WEEKDAY(DATE(YEAR(Y10),MONTH(Y10),1),2),7),FC_SUPUESTOS!$D$14))/7)+1</f>
        <v>4</v>
      </c>
      <c r="Z15" s="528" t="n">
        <f aca="false">INT((EOMONTH(Z10,0)-MAX(DATE(YEAR(Z10),MONTH(Z10),1)+MOD(8-WEEKDAY(DATE(YEAR(Z10),MONTH(Z10),1),2),7),FC_SUPUESTOS!$D$14))/7)+1</f>
        <v>4</v>
      </c>
      <c r="AA15" s="528" t="n">
        <f aca="false">INT((EOMONTH(AA10,0)-MAX(DATE(YEAR(AA10),MONTH(AA10),1)+MOD(8-WEEKDAY(DATE(YEAR(AA10),MONTH(AA10),1),2),7),FC_SUPUESTOS!$D$14))/7)+1</f>
        <v>5</v>
      </c>
      <c r="AB15" s="528" t="n">
        <f aca="false">INT((EOMONTH(AB10,0)-MAX(DATE(YEAR(AB10),MONTH(AB10),1)+MOD(8-WEEKDAY(DATE(YEAR(AB10),MONTH(AB10),1),2),7),FC_SUPUESTOS!$D$14))/7)+1</f>
        <v>5</v>
      </c>
      <c r="AC15" s="528" t="n">
        <f aca="false">INT((EOMONTH(AC10,0)-MAX(DATE(YEAR(AC10),MONTH(AC10),1)+MOD(8-WEEKDAY(DATE(YEAR(AC10),MONTH(AC10),1),2),7),FC_SUPUESTOS!$D$14))/7)+1</f>
        <v>5</v>
      </c>
      <c r="AD15" s="528" t="n">
        <f aca="false">INT((EOMONTH(AD10,0)-MAX(DATE(YEAR(AD10),MONTH(AD10),1)+MOD(8-WEEKDAY(DATE(YEAR(AD10),MONTH(AD10),1),2),7),FC_SUPUESTOS!$D$14))/7)+1</f>
        <v>5</v>
      </c>
      <c r="AE15" s="528" t="n">
        <f aca="false">INT((EOMONTH(AE10,0)-MAX(DATE(YEAR(AE10),MONTH(AE10),1)+MOD(8-WEEKDAY(DATE(YEAR(AE10),MONTH(AE10),1),2),7),FC_SUPUESTOS!$D$14))/7)+1</f>
        <v>5</v>
      </c>
      <c r="AF15" s="528" t="n">
        <f aca="false">INT((EOMONTH(AF10,0)-MAX(DATE(YEAR(AF10),MONTH(AF10),1)+MOD(8-WEEKDAY(DATE(YEAR(AF10),MONTH(AF10),1),2),7),FC_SUPUESTOS!$D$14))/7)+1</f>
        <v>4</v>
      </c>
      <c r="AG15" s="528" t="n">
        <f aca="false">INT((EOMONTH(AG10,0)-MAX(DATE(YEAR(AG10),MONTH(AG10),1)+MOD(8-WEEKDAY(DATE(YEAR(AG10),MONTH(AG10),1),2),7),FC_SUPUESTOS!$D$14))/7)+1</f>
        <v>4</v>
      </c>
      <c r="AH15" s="528" t="n">
        <f aca="false">INT((EOMONTH(AH10,0)-MAX(DATE(YEAR(AH10),MONTH(AH10),1)+MOD(8-WEEKDAY(DATE(YEAR(AH10),MONTH(AH10),1),2),7),FC_SUPUESTOS!$D$14))/7)+1</f>
        <v>4</v>
      </c>
      <c r="AI15" s="528" t="n">
        <f aca="false">INT((EOMONTH(AI10,0)-MAX(DATE(YEAR(AI10),MONTH(AI10),1)+MOD(8-WEEKDAY(DATE(YEAR(AI10),MONTH(AI10),1),2),7),FC_SUPUESTOS!$D$14))/7)+1</f>
        <v>4</v>
      </c>
      <c r="AJ15" s="528" t="n">
        <f aca="false">INT((EOMONTH(AJ10,0)-MAX(DATE(YEAR(AJ10),MONTH(AJ10),1)+MOD(8-WEEKDAY(DATE(YEAR(AJ10),MONTH(AJ10),1),2),7),FC_SUPUESTOS!$D$14))/7)+1</f>
        <v>5</v>
      </c>
      <c r="AK15" s="528" t="n">
        <f aca="false">INT((EOMONTH(AK10,0)-MAX(DATE(YEAR(AK10),MONTH(AK10),1)+MOD(8-WEEKDAY(DATE(YEAR(AK10),MONTH(AK10),1),2),7),FC_SUPUESTOS!$D$14))/7)+1</f>
        <v>5</v>
      </c>
      <c r="AL15" s="528" t="n">
        <f aca="false">INT((EOMONTH(AL10,0)-MAX(DATE(YEAR(AL10),MONTH(AL10),1)+MOD(8-WEEKDAY(DATE(YEAR(AL10),MONTH(AL10),1),2),7),FC_SUPUESTOS!$D$14))/7)+1</f>
        <v>5</v>
      </c>
      <c r="AM15" s="528" t="n">
        <f aca="false">INT((EOMONTH(AM10,0)-MAX(DATE(YEAR(AM10),MONTH(AM10),1)+MOD(8-WEEKDAY(DATE(YEAR(AM10),MONTH(AM10),1),2),7),FC_SUPUESTOS!$D$14))/7)+1</f>
        <v>5</v>
      </c>
      <c r="AN15" s="528" t="n">
        <f aca="false">INT((EOMONTH(AN10,0)-MAX(DATE(YEAR(AN10),MONTH(AN10),1)+MOD(8-WEEKDAY(DATE(YEAR(AN10),MONTH(AN10),1),2),7),FC_SUPUESTOS!$D$14))/7)+1</f>
        <v>5</v>
      </c>
      <c r="AO15" s="528" t="n">
        <f aca="false">INT((EOMONTH(AO10,0)-MAX(DATE(YEAR(AO10),MONTH(AO10),1)+MOD(8-WEEKDAY(DATE(YEAR(AO10),MONTH(AO10),1),2),7),FC_SUPUESTOS!$D$14))/7)+1</f>
        <v>4</v>
      </c>
      <c r="AP15" s="528" t="n">
        <f aca="false">INT((EOMONTH(AP10,0)-MAX(DATE(YEAR(AP10),MONTH(AP10),1)+MOD(8-WEEKDAY(DATE(YEAR(AP10),MONTH(AP10),1),2),7),FC_SUPUESTOS!$D$14))/7)+1</f>
        <v>4</v>
      </c>
      <c r="AQ15" s="528" t="n">
        <f aca="false">INT((EOMONTH(AQ10,0)-MAX(DATE(YEAR(AQ10),MONTH(AQ10),1)+MOD(8-WEEKDAY(DATE(YEAR(AQ10),MONTH(AQ10),1),2),7),FC_SUPUESTOS!$D$14))/7)+1</f>
        <v>4</v>
      </c>
      <c r="AR15" s="528" t="n">
        <f aca="false">INT((EOMONTH(AR10,0)-MAX(DATE(YEAR(AR10),MONTH(AR10),1)+MOD(8-WEEKDAY(DATE(YEAR(AR10),MONTH(AR10),1),2),7),FC_SUPUESTOS!$D$14))/7)+1</f>
        <v>4</v>
      </c>
      <c r="AS15" s="528" t="n">
        <f aca="false">INT((EOMONTH(AS10,0)-MAX(DATE(YEAR(AS10),MONTH(AS10),1)+MOD(8-WEEKDAY(DATE(YEAR(AS10),MONTH(AS10),1),2),7),FC_SUPUESTOS!$D$14))/7)+1</f>
        <v>4</v>
      </c>
      <c r="AT15" s="528" t="n">
        <f aca="false">INT((EOMONTH(AT10,0)-MAX(DATE(YEAR(AT10),MONTH(AT10),1)+MOD(8-WEEKDAY(DATE(YEAR(AT10),MONTH(AT10),1),2),7),FC_SUPUESTOS!$D$14))/7)+1</f>
        <v>4</v>
      </c>
      <c r="AU15" s="528" t="n">
        <f aca="false">INT((EOMONTH(AU10,0)-MAX(DATE(YEAR(AU10),MONTH(AU10),1)+MOD(8-WEEKDAY(DATE(YEAR(AU10),MONTH(AU10),1),2),7),FC_SUPUESTOS!$D$14))/7)+1</f>
        <v>4</v>
      </c>
      <c r="AV15" s="528" t="n">
        <f aca="false">INT((EOMONTH(AV10,0)-MAX(DATE(YEAR(AV10),MONTH(AV10),1)+MOD(8-WEEKDAY(DATE(YEAR(AV10),MONTH(AV10),1),2),7),FC_SUPUESTOS!$D$14))/7)+1</f>
        <v>4</v>
      </c>
      <c r="AW15" s="528" t="n">
        <f aca="false">INT((EOMONTH(AW10,0)-MAX(DATE(YEAR(AW10),MONTH(AW10),1)+MOD(8-WEEKDAY(DATE(YEAR(AW10),MONTH(AW10),1),2),7),FC_SUPUESTOS!$D$14))/7)+1</f>
        <v>5</v>
      </c>
      <c r="AX15" s="528" t="n">
        <f aca="false">INT((EOMONTH(AX10,0)-MAX(DATE(YEAR(AX10),MONTH(AX10),1)+MOD(8-WEEKDAY(DATE(YEAR(AX10),MONTH(AX10),1),2),7),FC_SUPUESTOS!$D$14))/7)+1</f>
        <v>5</v>
      </c>
      <c r="AY15" s="528" t="n">
        <f aca="false">INT((EOMONTH(AY10,0)-MAX(DATE(YEAR(AY10),MONTH(AY10),1)+MOD(8-WEEKDAY(DATE(YEAR(AY10),MONTH(AY10),1),2),7),FC_SUPUESTOS!$D$14))/7)+1</f>
        <v>5</v>
      </c>
      <c r="AZ15" s="528" t="n">
        <f aca="false">INT((EOMONTH(AZ10,0)-MAX(DATE(YEAR(AZ10),MONTH(AZ10),1)+MOD(8-WEEKDAY(DATE(YEAR(AZ10),MONTH(AZ10),1),2),7),FC_SUPUESTOS!$D$14))/7)+1</f>
        <v>5</v>
      </c>
      <c r="BA15" s="528" t="n">
        <f aca="false">INT((EOMONTH(BA10,0)-MAX(DATE(YEAR(BA10),MONTH(BA10),1)+MOD(8-WEEKDAY(DATE(YEAR(BA10),MONTH(BA10),1),2),7),FC_SUPUESTOS!$D$14))/7)+1</f>
        <v>5</v>
      </c>
      <c r="BB15" s="528" t="n">
        <f aca="false">INT((EOMONTH(BB10,0)-MAX(DATE(YEAR(BB10),MONTH(BB10),1)+MOD(8-WEEKDAY(DATE(YEAR(BB10),MONTH(BB10),1),2),7),FC_SUPUESTOS!$D$14))/7)+1</f>
        <v>4</v>
      </c>
      <c r="BC15" s="528" t="n">
        <f aca="false">INT((EOMONTH(BC10,0)-MAX(DATE(YEAR(BC10),MONTH(BC10),1)+MOD(8-WEEKDAY(DATE(YEAR(BC10),MONTH(BC10),1),2),7),FC_SUPUESTOS!$D$14))/7)+1</f>
        <v>4</v>
      </c>
      <c r="BD15" s="528" t="n">
        <f aca="false">INT((EOMONTH(BD10,0)-MAX(DATE(YEAR(BD10),MONTH(BD10),1)+MOD(8-WEEKDAY(DATE(YEAR(BD10),MONTH(BD10),1),2),7),FC_SUPUESTOS!$D$14))/7)+1</f>
        <v>4</v>
      </c>
      <c r="BE15" s="528" t="n">
        <f aca="false">INT((EOMONTH(BE10,0)-MAX(DATE(YEAR(BE10),MONTH(BE10),1)+MOD(8-WEEKDAY(DATE(YEAR(BE10),MONTH(BE10),1),2),7),FC_SUPUESTOS!$D$14))/7)+1</f>
        <v>4</v>
      </c>
    </row>
    <row r="16" customFormat="false" ht="25.5" hidden="false" customHeight="true" outlineLevel="0" collapsed="false">
      <c r="A16" s="529" t="s">
        <v>847</v>
      </c>
      <c r="B16" s="530" t="s">
        <v>1876</v>
      </c>
      <c r="C16" s="530" t="s">
        <v>3080</v>
      </c>
      <c r="D16" s="529" t="s">
        <v>2169</v>
      </c>
      <c r="E16" s="529" t="s">
        <v>3081</v>
      </c>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row>
    <row r="17" customFormat="false" ht="15" hidden="false" customHeight="true" outlineLevel="0" collapsed="false">
      <c r="A17" s="281" t="s">
        <v>3082</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row>
    <row r="18" customFormat="false" ht="15" hidden="false" customHeight="true" outlineLevel="0" collapsed="false">
      <c r="A18" s="400" t="s">
        <v>3083</v>
      </c>
      <c r="B18" s="283" t="s">
        <v>3084</v>
      </c>
      <c r="C18" s="531" t="s">
        <v>3085</v>
      </c>
      <c r="D18" s="289" t="str">
        <f aca="false">FC_SUPUESTOS!$C$126</f>
        <v>P</v>
      </c>
      <c r="E18" s="532" t="n">
        <f aca="false">SUM(F18:BE18)</f>
        <v>502643.81397642</v>
      </c>
      <c r="F18" s="498" t="n">
        <f aca="false">INDEX(FC_FLUJO_CAJA!$D$14:$BK$14,1,F$13)*IF(IFERROR(VALUE($D18&amp;""),0)&gt;0,IF(F$14=MIN(VALUE($D18&amp;""),F$15),1,0),IF($D18="Q",IF(F$14=MIN(2,F$15),0.5,0)+IF(F$14=F$15,0.5,0),IF($D18="U",IF(F$14=F$15,1,0),1/F$15)))</f>
        <v>0</v>
      </c>
      <c r="G18" s="498" t="n">
        <f aca="false">INDEX(FC_FLUJO_CAJA!$D$14:$BK$14,1,G$13)*IF(IFERROR(VALUE($D18&amp;""),0)&gt;0,IF(G$14=MIN(VALUE($D18&amp;""),G$15),1,0),IF($D18="Q",IF(G$14=MIN(2,G$15),0.5,0)+IF(G$14=G$15,0.5,0),IF($D18="U",IF(G$14=G$15,1,0),1/G$15)))</f>
        <v>0</v>
      </c>
      <c r="H18" s="498" t="n">
        <f aca="false">INDEX(FC_FLUJO_CAJA!$D$14:$BK$14,1,H$13)*IF(IFERROR(VALUE($D18&amp;""),0)&gt;0,IF(H$14=MIN(VALUE($D18&amp;""),H$15),1,0),IF($D18="Q",IF(H$14=MIN(2,H$15),0.5,0)+IF(H$14=H$15,0.5,0),IF($D18="U",IF(H$14=H$15,1,0),1/H$15)))</f>
        <v>0</v>
      </c>
      <c r="I18" s="498" t="n">
        <f aca="false">INDEX(FC_FLUJO_CAJA!$D$14:$BK$14,1,I$13)*IF(IFERROR(VALUE($D18&amp;""),0)&gt;0,IF(I$14=MIN(VALUE($D18&amp;""),I$15),1,0),IF($D18="Q",IF(I$14=MIN(2,I$15),0.5,0)+IF(I$14=I$15,0.5,0),IF($D18="U",IF(I$14=I$15,1,0),1/I$15)))</f>
        <v>0</v>
      </c>
      <c r="J18" s="498" t="n">
        <f aca="false">INDEX(FC_FLUJO_CAJA!$D$14:$BK$14,1,J$13)*IF(IFERROR(VALUE($D18&amp;""),0)&gt;0,IF(J$14=MIN(VALUE($D18&amp;""),J$15),1,0),IF($D18="Q",IF(J$14=MIN(2,J$15),0.5,0)+IF(J$14=J$15,0.5,0),IF($D18="U",IF(J$14=J$15,1,0),1/J$15)))</f>
        <v>0</v>
      </c>
      <c r="K18" s="498" t="n">
        <f aca="false">INDEX(FC_FLUJO_CAJA!$D$14:$BK$14,1,K$13)*IF(IFERROR(VALUE($D18&amp;""),0)&gt;0,IF(K$14=MIN(VALUE($D18&amp;""),K$15),1,0),IF($D18="Q",IF(K$14=MIN(2,K$15),0.5,0)+IF(K$14=K$15,0.5,0),IF($D18="U",IF(K$14=K$15,1,0),1/K$15)))</f>
        <v>0</v>
      </c>
      <c r="L18" s="498" t="n">
        <f aca="false">INDEX(FC_FLUJO_CAJA!$D$14:$BK$14,1,L$13)*IF(IFERROR(VALUE($D18&amp;""),0)&gt;0,IF(L$14=MIN(VALUE($D18&amp;""),L$15),1,0),IF($D18="Q",IF(L$14=MIN(2,L$15),0.5,0)+IF(L$14=L$15,0.5,0),IF($D18="U",IF(L$14=L$15,1,0),1/L$15)))</f>
        <v>0</v>
      </c>
      <c r="M18" s="498" t="n">
        <f aca="false">INDEX(FC_FLUJO_CAJA!$D$14:$BK$14,1,M$13)*IF(IFERROR(VALUE($D18&amp;""),0)&gt;0,IF(M$14=MIN(VALUE($D18&amp;""),M$15),1,0),IF($D18="Q",IF(M$14=MIN(2,M$15),0.5,0)+IF(M$14=M$15,0.5,0),IF($D18="U",IF(M$14=M$15,1,0),1/M$15)))</f>
        <v>0</v>
      </c>
      <c r="N18" s="498" t="n">
        <f aca="false">INDEX(FC_FLUJO_CAJA!$D$14:$BK$14,1,N$13)*IF(IFERROR(VALUE($D18&amp;""),0)&gt;0,IF(N$14=MIN(VALUE($D18&amp;""),N$15),1,0),IF($D18="Q",IF(N$14=MIN(2,N$15),0.5,0)+IF(N$14=N$15,0.5,0),IF($D18="U",IF(N$14=N$15,1,0),1/N$15)))</f>
        <v>0</v>
      </c>
      <c r="O18" s="498" t="n">
        <f aca="false">INDEX(FC_FLUJO_CAJA!$D$14:$BK$14,1,O$13)*IF(IFERROR(VALUE($D18&amp;""),0)&gt;0,IF(O$14=MIN(VALUE($D18&amp;""),O$15),1,0),IF($D18="Q",IF(O$14=MIN(2,O$15),0.5,0)+IF(O$14=O$15,0.5,0),IF($D18="U",IF(O$14=O$15,1,0),1/O$15)))</f>
        <v>0</v>
      </c>
      <c r="P18" s="498" t="n">
        <f aca="false">INDEX(FC_FLUJO_CAJA!$D$14:$BK$14,1,P$13)*IF(IFERROR(VALUE($D18&amp;""),0)&gt;0,IF(P$14=MIN(VALUE($D18&amp;""),P$15),1,0),IF($D18="Q",IF(P$14=MIN(2,P$15),0.5,0)+IF(P$14=P$15,0.5,0),IF($D18="U",IF(P$14=P$15,1,0),1/P$15)))</f>
        <v>0</v>
      </c>
      <c r="Q18" s="498" t="n">
        <f aca="false">INDEX(FC_FLUJO_CAJA!$D$14:$BK$14,1,Q$13)*IF(IFERROR(VALUE($D18&amp;""),0)&gt;0,IF(Q$14=MIN(VALUE($D18&amp;""),Q$15),1,0),IF($D18="Q",IF(Q$14=MIN(2,Q$15),0.5,0)+IF(Q$14=Q$15,0.5,0),IF($D18="U",IF(Q$14=Q$15,1,0),1/Q$15)))</f>
        <v>0</v>
      </c>
      <c r="R18" s="498" t="n">
        <f aca="false">INDEX(FC_FLUJO_CAJA!$D$14:$BK$14,1,R$13)*IF(IFERROR(VALUE($D18&amp;""),0)&gt;0,IF(R$14=MIN(VALUE($D18&amp;""),R$15),1,0),IF($D18="Q",IF(R$14=MIN(2,R$15),0.5,0)+IF(R$14=R$15,0.5,0),IF($D18="U",IF(R$14=R$15,1,0),1/R$15)))</f>
        <v>0</v>
      </c>
      <c r="S18" s="498" t="n">
        <f aca="false">INDEX(FC_FLUJO_CAJA!$D$14:$BK$14,1,S$13)*IF(IFERROR(VALUE($D18&amp;""),0)&gt;0,IF(S$14=MIN(VALUE($D18&amp;""),S$15),1,0),IF($D18="Q",IF(S$14=MIN(2,S$15),0.5,0)+IF(S$14=S$15,0.5,0),IF($D18="U",IF(S$14=S$15,1,0),1/S$15)))</f>
        <v>0</v>
      </c>
      <c r="T18" s="498" t="n">
        <f aca="false">INDEX(FC_FLUJO_CAJA!$D$14:$BK$14,1,T$13)*IF(IFERROR(VALUE($D18&amp;""),0)&gt;0,IF(T$14=MIN(VALUE($D18&amp;""),T$15),1,0),IF($D18="Q",IF(T$14=MIN(2,T$15),0.5,0)+IF(T$14=T$15,0.5,0),IF($D18="U",IF(T$14=T$15,1,0),1/T$15)))</f>
        <v>0</v>
      </c>
      <c r="U18" s="498" t="n">
        <f aca="false">INDEX(FC_FLUJO_CAJA!$D$14:$BK$14,1,U$13)*IF(IFERROR(VALUE($D18&amp;""),0)&gt;0,IF(U$14=MIN(VALUE($D18&amp;""),U$15),1,0),IF($D18="Q",IF(U$14=MIN(2,U$15),0.5,0)+IF(U$14=U$15,0.5,0),IF($D18="U",IF(U$14=U$15,1,0),1/U$15)))</f>
        <v>0</v>
      </c>
      <c r="V18" s="498" t="n">
        <f aca="false">INDEX(FC_FLUJO_CAJA!$D$14:$BK$14,1,V$13)*IF(IFERROR(VALUE($D18&amp;""),0)&gt;0,IF(V$14=MIN(VALUE($D18&amp;""),V$15),1,0),IF($D18="Q",IF(V$14=MIN(2,V$15),0.5,0)+IF(V$14=V$15,0.5,0),IF($D18="U",IF(V$14=V$15,1,0),1/V$15)))</f>
        <v>0</v>
      </c>
      <c r="W18" s="498" t="n">
        <f aca="false">INDEX(FC_FLUJO_CAJA!$D$14:$BK$14,1,W$13)*IF(IFERROR(VALUE($D18&amp;""),0)&gt;0,IF(W$14=MIN(VALUE($D18&amp;""),W$15),1,0),IF($D18="Q",IF(W$14=MIN(2,W$15),0.5,0)+IF(W$14=W$15,0.5,0),IF($D18="U",IF(W$14=W$15,1,0),1/W$15)))</f>
        <v>0</v>
      </c>
      <c r="X18" s="498" t="n">
        <f aca="false">INDEX(FC_FLUJO_CAJA!$D$14:$BK$14,1,X$13)*IF(IFERROR(VALUE($D18&amp;""),0)&gt;0,IF(X$14=MIN(VALUE($D18&amp;""),X$15),1,0),IF($D18="Q",IF(X$14=MIN(2,X$15),0.5,0)+IF(X$14=X$15,0.5,0),IF($D18="U",IF(X$14=X$15,1,0),1/X$15)))</f>
        <v>0</v>
      </c>
      <c r="Y18" s="498" t="n">
        <f aca="false">INDEX(FC_FLUJO_CAJA!$D$14:$BK$14,1,Y$13)*IF(IFERROR(VALUE($D18&amp;""),0)&gt;0,IF(Y$14=MIN(VALUE($D18&amp;""),Y$15),1,0),IF($D18="Q",IF(Y$14=MIN(2,Y$15),0.5,0)+IF(Y$14=Y$15,0.5,0),IF($D18="U",IF(Y$14=Y$15,1,0),1/Y$15)))</f>
        <v>0</v>
      </c>
      <c r="Z18" s="498" t="n">
        <f aca="false">INDEX(FC_FLUJO_CAJA!$D$14:$BK$14,1,Z$13)*IF(IFERROR(VALUE($D18&amp;""),0)&gt;0,IF(Z$14=MIN(VALUE($D18&amp;""),Z$15),1,0),IF($D18="Q",IF(Z$14=MIN(2,Z$15),0.5,0)+IF(Z$14=Z$15,0.5,0),IF($D18="U",IF(Z$14=Z$15,1,0),1/Z$15)))</f>
        <v>0</v>
      </c>
      <c r="AA18" s="498" t="n">
        <f aca="false">INDEX(FC_FLUJO_CAJA!$D$14:$BK$14,1,AA$13)*IF(IFERROR(VALUE($D18&amp;""),0)&gt;0,IF(AA$14=MIN(VALUE($D18&amp;""),AA$15),1,0),IF($D18="Q",IF(AA$14=MIN(2,AA$15),0.5,0)+IF(AA$14=AA$15,0.5,0),IF($D18="U",IF(AA$14=AA$15,1,0),1/AA$15)))</f>
        <v>0</v>
      </c>
      <c r="AB18" s="498" t="n">
        <f aca="false">INDEX(FC_FLUJO_CAJA!$D$14:$BK$14,1,AB$13)*IF(IFERROR(VALUE($D18&amp;""),0)&gt;0,IF(AB$14=MIN(VALUE($D18&amp;""),AB$15),1,0),IF($D18="Q",IF(AB$14=MIN(2,AB$15),0.5,0)+IF(AB$14=AB$15,0.5,0),IF($D18="U",IF(AB$14=AB$15,1,0),1/AB$15)))</f>
        <v>0</v>
      </c>
      <c r="AC18" s="498" t="n">
        <f aca="false">INDEX(FC_FLUJO_CAJA!$D$14:$BK$14,1,AC$13)*IF(IFERROR(VALUE($D18&amp;""),0)&gt;0,IF(AC$14=MIN(VALUE($D18&amp;""),AC$15),1,0),IF($D18="Q",IF(AC$14=MIN(2,AC$15),0.5,0)+IF(AC$14=AC$15,0.5,0),IF($D18="U",IF(AC$14=AC$15,1,0),1/AC$15)))</f>
        <v>0</v>
      </c>
      <c r="AD18" s="498" t="n">
        <f aca="false">INDEX(FC_FLUJO_CAJA!$D$14:$BK$14,1,AD$13)*IF(IFERROR(VALUE($D18&amp;""),0)&gt;0,IF(AD$14=MIN(VALUE($D18&amp;""),AD$15),1,0),IF($D18="Q",IF(AD$14=MIN(2,AD$15),0.5,0)+IF(AD$14=AD$15,0.5,0),IF($D18="U",IF(AD$14=AD$15,1,0),1/AD$15)))</f>
        <v>0</v>
      </c>
      <c r="AE18" s="498" t="n">
        <f aca="false">INDEX(FC_FLUJO_CAJA!$D$14:$BK$14,1,AE$13)*IF(IFERROR(VALUE($D18&amp;""),0)&gt;0,IF(AE$14=MIN(VALUE($D18&amp;""),AE$15),1,0),IF($D18="Q",IF(AE$14=MIN(2,AE$15),0.5,0)+IF(AE$14=AE$15,0.5,0),IF($D18="U",IF(AE$14=AE$15,1,0),1/AE$15)))</f>
        <v>0</v>
      </c>
      <c r="AF18" s="498" t="n">
        <f aca="false">INDEX(FC_FLUJO_CAJA!$D$14:$BK$14,1,AF$13)*IF(IFERROR(VALUE($D18&amp;""),0)&gt;0,IF(AF$14=MIN(VALUE($D18&amp;""),AF$15),1,0),IF($D18="Q",IF(AF$14=MIN(2,AF$15),0.5,0)+IF(AF$14=AF$15,0.5,0),IF($D18="U",IF(AF$14=AF$15,1,0),1/AF$15)))</f>
        <v>0</v>
      </c>
      <c r="AG18" s="498" t="n">
        <f aca="false">INDEX(FC_FLUJO_CAJA!$D$14:$BK$14,1,AG$13)*IF(IFERROR(VALUE($D18&amp;""),0)&gt;0,IF(AG$14=MIN(VALUE($D18&amp;""),AG$15),1,0),IF($D18="Q",IF(AG$14=MIN(2,AG$15),0.5,0)+IF(AG$14=AG$15,0.5,0),IF($D18="U",IF(AG$14=AG$15,1,0),1/AG$15)))</f>
        <v>0</v>
      </c>
      <c r="AH18" s="498" t="n">
        <f aca="false">INDEX(FC_FLUJO_CAJA!$D$14:$BK$14,1,AH$13)*IF(IFERROR(VALUE($D18&amp;""),0)&gt;0,IF(AH$14=MIN(VALUE($D18&amp;""),AH$15),1,0),IF($D18="Q",IF(AH$14=MIN(2,AH$15),0.5,0)+IF(AH$14=AH$15,0.5,0),IF($D18="U",IF(AH$14=AH$15,1,0),1/AH$15)))</f>
        <v>0</v>
      </c>
      <c r="AI18" s="498" t="n">
        <f aca="false">INDEX(FC_FLUJO_CAJA!$D$14:$BK$14,1,AI$13)*IF(IFERROR(VALUE($D18&amp;""),0)&gt;0,IF(AI$14=MIN(VALUE($D18&amp;""),AI$15),1,0),IF($D18="Q",IF(AI$14=MIN(2,AI$15),0.5,0)+IF(AI$14=AI$15,0.5,0),IF($D18="U",IF(AI$14=AI$15,1,0),1/AI$15)))</f>
        <v>0</v>
      </c>
      <c r="AJ18" s="498" t="n">
        <f aca="false">INDEX(FC_FLUJO_CAJA!$D$14:$BK$14,1,AJ$13)*IF(IFERROR(VALUE($D18&amp;""),0)&gt;0,IF(AJ$14=MIN(VALUE($D18&amp;""),AJ$15),1,0),IF($D18="Q",IF(AJ$14=MIN(2,AJ$15),0.5,0)+IF(AJ$14=AJ$15,0.5,0),IF($D18="U",IF(AJ$14=AJ$15,1,0),1/AJ$15)))</f>
        <v>0</v>
      </c>
      <c r="AK18" s="498" t="n">
        <f aca="false">INDEX(FC_FLUJO_CAJA!$D$14:$BK$14,1,AK$13)*IF(IFERROR(VALUE($D18&amp;""),0)&gt;0,IF(AK$14=MIN(VALUE($D18&amp;""),AK$15),1,0),IF($D18="Q",IF(AK$14=MIN(2,AK$15),0.5,0)+IF(AK$14=AK$15,0.5,0),IF($D18="U",IF(AK$14=AK$15,1,0),1/AK$15)))</f>
        <v>0</v>
      </c>
      <c r="AL18" s="498" t="n">
        <f aca="false">INDEX(FC_FLUJO_CAJA!$D$14:$BK$14,1,AL$13)*IF(IFERROR(VALUE($D18&amp;""),0)&gt;0,IF(AL$14=MIN(VALUE($D18&amp;""),AL$15),1,0),IF($D18="Q",IF(AL$14=MIN(2,AL$15),0.5,0)+IF(AL$14=AL$15,0.5,0),IF($D18="U",IF(AL$14=AL$15,1,0),1/AL$15)))</f>
        <v>0</v>
      </c>
      <c r="AM18" s="498" t="n">
        <f aca="false">INDEX(FC_FLUJO_CAJA!$D$14:$BK$14,1,AM$13)*IF(IFERROR(VALUE($D18&amp;""),0)&gt;0,IF(AM$14=MIN(VALUE($D18&amp;""),AM$15),1,0),IF($D18="Q",IF(AM$14=MIN(2,AM$15),0.5,0)+IF(AM$14=AM$15,0.5,0),IF($D18="U",IF(AM$14=AM$15,1,0),1/AM$15)))</f>
        <v>0</v>
      </c>
      <c r="AN18" s="498" t="n">
        <f aca="false">INDEX(FC_FLUJO_CAJA!$D$14:$BK$14,1,AN$13)*IF(IFERROR(VALUE($D18&amp;""),0)&gt;0,IF(AN$14=MIN(VALUE($D18&amp;""),AN$15),1,0),IF($D18="Q",IF(AN$14=MIN(2,AN$15),0.5,0)+IF(AN$14=AN$15,0.5,0),IF($D18="U",IF(AN$14=AN$15,1,0),1/AN$15)))</f>
        <v>0</v>
      </c>
      <c r="AO18" s="498" t="n">
        <f aca="false">INDEX(FC_FLUJO_CAJA!$D$14:$BK$14,1,AO$13)*IF(IFERROR(VALUE($D18&amp;""),0)&gt;0,IF(AO$14=MIN(VALUE($D18&amp;""),AO$15),1,0),IF($D18="Q",IF(AO$14=MIN(2,AO$15),0.5,0)+IF(AO$14=AO$15,0.5,0),IF($D18="U",IF(AO$14=AO$15,1,0),1/AO$15)))</f>
        <v>0</v>
      </c>
      <c r="AP18" s="498" t="n">
        <f aca="false">INDEX(FC_FLUJO_CAJA!$D$14:$BK$14,1,AP$13)*IF(IFERROR(VALUE($D18&amp;""),0)&gt;0,IF(AP$14=MIN(VALUE($D18&amp;""),AP$15),1,0),IF($D18="Q",IF(AP$14=MIN(2,AP$15),0.5,0)+IF(AP$14=AP$15,0.5,0),IF($D18="U",IF(AP$14=AP$15,1,0),1/AP$15)))</f>
        <v>0</v>
      </c>
      <c r="AQ18" s="498" t="n">
        <f aca="false">INDEX(FC_FLUJO_CAJA!$D$14:$BK$14,1,AQ$13)*IF(IFERROR(VALUE($D18&amp;""),0)&gt;0,IF(AQ$14=MIN(VALUE($D18&amp;""),AQ$15),1,0),IF($D18="Q",IF(AQ$14=MIN(2,AQ$15),0.5,0)+IF(AQ$14=AQ$15,0.5,0),IF($D18="U",IF(AQ$14=AQ$15,1,0),1/AQ$15)))</f>
        <v>0</v>
      </c>
      <c r="AR18" s="498" t="n">
        <f aca="false">INDEX(FC_FLUJO_CAJA!$D$14:$BK$14,1,AR$13)*IF(IFERROR(VALUE($D18&amp;""),0)&gt;0,IF(AR$14=MIN(VALUE($D18&amp;""),AR$15),1,0),IF($D18="Q",IF(AR$14=MIN(2,AR$15),0.5,0)+IF(AR$14=AR$15,0.5,0),IF($D18="U",IF(AR$14=AR$15,1,0),1/AR$15)))</f>
        <v>0</v>
      </c>
      <c r="AS18" s="498" t="n">
        <f aca="false">INDEX(FC_FLUJO_CAJA!$D$14:$BK$14,1,AS$13)*IF(IFERROR(VALUE($D18&amp;""),0)&gt;0,IF(AS$14=MIN(VALUE($D18&amp;""),AS$15),1,0),IF($D18="Q",IF(AS$14=MIN(2,AS$15),0.5,0)+IF(AS$14=AS$15,0.5,0),IF($D18="U",IF(AS$14=AS$15,1,0),1/AS$15)))</f>
        <v>17731.8552086714</v>
      </c>
      <c r="AT18" s="498" t="n">
        <f aca="false">INDEX(FC_FLUJO_CAJA!$D$14:$BK$14,1,AT$13)*IF(IFERROR(VALUE($D18&amp;""),0)&gt;0,IF(AT$14=MIN(VALUE($D18&amp;""),AT$15),1,0),IF($D18="Q",IF(AT$14=MIN(2,AT$15),0.5,0)+IF(AT$14=AT$15,0.5,0),IF($D18="U",IF(AT$14=AT$15,1,0),1/AT$15)))</f>
        <v>17731.8552086714</v>
      </c>
      <c r="AU18" s="498" t="n">
        <f aca="false">INDEX(FC_FLUJO_CAJA!$D$14:$BK$14,1,AU$13)*IF(IFERROR(VALUE($D18&amp;""),0)&gt;0,IF(AU$14=MIN(VALUE($D18&amp;""),AU$15),1,0),IF($D18="Q",IF(AU$14=MIN(2,AU$15),0.5,0)+IF(AU$14=AU$15,0.5,0),IF($D18="U",IF(AU$14=AU$15,1,0),1/AU$15)))</f>
        <v>17731.8552086714</v>
      </c>
      <c r="AV18" s="498" t="n">
        <f aca="false">INDEX(FC_FLUJO_CAJA!$D$14:$BK$14,1,AV$13)*IF(IFERROR(VALUE($D18&amp;""),0)&gt;0,IF(AV$14=MIN(VALUE($D18&amp;""),AV$15),1,0),IF($D18="Q",IF(AV$14=MIN(2,AV$15),0.5,0)+IF(AV$14=AV$15,0.5,0),IF($D18="U",IF(AV$14=AV$15,1,0),1/AV$15)))</f>
        <v>17731.8552086714</v>
      </c>
      <c r="AW18" s="498" t="n">
        <f aca="false">INDEX(FC_FLUJO_CAJA!$D$14:$BK$14,1,AW$13)*IF(IFERROR(VALUE($D18&amp;""),0)&gt;0,IF(AW$14=MIN(VALUE($D18&amp;""),AW$15),1,0),IF($D18="Q",IF(AW$14=MIN(2,AW$15),0.5,0)+IF(AW$14=AW$15,0.5,0),IF($D18="U",IF(AW$14=AW$15,1,0),1/AW$15)))</f>
        <v>32423.963810142</v>
      </c>
      <c r="AX18" s="498" t="n">
        <f aca="false">INDEX(FC_FLUJO_CAJA!$D$14:$BK$14,1,AX$13)*IF(IFERROR(VALUE($D18&amp;""),0)&gt;0,IF(AX$14=MIN(VALUE($D18&amp;""),AX$15),1,0),IF($D18="Q",IF(AX$14=MIN(2,AX$15),0.5,0)+IF(AX$14=AX$15,0.5,0),IF($D18="U",IF(AX$14=AX$15,1,0),1/AX$15)))</f>
        <v>32423.963810142</v>
      </c>
      <c r="AY18" s="498" t="n">
        <f aca="false">INDEX(FC_FLUJO_CAJA!$D$14:$BK$14,1,AY$13)*IF(IFERROR(VALUE($D18&amp;""),0)&gt;0,IF(AY$14=MIN(VALUE($D18&amp;""),AY$15),1,0),IF($D18="Q",IF(AY$14=MIN(2,AY$15),0.5,0)+IF(AY$14=AY$15,0.5,0),IF($D18="U",IF(AY$14=AY$15,1,0),1/AY$15)))</f>
        <v>32423.963810142</v>
      </c>
      <c r="AZ18" s="498" t="n">
        <f aca="false">INDEX(FC_FLUJO_CAJA!$D$14:$BK$14,1,AZ$13)*IF(IFERROR(VALUE($D18&amp;""),0)&gt;0,IF(AZ$14=MIN(VALUE($D18&amp;""),AZ$15),1,0),IF($D18="Q",IF(AZ$14=MIN(2,AZ$15),0.5,0)+IF(AZ$14=AZ$15,0.5,0),IF($D18="U",IF(AZ$14=AZ$15,1,0),1/AZ$15)))</f>
        <v>32423.963810142</v>
      </c>
      <c r="BA18" s="498" t="n">
        <f aca="false">INDEX(FC_FLUJO_CAJA!$D$14:$BK$14,1,BA$13)*IF(IFERROR(VALUE($D18&amp;""),0)&gt;0,IF(BA$14=MIN(VALUE($D18&amp;""),BA$15),1,0),IF($D18="Q",IF(BA$14=MIN(2,BA$15),0.5,0)+IF(BA$14=BA$15,0.5,0),IF($D18="U",IF(BA$14=BA$15,1,0),1/BA$15)))</f>
        <v>32423.963810142</v>
      </c>
      <c r="BB18" s="498" t="n">
        <f aca="false">INDEX(FC_FLUJO_CAJA!$D$14:$BK$14,1,BB$13)*IF(IFERROR(VALUE($D18&amp;""),0)&gt;0,IF(BB$14=MIN(VALUE($D18&amp;""),BB$15),1,0),IF($D18="Q",IF(BB$14=MIN(2,BB$15),0.5,0)+IF(BB$14=BB$15,0.5,0),IF($D18="U",IF(BB$14=BB$15,1,0),1/BB$15)))</f>
        <v>67399.1435227561</v>
      </c>
      <c r="BC18" s="498" t="n">
        <f aca="false">INDEX(FC_FLUJO_CAJA!$D$14:$BK$14,1,BC$13)*IF(IFERROR(VALUE($D18&amp;""),0)&gt;0,IF(BC$14=MIN(VALUE($D18&amp;""),BC$15),1,0),IF($D18="Q",IF(BC$14=MIN(2,BC$15),0.5,0)+IF(BC$14=BC$15,0.5,0),IF($D18="U",IF(BC$14=BC$15,1,0),1/BC$15)))</f>
        <v>67399.1435227561</v>
      </c>
      <c r="BD18" s="498" t="n">
        <f aca="false">INDEX(FC_FLUJO_CAJA!$D$14:$BK$14,1,BD$13)*IF(IFERROR(VALUE($D18&amp;""),0)&gt;0,IF(BD$14=MIN(VALUE($D18&amp;""),BD$15),1,0),IF($D18="Q",IF(BD$14=MIN(2,BD$15),0.5,0)+IF(BD$14=BD$15,0.5,0),IF($D18="U",IF(BD$14=BD$15,1,0),1/BD$15)))</f>
        <v>67399.1435227561</v>
      </c>
      <c r="BE18" s="498" t="n">
        <f aca="false">INDEX(FC_FLUJO_CAJA!$D$14:$BK$14,1,BE$13)*IF(IFERROR(VALUE($D18&amp;""),0)&gt;0,IF(BE$14=MIN(VALUE($D18&amp;""),BE$15),1,0),IF($D18="Q",IF(BE$14=MIN(2,BE$15),0.5,0)+IF(BE$14=BE$15,0.5,0),IF($D18="U",IF(BE$14=BE$15,1,0),1/BE$15)))</f>
        <v>67399.1435227561</v>
      </c>
    </row>
    <row r="20" customFormat="false" ht="15" hidden="false" customHeight="true" outlineLevel="0" collapsed="false">
      <c r="A20" s="281" t="s">
        <v>3086</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row>
    <row r="21" customFormat="false" ht="15" hidden="false" customHeight="true" outlineLevel="0" collapsed="false">
      <c r="A21" s="400" t="s">
        <v>3087</v>
      </c>
      <c r="B21" s="283" t="s">
        <v>3088</v>
      </c>
      <c r="C21" s="531" t="s">
        <v>3089</v>
      </c>
      <c r="D21" s="289" t="str">
        <f aca="false">FC_SUPUESTOS!$C$127</f>
        <v>P</v>
      </c>
      <c r="E21" s="532" t="n">
        <f aca="false">SUM(F21:BE21)</f>
        <v>291919.057672432</v>
      </c>
      <c r="F21" s="498" t="n">
        <f aca="false">INDEX(FC_FLUJO_CAJA!$D$17:$BK$17,1,F$13)*IF(IFERROR(VALUE($D21&amp;""),0)&gt;0,IF(F$14=MIN(VALUE($D21&amp;""),F$15),1,0),IF($D21="Q",IF(F$14=MIN(2,F$15),0.5,0)+IF(F$14=F$15,0.5,0),IF($D21="U",IF(F$14=F$15,1,0),1/F$15)))</f>
        <v>0</v>
      </c>
      <c r="G21" s="498" t="n">
        <f aca="false">INDEX(FC_FLUJO_CAJA!$D$17:$BK$17,1,G$13)*IF(IFERROR(VALUE($D21&amp;""),0)&gt;0,IF(G$14=MIN(VALUE($D21&amp;""),G$15),1,0),IF($D21="Q",IF(G$14=MIN(2,G$15),0.5,0)+IF(G$14=G$15,0.5,0),IF($D21="U",IF(G$14=G$15,1,0),1/G$15)))</f>
        <v>0</v>
      </c>
      <c r="H21" s="498" t="n">
        <f aca="false">INDEX(FC_FLUJO_CAJA!$D$17:$BK$17,1,H$13)*IF(IFERROR(VALUE($D21&amp;""),0)&gt;0,IF(H$14=MIN(VALUE($D21&amp;""),H$15),1,0),IF($D21="Q",IF(H$14=MIN(2,H$15),0.5,0)+IF(H$14=H$15,0.5,0),IF($D21="U",IF(H$14=H$15,1,0),1/H$15)))</f>
        <v>0</v>
      </c>
      <c r="I21" s="498" t="n">
        <f aca="false">INDEX(FC_FLUJO_CAJA!$D$17:$BK$17,1,I$13)*IF(IFERROR(VALUE($D21&amp;""),0)&gt;0,IF(I$14=MIN(VALUE($D21&amp;""),I$15),1,0),IF($D21="Q",IF(I$14=MIN(2,I$15),0.5,0)+IF(I$14=I$15,0.5,0),IF($D21="U",IF(I$14=I$15,1,0),1/I$15)))</f>
        <v>0</v>
      </c>
      <c r="J21" s="498" t="n">
        <f aca="false">INDEX(FC_FLUJO_CAJA!$D$17:$BK$17,1,J$13)*IF(IFERROR(VALUE($D21&amp;""),0)&gt;0,IF(J$14=MIN(VALUE($D21&amp;""),J$15),1,0),IF($D21="Q",IF(J$14=MIN(2,J$15),0.5,0)+IF(J$14=J$15,0.5,0),IF($D21="U",IF(J$14=J$15,1,0),1/J$15)))</f>
        <v>0</v>
      </c>
      <c r="K21" s="498" t="n">
        <f aca="false">INDEX(FC_FLUJO_CAJA!$D$17:$BK$17,1,K$13)*IF(IFERROR(VALUE($D21&amp;""),0)&gt;0,IF(K$14=MIN(VALUE($D21&amp;""),K$15),1,0),IF($D21="Q",IF(K$14=MIN(2,K$15),0.5,0)+IF(K$14=K$15,0.5,0),IF($D21="U",IF(K$14=K$15,1,0),1/K$15)))</f>
        <v>0</v>
      </c>
      <c r="L21" s="498" t="n">
        <f aca="false">INDEX(FC_FLUJO_CAJA!$D$17:$BK$17,1,L$13)*IF(IFERROR(VALUE($D21&amp;""),0)&gt;0,IF(L$14=MIN(VALUE($D21&amp;""),L$15),1,0),IF($D21="Q",IF(L$14=MIN(2,L$15),0.5,0)+IF(L$14=L$15,0.5,0),IF($D21="U",IF(L$14=L$15,1,0),1/L$15)))</f>
        <v>0</v>
      </c>
      <c r="M21" s="498" t="n">
        <f aca="false">INDEX(FC_FLUJO_CAJA!$D$17:$BK$17,1,M$13)*IF(IFERROR(VALUE($D21&amp;""),0)&gt;0,IF(M$14=MIN(VALUE($D21&amp;""),M$15),1,0),IF($D21="Q",IF(M$14=MIN(2,M$15),0.5,0)+IF(M$14=M$15,0.5,0),IF($D21="U",IF(M$14=M$15,1,0),1/M$15)))</f>
        <v>0</v>
      </c>
      <c r="N21" s="498" t="n">
        <f aca="false">INDEX(FC_FLUJO_CAJA!$D$17:$BK$17,1,N$13)*IF(IFERROR(VALUE($D21&amp;""),0)&gt;0,IF(N$14=MIN(VALUE($D21&amp;""),N$15),1,0),IF($D21="Q",IF(N$14=MIN(2,N$15),0.5,0)+IF(N$14=N$15,0.5,0),IF($D21="U",IF(N$14=N$15,1,0),1/N$15)))</f>
        <v>0</v>
      </c>
      <c r="O21" s="498" t="n">
        <f aca="false">INDEX(FC_FLUJO_CAJA!$D$17:$BK$17,1,O$13)*IF(IFERROR(VALUE($D21&amp;""),0)&gt;0,IF(O$14=MIN(VALUE($D21&amp;""),O$15),1,0),IF($D21="Q",IF(O$14=MIN(2,O$15),0.5,0)+IF(O$14=O$15,0.5,0),IF($D21="U",IF(O$14=O$15,1,0),1/O$15)))</f>
        <v>0</v>
      </c>
      <c r="P21" s="498" t="n">
        <f aca="false">INDEX(FC_FLUJO_CAJA!$D$17:$BK$17,1,P$13)*IF(IFERROR(VALUE($D21&amp;""),0)&gt;0,IF(P$14=MIN(VALUE($D21&amp;""),P$15),1,0),IF($D21="Q",IF(P$14=MIN(2,P$15),0.5,0)+IF(P$14=P$15,0.5,0),IF($D21="U",IF(P$14=P$15,1,0),1/P$15)))</f>
        <v>0</v>
      </c>
      <c r="Q21" s="498" t="n">
        <f aca="false">INDEX(FC_FLUJO_CAJA!$D$17:$BK$17,1,Q$13)*IF(IFERROR(VALUE($D21&amp;""),0)&gt;0,IF(Q$14=MIN(VALUE($D21&amp;""),Q$15),1,0),IF($D21="Q",IF(Q$14=MIN(2,Q$15),0.5,0)+IF(Q$14=Q$15,0.5,0),IF($D21="U",IF(Q$14=Q$15,1,0),1/Q$15)))</f>
        <v>0</v>
      </c>
      <c r="R21" s="498" t="n">
        <f aca="false">INDEX(FC_FLUJO_CAJA!$D$17:$BK$17,1,R$13)*IF(IFERROR(VALUE($D21&amp;""),0)&gt;0,IF(R$14=MIN(VALUE($D21&amp;""),R$15),1,0),IF($D21="Q",IF(R$14=MIN(2,R$15),0.5,0)+IF(R$14=R$15,0.5,0),IF($D21="U",IF(R$14=R$15,1,0),1/R$15)))</f>
        <v>0</v>
      </c>
      <c r="S21" s="498" t="n">
        <f aca="false">INDEX(FC_FLUJO_CAJA!$D$17:$BK$17,1,S$13)*IF(IFERROR(VALUE($D21&amp;""),0)&gt;0,IF(S$14=MIN(VALUE($D21&amp;""),S$15),1,0),IF($D21="Q",IF(S$14=MIN(2,S$15),0.5,0)+IF(S$14=S$15,0.5,0),IF($D21="U",IF(S$14=S$15,1,0),1/S$15)))</f>
        <v>0</v>
      </c>
      <c r="T21" s="498" t="n">
        <f aca="false">INDEX(FC_FLUJO_CAJA!$D$17:$BK$17,1,T$13)*IF(IFERROR(VALUE($D21&amp;""),0)&gt;0,IF(T$14=MIN(VALUE($D21&amp;""),T$15),1,0),IF($D21="Q",IF(T$14=MIN(2,T$15),0.5,0)+IF(T$14=T$15,0.5,0),IF($D21="U",IF(T$14=T$15,1,0),1/T$15)))</f>
        <v>0</v>
      </c>
      <c r="U21" s="498" t="n">
        <f aca="false">INDEX(FC_FLUJO_CAJA!$D$17:$BK$17,1,U$13)*IF(IFERROR(VALUE($D21&amp;""),0)&gt;0,IF(U$14=MIN(VALUE($D21&amp;""),U$15),1,0),IF($D21="Q",IF(U$14=MIN(2,U$15),0.5,0)+IF(U$14=U$15,0.5,0),IF($D21="U",IF(U$14=U$15,1,0),1/U$15)))</f>
        <v>0</v>
      </c>
      <c r="V21" s="498" t="n">
        <f aca="false">INDEX(FC_FLUJO_CAJA!$D$17:$BK$17,1,V$13)*IF(IFERROR(VALUE($D21&amp;""),0)&gt;0,IF(V$14=MIN(VALUE($D21&amp;""),V$15),1,0),IF($D21="Q",IF(V$14=MIN(2,V$15),0.5,0)+IF(V$14=V$15,0.5,0),IF($D21="U",IF(V$14=V$15,1,0),1/V$15)))</f>
        <v>0</v>
      </c>
      <c r="W21" s="498" t="n">
        <f aca="false">INDEX(FC_FLUJO_CAJA!$D$17:$BK$17,1,W$13)*IF(IFERROR(VALUE($D21&amp;""),0)&gt;0,IF(W$14=MIN(VALUE($D21&amp;""),W$15),1,0),IF($D21="Q",IF(W$14=MIN(2,W$15),0.5,0)+IF(W$14=W$15,0.5,0),IF($D21="U",IF(W$14=W$15,1,0),1/W$15)))</f>
        <v>0</v>
      </c>
      <c r="X21" s="498" t="n">
        <f aca="false">INDEX(FC_FLUJO_CAJA!$D$17:$BK$17,1,X$13)*IF(IFERROR(VALUE($D21&amp;""),0)&gt;0,IF(X$14=MIN(VALUE($D21&amp;""),X$15),1,0),IF($D21="Q",IF(X$14=MIN(2,X$15),0.5,0)+IF(X$14=X$15,0.5,0),IF($D21="U",IF(X$14=X$15,1,0),1/X$15)))</f>
        <v>0</v>
      </c>
      <c r="Y21" s="498" t="n">
        <f aca="false">INDEX(FC_FLUJO_CAJA!$D$17:$BK$17,1,Y$13)*IF(IFERROR(VALUE($D21&amp;""),0)&gt;0,IF(Y$14=MIN(VALUE($D21&amp;""),Y$15),1,0),IF($D21="Q",IF(Y$14=MIN(2,Y$15),0.5,0)+IF(Y$14=Y$15,0.5,0),IF($D21="U",IF(Y$14=Y$15,1,0),1/Y$15)))</f>
        <v>0</v>
      </c>
      <c r="Z21" s="498" t="n">
        <f aca="false">INDEX(FC_FLUJO_CAJA!$D$17:$BK$17,1,Z$13)*IF(IFERROR(VALUE($D21&amp;""),0)&gt;0,IF(Z$14=MIN(VALUE($D21&amp;""),Z$15),1,0),IF($D21="Q",IF(Z$14=MIN(2,Z$15),0.5,0)+IF(Z$14=Z$15,0.5,0),IF($D21="U",IF(Z$14=Z$15,1,0),1/Z$15)))</f>
        <v>0</v>
      </c>
      <c r="AA21" s="498" t="n">
        <f aca="false">INDEX(FC_FLUJO_CAJA!$D$17:$BK$17,1,AA$13)*IF(IFERROR(VALUE($D21&amp;""),0)&gt;0,IF(AA$14=MIN(VALUE($D21&amp;""),AA$15),1,0),IF($D21="Q",IF(AA$14=MIN(2,AA$15),0.5,0)+IF(AA$14=AA$15,0.5,0),IF($D21="U",IF(AA$14=AA$15,1,0),1/AA$15)))</f>
        <v>0</v>
      </c>
      <c r="AB21" s="498" t="n">
        <f aca="false">INDEX(FC_FLUJO_CAJA!$D$17:$BK$17,1,AB$13)*IF(IFERROR(VALUE($D21&amp;""),0)&gt;0,IF(AB$14=MIN(VALUE($D21&amp;""),AB$15),1,0),IF($D21="Q",IF(AB$14=MIN(2,AB$15),0.5,0)+IF(AB$14=AB$15,0.5,0),IF($D21="U",IF(AB$14=AB$15,1,0),1/AB$15)))</f>
        <v>0</v>
      </c>
      <c r="AC21" s="498" t="n">
        <f aca="false">INDEX(FC_FLUJO_CAJA!$D$17:$BK$17,1,AC$13)*IF(IFERROR(VALUE($D21&amp;""),0)&gt;0,IF(AC$14=MIN(VALUE($D21&amp;""),AC$15),1,0),IF($D21="Q",IF(AC$14=MIN(2,AC$15),0.5,0)+IF(AC$14=AC$15,0.5,0),IF($D21="U",IF(AC$14=AC$15,1,0),1/AC$15)))</f>
        <v>0</v>
      </c>
      <c r="AD21" s="498" t="n">
        <f aca="false">INDEX(FC_FLUJO_CAJA!$D$17:$BK$17,1,AD$13)*IF(IFERROR(VALUE($D21&amp;""),0)&gt;0,IF(AD$14=MIN(VALUE($D21&amp;""),AD$15),1,0),IF($D21="Q",IF(AD$14=MIN(2,AD$15),0.5,0)+IF(AD$14=AD$15,0.5,0),IF($D21="U",IF(AD$14=AD$15,1,0),1/AD$15)))</f>
        <v>0</v>
      </c>
      <c r="AE21" s="498" t="n">
        <f aca="false">INDEX(FC_FLUJO_CAJA!$D$17:$BK$17,1,AE$13)*IF(IFERROR(VALUE($D21&amp;""),0)&gt;0,IF(AE$14=MIN(VALUE($D21&amp;""),AE$15),1,0),IF($D21="Q",IF(AE$14=MIN(2,AE$15),0.5,0)+IF(AE$14=AE$15,0.5,0),IF($D21="U",IF(AE$14=AE$15,1,0),1/AE$15)))</f>
        <v>0</v>
      </c>
      <c r="AF21" s="498" t="n">
        <f aca="false">INDEX(FC_FLUJO_CAJA!$D$17:$BK$17,1,AF$13)*IF(IFERROR(VALUE($D21&amp;""),0)&gt;0,IF(AF$14=MIN(VALUE($D21&amp;""),AF$15),1,0),IF($D21="Q",IF(AF$14=MIN(2,AF$15),0.5,0)+IF(AF$14=AF$15,0.5,0),IF($D21="U",IF(AF$14=AF$15,1,0),1/AF$15)))</f>
        <v>0</v>
      </c>
      <c r="AG21" s="498" t="n">
        <f aca="false">INDEX(FC_FLUJO_CAJA!$D$17:$BK$17,1,AG$13)*IF(IFERROR(VALUE($D21&amp;""),0)&gt;0,IF(AG$14=MIN(VALUE($D21&amp;""),AG$15),1,0),IF($D21="Q",IF(AG$14=MIN(2,AG$15),0.5,0)+IF(AG$14=AG$15,0.5,0),IF($D21="U",IF(AG$14=AG$15,1,0),1/AG$15)))</f>
        <v>0</v>
      </c>
      <c r="AH21" s="498" t="n">
        <f aca="false">INDEX(FC_FLUJO_CAJA!$D$17:$BK$17,1,AH$13)*IF(IFERROR(VALUE($D21&amp;""),0)&gt;0,IF(AH$14=MIN(VALUE($D21&amp;""),AH$15),1,0),IF($D21="Q",IF(AH$14=MIN(2,AH$15),0.5,0)+IF(AH$14=AH$15,0.5,0),IF($D21="U",IF(AH$14=AH$15,1,0),1/AH$15)))</f>
        <v>0</v>
      </c>
      <c r="AI21" s="498" t="n">
        <f aca="false">INDEX(FC_FLUJO_CAJA!$D$17:$BK$17,1,AI$13)*IF(IFERROR(VALUE($D21&amp;""),0)&gt;0,IF(AI$14=MIN(VALUE($D21&amp;""),AI$15),1,0),IF($D21="Q",IF(AI$14=MIN(2,AI$15),0.5,0)+IF(AI$14=AI$15,0.5,0),IF($D21="U",IF(AI$14=AI$15,1,0),1/AI$15)))</f>
        <v>0</v>
      </c>
      <c r="AJ21" s="498" t="n">
        <f aca="false">INDEX(FC_FLUJO_CAJA!$D$17:$BK$17,1,AJ$13)*IF(IFERROR(VALUE($D21&amp;""),0)&gt;0,IF(AJ$14=MIN(VALUE($D21&amp;""),AJ$15),1,0),IF($D21="Q",IF(AJ$14=MIN(2,AJ$15),0.5,0)+IF(AJ$14=AJ$15,0.5,0),IF($D21="U",IF(AJ$14=AJ$15,1,0),1/AJ$15)))</f>
        <v>0</v>
      </c>
      <c r="AK21" s="498" t="n">
        <f aca="false">INDEX(FC_FLUJO_CAJA!$D$17:$BK$17,1,AK$13)*IF(IFERROR(VALUE($D21&amp;""),0)&gt;0,IF(AK$14=MIN(VALUE($D21&amp;""),AK$15),1,0),IF($D21="Q",IF(AK$14=MIN(2,AK$15),0.5,0)+IF(AK$14=AK$15,0.5,0),IF($D21="U",IF(AK$14=AK$15,1,0),1/AK$15)))</f>
        <v>0</v>
      </c>
      <c r="AL21" s="498" t="n">
        <f aca="false">INDEX(FC_FLUJO_CAJA!$D$17:$BK$17,1,AL$13)*IF(IFERROR(VALUE($D21&amp;""),0)&gt;0,IF(AL$14=MIN(VALUE($D21&amp;""),AL$15),1,0),IF($D21="Q",IF(AL$14=MIN(2,AL$15),0.5,0)+IF(AL$14=AL$15,0.5,0),IF($D21="U",IF(AL$14=AL$15,1,0),1/AL$15)))</f>
        <v>0</v>
      </c>
      <c r="AM21" s="498" t="n">
        <f aca="false">INDEX(FC_FLUJO_CAJA!$D$17:$BK$17,1,AM$13)*IF(IFERROR(VALUE($D21&amp;""),0)&gt;0,IF(AM$14=MIN(VALUE($D21&amp;""),AM$15),1,0),IF($D21="Q",IF(AM$14=MIN(2,AM$15),0.5,0)+IF(AM$14=AM$15,0.5,0),IF($D21="U",IF(AM$14=AM$15,1,0),1/AM$15)))</f>
        <v>0</v>
      </c>
      <c r="AN21" s="498" t="n">
        <f aca="false">INDEX(FC_FLUJO_CAJA!$D$17:$BK$17,1,AN$13)*IF(IFERROR(VALUE($D21&amp;""),0)&gt;0,IF(AN$14=MIN(VALUE($D21&amp;""),AN$15),1,0),IF($D21="Q",IF(AN$14=MIN(2,AN$15),0.5,0)+IF(AN$14=AN$15,0.5,0),IF($D21="U",IF(AN$14=AN$15,1,0),1/AN$15)))</f>
        <v>0</v>
      </c>
      <c r="AO21" s="498" t="n">
        <f aca="false">INDEX(FC_FLUJO_CAJA!$D$17:$BK$17,1,AO$13)*IF(IFERROR(VALUE($D21&amp;""),0)&gt;0,IF(AO$14=MIN(VALUE($D21&amp;""),AO$15),1,0),IF($D21="Q",IF(AO$14=MIN(2,AO$15),0.5,0)+IF(AO$14=AO$15,0.5,0),IF($D21="U",IF(AO$14=AO$15,1,0),1/AO$15)))</f>
        <v>0</v>
      </c>
      <c r="AP21" s="498" t="n">
        <f aca="false">INDEX(FC_FLUJO_CAJA!$D$17:$BK$17,1,AP$13)*IF(IFERROR(VALUE($D21&amp;""),0)&gt;0,IF(AP$14=MIN(VALUE($D21&amp;""),AP$15),1,0),IF($D21="Q",IF(AP$14=MIN(2,AP$15),0.5,0)+IF(AP$14=AP$15,0.5,0),IF($D21="U",IF(AP$14=AP$15,1,0),1/AP$15)))</f>
        <v>0</v>
      </c>
      <c r="AQ21" s="498" t="n">
        <f aca="false">INDEX(FC_FLUJO_CAJA!$D$17:$BK$17,1,AQ$13)*IF(IFERROR(VALUE($D21&amp;""),0)&gt;0,IF(AQ$14=MIN(VALUE($D21&amp;""),AQ$15),1,0),IF($D21="Q",IF(AQ$14=MIN(2,AQ$15),0.5,0)+IF(AQ$14=AQ$15,0.5,0),IF($D21="U",IF(AQ$14=AQ$15,1,0),1/AQ$15)))</f>
        <v>0</v>
      </c>
      <c r="AR21" s="498" t="n">
        <f aca="false">INDEX(FC_FLUJO_CAJA!$D$17:$BK$17,1,AR$13)*IF(IFERROR(VALUE($D21&amp;""),0)&gt;0,IF(AR$14=MIN(VALUE($D21&amp;""),AR$15),1,0),IF($D21="Q",IF(AR$14=MIN(2,AR$15),0.5,0)+IF(AR$14=AR$15,0.5,0),IF($D21="U",IF(AR$14=AR$15,1,0),1/AR$15)))</f>
        <v>0</v>
      </c>
      <c r="AS21" s="498" t="n">
        <f aca="false">INDEX(FC_FLUJO_CAJA!$D$17:$BK$17,1,AS$13)*IF(IFERROR(VALUE($D21&amp;""),0)&gt;0,IF(AS$14=MIN(VALUE($D21&amp;""),AS$15),1,0),IF($D21="Q",IF(AS$14=MIN(2,AS$15),0.5,0)+IF(AS$14=AS$15,0.5,0),IF($D21="U",IF(AS$14=AS$15,1,0),1/AS$15)))</f>
        <v>10642.8823109741</v>
      </c>
      <c r="AT21" s="498" t="n">
        <f aca="false">INDEX(FC_FLUJO_CAJA!$D$17:$BK$17,1,AT$13)*IF(IFERROR(VALUE($D21&amp;""),0)&gt;0,IF(AT$14=MIN(VALUE($D21&amp;""),AT$15),1,0),IF($D21="Q",IF(AT$14=MIN(2,AT$15),0.5,0)+IF(AT$14=AT$15,0.5,0),IF($D21="U",IF(AT$14=AT$15,1,0),1/AT$15)))</f>
        <v>10642.8823109741</v>
      </c>
      <c r="AU21" s="498" t="n">
        <f aca="false">INDEX(FC_FLUJO_CAJA!$D$17:$BK$17,1,AU$13)*IF(IFERROR(VALUE($D21&amp;""),0)&gt;0,IF(AU$14=MIN(VALUE($D21&amp;""),AU$15),1,0),IF($D21="Q",IF(AU$14=MIN(2,AU$15),0.5,0)+IF(AU$14=AU$15,0.5,0),IF($D21="U",IF(AU$14=AU$15,1,0),1/AU$15)))</f>
        <v>10642.8823109741</v>
      </c>
      <c r="AV21" s="498" t="n">
        <f aca="false">INDEX(FC_FLUJO_CAJA!$D$17:$BK$17,1,AV$13)*IF(IFERROR(VALUE($D21&amp;""),0)&gt;0,IF(AV$14=MIN(VALUE($D21&amp;""),AV$15),1,0),IF($D21="Q",IF(AV$14=MIN(2,AV$15),0.5,0)+IF(AV$14=AV$15,0.5,0),IF($D21="U",IF(AV$14=AV$15,1,0),1/AV$15)))</f>
        <v>10642.8823109741</v>
      </c>
      <c r="AW21" s="498" t="n">
        <f aca="false">INDEX(FC_FLUJO_CAJA!$D$17:$BK$17,1,AW$13)*IF(IFERROR(VALUE($D21&amp;""),0)&gt;0,IF(AW$14=MIN(VALUE($D21&amp;""),AW$15),1,0),IF($D21="Q",IF(AW$14=MIN(2,AW$15),0.5,0)+IF(AW$14=AW$15,0.5,0),IF($D21="U",IF(AW$14=AW$15,1,0),1/AW$15)))</f>
        <v>18853.1058080113</v>
      </c>
      <c r="AX21" s="498" t="n">
        <f aca="false">INDEX(FC_FLUJO_CAJA!$D$17:$BK$17,1,AX$13)*IF(IFERROR(VALUE($D21&amp;""),0)&gt;0,IF(AX$14=MIN(VALUE($D21&amp;""),AX$15),1,0),IF($D21="Q",IF(AX$14=MIN(2,AX$15),0.5,0)+IF(AX$14=AX$15,0.5,0),IF($D21="U",IF(AX$14=AX$15,1,0),1/AX$15)))</f>
        <v>18853.1058080113</v>
      </c>
      <c r="AY21" s="498" t="n">
        <f aca="false">INDEX(FC_FLUJO_CAJA!$D$17:$BK$17,1,AY$13)*IF(IFERROR(VALUE($D21&amp;""),0)&gt;0,IF(AY$14=MIN(VALUE($D21&amp;""),AY$15),1,0),IF($D21="Q",IF(AY$14=MIN(2,AY$15),0.5,0)+IF(AY$14=AY$15,0.5,0),IF($D21="U",IF(AY$14=AY$15,1,0),1/AY$15)))</f>
        <v>18853.1058080113</v>
      </c>
      <c r="AZ21" s="498" t="n">
        <f aca="false">INDEX(FC_FLUJO_CAJA!$D$17:$BK$17,1,AZ$13)*IF(IFERROR(VALUE($D21&amp;""),0)&gt;0,IF(AZ$14=MIN(VALUE($D21&amp;""),AZ$15),1,0),IF($D21="Q",IF(AZ$14=MIN(2,AZ$15),0.5,0)+IF(AZ$14=AZ$15,0.5,0),IF($D21="U",IF(AZ$14=AZ$15,1,0),1/AZ$15)))</f>
        <v>18853.1058080113</v>
      </c>
      <c r="BA21" s="498" t="n">
        <f aca="false">INDEX(FC_FLUJO_CAJA!$D$17:$BK$17,1,BA$13)*IF(IFERROR(VALUE($D21&amp;""),0)&gt;0,IF(BA$14=MIN(VALUE($D21&amp;""),BA$15),1,0),IF($D21="Q",IF(BA$14=MIN(2,BA$15),0.5,0)+IF(BA$14=BA$15,0.5,0),IF($D21="U",IF(BA$14=BA$15,1,0),1/BA$15)))</f>
        <v>18853.1058080113</v>
      </c>
      <c r="BB21" s="498" t="n">
        <f aca="false">INDEX(FC_FLUJO_CAJA!$D$17:$BK$17,1,BB$13)*IF(IFERROR(VALUE($D21&amp;""),0)&gt;0,IF(BB$14=MIN(VALUE($D21&amp;""),BB$15),1,0),IF($D21="Q",IF(BB$14=MIN(2,BB$15),0.5,0)+IF(BB$14=BB$15,0.5,0),IF($D21="U",IF(BB$14=BB$15,1,0),1/BB$15)))</f>
        <v>38770.4998471199</v>
      </c>
      <c r="BC21" s="498" t="n">
        <f aca="false">INDEX(FC_FLUJO_CAJA!$D$17:$BK$17,1,BC$13)*IF(IFERROR(VALUE($D21&amp;""),0)&gt;0,IF(BC$14=MIN(VALUE($D21&amp;""),BC$15),1,0),IF($D21="Q",IF(BC$14=MIN(2,BC$15),0.5,0)+IF(BC$14=BC$15,0.5,0),IF($D21="U",IF(BC$14=BC$15,1,0),1/BC$15)))</f>
        <v>38770.4998471199</v>
      </c>
      <c r="BD21" s="498" t="n">
        <f aca="false">INDEX(FC_FLUJO_CAJA!$D$17:$BK$17,1,BD$13)*IF(IFERROR(VALUE($D21&amp;""),0)&gt;0,IF(BD$14=MIN(VALUE($D21&amp;""),BD$15),1,0),IF($D21="Q",IF(BD$14=MIN(2,BD$15),0.5,0)+IF(BD$14=BD$15,0.5,0),IF($D21="U",IF(BD$14=BD$15,1,0),1/BD$15)))</f>
        <v>38770.4998471199</v>
      </c>
      <c r="BE21" s="498" t="n">
        <f aca="false">INDEX(FC_FLUJO_CAJA!$D$17:$BK$17,1,BE$13)*IF(IFERROR(VALUE($D21&amp;""),0)&gt;0,IF(BE$14=MIN(VALUE($D21&amp;""),BE$15),1,0),IF($D21="Q",IF(BE$14=MIN(2,BE$15),0.5,0)+IF(BE$14=BE$15,0.5,0),IF($D21="U",IF(BE$14=BE$15,1,0),1/BE$15)))</f>
        <v>38770.4998471199</v>
      </c>
    </row>
    <row r="22" customFormat="false" ht="15" hidden="false" customHeight="true" outlineLevel="0" collapsed="false">
      <c r="A22" s="400" t="s">
        <v>3090</v>
      </c>
      <c r="B22" s="283" t="s">
        <v>3091</v>
      </c>
      <c r="C22" s="531" t="s">
        <v>3092</v>
      </c>
      <c r="D22" s="289" t="str">
        <f aca="false">FC_SUPUESTOS!$C$128</f>
        <v>P</v>
      </c>
      <c r="E22" s="532" t="n">
        <f aca="false">SUM(F22:BE22)</f>
        <v>-55258.8019725421</v>
      </c>
      <c r="F22" s="498" t="n">
        <f aca="false">(-INDEX(FC_FLUJO_CAJA!$D$32:$BK$32,1,F$13)-INDEX(FC_FLUJO_CAJA!$D$34:$BK$34,1,F$13))*IF(IFERROR(VALUE($D22&amp;""),0)&gt;0,IF(F$14=MIN(VALUE($D22&amp;""),F$15),1,0),IF($D22="Q",IF(F$14=MIN(2,F$15),0.5,0)+IF(F$14=F$15,0.5,0),IF($D22="U",IF(F$14=F$15,1,0),1/F$15)))</f>
        <v>0</v>
      </c>
      <c r="G22" s="498" t="n">
        <f aca="false">(-INDEX(FC_FLUJO_CAJA!$D$32:$BK$32,1,G$13)-INDEX(FC_FLUJO_CAJA!$D$34:$BK$34,1,G$13))*IF(IFERROR(VALUE($D22&amp;""),0)&gt;0,IF(G$14=MIN(VALUE($D22&amp;""),G$15),1,0),IF($D22="Q",IF(G$14=MIN(2,G$15),0.5,0)+IF(G$14=G$15,0.5,0),IF($D22="U",IF(G$14=G$15,1,0),1/G$15)))</f>
        <v>0</v>
      </c>
      <c r="H22" s="498" t="n">
        <f aca="false">(-INDEX(FC_FLUJO_CAJA!$D$32:$BK$32,1,H$13)-INDEX(FC_FLUJO_CAJA!$D$34:$BK$34,1,H$13))*IF(IFERROR(VALUE($D22&amp;""),0)&gt;0,IF(H$14=MIN(VALUE($D22&amp;""),H$15),1,0),IF($D22="Q",IF(H$14=MIN(2,H$15),0.5,0)+IF(H$14=H$15,0.5,0),IF($D22="U",IF(H$14=H$15,1,0),1/H$15)))</f>
        <v>0</v>
      </c>
      <c r="I22" s="498" t="n">
        <f aca="false">(-INDEX(FC_FLUJO_CAJA!$D$32:$BK$32,1,I$13)-INDEX(FC_FLUJO_CAJA!$D$34:$BK$34,1,I$13))*IF(IFERROR(VALUE($D22&amp;""),0)&gt;0,IF(I$14=MIN(VALUE($D22&amp;""),I$15),1,0),IF($D22="Q",IF(I$14=MIN(2,I$15),0.5,0)+IF(I$14=I$15,0.5,0),IF($D22="U",IF(I$14=I$15,1,0),1/I$15)))</f>
        <v>0</v>
      </c>
      <c r="J22" s="498" t="n">
        <f aca="false">(-INDEX(FC_FLUJO_CAJA!$D$32:$BK$32,1,J$13)-INDEX(FC_FLUJO_CAJA!$D$34:$BK$34,1,J$13))*IF(IFERROR(VALUE($D22&amp;""),0)&gt;0,IF(J$14=MIN(VALUE($D22&amp;""),J$15),1,0),IF($D22="Q",IF(J$14=MIN(2,J$15),0.5,0)+IF(J$14=J$15,0.5,0),IF($D22="U",IF(J$14=J$15,1,0),1/J$15)))</f>
        <v>0</v>
      </c>
      <c r="K22" s="498" t="n">
        <f aca="false">(-INDEX(FC_FLUJO_CAJA!$D$32:$BK$32,1,K$13)-INDEX(FC_FLUJO_CAJA!$D$34:$BK$34,1,K$13))*IF(IFERROR(VALUE($D22&amp;""),0)&gt;0,IF(K$14=MIN(VALUE($D22&amp;""),K$15),1,0),IF($D22="Q",IF(K$14=MIN(2,K$15),0.5,0)+IF(K$14=K$15,0.5,0),IF($D22="U",IF(K$14=K$15,1,0),1/K$15)))</f>
        <v>0</v>
      </c>
      <c r="L22" s="498" t="n">
        <f aca="false">(-INDEX(FC_FLUJO_CAJA!$D$32:$BK$32,1,L$13)-INDEX(FC_FLUJO_CAJA!$D$34:$BK$34,1,L$13))*IF(IFERROR(VALUE($D22&amp;""),0)&gt;0,IF(L$14=MIN(VALUE($D22&amp;""),L$15),1,0),IF($D22="Q",IF(L$14=MIN(2,L$15),0.5,0)+IF(L$14=L$15,0.5,0),IF($D22="U",IF(L$14=L$15,1,0),1/L$15)))</f>
        <v>0</v>
      </c>
      <c r="M22" s="498" t="n">
        <f aca="false">(-INDEX(FC_FLUJO_CAJA!$D$32:$BK$32,1,M$13)-INDEX(FC_FLUJO_CAJA!$D$34:$BK$34,1,M$13))*IF(IFERROR(VALUE($D22&amp;""),0)&gt;0,IF(M$14=MIN(VALUE($D22&amp;""),M$15),1,0),IF($D22="Q",IF(M$14=MIN(2,M$15),0.5,0)+IF(M$14=M$15,0.5,0),IF($D22="U",IF(M$14=M$15,1,0),1/M$15)))</f>
        <v>0</v>
      </c>
      <c r="N22" s="498" t="n">
        <f aca="false">(-INDEX(FC_FLUJO_CAJA!$D$32:$BK$32,1,N$13)-INDEX(FC_FLUJO_CAJA!$D$34:$BK$34,1,N$13))*IF(IFERROR(VALUE($D22&amp;""),0)&gt;0,IF(N$14=MIN(VALUE($D22&amp;""),N$15),1,0),IF($D22="Q",IF(N$14=MIN(2,N$15),0.5,0)+IF(N$14=N$15,0.5,0),IF($D22="U",IF(N$14=N$15,1,0),1/N$15)))</f>
        <v>0</v>
      </c>
      <c r="O22" s="498" t="n">
        <f aca="false">(-INDEX(FC_FLUJO_CAJA!$D$32:$BK$32,1,O$13)-INDEX(FC_FLUJO_CAJA!$D$34:$BK$34,1,O$13))*IF(IFERROR(VALUE($D22&amp;""),0)&gt;0,IF(O$14=MIN(VALUE($D22&amp;""),O$15),1,0),IF($D22="Q",IF(O$14=MIN(2,O$15),0.5,0)+IF(O$14=O$15,0.5,0),IF($D22="U",IF(O$14=O$15,1,0),1/O$15)))</f>
        <v>0</v>
      </c>
      <c r="P22" s="498" t="n">
        <f aca="false">(-INDEX(FC_FLUJO_CAJA!$D$32:$BK$32,1,P$13)-INDEX(FC_FLUJO_CAJA!$D$34:$BK$34,1,P$13))*IF(IFERROR(VALUE($D22&amp;""),0)&gt;0,IF(P$14=MIN(VALUE($D22&amp;""),P$15),1,0),IF($D22="Q",IF(P$14=MIN(2,P$15),0.5,0)+IF(P$14=P$15,0.5,0),IF($D22="U",IF(P$14=P$15,1,0),1/P$15)))</f>
        <v>0</v>
      </c>
      <c r="Q22" s="498" t="n">
        <f aca="false">(-INDEX(FC_FLUJO_CAJA!$D$32:$BK$32,1,Q$13)-INDEX(FC_FLUJO_CAJA!$D$34:$BK$34,1,Q$13))*IF(IFERROR(VALUE($D22&amp;""),0)&gt;0,IF(Q$14=MIN(VALUE($D22&amp;""),Q$15),1,0),IF($D22="Q",IF(Q$14=MIN(2,Q$15),0.5,0)+IF(Q$14=Q$15,0.5,0),IF($D22="U",IF(Q$14=Q$15,1,0),1/Q$15)))</f>
        <v>0</v>
      </c>
      <c r="R22" s="498" t="n">
        <f aca="false">(-INDEX(FC_FLUJO_CAJA!$D$32:$BK$32,1,R$13)-INDEX(FC_FLUJO_CAJA!$D$34:$BK$34,1,R$13))*IF(IFERROR(VALUE($D22&amp;""),0)&gt;0,IF(R$14=MIN(VALUE($D22&amp;""),R$15),1,0),IF($D22="Q",IF(R$14=MIN(2,R$15),0.5,0)+IF(R$14=R$15,0.5,0),IF($D22="U",IF(R$14=R$15,1,0),1/R$15)))</f>
        <v>0</v>
      </c>
      <c r="S22" s="498" t="n">
        <f aca="false">(-INDEX(FC_FLUJO_CAJA!$D$32:$BK$32,1,S$13)-INDEX(FC_FLUJO_CAJA!$D$34:$BK$34,1,S$13))*IF(IFERROR(VALUE($D22&amp;""),0)&gt;0,IF(S$14=MIN(VALUE($D22&amp;""),S$15),1,0),IF($D22="Q",IF(S$14=MIN(2,S$15),0.5,0)+IF(S$14=S$15,0.5,0),IF($D22="U",IF(S$14=S$15,1,0),1/S$15)))</f>
        <v>0</v>
      </c>
      <c r="T22" s="498" t="n">
        <f aca="false">(-INDEX(FC_FLUJO_CAJA!$D$32:$BK$32,1,T$13)-INDEX(FC_FLUJO_CAJA!$D$34:$BK$34,1,T$13))*IF(IFERROR(VALUE($D22&amp;""),0)&gt;0,IF(T$14=MIN(VALUE($D22&amp;""),T$15),1,0),IF($D22="Q",IF(T$14=MIN(2,T$15),0.5,0)+IF(T$14=T$15,0.5,0),IF($D22="U",IF(T$14=T$15,1,0),1/T$15)))</f>
        <v>0</v>
      </c>
      <c r="U22" s="498" t="n">
        <f aca="false">(-INDEX(FC_FLUJO_CAJA!$D$32:$BK$32,1,U$13)-INDEX(FC_FLUJO_CAJA!$D$34:$BK$34,1,U$13))*IF(IFERROR(VALUE($D22&amp;""),0)&gt;0,IF(U$14=MIN(VALUE($D22&amp;""),U$15),1,0),IF($D22="Q",IF(U$14=MIN(2,U$15),0.5,0)+IF(U$14=U$15,0.5,0),IF($D22="U",IF(U$14=U$15,1,0),1/U$15)))</f>
        <v>0</v>
      </c>
      <c r="V22" s="498" t="n">
        <f aca="false">(-INDEX(FC_FLUJO_CAJA!$D$32:$BK$32,1,V$13)-INDEX(FC_FLUJO_CAJA!$D$34:$BK$34,1,V$13))*IF(IFERROR(VALUE($D22&amp;""),0)&gt;0,IF(V$14=MIN(VALUE($D22&amp;""),V$15),1,0),IF($D22="Q",IF(V$14=MIN(2,V$15),0.5,0)+IF(V$14=V$15,0.5,0),IF($D22="U",IF(V$14=V$15,1,0),1/V$15)))</f>
        <v>0</v>
      </c>
      <c r="W22" s="498" t="n">
        <f aca="false">(-INDEX(FC_FLUJO_CAJA!$D$32:$BK$32,1,W$13)-INDEX(FC_FLUJO_CAJA!$D$34:$BK$34,1,W$13))*IF(IFERROR(VALUE($D22&amp;""),0)&gt;0,IF(W$14=MIN(VALUE($D22&amp;""),W$15),1,0),IF($D22="Q",IF(W$14=MIN(2,W$15),0.5,0)+IF(W$14=W$15,0.5,0),IF($D22="U",IF(W$14=W$15,1,0),1/W$15)))</f>
        <v>0</v>
      </c>
      <c r="X22" s="498" t="n">
        <f aca="false">(-INDEX(FC_FLUJO_CAJA!$D$32:$BK$32,1,X$13)-INDEX(FC_FLUJO_CAJA!$D$34:$BK$34,1,X$13))*IF(IFERROR(VALUE($D22&amp;""),0)&gt;0,IF(X$14=MIN(VALUE($D22&amp;""),X$15),1,0),IF($D22="Q",IF(X$14=MIN(2,X$15),0.5,0)+IF(X$14=X$15,0.5,0),IF($D22="U",IF(X$14=X$15,1,0),1/X$15)))</f>
        <v>0</v>
      </c>
      <c r="Y22" s="498" t="n">
        <f aca="false">(-INDEX(FC_FLUJO_CAJA!$D$32:$BK$32,1,Y$13)-INDEX(FC_FLUJO_CAJA!$D$34:$BK$34,1,Y$13))*IF(IFERROR(VALUE($D22&amp;""),0)&gt;0,IF(Y$14=MIN(VALUE($D22&amp;""),Y$15),1,0),IF($D22="Q",IF(Y$14=MIN(2,Y$15),0.5,0)+IF(Y$14=Y$15,0.5,0),IF($D22="U",IF(Y$14=Y$15,1,0),1/Y$15)))</f>
        <v>0</v>
      </c>
      <c r="Z22" s="498" t="n">
        <f aca="false">(-INDEX(FC_FLUJO_CAJA!$D$32:$BK$32,1,Z$13)-INDEX(FC_FLUJO_CAJA!$D$34:$BK$34,1,Z$13))*IF(IFERROR(VALUE($D22&amp;""),0)&gt;0,IF(Z$14=MIN(VALUE($D22&amp;""),Z$15),1,0),IF($D22="Q",IF(Z$14=MIN(2,Z$15),0.5,0)+IF(Z$14=Z$15,0.5,0),IF($D22="U",IF(Z$14=Z$15,1,0),1/Z$15)))</f>
        <v>0</v>
      </c>
      <c r="AA22" s="498" t="n">
        <f aca="false">(-INDEX(FC_FLUJO_CAJA!$D$32:$BK$32,1,AA$13)-INDEX(FC_FLUJO_CAJA!$D$34:$BK$34,1,AA$13))*IF(IFERROR(VALUE($D22&amp;""),0)&gt;0,IF(AA$14=MIN(VALUE($D22&amp;""),AA$15),1,0),IF($D22="Q",IF(AA$14=MIN(2,AA$15),0.5,0)+IF(AA$14=AA$15,0.5,0),IF($D22="U",IF(AA$14=AA$15,1,0),1/AA$15)))</f>
        <v>0</v>
      </c>
      <c r="AB22" s="498" t="n">
        <f aca="false">(-INDEX(FC_FLUJO_CAJA!$D$32:$BK$32,1,AB$13)-INDEX(FC_FLUJO_CAJA!$D$34:$BK$34,1,AB$13))*IF(IFERROR(VALUE($D22&amp;""),0)&gt;0,IF(AB$14=MIN(VALUE($D22&amp;""),AB$15),1,0),IF($D22="Q",IF(AB$14=MIN(2,AB$15),0.5,0)+IF(AB$14=AB$15,0.5,0),IF($D22="U",IF(AB$14=AB$15,1,0),1/AB$15)))</f>
        <v>0</v>
      </c>
      <c r="AC22" s="498" t="n">
        <f aca="false">(-INDEX(FC_FLUJO_CAJA!$D$32:$BK$32,1,AC$13)-INDEX(FC_FLUJO_CAJA!$D$34:$BK$34,1,AC$13))*IF(IFERROR(VALUE($D22&amp;""),0)&gt;0,IF(AC$14=MIN(VALUE($D22&amp;""),AC$15),1,0),IF($D22="Q",IF(AC$14=MIN(2,AC$15),0.5,0)+IF(AC$14=AC$15,0.5,0),IF($D22="U",IF(AC$14=AC$15,1,0),1/AC$15)))</f>
        <v>0</v>
      </c>
      <c r="AD22" s="498" t="n">
        <f aca="false">(-INDEX(FC_FLUJO_CAJA!$D$32:$BK$32,1,AD$13)-INDEX(FC_FLUJO_CAJA!$D$34:$BK$34,1,AD$13))*IF(IFERROR(VALUE($D22&amp;""),0)&gt;0,IF(AD$14=MIN(VALUE($D22&amp;""),AD$15),1,0),IF($D22="Q",IF(AD$14=MIN(2,AD$15),0.5,0)+IF(AD$14=AD$15,0.5,0),IF($D22="U",IF(AD$14=AD$15,1,0),1/AD$15)))</f>
        <v>0</v>
      </c>
      <c r="AE22" s="498" t="n">
        <f aca="false">(-INDEX(FC_FLUJO_CAJA!$D$32:$BK$32,1,AE$13)-INDEX(FC_FLUJO_CAJA!$D$34:$BK$34,1,AE$13))*IF(IFERROR(VALUE($D22&amp;""),0)&gt;0,IF(AE$14=MIN(VALUE($D22&amp;""),AE$15),1,0),IF($D22="Q",IF(AE$14=MIN(2,AE$15),0.5,0)+IF(AE$14=AE$15,0.5,0),IF($D22="U",IF(AE$14=AE$15,1,0),1/AE$15)))</f>
        <v>0</v>
      </c>
      <c r="AF22" s="498" t="n">
        <f aca="false">(-INDEX(FC_FLUJO_CAJA!$D$32:$BK$32,1,AF$13)-INDEX(FC_FLUJO_CAJA!$D$34:$BK$34,1,AF$13))*IF(IFERROR(VALUE($D22&amp;""),0)&gt;0,IF(AF$14=MIN(VALUE($D22&amp;""),AF$15),1,0),IF($D22="Q",IF(AF$14=MIN(2,AF$15),0.5,0)+IF(AF$14=AF$15,0.5,0),IF($D22="U",IF(AF$14=AF$15,1,0),1/AF$15)))</f>
        <v>0</v>
      </c>
      <c r="AG22" s="498" t="n">
        <f aca="false">(-INDEX(FC_FLUJO_CAJA!$D$32:$BK$32,1,AG$13)-INDEX(FC_FLUJO_CAJA!$D$34:$BK$34,1,AG$13))*IF(IFERROR(VALUE($D22&amp;""),0)&gt;0,IF(AG$14=MIN(VALUE($D22&amp;""),AG$15),1,0),IF($D22="Q",IF(AG$14=MIN(2,AG$15),0.5,0)+IF(AG$14=AG$15,0.5,0),IF($D22="U",IF(AG$14=AG$15,1,0),1/AG$15)))</f>
        <v>0</v>
      </c>
      <c r="AH22" s="498" t="n">
        <f aca="false">(-INDEX(FC_FLUJO_CAJA!$D$32:$BK$32,1,AH$13)-INDEX(FC_FLUJO_CAJA!$D$34:$BK$34,1,AH$13))*IF(IFERROR(VALUE($D22&amp;""),0)&gt;0,IF(AH$14=MIN(VALUE($D22&amp;""),AH$15),1,0),IF($D22="Q",IF(AH$14=MIN(2,AH$15),0.5,0)+IF(AH$14=AH$15,0.5,0),IF($D22="U",IF(AH$14=AH$15,1,0),1/AH$15)))</f>
        <v>0</v>
      </c>
      <c r="AI22" s="498" t="n">
        <f aca="false">(-INDEX(FC_FLUJO_CAJA!$D$32:$BK$32,1,AI$13)-INDEX(FC_FLUJO_CAJA!$D$34:$BK$34,1,AI$13))*IF(IFERROR(VALUE($D22&amp;""),0)&gt;0,IF(AI$14=MIN(VALUE($D22&amp;""),AI$15),1,0),IF($D22="Q",IF(AI$14=MIN(2,AI$15),0.5,0)+IF(AI$14=AI$15,0.5,0),IF($D22="U",IF(AI$14=AI$15,1,0),1/AI$15)))</f>
        <v>0</v>
      </c>
      <c r="AJ22" s="498" t="n">
        <f aca="false">(-INDEX(FC_FLUJO_CAJA!$D$32:$BK$32,1,AJ$13)-INDEX(FC_FLUJO_CAJA!$D$34:$BK$34,1,AJ$13))*IF(IFERROR(VALUE($D22&amp;""),0)&gt;0,IF(AJ$14=MIN(VALUE($D22&amp;""),AJ$15),1,0),IF($D22="Q",IF(AJ$14=MIN(2,AJ$15),0.5,0)+IF(AJ$14=AJ$15,0.5,0),IF($D22="U",IF(AJ$14=AJ$15,1,0),1/AJ$15)))</f>
        <v>0</v>
      </c>
      <c r="AK22" s="498" t="n">
        <f aca="false">(-INDEX(FC_FLUJO_CAJA!$D$32:$BK$32,1,AK$13)-INDEX(FC_FLUJO_CAJA!$D$34:$BK$34,1,AK$13))*IF(IFERROR(VALUE($D22&amp;""),0)&gt;0,IF(AK$14=MIN(VALUE($D22&amp;""),AK$15),1,0),IF($D22="Q",IF(AK$14=MIN(2,AK$15),0.5,0)+IF(AK$14=AK$15,0.5,0),IF($D22="U",IF(AK$14=AK$15,1,0),1/AK$15)))</f>
        <v>0</v>
      </c>
      <c r="AL22" s="498" t="n">
        <f aca="false">(-INDEX(FC_FLUJO_CAJA!$D$32:$BK$32,1,AL$13)-INDEX(FC_FLUJO_CAJA!$D$34:$BK$34,1,AL$13))*IF(IFERROR(VALUE($D22&amp;""),0)&gt;0,IF(AL$14=MIN(VALUE($D22&amp;""),AL$15),1,0),IF($D22="Q",IF(AL$14=MIN(2,AL$15),0.5,0)+IF(AL$14=AL$15,0.5,0),IF($D22="U",IF(AL$14=AL$15,1,0),1/AL$15)))</f>
        <v>0</v>
      </c>
      <c r="AM22" s="498" t="n">
        <f aca="false">(-INDEX(FC_FLUJO_CAJA!$D$32:$BK$32,1,AM$13)-INDEX(FC_FLUJO_CAJA!$D$34:$BK$34,1,AM$13))*IF(IFERROR(VALUE($D22&amp;""),0)&gt;0,IF(AM$14=MIN(VALUE($D22&amp;""),AM$15),1,0),IF($D22="Q",IF(AM$14=MIN(2,AM$15),0.5,0)+IF(AM$14=AM$15,0.5,0),IF($D22="U",IF(AM$14=AM$15,1,0),1/AM$15)))</f>
        <v>0</v>
      </c>
      <c r="AN22" s="498" t="n">
        <f aca="false">(-INDEX(FC_FLUJO_CAJA!$D$32:$BK$32,1,AN$13)-INDEX(FC_FLUJO_CAJA!$D$34:$BK$34,1,AN$13))*IF(IFERROR(VALUE($D22&amp;""),0)&gt;0,IF(AN$14=MIN(VALUE($D22&amp;""),AN$15),1,0),IF($D22="Q",IF(AN$14=MIN(2,AN$15),0.5,0)+IF(AN$14=AN$15,0.5,0),IF($D22="U",IF(AN$14=AN$15,1,0),1/AN$15)))</f>
        <v>0</v>
      </c>
      <c r="AO22" s="498" t="n">
        <f aca="false">(-INDEX(FC_FLUJO_CAJA!$D$32:$BK$32,1,AO$13)-INDEX(FC_FLUJO_CAJA!$D$34:$BK$34,1,AO$13))*IF(IFERROR(VALUE($D22&amp;""),0)&gt;0,IF(AO$14=MIN(VALUE($D22&amp;""),AO$15),1,0),IF($D22="Q",IF(AO$14=MIN(2,AO$15),0.5,0)+IF(AO$14=AO$15,0.5,0),IF($D22="U",IF(AO$14=AO$15,1,0),1/AO$15)))</f>
        <v>0</v>
      </c>
      <c r="AP22" s="498" t="n">
        <f aca="false">(-INDEX(FC_FLUJO_CAJA!$D$32:$BK$32,1,AP$13)-INDEX(FC_FLUJO_CAJA!$D$34:$BK$34,1,AP$13))*IF(IFERROR(VALUE($D22&amp;""),0)&gt;0,IF(AP$14=MIN(VALUE($D22&amp;""),AP$15),1,0),IF($D22="Q",IF(AP$14=MIN(2,AP$15),0.5,0)+IF(AP$14=AP$15,0.5,0),IF($D22="U",IF(AP$14=AP$15,1,0),1/AP$15)))</f>
        <v>0</v>
      </c>
      <c r="AQ22" s="498" t="n">
        <f aca="false">(-INDEX(FC_FLUJO_CAJA!$D$32:$BK$32,1,AQ$13)-INDEX(FC_FLUJO_CAJA!$D$34:$BK$34,1,AQ$13))*IF(IFERROR(VALUE($D22&amp;""),0)&gt;0,IF(AQ$14=MIN(VALUE($D22&amp;""),AQ$15),1,0),IF($D22="Q",IF(AQ$14=MIN(2,AQ$15),0.5,0)+IF(AQ$14=AQ$15,0.5,0),IF($D22="U",IF(AQ$14=AQ$15,1,0),1/AQ$15)))</f>
        <v>0</v>
      </c>
      <c r="AR22" s="498" t="n">
        <f aca="false">(-INDEX(FC_FLUJO_CAJA!$D$32:$BK$32,1,AR$13)-INDEX(FC_FLUJO_CAJA!$D$34:$BK$34,1,AR$13))*IF(IFERROR(VALUE($D22&amp;""),0)&gt;0,IF(AR$14=MIN(VALUE($D22&amp;""),AR$15),1,0),IF($D22="Q",IF(AR$14=MIN(2,AR$15),0.5,0)+IF(AR$14=AR$15,0.5,0),IF($D22="U",IF(AR$14=AR$15,1,0),1/AR$15)))</f>
        <v>0</v>
      </c>
      <c r="AS22" s="498" t="n">
        <f aca="false">(-INDEX(FC_FLUJO_CAJA!$D$32:$BK$32,1,AS$13)-INDEX(FC_FLUJO_CAJA!$D$34:$BK$34,1,AS$13))*IF(IFERROR(VALUE($D22&amp;""),0)&gt;0,IF(AS$14=MIN(VALUE($D22&amp;""),AS$15),1,0),IF($D22="Q",IF(AS$14=MIN(2,AS$15),0.5,0)+IF(AS$14=AS$15,0.5,0),IF($D22="U",IF(AS$14=AS$15,1,0),1/AS$15)))</f>
        <v>-3792.27072360583</v>
      </c>
      <c r="AT22" s="498" t="n">
        <f aca="false">(-INDEX(FC_FLUJO_CAJA!$D$32:$BK$32,1,AT$13)-INDEX(FC_FLUJO_CAJA!$D$34:$BK$34,1,AT$13))*IF(IFERROR(VALUE($D22&amp;""),0)&gt;0,IF(AT$14=MIN(VALUE($D22&amp;""),AT$15),1,0),IF($D22="Q",IF(AT$14=MIN(2,AT$15),0.5,0)+IF(AT$14=AT$15,0.5,0),IF($D22="U",IF(AT$14=AT$15,1,0),1/AT$15)))</f>
        <v>-3792.27072360583</v>
      </c>
      <c r="AU22" s="498" t="n">
        <f aca="false">(-INDEX(FC_FLUJO_CAJA!$D$32:$BK$32,1,AU$13)-INDEX(FC_FLUJO_CAJA!$D$34:$BK$34,1,AU$13))*IF(IFERROR(VALUE($D22&amp;""),0)&gt;0,IF(AU$14=MIN(VALUE($D22&amp;""),AU$15),1,0),IF($D22="Q",IF(AU$14=MIN(2,AU$15),0.5,0)+IF(AU$14=AU$15,0.5,0),IF($D22="U",IF(AU$14=AU$15,1,0),1/AU$15)))</f>
        <v>-3792.27072360583</v>
      </c>
      <c r="AV22" s="498" t="n">
        <f aca="false">(-INDEX(FC_FLUJO_CAJA!$D$32:$BK$32,1,AV$13)-INDEX(FC_FLUJO_CAJA!$D$34:$BK$34,1,AV$13))*IF(IFERROR(VALUE($D22&amp;""),0)&gt;0,IF(AV$14=MIN(VALUE($D22&amp;""),AV$15),1,0),IF($D22="Q",IF(AV$14=MIN(2,AV$15),0.5,0)+IF(AV$14=AV$15,0.5,0),IF($D22="U",IF(AV$14=AV$15,1,0),1/AV$15)))</f>
        <v>-3792.27072360583</v>
      </c>
      <c r="AW22" s="498" t="n">
        <f aca="false">(-INDEX(FC_FLUJO_CAJA!$D$32:$BK$32,1,AW$13)-INDEX(FC_FLUJO_CAJA!$D$34:$BK$34,1,AW$13))*IF(IFERROR(VALUE($D22&amp;""),0)&gt;0,IF(AW$14=MIN(VALUE($D22&amp;""),AW$15),1,0),IF($D22="Q",IF(AW$14=MIN(2,AW$15),0.5,0)+IF(AW$14=AW$15,0.5,0),IF($D22="U",IF(AW$14=AW$15,1,0),1/AW$15)))</f>
        <v>-3683.92013150281</v>
      </c>
      <c r="AX22" s="498" t="n">
        <f aca="false">(-INDEX(FC_FLUJO_CAJA!$D$32:$BK$32,1,AX$13)-INDEX(FC_FLUJO_CAJA!$D$34:$BK$34,1,AX$13))*IF(IFERROR(VALUE($D22&amp;""),0)&gt;0,IF(AX$14=MIN(VALUE($D22&amp;""),AX$15),1,0),IF($D22="Q",IF(AX$14=MIN(2,AX$15),0.5,0)+IF(AX$14=AX$15,0.5,0),IF($D22="U",IF(AX$14=AX$15,1,0),1/AX$15)))</f>
        <v>-3683.92013150281</v>
      </c>
      <c r="AY22" s="498" t="n">
        <f aca="false">(-INDEX(FC_FLUJO_CAJA!$D$32:$BK$32,1,AY$13)-INDEX(FC_FLUJO_CAJA!$D$34:$BK$34,1,AY$13))*IF(IFERROR(VALUE($D22&amp;""),0)&gt;0,IF(AY$14=MIN(VALUE($D22&amp;""),AY$15),1,0),IF($D22="Q",IF(AY$14=MIN(2,AY$15),0.5,0)+IF(AY$14=AY$15,0.5,0),IF($D22="U",IF(AY$14=AY$15,1,0),1/AY$15)))</f>
        <v>-3683.92013150281</v>
      </c>
      <c r="AZ22" s="498" t="n">
        <f aca="false">(-INDEX(FC_FLUJO_CAJA!$D$32:$BK$32,1,AZ$13)-INDEX(FC_FLUJO_CAJA!$D$34:$BK$34,1,AZ$13))*IF(IFERROR(VALUE($D22&amp;""),0)&gt;0,IF(AZ$14=MIN(VALUE($D22&amp;""),AZ$15),1,0),IF($D22="Q",IF(AZ$14=MIN(2,AZ$15),0.5,0)+IF(AZ$14=AZ$15,0.5,0),IF($D22="U",IF(AZ$14=AZ$15,1,0),1/AZ$15)))</f>
        <v>-3683.92013150281</v>
      </c>
      <c r="BA22" s="498" t="n">
        <f aca="false">(-INDEX(FC_FLUJO_CAJA!$D$32:$BK$32,1,BA$13)-INDEX(FC_FLUJO_CAJA!$D$34:$BK$34,1,BA$13))*IF(IFERROR(VALUE($D22&amp;""),0)&gt;0,IF(BA$14=MIN(VALUE($D22&amp;""),BA$15),1,0),IF($D22="Q",IF(BA$14=MIN(2,BA$15),0.5,0)+IF(BA$14=BA$15,0.5,0),IF($D22="U",IF(BA$14=BA$15,1,0),1/BA$15)))</f>
        <v>-3683.92013150281</v>
      </c>
      <c r="BB22" s="498" t="n">
        <f aca="false">(-INDEX(FC_FLUJO_CAJA!$D$32:$BK$32,1,BB$13)-INDEX(FC_FLUJO_CAJA!$D$34:$BK$34,1,BB$13))*IF(IFERROR(VALUE($D22&amp;""),0)&gt;0,IF(BB$14=MIN(VALUE($D22&amp;""),BB$15),1,0),IF($D22="Q",IF(BB$14=MIN(2,BB$15),0.5,0)+IF(BB$14=BB$15,0.5,0),IF($D22="U",IF(BB$14=BB$15,1,0),1/BB$15)))</f>
        <v>-5417.52960515119</v>
      </c>
      <c r="BC22" s="498" t="n">
        <f aca="false">(-INDEX(FC_FLUJO_CAJA!$D$32:$BK$32,1,BC$13)-INDEX(FC_FLUJO_CAJA!$D$34:$BK$34,1,BC$13))*IF(IFERROR(VALUE($D22&amp;""),0)&gt;0,IF(BC$14=MIN(VALUE($D22&amp;""),BC$15),1,0),IF($D22="Q",IF(BC$14=MIN(2,BC$15),0.5,0)+IF(BC$14=BC$15,0.5,0),IF($D22="U",IF(BC$14=BC$15,1,0),1/BC$15)))</f>
        <v>-5417.52960515119</v>
      </c>
      <c r="BD22" s="498" t="n">
        <f aca="false">(-INDEX(FC_FLUJO_CAJA!$D$32:$BK$32,1,BD$13)-INDEX(FC_FLUJO_CAJA!$D$34:$BK$34,1,BD$13))*IF(IFERROR(VALUE($D22&amp;""),0)&gt;0,IF(BD$14=MIN(VALUE($D22&amp;""),BD$15),1,0),IF($D22="Q",IF(BD$14=MIN(2,BD$15),0.5,0)+IF(BD$14=BD$15,0.5,0),IF($D22="U",IF(BD$14=BD$15,1,0),1/BD$15)))</f>
        <v>-5417.52960515119</v>
      </c>
      <c r="BE22" s="498" t="n">
        <f aca="false">(-INDEX(FC_FLUJO_CAJA!$D$32:$BK$32,1,BE$13)-INDEX(FC_FLUJO_CAJA!$D$34:$BK$34,1,BE$13))*IF(IFERROR(VALUE($D22&amp;""),0)&gt;0,IF(BE$14=MIN(VALUE($D22&amp;""),BE$15),1,0),IF($D22="Q",IF(BE$14=MIN(2,BE$15),0.5,0)+IF(BE$14=BE$15,0.5,0),IF($D22="U",IF(BE$14=BE$15,1,0),1/BE$15)))</f>
        <v>-5417.52960515119</v>
      </c>
    </row>
    <row r="23" customFormat="false" ht="15" hidden="false" customHeight="true" outlineLevel="0" collapsed="false">
      <c r="A23" s="400" t="s">
        <v>3093</v>
      </c>
      <c r="B23" s="283" t="s">
        <v>3094</v>
      </c>
      <c r="C23" s="531" t="s">
        <v>3095</v>
      </c>
      <c r="D23" s="289" t="str">
        <f aca="false">FC_SUPUESTOS!$C$129</f>
        <v>Q</v>
      </c>
      <c r="E23" s="532" t="n">
        <f aca="false">SUM(F23:BE23)</f>
        <v>50092.828125</v>
      </c>
      <c r="F23" s="498" t="n">
        <f aca="false">INDEX(FC_FLUJO_CAJA!$D$18:$BK$18,1,F$13)*IF(IFERROR(VALUE($D23&amp;""),0)&gt;0,IF(F$14=MIN(VALUE($D23&amp;""),F$15),1,0),IF($D23="Q",IF(F$14=MIN(2,F$15),0.5,0)+IF(F$14=F$15,0.5,0),IF($D23="U",IF(F$14=F$15,1,0),1/F$15)))</f>
        <v>0</v>
      </c>
      <c r="G23" s="498" t="n">
        <f aca="false">INDEX(FC_FLUJO_CAJA!$D$18:$BK$18,1,G$13)*IF(IFERROR(VALUE($D23&amp;""),0)&gt;0,IF(G$14=MIN(VALUE($D23&amp;""),G$15),1,0),IF($D23="Q",IF(G$14=MIN(2,G$15),0.5,0)+IF(G$14=G$15,0.5,0),IF($D23="U",IF(G$14=G$15,1,0),1/G$15)))</f>
        <v>0</v>
      </c>
      <c r="H23" s="498" t="n">
        <f aca="false">INDEX(FC_FLUJO_CAJA!$D$18:$BK$18,1,H$13)*IF(IFERROR(VALUE($D23&amp;""),0)&gt;0,IF(H$14=MIN(VALUE($D23&amp;""),H$15),1,0),IF($D23="Q",IF(H$14=MIN(2,H$15),0.5,0)+IF(H$14=H$15,0.5,0),IF($D23="U",IF(H$14=H$15,1,0),1/H$15)))</f>
        <v>0</v>
      </c>
      <c r="I23" s="498" t="n">
        <f aca="false">INDEX(FC_FLUJO_CAJA!$D$18:$BK$18,1,I$13)*IF(IFERROR(VALUE($D23&amp;""),0)&gt;0,IF(I$14=MIN(VALUE($D23&amp;""),I$15),1,0),IF($D23="Q",IF(I$14=MIN(2,I$15),0.5,0)+IF(I$14=I$15,0.5,0),IF($D23="U",IF(I$14=I$15,1,0),1/I$15)))</f>
        <v>0</v>
      </c>
      <c r="J23" s="498" t="n">
        <f aca="false">INDEX(FC_FLUJO_CAJA!$D$18:$BK$18,1,J$13)*IF(IFERROR(VALUE($D23&amp;""),0)&gt;0,IF(J$14=MIN(VALUE($D23&amp;""),J$15),1,0),IF($D23="Q",IF(J$14=MIN(2,J$15),0.5,0)+IF(J$14=J$15,0.5,0),IF($D23="U",IF(J$14=J$15,1,0),1/J$15)))</f>
        <v>0</v>
      </c>
      <c r="K23" s="498" t="n">
        <f aca="false">INDEX(FC_FLUJO_CAJA!$D$18:$BK$18,1,K$13)*IF(IFERROR(VALUE($D23&amp;""),0)&gt;0,IF(K$14=MIN(VALUE($D23&amp;""),K$15),1,0),IF($D23="Q",IF(K$14=MIN(2,K$15),0.5,0)+IF(K$14=K$15,0.5,0),IF($D23="U",IF(K$14=K$15,1,0),1/K$15)))</f>
        <v>0</v>
      </c>
      <c r="L23" s="498" t="n">
        <f aca="false">INDEX(FC_FLUJO_CAJA!$D$18:$BK$18,1,L$13)*IF(IFERROR(VALUE($D23&amp;""),0)&gt;0,IF(L$14=MIN(VALUE($D23&amp;""),L$15),1,0),IF($D23="Q",IF(L$14=MIN(2,L$15),0.5,0)+IF(L$14=L$15,0.5,0),IF($D23="U",IF(L$14=L$15,1,0),1/L$15)))</f>
        <v>0</v>
      </c>
      <c r="M23" s="498" t="n">
        <f aca="false">INDEX(FC_FLUJO_CAJA!$D$18:$BK$18,1,M$13)*IF(IFERROR(VALUE($D23&amp;""),0)&gt;0,IF(M$14=MIN(VALUE($D23&amp;""),M$15),1,0),IF($D23="Q",IF(M$14=MIN(2,M$15),0.5,0)+IF(M$14=M$15,0.5,0),IF($D23="U",IF(M$14=M$15,1,0),1/M$15)))</f>
        <v>0</v>
      </c>
      <c r="N23" s="498" t="n">
        <f aca="false">INDEX(FC_FLUJO_CAJA!$D$18:$BK$18,1,N$13)*IF(IFERROR(VALUE($D23&amp;""),0)&gt;0,IF(N$14=MIN(VALUE($D23&amp;""),N$15),1,0),IF($D23="Q",IF(N$14=MIN(2,N$15),0.5,0)+IF(N$14=N$15,0.5,0),IF($D23="U",IF(N$14=N$15,1,0),1/N$15)))</f>
        <v>0</v>
      </c>
      <c r="O23" s="498" t="n">
        <f aca="false">INDEX(FC_FLUJO_CAJA!$D$18:$BK$18,1,O$13)*IF(IFERROR(VALUE($D23&amp;""),0)&gt;0,IF(O$14=MIN(VALUE($D23&amp;""),O$15),1,0),IF($D23="Q",IF(O$14=MIN(2,O$15),0.5,0)+IF(O$14=O$15,0.5,0),IF($D23="U",IF(O$14=O$15,1,0),1/O$15)))</f>
        <v>0</v>
      </c>
      <c r="P23" s="498" t="n">
        <f aca="false">INDEX(FC_FLUJO_CAJA!$D$18:$BK$18,1,P$13)*IF(IFERROR(VALUE($D23&amp;""),0)&gt;0,IF(P$14=MIN(VALUE($D23&amp;""),P$15),1,0),IF($D23="Q",IF(P$14=MIN(2,P$15),0.5,0)+IF(P$14=P$15,0.5,0),IF($D23="U",IF(P$14=P$15,1,0),1/P$15)))</f>
        <v>0</v>
      </c>
      <c r="Q23" s="498" t="n">
        <f aca="false">INDEX(FC_FLUJO_CAJA!$D$18:$BK$18,1,Q$13)*IF(IFERROR(VALUE($D23&amp;""),0)&gt;0,IF(Q$14=MIN(VALUE($D23&amp;""),Q$15),1,0),IF($D23="Q",IF(Q$14=MIN(2,Q$15),0.5,0)+IF(Q$14=Q$15,0.5,0),IF($D23="U",IF(Q$14=Q$15,1,0),1/Q$15)))</f>
        <v>0</v>
      </c>
      <c r="R23" s="498" t="n">
        <f aca="false">INDEX(FC_FLUJO_CAJA!$D$18:$BK$18,1,R$13)*IF(IFERROR(VALUE($D23&amp;""),0)&gt;0,IF(R$14=MIN(VALUE($D23&amp;""),R$15),1,0),IF($D23="Q",IF(R$14=MIN(2,R$15),0.5,0)+IF(R$14=R$15,0.5,0),IF($D23="U",IF(R$14=R$15,1,0),1/R$15)))</f>
        <v>0</v>
      </c>
      <c r="S23" s="498" t="n">
        <f aca="false">INDEX(FC_FLUJO_CAJA!$D$18:$BK$18,1,S$13)*IF(IFERROR(VALUE($D23&amp;""),0)&gt;0,IF(S$14=MIN(VALUE($D23&amp;""),S$15),1,0),IF($D23="Q",IF(S$14=MIN(2,S$15),0.5,0)+IF(S$14=S$15,0.5,0),IF($D23="U",IF(S$14=S$15,1,0),1/S$15)))</f>
        <v>0</v>
      </c>
      <c r="T23" s="498" t="n">
        <f aca="false">INDEX(FC_FLUJO_CAJA!$D$18:$BK$18,1,T$13)*IF(IFERROR(VALUE($D23&amp;""),0)&gt;0,IF(T$14=MIN(VALUE($D23&amp;""),T$15),1,0),IF($D23="Q",IF(T$14=MIN(2,T$15),0.5,0)+IF(T$14=T$15,0.5,0),IF($D23="U",IF(T$14=T$15,1,0),1/T$15)))</f>
        <v>0</v>
      </c>
      <c r="U23" s="498" t="n">
        <f aca="false">INDEX(FC_FLUJO_CAJA!$D$18:$BK$18,1,U$13)*IF(IFERROR(VALUE($D23&amp;""),0)&gt;0,IF(U$14=MIN(VALUE($D23&amp;""),U$15),1,0),IF($D23="Q",IF(U$14=MIN(2,U$15),0.5,0)+IF(U$14=U$15,0.5,0),IF($D23="U",IF(U$14=U$15,1,0),1/U$15)))</f>
        <v>0</v>
      </c>
      <c r="V23" s="498" t="n">
        <f aca="false">INDEX(FC_FLUJO_CAJA!$D$18:$BK$18,1,V$13)*IF(IFERROR(VALUE($D23&amp;""),0)&gt;0,IF(V$14=MIN(VALUE($D23&amp;""),V$15),1,0),IF($D23="Q",IF(V$14=MIN(2,V$15),0.5,0)+IF(V$14=V$15,0.5,0),IF($D23="U",IF(V$14=V$15,1,0),1/V$15)))</f>
        <v>0</v>
      </c>
      <c r="W23" s="498" t="n">
        <f aca="false">INDEX(FC_FLUJO_CAJA!$D$18:$BK$18,1,W$13)*IF(IFERROR(VALUE($D23&amp;""),0)&gt;0,IF(W$14=MIN(VALUE($D23&amp;""),W$15),1,0),IF($D23="Q",IF(W$14=MIN(2,W$15),0.5,0)+IF(W$14=W$15,0.5,0),IF($D23="U",IF(W$14=W$15,1,0),1/W$15)))</f>
        <v>0</v>
      </c>
      <c r="X23" s="498" t="n">
        <f aca="false">INDEX(FC_FLUJO_CAJA!$D$18:$BK$18,1,X$13)*IF(IFERROR(VALUE($D23&amp;""),0)&gt;0,IF(X$14=MIN(VALUE($D23&amp;""),X$15),1,0),IF($D23="Q",IF(X$14=MIN(2,X$15),0.5,0)+IF(X$14=X$15,0.5,0),IF($D23="U",IF(X$14=X$15,1,0),1/X$15)))</f>
        <v>0</v>
      </c>
      <c r="Y23" s="498" t="n">
        <f aca="false">INDEX(FC_FLUJO_CAJA!$D$18:$BK$18,1,Y$13)*IF(IFERROR(VALUE($D23&amp;""),0)&gt;0,IF(Y$14=MIN(VALUE($D23&amp;""),Y$15),1,0),IF($D23="Q",IF(Y$14=MIN(2,Y$15),0.5,0)+IF(Y$14=Y$15,0.5,0),IF($D23="U",IF(Y$14=Y$15,1,0),1/Y$15)))</f>
        <v>0</v>
      </c>
      <c r="Z23" s="498" t="n">
        <f aca="false">INDEX(FC_FLUJO_CAJA!$D$18:$BK$18,1,Z$13)*IF(IFERROR(VALUE($D23&amp;""),0)&gt;0,IF(Z$14=MIN(VALUE($D23&amp;""),Z$15),1,0),IF($D23="Q",IF(Z$14=MIN(2,Z$15),0.5,0)+IF(Z$14=Z$15,0.5,0),IF($D23="U",IF(Z$14=Z$15,1,0),1/Z$15)))</f>
        <v>0</v>
      </c>
      <c r="AA23" s="498" t="n">
        <f aca="false">INDEX(FC_FLUJO_CAJA!$D$18:$BK$18,1,AA$13)*IF(IFERROR(VALUE($D23&amp;""),0)&gt;0,IF(AA$14=MIN(VALUE($D23&amp;""),AA$15),1,0),IF($D23="Q",IF(AA$14=MIN(2,AA$15),0.5,0)+IF(AA$14=AA$15,0.5,0),IF($D23="U",IF(AA$14=AA$15,1,0),1/AA$15)))</f>
        <v>0</v>
      </c>
      <c r="AB23" s="498" t="n">
        <f aca="false">INDEX(FC_FLUJO_CAJA!$D$18:$BK$18,1,AB$13)*IF(IFERROR(VALUE($D23&amp;""),0)&gt;0,IF(AB$14=MIN(VALUE($D23&amp;""),AB$15),1,0),IF($D23="Q",IF(AB$14=MIN(2,AB$15),0.5,0)+IF(AB$14=AB$15,0.5,0),IF($D23="U",IF(AB$14=AB$15,1,0),1/AB$15)))</f>
        <v>0</v>
      </c>
      <c r="AC23" s="498" t="n">
        <f aca="false">INDEX(FC_FLUJO_CAJA!$D$18:$BK$18,1,AC$13)*IF(IFERROR(VALUE($D23&amp;""),0)&gt;0,IF(AC$14=MIN(VALUE($D23&amp;""),AC$15),1,0),IF($D23="Q",IF(AC$14=MIN(2,AC$15),0.5,0)+IF(AC$14=AC$15,0.5,0),IF($D23="U",IF(AC$14=AC$15,1,0),1/AC$15)))</f>
        <v>0</v>
      </c>
      <c r="AD23" s="498" t="n">
        <f aca="false">INDEX(FC_FLUJO_CAJA!$D$18:$BK$18,1,AD$13)*IF(IFERROR(VALUE($D23&amp;""),0)&gt;0,IF(AD$14=MIN(VALUE($D23&amp;""),AD$15),1,0),IF($D23="Q",IF(AD$14=MIN(2,AD$15),0.5,0)+IF(AD$14=AD$15,0.5,0),IF($D23="U",IF(AD$14=AD$15,1,0),1/AD$15)))</f>
        <v>0</v>
      </c>
      <c r="AE23" s="498" t="n">
        <f aca="false">INDEX(FC_FLUJO_CAJA!$D$18:$BK$18,1,AE$13)*IF(IFERROR(VALUE($D23&amp;""),0)&gt;0,IF(AE$14=MIN(VALUE($D23&amp;""),AE$15),1,0),IF($D23="Q",IF(AE$14=MIN(2,AE$15),0.5,0)+IF(AE$14=AE$15,0.5,0),IF($D23="U",IF(AE$14=AE$15,1,0),1/AE$15)))</f>
        <v>0</v>
      </c>
      <c r="AF23" s="498" t="n">
        <f aca="false">INDEX(FC_FLUJO_CAJA!$D$18:$BK$18,1,AF$13)*IF(IFERROR(VALUE($D23&amp;""),0)&gt;0,IF(AF$14=MIN(VALUE($D23&amp;""),AF$15),1,0),IF($D23="Q",IF(AF$14=MIN(2,AF$15),0.5,0)+IF(AF$14=AF$15,0.5,0),IF($D23="U",IF(AF$14=AF$15,1,0),1/AF$15)))</f>
        <v>0</v>
      </c>
      <c r="AG23" s="498" t="n">
        <f aca="false">INDEX(FC_FLUJO_CAJA!$D$18:$BK$18,1,AG$13)*IF(IFERROR(VALUE($D23&amp;""),0)&gt;0,IF(AG$14=MIN(VALUE($D23&amp;""),AG$15),1,0),IF($D23="Q",IF(AG$14=MIN(2,AG$15),0.5,0)+IF(AG$14=AG$15,0.5,0),IF($D23="U",IF(AG$14=AG$15,1,0),1/AG$15)))</f>
        <v>500</v>
      </c>
      <c r="AH23" s="498" t="n">
        <f aca="false">INDEX(FC_FLUJO_CAJA!$D$18:$BK$18,1,AH$13)*IF(IFERROR(VALUE($D23&amp;""),0)&gt;0,IF(AH$14=MIN(VALUE($D23&amp;""),AH$15),1,0),IF($D23="Q",IF(AH$14=MIN(2,AH$15),0.5,0)+IF(AH$14=AH$15,0.5,0),IF($D23="U",IF(AH$14=AH$15,1,0),1/AH$15)))</f>
        <v>0</v>
      </c>
      <c r="AI23" s="498" t="n">
        <f aca="false">INDEX(FC_FLUJO_CAJA!$D$18:$BK$18,1,AI$13)*IF(IFERROR(VALUE($D23&amp;""),0)&gt;0,IF(AI$14=MIN(VALUE($D23&amp;""),AI$15),1,0),IF($D23="Q",IF(AI$14=MIN(2,AI$15),0.5,0)+IF(AI$14=AI$15,0.5,0),IF($D23="U",IF(AI$14=AI$15,1,0),1/AI$15)))</f>
        <v>500</v>
      </c>
      <c r="AJ23" s="498" t="n">
        <f aca="false">INDEX(FC_FLUJO_CAJA!$D$18:$BK$18,1,AJ$13)*IF(IFERROR(VALUE($D23&amp;""),0)&gt;0,IF(AJ$14=MIN(VALUE($D23&amp;""),AJ$15),1,0),IF($D23="Q",IF(AJ$14=MIN(2,AJ$15),0.5,0)+IF(AJ$14=AJ$15,0.5,0),IF($D23="U",IF(AJ$14=AJ$15,1,0),1/AJ$15)))</f>
        <v>0</v>
      </c>
      <c r="AK23" s="498" t="n">
        <f aca="false">INDEX(FC_FLUJO_CAJA!$D$18:$BK$18,1,AK$13)*IF(IFERROR(VALUE($D23&amp;""),0)&gt;0,IF(AK$14=MIN(VALUE($D23&amp;""),AK$15),1,0),IF($D23="Q",IF(AK$14=MIN(2,AK$15),0.5,0)+IF(AK$14=AK$15,0.5,0),IF($D23="U",IF(AK$14=AK$15,1,0),1/AK$15)))</f>
        <v>2615.2828125</v>
      </c>
      <c r="AL23" s="498" t="n">
        <f aca="false">INDEX(FC_FLUJO_CAJA!$D$18:$BK$18,1,AL$13)*IF(IFERROR(VALUE($D23&amp;""),0)&gt;0,IF(AL$14=MIN(VALUE($D23&amp;""),AL$15),1,0),IF($D23="Q",IF(AL$14=MIN(2,AL$15),0.5,0)+IF(AL$14=AL$15,0.5,0),IF($D23="U",IF(AL$14=AL$15,1,0),1/AL$15)))</f>
        <v>0</v>
      </c>
      <c r="AM23" s="498" t="n">
        <f aca="false">INDEX(FC_FLUJO_CAJA!$D$18:$BK$18,1,AM$13)*IF(IFERROR(VALUE($D23&amp;""),0)&gt;0,IF(AM$14=MIN(VALUE($D23&amp;""),AM$15),1,0),IF($D23="Q",IF(AM$14=MIN(2,AM$15),0.5,0)+IF(AM$14=AM$15,0.5,0),IF($D23="U",IF(AM$14=AM$15,1,0),1/AM$15)))</f>
        <v>0</v>
      </c>
      <c r="AN23" s="498" t="n">
        <f aca="false">INDEX(FC_FLUJO_CAJA!$D$18:$BK$18,1,AN$13)*IF(IFERROR(VALUE($D23&amp;""),0)&gt;0,IF(AN$14=MIN(VALUE($D23&amp;""),AN$15),1,0),IF($D23="Q",IF(AN$14=MIN(2,AN$15),0.5,0)+IF(AN$14=AN$15,0.5,0),IF($D23="U",IF(AN$14=AN$15,1,0),1/AN$15)))</f>
        <v>2615.2828125</v>
      </c>
      <c r="AO23" s="498" t="n">
        <f aca="false">INDEX(FC_FLUJO_CAJA!$D$18:$BK$18,1,AO$13)*IF(IFERROR(VALUE($D23&amp;""),0)&gt;0,IF(AO$14=MIN(VALUE($D23&amp;""),AO$15),1,0),IF($D23="Q",IF(AO$14=MIN(2,AO$15),0.5,0)+IF(AO$14=AO$15,0.5,0),IF($D23="U",IF(AO$14=AO$15,1,0),1/AO$15)))</f>
        <v>0</v>
      </c>
      <c r="AP23" s="498" t="n">
        <f aca="false">INDEX(FC_FLUJO_CAJA!$D$18:$BK$18,1,AP$13)*IF(IFERROR(VALUE($D23&amp;""),0)&gt;0,IF(AP$14=MIN(VALUE($D23&amp;""),AP$15),1,0),IF($D23="Q",IF(AP$14=MIN(2,AP$15),0.5,0)+IF(AP$14=AP$15,0.5,0),IF($D23="U",IF(AP$14=AP$15,1,0),1/AP$15)))</f>
        <v>5482.7828125</v>
      </c>
      <c r="AQ23" s="498" t="n">
        <f aca="false">INDEX(FC_FLUJO_CAJA!$D$18:$BK$18,1,AQ$13)*IF(IFERROR(VALUE($D23&amp;""),0)&gt;0,IF(AQ$14=MIN(VALUE($D23&amp;""),AQ$15),1,0),IF($D23="Q",IF(AQ$14=MIN(2,AQ$15),0.5,0)+IF(AQ$14=AQ$15,0.5,0),IF($D23="U",IF(AQ$14=AQ$15,1,0),1/AQ$15)))</f>
        <v>0</v>
      </c>
      <c r="AR23" s="498" t="n">
        <f aca="false">INDEX(FC_FLUJO_CAJA!$D$18:$BK$18,1,AR$13)*IF(IFERROR(VALUE($D23&amp;""),0)&gt;0,IF(AR$14=MIN(VALUE($D23&amp;""),AR$15),1,0),IF($D23="Q",IF(AR$14=MIN(2,AR$15),0.5,0)+IF(AR$14=AR$15,0.5,0),IF($D23="U",IF(AR$14=AR$15,1,0),1/AR$15)))</f>
        <v>5482.7828125</v>
      </c>
      <c r="AS23" s="498" t="n">
        <f aca="false">INDEX(FC_FLUJO_CAJA!$D$18:$BK$18,1,AS$13)*IF(IFERROR(VALUE($D23&amp;""),0)&gt;0,IF(AS$14=MIN(VALUE($D23&amp;""),AS$15),1,0),IF($D23="Q",IF(AS$14=MIN(2,AS$15),0.5,0)+IF(AS$14=AS$15,0.5,0),IF($D23="U",IF(AS$14=AS$15,1,0),1/AS$15)))</f>
        <v>0</v>
      </c>
      <c r="AT23" s="498" t="n">
        <f aca="false">INDEX(FC_FLUJO_CAJA!$D$18:$BK$18,1,AT$13)*IF(IFERROR(VALUE($D23&amp;""),0)&gt;0,IF(AT$14=MIN(VALUE($D23&amp;""),AT$15),1,0),IF($D23="Q",IF(AT$14=MIN(2,AT$15),0.5,0)+IF(AT$14=AT$15,0.5,0),IF($D23="U",IF(AT$14=AT$15,1,0),1/AT$15)))</f>
        <v>5482.7828125</v>
      </c>
      <c r="AU23" s="498" t="n">
        <f aca="false">INDEX(FC_FLUJO_CAJA!$D$18:$BK$18,1,AU$13)*IF(IFERROR(VALUE($D23&amp;""),0)&gt;0,IF(AU$14=MIN(VALUE($D23&amp;""),AU$15),1,0),IF($D23="Q",IF(AU$14=MIN(2,AU$15),0.5,0)+IF(AU$14=AU$15,0.5,0),IF($D23="U",IF(AU$14=AU$15,1,0),1/AU$15)))</f>
        <v>0</v>
      </c>
      <c r="AV23" s="498" t="n">
        <f aca="false">INDEX(FC_FLUJO_CAJA!$D$18:$BK$18,1,AV$13)*IF(IFERROR(VALUE($D23&amp;""),0)&gt;0,IF(AV$14=MIN(VALUE($D23&amp;""),AV$15),1,0),IF($D23="Q",IF(AV$14=MIN(2,AV$15),0.5,0)+IF(AV$14=AV$15,0.5,0),IF($D23="U",IF(AV$14=AV$15,1,0),1/AV$15)))</f>
        <v>5482.7828125</v>
      </c>
      <c r="AW23" s="498" t="n">
        <f aca="false">INDEX(FC_FLUJO_CAJA!$D$18:$BK$18,1,AW$13)*IF(IFERROR(VALUE($D23&amp;""),0)&gt;0,IF(AW$14=MIN(VALUE($D23&amp;""),AW$15),1,0),IF($D23="Q",IF(AW$14=MIN(2,AW$15),0.5,0)+IF(AW$14=AW$15,0.5,0),IF($D23="U",IF(AW$14=AW$15,1,0),1/AW$15)))</f>
        <v>0</v>
      </c>
      <c r="AX23" s="498" t="n">
        <f aca="false">INDEX(FC_FLUJO_CAJA!$D$18:$BK$18,1,AX$13)*IF(IFERROR(VALUE($D23&amp;""),0)&gt;0,IF(AX$14=MIN(VALUE($D23&amp;""),AX$15),1,0),IF($D23="Q",IF(AX$14=MIN(2,AX$15),0.5,0)+IF(AX$14=AX$15,0.5,0),IF($D23="U",IF(AX$14=AX$15,1,0),1/AX$15)))</f>
        <v>5482.7828125</v>
      </c>
      <c r="AY23" s="498" t="n">
        <f aca="false">INDEX(FC_FLUJO_CAJA!$D$18:$BK$18,1,AY$13)*IF(IFERROR(VALUE($D23&amp;""),0)&gt;0,IF(AY$14=MIN(VALUE($D23&amp;""),AY$15),1,0),IF($D23="Q",IF(AY$14=MIN(2,AY$15),0.5,0)+IF(AY$14=AY$15,0.5,0),IF($D23="U",IF(AY$14=AY$15,1,0),1/AY$15)))</f>
        <v>0</v>
      </c>
      <c r="AZ23" s="498" t="n">
        <f aca="false">INDEX(FC_FLUJO_CAJA!$D$18:$BK$18,1,AZ$13)*IF(IFERROR(VALUE($D23&amp;""),0)&gt;0,IF(AZ$14=MIN(VALUE($D23&amp;""),AZ$15),1,0),IF($D23="Q",IF(AZ$14=MIN(2,AZ$15),0.5,0)+IF(AZ$14=AZ$15,0.5,0),IF($D23="U",IF(AZ$14=AZ$15,1,0),1/AZ$15)))</f>
        <v>0</v>
      </c>
      <c r="BA23" s="498" t="n">
        <f aca="false">INDEX(FC_FLUJO_CAJA!$D$18:$BK$18,1,BA$13)*IF(IFERROR(VALUE($D23&amp;""),0)&gt;0,IF(BA$14=MIN(VALUE($D23&amp;""),BA$15),1,0),IF($D23="Q",IF(BA$14=MIN(2,BA$15),0.5,0)+IF(BA$14=BA$15,0.5,0),IF($D23="U",IF(BA$14=BA$15,1,0),1/BA$15)))</f>
        <v>5482.7828125</v>
      </c>
      <c r="BB23" s="498" t="n">
        <f aca="false">INDEX(FC_FLUJO_CAJA!$D$18:$BK$18,1,BB$13)*IF(IFERROR(VALUE($D23&amp;""),0)&gt;0,IF(BB$14=MIN(VALUE($D23&amp;""),BB$15),1,0),IF($D23="Q",IF(BB$14=MIN(2,BB$15),0.5,0)+IF(BB$14=BB$15,0.5,0),IF($D23="U",IF(BB$14=BB$15,1,0),1/BB$15)))</f>
        <v>0</v>
      </c>
      <c r="BC23" s="498" t="n">
        <f aca="false">INDEX(FC_FLUJO_CAJA!$D$18:$BK$18,1,BC$13)*IF(IFERROR(VALUE($D23&amp;""),0)&gt;0,IF(BC$14=MIN(VALUE($D23&amp;""),BC$15),1,0),IF($D23="Q",IF(BC$14=MIN(2,BC$15),0.5,0)+IF(BC$14=BC$15,0.5,0),IF($D23="U",IF(BC$14=BC$15,1,0),1/BC$15)))</f>
        <v>5482.7828125</v>
      </c>
      <c r="BD23" s="498" t="n">
        <f aca="false">INDEX(FC_FLUJO_CAJA!$D$18:$BK$18,1,BD$13)*IF(IFERROR(VALUE($D23&amp;""),0)&gt;0,IF(BD$14=MIN(VALUE($D23&amp;""),BD$15),1,0),IF($D23="Q",IF(BD$14=MIN(2,BD$15),0.5,0)+IF(BD$14=BD$15,0.5,0),IF($D23="U",IF(BD$14=BD$15,1,0),1/BD$15)))</f>
        <v>0</v>
      </c>
      <c r="BE23" s="498" t="n">
        <f aca="false">INDEX(FC_FLUJO_CAJA!$D$18:$BK$18,1,BE$13)*IF(IFERROR(VALUE($D23&amp;""),0)&gt;0,IF(BE$14=MIN(VALUE($D23&amp;""),BE$15),1,0),IF($D23="Q",IF(BE$14=MIN(2,BE$15),0.5,0)+IF(BE$14=BE$15,0.5,0),IF($D23="U",IF(BE$14=BE$15,1,0),1/BE$15)))</f>
        <v>5482.7828125</v>
      </c>
    </row>
    <row r="24" customFormat="false" ht="15" hidden="false" customHeight="true" outlineLevel="0" collapsed="false">
      <c r="A24" s="400" t="s">
        <v>3096</v>
      </c>
      <c r="B24" s="283" t="s">
        <v>2181</v>
      </c>
      <c r="C24" s="531" t="s">
        <v>3097</v>
      </c>
      <c r="D24" s="289" t="str">
        <f aca="false">FC_SUPUESTOS!$C$130</f>
        <v>P</v>
      </c>
      <c r="E24" s="532" t="n">
        <f aca="false">SUM(F24:BE24)</f>
        <v>1330.56</v>
      </c>
      <c r="F24" s="498" t="n">
        <f aca="false">INDEX(FC_FLUJO_CAJA!$D$19:$BK$19,1,F$13)*IF(IFERROR(VALUE($D24&amp;""),0)&gt;0,IF(F$14=MIN(VALUE($D24&amp;""),F$15),1,0),IF($D24="Q",IF(F$14=MIN(2,F$15),0.5,0)+IF(F$14=F$15,0.5,0),IF($D24="U",IF(F$14=F$15,1,0),1/F$15)))</f>
        <v>0</v>
      </c>
      <c r="G24" s="498" t="n">
        <f aca="false">INDEX(FC_FLUJO_CAJA!$D$19:$BK$19,1,G$13)*IF(IFERROR(VALUE($D24&amp;""),0)&gt;0,IF(G$14=MIN(VALUE($D24&amp;""),G$15),1,0),IF($D24="Q",IF(G$14=MIN(2,G$15),0.5,0)+IF(G$14=G$15,0.5,0),IF($D24="U",IF(G$14=G$15,1,0),1/G$15)))</f>
        <v>0</v>
      </c>
      <c r="H24" s="498" t="n">
        <f aca="false">INDEX(FC_FLUJO_CAJA!$D$19:$BK$19,1,H$13)*IF(IFERROR(VALUE($D24&amp;""),0)&gt;0,IF(H$14=MIN(VALUE($D24&amp;""),H$15),1,0),IF($D24="Q",IF(H$14=MIN(2,H$15),0.5,0)+IF(H$14=H$15,0.5,0),IF($D24="U",IF(H$14=H$15,1,0),1/H$15)))</f>
        <v>0</v>
      </c>
      <c r="I24" s="498" t="n">
        <f aca="false">INDEX(FC_FLUJO_CAJA!$D$19:$BK$19,1,I$13)*IF(IFERROR(VALUE($D24&amp;""),0)&gt;0,IF(I$14=MIN(VALUE($D24&amp;""),I$15),1,0),IF($D24="Q",IF(I$14=MIN(2,I$15),0.5,0)+IF(I$14=I$15,0.5,0),IF($D24="U",IF(I$14=I$15,1,0),1/I$15)))</f>
        <v>0</v>
      </c>
      <c r="J24" s="498" t="n">
        <f aca="false">INDEX(FC_FLUJO_CAJA!$D$19:$BK$19,1,J$13)*IF(IFERROR(VALUE($D24&amp;""),0)&gt;0,IF(J$14=MIN(VALUE($D24&amp;""),J$15),1,0),IF($D24="Q",IF(J$14=MIN(2,J$15),0.5,0)+IF(J$14=J$15,0.5,0),IF($D24="U",IF(J$14=J$15,1,0),1/J$15)))</f>
        <v>0</v>
      </c>
      <c r="K24" s="498" t="n">
        <f aca="false">INDEX(FC_FLUJO_CAJA!$D$19:$BK$19,1,K$13)*IF(IFERROR(VALUE($D24&amp;""),0)&gt;0,IF(K$14=MIN(VALUE($D24&amp;""),K$15),1,0),IF($D24="Q",IF(K$14=MIN(2,K$15),0.5,0)+IF(K$14=K$15,0.5,0),IF($D24="U",IF(K$14=K$15,1,0),1/K$15)))</f>
        <v>0</v>
      </c>
      <c r="L24" s="498" t="n">
        <f aca="false">INDEX(FC_FLUJO_CAJA!$D$19:$BK$19,1,L$13)*IF(IFERROR(VALUE($D24&amp;""),0)&gt;0,IF(L$14=MIN(VALUE($D24&amp;""),L$15),1,0),IF($D24="Q",IF(L$14=MIN(2,L$15),0.5,0)+IF(L$14=L$15,0.5,0),IF($D24="U",IF(L$14=L$15,1,0),1/L$15)))</f>
        <v>0</v>
      </c>
      <c r="M24" s="498" t="n">
        <f aca="false">INDEX(FC_FLUJO_CAJA!$D$19:$BK$19,1,M$13)*IF(IFERROR(VALUE($D24&amp;""),0)&gt;0,IF(M$14=MIN(VALUE($D24&amp;""),M$15),1,0),IF($D24="Q",IF(M$14=MIN(2,M$15),0.5,0)+IF(M$14=M$15,0.5,0),IF($D24="U",IF(M$14=M$15,1,0),1/M$15)))</f>
        <v>0</v>
      </c>
      <c r="N24" s="498" t="n">
        <f aca="false">INDEX(FC_FLUJO_CAJA!$D$19:$BK$19,1,N$13)*IF(IFERROR(VALUE($D24&amp;""),0)&gt;0,IF(N$14=MIN(VALUE($D24&amp;""),N$15),1,0),IF($D24="Q",IF(N$14=MIN(2,N$15),0.5,0)+IF(N$14=N$15,0.5,0),IF($D24="U",IF(N$14=N$15,1,0),1/N$15)))</f>
        <v>0</v>
      </c>
      <c r="O24" s="498" t="n">
        <f aca="false">INDEX(FC_FLUJO_CAJA!$D$19:$BK$19,1,O$13)*IF(IFERROR(VALUE($D24&amp;""),0)&gt;0,IF(O$14=MIN(VALUE($D24&amp;""),O$15),1,0),IF($D24="Q",IF(O$14=MIN(2,O$15),0.5,0)+IF(O$14=O$15,0.5,0),IF($D24="U",IF(O$14=O$15,1,0),1/O$15)))</f>
        <v>0</v>
      </c>
      <c r="P24" s="498" t="n">
        <f aca="false">INDEX(FC_FLUJO_CAJA!$D$19:$BK$19,1,P$13)*IF(IFERROR(VALUE($D24&amp;""),0)&gt;0,IF(P$14=MIN(VALUE($D24&amp;""),P$15),1,0),IF($D24="Q",IF(P$14=MIN(2,P$15),0.5,0)+IF(P$14=P$15,0.5,0),IF($D24="U",IF(P$14=P$15,1,0),1/P$15)))</f>
        <v>0</v>
      </c>
      <c r="Q24" s="498" t="n">
        <f aca="false">INDEX(FC_FLUJO_CAJA!$D$19:$BK$19,1,Q$13)*IF(IFERROR(VALUE($D24&amp;""),0)&gt;0,IF(Q$14=MIN(VALUE($D24&amp;""),Q$15),1,0),IF($D24="Q",IF(Q$14=MIN(2,Q$15),0.5,0)+IF(Q$14=Q$15,0.5,0),IF($D24="U",IF(Q$14=Q$15,1,0),1/Q$15)))</f>
        <v>0</v>
      </c>
      <c r="R24" s="498" t="n">
        <f aca="false">INDEX(FC_FLUJO_CAJA!$D$19:$BK$19,1,R$13)*IF(IFERROR(VALUE($D24&amp;""),0)&gt;0,IF(R$14=MIN(VALUE($D24&amp;""),R$15),1,0),IF($D24="Q",IF(R$14=MIN(2,R$15),0.5,0)+IF(R$14=R$15,0.5,0),IF($D24="U",IF(R$14=R$15,1,0),1/R$15)))</f>
        <v>0</v>
      </c>
      <c r="S24" s="498" t="n">
        <f aca="false">INDEX(FC_FLUJO_CAJA!$D$19:$BK$19,1,S$13)*IF(IFERROR(VALUE($D24&amp;""),0)&gt;0,IF(S$14=MIN(VALUE($D24&amp;""),S$15),1,0),IF($D24="Q",IF(S$14=MIN(2,S$15),0.5,0)+IF(S$14=S$15,0.5,0),IF($D24="U",IF(S$14=S$15,1,0),1/S$15)))</f>
        <v>0</v>
      </c>
      <c r="T24" s="498" t="n">
        <f aca="false">INDEX(FC_FLUJO_CAJA!$D$19:$BK$19,1,T$13)*IF(IFERROR(VALUE($D24&amp;""),0)&gt;0,IF(T$14=MIN(VALUE($D24&amp;""),T$15),1,0),IF($D24="Q",IF(T$14=MIN(2,T$15),0.5,0)+IF(T$14=T$15,0.5,0),IF($D24="U",IF(T$14=T$15,1,0),1/T$15)))</f>
        <v>0</v>
      </c>
      <c r="U24" s="498" t="n">
        <f aca="false">INDEX(FC_FLUJO_CAJA!$D$19:$BK$19,1,U$13)*IF(IFERROR(VALUE($D24&amp;""),0)&gt;0,IF(U$14=MIN(VALUE($D24&amp;""),U$15),1,0),IF($D24="Q",IF(U$14=MIN(2,U$15),0.5,0)+IF(U$14=U$15,0.5,0),IF($D24="U",IF(U$14=U$15,1,0),1/U$15)))</f>
        <v>0</v>
      </c>
      <c r="V24" s="498" t="n">
        <f aca="false">INDEX(FC_FLUJO_CAJA!$D$19:$BK$19,1,V$13)*IF(IFERROR(VALUE($D24&amp;""),0)&gt;0,IF(V$14=MIN(VALUE($D24&amp;""),V$15),1,0),IF($D24="Q",IF(V$14=MIN(2,V$15),0.5,0)+IF(V$14=V$15,0.5,0),IF($D24="U",IF(V$14=V$15,1,0),1/V$15)))</f>
        <v>0</v>
      </c>
      <c r="W24" s="498" t="n">
        <f aca="false">INDEX(FC_FLUJO_CAJA!$D$19:$BK$19,1,W$13)*IF(IFERROR(VALUE($D24&amp;""),0)&gt;0,IF(W$14=MIN(VALUE($D24&amp;""),W$15),1,0),IF($D24="Q",IF(W$14=MIN(2,W$15),0.5,0)+IF(W$14=W$15,0.5,0),IF($D24="U",IF(W$14=W$15,1,0),1/W$15)))</f>
        <v>0</v>
      </c>
      <c r="X24" s="498" t="n">
        <f aca="false">INDEX(FC_FLUJO_CAJA!$D$19:$BK$19,1,X$13)*IF(IFERROR(VALUE($D24&amp;""),0)&gt;0,IF(X$14=MIN(VALUE($D24&amp;""),X$15),1,0),IF($D24="Q",IF(X$14=MIN(2,X$15),0.5,0)+IF(X$14=X$15,0.5,0),IF($D24="U",IF(X$14=X$15,1,0),1/X$15)))</f>
        <v>0</v>
      </c>
      <c r="Y24" s="498" t="n">
        <f aca="false">INDEX(FC_FLUJO_CAJA!$D$19:$BK$19,1,Y$13)*IF(IFERROR(VALUE($D24&amp;""),0)&gt;0,IF(Y$14=MIN(VALUE($D24&amp;""),Y$15),1,0),IF($D24="Q",IF(Y$14=MIN(2,Y$15),0.5,0)+IF(Y$14=Y$15,0.5,0),IF($D24="U",IF(Y$14=Y$15,1,0),1/Y$15)))</f>
        <v>0</v>
      </c>
      <c r="Z24" s="498" t="n">
        <f aca="false">INDEX(FC_FLUJO_CAJA!$D$19:$BK$19,1,Z$13)*IF(IFERROR(VALUE($D24&amp;""),0)&gt;0,IF(Z$14=MIN(VALUE($D24&amp;""),Z$15),1,0),IF($D24="Q",IF(Z$14=MIN(2,Z$15),0.5,0)+IF(Z$14=Z$15,0.5,0),IF($D24="U",IF(Z$14=Z$15,1,0),1/Z$15)))</f>
        <v>0</v>
      </c>
      <c r="AA24" s="498" t="n">
        <f aca="false">INDEX(FC_FLUJO_CAJA!$D$19:$BK$19,1,AA$13)*IF(IFERROR(VALUE($D24&amp;""),0)&gt;0,IF(AA$14=MIN(VALUE($D24&amp;""),AA$15),1,0),IF($D24="Q",IF(AA$14=MIN(2,AA$15),0.5,0)+IF(AA$14=AA$15,0.5,0),IF($D24="U",IF(AA$14=AA$15,1,0),1/AA$15)))</f>
        <v>0</v>
      </c>
      <c r="AB24" s="498" t="n">
        <f aca="false">INDEX(FC_FLUJO_CAJA!$D$19:$BK$19,1,AB$13)*IF(IFERROR(VALUE($D24&amp;""),0)&gt;0,IF(AB$14=MIN(VALUE($D24&amp;""),AB$15),1,0),IF($D24="Q",IF(AB$14=MIN(2,AB$15),0.5,0)+IF(AB$14=AB$15,0.5,0),IF($D24="U",IF(AB$14=AB$15,1,0),1/AB$15)))</f>
        <v>0</v>
      </c>
      <c r="AC24" s="498" t="n">
        <f aca="false">INDEX(FC_FLUJO_CAJA!$D$19:$BK$19,1,AC$13)*IF(IFERROR(VALUE($D24&amp;""),0)&gt;0,IF(AC$14=MIN(VALUE($D24&amp;""),AC$15),1,0),IF($D24="Q",IF(AC$14=MIN(2,AC$15),0.5,0)+IF(AC$14=AC$15,0.5,0),IF($D24="U",IF(AC$14=AC$15,1,0),1/AC$15)))</f>
        <v>0</v>
      </c>
      <c r="AD24" s="498" t="n">
        <f aca="false">INDEX(FC_FLUJO_CAJA!$D$19:$BK$19,1,AD$13)*IF(IFERROR(VALUE($D24&amp;""),0)&gt;0,IF(AD$14=MIN(VALUE($D24&amp;""),AD$15),1,0),IF($D24="Q",IF(AD$14=MIN(2,AD$15),0.5,0)+IF(AD$14=AD$15,0.5,0),IF($D24="U",IF(AD$14=AD$15,1,0),1/AD$15)))</f>
        <v>0</v>
      </c>
      <c r="AE24" s="498" t="n">
        <f aca="false">INDEX(FC_FLUJO_CAJA!$D$19:$BK$19,1,AE$13)*IF(IFERROR(VALUE($D24&amp;""),0)&gt;0,IF(AE$14=MIN(VALUE($D24&amp;""),AE$15),1,0),IF($D24="Q",IF(AE$14=MIN(2,AE$15),0.5,0)+IF(AE$14=AE$15,0.5,0),IF($D24="U",IF(AE$14=AE$15,1,0),1/AE$15)))</f>
        <v>0</v>
      </c>
      <c r="AF24" s="498" t="n">
        <f aca="false">INDEX(FC_FLUJO_CAJA!$D$19:$BK$19,1,AF$13)*IF(IFERROR(VALUE($D24&amp;""),0)&gt;0,IF(AF$14=MIN(VALUE($D24&amp;""),AF$15),1,0),IF($D24="Q",IF(AF$14=MIN(2,AF$15),0.5,0)+IF(AF$14=AF$15,0.5,0),IF($D24="U",IF(AF$14=AF$15,1,0),1/AF$15)))</f>
        <v>0</v>
      </c>
      <c r="AG24" s="498" t="n">
        <f aca="false">INDEX(FC_FLUJO_CAJA!$D$19:$BK$19,1,AG$13)*IF(IFERROR(VALUE($D24&amp;""),0)&gt;0,IF(AG$14=MIN(VALUE($D24&amp;""),AG$15),1,0),IF($D24="Q",IF(AG$14=MIN(2,AG$15),0.5,0)+IF(AG$14=AG$15,0.5,0),IF($D24="U",IF(AG$14=AG$15,1,0),1/AG$15)))</f>
        <v>0</v>
      </c>
      <c r="AH24" s="498" t="n">
        <f aca="false">INDEX(FC_FLUJO_CAJA!$D$19:$BK$19,1,AH$13)*IF(IFERROR(VALUE($D24&amp;""),0)&gt;0,IF(AH$14=MIN(VALUE($D24&amp;""),AH$15),1,0),IF($D24="Q",IF(AH$14=MIN(2,AH$15),0.5,0)+IF(AH$14=AH$15,0.5,0),IF($D24="U",IF(AH$14=AH$15,1,0),1/AH$15)))</f>
        <v>0</v>
      </c>
      <c r="AI24" s="498" t="n">
        <f aca="false">INDEX(FC_FLUJO_CAJA!$D$19:$BK$19,1,AI$13)*IF(IFERROR(VALUE($D24&amp;""),0)&gt;0,IF(AI$14=MIN(VALUE($D24&amp;""),AI$15),1,0),IF($D24="Q",IF(AI$14=MIN(2,AI$15),0.5,0)+IF(AI$14=AI$15,0.5,0),IF($D24="U",IF(AI$14=AI$15,1,0),1/AI$15)))</f>
        <v>0</v>
      </c>
      <c r="AJ24" s="498" t="n">
        <f aca="false">INDEX(FC_FLUJO_CAJA!$D$19:$BK$19,1,AJ$13)*IF(IFERROR(VALUE($D24&amp;""),0)&gt;0,IF(AJ$14=MIN(VALUE($D24&amp;""),AJ$15),1,0),IF($D24="Q",IF(AJ$14=MIN(2,AJ$15),0.5,0)+IF(AJ$14=AJ$15,0.5,0),IF($D24="U",IF(AJ$14=AJ$15,1,0),1/AJ$15)))</f>
        <v>0</v>
      </c>
      <c r="AK24" s="498" t="n">
        <f aca="false">INDEX(FC_FLUJO_CAJA!$D$19:$BK$19,1,AK$13)*IF(IFERROR(VALUE($D24&amp;""),0)&gt;0,IF(AK$14=MIN(VALUE($D24&amp;""),AK$15),1,0),IF($D24="Q",IF(AK$14=MIN(2,AK$15),0.5,0)+IF(AK$14=AK$15,0.5,0),IF($D24="U",IF(AK$14=AK$15,1,0),1/AK$15)))</f>
        <v>0</v>
      </c>
      <c r="AL24" s="498" t="n">
        <f aca="false">INDEX(FC_FLUJO_CAJA!$D$19:$BK$19,1,AL$13)*IF(IFERROR(VALUE($D24&amp;""),0)&gt;0,IF(AL$14=MIN(VALUE($D24&amp;""),AL$15),1,0),IF($D24="Q",IF(AL$14=MIN(2,AL$15),0.5,0)+IF(AL$14=AL$15,0.5,0),IF($D24="U",IF(AL$14=AL$15,1,0),1/AL$15)))</f>
        <v>0</v>
      </c>
      <c r="AM24" s="498" t="n">
        <f aca="false">INDEX(FC_FLUJO_CAJA!$D$19:$BK$19,1,AM$13)*IF(IFERROR(VALUE($D24&amp;""),0)&gt;0,IF(AM$14=MIN(VALUE($D24&amp;""),AM$15),1,0),IF($D24="Q",IF(AM$14=MIN(2,AM$15),0.5,0)+IF(AM$14=AM$15,0.5,0),IF($D24="U",IF(AM$14=AM$15,1,0),1/AM$15)))</f>
        <v>0</v>
      </c>
      <c r="AN24" s="498" t="n">
        <f aca="false">INDEX(FC_FLUJO_CAJA!$D$19:$BK$19,1,AN$13)*IF(IFERROR(VALUE($D24&amp;""),0)&gt;0,IF(AN$14=MIN(VALUE($D24&amp;""),AN$15),1,0),IF($D24="Q",IF(AN$14=MIN(2,AN$15),0.5,0)+IF(AN$14=AN$15,0.5,0),IF($D24="U",IF(AN$14=AN$15,1,0),1/AN$15)))</f>
        <v>0</v>
      </c>
      <c r="AO24" s="498" t="n">
        <f aca="false">INDEX(FC_FLUJO_CAJA!$D$19:$BK$19,1,AO$13)*IF(IFERROR(VALUE($D24&amp;""),0)&gt;0,IF(AO$14=MIN(VALUE($D24&amp;""),AO$15),1,0),IF($D24="Q",IF(AO$14=MIN(2,AO$15),0.5,0)+IF(AO$14=AO$15,0.5,0),IF($D24="U",IF(AO$14=AO$15,1,0),1/AO$15)))</f>
        <v>0</v>
      </c>
      <c r="AP24" s="498" t="n">
        <f aca="false">INDEX(FC_FLUJO_CAJA!$D$19:$BK$19,1,AP$13)*IF(IFERROR(VALUE($D24&amp;""),0)&gt;0,IF(AP$14=MIN(VALUE($D24&amp;""),AP$15),1,0),IF($D24="Q",IF(AP$14=MIN(2,AP$15),0.5,0)+IF(AP$14=AP$15,0.5,0),IF($D24="U",IF(AP$14=AP$15,1,0),1/AP$15)))</f>
        <v>0</v>
      </c>
      <c r="AQ24" s="498" t="n">
        <f aca="false">INDEX(FC_FLUJO_CAJA!$D$19:$BK$19,1,AQ$13)*IF(IFERROR(VALUE($D24&amp;""),0)&gt;0,IF(AQ$14=MIN(VALUE($D24&amp;""),AQ$15),1,0),IF($D24="Q",IF(AQ$14=MIN(2,AQ$15),0.5,0)+IF(AQ$14=AQ$15,0.5,0),IF($D24="U",IF(AQ$14=AQ$15,1,0),1/AQ$15)))</f>
        <v>0</v>
      </c>
      <c r="AR24" s="498" t="n">
        <f aca="false">INDEX(FC_FLUJO_CAJA!$D$19:$BK$19,1,AR$13)*IF(IFERROR(VALUE($D24&amp;""),0)&gt;0,IF(AR$14=MIN(VALUE($D24&amp;""),AR$15),1,0),IF($D24="Q",IF(AR$14=MIN(2,AR$15),0.5,0)+IF(AR$14=AR$15,0.5,0),IF($D24="U",IF(AR$14=AR$15,1,0),1/AR$15)))</f>
        <v>0</v>
      </c>
      <c r="AS24" s="498" t="n">
        <f aca="false">INDEX(FC_FLUJO_CAJA!$D$19:$BK$19,1,AS$13)*IF(IFERROR(VALUE($D24&amp;""),0)&gt;0,IF(AS$14=MIN(VALUE($D24&amp;""),AS$15),1,0),IF($D24="Q",IF(AS$14=MIN(2,AS$15),0.5,0)+IF(AS$14=AS$15,0.5,0),IF($D24="U",IF(AS$14=AS$15,1,0),1/AS$15)))</f>
        <v>48.51</v>
      </c>
      <c r="AT24" s="498" t="n">
        <f aca="false">INDEX(FC_FLUJO_CAJA!$D$19:$BK$19,1,AT$13)*IF(IFERROR(VALUE($D24&amp;""),0)&gt;0,IF(AT$14=MIN(VALUE($D24&amp;""),AT$15),1,0),IF($D24="Q",IF(AT$14=MIN(2,AT$15),0.5,0)+IF(AT$14=AT$15,0.5,0),IF($D24="U",IF(AT$14=AT$15,1,0),1/AT$15)))</f>
        <v>48.51</v>
      </c>
      <c r="AU24" s="498" t="n">
        <f aca="false">INDEX(FC_FLUJO_CAJA!$D$19:$BK$19,1,AU$13)*IF(IFERROR(VALUE($D24&amp;""),0)&gt;0,IF(AU$14=MIN(VALUE($D24&amp;""),AU$15),1,0),IF($D24="Q",IF(AU$14=MIN(2,AU$15),0.5,0)+IF(AU$14=AU$15,0.5,0),IF($D24="U",IF(AU$14=AU$15,1,0),1/AU$15)))</f>
        <v>48.51</v>
      </c>
      <c r="AV24" s="498" t="n">
        <f aca="false">INDEX(FC_FLUJO_CAJA!$D$19:$BK$19,1,AV$13)*IF(IFERROR(VALUE($D24&amp;""),0)&gt;0,IF(AV$14=MIN(VALUE($D24&amp;""),AV$15),1,0),IF($D24="Q",IF(AV$14=MIN(2,AV$15),0.5,0)+IF(AV$14=AV$15,0.5,0),IF($D24="U",IF(AV$14=AV$15,1,0),1/AV$15)))</f>
        <v>48.51</v>
      </c>
      <c r="AW24" s="498" t="n">
        <f aca="false">INDEX(FC_FLUJO_CAJA!$D$19:$BK$19,1,AW$13)*IF(IFERROR(VALUE($D24&amp;""),0)&gt;0,IF(AW$14=MIN(VALUE($D24&amp;""),AW$15),1,0),IF($D24="Q",IF(AW$14=MIN(2,AW$15),0.5,0)+IF(AW$14=AW$15,0.5,0),IF($D24="U",IF(AW$14=AW$15,1,0),1/AW$15)))</f>
        <v>85.932</v>
      </c>
      <c r="AX24" s="498" t="n">
        <f aca="false">INDEX(FC_FLUJO_CAJA!$D$19:$BK$19,1,AX$13)*IF(IFERROR(VALUE($D24&amp;""),0)&gt;0,IF(AX$14=MIN(VALUE($D24&amp;""),AX$15),1,0),IF($D24="Q",IF(AX$14=MIN(2,AX$15),0.5,0)+IF(AX$14=AX$15,0.5,0),IF($D24="U",IF(AX$14=AX$15,1,0),1/AX$15)))</f>
        <v>85.932</v>
      </c>
      <c r="AY24" s="498" t="n">
        <f aca="false">INDEX(FC_FLUJO_CAJA!$D$19:$BK$19,1,AY$13)*IF(IFERROR(VALUE($D24&amp;""),0)&gt;0,IF(AY$14=MIN(VALUE($D24&amp;""),AY$15),1,0),IF($D24="Q",IF(AY$14=MIN(2,AY$15),0.5,0)+IF(AY$14=AY$15,0.5,0),IF($D24="U",IF(AY$14=AY$15,1,0),1/AY$15)))</f>
        <v>85.932</v>
      </c>
      <c r="AZ24" s="498" t="n">
        <f aca="false">INDEX(FC_FLUJO_CAJA!$D$19:$BK$19,1,AZ$13)*IF(IFERROR(VALUE($D24&amp;""),0)&gt;0,IF(AZ$14=MIN(VALUE($D24&amp;""),AZ$15),1,0),IF($D24="Q",IF(AZ$14=MIN(2,AZ$15),0.5,0)+IF(AZ$14=AZ$15,0.5,0),IF($D24="U",IF(AZ$14=AZ$15,1,0),1/AZ$15)))</f>
        <v>85.932</v>
      </c>
      <c r="BA24" s="498" t="n">
        <f aca="false">INDEX(FC_FLUJO_CAJA!$D$19:$BK$19,1,BA$13)*IF(IFERROR(VALUE($D24&amp;""),0)&gt;0,IF(BA$14=MIN(VALUE($D24&amp;""),BA$15),1,0),IF($D24="Q",IF(BA$14=MIN(2,BA$15),0.5,0)+IF(BA$14=BA$15,0.5,0),IF($D24="U",IF(BA$14=BA$15,1,0),1/BA$15)))</f>
        <v>85.932</v>
      </c>
      <c r="BB24" s="498" t="n">
        <f aca="false">INDEX(FC_FLUJO_CAJA!$D$19:$BK$19,1,BB$13)*IF(IFERROR(VALUE($D24&amp;""),0)&gt;0,IF(BB$14=MIN(VALUE($D24&amp;""),BB$15),1,0),IF($D24="Q",IF(BB$14=MIN(2,BB$15),0.5,0)+IF(BB$14=BB$15,0.5,0),IF($D24="U",IF(BB$14=BB$15,1,0),1/BB$15)))</f>
        <v>176.715</v>
      </c>
      <c r="BC24" s="498" t="n">
        <f aca="false">INDEX(FC_FLUJO_CAJA!$D$19:$BK$19,1,BC$13)*IF(IFERROR(VALUE($D24&amp;""),0)&gt;0,IF(BC$14=MIN(VALUE($D24&amp;""),BC$15),1,0),IF($D24="Q",IF(BC$14=MIN(2,BC$15),0.5,0)+IF(BC$14=BC$15,0.5,0),IF($D24="U",IF(BC$14=BC$15,1,0),1/BC$15)))</f>
        <v>176.715</v>
      </c>
      <c r="BD24" s="498" t="n">
        <f aca="false">INDEX(FC_FLUJO_CAJA!$D$19:$BK$19,1,BD$13)*IF(IFERROR(VALUE($D24&amp;""),0)&gt;0,IF(BD$14=MIN(VALUE($D24&amp;""),BD$15),1,0),IF($D24="Q",IF(BD$14=MIN(2,BD$15),0.5,0)+IF(BD$14=BD$15,0.5,0),IF($D24="U",IF(BD$14=BD$15,1,0),1/BD$15)))</f>
        <v>176.715</v>
      </c>
      <c r="BE24" s="498" t="n">
        <f aca="false">INDEX(FC_FLUJO_CAJA!$D$19:$BK$19,1,BE$13)*IF(IFERROR(VALUE($D24&amp;""),0)&gt;0,IF(BE$14=MIN(VALUE($D24&amp;""),BE$15),1,0),IF($D24="Q",IF(BE$14=MIN(2,BE$15),0.5,0)+IF(BE$14=BE$15,0.5,0),IF($D24="U",IF(BE$14=BE$15,1,0),1/BE$15)))</f>
        <v>176.715</v>
      </c>
    </row>
    <row r="25" customFormat="false" ht="15" hidden="false" customHeight="true" outlineLevel="0" collapsed="false">
      <c r="A25" s="400" t="s">
        <v>3098</v>
      </c>
      <c r="B25" s="283" t="s">
        <v>3099</v>
      </c>
      <c r="C25" s="531" t="s">
        <v>3100</v>
      </c>
      <c r="D25" s="289" t="str">
        <f aca="false">FC_SUPUESTOS!$C$131</f>
        <v>P</v>
      </c>
      <c r="E25" s="532" t="n">
        <f aca="false">SUM(F25:BE25)</f>
        <v>3991.68</v>
      </c>
      <c r="F25" s="498" t="n">
        <f aca="false">INDEX(FC_FLUJO_CAJA!$D$20:$BK$20,1,F$13)*IF(IFERROR(VALUE($D25&amp;""),0)&gt;0,IF(F$14=MIN(VALUE($D25&amp;""),F$15),1,0),IF($D25="Q",IF(F$14=MIN(2,F$15),0.5,0)+IF(F$14=F$15,0.5,0),IF($D25="U",IF(F$14=F$15,1,0),1/F$15)))</f>
        <v>0</v>
      </c>
      <c r="G25" s="498" t="n">
        <f aca="false">INDEX(FC_FLUJO_CAJA!$D$20:$BK$20,1,G$13)*IF(IFERROR(VALUE($D25&amp;""),0)&gt;0,IF(G$14=MIN(VALUE($D25&amp;""),G$15),1,0),IF($D25="Q",IF(G$14=MIN(2,G$15),0.5,0)+IF(G$14=G$15,0.5,0),IF($D25="U",IF(G$14=G$15,1,0),1/G$15)))</f>
        <v>0</v>
      </c>
      <c r="H25" s="498" t="n">
        <f aca="false">INDEX(FC_FLUJO_CAJA!$D$20:$BK$20,1,H$13)*IF(IFERROR(VALUE($D25&amp;""),0)&gt;0,IF(H$14=MIN(VALUE($D25&amp;""),H$15),1,0),IF($D25="Q",IF(H$14=MIN(2,H$15),0.5,0)+IF(H$14=H$15,0.5,0),IF($D25="U",IF(H$14=H$15,1,0),1/H$15)))</f>
        <v>0</v>
      </c>
      <c r="I25" s="498" t="n">
        <f aca="false">INDEX(FC_FLUJO_CAJA!$D$20:$BK$20,1,I$13)*IF(IFERROR(VALUE($D25&amp;""),0)&gt;0,IF(I$14=MIN(VALUE($D25&amp;""),I$15),1,0),IF($D25="Q",IF(I$14=MIN(2,I$15),0.5,0)+IF(I$14=I$15,0.5,0),IF($D25="U",IF(I$14=I$15,1,0),1/I$15)))</f>
        <v>0</v>
      </c>
      <c r="J25" s="498" t="n">
        <f aca="false">INDEX(FC_FLUJO_CAJA!$D$20:$BK$20,1,J$13)*IF(IFERROR(VALUE($D25&amp;""),0)&gt;0,IF(J$14=MIN(VALUE($D25&amp;""),J$15),1,0),IF($D25="Q",IF(J$14=MIN(2,J$15),0.5,0)+IF(J$14=J$15,0.5,0),IF($D25="U",IF(J$14=J$15,1,0),1/J$15)))</f>
        <v>0</v>
      </c>
      <c r="K25" s="498" t="n">
        <f aca="false">INDEX(FC_FLUJO_CAJA!$D$20:$BK$20,1,K$13)*IF(IFERROR(VALUE($D25&amp;""),0)&gt;0,IF(K$14=MIN(VALUE($D25&amp;""),K$15),1,0),IF($D25="Q",IF(K$14=MIN(2,K$15),0.5,0)+IF(K$14=K$15,0.5,0),IF($D25="U",IF(K$14=K$15,1,0),1/K$15)))</f>
        <v>0</v>
      </c>
      <c r="L25" s="498" t="n">
        <f aca="false">INDEX(FC_FLUJO_CAJA!$D$20:$BK$20,1,L$13)*IF(IFERROR(VALUE($D25&amp;""),0)&gt;0,IF(L$14=MIN(VALUE($D25&amp;""),L$15),1,0),IF($D25="Q",IF(L$14=MIN(2,L$15),0.5,0)+IF(L$14=L$15,0.5,0),IF($D25="U",IF(L$14=L$15,1,0),1/L$15)))</f>
        <v>0</v>
      </c>
      <c r="M25" s="498" t="n">
        <f aca="false">INDEX(FC_FLUJO_CAJA!$D$20:$BK$20,1,M$13)*IF(IFERROR(VALUE($D25&amp;""),0)&gt;0,IF(M$14=MIN(VALUE($D25&amp;""),M$15),1,0),IF($D25="Q",IF(M$14=MIN(2,M$15),0.5,0)+IF(M$14=M$15,0.5,0),IF($D25="U",IF(M$14=M$15,1,0),1/M$15)))</f>
        <v>0</v>
      </c>
      <c r="N25" s="498" t="n">
        <f aca="false">INDEX(FC_FLUJO_CAJA!$D$20:$BK$20,1,N$13)*IF(IFERROR(VALUE($D25&amp;""),0)&gt;0,IF(N$14=MIN(VALUE($D25&amp;""),N$15),1,0),IF($D25="Q",IF(N$14=MIN(2,N$15),0.5,0)+IF(N$14=N$15,0.5,0),IF($D25="U",IF(N$14=N$15,1,0),1/N$15)))</f>
        <v>0</v>
      </c>
      <c r="O25" s="498" t="n">
        <f aca="false">INDEX(FC_FLUJO_CAJA!$D$20:$BK$20,1,O$13)*IF(IFERROR(VALUE($D25&amp;""),0)&gt;0,IF(O$14=MIN(VALUE($D25&amp;""),O$15),1,0),IF($D25="Q",IF(O$14=MIN(2,O$15),0.5,0)+IF(O$14=O$15,0.5,0),IF($D25="U",IF(O$14=O$15,1,0),1/O$15)))</f>
        <v>0</v>
      </c>
      <c r="P25" s="498" t="n">
        <f aca="false">INDEX(FC_FLUJO_CAJA!$D$20:$BK$20,1,P$13)*IF(IFERROR(VALUE($D25&amp;""),0)&gt;0,IF(P$14=MIN(VALUE($D25&amp;""),P$15),1,0),IF($D25="Q",IF(P$14=MIN(2,P$15),0.5,0)+IF(P$14=P$15,0.5,0),IF($D25="U",IF(P$14=P$15,1,0),1/P$15)))</f>
        <v>0</v>
      </c>
      <c r="Q25" s="498" t="n">
        <f aca="false">INDEX(FC_FLUJO_CAJA!$D$20:$BK$20,1,Q$13)*IF(IFERROR(VALUE($D25&amp;""),0)&gt;0,IF(Q$14=MIN(VALUE($D25&amp;""),Q$15),1,0),IF($D25="Q",IF(Q$14=MIN(2,Q$15),0.5,0)+IF(Q$14=Q$15,0.5,0),IF($D25="U",IF(Q$14=Q$15,1,0),1/Q$15)))</f>
        <v>0</v>
      </c>
      <c r="R25" s="498" t="n">
        <f aca="false">INDEX(FC_FLUJO_CAJA!$D$20:$BK$20,1,R$13)*IF(IFERROR(VALUE($D25&amp;""),0)&gt;0,IF(R$14=MIN(VALUE($D25&amp;""),R$15),1,0),IF($D25="Q",IF(R$14=MIN(2,R$15),0.5,0)+IF(R$14=R$15,0.5,0),IF($D25="U",IF(R$14=R$15,1,0),1/R$15)))</f>
        <v>0</v>
      </c>
      <c r="S25" s="498" t="n">
        <f aca="false">INDEX(FC_FLUJO_CAJA!$D$20:$BK$20,1,S$13)*IF(IFERROR(VALUE($D25&amp;""),0)&gt;0,IF(S$14=MIN(VALUE($D25&amp;""),S$15),1,0),IF($D25="Q",IF(S$14=MIN(2,S$15),0.5,0)+IF(S$14=S$15,0.5,0),IF($D25="U",IF(S$14=S$15,1,0),1/S$15)))</f>
        <v>0</v>
      </c>
      <c r="T25" s="498" t="n">
        <f aca="false">INDEX(FC_FLUJO_CAJA!$D$20:$BK$20,1,T$13)*IF(IFERROR(VALUE($D25&amp;""),0)&gt;0,IF(T$14=MIN(VALUE($D25&amp;""),T$15),1,0),IF($D25="Q",IF(T$14=MIN(2,T$15),0.5,0)+IF(T$14=T$15,0.5,0),IF($D25="U",IF(T$14=T$15,1,0),1/T$15)))</f>
        <v>0</v>
      </c>
      <c r="U25" s="498" t="n">
        <f aca="false">INDEX(FC_FLUJO_CAJA!$D$20:$BK$20,1,U$13)*IF(IFERROR(VALUE($D25&amp;""),0)&gt;0,IF(U$14=MIN(VALUE($D25&amp;""),U$15),1,0),IF($D25="Q",IF(U$14=MIN(2,U$15),0.5,0)+IF(U$14=U$15,0.5,0),IF($D25="U",IF(U$14=U$15,1,0),1/U$15)))</f>
        <v>0</v>
      </c>
      <c r="V25" s="498" t="n">
        <f aca="false">INDEX(FC_FLUJO_CAJA!$D$20:$BK$20,1,V$13)*IF(IFERROR(VALUE($D25&amp;""),0)&gt;0,IF(V$14=MIN(VALUE($D25&amp;""),V$15),1,0),IF($D25="Q",IF(V$14=MIN(2,V$15),0.5,0)+IF(V$14=V$15,0.5,0),IF($D25="U",IF(V$14=V$15,1,0),1/V$15)))</f>
        <v>0</v>
      </c>
      <c r="W25" s="498" t="n">
        <f aca="false">INDEX(FC_FLUJO_CAJA!$D$20:$BK$20,1,W$13)*IF(IFERROR(VALUE($D25&amp;""),0)&gt;0,IF(W$14=MIN(VALUE($D25&amp;""),W$15),1,0),IF($D25="Q",IF(W$14=MIN(2,W$15),0.5,0)+IF(W$14=W$15,0.5,0),IF($D25="U",IF(W$14=W$15,1,0),1/W$15)))</f>
        <v>0</v>
      </c>
      <c r="X25" s="498" t="n">
        <f aca="false">INDEX(FC_FLUJO_CAJA!$D$20:$BK$20,1,X$13)*IF(IFERROR(VALUE($D25&amp;""),0)&gt;0,IF(X$14=MIN(VALUE($D25&amp;""),X$15),1,0),IF($D25="Q",IF(X$14=MIN(2,X$15),0.5,0)+IF(X$14=X$15,0.5,0),IF($D25="U",IF(X$14=X$15,1,0),1/X$15)))</f>
        <v>0</v>
      </c>
      <c r="Y25" s="498" t="n">
        <f aca="false">INDEX(FC_FLUJO_CAJA!$D$20:$BK$20,1,Y$13)*IF(IFERROR(VALUE($D25&amp;""),0)&gt;0,IF(Y$14=MIN(VALUE($D25&amp;""),Y$15),1,0),IF($D25="Q",IF(Y$14=MIN(2,Y$15),0.5,0)+IF(Y$14=Y$15,0.5,0),IF($D25="U",IF(Y$14=Y$15,1,0),1/Y$15)))</f>
        <v>0</v>
      </c>
      <c r="Z25" s="498" t="n">
        <f aca="false">INDEX(FC_FLUJO_CAJA!$D$20:$BK$20,1,Z$13)*IF(IFERROR(VALUE($D25&amp;""),0)&gt;0,IF(Z$14=MIN(VALUE($D25&amp;""),Z$15),1,0),IF($D25="Q",IF(Z$14=MIN(2,Z$15),0.5,0)+IF(Z$14=Z$15,0.5,0),IF($D25="U",IF(Z$14=Z$15,1,0),1/Z$15)))</f>
        <v>0</v>
      </c>
      <c r="AA25" s="498" t="n">
        <f aca="false">INDEX(FC_FLUJO_CAJA!$D$20:$BK$20,1,AA$13)*IF(IFERROR(VALUE($D25&amp;""),0)&gt;0,IF(AA$14=MIN(VALUE($D25&amp;""),AA$15),1,0),IF($D25="Q",IF(AA$14=MIN(2,AA$15),0.5,0)+IF(AA$14=AA$15,0.5,0),IF($D25="U",IF(AA$14=AA$15,1,0),1/AA$15)))</f>
        <v>0</v>
      </c>
      <c r="AB25" s="498" t="n">
        <f aca="false">INDEX(FC_FLUJO_CAJA!$D$20:$BK$20,1,AB$13)*IF(IFERROR(VALUE($D25&amp;""),0)&gt;0,IF(AB$14=MIN(VALUE($D25&amp;""),AB$15),1,0),IF($D25="Q",IF(AB$14=MIN(2,AB$15),0.5,0)+IF(AB$14=AB$15,0.5,0),IF($D25="U",IF(AB$14=AB$15,1,0),1/AB$15)))</f>
        <v>0</v>
      </c>
      <c r="AC25" s="498" t="n">
        <f aca="false">INDEX(FC_FLUJO_CAJA!$D$20:$BK$20,1,AC$13)*IF(IFERROR(VALUE($D25&amp;""),0)&gt;0,IF(AC$14=MIN(VALUE($D25&amp;""),AC$15),1,0),IF($D25="Q",IF(AC$14=MIN(2,AC$15),0.5,0)+IF(AC$14=AC$15,0.5,0),IF($D25="U",IF(AC$14=AC$15,1,0),1/AC$15)))</f>
        <v>0</v>
      </c>
      <c r="AD25" s="498" t="n">
        <f aca="false">INDEX(FC_FLUJO_CAJA!$D$20:$BK$20,1,AD$13)*IF(IFERROR(VALUE($D25&amp;""),0)&gt;0,IF(AD$14=MIN(VALUE($D25&amp;""),AD$15),1,0),IF($D25="Q",IF(AD$14=MIN(2,AD$15),0.5,0)+IF(AD$14=AD$15,0.5,0),IF($D25="U",IF(AD$14=AD$15,1,0),1/AD$15)))</f>
        <v>0</v>
      </c>
      <c r="AE25" s="498" t="n">
        <f aca="false">INDEX(FC_FLUJO_CAJA!$D$20:$BK$20,1,AE$13)*IF(IFERROR(VALUE($D25&amp;""),0)&gt;0,IF(AE$14=MIN(VALUE($D25&amp;""),AE$15),1,0),IF($D25="Q",IF(AE$14=MIN(2,AE$15),0.5,0)+IF(AE$14=AE$15,0.5,0),IF($D25="U",IF(AE$14=AE$15,1,0),1/AE$15)))</f>
        <v>0</v>
      </c>
      <c r="AF25" s="498" t="n">
        <f aca="false">INDEX(FC_FLUJO_CAJA!$D$20:$BK$20,1,AF$13)*IF(IFERROR(VALUE($D25&amp;""),0)&gt;0,IF(AF$14=MIN(VALUE($D25&amp;""),AF$15),1,0),IF($D25="Q",IF(AF$14=MIN(2,AF$15),0.5,0)+IF(AF$14=AF$15,0.5,0),IF($D25="U",IF(AF$14=AF$15,1,0),1/AF$15)))</f>
        <v>0</v>
      </c>
      <c r="AG25" s="498" t="n">
        <f aca="false">INDEX(FC_FLUJO_CAJA!$D$20:$BK$20,1,AG$13)*IF(IFERROR(VALUE($D25&amp;""),0)&gt;0,IF(AG$14=MIN(VALUE($D25&amp;""),AG$15),1,0),IF($D25="Q",IF(AG$14=MIN(2,AG$15),0.5,0)+IF(AG$14=AG$15,0.5,0),IF($D25="U",IF(AG$14=AG$15,1,0),1/AG$15)))</f>
        <v>0</v>
      </c>
      <c r="AH25" s="498" t="n">
        <f aca="false">INDEX(FC_FLUJO_CAJA!$D$20:$BK$20,1,AH$13)*IF(IFERROR(VALUE($D25&amp;""),0)&gt;0,IF(AH$14=MIN(VALUE($D25&amp;""),AH$15),1,0),IF($D25="Q",IF(AH$14=MIN(2,AH$15),0.5,0)+IF(AH$14=AH$15,0.5,0),IF($D25="U",IF(AH$14=AH$15,1,0),1/AH$15)))</f>
        <v>0</v>
      </c>
      <c r="AI25" s="498" t="n">
        <f aca="false">INDEX(FC_FLUJO_CAJA!$D$20:$BK$20,1,AI$13)*IF(IFERROR(VALUE($D25&amp;""),0)&gt;0,IF(AI$14=MIN(VALUE($D25&amp;""),AI$15),1,0),IF($D25="Q",IF(AI$14=MIN(2,AI$15),0.5,0)+IF(AI$14=AI$15,0.5,0),IF($D25="U",IF(AI$14=AI$15,1,0),1/AI$15)))</f>
        <v>0</v>
      </c>
      <c r="AJ25" s="498" t="n">
        <f aca="false">INDEX(FC_FLUJO_CAJA!$D$20:$BK$20,1,AJ$13)*IF(IFERROR(VALUE($D25&amp;""),0)&gt;0,IF(AJ$14=MIN(VALUE($D25&amp;""),AJ$15),1,0),IF($D25="Q",IF(AJ$14=MIN(2,AJ$15),0.5,0)+IF(AJ$14=AJ$15,0.5,0),IF($D25="U",IF(AJ$14=AJ$15,1,0),1/AJ$15)))</f>
        <v>0</v>
      </c>
      <c r="AK25" s="498" t="n">
        <f aca="false">INDEX(FC_FLUJO_CAJA!$D$20:$BK$20,1,AK$13)*IF(IFERROR(VALUE($D25&amp;""),0)&gt;0,IF(AK$14=MIN(VALUE($D25&amp;""),AK$15),1,0),IF($D25="Q",IF(AK$14=MIN(2,AK$15),0.5,0)+IF(AK$14=AK$15,0.5,0),IF($D25="U",IF(AK$14=AK$15,1,0),1/AK$15)))</f>
        <v>0</v>
      </c>
      <c r="AL25" s="498" t="n">
        <f aca="false">INDEX(FC_FLUJO_CAJA!$D$20:$BK$20,1,AL$13)*IF(IFERROR(VALUE($D25&amp;""),0)&gt;0,IF(AL$14=MIN(VALUE($D25&amp;""),AL$15),1,0),IF($D25="Q",IF(AL$14=MIN(2,AL$15),0.5,0)+IF(AL$14=AL$15,0.5,0),IF($D25="U",IF(AL$14=AL$15,1,0),1/AL$15)))</f>
        <v>0</v>
      </c>
      <c r="AM25" s="498" t="n">
        <f aca="false">INDEX(FC_FLUJO_CAJA!$D$20:$BK$20,1,AM$13)*IF(IFERROR(VALUE($D25&amp;""),0)&gt;0,IF(AM$14=MIN(VALUE($D25&amp;""),AM$15),1,0),IF($D25="Q",IF(AM$14=MIN(2,AM$15),0.5,0)+IF(AM$14=AM$15,0.5,0),IF($D25="U",IF(AM$14=AM$15,1,0),1/AM$15)))</f>
        <v>0</v>
      </c>
      <c r="AN25" s="498" t="n">
        <f aca="false">INDEX(FC_FLUJO_CAJA!$D$20:$BK$20,1,AN$13)*IF(IFERROR(VALUE($D25&amp;""),0)&gt;0,IF(AN$14=MIN(VALUE($D25&amp;""),AN$15),1,0),IF($D25="Q",IF(AN$14=MIN(2,AN$15),0.5,0)+IF(AN$14=AN$15,0.5,0),IF($D25="U",IF(AN$14=AN$15,1,0),1/AN$15)))</f>
        <v>0</v>
      </c>
      <c r="AO25" s="498" t="n">
        <f aca="false">INDEX(FC_FLUJO_CAJA!$D$20:$BK$20,1,AO$13)*IF(IFERROR(VALUE($D25&amp;""),0)&gt;0,IF(AO$14=MIN(VALUE($D25&amp;""),AO$15),1,0),IF($D25="Q",IF(AO$14=MIN(2,AO$15),0.5,0)+IF(AO$14=AO$15,0.5,0),IF($D25="U",IF(AO$14=AO$15,1,0),1/AO$15)))</f>
        <v>0</v>
      </c>
      <c r="AP25" s="498" t="n">
        <f aca="false">INDEX(FC_FLUJO_CAJA!$D$20:$BK$20,1,AP$13)*IF(IFERROR(VALUE($D25&amp;""),0)&gt;0,IF(AP$14=MIN(VALUE($D25&amp;""),AP$15),1,0),IF($D25="Q",IF(AP$14=MIN(2,AP$15),0.5,0)+IF(AP$14=AP$15,0.5,0),IF($D25="U",IF(AP$14=AP$15,1,0),1/AP$15)))</f>
        <v>0</v>
      </c>
      <c r="AQ25" s="498" t="n">
        <f aca="false">INDEX(FC_FLUJO_CAJA!$D$20:$BK$20,1,AQ$13)*IF(IFERROR(VALUE($D25&amp;""),0)&gt;0,IF(AQ$14=MIN(VALUE($D25&amp;""),AQ$15),1,0),IF($D25="Q",IF(AQ$14=MIN(2,AQ$15),0.5,0)+IF(AQ$14=AQ$15,0.5,0),IF($D25="U",IF(AQ$14=AQ$15,1,0),1/AQ$15)))</f>
        <v>0</v>
      </c>
      <c r="AR25" s="498" t="n">
        <f aca="false">INDEX(FC_FLUJO_CAJA!$D$20:$BK$20,1,AR$13)*IF(IFERROR(VALUE($D25&amp;""),0)&gt;0,IF(AR$14=MIN(VALUE($D25&amp;""),AR$15),1,0),IF($D25="Q",IF(AR$14=MIN(2,AR$15),0.5,0)+IF(AR$14=AR$15,0.5,0),IF($D25="U",IF(AR$14=AR$15,1,0),1/AR$15)))</f>
        <v>0</v>
      </c>
      <c r="AS25" s="498" t="n">
        <f aca="false">INDEX(FC_FLUJO_CAJA!$D$20:$BK$20,1,AS$13)*IF(IFERROR(VALUE($D25&amp;""),0)&gt;0,IF(AS$14=MIN(VALUE($D25&amp;""),AS$15),1,0),IF($D25="Q",IF(AS$14=MIN(2,AS$15),0.5,0)+IF(AS$14=AS$15,0.5,0),IF($D25="U",IF(AS$14=AS$15,1,0),1/AS$15)))</f>
        <v>145.53</v>
      </c>
      <c r="AT25" s="498" t="n">
        <f aca="false">INDEX(FC_FLUJO_CAJA!$D$20:$BK$20,1,AT$13)*IF(IFERROR(VALUE($D25&amp;""),0)&gt;0,IF(AT$14=MIN(VALUE($D25&amp;""),AT$15),1,0),IF($D25="Q",IF(AT$14=MIN(2,AT$15),0.5,0)+IF(AT$14=AT$15,0.5,0),IF($D25="U",IF(AT$14=AT$15,1,0),1/AT$15)))</f>
        <v>145.53</v>
      </c>
      <c r="AU25" s="498" t="n">
        <f aca="false">INDEX(FC_FLUJO_CAJA!$D$20:$BK$20,1,AU$13)*IF(IFERROR(VALUE($D25&amp;""),0)&gt;0,IF(AU$14=MIN(VALUE($D25&amp;""),AU$15),1,0),IF($D25="Q",IF(AU$14=MIN(2,AU$15),0.5,0)+IF(AU$14=AU$15,0.5,0),IF($D25="U",IF(AU$14=AU$15,1,0),1/AU$15)))</f>
        <v>145.53</v>
      </c>
      <c r="AV25" s="498" t="n">
        <f aca="false">INDEX(FC_FLUJO_CAJA!$D$20:$BK$20,1,AV$13)*IF(IFERROR(VALUE($D25&amp;""),0)&gt;0,IF(AV$14=MIN(VALUE($D25&amp;""),AV$15),1,0),IF($D25="Q",IF(AV$14=MIN(2,AV$15),0.5,0)+IF(AV$14=AV$15,0.5,0),IF($D25="U",IF(AV$14=AV$15,1,0),1/AV$15)))</f>
        <v>145.53</v>
      </c>
      <c r="AW25" s="498" t="n">
        <f aca="false">INDEX(FC_FLUJO_CAJA!$D$20:$BK$20,1,AW$13)*IF(IFERROR(VALUE($D25&amp;""),0)&gt;0,IF(AW$14=MIN(VALUE($D25&amp;""),AW$15),1,0),IF($D25="Q",IF(AW$14=MIN(2,AW$15),0.5,0)+IF(AW$14=AW$15,0.5,0),IF($D25="U",IF(AW$14=AW$15,1,0),1/AW$15)))</f>
        <v>257.796</v>
      </c>
      <c r="AX25" s="498" t="n">
        <f aca="false">INDEX(FC_FLUJO_CAJA!$D$20:$BK$20,1,AX$13)*IF(IFERROR(VALUE($D25&amp;""),0)&gt;0,IF(AX$14=MIN(VALUE($D25&amp;""),AX$15),1,0),IF($D25="Q",IF(AX$14=MIN(2,AX$15),0.5,0)+IF(AX$14=AX$15,0.5,0),IF($D25="U",IF(AX$14=AX$15,1,0),1/AX$15)))</f>
        <v>257.796</v>
      </c>
      <c r="AY25" s="498" t="n">
        <f aca="false">INDEX(FC_FLUJO_CAJA!$D$20:$BK$20,1,AY$13)*IF(IFERROR(VALUE($D25&amp;""),0)&gt;0,IF(AY$14=MIN(VALUE($D25&amp;""),AY$15),1,0),IF($D25="Q",IF(AY$14=MIN(2,AY$15),0.5,0)+IF(AY$14=AY$15,0.5,0),IF($D25="U",IF(AY$14=AY$15,1,0),1/AY$15)))</f>
        <v>257.796</v>
      </c>
      <c r="AZ25" s="498" t="n">
        <f aca="false">INDEX(FC_FLUJO_CAJA!$D$20:$BK$20,1,AZ$13)*IF(IFERROR(VALUE($D25&amp;""),0)&gt;0,IF(AZ$14=MIN(VALUE($D25&amp;""),AZ$15),1,0),IF($D25="Q",IF(AZ$14=MIN(2,AZ$15),0.5,0)+IF(AZ$14=AZ$15,0.5,0),IF($D25="U",IF(AZ$14=AZ$15,1,0),1/AZ$15)))</f>
        <v>257.796</v>
      </c>
      <c r="BA25" s="498" t="n">
        <f aca="false">INDEX(FC_FLUJO_CAJA!$D$20:$BK$20,1,BA$13)*IF(IFERROR(VALUE($D25&amp;""),0)&gt;0,IF(BA$14=MIN(VALUE($D25&amp;""),BA$15),1,0),IF($D25="Q",IF(BA$14=MIN(2,BA$15),0.5,0)+IF(BA$14=BA$15,0.5,0),IF($D25="U",IF(BA$14=BA$15,1,0),1/BA$15)))</f>
        <v>257.796</v>
      </c>
      <c r="BB25" s="498" t="n">
        <f aca="false">INDEX(FC_FLUJO_CAJA!$D$20:$BK$20,1,BB$13)*IF(IFERROR(VALUE($D25&amp;""),0)&gt;0,IF(BB$14=MIN(VALUE($D25&amp;""),BB$15),1,0),IF($D25="Q",IF(BB$14=MIN(2,BB$15),0.5,0)+IF(BB$14=BB$15,0.5,0),IF($D25="U",IF(BB$14=BB$15,1,0),1/BB$15)))</f>
        <v>530.145</v>
      </c>
      <c r="BC25" s="498" t="n">
        <f aca="false">INDEX(FC_FLUJO_CAJA!$D$20:$BK$20,1,BC$13)*IF(IFERROR(VALUE($D25&amp;""),0)&gt;0,IF(BC$14=MIN(VALUE($D25&amp;""),BC$15),1,0),IF($D25="Q",IF(BC$14=MIN(2,BC$15),0.5,0)+IF(BC$14=BC$15,0.5,0),IF($D25="U",IF(BC$14=BC$15,1,0),1/BC$15)))</f>
        <v>530.145</v>
      </c>
      <c r="BD25" s="498" t="n">
        <f aca="false">INDEX(FC_FLUJO_CAJA!$D$20:$BK$20,1,BD$13)*IF(IFERROR(VALUE($D25&amp;""),0)&gt;0,IF(BD$14=MIN(VALUE($D25&amp;""),BD$15),1,0),IF($D25="Q",IF(BD$14=MIN(2,BD$15),0.5,0)+IF(BD$14=BD$15,0.5,0),IF($D25="U",IF(BD$14=BD$15,1,0),1/BD$15)))</f>
        <v>530.145</v>
      </c>
      <c r="BE25" s="498" t="n">
        <f aca="false">INDEX(FC_FLUJO_CAJA!$D$20:$BK$20,1,BE$13)*IF(IFERROR(VALUE($D25&amp;""),0)&gt;0,IF(BE$14=MIN(VALUE($D25&amp;""),BE$15),1,0),IF($D25="Q",IF(BE$14=MIN(2,BE$15),0.5,0)+IF(BE$14=BE$15,0.5,0),IF($D25="U",IF(BE$14=BE$15,1,0),1/BE$15)))</f>
        <v>530.145</v>
      </c>
    </row>
    <row r="26" customFormat="false" ht="15" hidden="false" customHeight="true" outlineLevel="0" collapsed="false">
      <c r="A26" s="400" t="s">
        <v>3101</v>
      </c>
      <c r="B26" s="283" t="s">
        <v>2185</v>
      </c>
      <c r="C26" s="531" t="s">
        <v>3102</v>
      </c>
      <c r="D26" s="289" t="n">
        <f aca="false">FC_SUPUESTOS!$C$132</f>
        <v>1</v>
      </c>
      <c r="E26" s="532" t="n">
        <f aca="false">SUM(F26:BE26)</f>
        <v>24000</v>
      </c>
      <c r="F26" s="498" t="n">
        <f aca="false">(INDEX(FC_CRONOGRAMA!$D$20:$BK$20,1,F$13)*SUP_OPEX!$D$20+INDEX(FC_CRONOGRAMA!$D$21:$BK$21,1,F$13)*SUP_OPEX!$E$20)*IF(IFERROR(VALUE($D26&amp;""),0)&gt;0,IF(F$14=MIN(VALUE($D26&amp;""),F$15),1,0),IF($D26="Q",IF(F$14=MIN(2,F$15),0.5,0)+IF(F$14=F$15,0.5,0),IF($D26="U",IF(F$14=F$15,1,0),1/F$15)))</f>
        <v>0</v>
      </c>
      <c r="G26" s="498" t="n">
        <f aca="false">(INDEX(FC_CRONOGRAMA!$D$20:$BK$20,1,G$13)*SUP_OPEX!$D$20+INDEX(FC_CRONOGRAMA!$D$21:$BK$21,1,G$13)*SUP_OPEX!$E$20)*IF(IFERROR(VALUE($D26&amp;""),0)&gt;0,IF(G$14=MIN(VALUE($D26&amp;""),G$15),1,0),IF($D26="Q",IF(G$14=MIN(2,G$15),0.5,0)+IF(G$14=G$15,0.5,0),IF($D26="U",IF(G$14=G$15,1,0),1/G$15)))</f>
        <v>0</v>
      </c>
      <c r="H26" s="498" t="n">
        <f aca="false">(INDEX(FC_CRONOGRAMA!$D$20:$BK$20,1,H$13)*SUP_OPEX!$D$20+INDEX(FC_CRONOGRAMA!$D$21:$BK$21,1,H$13)*SUP_OPEX!$E$20)*IF(IFERROR(VALUE($D26&amp;""),0)&gt;0,IF(H$14=MIN(VALUE($D26&amp;""),H$15),1,0),IF($D26="Q",IF(H$14=MIN(2,H$15),0.5,0)+IF(H$14=H$15,0.5,0),IF($D26="U",IF(H$14=H$15,1,0),1/H$15)))</f>
        <v>0</v>
      </c>
      <c r="I26" s="498" t="n">
        <f aca="false">(INDEX(FC_CRONOGRAMA!$D$20:$BK$20,1,I$13)*SUP_OPEX!$D$20+INDEX(FC_CRONOGRAMA!$D$21:$BK$21,1,I$13)*SUP_OPEX!$E$20)*IF(IFERROR(VALUE($D26&amp;""),0)&gt;0,IF(I$14=MIN(VALUE($D26&amp;""),I$15),1,0),IF($D26="Q",IF(I$14=MIN(2,I$15),0.5,0)+IF(I$14=I$15,0.5,0),IF($D26="U",IF(I$14=I$15,1,0),1/I$15)))</f>
        <v>0</v>
      </c>
      <c r="J26" s="498" t="n">
        <f aca="false">(INDEX(FC_CRONOGRAMA!$D$20:$BK$20,1,J$13)*SUP_OPEX!$D$20+INDEX(FC_CRONOGRAMA!$D$21:$BK$21,1,J$13)*SUP_OPEX!$E$20)*IF(IFERROR(VALUE($D26&amp;""),0)&gt;0,IF(J$14=MIN(VALUE($D26&amp;""),J$15),1,0),IF($D26="Q",IF(J$14=MIN(2,J$15),0.5,0)+IF(J$14=J$15,0.5,0),IF($D26="U",IF(J$14=J$15,1,0),1/J$15)))</f>
        <v>0</v>
      </c>
      <c r="K26" s="498" t="n">
        <f aca="false">(INDEX(FC_CRONOGRAMA!$D$20:$BK$20,1,K$13)*SUP_OPEX!$D$20+INDEX(FC_CRONOGRAMA!$D$21:$BK$21,1,K$13)*SUP_OPEX!$E$20)*IF(IFERROR(VALUE($D26&amp;""),0)&gt;0,IF(K$14=MIN(VALUE($D26&amp;""),K$15),1,0),IF($D26="Q",IF(K$14=MIN(2,K$15),0.5,0)+IF(K$14=K$15,0.5,0),IF($D26="U",IF(K$14=K$15,1,0),1/K$15)))</f>
        <v>0</v>
      </c>
      <c r="L26" s="498" t="n">
        <f aca="false">(INDEX(FC_CRONOGRAMA!$D$20:$BK$20,1,L$13)*SUP_OPEX!$D$20+INDEX(FC_CRONOGRAMA!$D$21:$BK$21,1,L$13)*SUP_OPEX!$E$20)*IF(IFERROR(VALUE($D26&amp;""),0)&gt;0,IF(L$14=MIN(VALUE($D26&amp;""),L$15),1,0),IF($D26="Q",IF(L$14=MIN(2,L$15),0.5,0)+IF(L$14=L$15,0.5,0),IF($D26="U",IF(L$14=L$15,1,0),1/L$15)))</f>
        <v>0</v>
      </c>
      <c r="M26" s="498" t="n">
        <f aca="false">(INDEX(FC_CRONOGRAMA!$D$20:$BK$20,1,M$13)*SUP_OPEX!$D$20+INDEX(FC_CRONOGRAMA!$D$21:$BK$21,1,M$13)*SUP_OPEX!$E$20)*IF(IFERROR(VALUE($D26&amp;""),0)&gt;0,IF(M$14=MIN(VALUE($D26&amp;""),M$15),1,0),IF($D26="Q",IF(M$14=MIN(2,M$15),0.5,0)+IF(M$14=M$15,0.5,0),IF($D26="U",IF(M$14=M$15,1,0),1/M$15)))</f>
        <v>0</v>
      </c>
      <c r="N26" s="498" t="n">
        <f aca="false">(INDEX(FC_CRONOGRAMA!$D$20:$BK$20,1,N$13)*SUP_OPEX!$D$20+INDEX(FC_CRONOGRAMA!$D$21:$BK$21,1,N$13)*SUP_OPEX!$E$20)*IF(IFERROR(VALUE($D26&amp;""),0)&gt;0,IF(N$14=MIN(VALUE($D26&amp;""),N$15),1,0),IF($D26="Q",IF(N$14=MIN(2,N$15),0.5,0)+IF(N$14=N$15,0.5,0),IF($D26="U",IF(N$14=N$15,1,0),1/N$15)))</f>
        <v>0</v>
      </c>
      <c r="O26" s="498" t="n">
        <f aca="false">(INDEX(FC_CRONOGRAMA!$D$20:$BK$20,1,O$13)*SUP_OPEX!$D$20+INDEX(FC_CRONOGRAMA!$D$21:$BK$21,1,O$13)*SUP_OPEX!$E$20)*IF(IFERROR(VALUE($D26&amp;""),0)&gt;0,IF(O$14=MIN(VALUE($D26&amp;""),O$15),1,0),IF($D26="Q",IF(O$14=MIN(2,O$15),0.5,0)+IF(O$14=O$15,0.5,0),IF($D26="U",IF(O$14=O$15,1,0),1/O$15)))</f>
        <v>0</v>
      </c>
      <c r="P26" s="498" t="n">
        <f aca="false">(INDEX(FC_CRONOGRAMA!$D$20:$BK$20,1,P$13)*SUP_OPEX!$D$20+INDEX(FC_CRONOGRAMA!$D$21:$BK$21,1,P$13)*SUP_OPEX!$E$20)*IF(IFERROR(VALUE($D26&amp;""),0)&gt;0,IF(P$14=MIN(VALUE($D26&amp;""),P$15),1,0),IF($D26="Q",IF(P$14=MIN(2,P$15),0.5,0)+IF(P$14=P$15,0.5,0),IF($D26="U",IF(P$14=P$15,1,0),1/P$15)))</f>
        <v>0</v>
      </c>
      <c r="Q26" s="498" t="n">
        <f aca="false">(INDEX(FC_CRONOGRAMA!$D$20:$BK$20,1,Q$13)*SUP_OPEX!$D$20+INDEX(FC_CRONOGRAMA!$D$21:$BK$21,1,Q$13)*SUP_OPEX!$E$20)*IF(IFERROR(VALUE($D26&amp;""),0)&gt;0,IF(Q$14=MIN(VALUE($D26&amp;""),Q$15),1,0),IF($D26="Q",IF(Q$14=MIN(2,Q$15),0.5,0)+IF(Q$14=Q$15,0.5,0),IF($D26="U",IF(Q$14=Q$15,1,0),1/Q$15)))</f>
        <v>0</v>
      </c>
      <c r="R26" s="498" t="n">
        <f aca="false">(INDEX(FC_CRONOGRAMA!$D$20:$BK$20,1,R$13)*SUP_OPEX!$D$20+INDEX(FC_CRONOGRAMA!$D$21:$BK$21,1,R$13)*SUP_OPEX!$E$20)*IF(IFERROR(VALUE($D26&amp;""),0)&gt;0,IF(R$14=MIN(VALUE($D26&amp;""),R$15),1,0),IF($D26="Q",IF(R$14=MIN(2,R$15),0.5,0)+IF(R$14=R$15,0.5,0),IF($D26="U",IF(R$14=R$15,1,0),1/R$15)))</f>
        <v>0</v>
      </c>
      <c r="S26" s="498" t="n">
        <f aca="false">(INDEX(FC_CRONOGRAMA!$D$20:$BK$20,1,S$13)*SUP_OPEX!$D$20+INDEX(FC_CRONOGRAMA!$D$21:$BK$21,1,S$13)*SUP_OPEX!$E$20)*IF(IFERROR(VALUE($D26&amp;""),0)&gt;0,IF(S$14=MIN(VALUE($D26&amp;""),S$15),1,0),IF($D26="Q",IF(S$14=MIN(2,S$15),0.5,0)+IF(S$14=S$15,0.5,0),IF($D26="U",IF(S$14=S$15,1,0),1/S$15)))</f>
        <v>0</v>
      </c>
      <c r="T26" s="498" t="n">
        <f aca="false">(INDEX(FC_CRONOGRAMA!$D$20:$BK$20,1,T$13)*SUP_OPEX!$D$20+INDEX(FC_CRONOGRAMA!$D$21:$BK$21,1,T$13)*SUP_OPEX!$E$20)*IF(IFERROR(VALUE($D26&amp;""),0)&gt;0,IF(T$14=MIN(VALUE($D26&amp;""),T$15),1,0),IF($D26="Q",IF(T$14=MIN(2,T$15),0.5,0)+IF(T$14=T$15,0.5,0),IF($D26="U",IF(T$14=T$15,1,0),1/T$15)))</f>
        <v>0</v>
      </c>
      <c r="U26" s="498" t="n">
        <f aca="false">(INDEX(FC_CRONOGRAMA!$D$20:$BK$20,1,U$13)*SUP_OPEX!$D$20+INDEX(FC_CRONOGRAMA!$D$21:$BK$21,1,U$13)*SUP_OPEX!$E$20)*IF(IFERROR(VALUE($D26&amp;""),0)&gt;0,IF(U$14=MIN(VALUE($D26&amp;""),U$15),1,0),IF($D26="Q",IF(U$14=MIN(2,U$15),0.5,0)+IF(U$14=U$15,0.5,0),IF($D26="U",IF(U$14=U$15,1,0),1/U$15)))</f>
        <v>0</v>
      </c>
      <c r="V26" s="498" t="n">
        <f aca="false">(INDEX(FC_CRONOGRAMA!$D$20:$BK$20,1,V$13)*SUP_OPEX!$D$20+INDEX(FC_CRONOGRAMA!$D$21:$BK$21,1,V$13)*SUP_OPEX!$E$20)*IF(IFERROR(VALUE($D26&amp;""),0)&gt;0,IF(V$14=MIN(VALUE($D26&amp;""),V$15),1,0),IF($D26="Q",IF(V$14=MIN(2,V$15),0.5,0)+IF(V$14=V$15,0.5,0),IF($D26="U",IF(V$14=V$15,1,0),1/V$15)))</f>
        <v>0</v>
      </c>
      <c r="W26" s="498" t="n">
        <f aca="false">(INDEX(FC_CRONOGRAMA!$D$20:$BK$20,1,W$13)*SUP_OPEX!$D$20+INDEX(FC_CRONOGRAMA!$D$21:$BK$21,1,W$13)*SUP_OPEX!$E$20)*IF(IFERROR(VALUE($D26&amp;""),0)&gt;0,IF(W$14=MIN(VALUE($D26&amp;""),W$15),1,0),IF($D26="Q",IF(W$14=MIN(2,W$15),0.5,0)+IF(W$14=W$15,0.5,0),IF($D26="U",IF(W$14=W$15,1,0),1/W$15)))</f>
        <v>0</v>
      </c>
      <c r="X26" s="498" t="n">
        <f aca="false">(INDEX(FC_CRONOGRAMA!$D$20:$BK$20,1,X$13)*SUP_OPEX!$D$20+INDEX(FC_CRONOGRAMA!$D$21:$BK$21,1,X$13)*SUP_OPEX!$E$20)*IF(IFERROR(VALUE($D26&amp;""),0)&gt;0,IF(X$14=MIN(VALUE($D26&amp;""),X$15),1,0),IF($D26="Q",IF(X$14=MIN(2,X$15),0.5,0)+IF(X$14=X$15,0.5,0),IF($D26="U",IF(X$14=X$15,1,0),1/X$15)))</f>
        <v>0</v>
      </c>
      <c r="Y26" s="498" t="n">
        <f aca="false">(INDEX(FC_CRONOGRAMA!$D$20:$BK$20,1,Y$13)*SUP_OPEX!$D$20+INDEX(FC_CRONOGRAMA!$D$21:$BK$21,1,Y$13)*SUP_OPEX!$E$20)*IF(IFERROR(VALUE($D26&amp;""),0)&gt;0,IF(Y$14=MIN(VALUE($D26&amp;""),Y$15),1,0),IF($D26="Q",IF(Y$14=MIN(2,Y$15),0.5,0)+IF(Y$14=Y$15,0.5,0),IF($D26="U",IF(Y$14=Y$15,1,0),1/Y$15)))</f>
        <v>0</v>
      </c>
      <c r="Z26" s="498" t="n">
        <f aca="false">(INDEX(FC_CRONOGRAMA!$D$20:$BK$20,1,Z$13)*SUP_OPEX!$D$20+INDEX(FC_CRONOGRAMA!$D$21:$BK$21,1,Z$13)*SUP_OPEX!$E$20)*IF(IFERROR(VALUE($D26&amp;""),0)&gt;0,IF(Z$14=MIN(VALUE($D26&amp;""),Z$15),1,0),IF($D26="Q",IF(Z$14=MIN(2,Z$15),0.5,0)+IF(Z$14=Z$15,0.5,0),IF($D26="U",IF(Z$14=Z$15,1,0),1/Z$15)))</f>
        <v>0</v>
      </c>
      <c r="AA26" s="498" t="n">
        <f aca="false">(INDEX(FC_CRONOGRAMA!$D$20:$BK$20,1,AA$13)*SUP_OPEX!$D$20+INDEX(FC_CRONOGRAMA!$D$21:$BK$21,1,AA$13)*SUP_OPEX!$E$20)*IF(IFERROR(VALUE($D26&amp;""),0)&gt;0,IF(AA$14=MIN(VALUE($D26&amp;""),AA$15),1,0),IF($D26="Q",IF(AA$14=MIN(2,AA$15),0.5,0)+IF(AA$14=AA$15,0.5,0),IF($D26="U",IF(AA$14=AA$15,1,0),1/AA$15)))</f>
        <v>0</v>
      </c>
      <c r="AB26" s="498" t="n">
        <f aca="false">(INDEX(FC_CRONOGRAMA!$D$20:$BK$20,1,AB$13)*SUP_OPEX!$D$20+INDEX(FC_CRONOGRAMA!$D$21:$BK$21,1,AB$13)*SUP_OPEX!$E$20)*IF(IFERROR(VALUE($D26&amp;""),0)&gt;0,IF(AB$14=MIN(VALUE($D26&amp;""),AB$15),1,0),IF($D26="Q",IF(AB$14=MIN(2,AB$15),0.5,0)+IF(AB$14=AB$15,0.5,0),IF($D26="U",IF(AB$14=AB$15,1,0),1/AB$15)))</f>
        <v>0</v>
      </c>
      <c r="AC26" s="498" t="n">
        <f aca="false">(INDEX(FC_CRONOGRAMA!$D$20:$BK$20,1,AC$13)*SUP_OPEX!$D$20+INDEX(FC_CRONOGRAMA!$D$21:$BK$21,1,AC$13)*SUP_OPEX!$E$20)*IF(IFERROR(VALUE($D26&amp;""),0)&gt;0,IF(AC$14=MIN(VALUE($D26&amp;""),AC$15),1,0),IF($D26="Q",IF(AC$14=MIN(2,AC$15),0.5,0)+IF(AC$14=AC$15,0.5,0),IF($D26="U",IF(AC$14=AC$15,1,0),1/AC$15)))</f>
        <v>0</v>
      </c>
      <c r="AD26" s="498" t="n">
        <f aca="false">(INDEX(FC_CRONOGRAMA!$D$20:$BK$20,1,AD$13)*SUP_OPEX!$D$20+INDEX(FC_CRONOGRAMA!$D$21:$BK$21,1,AD$13)*SUP_OPEX!$E$20)*IF(IFERROR(VALUE($D26&amp;""),0)&gt;0,IF(AD$14=MIN(VALUE($D26&amp;""),AD$15),1,0),IF($D26="Q",IF(AD$14=MIN(2,AD$15),0.5,0)+IF(AD$14=AD$15,0.5,0),IF($D26="U",IF(AD$14=AD$15,1,0),1/AD$15)))</f>
        <v>0</v>
      </c>
      <c r="AE26" s="498" t="n">
        <f aca="false">(INDEX(FC_CRONOGRAMA!$D$20:$BK$20,1,AE$13)*SUP_OPEX!$D$20+INDEX(FC_CRONOGRAMA!$D$21:$BK$21,1,AE$13)*SUP_OPEX!$E$20)*IF(IFERROR(VALUE($D26&amp;""),0)&gt;0,IF(AE$14=MIN(VALUE($D26&amp;""),AE$15),1,0),IF($D26="Q",IF(AE$14=MIN(2,AE$15),0.5,0)+IF(AE$14=AE$15,0.5,0),IF($D26="U",IF(AE$14=AE$15,1,0),1/AE$15)))</f>
        <v>0</v>
      </c>
      <c r="AF26" s="498" t="n">
        <f aca="false">(INDEX(FC_CRONOGRAMA!$D$20:$BK$20,1,AF$13)*SUP_OPEX!$D$20+INDEX(FC_CRONOGRAMA!$D$21:$BK$21,1,AF$13)*SUP_OPEX!$E$20)*IF(IFERROR(VALUE($D26&amp;""),0)&gt;0,IF(AF$14=MIN(VALUE($D26&amp;""),AF$15),1,0),IF($D26="Q",IF(AF$14=MIN(2,AF$15),0.5,0)+IF(AF$14=AF$15,0.5,0),IF($D26="U",IF(AF$14=AF$15,1,0),1/AF$15)))</f>
        <v>0</v>
      </c>
      <c r="AG26" s="498" t="n">
        <f aca="false">(INDEX(FC_CRONOGRAMA!$D$20:$BK$20,1,AG$13)*SUP_OPEX!$D$20+INDEX(FC_CRONOGRAMA!$D$21:$BK$21,1,AG$13)*SUP_OPEX!$E$20)*IF(IFERROR(VALUE($D26&amp;""),0)&gt;0,IF(AG$14=MIN(VALUE($D26&amp;""),AG$15),1,0),IF($D26="Q",IF(AG$14=MIN(2,AG$15),0.5,0)+IF(AG$14=AG$15,0.5,0),IF($D26="U",IF(AG$14=AG$15,1,0),1/AG$15)))</f>
        <v>0</v>
      </c>
      <c r="AH26" s="498" t="n">
        <f aca="false">(INDEX(FC_CRONOGRAMA!$D$20:$BK$20,1,AH$13)*SUP_OPEX!$D$20+INDEX(FC_CRONOGRAMA!$D$21:$BK$21,1,AH$13)*SUP_OPEX!$E$20)*IF(IFERROR(VALUE($D26&amp;""),0)&gt;0,IF(AH$14=MIN(VALUE($D26&amp;""),AH$15),1,0),IF($D26="Q",IF(AH$14=MIN(2,AH$15),0.5,0)+IF(AH$14=AH$15,0.5,0),IF($D26="U",IF(AH$14=AH$15,1,0),1/AH$15)))</f>
        <v>0</v>
      </c>
      <c r="AI26" s="498" t="n">
        <f aca="false">(INDEX(FC_CRONOGRAMA!$D$20:$BK$20,1,AI$13)*SUP_OPEX!$D$20+INDEX(FC_CRONOGRAMA!$D$21:$BK$21,1,AI$13)*SUP_OPEX!$E$20)*IF(IFERROR(VALUE($D26&amp;""),0)&gt;0,IF(AI$14=MIN(VALUE($D26&amp;""),AI$15),1,0),IF($D26="Q",IF(AI$14=MIN(2,AI$15),0.5,0)+IF(AI$14=AI$15,0.5,0),IF($D26="U",IF(AI$14=AI$15,1,0),1/AI$15)))</f>
        <v>0</v>
      </c>
      <c r="AJ26" s="498" t="n">
        <f aca="false">(INDEX(FC_CRONOGRAMA!$D$20:$BK$20,1,AJ$13)*SUP_OPEX!$D$20+INDEX(FC_CRONOGRAMA!$D$21:$BK$21,1,AJ$13)*SUP_OPEX!$E$20)*IF(IFERROR(VALUE($D26&amp;""),0)&gt;0,IF(AJ$14=MIN(VALUE($D26&amp;""),AJ$15),1,0),IF($D26="Q",IF(AJ$14=MIN(2,AJ$15),0.5,0)+IF(AJ$14=AJ$15,0.5,0),IF($D26="U",IF(AJ$14=AJ$15,1,0),1/AJ$15)))</f>
        <v>0</v>
      </c>
      <c r="AK26" s="498" t="n">
        <f aca="false">(INDEX(FC_CRONOGRAMA!$D$20:$BK$20,1,AK$13)*SUP_OPEX!$D$20+INDEX(FC_CRONOGRAMA!$D$21:$BK$21,1,AK$13)*SUP_OPEX!$E$20)*IF(IFERROR(VALUE($D26&amp;""),0)&gt;0,IF(AK$14=MIN(VALUE($D26&amp;""),AK$15),1,0),IF($D26="Q",IF(AK$14=MIN(2,AK$15),0.5,0)+IF(AK$14=AK$15,0.5,0),IF($D26="U",IF(AK$14=AK$15,1,0),1/AK$15)))</f>
        <v>0</v>
      </c>
      <c r="AL26" s="498" t="n">
        <f aca="false">(INDEX(FC_CRONOGRAMA!$D$20:$BK$20,1,AL$13)*SUP_OPEX!$D$20+INDEX(FC_CRONOGRAMA!$D$21:$BK$21,1,AL$13)*SUP_OPEX!$E$20)*IF(IFERROR(VALUE($D26&amp;""),0)&gt;0,IF(AL$14=MIN(VALUE($D26&amp;""),AL$15),1,0),IF($D26="Q",IF(AL$14=MIN(2,AL$15),0.5,0)+IF(AL$14=AL$15,0.5,0),IF($D26="U",IF(AL$14=AL$15,1,0),1/AL$15)))</f>
        <v>0</v>
      </c>
      <c r="AM26" s="498" t="n">
        <f aca="false">(INDEX(FC_CRONOGRAMA!$D$20:$BK$20,1,AM$13)*SUP_OPEX!$D$20+INDEX(FC_CRONOGRAMA!$D$21:$BK$21,1,AM$13)*SUP_OPEX!$E$20)*IF(IFERROR(VALUE($D26&amp;""),0)&gt;0,IF(AM$14=MIN(VALUE($D26&amp;""),AM$15),1,0),IF($D26="Q",IF(AM$14=MIN(2,AM$15),0.5,0)+IF(AM$14=AM$15,0.5,0),IF($D26="U",IF(AM$14=AM$15,1,0),1/AM$15)))</f>
        <v>0</v>
      </c>
      <c r="AN26" s="498" t="n">
        <f aca="false">(INDEX(FC_CRONOGRAMA!$D$20:$BK$20,1,AN$13)*SUP_OPEX!$D$20+INDEX(FC_CRONOGRAMA!$D$21:$BK$21,1,AN$13)*SUP_OPEX!$E$20)*IF(IFERROR(VALUE($D26&amp;""),0)&gt;0,IF(AN$14=MIN(VALUE($D26&amp;""),AN$15),1,0),IF($D26="Q",IF(AN$14=MIN(2,AN$15),0.5,0)+IF(AN$14=AN$15,0.5,0),IF($D26="U",IF(AN$14=AN$15,1,0),1/AN$15)))</f>
        <v>0</v>
      </c>
      <c r="AO26" s="498" t="n">
        <f aca="false">(INDEX(FC_CRONOGRAMA!$D$20:$BK$20,1,AO$13)*SUP_OPEX!$D$20+INDEX(FC_CRONOGRAMA!$D$21:$BK$21,1,AO$13)*SUP_OPEX!$E$20)*IF(IFERROR(VALUE($D26&amp;""),0)&gt;0,IF(AO$14=MIN(VALUE($D26&amp;""),AO$15),1,0),IF($D26="Q",IF(AO$14=MIN(2,AO$15),0.5,0)+IF(AO$14=AO$15,0.5,0),IF($D26="U",IF(AO$14=AO$15,1,0),1/AO$15)))</f>
        <v>0</v>
      </c>
      <c r="AP26" s="498" t="n">
        <f aca="false">(INDEX(FC_CRONOGRAMA!$D$20:$BK$20,1,AP$13)*SUP_OPEX!$D$20+INDEX(FC_CRONOGRAMA!$D$21:$BK$21,1,AP$13)*SUP_OPEX!$E$20)*IF(IFERROR(VALUE($D26&amp;""),0)&gt;0,IF(AP$14=MIN(VALUE($D26&amp;""),AP$15),1,0),IF($D26="Q",IF(AP$14=MIN(2,AP$15),0.5,0)+IF(AP$14=AP$15,0.5,0),IF($D26="U",IF(AP$14=AP$15,1,0),1/AP$15)))</f>
        <v>0</v>
      </c>
      <c r="AQ26" s="498" t="n">
        <f aca="false">(INDEX(FC_CRONOGRAMA!$D$20:$BK$20,1,AQ$13)*SUP_OPEX!$D$20+INDEX(FC_CRONOGRAMA!$D$21:$BK$21,1,AQ$13)*SUP_OPEX!$E$20)*IF(IFERROR(VALUE($D26&amp;""),0)&gt;0,IF(AQ$14=MIN(VALUE($D26&amp;""),AQ$15),1,0),IF($D26="Q",IF(AQ$14=MIN(2,AQ$15),0.5,0)+IF(AQ$14=AQ$15,0.5,0),IF($D26="U",IF(AQ$14=AQ$15,1,0),1/AQ$15)))</f>
        <v>0</v>
      </c>
      <c r="AR26" s="498" t="n">
        <f aca="false">(INDEX(FC_CRONOGRAMA!$D$20:$BK$20,1,AR$13)*SUP_OPEX!$D$20+INDEX(FC_CRONOGRAMA!$D$21:$BK$21,1,AR$13)*SUP_OPEX!$E$20)*IF(IFERROR(VALUE($D26&amp;""),0)&gt;0,IF(AR$14=MIN(VALUE($D26&amp;""),AR$15),1,0),IF($D26="Q",IF(AR$14=MIN(2,AR$15),0.5,0)+IF(AR$14=AR$15,0.5,0),IF($D26="U",IF(AR$14=AR$15,1,0),1/AR$15)))</f>
        <v>0</v>
      </c>
      <c r="AS26" s="498" t="n">
        <f aca="false">(INDEX(FC_CRONOGRAMA!$D$20:$BK$20,1,AS$13)*SUP_OPEX!$D$20+INDEX(FC_CRONOGRAMA!$D$21:$BK$21,1,AS$13)*SUP_OPEX!$E$20)*IF(IFERROR(VALUE($D26&amp;""),0)&gt;0,IF(AS$14=MIN(VALUE($D26&amp;""),AS$15),1,0),IF($D26="Q",IF(AS$14=MIN(2,AS$15),0.5,0)+IF(AS$14=AS$15,0.5,0),IF($D26="U",IF(AS$14=AS$15,1,0),1/AS$15)))</f>
        <v>4000</v>
      </c>
      <c r="AT26" s="498" t="n">
        <f aca="false">(INDEX(FC_CRONOGRAMA!$D$20:$BK$20,1,AT$13)*SUP_OPEX!$D$20+INDEX(FC_CRONOGRAMA!$D$21:$BK$21,1,AT$13)*SUP_OPEX!$E$20)*IF(IFERROR(VALUE($D26&amp;""),0)&gt;0,IF(AT$14=MIN(VALUE($D26&amp;""),AT$15),1,0),IF($D26="Q",IF(AT$14=MIN(2,AT$15),0.5,0)+IF(AT$14=AT$15,0.5,0),IF($D26="U",IF(AT$14=AT$15,1,0),1/AT$15)))</f>
        <v>0</v>
      </c>
      <c r="AU26" s="498" t="n">
        <f aca="false">(INDEX(FC_CRONOGRAMA!$D$20:$BK$20,1,AU$13)*SUP_OPEX!$D$20+INDEX(FC_CRONOGRAMA!$D$21:$BK$21,1,AU$13)*SUP_OPEX!$E$20)*IF(IFERROR(VALUE($D26&amp;""),0)&gt;0,IF(AU$14=MIN(VALUE($D26&amp;""),AU$15),1,0),IF($D26="Q",IF(AU$14=MIN(2,AU$15),0.5,0)+IF(AU$14=AU$15,0.5,0),IF($D26="U",IF(AU$14=AU$15,1,0),1/AU$15)))</f>
        <v>0</v>
      </c>
      <c r="AV26" s="498" t="n">
        <f aca="false">(INDEX(FC_CRONOGRAMA!$D$20:$BK$20,1,AV$13)*SUP_OPEX!$D$20+INDEX(FC_CRONOGRAMA!$D$21:$BK$21,1,AV$13)*SUP_OPEX!$E$20)*IF(IFERROR(VALUE($D26&amp;""),0)&gt;0,IF(AV$14=MIN(VALUE($D26&amp;""),AV$15),1,0),IF($D26="Q",IF(AV$14=MIN(2,AV$15),0.5,0)+IF(AV$14=AV$15,0.5,0),IF($D26="U",IF(AV$14=AV$15,1,0),1/AV$15)))</f>
        <v>0</v>
      </c>
      <c r="AW26" s="498" t="n">
        <f aca="false">(INDEX(FC_CRONOGRAMA!$D$20:$BK$20,1,AW$13)*SUP_OPEX!$D$20+INDEX(FC_CRONOGRAMA!$D$21:$BK$21,1,AW$13)*SUP_OPEX!$E$20)*IF(IFERROR(VALUE($D26&amp;""),0)&gt;0,IF(AW$14=MIN(VALUE($D26&amp;""),AW$15),1,0),IF($D26="Q",IF(AW$14=MIN(2,AW$15),0.5,0)+IF(AW$14=AW$15,0.5,0),IF($D26="U",IF(AW$14=AW$15,1,0),1/AW$15)))</f>
        <v>8000</v>
      </c>
      <c r="AX26" s="498" t="n">
        <f aca="false">(INDEX(FC_CRONOGRAMA!$D$20:$BK$20,1,AX$13)*SUP_OPEX!$D$20+INDEX(FC_CRONOGRAMA!$D$21:$BK$21,1,AX$13)*SUP_OPEX!$E$20)*IF(IFERROR(VALUE($D26&amp;""),0)&gt;0,IF(AX$14=MIN(VALUE($D26&amp;""),AX$15),1,0),IF($D26="Q",IF(AX$14=MIN(2,AX$15),0.5,0)+IF(AX$14=AX$15,0.5,0),IF($D26="U",IF(AX$14=AX$15,1,0),1/AX$15)))</f>
        <v>0</v>
      </c>
      <c r="AY26" s="498" t="n">
        <f aca="false">(INDEX(FC_CRONOGRAMA!$D$20:$BK$20,1,AY$13)*SUP_OPEX!$D$20+INDEX(FC_CRONOGRAMA!$D$21:$BK$21,1,AY$13)*SUP_OPEX!$E$20)*IF(IFERROR(VALUE($D26&amp;""),0)&gt;0,IF(AY$14=MIN(VALUE($D26&amp;""),AY$15),1,0),IF($D26="Q",IF(AY$14=MIN(2,AY$15),0.5,0)+IF(AY$14=AY$15,0.5,0),IF($D26="U",IF(AY$14=AY$15,1,0),1/AY$15)))</f>
        <v>0</v>
      </c>
      <c r="AZ26" s="498" t="n">
        <f aca="false">(INDEX(FC_CRONOGRAMA!$D$20:$BK$20,1,AZ$13)*SUP_OPEX!$D$20+INDEX(FC_CRONOGRAMA!$D$21:$BK$21,1,AZ$13)*SUP_OPEX!$E$20)*IF(IFERROR(VALUE($D26&amp;""),0)&gt;0,IF(AZ$14=MIN(VALUE($D26&amp;""),AZ$15),1,0),IF($D26="Q",IF(AZ$14=MIN(2,AZ$15),0.5,0)+IF(AZ$14=AZ$15,0.5,0),IF($D26="U",IF(AZ$14=AZ$15,1,0),1/AZ$15)))</f>
        <v>0</v>
      </c>
      <c r="BA26" s="498" t="n">
        <f aca="false">(INDEX(FC_CRONOGRAMA!$D$20:$BK$20,1,BA$13)*SUP_OPEX!$D$20+INDEX(FC_CRONOGRAMA!$D$21:$BK$21,1,BA$13)*SUP_OPEX!$E$20)*IF(IFERROR(VALUE($D26&amp;""),0)&gt;0,IF(BA$14=MIN(VALUE($D26&amp;""),BA$15),1,0),IF($D26="Q",IF(BA$14=MIN(2,BA$15),0.5,0)+IF(BA$14=BA$15,0.5,0),IF($D26="U",IF(BA$14=BA$15,1,0),1/BA$15)))</f>
        <v>0</v>
      </c>
      <c r="BB26" s="498" t="n">
        <f aca="false">(INDEX(FC_CRONOGRAMA!$D$20:$BK$20,1,BB$13)*SUP_OPEX!$D$20+INDEX(FC_CRONOGRAMA!$D$21:$BK$21,1,BB$13)*SUP_OPEX!$E$20)*IF(IFERROR(VALUE($D26&amp;""),0)&gt;0,IF(BB$14=MIN(VALUE($D26&amp;""),BB$15),1,0),IF($D26="Q",IF(BB$14=MIN(2,BB$15),0.5,0)+IF(BB$14=BB$15,0.5,0),IF($D26="U",IF(BB$14=BB$15,1,0),1/BB$15)))</f>
        <v>12000</v>
      </c>
      <c r="BC26" s="498" t="n">
        <f aca="false">(INDEX(FC_CRONOGRAMA!$D$20:$BK$20,1,BC$13)*SUP_OPEX!$D$20+INDEX(FC_CRONOGRAMA!$D$21:$BK$21,1,BC$13)*SUP_OPEX!$E$20)*IF(IFERROR(VALUE($D26&amp;""),0)&gt;0,IF(BC$14=MIN(VALUE($D26&amp;""),BC$15),1,0),IF($D26="Q",IF(BC$14=MIN(2,BC$15),0.5,0)+IF(BC$14=BC$15,0.5,0),IF($D26="U",IF(BC$14=BC$15,1,0),1/BC$15)))</f>
        <v>0</v>
      </c>
      <c r="BD26" s="498" t="n">
        <f aca="false">(INDEX(FC_CRONOGRAMA!$D$20:$BK$20,1,BD$13)*SUP_OPEX!$D$20+INDEX(FC_CRONOGRAMA!$D$21:$BK$21,1,BD$13)*SUP_OPEX!$E$20)*IF(IFERROR(VALUE($D26&amp;""),0)&gt;0,IF(BD$14=MIN(VALUE($D26&amp;""),BD$15),1,0),IF($D26="Q",IF(BD$14=MIN(2,BD$15),0.5,0)+IF(BD$14=BD$15,0.5,0),IF($D26="U",IF(BD$14=BD$15,1,0),1/BD$15)))</f>
        <v>0</v>
      </c>
      <c r="BE26" s="498" t="n">
        <f aca="false">(INDEX(FC_CRONOGRAMA!$D$20:$BK$20,1,BE$13)*SUP_OPEX!$D$20+INDEX(FC_CRONOGRAMA!$D$21:$BK$21,1,BE$13)*SUP_OPEX!$E$20)*IF(IFERROR(VALUE($D26&amp;""),0)&gt;0,IF(BE$14=MIN(VALUE($D26&amp;""),BE$15),1,0),IF($D26="Q",IF(BE$14=MIN(2,BE$15),0.5,0)+IF(BE$14=BE$15,0.5,0),IF($D26="U",IF(BE$14=BE$15,1,0),1/BE$15)))</f>
        <v>0</v>
      </c>
    </row>
    <row r="27" customFormat="false" ht="15" hidden="false" customHeight="true" outlineLevel="0" collapsed="false">
      <c r="A27" s="400" t="s">
        <v>3103</v>
      </c>
      <c r="B27" s="283" t="s">
        <v>2187</v>
      </c>
      <c r="C27" s="531" t="s">
        <v>3104</v>
      </c>
      <c r="D27" s="289" t="str">
        <f aca="false">FC_SUPUESTOS!$C$133</f>
        <v>Q</v>
      </c>
      <c r="E27" s="532" t="n">
        <f aca="false">SUM(F27:BE27)</f>
        <v>89916</v>
      </c>
      <c r="F27" s="498" t="n">
        <f aca="false">(INDEX(FC_FLUJO_CAJA!$D$22:$BK$22,1,F$13)-(INDEX(FC_CRONOGRAMA!$D$20:$BK$20,1,F$13)*SUP_OPEX!$D$20+INDEX(FC_CRONOGRAMA!$D$21:$BK$21,1,F$13)*SUP_OPEX!$E$20))*IF(IFERROR(VALUE($D27&amp;""),0)&gt;0,IF(F$14=MIN(VALUE($D27&amp;""),F$15),1,0),IF($D27="Q",IF(F$14=MIN(2,F$15),0.5,0)+IF(F$14=F$15,0.5,0),IF($D27="U",IF(F$14=F$15,1,0),1/F$15)))</f>
        <v>0</v>
      </c>
      <c r="G27" s="498" t="n">
        <f aca="false">(INDEX(FC_FLUJO_CAJA!$D$22:$BK$22,1,G$13)-(INDEX(FC_CRONOGRAMA!$D$20:$BK$20,1,G$13)*SUP_OPEX!$D$20+INDEX(FC_CRONOGRAMA!$D$21:$BK$21,1,G$13)*SUP_OPEX!$E$20))*IF(IFERROR(VALUE($D27&amp;""),0)&gt;0,IF(G$14=MIN(VALUE($D27&amp;""),G$15),1,0),IF($D27="Q",IF(G$14=MIN(2,G$15),0.5,0)+IF(G$14=G$15,0.5,0),IF($D27="U",IF(G$14=G$15,1,0),1/G$15)))</f>
        <v>0</v>
      </c>
      <c r="H27" s="498" t="n">
        <f aca="false">(INDEX(FC_FLUJO_CAJA!$D$22:$BK$22,1,H$13)-(INDEX(FC_CRONOGRAMA!$D$20:$BK$20,1,H$13)*SUP_OPEX!$D$20+INDEX(FC_CRONOGRAMA!$D$21:$BK$21,1,H$13)*SUP_OPEX!$E$20))*IF(IFERROR(VALUE($D27&amp;""),0)&gt;0,IF(H$14=MIN(VALUE($D27&amp;""),H$15),1,0),IF($D27="Q",IF(H$14=MIN(2,H$15),0.5,0)+IF(H$14=H$15,0.5,0),IF($D27="U",IF(H$14=H$15,1,0),1/H$15)))</f>
        <v>0</v>
      </c>
      <c r="I27" s="498" t="n">
        <f aca="false">(INDEX(FC_FLUJO_CAJA!$D$22:$BK$22,1,I$13)-(INDEX(FC_CRONOGRAMA!$D$20:$BK$20,1,I$13)*SUP_OPEX!$D$20+INDEX(FC_CRONOGRAMA!$D$21:$BK$21,1,I$13)*SUP_OPEX!$E$20))*IF(IFERROR(VALUE($D27&amp;""),0)&gt;0,IF(I$14=MIN(VALUE($D27&amp;""),I$15),1,0),IF($D27="Q",IF(I$14=MIN(2,I$15),0.5,0)+IF(I$14=I$15,0.5,0),IF($D27="U",IF(I$14=I$15,1,0),1/I$15)))</f>
        <v>0</v>
      </c>
      <c r="J27" s="498" t="n">
        <f aca="false">(INDEX(FC_FLUJO_CAJA!$D$22:$BK$22,1,J$13)-(INDEX(FC_CRONOGRAMA!$D$20:$BK$20,1,J$13)*SUP_OPEX!$D$20+INDEX(FC_CRONOGRAMA!$D$21:$BK$21,1,J$13)*SUP_OPEX!$E$20))*IF(IFERROR(VALUE($D27&amp;""),0)&gt;0,IF(J$14=MIN(VALUE($D27&amp;""),J$15),1,0),IF($D27="Q",IF(J$14=MIN(2,J$15),0.5,0)+IF(J$14=J$15,0.5,0),IF($D27="U",IF(J$14=J$15,1,0),1/J$15)))</f>
        <v>0</v>
      </c>
      <c r="K27" s="498" t="n">
        <f aca="false">(INDEX(FC_FLUJO_CAJA!$D$22:$BK$22,1,K$13)-(INDEX(FC_CRONOGRAMA!$D$20:$BK$20,1,K$13)*SUP_OPEX!$D$20+INDEX(FC_CRONOGRAMA!$D$21:$BK$21,1,K$13)*SUP_OPEX!$E$20))*IF(IFERROR(VALUE($D27&amp;""),0)&gt;0,IF(K$14=MIN(VALUE($D27&amp;""),K$15),1,0),IF($D27="Q",IF(K$14=MIN(2,K$15),0.5,0)+IF(K$14=K$15,0.5,0),IF($D27="U",IF(K$14=K$15,1,0),1/K$15)))</f>
        <v>0</v>
      </c>
      <c r="L27" s="498" t="n">
        <f aca="false">(INDEX(FC_FLUJO_CAJA!$D$22:$BK$22,1,L$13)-(INDEX(FC_CRONOGRAMA!$D$20:$BK$20,1,L$13)*SUP_OPEX!$D$20+INDEX(FC_CRONOGRAMA!$D$21:$BK$21,1,L$13)*SUP_OPEX!$E$20))*IF(IFERROR(VALUE($D27&amp;""),0)&gt;0,IF(L$14=MIN(VALUE($D27&amp;""),L$15),1,0),IF($D27="Q",IF(L$14=MIN(2,L$15),0.5,0)+IF(L$14=L$15,0.5,0),IF($D27="U",IF(L$14=L$15,1,0),1/L$15)))</f>
        <v>0</v>
      </c>
      <c r="M27" s="498" t="n">
        <f aca="false">(INDEX(FC_FLUJO_CAJA!$D$22:$BK$22,1,M$13)-(INDEX(FC_CRONOGRAMA!$D$20:$BK$20,1,M$13)*SUP_OPEX!$D$20+INDEX(FC_CRONOGRAMA!$D$21:$BK$21,1,M$13)*SUP_OPEX!$E$20))*IF(IFERROR(VALUE($D27&amp;""),0)&gt;0,IF(M$14=MIN(VALUE($D27&amp;""),M$15),1,0),IF($D27="Q",IF(M$14=MIN(2,M$15),0.5,0)+IF(M$14=M$15,0.5,0),IF($D27="U",IF(M$14=M$15,1,0),1/M$15)))</f>
        <v>0</v>
      </c>
      <c r="N27" s="498" t="n">
        <f aca="false">(INDEX(FC_FLUJO_CAJA!$D$22:$BK$22,1,N$13)-(INDEX(FC_CRONOGRAMA!$D$20:$BK$20,1,N$13)*SUP_OPEX!$D$20+INDEX(FC_CRONOGRAMA!$D$21:$BK$21,1,N$13)*SUP_OPEX!$E$20))*IF(IFERROR(VALUE($D27&amp;""),0)&gt;0,IF(N$14=MIN(VALUE($D27&amp;""),N$15),1,0),IF($D27="Q",IF(N$14=MIN(2,N$15),0.5,0)+IF(N$14=N$15,0.5,0),IF($D27="U",IF(N$14=N$15,1,0),1/N$15)))</f>
        <v>0</v>
      </c>
      <c r="O27" s="498" t="n">
        <f aca="false">(INDEX(FC_FLUJO_CAJA!$D$22:$BK$22,1,O$13)-(INDEX(FC_CRONOGRAMA!$D$20:$BK$20,1,O$13)*SUP_OPEX!$D$20+INDEX(FC_CRONOGRAMA!$D$21:$BK$21,1,O$13)*SUP_OPEX!$E$20))*IF(IFERROR(VALUE($D27&amp;""),0)&gt;0,IF(O$14=MIN(VALUE($D27&amp;""),O$15),1,0),IF($D27="Q",IF(O$14=MIN(2,O$15),0.5,0)+IF(O$14=O$15,0.5,0),IF($D27="U",IF(O$14=O$15,1,0),1/O$15)))</f>
        <v>0</v>
      </c>
      <c r="P27" s="498" t="n">
        <f aca="false">(INDEX(FC_FLUJO_CAJA!$D$22:$BK$22,1,P$13)-(INDEX(FC_CRONOGRAMA!$D$20:$BK$20,1,P$13)*SUP_OPEX!$D$20+INDEX(FC_CRONOGRAMA!$D$21:$BK$21,1,P$13)*SUP_OPEX!$E$20))*IF(IFERROR(VALUE($D27&amp;""),0)&gt;0,IF(P$14=MIN(VALUE($D27&amp;""),P$15),1,0),IF($D27="Q",IF(P$14=MIN(2,P$15),0.5,0)+IF(P$14=P$15,0.5,0),IF($D27="U",IF(P$14=P$15,1,0),1/P$15)))</f>
        <v>0</v>
      </c>
      <c r="Q27" s="498" t="n">
        <f aca="false">(INDEX(FC_FLUJO_CAJA!$D$22:$BK$22,1,Q$13)-(INDEX(FC_CRONOGRAMA!$D$20:$BK$20,1,Q$13)*SUP_OPEX!$D$20+INDEX(FC_CRONOGRAMA!$D$21:$BK$21,1,Q$13)*SUP_OPEX!$E$20))*IF(IFERROR(VALUE($D27&amp;""),0)&gt;0,IF(Q$14=MIN(VALUE($D27&amp;""),Q$15),1,0),IF($D27="Q",IF(Q$14=MIN(2,Q$15),0.5,0)+IF(Q$14=Q$15,0.5,0),IF($D27="U",IF(Q$14=Q$15,1,0),1/Q$15)))</f>
        <v>0</v>
      </c>
      <c r="R27" s="498" t="n">
        <f aca="false">(INDEX(FC_FLUJO_CAJA!$D$22:$BK$22,1,R$13)-(INDEX(FC_CRONOGRAMA!$D$20:$BK$20,1,R$13)*SUP_OPEX!$D$20+INDEX(FC_CRONOGRAMA!$D$21:$BK$21,1,R$13)*SUP_OPEX!$E$20))*IF(IFERROR(VALUE($D27&amp;""),0)&gt;0,IF(R$14=MIN(VALUE($D27&amp;""),R$15),1,0),IF($D27="Q",IF(R$14=MIN(2,R$15),0.5,0)+IF(R$14=R$15,0.5,0),IF($D27="U",IF(R$14=R$15,1,0),1/R$15)))</f>
        <v>0</v>
      </c>
      <c r="S27" s="498" t="n">
        <f aca="false">(INDEX(FC_FLUJO_CAJA!$D$22:$BK$22,1,S$13)-(INDEX(FC_CRONOGRAMA!$D$20:$BK$20,1,S$13)*SUP_OPEX!$D$20+INDEX(FC_CRONOGRAMA!$D$21:$BK$21,1,S$13)*SUP_OPEX!$E$20))*IF(IFERROR(VALUE($D27&amp;""),0)&gt;0,IF(S$14=MIN(VALUE($D27&amp;""),S$15),1,0),IF($D27="Q",IF(S$14=MIN(2,S$15),0.5,0)+IF(S$14=S$15,0.5,0),IF($D27="U",IF(S$14=S$15,1,0),1/S$15)))</f>
        <v>0</v>
      </c>
      <c r="T27" s="498" t="n">
        <f aca="false">(INDEX(FC_FLUJO_CAJA!$D$22:$BK$22,1,T$13)-(INDEX(FC_CRONOGRAMA!$D$20:$BK$20,1,T$13)*SUP_OPEX!$D$20+INDEX(FC_CRONOGRAMA!$D$21:$BK$21,1,T$13)*SUP_OPEX!$E$20))*IF(IFERROR(VALUE($D27&amp;""),0)&gt;0,IF(T$14=MIN(VALUE($D27&amp;""),T$15),1,0),IF($D27="Q",IF(T$14=MIN(2,T$15),0.5,0)+IF(T$14=T$15,0.5,0),IF($D27="U",IF(T$14=T$15,1,0),1/T$15)))</f>
        <v>0</v>
      </c>
      <c r="U27" s="498" t="n">
        <f aca="false">(INDEX(FC_FLUJO_CAJA!$D$22:$BK$22,1,U$13)-(INDEX(FC_CRONOGRAMA!$D$20:$BK$20,1,U$13)*SUP_OPEX!$D$20+INDEX(FC_CRONOGRAMA!$D$21:$BK$21,1,U$13)*SUP_OPEX!$E$20))*IF(IFERROR(VALUE($D27&amp;""),0)&gt;0,IF(U$14=MIN(VALUE($D27&amp;""),U$15),1,0),IF($D27="Q",IF(U$14=MIN(2,U$15),0.5,0)+IF(U$14=U$15,0.5,0),IF($D27="U",IF(U$14=U$15,1,0),1/U$15)))</f>
        <v>0</v>
      </c>
      <c r="V27" s="498" t="n">
        <f aca="false">(INDEX(FC_FLUJO_CAJA!$D$22:$BK$22,1,V$13)-(INDEX(FC_CRONOGRAMA!$D$20:$BK$20,1,V$13)*SUP_OPEX!$D$20+INDEX(FC_CRONOGRAMA!$D$21:$BK$21,1,V$13)*SUP_OPEX!$E$20))*IF(IFERROR(VALUE($D27&amp;""),0)&gt;0,IF(V$14=MIN(VALUE($D27&amp;""),V$15),1,0),IF($D27="Q",IF(V$14=MIN(2,V$15),0.5,0)+IF(V$14=V$15,0.5,0),IF($D27="U",IF(V$14=V$15,1,0),1/V$15)))</f>
        <v>0</v>
      </c>
      <c r="W27" s="498" t="n">
        <f aca="false">(INDEX(FC_FLUJO_CAJA!$D$22:$BK$22,1,W$13)-(INDEX(FC_CRONOGRAMA!$D$20:$BK$20,1,W$13)*SUP_OPEX!$D$20+INDEX(FC_CRONOGRAMA!$D$21:$BK$21,1,W$13)*SUP_OPEX!$E$20))*IF(IFERROR(VALUE($D27&amp;""),0)&gt;0,IF(W$14=MIN(VALUE($D27&amp;""),W$15),1,0),IF($D27="Q",IF(W$14=MIN(2,W$15),0.5,0)+IF(W$14=W$15,0.5,0),IF($D27="U",IF(W$14=W$15,1,0),1/W$15)))</f>
        <v>0</v>
      </c>
      <c r="X27" s="498" t="n">
        <f aca="false">(INDEX(FC_FLUJO_CAJA!$D$22:$BK$22,1,X$13)-(INDEX(FC_CRONOGRAMA!$D$20:$BK$20,1,X$13)*SUP_OPEX!$D$20+INDEX(FC_CRONOGRAMA!$D$21:$BK$21,1,X$13)*SUP_OPEX!$E$20))*IF(IFERROR(VALUE($D27&amp;""),0)&gt;0,IF(X$14=MIN(VALUE($D27&amp;""),X$15),1,0),IF($D27="Q",IF(X$14=MIN(2,X$15),0.5,0)+IF(X$14=X$15,0.5,0),IF($D27="U",IF(X$14=X$15,1,0),1/X$15)))</f>
        <v>0</v>
      </c>
      <c r="Y27" s="498" t="n">
        <f aca="false">(INDEX(FC_FLUJO_CAJA!$D$22:$BK$22,1,Y$13)-(INDEX(FC_CRONOGRAMA!$D$20:$BK$20,1,Y$13)*SUP_OPEX!$D$20+INDEX(FC_CRONOGRAMA!$D$21:$BK$21,1,Y$13)*SUP_OPEX!$E$20))*IF(IFERROR(VALUE($D27&amp;""),0)&gt;0,IF(Y$14=MIN(VALUE($D27&amp;""),Y$15),1,0),IF($D27="Q",IF(Y$14=MIN(2,Y$15),0.5,0)+IF(Y$14=Y$15,0.5,0),IF($D27="U",IF(Y$14=Y$15,1,0),1/Y$15)))</f>
        <v>0</v>
      </c>
      <c r="Z27" s="498" t="n">
        <f aca="false">(INDEX(FC_FLUJO_CAJA!$D$22:$BK$22,1,Z$13)-(INDEX(FC_CRONOGRAMA!$D$20:$BK$20,1,Z$13)*SUP_OPEX!$D$20+INDEX(FC_CRONOGRAMA!$D$21:$BK$21,1,Z$13)*SUP_OPEX!$E$20))*IF(IFERROR(VALUE($D27&amp;""),0)&gt;0,IF(Z$14=MIN(VALUE($D27&amp;""),Z$15),1,0),IF($D27="Q",IF(Z$14=MIN(2,Z$15),0.5,0)+IF(Z$14=Z$15,0.5,0),IF($D27="U",IF(Z$14=Z$15,1,0),1/Z$15)))</f>
        <v>0</v>
      </c>
      <c r="AA27" s="498" t="n">
        <f aca="false">(INDEX(FC_FLUJO_CAJA!$D$22:$BK$22,1,AA$13)-(INDEX(FC_CRONOGRAMA!$D$20:$BK$20,1,AA$13)*SUP_OPEX!$D$20+INDEX(FC_CRONOGRAMA!$D$21:$BK$21,1,AA$13)*SUP_OPEX!$E$20))*IF(IFERROR(VALUE($D27&amp;""),0)&gt;0,IF(AA$14=MIN(VALUE($D27&amp;""),AA$15),1,0),IF($D27="Q",IF(AA$14=MIN(2,AA$15),0.5,0)+IF(AA$14=AA$15,0.5,0),IF($D27="U",IF(AA$14=AA$15,1,0),1/AA$15)))</f>
        <v>0</v>
      </c>
      <c r="AB27" s="498" t="n">
        <f aca="false">(INDEX(FC_FLUJO_CAJA!$D$22:$BK$22,1,AB$13)-(INDEX(FC_CRONOGRAMA!$D$20:$BK$20,1,AB$13)*SUP_OPEX!$D$20+INDEX(FC_CRONOGRAMA!$D$21:$BK$21,1,AB$13)*SUP_OPEX!$E$20))*IF(IFERROR(VALUE($D27&amp;""),0)&gt;0,IF(AB$14=MIN(VALUE($D27&amp;""),AB$15),1,0),IF($D27="Q",IF(AB$14=MIN(2,AB$15),0.5,0)+IF(AB$14=AB$15,0.5,0),IF($D27="U",IF(AB$14=AB$15,1,0),1/AB$15)))</f>
        <v>0</v>
      </c>
      <c r="AC27" s="498" t="n">
        <f aca="false">(INDEX(FC_FLUJO_CAJA!$D$22:$BK$22,1,AC$13)-(INDEX(FC_CRONOGRAMA!$D$20:$BK$20,1,AC$13)*SUP_OPEX!$D$20+INDEX(FC_CRONOGRAMA!$D$21:$BK$21,1,AC$13)*SUP_OPEX!$E$20))*IF(IFERROR(VALUE($D27&amp;""),0)&gt;0,IF(AC$14=MIN(VALUE($D27&amp;""),AC$15),1,0),IF($D27="Q",IF(AC$14=MIN(2,AC$15),0.5,0)+IF(AC$14=AC$15,0.5,0),IF($D27="U",IF(AC$14=AC$15,1,0),1/AC$15)))</f>
        <v>0</v>
      </c>
      <c r="AD27" s="498" t="n">
        <f aca="false">(INDEX(FC_FLUJO_CAJA!$D$22:$BK$22,1,AD$13)-(INDEX(FC_CRONOGRAMA!$D$20:$BK$20,1,AD$13)*SUP_OPEX!$D$20+INDEX(FC_CRONOGRAMA!$D$21:$BK$21,1,AD$13)*SUP_OPEX!$E$20))*IF(IFERROR(VALUE($D27&amp;""),0)&gt;0,IF(AD$14=MIN(VALUE($D27&amp;""),AD$15),1,0),IF($D27="Q",IF(AD$14=MIN(2,AD$15),0.5,0)+IF(AD$14=AD$15,0.5,0),IF($D27="U",IF(AD$14=AD$15,1,0),1/AD$15)))</f>
        <v>0</v>
      </c>
      <c r="AE27" s="498" t="n">
        <f aca="false">(INDEX(FC_FLUJO_CAJA!$D$22:$BK$22,1,AE$13)-(INDEX(FC_CRONOGRAMA!$D$20:$BK$20,1,AE$13)*SUP_OPEX!$D$20+INDEX(FC_CRONOGRAMA!$D$21:$BK$21,1,AE$13)*SUP_OPEX!$E$20))*IF(IFERROR(VALUE($D27&amp;""),0)&gt;0,IF(AE$14=MIN(VALUE($D27&amp;""),AE$15),1,0),IF($D27="Q",IF(AE$14=MIN(2,AE$15),0.5,0)+IF(AE$14=AE$15,0.5,0),IF($D27="U",IF(AE$14=AE$15,1,0),1/AE$15)))</f>
        <v>0</v>
      </c>
      <c r="AF27" s="498" t="n">
        <f aca="false">(INDEX(FC_FLUJO_CAJA!$D$22:$BK$22,1,AF$13)-(INDEX(FC_CRONOGRAMA!$D$20:$BK$20,1,AF$13)*SUP_OPEX!$D$20+INDEX(FC_CRONOGRAMA!$D$21:$BK$21,1,AF$13)*SUP_OPEX!$E$20))*IF(IFERROR(VALUE($D27&amp;""),0)&gt;0,IF(AF$14=MIN(VALUE($D27&amp;""),AF$15),1,0),IF($D27="Q",IF(AF$14=MIN(2,AF$15),0.5,0)+IF(AF$14=AF$15,0.5,0),IF($D27="U",IF(AF$14=AF$15,1,0),1/AF$15)))</f>
        <v>0</v>
      </c>
      <c r="AG27" s="498" t="n">
        <f aca="false">(INDEX(FC_FLUJO_CAJA!$D$22:$BK$22,1,AG$13)-(INDEX(FC_CRONOGRAMA!$D$20:$BK$20,1,AG$13)*SUP_OPEX!$D$20+INDEX(FC_CRONOGRAMA!$D$21:$BK$21,1,AG$13)*SUP_OPEX!$E$20))*IF(IFERROR(VALUE($D27&amp;""),0)&gt;0,IF(AG$14=MIN(VALUE($D27&amp;""),AG$15),1,0),IF($D27="Q",IF(AG$14=MIN(2,AG$15),0.5,0)+IF(AG$14=AG$15,0.5,0),IF($D27="U",IF(AG$14=AG$15,1,0),1/AG$15)))</f>
        <v>0</v>
      </c>
      <c r="AH27" s="498" t="n">
        <f aca="false">(INDEX(FC_FLUJO_CAJA!$D$22:$BK$22,1,AH$13)-(INDEX(FC_CRONOGRAMA!$D$20:$BK$20,1,AH$13)*SUP_OPEX!$D$20+INDEX(FC_CRONOGRAMA!$D$21:$BK$21,1,AH$13)*SUP_OPEX!$E$20))*IF(IFERROR(VALUE($D27&amp;""),0)&gt;0,IF(AH$14=MIN(VALUE($D27&amp;""),AH$15),1,0),IF($D27="Q",IF(AH$14=MIN(2,AH$15),0.5,0)+IF(AH$14=AH$15,0.5,0),IF($D27="U",IF(AH$14=AH$15,1,0),1/AH$15)))</f>
        <v>0</v>
      </c>
      <c r="AI27" s="498" t="n">
        <f aca="false">(INDEX(FC_FLUJO_CAJA!$D$22:$BK$22,1,AI$13)-(INDEX(FC_CRONOGRAMA!$D$20:$BK$20,1,AI$13)*SUP_OPEX!$D$20+INDEX(FC_CRONOGRAMA!$D$21:$BK$21,1,AI$13)*SUP_OPEX!$E$20))*IF(IFERROR(VALUE($D27&amp;""),0)&gt;0,IF(AI$14=MIN(VALUE($D27&amp;""),AI$15),1,0),IF($D27="Q",IF(AI$14=MIN(2,AI$15),0.5,0)+IF(AI$14=AI$15,0.5,0),IF($D27="U",IF(AI$14=AI$15,1,0),1/AI$15)))</f>
        <v>0</v>
      </c>
      <c r="AJ27" s="498" t="n">
        <f aca="false">(INDEX(FC_FLUJO_CAJA!$D$22:$BK$22,1,AJ$13)-(INDEX(FC_CRONOGRAMA!$D$20:$BK$20,1,AJ$13)*SUP_OPEX!$D$20+INDEX(FC_CRONOGRAMA!$D$21:$BK$21,1,AJ$13)*SUP_OPEX!$E$20))*IF(IFERROR(VALUE($D27&amp;""),0)&gt;0,IF(AJ$14=MIN(VALUE($D27&amp;""),AJ$15),1,0),IF($D27="Q",IF(AJ$14=MIN(2,AJ$15),0.5,0)+IF(AJ$14=AJ$15,0.5,0),IF($D27="U",IF(AJ$14=AJ$15,1,0),1/AJ$15)))</f>
        <v>0</v>
      </c>
      <c r="AK27" s="498" t="n">
        <f aca="false">(INDEX(FC_FLUJO_CAJA!$D$22:$BK$22,1,AK$13)-(INDEX(FC_CRONOGRAMA!$D$20:$BK$20,1,AK$13)*SUP_OPEX!$D$20+INDEX(FC_CRONOGRAMA!$D$21:$BK$21,1,AK$13)*SUP_OPEX!$E$20))*IF(IFERROR(VALUE($D27&amp;""),0)&gt;0,IF(AK$14=MIN(VALUE($D27&amp;""),AK$15),1,0),IF($D27="Q",IF(AK$14=MIN(2,AK$15),0.5,0)+IF(AK$14=AK$15,0.5,0),IF($D27="U",IF(AK$14=AK$15,1,0),1/AK$15)))</f>
        <v>0</v>
      </c>
      <c r="AL27" s="498" t="n">
        <f aca="false">(INDEX(FC_FLUJO_CAJA!$D$22:$BK$22,1,AL$13)-(INDEX(FC_CRONOGRAMA!$D$20:$BK$20,1,AL$13)*SUP_OPEX!$D$20+INDEX(FC_CRONOGRAMA!$D$21:$BK$21,1,AL$13)*SUP_OPEX!$E$20))*IF(IFERROR(VALUE($D27&amp;""),0)&gt;0,IF(AL$14=MIN(VALUE($D27&amp;""),AL$15),1,0),IF($D27="Q",IF(AL$14=MIN(2,AL$15),0.5,0)+IF(AL$14=AL$15,0.5,0),IF($D27="U",IF(AL$14=AL$15,1,0),1/AL$15)))</f>
        <v>0</v>
      </c>
      <c r="AM27" s="498" t="n">
        <f aca="false">(INDEX(FC_FLUJO_CAJA!$D$22:$BK$22,1,AM$13)-(INDEX(FC_CRONOGRAMA!$D$20:$BK$20,1,AM$13)*SUP_OPEX!$D$20+INDEX(FC_CRONOGRAMA!$D$21:$BK$21,1,AM$13)*SUP_OPEX!$E$20))*IF(IFERROR(VALUE($D27&amp;""),0)&gt;0,IF(AM$14=MIN(VALUE($D27&amp;""),AM$15),1,0),IF($D27="Q",IF(AM$14=MIN(2,AM$15),0.5,0)+IF(AM$14=AM$15,0.5,0),IF($D27="U",IF(AM$14=AM$15,1,0),1/AM$15)))</f>
        <v>0</v>
      </c>
      <c r="AN27" s="498" t="n">
        <f aca="false">(INDEX(FC_FLUJO_CAJA!$D$22:$BK$22,1,AN$13)-(INDEX(FC_CRONOGRAMA!$D$20:$BK$20,1,AN$13)*SUP_OPEX!$D$20+INDEX(FC_CRONOGRAMA!$D$21:$BK$21,1,AN$13)*SUP_OPEX!$E$20))*IF(IFERROR(VALUE($D27&amp;""),0)&gt;0,IF(AN$14=MIN(VALUE($D27&amp;""),AN$15),1,0),IF($D27="Q",IF(AN$14=MIN(2,AN$15),0.5,0)+IF(AN$14=AN$15,0.5,0),IF($D27="U",IF(AN$14=AN$15,1,0),1/AN$15)))</f>
        <v>0</v>
      </c>
      <c r="AO27" s="498" t="n">
        <f aca="false">(INDEX(FC_FLUJO_CAJA!$D$22:$BK$22,1,AO$13)-(INDEX(FC_CRONOGRAMA!$D$20:$BK$20,1,AO$13)*SUP_OPEX!$D$20+INDEX(FC_CRONOGRAMA!$D$21:$BK$21,1,AO$13)*SUP_OPEX!$E$20))*IF(IFERROR(VALUE($D27&amp;""),0)&gt;0,IF(AO$14=MIN(VALUE($D27&amp;""),AO$15),1,0),IF($D27="Q",IF(AO$14=MIN(2,AO$15),0.5,0)+IF(AO$14=AO$15,0.5,0),IF($D27="U",IF(AO$14=AO$15,1,0),1/AO$15)))</f>
        <v>0</v>
      </c>
      <c r="AP27" s="498" t="n">
        <f aca="false">(INDEX(FC_FLUJO_CAJA!$D$22:$BK$22,1,AP$13)-(INDEX(FC_CRONOGRAMA!$D$20:$BK$20,1,AP$13)*SUP_OPEX!$D$20+INDEX(FC_CRONOGRAMA!$D$21:$BK$21,1,AP$13)*SUP_OPEX!$E$20))*IF(IFERROR(VALUE($D27&amp;""),0)&gt;0,IF(AP$14=MIN(VALUE($D27&amp;""),AP$15),1,0),IF($D27="Q",IF(AP$14=MIN(2,AP$15),0.5,0)+IF(AP$14=AP$15,0.5,0),IF($D27="U",IF(AP$14=AP$15,1,0),1/AP$15)))</f>
        <v>4439</v>
      </c>
      <c r="AQ27" s="498" t="n">
        <f aca="false">(INDEX(FC_FLUJO_CAJA!$D$22:$BK$22,1,AQ$13)-(INDEX(FC_CRONOGRAMA!$D$20:$BK$20,1,AQ$13)*SUP_OPEX!$D$20+INDEX(FC_CRONOGRAMA!$D$21:$BK$21,1,AQ$13)*SUP_OPEX!$E$20))*IF(IFERROR(VALUE($D27&amp;""),0)&gt;0,IF(AQ$14=MIN(VALUE($D27&amp;""),AQ$15),1,0),IF($D27="Q",IF(AQ$14=MIN(2,AQ$15),0.5,0)+IF(AQ$14=AQ$15,0.5,0),IF($D27="U",IF(AQ$14=AQ$15,1,0),1/AQ$15)))</f>
        <v>0</v>
      </c>
      <c r="AR27" s="498" t="n">
        <f aca="false">(INDEX(FC_FLUJO_CAJA!$D$22:$BK$22,1,AR$13)-(INDEX(FC_CRONOGRAMA!$D$20:$BK$20,1,AR$13)*SUP_OPEX!$D$20+INDEX(FC_CRONOGRAMA!$D$21:$BK$21,1,AR$13)*SUP_OPEX!$E$20))*IF(IFERROR(VALUE($D27&amp;""),0)&gt;0,IF(AR$14=MIN(VALUE($D27&amp;""),AR$15),1,0),IF($D27="Q",IF(AR$14=MIN(2,AR$15),0.5,0)+IF(AR$14=AR$15,0.5,0),IF($D27="U",IF(AR$14=AR$15,1,0),1/AR$15)))</f>
        <v>4439</v>
      </c>
      <c r="AS27" s="498" t="n">
        <f aca="false">(INDEX(FC_FLUJO_CAJA!$D$22:$BK$22,1,AS$13)-(INDEX(FC_CRONOGRAMA!$D$20:$BK$20,1,AS$13)*SUP_OPEX!$D$20+INDEX(FC_CRONOGRAMA!$D$21:$BK$21,1,AS$13)*SUP_OPEX!$E$20))*IF(IFERROR(VALUE($D27&amp;""),0)&gt;0,IF(AS$14=MIN(VALUE($D27&amp;""),AS$15),1,0),IF($D27="Q",IF(AS$14=MIN(2,AS$15),0.5,0)+IF(AS$14=AS$15,0.5,0),IF($D27="U",IF(AS$14=AS$15,1,0),1/AS$15)))</f>
        <v>0</v>
      </c>
      <c r="AT27" s="498" t="n">
        <f aca="false">(INDEX(FC_FLUJO_CAJA!$D$22:$BK$22,1,AT$13)-(INDEX(FC_CRONOGRAMA!$D$20:$BK$20,1,AT$13)*SUP_OPEX!$D$20+INDEX(FC_CRONOGRAMA!$D$21:$BK$21,1,AT$13)*SUP_OPEX!$E$20))*IF(IFERROR(VALUE($D27&amp;""),0)&gt;0,IF(AT$14=MIN(VALUE($D27&amp;""),AT$15),1,0),IF($D27="Q",IF(AT$14=MIN(2,AT$15),0.5,0)+IF(AT$14=AT$15,0.5,0),IF($D27="U",IF(AT$14=AT$15,1,0),1/AT$15)))</f>
        <v>8878</v>
      </c>
      <c r="AU27" s="498" t="n">
        <f aca="false">(INDEX(FC_FLUJO_CAJA!$D$22:$BK$22,1,AU$13)-(INDEX(FC_CRONOGRAMA!$D$20:$BK$20,1,AU$13)*SUP_OPEX!$D$20+INDEX(FC_CRONOGRAMA!$D$21:$BK$21,1,AU$13)*SUP_OPEX!$E$20))*IF(IFERROR(VALUE($D27&amp;""),0)&gt;0,IF(AU$14=MIN(VALUE($D27&amp;""),AU$15),1,0),IF($D27="Q",IF(AU$14=MIN(2,AU$15),0.5,0)+IF(AU$14=AU$15,0.5,0),IF($D27="U",IF(AU$14=AU$15,1,0),1/AU$15)))</f>
        <v>0</v>
      </c>
      <c r="AV27" s="498" t="n">
        <f aca="false">(INDEX(FC_FLUJO_CAJA!$D$22:$BK$22,1,AV$13)-(INDEX(FC_CRONOGRAMA!$D$20:$BK$20,1,AV$13)*SUP_OPEX!$D$20+INDEX(FC_CRONOGRAMA!$D$21:$BK$21,1,AV$13)*SUP_OPEX!$E$20))*IF(IFERROR(VALUE($D27&amp;""),0)&gt;0,IF(AV$14=MIN(VALUE($D27&amp;""),AV$15),1,0),IF($D27="Q",IF(AV$14=MIN(2,AV$15),0.5,0)+IF(AV$14=AV$15,0.5,0),IF($D27="U",IF(AV$14=AV$15,1,0),1/AV$15)))</f>
        <v>8878</v>
      </c>
      <c r="AW27" s="498" t="n">
        <f aca="false">(INDEX(FC_FLUJO_CAJA!$D$22:$BK$22,1,AW$13)-(INDEX(FC_CRONOGRAMA!$D$20:$BK$20,1,AW$13)*SUP_OPEX!$D$20+INDEX(FC_CRONOGRAMA!$D$21:$BK$21,1,AW$13)*SUP_OPEX!$E$20))*IF(IFERROR(VALUE($D27&amp;""),0)&gt;0,IF(AW$14=MIN(VALUE($D27&amp;""),AW$15),1,0),IF($D27="Q",IF(AW$14=MIN(2,AW$15),0.5,0)+IF(AW$14=AW$15,0.5,0),IF($D27="U",IF(AW$14=AW$15,1,0),1/AW$15)))</f>
        <v>0</v>
      </c>
      <c r="AX27" s="498" t="n">
        <f aca="false">(INDEX(FC_FLUJO_CAJA!$D$22:$BK$22,1,AX$13)-(INDEX(FC_CRONOGRAMA!$D$20:$BK$20,1,AX$13)*SUP_OPEX!$D$20+INDEX(FC_CRONOGRAMA!$D$21:$BK$21,1,AX$13)*SUP_OPEX!$E$20))*IF(IFERROR(VALUE($D27&amp;""),0)&gt;0,IF(AX$14=MIN(VALUE($D27&amp;""),AX$15),1,0),IF($D27="Q",IF(AX$14=MIN(2,AX$15),0.5,0)+IF(AX$14=AX$15,0.5,0),IF($D27="U",IF(AX$14=AX$15,1,0),1/AX$15)))</f>
        <v>13317</v>
      </c>
      <c r="AY27" s="498" t="n">
        <f aca="false">(INDEX(FC_FLUJO_CAJA!$D$22:$BK$22,1,AY$13)-(INDEX(FC_CRONOGRAMA!$D$20:$BK$20,1,AY$13)*SUP_OPEX!$D$20+INDEX(FC_CRONOGRAMA!$D$21:$BK$21,1,AY$13)*SUP_OPEX!$E$20))*IF(IFERROR(VALUE($D27&amp;""),0)&gt;0,IF(AY$14=MIN(VALUE($D27&amp;""),AY$15),1,0),IF($D27="Q",IF(AY$14=MIN(2,AY$15),0.5,0)+IF(AY$14=AY$15,0.5,0),IF($D27="U",IF(AY$14=AY$15,1,0),1/AY$15)))</f>
        <v>0</v>
      </c>
      <c r="AZ27" s="498" t="n">
        <f aca="false">(INDEX(FC_FLUJO_CAJA!$D$22:$BK$22,1,AZ$13)-(INDEX(FC_CRONOGRAMA!$D$20:$BK$20,1,AZ$13)*SUP_OPEX!$D$20+INDEX(FC_CRONOGRAMA!$D$21:$BK$21,1,AZ$13)*SUP_OPEX!$E$20))*IF(IFERROR(VALUE($D27&amp;""),0)&gt;0,IF(AZ$14=MIN(VALUE($D27&amp;""),AZ$15),1,0),IF($D27="Q",IF(AZ$14=MIN(2,AZ$15),0.5,0)+IF(AZ$14=AZ$15,0.5,0),IF($D27="U",IF(AZ$14=AZ$15,1,0),1/AZ$15)))</f>
        <v>0</v>
      </c>
      <c r="BA27" s="498" t="n">
        <f aca="false">(INDEX(FC_FLUJO_CAJA!$D$22:$BK$22,1,BA$13)-(INDEX(FC_CRONOGRAMA!$D$20:$BK$20,1,BA$13)*SUP_OPEX!$D$20+INDEX(FC_CRONOGRAMA!$D$21:$BK$21,1,BA$13)*SUP_OPEX!$E$20))*IF(IFERROR(VALUE($D27&amp;""),0)&gt;0,IF(BA$14=MIN(VALUE($D27&amp;""),BA$15),1,0),IF($D27="Q",IF(BA$14=MIN(2,BA$15),0.5,0)+IF(BA$14=BA$15,0.5,0),IF($D27="U",IF(BA$14=BA$15,1,0),1/BA$15)))</f>
        <v>13317</v>
      </c>
      <c r="BB27" s="498" t="n">
        <f aca="false">(INDEX(FC_FLUJO_CAJA!$D$22:$BK$22,1,BB$13)-(INDEX(FC_CRONOGRAMA!$D$20:$BK$20,1,BB$13)*SUP_OPEX!$D$20+INDEX(FC_CRONOGRAMA!$D$21:$BK$21,1,BB$13)*SUP_OPEX!$E$20))*IF(IFERROR(VALUE($D27&amp;""),0)&gt;0,IF(BB$14=MIN(VALUE($D27&amp;""),BB$15),1,0),IF($D27="Q",IF(BB$14=MIN(2,BB$15),0.5,0)+IF(BB$14=BB$15,0.5,0),IF($D27="U",IF(BB$14=BB$15,1,0),1/BB$15)))</f>
        <v>0</v>
      </c>
      <c r="BC27" s="498" t="n">
        <f aca="false">(INDEX(FC_FLUJO_CAJA!$D$22:$BK$22,1,BC$13)-(INDEX(FC_CRONOGRAMA!$D$20:$BK$20,1,BC$13)*SUP_OPEX!$D$20+INDEX(FC_CRONOGRAMA!$D$21:$BK$21,1,BC$13)*SUP_OPEX!$E$20))*IF(IFERROR(VALUE($D27&amp;""),0)&gt;0,IF(BC$14=MIN(VALUE($D27&amp;""),BC$15),1,0),IF($D27="Q",IF(BC$14=MIN(2,BC$15),0.5,0)+IF(BC$14=BC$15,0.5,0),IF($D27="U",IF(BC$14=BC$15,1,0),1/BC$15)))</f>
        <v>18324</v>
      </c>
      <c r="BD27" s="498" t="n">
        <f aca="false">(INDEX(FC_FLUJO_CAJA!$D$22:$BK$22,1,BD$13)-(INDEX(FC_CRONOGRAMA!$D$20:$BK$20,1,BD$13)*SUP_OPEX!$D$20+INDEX(FC_CRONOGRAMA!$D$21:$BK$21,1,BD$13)*SUP_OPEX!$E$20))*IF(IFERROR(VALUE($D27&amp;""),0)&gt;0,IF(BD$14=MIN(VALUE($D27&amp;""),BD$15),1,0),IF($D27="Q",IF(BD$14=MIN(2,BD$15),0.5,0)+IF(BD$14=BD$15,0.5,0),IF($D27="U",IF(BD$14=BD$15,1,0),1/BD$15)))</f>
        <v>0</v>
      </c>
      <c r="BE27" s="498" t="n">
        <f aca="false">(INDEX(FC_FLUJO_CAJA!$D$22:$BK$22,1,BE$13)-(INDEX(FC_CRONOGRAMA!$D$20:$BK$20,1,BE$13)*SUP_OPEX!$D$20+INDEX(FC_CRONOGRAMA!$D$21:$BK$21,1,BE$13)*SUP_OPEX!$E$20))*IF(IFERROR(VALUE($D27&amp;""),0)&gt;0,IF(BE$14=MIN(VALUE($D27&amp;""),BE$15),1,0),IF($D27="Q",IF(BE$14=MIN(2,BE$15),0.5,0)+IF(BE$14=BE$15,0.5,0),IF($D27="U",IF(BE$14=BE$15,1,0),1/BE$15)))</f>
        <v>18324</v>
      </c>
    </row>
    <row r="28" customFormat="false" ht="15" hidden="false" customHeight="true" outlineLevel="0" collapsed="false">
      <c r="A28" s="400" t="s">
        <v>3105</v>
      </c>
      <c r="B28" s="283" t="s">
        <v>3106</v>
      </c>
      <c r="C28" s="531" t="s">
        <v>3107</v>
      </c>
      <c r="D28" s="289" t="str">
        <f aca="false">FC_SUPUESTOS!$C$134</f>
        <v>P</v>
      </c>
      <c r="E28" s="532" t="n">
        <f aca="false">SUM(F28:BE28)</f>
        <v>49504.4447458418</v>
      </c>
      <c r="F28" s="498" t="n">
        <f aca="false">INDEX(FC_FLUJO_CAJA!$D$24:$BK$24,1,F$13)*IF(IFERROR(VALUE($D28&amp;""),0)&gt;0,IF(F$14=MIN(VALUE($D28&amp;""),F$15),1,0),IF($D28="Q",IF(F$14=MIN(2,F$15),0.5,0)+IF(F$14=F$15,0.5,0),IF($D28="U",IF(F$14=F$15,1,0),1/F$15)))</f>
        <v>0</v>
      </c>
      <c r="G28" s="498" t="n">
        <f aca="false">INDEX(FC_FLUJO_CAJA!$D$24:$BK$24,1,G$13)*IF(IFERROR(VALUE($D28&amp;""),0)&gt;0,IF(G$14=MIN(VALUE($D28&amp;""),G$15),1,0),IF($D28="Q",IF(G$14=MIN(2,G$15),0.5,0)+IF(G$14=G$15,0.5,0),IF($D28="U",IF(G$14=G$15,1,0),1/G$15)))</f>
        <v>0</v>
      </c>
      <c r="H28" s="498" t="n">
        <f aca="false">INDEX(FC_FLUJO_CAJA!$D$24:$BK$24,1,H$13)*IF(IFERROR(VALUE($D28&amp;""),0)&gt;0,IF(H$14=MIN(VALUE($D28&amp;""),H$15),1,0),IF($D28="Q",IF(H$14=MIN(2,H$15),0.5,0)+IF(H$14=H$15,0.5,0),IF($D28="U",IF(H$14=H$15,1,0),1/H$15)))</f>
        <v>0</v>
      </c>
      <c r="I28" s="498" t="n">
        <f aca="false">INDEX(FC_FLUJO_CAJA!$D$24:$BK$24,1,I$13)*IF(IFERROR(VALUE($D28&amp;""),0)&gt;0,IF(I$14=MIN(VALUE($D28&amp;""),I$15),1,0),IF($D28="Q",IF(I$14=MIN(2,I$15),0.5,0)+IF(I$14=I$15,0.5,0),IF($D28="U",IF(I$14=I$15,1,0),1/I$15)))</f>
        <v>0</v>
      </c>
      <c r="J28" s="498" t="n">
        <f aca="false">INDEX(FC_FLUJO_CAJA!$D$24:$BK$24,1,J$13)*IF(IFERROR(VALUE($D28&amp;""),0)&gt;0,IF(J$14=MIN(VALUE($D28&amp;""),J$15),1,0),IF($D28="Q",IF(J$14=MIN(2,J$15),0.5,0)+IF(J$14=J$15,0.5,0),IF($D28="U",IF(J$14=J$15,1,0),1/J$15)))</f>
        <v>0</v>
      </c>
      <c r="K28" s="498" t="n">
        <f aca="false">INDEX(FC_FLUJO_CAJA!$D$24:$BK$24,1,K$13)*IF(IFERROR(VALUE($D28&amp;""),0)&gt;0,IF(K$14=MIN(VALUE($D28&amp;""),K$15),1,0),IF($D28="Q",IF(K$14=MIN(2,K$15),0.5,0)+IF(K$14=K$15,0.5,0),IF($D28="U",IF(K$14=K$15,1,0),1/K$15)))</f>
        <v>0</v>
      </c>
      <c r="L28" s="498" t="n">
        <f aca="false">INDEX(FC_FLUJO_CAJA!$D$24:$BK$24,1,L$13)*IF(IFERROR(VALUE($D28&amp;""),0)&gt;0,IF(L$14=MIN(VALUE($D28&amp;""),L$15),1,0),IF($D28="Q",IF(L$14=MIN(2,L$15),0.5,0)+IF(L$14=L$15,0.5,0),IF($D28="U",IF(L$14=L$15,1,0),1/L$15)))</f>
        <v>0</v>
      </c>
      <c r="M28" s="498" t="n">
        <f aca="false">INDEX(FC_FLUJO_CAJA!$D$24:$BK$24,1,M$13)*IF(IFERROR(VALUE($D28&amp;""),0)&gt;0,IF(M$14=MIN(VALUE($D28&amp;""),M$15),1,0),IF($D28="Q",IF(M$14=MIN(2,M$15),0.5,0)+IF(M$14=M$15,0.5,0),IF($D28="U",IF(M$14=M$15,1,0),1/M$15)))</f>
        <v>0</v>
      </c>
      <c r="N28" s="498" t="n">
        <f aca="false">INDEX(FC_FLUJO_CAJA!$D$24:$BK$24,1,N$13)*IF(IFERROR(VALUE($D28&amp;""),0)&gt;0,IF(N$14=MIN(VALUE($D28&amp;""),N$15),1,0),IF($D28="Q",IF(N$14=MIN(2,N$15),0.5,0)+IF(N$14=N$15,0.5,0),IF($D28="U",IF(N$14=N$15,1,0),1/N$15)))</f>
        <v>0</v>
      </c>
      <c r="O28" s="498" t="n">
        <f aca="false">INDEX(FC_FLUJO_CAJA!$D$24:$BK$24,1,O$13)*IF(IFERROR(VALUE($D28&amp;""),0)&gt;0,IF(O$14=MIN(VALUE($D28&amp;""),O$15),1,0),IF($D28="Q",IF(O$14=MIN(2,O$15),0.5,0)+IF(O$14=O$15,0.5,0),IF($D28="U",IF(O$14=O$15,1,0),1/O$15)))</f>
        <v>0</v>
      </c>
      <c r="P28" s="498" t="n">
        <f aca="false">INDEX(FC_FLUJO_CAJA!$D$24:$BK$24,1,P$13)*IF(IFERROR(VALUE($D28&amp;""),0)&gt;0,IF(P$14=MIN(VALUE($D28&amp;""),P$15),1,0),IF($D28="Q",IF(P$14=MIN(2,P$15),0.5,0)+IF(P$14=P$15,0.5,0),IF($D28="U",IF(P$14=P$15,1,0),1/P$15)))</f>
        <v>0</v>
      </c>
      <c r="Q28" s="498" t="n">
        <f aca="false">INDEX(FC_FLUJO_CAJA!$D$24:$BK$24,1,Q$13)*IF(IFERROR(VALUE($D28&amp;""),0)&gt;0,IF(Q$14=MIN(VALUE($D28&amp;""),Q$15),1,0),IF($D28="Q",IF(Q$14=MIN(2,Q$15),0.5,0)+IF(Q$14=Q$15,0.5,0),IF($D28="U",IF(Q$14=Q$15,1,0),1/Q$15)))</f>
        <v>0</v>
      </c>
      <c r="R28" s="498" t="n">
        <f aca="false">INDEX(FC_FLUJO_CAJA!$D$24:$BK$24,1,R$13)*IF(IFERROR(VALUE($D28&amp;""),0)&gt;0,IF(R$14=MIN(VALUE($D28&amp;""),R$15),1,0),IF($D28="Q",IF(R$14=MIN(2,R$15),0.5,0)+IF(R$14=R$15,0.5,0),IF($D28="U",IF(R$14=R$15,1,0),1/R$15)))</f>
        <v>0</v>
      </c>
      <c r="S28" s="498" t="n">
        <f aca="false">INDEX(FC_FLUJO_CAJA!$D$24:$BK$24,1,S$13)*IF(IFERROR(VALUE($D28&amp;""),0)&gt;0,IF(S$14=MIN(VALUE($D28&amp;""),S$15),1,0),IF($D28="Q",IF(S$14=MIN(2,S$15),0.5,0)+IF(S$14=S$15,0.5,0),IF($D28="U",IF(S$14=S$15,1,0),1/S$15)))</f>
        <v>0</v>
      </c>
      <c r="T28" s="498" t="n">
        <f aca="false">INDEX(FC_FLUJO_CAJA!$D$24:$BK$24,1,T$13)*IF(IFERROR(VALUE($D28&amp;""),0)&gt;0,IF(T$14=MIN(VALUE($D28&amp;""),T$15),1,0),IF($D28="Q",IF(T$14=MIN(2,T$15),0.5,0)+IF(T$14=T$15,0.5,0),IF($D28="U",IF(T$14=T$15,1,0),1/T$15)))</f>
        <v>0</v>
      </c>
      <c r="U28" s="498" t="n">
        <f aca="false">INDEX(FC_FLUJO_CAJA!$D$24:$BK$24,1,U$13)*IF(IFERROR(VALUE($D28&amp;""),0)&gt;0,IF(U$14=MIN(VALUE($D28&amp;""),U$15),1,0),IF($D28="Q",IF(U$14=MIN(2,U$15),0.5,0)+IF(U$14=U$15,0.5,0),IF($D28="U",IF(U$14=U$15,1,0),1/U$15)))</f>
        <v>0</v>
      </c>
      <c r="V28" s="498" t="n">
        <f aca="false">INDEX(FC_FLUJO_CAJA!$D$24:$BK$24,1,V$13)*IF(IFERROR(VALUE($D28&amp;""),0)&gt;0,IF(V$14=MIN(VALUE($D28&amp;""),V$15),1,0),IF($D28="Q",IF(V$14=MIN(2,V$15),0.5,0)+IF(V$14=V$15,0.5,0),IF($D28="U",IF(V$14=V$15,1,0),1/V$15)))</f>
        <v>0</v>
      </c>
      <c r="W28" s="498" t="n">
        <f aca="false">INDEX(FC_FLUJO_CAJA!$D$24:$BK$24,1,W$13)*IF(IFERROR(VALUE($D28&amp;""),0)&gt;0,IF(W$14=MIN(VALUE($D28&amp;""),W$15),1,0),IF($D28="Q",IF(W$14=MIN(2,W$15),0.5,0)+IF(W$14=W$15,0.5,0),IF($D28="U",IF(W$14=W$15,1,0),1/W$15)))</f>
        <v>0</v>
      </c>
      <c r="X28" s="498" t="n">
        <f aca="false">INDEX(FC_FLUJO_CAJA!$D$24:$BK$24,1,X$13)*IF(IFERROR(VALUE($D28&amp;""),0)&gt;0,IF(X$14=MIN(VALUE($D28&amp;""),X$15),1,0),IF($D28="Q",IF(X$14=MIN(2,X$15),0.5,0)+IF(X$14=X$15,0.5,0),IF($D28="U",IF(X$14=X$15,1,0),1/X$15)))</f>
        <v>0</v>
      </c>
      <c r="Y28" s="498" t="n">
        <f aca="false">INDEX(FC_FLUJO_CAJA!$D$24:$BK$24,1,Y$13)*IF(IFERROR(VALUE($D28&amp;""),0)&gt;0,IF(Y$14=MIN(VALUE($D28&amp;""),Y$15),1,0),IF($D28="Q",IF(Y$14=MIN(2,Y$15),0.5,0)+IF(Y$14=Y$15,0.5,0),IF($D28="U",IF(Y$14=Y$15,1,0),1/Y$15)))</f>
        <v>0</v>
      </c>
      <c r="Z28" s="498" t="n">
        <f aca="false">INDEX(FC_FLUJO_CAJA!$D$24:$BK$24,1,Z$13)*IF(IFERROR(VALUE($D28&amp;""),0)&gt;0,IF(Z$14=MIN(VALUE($D28&amp;""),Z$15),1,0),IF($D28="Q",IF(Z$14=MIN(2,Z$15),0.5,0)+IF(Z$14=Z$15,0.5,0),IF($D28="U",IF(Z$14=Z$15,1,0),1/Z$15)))</f>
        <v>0</v>
      </c>
      <c r="AA28" s="498" t="n">
        <f aca="false">INDEX(FC_FLUJO_CAJA!$D$24:$BK$24,1,AA$13)*IF(IFERROR(VALUE($D28&amp;""),0)&gt;0,IF(AA$14=MIN(VALUE($D28&amp;""),AA$15),1,0),IF($D28="Q",IF(AA$14=MIN(2,AA$15),0.5,0)+IF(AA$14=AA$15,0.5,0),IF($D28="U",IF(AA$14=AA$15,1,0),1/AA$15)))</f>
        <v>0</v>
      </c>
      <c r="AB28" s="498" t="n">
        <f aca="false">INDEX(FC_FLUJO_CAJA!$D$24:$BK$24,1,AB$13)*IF(IFERROR(VALUE($D28&amp;""),0)&gt;0,IF(AB$14=MIN(VALUE($D28&amp;""),AB$15),1,0),IF($D28="Q",IF(AB$14=MIN(2,AB$15),0.5,0)+IF(AB$14=AB$15,0.5,0),IF($D28="U",IF(AB$14=AB$15,1,0),1/AB$15)))</f>
        <v>0</v>
      </c>
      <c r="AC28" s="498" t="n">
        <f aca="false">INDEX(FC_FLUJO_CAJA!$D$24:$BK$24,1,AC$13)*IF(IFERROR(VALUE($D28&amp;""),0)&gt;0,IF(AC$14=MIN(VALUE($D28&amp;""),AC$15),1,0),IF($D28="Q",IF(AC$14=MIN(2,AC$15),0.5,0)+IF(AC$14=AC$15,0.5,0),IF($D28="U",IF(AC$14=AC$15,1,0),1/AC$15)))</f>
        <v>0</v>
      </c>
      <c r="AD28" s="498" t="n">
        <f aca="false">INDEX(FC_FLUJO_CAJA!$D$24:$BK$24,1,AD$13)*IF(IFERROR(VALUE($D28&amp;""),0)&gt;0,IF(AD$14=MIN(VALUE($D28&amp;""),AD$15),1,0),IF($D28="Q",IF(AD$14=MIN(2,AD$15),0.5,0)+IF(AD$14=AD$15,0.5,0),IF($D28="U",IF(AD$14=AD$15,1,0),1/AD$15)))</f>
        <v>0</v>
      </c>
      <c r="AE28" s="498" t="n">
        <f aca="false">INDEX(FC_FLUJO_CAJA!$D$24:$BK$24,1,AE$13)*IF(IFERROR(VALUE($D28&amp;""),0)&gt;0,IF(AE$14=MIN(VALUE($D28&amp;""),AE$15),1,0),IF($D28="Q",IF(AE$14=MIN(2,AE$15),0.5,0)+IF(AE$14=AE$15,0.5,0),IF($D28="U",IF(AE$14=AE$15,1,0),1/AE$15)))</f>
        <v>0</v>
      </c>
      <c r="AF28" s="498" t="n">
        <f aca="false">INDEX(FC_FLUJO_CAJA!$D$24:$BK$24,1,AF$13)*IF(IFERROR(VALUE($D28&amp;""),0)&gt;0,IF(AF$14=MIN(VALUE($D28&amp;""),AF$15),1,0),IF($D28="Q",IF(AF$14=MIN(2,AF$15),0.5,0)+IF(AF$14=AF$15,0.5,0),IF($D28="U",IF(AF$14=AF$15,1,0),1/AF$15)))</f>
        <v>0</v>
      </c>
      <c r="AG28" s="498" t="n">
        <f aca="false">INDEX(FC_FLUJO_CAJA!$D$24:$BK$24,1,AG$13)*IF(IFERROR(VALUE($D28&amp;""),0)&gt;0,IF(AG$14=MIN(VALUE($D28&amp;""),AG$15),1,0),IF($D28="Q",IF(AG$14=MIN(2,AG$15),0.5,0)+IF(AG$14=AG$15,0.5,0),IF($D28="U",IF(AG$14=AG$15,1,0),1/AG$15)))</f>
        <v>0</v>
      </c>
      <c r="AH28" s="498" t="n">
        <f aca="false">INDEX(FC_FLUJO_CAJA!$D$24:$BK$24,1,AH$13)*IF(IFERROR(VALUE($D28&amp;""),0)&gt;0,IF(AH$14=MIN(VALUE($D28&amp;""),AH$15),1,0),IF($D28="Q",IF(AH$14=MIN(2,AH$15),0.5,0)+IF(AH$14=AH$15,0.5,0),IF($D28="U",IF(AH$14=AH$15,1,0),1/AH$15)))</f>
        <v>0</v>
      </c>
      <c r="AI28" s="498" t="n">
        <f aca="false">INDEX(FC_FLUJO_CAJA!$D$24:$BK$24,1,AI$13)*IF(IFERROR(VALUE($D28&amp;""),0)&gt;0,IF(AI$14=MIN(VALUE($D28&amp;""),AI$15),1,0),IF($D28="Q",IF(AI$14=MIN(2,AI$15),0.5,0)+IF(AI$14=AI$15,0.5,0),IF($D28="U",IF(AI$14=AI$15,1,0),1/AI$15)))</f>
        <v>0</v>
      </c>
      <c r="AJ28" s="498" t="n">
        <f aca="false">INDEX(FC_FLUJO_CAJA!$D$24:$BK$24,1,AJ$13)*IF(IFERROR(VALUE($D28&amp;""),0)&gt;0,IF(AJ$14=MIN(VALUE($D28&amp;""),AJ$15),1,0),IF($D28="Q",IF(AJ$14=MIN(2,AJ$15),0.5,0)+IF(AJ$14=AJ$15,0.5,0),IF($D28="U",IF(AJ$14=AJ$15,1,0),1/AJ$15)))</f>
        <v>0</v>
      </c>
      <c r="AK28" s="498" t="n">
        <f aca="false">INDEX(FC_FLUJO_CAJA!$D$24:$BK$24,1,AK$13)*IF(IFERROR(VALUE($D28&amp;""),0)&gt;0,IF(AK$14=MIN(VALUE($D28&amp;""),AK$15),1,0),IF($D28="Q",IF(AK$14=MIN(2,AK$15),0.5,0)+IF(AK$14=AK$15,0.5,0),IF($D28="U",IF(AK$14=AK$15,1,0),1/AK$15)))</f>
        <v>0</v>
      </c>
      <c r="AL28" s="498" t="n">
        <f aca="false">INDEX(FC_FLUJO_CAJA!$D$24:$BK$24,1,AL$13)*IF(IFERROR(VALUE($D28&amp;""),0)&gt;0,IF(AL$14=MIN(VALUE($D28&amp;""),AL$15),1,0),IF($D28="Q",IF(AL$14=MIN(2,AL$15),0.5,0)+IF(AL$14=AL$15,0.5,0),IF($D28="U",IF(AL$14=AL$15,1,0),1/AL$15)))</f>
        <v>0</v>
      </c>
      <c r="AM28" s="498" t="n">
        <f aca="false">INDEX(FC_FLUJO_CAJA!$D$24:$BK$24,1,AM$13)*IF(IFERROR(VALUE($D28&amp;""),0)&gt;0,IF(AM$14=MIN(VALUE($D28&amp;""),AM$15),1,0),IF($D28="Q",IF(AM$14=MIN(2,AM$15),0.5,0)+IF(AM$14=AM$15,0.5,0),IF($D28="U",IF(AM$14=AM$15,1,0),1/AM$15)))</f>
        <v>0</v>
      </c>
      <c r="AN28" s="498" t="n">
        <f aca="false">INDEX(FC_FLUJO_CAJA!$D$24:$BK$24,1,AN$13)*IF(IFERROR(VALUE($D28&amp;""),0)&gt;0,IF(AN$14=MIN(VALUE($D28&amp;""),AN$15),1,0),IF($D28="Q",IF(AN$14=MIN(2,AN$15),0.5,0)+IF(AN$14=AN$15,0.5,0),IF($D28="U",IF(AN$14=AN$15,1,0),1/AN$15)))</f>
        <v>0</v>
      </c>
      <c r="AO28" s="498" t="n">
        <f aca="false">INDEX(FC_FLUJO_CAJA!$D$24:$BK$24,1,AO$13)*IF(IFERROR(VALUE($D28&amp;""),0)&gt;0,IF(AO$14=MIN(VALUE($D28&amp;""),AO$15),1,0),IF($D28="Q",IF(AO$14=MIN(2,AO$15),0.5,0)+IF(AO$14=AO$15,0.5,0),IF($D28="U",IF(AO$14=AO$15,1,0),1/AO$15)))</f>
        <v>0</v>
      </c>
      <c r="AP28" s="498" t="n">
        <f aca="false">INDEX(FC_FLUJO_CAJA!$D$24:$BK$24,1,AP$13)*IF(IFERROR(VALUE($D28&amp;""),0)&gt;0,IF(AP$14=MIN(VALUE($D28&amp;""),AP$15),1,0),IF($D28="Q",IF(AP$14=MIN(2,AP$15),0.5,0)+IF(AP$14=AP$15,0.5,0),IF($D28="U",IF(AP$14=AP$15,1,0),1/AP$15)))</f>
        <v>0</v>
      </c>
      <c r="AQ28" s="498" t="n">
        <f aca="false">INDEX(FC_FLUJO_CAJA!$D$24:$BK$24,1,AQ$13)*IF(IFERROR(VALUE($D28&amp;""),0)&gt;0,IF(AQ$14=MIN(VALUE($D28&amp;""),AQ$15),1,0),IF($D28="Q",IF(AQ$14=MIN(2,AQ$15),0.5,0)+IF(AQ$14=AQ$15,0.5,0),IF($D28="U",IF(AQ$14=AQ$15,1,0),1/AQ$15)))</f>
        <v>0</v>
      </c>
      <c r="AR28" s="498" t="n">
        <f aca="false">INDEX(FC_FLUJO_CAJA!$D$24:$BK$24,1,AR$13)*IF(IFERROR(VALUE($D28&amp;""),0)&gt;0,IF(AR$14=MIN(VALUE($D28&amp;""),AR$15),1,0),IF($D28="Q",IF(AR$14=MIN(2,AR$15),0.5,0)+IF(AR$14=AR$15,0.5,0),IF($D28="U",IF(AR$14=AR$15,1,0),1/AR$15)))</f>
        <v>0</v>
      </c>
      <c r="AS28" s="498" t="n">
        <f aca="false">INDEX(FC_FLUJO_CAJA!$D$24:$BK$24,1,AS$13)*IF(IFERROR(VALUE($D28&amp;""),0)&gt;0,IF(AS$14=MIN(VALUE($D28&amp;""),AS$15),1,0),IF($D28="Q",IF(AS$14=MIN(2,AS$15),0.5,0)+IF(AS$14=AS$15,0.5,0),IF($D28="U",IF(AS$14=AS$15,1,0),1/AS$15)))</f>
        <v>1804.84954802548</v>
      </c>
      <c r="AT28" s="498" t="n">
        <f aca="false">INDEX(FC_FLUJO_CAJA!$D$24:$BK$24,1,AT$13)*IF(IFERROR(VALUE($D28&amp;""),0)&gt;0,IF(AT$14=MIN(VALUE($D28&amp;""),AT$15),1,0),IF($D28="Q",IF(AT$14=MIN(2,AT$15),0.5,0)+IF(AT$14=AT$15,0.5,0),IF($D28="U",IF(AT$14=AT$15,1,0),1/AT$15)))</f>
        <v>1804.84954802548</v>
      </c>
      <c r="AU28" s="498" t="n">
        <f aca="false">INDEX(FC_FLUJO_CAJA!$D$24:$BK$24,1,AU$13)*IF(IFERROR(VALUE($D28&amp;""),0)&gt;0,IF(AU$14=MIN(VALUE($D28&amp;""),AU$15),1,0),IF($D28="Q",IF(AU$14=MIN(2,AU$15),0.5,0)+IF(AU$14=AU$15,0.5,0),IF($D28="U",IF(AU$14=AU$15,1,0),1/AU$15)))</f>
        <v>1804.84954802548</v>
      </c>
      <c r="AV28" s="498" t="n">
        <f aca="false">INDEX(FC_FLUJO_CAJA!$D$24:$BK$24,1,AV$13)*IF(IFERROR(VALUE($D28&amp;""),0)&gt;0,IF(AV$14=MIN(VALUE($D28&amp;""),AV$15),1,0),IF($D28="Q",IF(AV$14=MIN(2,AV$15),0.5,0)+IF(AV$14=AV$15,0.5,0),IF($D28="U",IF(AV$14=AV$15,1,0),1/AV$15)))</f>
        <v>1804.84954802548</v>
      </c>
      <c r="AW28" s="498" t="n">
        <f aca="false">INDEX(FC_FLUJO_CAJA!$D$24:$BK$24,1,AW$13)*IF(IFERROR(VALUE($D28&amp;""),0)&gt;0,IF(AW$14=MIN(VALUE($D28&amp;""),AW$15),1,0),IF($D28="Q",IF(AW$14=MIN(2,AW$15),0.5,0)+IF(AW$14=AW$15,0.5,0),IF($D28="U",IF(AW$14=AW$15,1,0),1/AW$15)))</f>
        <v>3197.16205650228</v>
      </c>
      <c r="AX28" s="498" t="n">
        <f aca="false">INDEX(FC_FLUJO_CAJA!$D$24:$BK$24,1,AX$13)*IF(IFERROR(VALUE($D28&amp;""),0)&gt;0,IF(AX$14=MIN(VALUE($D28&amp;""),AX$15),1,0),IF($D28="Q",IF(AX$14=MIN(2,AX$15),0.5,0)+IF(AX$14=AX$15,0.5,0),IF($D28="U",IF(AX$14=AX$15,1,0),1/AX$15)))</f>
        <v>3197.16205650228</v>
      </c>
      <c r="AY28" s="498" t="n">
        <f aca="false">INDEX(FC_FLUJO_CAJA!$D$24:$BK$24,1,AY$13)*IF(IFERROR(VALUE($D28&amp;""),0)&gt;0,IF(AY$14=MIN(VALUE($D28&amp;""),AY$15),1,0),IF($D28="Q",IF(AY$14=MIN(2,AY$15),0.5,0)+IF(AY$14=AY$15,0.5,0),IF($D28="U",IF(AY$14=AY$15,1,0),1/AY$15)))</f>
        <v>3197.16205650228</v>
      </c>
      <c r="AZ28" s="498" t="n">
        <f aca="false">INDEX(FC_FLUJO_CAJA!$D$24:$BK$24,1,AZ$13)*IF(IFERROR(VALUE($D28&amp;""),0)&gt;0,IF(AZ$14=MIN(VALUE($D28&amp;""),AZ$15),1,0),IF($D28="Q",IF(AZ$14=MIN(2,AZ$15),0.5,0)+IF(AZ$14=AZ$15,0.5,0),IF($D28="U",IF(AZ$14=AZ$15,1,0),1/AZ$15)))</f>
        <v>3197.16205650228</v>
      </c>
      <c r="BA28" s="498" t="n">
        <f aca="false">INDEX(FC_FLUJO_CAJA!$D$24:$BK$24,1,BA$13)*IF(IFERROR(VALUE($D28&amp;""),0)&gt;0,IF(BA$14=MIN(VALUE($D28&amp;""),BA$15),1,0),IF($D28="Q",IF(BA$14=MIN(2,BA$15),0.5,0)+IF(BA$14=BA$15,0.5,0),IF($D28="U",IF(BA$14=BA$15,1,0),1/BA$15)))</f>
        <v>3197.16205650228</v>
      </c>
      <c r="BB28" s="498" t="n">
        <f aca="false">INDEX(FC_FLUJO_CAJA!$D$24:$BK$24,1,BB$13)*IF(IFERROR(VALUE($D28&amp;""),0)&gt;0,IF(BB$14=MIN(VALUE($D28&amp;""),BB$15),1,0),IF($D28="Q",IF(BB$14=MIN(2,BB$15),0.5,0)+IF(BB$14=BB$15,0.5,0),IF($D28="U",IF(BB$14=BB$15,1,0),1/BB$15)))</f>
        <v>6574.80906780711</v>
      </c>
      <c r="BC28" s="498" t="n">
        <f aca="false">INDEX(FC_FLUJO_CAJA!$D$24:$BK$24,1,BC$13)*IF(IFERROR(VALUE($D28&amp;""),0)&gt;0,IF(BC$14=MIN(VALUE($D28&amp;""),BC$15),1,0),IF($D28="Q",IF(BC$14=MIN(2,BC$15),0.5,0)+IF(BC$14=BC$15,0.5,0),IF($D28="U",IF(BC$14=BC$15,1,0),1/BC$15)))</f>
        <v>6574.80906780711</v>
      </c>
      <c r="BD28" s="498" t="n">
        <f aca="false">INDEX(FC_FLUJO_CAJA!$D$24:$BK$24,1,BD$13)*IF(IFERROR(VALUE($D28&amp;""),0)&gt;0,IF(BD$14=MIN(VALUE($D28&amp;""),BD$15),1,0),IF($D28="Q",IF(BD$14=MIN(2,BD$15),0.5,0)+IF(BD$14=BD$15,0.5,0),IF($D28="U",IF(BD$14=BD$15,1,0),1/BD$15)))</f>
        <v>6574.80906780711</v>
      </c>
      <c r="BE28" s="498" t="n">
        <f aca="false">INDEX(FC_FLUJO_CAJA!$D$24:$BK$24,1,BE$13)*IF(IFERROR(VALUE($D28&amp;""),0)&gt;0,IF(BE$14=MIN(VALUE($D28&amp;""),BE$15),1,0),IF($D28="Q",IF(BE$14=MIN(2,BE$15),0.5,0)+IF(BE$14=BE$15,0.5,0),IF($D28="U",IF(BE$14=BE$15,1,0),1/BE$15)))</f>
        <v>6574.80906780711</v>
      </c>
    </row>
    <row r="29" customFormat="false" ht="15" hidden="false" customHeight="true" outlineLevel="0" collapsed="false">
      <c r="A29" s="400" t="s">
        <v>3108</v>
      </c>
      <c r="B29" s="283" t="s">
        <v>3109</v>
      </c>
      <c r="C29" s="531" t="s">
        <v>3110</v>
      </c>
      <c r="D29" s="289" t="str">
        <f aca="false">FC_SUPUESTOS!$C$135</f>
        <v>Q</v>
      </c>
      <c r="E29" s="532" t="n">
        <f aca="false">SUM(F29:BE29)</f>
        <v>182166.725281034</v>
      </c>
      <c r="F29" s="498" t="n">
        <f aca="false">INDEX(FC_FLUJO_CAJA!$D$28:$BK$28,1,F$13)*IF(IFERROR(VALUE($D29&amp;""),0)&gt;0,IF(F$14=MIN(VALUE($D29&amp;""),F$15),1,0),IF($D29="Q",IF(F$14=MIN(2,F$15),0.5,0)+IF(F$14=F$15,0.5,0),IF($D29="U",IF(F$14=F$15,1,0),1/F$15)))</f>
        <v>0</v>
      </c>
      <c r="G29" s="498" t="n">
        <f aca="false">INDEX(FC_FLUJO_CAJA!$D$28:$BK$28,1,G$13)*IF(IFERROR(VALUE($D29&amp;""),0)&gt;0,IF(G$14=MIN(VALUE($D29&amp;""),G$15),1,0),IF($D29="Q",IF(G$14=MIN(2,G$15),0.5,0)+IF(G$14=G$15,0.5,0),IF($D29="U",IF(G$14=G$15,1,0),1/G$15)))</f>
        <v>1435</v>
      </c>
      <c r="H29" s="498" t="n">
        <f aca="false">INDEX(FC_FLUJO_CAJA!$D$28:$BK$28,1,H$13)*IF(IFERROR(VALUE($D29&amp;""),0)&gt;0,IF(H$14=MIN(VALUE($D29&amp;""),H$15),1,0),IF($D29="Q",IF(H$14=MIN(2,H$15),0.5,0)+IF(H$14=H$15,0.5,0),IF($D29="U",IF(H$14=H$15,1,0),1/H$15)))</f>
        <v>0</v>
      </c>
      <c r="I29" s="498" t="n">
        <f aca="false">INDEX(FC_FLUJO_CAJA!$D$28:$BK$28,1,I$13)*IF(IFERROR(VALUE($D29&amp;""),0)&gt;0,IF(I$14=MIN(VALUE($D29&amp;""),I$15),1,0),IF($D29="Q",IF(I$14=MIN(2,I$15),0.5,0)+IF(I$14=I$15,0.5,0),IF($D29="U",IF(I$14=I$15,1,0),1/I$15)))</f>
        <v>1435</v>
      </c>
      <c r="J29" s="498" t="n">
        <f aca="false">INDEX(FC_FLUJO_CAJA!$D$28:$BK$28,1,J$13)*IF(IFERROR(VALUE($D29&amp;""),0)&gt;0,IF(J$14=MIN(VALUE($D29&amp;""),J$15),1,0),IF($D29="Q",IF(J$14=MIN(2,J$15),0.5,0)+IF(J$14=J$15,0.5,0),IF($D29="U",IF(J$14=J$15,1,0),1/J$15)))</f>
        <v>0</v>
      </c>
      <c r="K29" s="498" t="n">
        <f aca="false">INDEX(FC_FLUJO_CAJA!$D$28:$BK$28,1,K$13)*IF(IFERROR(VALUE($D29&amp;""),0)&gt;0,IF(K$14=MIN(VALUE($D29&amp;""),K$15),1,0),IF($D29="Q",IF(K$14=MIN(2,K$15),0.5,0)+IF(K$14=K$15,0.5,0),IF($D29="U",IF(K$14=K$15,1,0),1/K$15)))</f>
        <v>7857.5</v>
      </c>
      <c r="L29" s="498" t="n">
        <f aca="false">INDEX(FC_FLUJO_CAJA!$D$28:$BK$28,1,L$13)*IF(IFERROR(VALUE($D29&amp;""),0)&gt;0,IF(L$14=MIN(VALUE($D29&amp;""),L$15),1,0),IF($D29="Q",IF(L$14=MIN(2,L$15),0.5,0)+IF(L$14=L$15,0.5,0),IF($D29="U",IF(L$14=L$15,1,0),1/L$15)))</f>
        <v>0</v>
      </c>
      <c r="M29" s="498" t="n">
        <f aca="false">INDEX(FC_FLUJO_CAJA!$D$28:$BK$28,1,M$13)*IF(IFERROR(VALUE($D29&amp;""),0)&gt;0,IF(M$14=MIN(VALUE($D29&amp;""),M$15),1,0),IF($D29="Q",IF(M$14=MIN(2,M$15),0.5,0)+IF(M$14=M$15,0.5,0),IF($D29="U",IF(M$14=M$15,1,0),1/M$15)))</f>
        <v>0</v>
      </c>
      <c r="N29" s="498" t="n">
        <f aca="false">INDEX(FC_FLUJO_CAJA!$D$28:$BK$28,1,N$13)*IF(IFERROR(VALUE($D29&amp;""),0)&gt;0,IF(N$14=MIN(VALUE($D29&amp;""),N$15),1,0),IF($D29="Q",IF(N$14=MIN(2,N$15),0.5,0)+IF(N$14=N$15,0.5,0),IF($D29="U",IF(N$14=N$15,1,0),1/N$15)))</f>
        <v>7857.5</v>
      </c>
      <c r="O29" s="498" t="n">
        <f aca="false">INDEX(FC_FLUJO_CAJA!$D$28:$BK$28,1,O$13)*IF(IFERROR(VALUE($D29&amp;""),0)&gt;0,IF(O$14=MIN(VALUE($D29&amp;""),O$15),1,0),IF($D29="Q",IF(O$14=MIN(2,O$15),0.5,0)+IF(O$14=O$15,0.5,0),IF($D29="U",IF(O$14=O$15,1,0),1/O$15)))</f>
        <v>0</v>
      </c>
      <c r="P29" s="498" t="n">
        <f aca="false">INDEX(FC_FLUJO_CAJA!$D$28:$BK$28,1,P$13)*IF(IFERROR(VALUE($D29&amp;""),0)&gt;0,IF(P$14=MIN(VALUE($D29&amp;""),P$15),1,0),IF($D29="Q",IF(P$14=MIN(2,P$15),0.5,0)+IF(P$14=P$15,0.5,0),IF($D29="U",IF(P$14=P$15,1,0),1/P$15)))</f>
        <v>7857.5</v>
      </c>
      <c r="Q29" s="498" t="n">
        <f aca="false">INDEX(FC_FLUJO_CAJA!$D$28:$BK$28,1,Q$13)*IF(IFERROR(VALUE($D29&amp;""),0)&gt;0,IF(Q$14=MIN(VALUE($D29&amp;""),Q$15),1,0),IF($D29="Q",IF(Q$14=MIN(2,Q$15),0.5,0)+IF(Q$14=Q$15,0.5,0),IF($D29="U",IF(Q$14=Q$15,1,0),1/Q$15)))</f>
        <v>0</v>
      </c>
      <c r="R29" s="498" t="n">
        <f aca="false">INDEX(FC_FLUJO_CAJA!$D$28:$BK$28,1,R$13)*IF(IFERROR(VALUE($D29&amp;""),0)&gt;0,IF(R$14=MIN(VALUE($D29&amp;""),R$15),1,0),IF($D29="Q",IF(R$14=MIN(2,R$15),0.5,0)+IF(R$14=R$15,0.5,0),IF($D29="U",IF(R$14=R$15,1,0),1/R$15)))</f>
        <v>7857.5</v>
      </c>
      <c r="S29" s="498" t="n">
        <f aca="false">INDEX(FC_FLUJO_CAJA!$D$28:$BK$28,1,S$13)*IF(IFERROR(VALUE($D29&amp;""),0)&gt;0,IF(S$14=MIN(VALUE($D29&amp;""),S$15),1,0),IF($D29="Q",IF(S$14=MIN(2,S$15),0.5,0)+IF(S$14=S$15,0.5,0),IF($D29="U",IF(S$14=S$15,1,0),1/S$15)))</f>
        <v>0</v>
      </c>
      <c r="T29" s="498" t="n">
        <f aca="false">INDEX(FC_FLUJO_CAJA!$D$28:$BK$28,1,T$13)*IF(IFERROR(VALUE($D29&amp;""),0)&gt;0,IF(T$14=MIN(VALUE($D29&amp;""),T$15),1,0),IF($D29="Q",IF(T$14=MIN(2,T$15),0.5,0)+IF(T$14=T$15,0.5,0),IF($D29="U",IF(T$14=T$15,1,0),1/T$15)))</f>
        <v>7857.5</v>
      </c>
      <c r="U29" s="498" t="n">
        <f aca="false">INDEX(FC_FLUJO_CAJA!$D$28:$BK$28,1,U$13)*IF(IFERROR(VALUE($D29&amp;""),0)&gt;0,IF(U$14=MIN(VALUE($D29&amp;""),U$15),1,0),IF($D29="Q",IF(U$14=MIN(2,U$15),0.5,0)+IF(U$14=U$15,0.5,0),IF($D29="U",IF(U$14=U$15,1,0),1/U$15)))</f>
        <v>0</v>
      </c>
      <c r="V29" s="498" t="n">
        <f aca="false">INDEX(FC_FLUJO_CAJA!$D$28:$BK$28,1,V$13)*IF(IFERROR(VALUE($D29&amp;""),0)&gt;0,IF(V$14=MIN(VALUE($D29&amp;""),V$15),1,0),IF($D29="Q",IF(V$14=MIN(2,V$15),0.5,0)+IF(V$14=V$15,0.5,0),IF($D29="U",IF(V$14=V$15,1,0),1/V$15)))</f>
        <v>7857.5</v>
      </c>
      <c r="W29" s="498" t="n">
        <f aca="false">INDEX(FC_FLUJO_CAJA!$D$28:$BK$28,1,W$13)*IF(IFERROR(VALUE($D29&amp;""),0)&gt;0,IF(W$14=MIN(VALUE($D29&amp;""),W$15),1,0),IF($D29="Q",IF(W$14=MIN(2,W$15),0.5,0)+IF(W$14=W$15,0.5,0),IF($D29="U",IF(W$14=W$15,1,0),1/W$15)))</f>
        <v>0</v>
      </c>
      <c r="X29" s="498" t="n">
        <f aca="false">INDEX(FC_FLUJO_CAJA!$D$28:$BK$28,1,X$13)*IF(IFERROR(VALUE($D29&amp;""),0)&gt;0,IF(X$14=MIN(VALUE($D29&amp;""),X$15),1,0),IF($D29="Q",IF(X$14=MIN(2,X$15),0.5,0)+IF(X$14=X$15,0.5,0),IF($D29="U",IF(X$14=X$15,1,0),1/X$15)))</f>
        <v>7857.5</v>
      </c>
      <c r="Y29" s="498" t="n">
        <f aca="false">INDEX(FC_FLUJO_CAJA!$D$28:$BK$28,1,Y$13)*IF(IFERROR(VALUE($D29&amp;""),0)&gt;0,IF(Y$14=MIN(VALUE($D29&amp;""),Y$15),1,0),IF($D29="Q",IF(Y$14=MIN(2,Y$15),0.5,0)+IF(Y$14=Y$15,0.5,0),IF($D29="U",IF(Y$14=Y$15,1,0),1/Y$15)))</f>
        <v>0</v>
      </c>
      <c r="Z29" s="498" t="n">
        <f aca="false">INDEX(FC_FLUJO_CAJA!$D$28:$BK$28,1,Z$13)*IF(IFERROR(VALUE($D29&amp;""),0)&gt;0,IF(Z$14=MIN(VALUE($D29&amp;""),Z$15),1,0),IF($D29="Q",IF(Z$14=MIN(2,Z$15),0.5,0)+IF(Z$14=Z$15,0.5,0),IF($D29="U",IF(Z$14=Z$15,1,0),1/Z$15)))</f>
        <v>7857.5</v>
      </c>
      <c r="AA29" s="498" t="n">
        <f aca="false">INDEX(FC_FLUJO_CAJA!$D$28:$BK$28,1,AA$13)*IF(IFERROR(VALUE($D29&amp;""),0)&gt;0,IF(AA$14=MIN(VALUE($D29&amp;""),AA$15),1,0),IF($D29="Q",IF(AA$14=MIN(2,AA$15),0.5,0)+IF(AA$14=AA$15,0.5,0),IF($D29="U",IF(AA$14=AA$15,1,0),1/AA$15)))</f>
        <v>0</v>
      </c>
      <c r="AB29" s="498" t="n">
        <f aca="false">INDEX(FC_FLUJO_CAJA!$D$28:$BK$28,1,AB$13)*IF(IFERROR(VALUE($D29&amp;""),0)&gt;0,IF(AB$14=MIN(VALUE($D29&amp;""),AB$15),1,0),IF($D29="Q",IF(AB$14=MIN(2,AB$15),0.5,0)+IF(AB$14=AB$15,0.5,0),IF($D29="U",IF(AB$14=AB$15,1,0),1/AB$15)))</f>
        <v>7857.5</v>
      </c>
      <c r="AC29" s="498" t="n">
        <f aca="false">INDEX(FC_FLUJO_CAJA!$D$28:$BK$28,1,AC$13)*IF(IFERROR(VALUE($D29&amp;""),0)&gt;0,IF(AC$14=MIN(VALUE($D29&amp;""),AC$15),1,0),IF($D29="Q",IF(AC$14=MIN(2,AC$15),0.5,0)+IF(AC$14=AC$15,0.5,0),IF($D29="U",IF(AC$14=AC$15,1,0),1/AC$15)))</f>
        <v>0</v>
      </c>
      <c r="AD29" s="498" t="n">
        <f aca="false">INDEX(FC_FLUJO_CAJA!$D$28:$BK$28,1,AD$13)*IF(IFERROR(VALUE($D29&amp;""),0)&gt;0,IF(AD$14=MIN(VALUE($D29&amp;""),AD$15),1,0),IF($D29="Q",IF(AD$14=MIN(2,AD$15),0.5,0)+IF(AD$14=AD$15,0.5,0),IF($D29="U",IF(AD$14=AD$15,1,0),1/AD$15)))</f>
        <v>0</v>
      </c>
      <c r="AE29" s="498" t="n">
        <f aca="false">INDEX(FC_FLUJO_CAJA!$D$28:$BK$28,1,AE$13)*IF(IFERROR(VALUE($D29&amp;""),0)&gt;0,IF(AE$14=MIN(VALUE($D29&amp;""),AE$15),1,0),IF($D29="Q",IF(AE$14=MIN(2,AE$15),0.5,0)+IF(AE$14=AE$15,0.5,0),IF($D29="U",IF(AE$14=AE$15,1,0),1/AE$15)))</f>
        <v>7857.5</v>
      </c>
      <c r="AF29" s="498" t="n">
        <f aca="false">INDEX(FC_FLUJO_CAJA!$D$28:$BK$28,1,AF$13)*IF(IFERROR(VALUE($D29&amp;""),0)&gt;0,IF(AF$14=MIN(VALUE($D29&amp;""),AF$15),1,0),IF($D29="Q",IF(AF$14=MIN(2,AF$15),0.5,0)+IF(AF$14=AF$15,0.5,0),IF($D29="U",IF(AF$14=AF$15,1,0),1/AF$15)))</f>
        <v>0</v>
      </c>
      <c r="AG29" s="498" t="n">
        <f aca="false">INDEX(FC_FLUJO_CAJA!$D$28:$BK$28,1,AG$13)*IF(IFERROR(VALUE($D29&amp;""),0)&gt;0,IF(AG$14=MIN(VALUE($D29&amp;""),AG$15),1,0),IF($D29="Q",IF(AG$14=MIN(2,AG$15),0.5,0)+IF(AG$14=AG$15,0.5,0),IF($D29="U",IF(AG$14=AG$15,1,0),1/AG$15)))</f>
        <v>7857.5</v>
      </c>
      <c r="AH29" s="498" t="n">
        <f aca="false">INDEX(FC_FLUJO_CAJA!$D$28:$BK$28,1,AH$13)*IF(IFERROR(VALUE($D29&amp;""),0)&gt;0,IF(AH$14=MIN(VALUE($D29&amp;""),AH$15),1,0),IF($D29="Q",IF(AH$14=MIN(2,AH$15),0.5,0)+IF(AH$14=AH$15,0.5,0),IF($D29="U",IF(AH$14=AH$15,1,0),1/AH$15)))</f>
        <v>0</v>
      </c>
      <c r="AI29" s="498" t="n">
        <f aca="false">INDEX(FC_FLUJO_CAJA!$D$28:$BK$28,1,AI$13)*IF(IFERROR(VALUE($D29&amp;""),0)&gt;0,IF(AI$14=MIN(VALUE($D29&amp;""),AI$15),1,0),IF($D29="Q",IF(AI$14=MIN(2,AI$15),0.5,0)+IF(AI$14=AI$15,0.5,0),IF($D29="U",IF(AI$14=AI$15,1,0),1/AI$15)))</f>
        <v>7857.5</v>
      </c>
      <c r="AJ29" s="498" t="n">
        <f aca="false">INDEX(FC_FLUJO_CAJA!$D$28:$BK$28,1,AJ$13)*IF(IFERROR(VALUE($D29&amp;""),0)&gt;0,IF(AJ$14=MIN(VALUE($D29&amp;""),AJ$15),1,0),IF($D29="Q",IF(AJ$14=MIN(2,AJ$15),0.5,0)+IF(AJ$14=AJ$15,0.5,0),IF($D29="U",IF(AJ$14=AJ$15,1,0),1/AJ$15)))</f>
        <v>0</v>
      </c>
      <c r="AK29" s="498" t="n">
        <f aca="false">INDEX(FC_FLUJO_CAJA!$D$28:$BK$28,1,AK$13)*IF(IFERROR(VALUE($D29&amp;""),0)&gt;0,IF(AK$14=MIN(VALUE($D29&amp;""),AK$15),1,0),IF($D29="Q",IF(AK$14=MIN(2,AK$15),0.5,0)+IF(AK$14=AK$15,0.5,0),IF($D29="U",IF(AK$14=AK$15,1,0),1/AK$15)))</f>
        <v>7857.5</v>
      </c>
      <c r="AL29" s="498" t="n">
        <f aca="false">INDEX(FC_FLUJO_CAJA!$D$28:$BK$28,1,AL$13)*IF(IFERROR(VALUE($D29&amp;""),0)&gt;0,IF(AL$14=MIN(VALUE($D29&amp;""),AL$15),1,0),IF($D29="Q",IF(AL$14=MIN(2,AL$15),0.5,0)+IF(AL$14=AL$15,0.5,0),IF($D29="U",IF(AL$14=AL$15,1,0),1/AL$15)))</f>
        <v>0</v>
      </c>
      <c r="AM29" s="498" t="n">
        <f aca="false">INDEX(FC_FLUJO_CAJA!$D$28:$BK$28,1,AM$13)*IF(IFERROR(VALUE($D29&amp;""),0)&gt;0,IF(AM$14=MIN(VALUE($D29&amp;""),AM$15),1,0),IF($D29="Q",IF(AM$14=MIN(2,AM$15),0.5,0)+IF(AM$14=AM$15,0.5,0),IF($D29="U",IF(AM$14=AM$15,1,0),1/AM$15)))</f>
        <v>0</v>
      </c>
      <c r="AN29" s="498" t="n">
        <f aca="false">INDEX(FC_FLUJO_CAJA!$D$28:$BK$28,1,AN$13)*IF(IFERROR(VALUE($D29&amp;""),0)&gt;0,IF(AN$14=MIN(VALUE($D29&amp;""),AN$15),1,0),IF($D29="Q",IF(AN$14=MIN(2,AN$15),0.5,0)+IF(AN$14=AN$15,0.5,0),IF($D29="U",IF(AN$14=AN$15,1,0),1/AN$15)))</f>
        <v>7857.5</v>
      </c>
      <c r="AO29" s="498" t="n">
        <f aca="false">INDEX(FC_FLUJO_CAJA!$D$28:$BK$28,1,AO$13)*IF(IFERROR(VALUE($D29&amp;""),0)&gt;0,IF(AO$14=MIN(VALUE($D29&amp;""),AO$15),1,0),IF($D29="Q",IF(AO$14=MIN(2,AO$15),0.5,0)+IF(AO$14=AO$15,0.5,0),IF($D29="U",IF(AO$14=AO$15,1,0),1/AO$15)))</f>
        <v>0</v>
      </c>
      <c r="AP29" s="498" t="n">
        <f aca="false">INDEX(FC_FLUJO_CAJA!$D$28:$BK$28,1,AP$13)*IF(IFERROR(VALUE($D29&amp;""),0)&gt;0,IF(AP$14=MIN(VALUE($D29&amp;""),AP$15),1,0),IF($D29="Q",IF(AP$14=MIN(2,AP$15),0.5,0)+IF(AP$14=AP$15,0.5,0),IF($D29="U",IF(AP$14=AP$15,1,0),1/AP$15)))</f>
        <v>7857.5</v>
      </c>
      <c r="AQ29" s="498" t="n">
        <f aca="false">INDEX(FC_FLUJO_CAJA!$D$28:$BK$28,1,AQ$13)*IF(IFERROR(VALUE($D29&amp;""),0)&gt;0,IF(AQ$14=MIN(VALUE($D29&amp;""),AQ$15),1,0),IF($D29="Q",IF(AQ$14=MIN(2,AQ$15),0.5,0)+IF(AQ$14=AQ$15,0.5,0),IF($D29="U",IF(AQ$14=AQ$15,1,0),1/AQ$15)))</f>
        <v>0</v>
      </c>
      <c r="AR29" s="498" t="n">
        <f aca="false">INDEX(FC_FLUJO_CAJA!$D$28:$BK$28,1,AR$13)*IF(IFERROR(VALUE($D29&amp;""),0)&gt;0,IF(AR$14=MIN(VALUE($D29&amp;""),AR$15),1,0),IF($D29="Q",IF(AR$14=MIN(2,AR$15),0.5,0)+IF(AR$14=AR$15,0.5,0),IF($D29="U",IF(AR$14=AR$15,1,0),1/AR$15)))</f>
        <v>7857.5</v>
      </c>
      <c r="AS29" s="498" t="n">
        <f aca="false">INDEX(FC_FLUJO_CAJA!$D$28:$BK$28,1,AS$13)*IF(IFERROR(VALUE($D29&amp;""),0)&gt;0,IF(AS$14=MIN(VALUE($D29&amp;""),AS$15),1,0),IF($D29="Q",IF(AS$14=MIN(2,AS$15),0.5,0)+IF(AS$14=AS$15,0.5,0),IF($D29="U",IF(AS$14=AS$15,1,0),1/AS$15)))</f>
        <v>0</v>
      </c>
      <c r="AT29" s="498" t="n">
        <f aca="false">INDEX(FC_FLUJO_CAJA!$D$28:$BK$28,1,AT$13)*IF(IFERROR(VALUE($D29&amp;""),0)&gt;0,IF(AT$14=MIN(VALUE($D29&amp;""),AT$15),1,0),IF($D29="Q",IF(AT$14=MIN(2,AT$15),0.5,0)+IF(AT$14=AT$15,0.5,0),IF($D29="U",IF(AT$14=AT$15,1,0),1/AT$15)))</f>
        <v>7857.5</v>
      </c>
      <c r="AU29" s="498" t="n">
        <f aca="false">INDEX(FC_FLUJO_CAJA!$D$28:$BK$28,1,AU$13)*IF(IFERROR(VALUE($D29&amp;""),0)&gt;0,IF(AU$14=MIN(VALUE($D29&amp;""),AU$15),1,0),IF($D29="Q",IF(AU$14=MIN(2,AU$15),0.5,0)+IF(AU$14=AU$15,0.5,0),IF($D29="U",IF(AU$14=AU$15,1,0),1/AU$15)))</f>
        <v>0</v>
      </c>
      <c r="AV29" s="498" t="n">
        <f aca="false">INDEX(FC_FLUJO_CAJA!$D$28:$BK$28,1,AV$13)*IF(IFERROR(VALUE($D29&amp;""),0)&gt;0,IF(AV$14=MIN(VALUE($D29&amp;""),AV$15),1,0),IF($D29="Q",IF(AV$14=MIN(2,AV$15),0.5,0)+IF(AV$14=AV$15,0.5,0),IF($D29="U",IF(AV$14=AV$15,1,0),1/AV$15)))</f>
        <v>7857.5</v>
      </c>
      <c r="AW29" s="498" t="n">
        <f aca="false">INDEX(FC_FLUJO_CAJA!$D$28:$BK$28,1,AW$13)*IF(IFERROR(VALUE($D29&amp;""),0)&gt;0,IF(AW$14=MIN(VALUE($D29&amp;""),AW$15),1,0),IF($D29="Q",IF(AW$14=MIN(2,AW$15),0.5,0)+IF(AW$14=AW$15,0.5,0),IF($D29="U",IF(AW$14=AW$15,1,0),1/AW$15)))</f>
        <v>0</v>
      </c>
      <c r="AX29" s="498" t="n">
        <f aca="false">INDEX(FC_FLUJO_CAJA!$D$28:$BK$28,1,AX$13)*IF(IFERROR(VALUE($D29&amp;""),0)&gt;0,IF(AX$14=MIN(VALUE($D29&amp;""),AX$15),1,0),IF($D29="Q",IF(AX$14=MIN(2,AX$15),0.5,0)+IF(AX$14=AX$15,0.5,0),IF($D29="U",IF(AX$14=AX$15,1,0),1/AX$15)))</f>
        <v>7857.5</v>
      </c>
      <c r="AY29" s="498" t="n">
        <f aca="false">INDEX(FC_FLUJO_CAJA!$D$28:$BK$28,1,AY$13)*IF(IFERROR(VALUE($D29&amp;""),0)&gt;0,IF(AY$14=MIN(VALUE($D29&amp;""),AY$15),1,0),IF($D29="Q",IF(AY$14=MIN(2,AY$15),0.5,0)+IF(AY$14=AY$15,0.5,0),IF($D29="U",IF(AY$14=AY$15,1,0),1/AY$15)))</f>
        <v>0</v>
      </c>
      <c r="AZ29" s="498" t="n">
        <f aca="false">INDEX(FC_FLUJO_CAJA!$D$28:$BK$28,1,AZ$13)*IF(IFERROR(VALUE($D29&amp;""),0)&gt;0,IF(AZ$14=MIN(VALUE($D29&amp;""),AZ$15),1,0),IF($D29="Q",IF(AZ$14=MIN(2,AZ$15),0.5,0)+IF(AZ$14=AZ$15,0.5,0),IF($D29="U",IF(AZ$14=AZ$15,1,0),1/AZ$15)))</f>
        <v>0</v>
      </c>
      <c r="BA29" s="498" t="n">
        <f aca="false">INDEX(FC_FLUJO_CAJA!$D$28:$BK$28,1,BA$13)*IF(IFERROR(VALUE($D29&amp;""),0)&gt;0,IF(BA$14=MIN(VALUE($D29&amp;""),BA$15),1,0),IF($D29="Q",IF(BA$14=MIN(2,BA$15),0.5,0)+IF(BA$14=BA$15,0.5,0),IF($D29="U",IF(BA$14=BA$15,1,0),1/BA$15)))</f>
        <v>7857.5</v>
      </c>
      <c r="BB29" s="498" t="n">
        <f aca="false">INDEX(FC_FLUJO_CAJA!$D$28:$BK$28,1,BB$13)*IF(IFERROR(VALUE($D29&amp;""),0)&gt;0,IF(BB$14=MIN(VALUE($D29&amp;""),BB$15),1,0),IF($D29="Q",IF(BB$14=MIN(2,BB$15),0.5,0)+IF(BB$14=BB$15,0.5,0),IF($D29="U",IF(BB$14=BB$15,1,0),1/BB$15)))</f>
        <v>0</v>
      </c>
      <c r="BC29" s="498" t="n">
        <f aca="false">INDEX(FC_FLUJO_CAJA!$D$28:$BK$28,1,BC$13)*IF(IFERROR(VALUE($D29&amp;""),0)&gt;0,IF(BC$14=MIN(VALUE($D29&amp;""),BC$15),1,0),IF($D29="Q",IF(BC$14=MIN(2,BC$15),0.5,0)+IF(BC$14=BC$15,0.5,0),IF($D29="U",IF(BC$14=BC$15,1,0),1/BC$15)))</f>
        <v>11073.3626405172</v>
      </c>
      <c r="BD29" s="498" t="n">
        <f aca="false">INDEX(FC_FLUJO_CAJA!$D$28:$BK$28,1,BD$13)*IF(IFERROR(VALUE($D29&amp;""),0)&gt;0,IF(BD$14=MIN(VALUE($D29&amp;""),BD$15),1,0),IF($D29="Q",IF(BD$14=MIN(2,BD$15),0.5,0)+IF(BD$14=BD$15,0.5,0),IF($D29="U",IF(BD$14=BD$15,1,0),1/BD$15)))</f>
        <v>0</v>
      </c>
      <c r="BE29" s="498" t="n">
        <f aca="false">INDEX(FC_FLUJO_CAJA!$D$28:$BK$28,1,BE$13)*IF(IFERROR(VALUE($D29&amp;""),0)&gt;0,IF(BE$14=MIN(VALUE($D29&amp;""),BE$15),1,0),IF($D29="Q",IF(BE$14=MIN(2,BE$15),0.5,0)+IF(BE$14=BE$15,0.5,0),IF($D29="U",IF(BE$14=BE$15,1,0),1/BE$15)))</f>
        <v>11073.3626405172</v>
      </c>
    </row>
    <row r="30" customFormat="false" ht="15" hidden="false" customHeight="true" outlineLevel="0" collapsed="false">
      <c r="A30" s="218"/>
      <c r="B30" s="499" t="s">
        <v>3111</v>
      </c>
      <c r="C30" s="218"/>
      <c r="D30" s="218"/>
      <c r="E30" s="533" t="n">
        <f aca="false">SUM(F30:BE30)</f>
        <v>637662.493851767</v>
      </c>
      <c r="F30" s="533" t="n">
        <f aca="false">SUM(F21:F29)</f>
        <v>0</v>
      </c>
      <c r="G30" s="533" t="n">
        <f aca="false">SUM(G21:G29)</f>
        <v>1435</v>
      </c>
      <c r="H30" s="533" t="n">
        <f aca="false">SUM(H21:H29)</f>
        <v>0</v>
      </c>
      <c r="I30" s="533" t="n">
        <f aca="false">SUM(I21:I29)</f>
        <v>1435</v>
      </c>
      <c r="J30" s="533" t="n">
        <f aca="false">SUM(J21:J29)</f>
        <v>0</v>
      </c>
      <c r="K30" s="533" t="n">
        <f aca="false">SUM(K21:K29)</f>
        <v>7857.5</v>
      </c>
      <c r="L30" s="533" t="n">
        <f aca="false">SUM(L21:L29)</f>
        <v>0</v>
      </c>
      <c r="M30" s="533" t="n">
        <f aca="false">SUM(M21:M29)</f>
        <v>0</v>
      </c>
      <c r="N30" s="533" t="n">
        <f aca="false">SUM(N21:N29)</f>
        <v>7857.5</v>
      </c>
      <c r="O30" s="533" t="n">
        <f aca="false">SUM(O21:O29)</f>
        <v>0</v>
      </c>
      <c r="P30" s="533" t="n">
        <f aca="false">SUM(P21:P29)</f>
        <v>7857.5</v>
      </c>
      <c r="Q30" s="533" t="n">
        <f aca="false">SUM(Q21:Q29)</f>
        <v>0</v>
      </c>
      <c r="R30" s="533" t="n">
        <f aca="false">SUM(R21:R29)</f>
        <v>7857.5</v>
      </c>
      <c r="S30" s="533" t="n">
        <f aca="false">SUM(S21:S29)</f>
        <v>0</v>
      </c>
      <c r="T30" s="533" t="n">
        <f aca="false">SUM(T21:T29)</f>
        <v>7857.5</v>
      </c>
      <c r="U30" s="533" t="n">
        <f aca="false">SUM(U21:U29)</f>
        <v>0</v>
      </c>
      <c r="V30" s="533" t="n">
        <f aca="false">SUM(V21:V29)</f>
        <v>7857.5</v>
      </c>
      <c r="W30" s="533" t="n">
        <f aca="false">SUM(W21:W29)</f>
        <v>0</v>
      </c>
      <c r="X30" s="533" t="n">
        <f aca="false">SUM(X21:X29)</f>
        <v>7857.5</v>
      </c>
      <c r="Y30" s="533" t="n">
        <f aca="false">SUM(Y21:Y29)</f>
        <v>0</v>
      </c>
      <c r="Z30" s="533" t="n">
        <f aca="false">SUM(Z21:Z29)</f>
        <v>7857.5</v>
      </c>
      <c r="AA30" s="533" t="n">
        <f aca="false">SUM(AA21:AA29)</f>
        <v>0</v>
      </c>
      <c r="AB30" s="533" t="n">
        <f aca="false">SUM(AB21:AB29)</f>
        <v>7857.5</v>
      </c>
      <c r="AC30" s="533" t="n">
        <f aca="false">SUM(AC21:AC29)</f>
        <v>0</v>
      </c>
      <c r="AD30" s="533" t="n">
        <f aca="false">SUM(AD21:AD29)</f>
        <v>0</v>
      </c>
      <c r="AE30" s="533" t="n">
        <f aca="false">SUM(AE21:AE29)</f>
        <v>7857.5</v>
      </c>
      <c r="AF30" s="533" t="n">
        <f aca="false">SUM(AF21:AF29)</f>
        <v>0</v>
      </c>
      <c r="AG30" s="533" t="n">
        <f aca="false">SUM(AG21:AG29)</f>
        <v>8357.5</v>
      </c>
      <c r="AH30" s="533" t="n">
        <f aca="false">SUM(AH21:AH29)</f>
        <v>0</v>
      </c>
      <c r="AI30" s="533" t="n">
        <f aca="false">SUM(AI21:AI29)</f>
        <v>8357.5</v>
      </c>
      <c r="AJ30" s="533" t="n">
        <f aca="false">SUM(AJ21:AJ29)</f>
        <v>0</v>
      </c>
      <c r="AK30" s="533" t="n">
        <f aca="false">SUM(AK21:AK29)</f>
        <v>10472.7828125</v>
      </c>
      <c r="AL30" s="533" t="n">
        <f aca="false">SUM(AL21:AL29)</f>
        <v>0</v>
      </c>
      <c r="AM30" s="533" t="n">
        <f aca="false">SUM(AM21:AM29)</f>
        <v>0</v>
      </c>
      <c r="AN30" s="533" t="n">
        <f aca="false">SUM(AN21:AN29)</f>
        <v>10472.7828125</v>
      </c>
      <c r="AO30" s="533" t="n">
        <f aca="false">SUM(AO21:AO29)</f>
        <v>0</v>
      </c>
      <c r="AP30" s="533" t="n">
        <f aca="false">SUM(AP21:AP29)</f>
        <v>17779.2828125</v>
      </c>
      <c r="AQ30" s="533" t="n">
        <f aca="false">SUM(AQ21:AQ29)</f>
        <v>0</v>
      </c>
      <c r="AR30" s="533" t="n">
        <f aca="false">SUM(AR21:AR29)</f>
        <v>17779.2828125</v>
      </c>
      <c r="AS30" s="533" t="n">
        <f aca="false">SUM(AS21:AS29)</f>
        <v>12849.5011353937</v>
      </c>
      <c r="AT30" s="533" t="n">
        <f aca="false">SUM(AT21:AT29)</f>
        <v>31067.7839478937</v>
      </c>
      <c r="AU30" s="533" t="n">
        <f aca="false">SUM(AU21:AU29)</f>
        <v>8849.50113539374</v>
      </c>
      <c r="AV30" s="533" t="n">
        <f aca="false">SUM(AV21:AV29)</f>
        <v>31067.7839478937</v>
      </c>
      <c r="AW30" s="533" t="n">
        <f aca="false">SUM(AW21:AW29)</f>
        <v>26710.0757330107</v>
      </c>
      <c r="AX30" s="533" t="n">
        <f aca="false">SUM(AX21:AX29)</f>
        <v>45367.3585455107</v>
      </c>
      <c r="AY30" s="533" t="n">
        <f aca="false">SUM(AY21:AY29)</f>
        <v>18710.0757330107</v>
      </c>
      <c r="AZ30" s="533" t="n">
        <f aca="false">SUM(AZ21:AZ29)</f>
        <v>18710.0757330107</v>
      </c>
      <c r="BA30" s="533" t="n">
        <f aca="false">SUM(BA21:BA29)</f>
        <v>45367.3585455107</v>
      </c>
      <c r="BB30" s="533" t="n">
        <f aca="false">SUM(BB21:BB29)</f>
        <v>52634.6393097758</v>
      </c>
      <c r="BC30" s="533" t="n">
        <f aca="false">SUM(BC21:BC29)</f>
        <v>75514.7847627931</v>
      </c>
      <c r="BD30" s="533" t="n">
        <f aca="false">SUM(BD21:BD29)</f>
        <v>40634.6393097758</v>
      </c>
      <c r="BE30" s="533" t="n">
        <f aca="false">SUM(BE21:BE29)</f>
        <v>75514.7847627931</v>
      </c>
    </row>
    <row r="31" customFormat="false" ht="15" hidden="false" customHeight="true" outlineLevel="0" collapsed="false">
      <c r="A31" s="281" t="s">
        <v>3112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row>
    <row r="32" customFormat="false" ht="15" hidden="false" customHeight="true" outlineLevel="0" collapsed="false">
      <c r="A32" s="400" t="s">
        <v>3113</v>
      </c>
      <c r="B32" s="283" t="s">
        <v>3114</v>
      </c>
      <c r="C32" s="531" t="s">
        <v>2887</v>
      </c>
      <c r="D32" s="289" t="n">
        <f aca="false">FC_SUPUESTOS!$C$136</f>
        <v>3</v>
      </c>
      <c r="E32" s="532" t="n">
        <f aca="false">SUM(F32:BE32)</f>
        <v>0</v>
      </c>
      <c r="F32" s="498" t="n">
        <f aca="false">(INDEX(FC_FLUJO_CAJA!$D$39:$BK$39,1,F$13)+INDEX(FC_FLUJO_CAJA!$D$40:$BK$40,1,F$13))*IF(IFERROR(VALUE($D32&amp;""),0)&gt;0,IF(F$14=MIN(VALUE($D32&amp;""),F$15),1,0),IF($D32="Q",IF(F$14=MIN(2,F$15),0.5,0)+IF(F$14=F$15,0.5,0),IF($D32="U",IF(F$14=F$15,1,0),1/F$15)))</f>
        <v>0</v>
      </c>
      <c r="G32" s="498" t="n">
        <f aca="false">(INDEX(FC_FLUJO_CAJA!$D$39:$BK$39,1,G$13)+INDEX(FC_FLUJO_CAJA!$D$40:$BK$40,1,G$13))*IF(IFERROR(VALUE($D32&amp;""),0)&gt;0,IF(G$14=MIN(VALUE($D32&amp;""),G$15),1,0),IF($D32="Q",IF(G$14=MIN(2,G$15),0.5,0)+IF(G$14=G$15,0.5,0),IF($D32="U",IF(G$14=G$15,1,0),1/G$15)))</f>
        <v>0</v>
      </c>
      <c r="H32" s="498" t="n">
        <f aca="false">(INDEX(FC_FLUJO_CAJA!$D$39:$BK$39,1,H$13)+INDEX(FC_FLUJO_CAJA!$D$40:$BK$40,1,H$13))*IF(IFERROR(VALUE($D32&amp;""),0)&gt;0,IF(H$14=MIN(VALUE($D32&amp;""),H$15),1,0),IF($D32="Q",IF(H$14=MIN(2,H$15),0.5,0)+IF(H$14=H$15,0.5,0),IF($D32="U",IF(H$14=H$15,1,0),1/H$15)))</f>
        <v>0</v>
      </c>
      <c r="I32" s="498" t="n">
        <f aca="false">(INDEX(FC_FLUJO_CAJA!$D$39:$BK$39,1,I$13)+INDEX(FC_FLUJO_CAJA!$D$40:$BK$40,1,I$13))*IF(IFERROR(VALUE($D32&amp;""),0)&gt;0,IF(I$14=MIN(VALUE($D32&amp;""),I$15),1,0),IF($D32="Q",IF(I$14=MIN(2,I$15),0.5,0)+IF(I$14=I$15,0.5,0),IF($D32="U",IF(I$14=I$15,1,0),1/I$15)))</f>
        <v>0</v>
      </c>
      <c r="J32" s="498" t="n">
        <f aca="false">(INDEX(FC_FLUJO_CAJA!$D$39:$BK$39,1,J$13)+INDEX(FC_FLUJO_CAJA!$D$40:$BK$40,1,J$13))*IF(IFERROR(VALUE($D32&amp;""),0)&gt;0,IF(J$14=MIN(VALUE($D32&amp;""),J$15),1,0),IF($D32="Q",IF(J$14=MIN(2,J$15),0.5,0)+IF(J$14=J$15,0.5,0),IF($D32="U",IF(J$14=J$15,1,0),1/J$15)))</f>
        <v>0</v>
      </c>
      <c r="K32" s="498" t="n">
        <f aca="false">(INDEX(FC_FLUJO_CAJA!$D$39:$BK$39,1,K$13)+INDEX(FC_FLUJO_CAJA!$D$40:$BK$40,1,K$13))*IF(IFERROR(VALUE($D32&amp;""),0)&gt;0,IF(K$14=MIN(VALUE($D32&amp;""),K$15),1,0),IF($D32="Q",IF(K$14=MIN(2,K$15),0.5,0)+IF(K$14=K$15,0.5,0),IF($D32="U",IF(K$14=K$15,1,0),1/K$15)))</f>
        <v>0</v>
      </c>
      <c r="L32" s="498" t="n">
        <f aca="false">(INDEX(FC_FLUJO_CAJA!$D$39:$BK$39,1,L$13)+INDEX(FC_FLUJO_CAJA!$D$40:$BK$40,1,L$13))*IF(IFERROR(VALUE($D32&amp;""),0)&gt;0,IF(L$14=MIN(VALUE($D32&amp;""),L$15),1,0),IF($D32="Q",IF(L$14=MIN(2,L$15),0.5,0)+IF(L$14=L$15,0.5,0),IF($D32="U",IF(L$14=L$15,1,0),1/L$15)))</f>
        <v>0</v>
      </c>
      <c r="M32" s="498" t="n">
        <f aca="false">(INDEX(FC_FLUJO_CAJA!$D$39:$BK$39,1,M$13)+INDEX(FC_FLUJO_CAJA!$D$40:$BK$40,1,M$13))*IF(IFERROR(VALUE($D32&amp;""),0)&gt;0,IF(M$14=MIN(VALUE($D32&amp;""),M$15),1,0),IF($D32="Q",IF(M$14=MIN(2,M$15),0.5,0)+IF(M$14=M$15,0.5,0),IF($D32="U",IF(M$14=M$15,1,0),1/M$15)))</f>
        <v>0</v>
      </c>
      <c r="N32" s="498" t="n">
        <f aca="false">(INDEX(FC_FLUJO_CAJA!$D$39:$BK$39,1,N$13)+INDEX(FC_FLUJO_CAJA!$D$40:$BK$40,1,N$13))*IF(IFERROR(VALUE($D32&amp;""),0)&gt;0,IF(N$14=MIN(VALUE($D32&amp;""),N$15),1,0),IF($D32="Q",IF(N$14=MIN(2,N$15),0.5,0)+IF(N$14=N$15,0.5,0),IF($D32="U",IF(N$14=N$15,1,0),1/N$15)))</f>
        <v>0</v>
      </c>
      <c r="O32" s="498" t="n">
        <f aca="false">(INDEX(FC_FLUJO_CAJA!$D$39:$BK$39,1,O$13)+INDEX(FC_FLUJO_CAJA!$D$40:$BK$40,1,O$13))*IF(IFERROR(VALUE($D32&amp;""),0)&gt;0,IF(O$14=MIN(VALUE($D32&amp;""),O$15),1,0),IF($D32="Q",IF(O$14=MIN(2,O$15),0.5,0)+IF(O$14=O$15,0.5,0),IF($D32="U",IF(O$14=O$15,1,0),1/O$15)))</f>
        <v>0</v>
      </c>
      <c r="P32" s="498" t="n">
        <f aca="false">(INDEX(FC_FLUJO_CAJA!$D$39:$BK$39,1,P$13)+INDEX(FC_FLUJO_CAJA!$D$40:$BK$40,1,P$13))*IF(IFERROR(VALUE($D32&amp;""),0)&gt;0,IF(P$14=MIN(VALUE($D32&amp;""),P$15),1,0),IF($D32="Q",IF(P$14=MIN(2,P$15),0.5,0)+IF(P$14=P$15,0.5,0),IF($D32="U",IF(P$14=P$15,1,0),1/P$15)))</f>
        <v>0</v>
      </c>
      <c r="Q32" s="498" t="n">
        <f aca="false">(INDEX(FC_FLUJO_CAJA!$D$39:$BK$39,1,Q$13)+INDEX(FC_FLUJO_CAJA!$D$40:$BK$40,1,Q$13))*IF(IFERROR(VALUE($D32&amp;""),0)&gt;0,IF(Q$14=MIN(VALUE($D32&amp;""),Q$15),1,0),IF($D32="Q",IF(Q$14=MIN(2,Q$15),0.5,0)+IF(Q$14=Q$15,0.5,0),IF($D32="U",IF(Q$14=Q$15,1,0),1/Q$15)))</f>
        <v>0</v>
      </c>
      <c r="R32" s="498" t="n">
        <f aca="false">(INDEX(FC_FLUJO_CAJA!$D$39:$BK$39,1,R$13)+INDEX(FC_FLUJO_CAJA!$D$40:$BK$40,1,R$13))*IF(IFERROR(VALUE($D32&amp;""),0)&gt;0,IF(R$14=MIN(VALUE($D32&amp;""),R$15),1,0),IF($D32="Q",IF(R$14=MIN(2,R$15),0.5,0)+IF(R$14=R$15,0.5,0),IF($D32="U",IF(R$14=R$15,1,0),1/R$15)))</f>
        <v>0</v>
      </c>
      <c r="S32" s="498" t="n">
        <f aca="false">(INDEX(FC_FLUJO_CAJA!$D$39:$BK$39,1,S$13)+INDEX(FC_FLUJO_CAJA!$D$40:$BK$40,1,S$13))*IF(IFERROR(VALUE($D32&amp;""),0)&gt;0,IF(S$14=MIN(VALUE($D32&amp;""),S$15),1,0),IF($D32="Q",IF(S$14=MIN(2,S$15),0.5,0)+IF(S$14=S$15,0.5,0),IF($D32="U",IF(S$14=S$15,1,0),1/S$15)))</f>
        <v>0</v>
      </c>
      <c r="T32" s="498" t="n">
        <f aca="false">(INDEX(FC_FLUJO_CAJA!$D$39:$BK$39,1,T$13)+INDEX(FC_FLUJO_CAJA!$D$40:$BK$40,1,T$13))*IF(IFERROR(VALUE($D32&amp;""),0)&gt;0,IF(T$14=MIN(VALUE($D32&amp;""),T$15),1,0),IF($D32="Q",IF(T$14=MIN(2,T$15),0.5,0)+IF(T$14=T$15,0.5,0),IF($D32="U",IF(T$14=T$15,1,0),1/T$15)))</f>
        <v>0</v>
      </c>
      <c r="U32" s="498" t="n">
        <f aca="false">(INDEX(FC_FLUJO_CAJA!$D$39:$BK$39,1,U$13)+INDEX(FC_FLUJO_CAJA!$D$40:$BK$40,1,U$13))*IF(IFERROR(VALUE($D32&amp;""),0)&gt;0,IF(U$14=MIN(VALUE($D32&amp;""),U$15),1,0),IF($D32="Q",IF(U$14=MIN(2,U$15),0.5,0)+IF(U$14=U$15,0.5,0),IF($D32="U",IF(U$14=U$15,1,0),1/U$15)))</f>
        <v>0</v>
      </c>
      <c r="V32" s="498" t="n">
        <f aca="false">(INDEX(FC_FLUJO_CAJA!$D$39:$BK$39,1,V$13)+INDEX(FC_FLUJO_CAJA!$D$40:$BK$40,1,V$13))*IF(IFERROR(VALUE($D32&amp;""),0)&gt;0,IF(V$14=MIN(VALUE($D32&amp;""),V$15),1,0),IF($D32="Q",IF(V$14=MIN(2,V$15),0.5,0)+IF(V$14=V$15,0.5,0),IF($D32="U",IF(V$14=V$15,1,0),1/V$15)))</f>
        <v>0</v>
      </c>
      <c r="W32" s="498" t="n">
        <f aca="false">(INDEX(FC_FLUJO_CAJA!$D$39:$BK$39,1,W$13)+INDEX(FC_FLUJO_CAJA!$D$40:$BK$40,1,W$13))*IF(IFERROR(VALUE($D32&amp;""),0)&gt;0,IF(W$14=MIN(VALUE($D32&amp;""),W$15),1,0),IF($D32="Q",IF(W$14=MIN(2,W$15),0.5,0)+IF(W$14=W$15,0.5,0),IF($D32="U",IF(W$14=W$15,1,0),1/W$15)))</f>
        <v>0</v>
      </c>
      <c r="X32" s="498" t="n">
        <f aca="false">(INDEX(FC_FLUJO_CAJA!$D$39:$BK$39,1,X$13)+INDEX(FC_FLUJO_CAJA!$D$40:$BK$40,1,X$13))*IF(IFERROR(VALUE($D32&amp;""),0)&gt;0,IF(X$14=MIN(VALUE($D32&amp;""),X$15),1,0),IF($D32="Q",IF(X$14=MIN(2,X$15),0.5,0)+IF(X$14=X$15,0.5,0),IF($D32="U",IF(X$14=X$15,1,0),1/X$15)))</f>
        <v>0</v>
      </c>
      <c r="Y32" s="498" t="n">
        <f aca="false">(INDEX(FC_FLUJO_CAJA!$D$39:$BK$39,1,Y$13)+INDEX(FC_FLUJO_CAJA!$D$40:$BK$40,1,Y$13))*IF(IFERROR(VALUE($D32&amp;""),0)&gt;0,IF(Y$14=MIN(VALUE($D32&amp;""),Y$15),1,0),IF($D32="Q",IF(Y$14=MIN(2,Y$15),0.5,0)+IF(Y$14=Y$15,0.5,0),IF($D32="U",IF(Y$14=Y$15,1,0),1/Y$15)))</f>
        <v>0</v>
      </c>
      <c r="Z32" s="498" t="n">
        <f aca="false">(INDEX(FC_FLUJO_CAJA!$D$39:$BK$39,1,Z$13)+INDEX(FC_FLUJO_CAJA!$D$40:$BK$40,1,Z$13))*IF(IFERROR(VALUE($D32&amp;""),0)&gt;0,IF(Z$14=MIN(VALUE($D32&amp;""),Z$15),1,0),IF($D32="Q",IF(Z$14=MIN(2,Z$15),0.5,0)+IF(Z$14=Z$15,0.5,0),IF($D32="U",IF(Z$14=Z$15,1,0),1/Z$15)))</f>
        <v>0</v>
      </c>
      <c r="AA32" s="498" t="n">
        <f aca="false">(INDEX(FC_FLUJO_CAJA!$D$39:$BK$39,1,AA$13)+INDEX(FC_FLUJO_CAJA!$D$40:$BK$40,1,AA$13))*IF(IFERROR(VALUE($D32&amp;""),0)&gt;0,IF(AA$14=MIN(VALUE($D32&amp;""),AA$15),1,0),IF($D32="Q",IF(AA$14=MIN(2,AA$15),0.5,0)+IF(AA$14=AA$15,0.5,0),IF($D32="U",IF(AA$14=AA$15,1,0),1/AA$15)))</f>
        <v>0</v>
      </c>
      <c r="AB32" s="498" t="n">
        <f aca="false">(INDEX(FC_FLUJO_CAJA!$D$39:$BK$39,1,AB$13)+INDEX(FC_FLUJO_CAJA!$D$40:$BK$40,1,AB$13))*IF(IFERROR(VALUE($D32&amp;""),0)&gt;0,IF(AB$14=MIN(VALUE($D32&amp;""),AB$15),1,0),IF($D32="Q",IF(AB$14=MIN(2,AB$15),0.5,0)+IF(AB$14=AB$15,0.5,0),IF($D32="U",IF(AB$14=AB$15,1,0),1/AB$15)))</f>
        <v>0</v>
      </c>
      <c r="AC32" s="498" t="n">
        <f aca="false">(INDEX(FC_FLUJO_CAJA!$D$39:$BK$39,1,AC$13)+INDEX(FC_FLUJO_CAJA!$D$40:$BK$40,1,AC$13))*IF(IFERROR(VALUE($D32&amp;""),0)&gt;0,IF(AC$14=MIN(VALUE($D32&amp;""),AC$15),1,0),IF($D32="Q",IF(AC$14=MIN(2,AC$15),0.5,0)+IF(AC$14=AC$15,0.5,0),IF($D32="U",IF(AC$14=AC$15,1,0),1/AC$15)))</f>
        <v>0</v>
      </c>
      <c r="AD32" s="498" t="n">
        <f aca="false">(INDEX(FC_FLUJO_CAJA!$D$39:$BK$39,1,AD$13)+INDEX(FC_FLUJO_CAJA!$D$40:$BK$40,1,AD$13))*IF(IFERROR(VALUE($D32&amp;""),0)&gt;0,IF(AD$14=MIN(VALUE($D32&amp;""),AD$15),1,0),IF($D32="Q",IF(AD$14=MIN(2,AD$15),0.5,0)+IF(AD$14=AD$15,0.5,0),IF($D32="U",IF(AD$14=AD$15,1,0),1/AD$15)))</f>
        <v>0</v>
      </c>
      <c r="AE32" s="498" t="n">
        <f aca="false">(INDEX(FC_FLUJO_CAJA!$D$39:$BK$39,1,AE$13)+INDEX(FC_FLUJO_CAJA!$D$40:$BK$40,1,AE$13))*IF(IFERROR(VALUE($D32&amp;""),0)&gt;0,IF(AE$14=MIN(VALUE($D32&amp;""),AE$15),1,0),IF($D32="Q",IF(AE$14=MIN(2,AE$15),0.5,0)+IF(AE$14=AE$15,0.5,0),IF($D32="U",IF(AE$14=AE$15,1,0),1/AE$15)))</f>
        <v>0</v>
      </c>
      <c r="AF32" s="498" t="n">
        <f aca="false">(INDEX(FC_FLUJO_CAJA!$D$39:$BK$39,1,AF$13)+INDEX(FC_FLUJO_CAJA!$D$40:$BK$40,1,AF$13))*IF(IFERROR(VALUE($D32&amp;""),0)&gt;0,IF(AF$14=MIN(VALUE($D32&amp;""),AF$15),1,0),IF($D32="Q",IF(AF$14=MIN(2,AF$15),0.5,0)+IF(AF$14=AF$15,0.5,0),IF($D32="U",IF(AF$14=AF$15,1,0),1/AF$15)))</f>
        <v>0</v>
      </c>
      <c r="AG32" s="498" t="n">
        <f aca="false">(INDEX(FC_FLUJO_CAJA!$D$39:$BK$39,1,AG$13)+INDEX(FC_FLUJO_CAJA!$D$40:$BK$40,1,AG$13))*IF(IFERROR(VALUE($D32&amp;""),0)&gt;0,IF(AG$14=MIN(VALUE($D32&amp;""),AG$15),1,0),IF($D32="Q",IF(AG$14=MIN(2,AG$15),0.5,0)+IF(AG$14=AG$15,0.5,0),IF($D32="U",IF(AG$14=AG$15,1,0),1/AG$15)))</f>
        <v>0</v>
      </c>
      <c r="AH32" s="498" t="n">
        <f aca="false">(INDEX(FC_FLUJO_CAJA!$D$39:$BK$39,1,AH$13)+INDEX(FC_FLUJO_CAJA!$D$40:$BK$40,1,AH$13))*IF(IFERROR(VALUE($D32&amp;""),0)&gt;0,IF(AH$14=MIN(VALUE($D32&amp;""),AH$15),1,0),IF($D32="Q",IF(AH$14=MIN(2,AH$15),0.5,0)+IF(AH$14=AH$15,0.5,0),IF($D32="U",IF(AH$14=AH$15,1,0),1/AH$15)))</f>
        <v>0</v>
      </c>
      <c r="AI32" s="498" t="n">
        <f aca="false">(INDEX(FC_FLUJO_CAJA!$D$39:$BK$39,1,AI$13)+INDEX(FC_FLUJO_CAJA!$D$40:$BK$40,1,AI$13))*IF(IFERROR(VALUE($D32&amp;""),0)&gt;0,IF(AI$14=MIN(VALUE($D32&amp;""),AI$15),1,0),IF($D32="Q",IF(AI$14=MIN(2,AI$15),0.5,0)+IF(AI$14=AI$15,0.5,0),IF($D32="U",IF(AI$14=AI$15,1,0),1/AI$15)))</f>
        <v>0</v>
      </c>
      <c r="AJ32" s="498" t="n">
        <f aca="false">(INDEX(FC_FLUJO_CAJA!$D$39:$BK$39,1,AJ$13)+INDEX(FC_FLUJO_CAJA!$D$40:$BK$40,1,AJ$13))*IF(IFERROR(VALUE($D32&amp;""),0)&gt;0,IF(AJ$14=MIN(VALUE($D32&amp;""),AJ$15),1,0),IF($D32="Q",IF(AJ$14=MIN(2,AJ$15),0.5,0)+IF(AJ$14=AJ$15,0.5,0),IF($D32="U",IF(AJ$14=AJ$15,1,0),1/AJ$15)))</f>
        <v>0</v>
      </c>
      <c r="AK32" s="498" t="n">
        <f aca="false">(INDEX(FC_FLUJO_CAJA!$D$39:$BK$39,1,AK$13)+INDEX(FC_FLUJO_CAJA!$D$40:$BK$40,1,AK$13))*IF(IFERROR(VALUE($D32&amp;""),0)&gt;0,IF(AK$14=MIN(VALUE($D32&amp;""),AK$15),1,0),IF($D32="Q",IF(AK$14=MIN(2,AK$15),0.5,0)+IF(AK$14=AK$15,0.5,0),IF($D32="U",IF(AK$14=AK$15,1,0),1/AK$15)))</f>
        <v>0</v>
      </c>
      <c r="AL32" s="498" t="n">
        <f aca="false">(INDEX(FC_FLUJO_CAJA!$D$39:$BK$39,1,AL$13)+INDEX(FC_FLUJO_CAJA!$D$40:$BK$40,1,AL$13))*IF(IFERROR(VALUE($D32&amp;""),0)&gt;0,IF(AL$14=MIN(VALUE($D32&amp;""),AL$15),1,0),IF($D32="Q",IF(AL$14=MIN(2,AL$15),0.5,0)+IF(AL$14=AL$15,0.5,0),IF($D32="U",IF(AL$14=AL$15,1,0),1/AL$15)))</f>
        <v>0</v>
      </c>
      <c r="AM32" s="498" t="n">
        <f aca="false">(INDEX(FC_FLUJO_CAJA!$D$39:$BK$39,1,AM$13)+INDEX(FC_FLUJO_CAJA!$D$40:$BK$40,1,AM$13))*IF(IFERROR(VALUE($D32&amp;""),0)&gt;0,IF(AM$14=MIN(VALUE($D32&amp;""),AM$15),1,0),IF($D32="Q",IF(AM$14=MIN(2,AM$15),0.5,0)+IF(AM$14=AM$15,0.5,0),IF($D32="U",IF(AM$14=AM$15,1,0),1/AM$15)))</f>
        <v>0</v>
      </c>
      <c r="AN32" s="498" t="n">
        <f aca="false">(INDEX(FC_FLUJO_CAJA!$D$39:$BK$39,1,AN$13)+INDEX(FC_FLUJO_CAJA!$D$40:$BK$40,1,AN$13))*IF(IFERROR(VALUE($D32&amp;""),0)&gt;0,IF(AN$14=MIN(VALUE($D32&amp;""),AN$15),1,0),IF($D32="Q",IF(AN$14=MIN(2,AN$15),0.5,0)+IF(AN$14=AN$15,0.5,0),IF($D32="U",IF(AN$14=AN$15,1,0),1/AN$15)))</f>
        <v>0</v>
      </c>
      <c r="AO32" s="498" t="n">
        <f aca="false">(INDEX(FC_FLUJO_CAJA!$D$39:$BK$39,1,AO$13)+INDEX(FC_FLUJO_CAJA!$D$40:$BK$40,1,AO$13))*IF(IFERROR(VALUE($D32&amp;""),0)&gt;0,IF(AO$14=MIN(VALUE($D32&amp;""),AO$15),1,0),IF($D32="Q",IF(AO$14=MIN(2,AO$15),0.5,0)+IF(AO$14=AO$15,0.5,0),IF($D32="U",IF(AO$14=AO$15,1,0),1/AO$15)))</f>
        <v>0</v>
      </c>
      <c r="AP32" s="498" t="n">
        <f aca="false">(INDEX(FC_FLUJO_CAJA!$D$39:$BK$39,1,AP$13)+INDEX(FC_FLUJO_CAJA!$D$40:$BK$40,1,AP$13))*IF(IFERROR(VALUE($D32&amp;""),0)&gt;0,IF(AP$14=MIN(VALUE($D32&amp;""),AP$15),1,0),IF($D32="Q",IF(AP$14=MIN(2,AP$15),0.5,0)+IF(AP$14=AP$15,0.5,0),IF($D32="U",IF(AP$14=AP$15,1,0),1/AP$15)))</f>
        <v>0</v>
      </c>
      <c r="AQ32" s="498" t="n">
        <f aca="false">(INDEX(FC_FLUJO_CAJA!$D$39:$BK$39,1,AQ$13)+INDEX(FC_FLUJO_CAJA!$D$40:$BK$40,1,AQ$13))*IF(IFERROR(VALUE($D32&amp;""),0)&gt;0,IF(AQ$14=MIN(VALUE($D32&amp;""),AQ$15),1,0),IF($D32="Q",IF(AQ$14=MIN(2,AQ$15),0.5,0)+IF(AQ$14=AQ$15,0.5,0),IF($D32="U",IF(AQ$14=AQ$15,1,0),1/AQ$15)))</f>
        <v>0</v>
      </c>
      <c r="AR32" s="498" t="n">
        <f aca="false">(INDEX(FC_FLUJO_CAJA!$D$39:$BK$39,1,AR$13)+INDEX(FC_FLUJO_CAJA!$D$40:$BK$40,1,AR$13))*IF(IFERROR(VALUE($D32&amp;""),0)&gt;0,IF(AR$14=MIN(VALUE($D32&amp;""),AR$15),1,0),IF($D32="Q",IF(AR$14=MIN(2,AR$15),0.5,0)+IF(AR$14=AR$15,0.5,0),IF($D32="U",IF(AR$14=AR$15,1,0),1/AR$15)))</f>
        <v>0</v>
      </c>
      <c r="AS32" s="498" t="n">
        <f aca="false">(INDEX(FC_FLUJO_CAJA!$D$39:$BK$39,1,AS$13)+INDEX(FC_FLUJO_CAJA!$D$40:$BK$40,1,AS$13))*IF(IFERROR(VALUE($D32&amp;""),0)&gt;0,IF(AS$14=MIN(VALUE($D32&amp;""),AS$15),1,0),IF($D32="Q",IF(AS$14=MIN(2,AS$15),0.5,0)+IF(AS$14=AS$15,0.5,0),IF($D32="U",IF(AS$14=AS$15,1,0),1/AS$15)))</f>
        <v>0</v>
      </c>
      <c r="AT32" s="498" t="n">
        <f aca="false">(INDEX(FC_FLUJO_CAJA!$D$39:$BK$39,1,AT$13)+INDEX(FC_FLUJO_CAJA!$D$40:$BK$40,1,AT$13))*IF(IFERROR(VALUE($D32&amp;""),0)&gt;0,IF(AT$14=MIN(VALUE($D32&amp;""),AT$15),1,0),IF($D32="Q",IF(AT$14=MIN(2,AT$15),0.5,0)+IF(AT$14=AT$15,0.5,0),IF($D32="U",IF(AT$14=AT$15,1,0),1/AT$15)))</f>
        <v>0</v>
      </c>
      <c r="AU32" s="498" t="n">
        <f aca="false">(INDEX(FC_FLUJO_CAJA!$D$39:$BK$39,1,AU$13)+INDEX(FC_FLUJO_CAJA!$D$40:$BK$40,1,AU$13))*IF(IFERROR(VALUE($D32&amp;""),0)&gt;0,IF(AU$14=MIN(VALUE($D32&amp;""),AU$15),1,0),IF($D32="Q",IF(AU$14=MIN(2,AU$15),0.5,0)+IF(AU$14=AU$15,0.5,0),IF($D32="U",IF(AU$14=AU$15,1,0),1/AU$15)))</f>
        <v>0</v>
      </c>
      <c r="AV32" s="498" t="n">
        <f aca="false">(INDEX(FC_FLUJO_CAJA!$D$39:$BK$39,1,AV$13)+INDEX(FC_FLUJO_CAJA!$D$40:$BK$40,1,AV$13))*IF(IFERROR(VALUE($D32&amp;""),0)&gt;0,IF(AV$14=MIN(VALUE($D32&amp;""),AV$15),1,0),IF($D32="Q",IF(AV$14=MIN(2,AV$15),0.5,0)+IF(AV$14=AV$15,0.5,0),IF($D32="U",IF(AV$14=AV$15,1,0),1/AV$15)))</f>
        <v>0</v>
      </c>
      <c r="AW32" s="498" t="n">
        <f aca="false">(INDEX(FC_FLUJO_CAJA!$D$39:$BK$39,1,AW$13)+INDEX(FC_FLUJO_CAJA!$D$40:$BK$40,1,AW$13))*IF(IFERROR(VALUE($D32&amp;""),0)&gt;0,IF(AW$14=MIN(VALUE($D32&amp;""),AW$15),1,0),IF($D32="Q",IF(AW$14=MIN(2,AW$15),0.5,0)+IF(AW$14=AW$15,0.5,0),IF($D32="U",IF(AW$14=AW$15,1,0),1/AW$15)))</f>
        <v>0</v>
      </c>
      <c r="AX32" s="498" t="n">
        <f aca="false">(INDEX(FC_FLUJO_CAJA!$D$39:$BK$39,1,AX$13)+INDEX(FC_FLUJO_CAJA!$D$40:$BK$40,1,AX$13))*IF(IFERROR(VALUE($D32&amp;""),0)&gt;0,IF(AX$14=MIN(VALUE($D32&amp;""),AX$15),1,0),IF($D32="Q",IF(AX$14=MIN(2,AX$15),0.5,0)+IF(AX$14=AX$15,0.5,0),IF($D32="U",IF(AX$14=AX$15,1,0),1/AX$15)))</f>
        <v>0</v>
      </c>
      <c r="AY32" s="498" t="n">
        <f aca="false">(INDEX(FC_FLUJO_CAJA!$D$39:$BK$39,1,AY$13)+INDEX(FC_FLUJO_CAJA!$D$40:$BK$40,1,AY$13))*IF(IFERROR(VALUE($D32&amp;""),0)&gt;0,IF(AY$14=MIN(VALUE($D32&amp;""),AY$15),1,0),IF($D32="Q",IF(AY$14=MIN(2,AY$15),0.5,0)+IF(AY$14=AY$15,0.5,0),IF($D32="U",IF(AY$14=AY$15,1,0),1/AY$15)))</f>
        <v>0</v>
      </c>
      <c r="AZ32" s="498" t="n">
        <f aca="false">(INDEX(FC_FLUJO_CAJA!$D$39:$BK$39,1,AZ$13)+INDEX(FC_FLUJO_CAJA!$D$40:$BK$40,1,AZ$13))*IF(IFERROR(VALUE($D32&amp;""),0)&gt;0,IF(AZ$14=MIN(VALUE($D32&amp;""),AZ$15),1,0),IF($D32="Q",IF(AZ$14=MIN(2,AZ$15),0.5,0)+IF(AZ$14=AZ$15,0.5,0),IF($D32="U",IF(AZ$14=AZ$15,1,0),1/AZ$15)))</f>
        <v>0</v>
      </c>
      <c r="BA32" s="498" t="n">
        <f aca="false">(INDEX(FC_FLUJO_CAJA!$D$39:$BK$39,1,BA$13)+INDEX(FC_FLUJO_CAJA!$D$40:$BK$40,1,BA$13))*IF(IFERROR(VALUE($D32&amp;""),0)&gt;0,IF(BA$14=MIN(VALUE($D32&amp;""),BA$15),1,0),IF($D32="Q",IF(BA$14=MIN(2,BA$15),0.5,0)+IF(BA$14=BA$15,0.5,0),IF($D32="U",IF(BA$14=BA$15,1,0),1/BA$15)))</f>
        <v>0</v>
      </c>
      <c r="BB32" s="498" t="n">
        <f aca="false">(INDEX(FC_FLUJO_CAJA!$D$39:$BK$39,1,BB$13)+INDEX(FC_FLUJO_CAJA!$D$40:$BK$40,1,BB$13))*IF(IFERROR(VALUE($D32&amp;""),0)&gt;0,IF(BB$14=MIN(VALUE($D32&amp;""),BB$15),1,0),IF($D32="Q",IF(BB$14=MIN(2,BB$15),0.5,0)+IF(BB$14=BB$15,0.5,0),IF($D32="U",IF(BB$14=BB$15,1,0),1/BB$15)))</f>
        <v>0</v>
      </c>
      <c r="BC32" s="498" t="n">
        <f aca="false">(INDEX(FC_FLUJO_CAJA!$D$39:$BK$39,1,BC$13)+INDEX(FC_FLUJO_CAJA!$D$40:$BK$40,1,BC$13))*IF(IFERROR(VALUE($D32&amp;""),0)&gt;0,IF(BC$14=MIN(VALUE($D32&amp;""),BC$15),1,0),IF($D32="Q",IF(BC$14=MIN(2,BC$15),0.5,0)+IF(BC$14=BC$15,0.5,0),IF($D32="U",IF(BC$14=BC$15,1,0),1/BC$15)))</f>
        <v>0</v>
      </c>
      <c r="BD32" s="498" t="n">
        <f aca="false">(INDEX(FC_FLUJO_CAJA!$D$39:$BK$39,1,BD$13)+INDEX(FC_FLUJO_CAJA!$D$40:$BK$40,1,BD$13))*IF(IFERROR(VALUE($D32&amp;""),0)&gt;0,IF(BD$14=MIN(VALUE($D32&amp;""),BD$15),1,0),IF($D32="Q",IF(BD$14=MIN(2,BD$15),0.5,0)+IF(BD$14=BD$15,0.5,0),IF($D32="U",IF(BD$14=BD$15,1,0),1/BD$15)))</f>
        <v>0</v>
      </c>
      <c r="BE32" s="498" t="n">
        <f aca="false">(INDEX(FC_FLUJO_CAJA!$D$39:$BK$39,1,BE$13)+INDEX(FC_FLUJO_CAJA!$D$40:$BK$40,1,BE$13))*IF(IFERROR(VALUE($D32&amp;""),0)&gt;0,IF(BE$14=MIN(VALUE($D32&amp;""),BE$15),1,0),IF($D32="Q",IF(BE$14=MIN(2,BE$15),0.5,0)+IF(BE$14=BE$15,0.5,0),IF($D32="U",IF(BE$14=BE$15,1,0),1/BE$15)))</f>
        <v>0</v>
      </c>
    </row>
    <row r="33" customFormat="false" ht="15" hidden="false" customHeight="true" outlineLevel="0" collapsed="false">
      <c r="A33" s="281" t="s">
        <v>3115</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row>
    <row r="34" customFormat="false" ht="15" hidden="false" customHeight="true" outlineLevel="0" collapsed="false">
      <c r="A34" s="400" t="s">
        <v>3116</v>
      </c>
      <c r="B34" s="283" t="s">
        <v>3117</v>
      </c>
      <c r="C34" s="531" t="s">
        <v>3118</v>
      </c>
      <c r="D34" s="289" t="n">
        <f aca="false">FC_SUPUESTOS!$C$137</f>
        <v>1</v>
      </c>
      <c r="E34" s="532" t="n">
        <f aca="false">SUM(F34:BE34)</f>
        <v>79981.1071101617</v>
      </c>
      <c r="F34" s="498" t="n">
        <f aca="false">INDEX(FC_FLUJO_CAJA!$D$44:$BK$44,1,F$13)*IF(IFERROR(VALUE($D34&amp;""),0)&gt;0,IF(F$14=MIN(VALUE($D34&amp;""),F$15),1,0),IF($D34="Q",IF(F$14=MIN(2,F$15),0.5,0)+IF(F$14=F$15,0.5,0),IF($D34="U",IF(F$14=F$15,1,0),1/F$15)))</f>
        <v>79981.1071101617</v>
      </c>
      <c r="G34" s="498" t="n">
        <f aca="false">INDEX(FC_FLUJO_CAJA!$D$44:$BK$44,1,G$13)*IF(IFERROR(VALUE($D34&amp;""),0)&gt;0,IF(G$14=MIN(VALUE($D34&amp;""),G$15),1,0),IF($D34="Q",IF(G$14=MIN(2,G$15),0.5,0)+IF(G$14=G$15,0.5,0),IF($D34="U",IF(G$14=G$15,1,0),1/G$15)))</f>
        <v>0</v>
      </c>
      <c r="H34" s="498" t="n">
        <f aca="false">INDEX(FC_FLUJO_CAJA!$D$44:$BK$44,1,H$13)*IF(IFERROR(VALUE($D34&amp;""),0)&gt;0,IF(H$14=MIN(VALUE($D34&amp;""),H$15),1,0),IF($D34="Q",IF(H$14=MIN(2,H$15),0.5,0)+IF(H$14=H$15,0.5,0),IF($D34="U",IF(H$14=H$15,1,0),1/H$15)))</f>
        <v>0</v>
      </c>
      <c r="I34" s="498" t="n">
        <f aca="false">INDEX(FC_FLUJO_CAJA!$D$44:$BK$44,1,I$13)*IF(IFERROR(VALUE($D34&amp;""),0)&gt;0,IF(I$14=MIN(VALUE($D34&amp;""),I$15),1,0),IF($D34="Q",IF(I$14=MIN(2,I$15),0.5,0)+IF(I$14=I$15,0.5,0),IF($D34="U",IF(I$14=I$15,1,0),1/I$15)))</f>
        <v>0</v>
      </c>
      <c r="J34" s="498" t="n">
        <f aca="false">INDEX(FC_FLUJO_CAJA!$D$44:$BK$44,1,J$13)*IF(IFERROR(VALUE($D34&amp;""),0)&gt;0,IF(J$14=MIN(VALUE($D34&amp;""),J$15),1,0),IF($D34="Q",IF(J$14=MIN(2,J$15),0.5,0)+IF(J$14=J$15,0.5,0),IF($D34="U",IF(J$14=J$15,1,0),1/J$15)))</f>
        <v>0</v>
      </c>
      <c r="K34" s="498" t="n">
        <f aca="false">INDEX(FC_FLUJO_CAJA!$D$44:$BK$44,1,K$13)*IF(IFERROR(VALUE($D34&amp;""),0)&gt;0,IF(K$14=MIN(VALUE($D34&amp;""),K$15),1,0),IF($D34="Q",IF(K$14=MIN(2,K$15),0.5,0)+IF(K$14=K$15,0.5,0),IF($D34="U",IF(K$14=K$15,1,0),1/K$15)))</f>
        <v>0</v>
      </c>
      <c r="L34" s="498" t="n">
        <f aca="false">INDEX(FC_FLUJO_CAJA!$D$44:$BK$44,1,L$13)*IF(IFERROR(VALUE($D34&amp;""),0)&gt;0,IF(L$14=MIN(VALUE($D34&amp;""),L$15),1,0),IF($D34="Q",IF(L$14=MIN(2,L$15),0.5,0)+IF(L$14=L$15,0.5,0),IF($D34="U",IF(L$14=L$15,1,0),1/L$15)))</f>
        <v>0</v>
      </c>
      <c r="M34" s="498" t="n">
        <f aca="false">INDEX(FC_FLUJO_CAJA!$D$44:$BK$44,1,M$13)*IF(IFERROR(VALUE($D34&amp;""),0)&gt;0,IF(M$14=MIN(VALUE($D34&amp;""),M$15),1,0),IF($D34="Q",IF(M$14=MIN(2,M$15),0.5,0)+IF(M$14=M$15,0.5,0),IF($D34="U",IF(M$14=M$15,1,0),1/M$15)))</f>
        <v>0</v>
      </c>
      <c r="N34" s="498" t="n">
        <f aca="false">INDEX(FC_FLUJO_CAJA!$D$44:$BK$44,1,N$13)*IF(IFERROR(VALUE($D34&amp;""),0)&gt;0,IF(N$14=MIN(VALUE($D34&amp;""),N$15),1,0),IF($D34="Q",IF(N$14=MIN(2,N$15),0.5,0)+IF(N$14=N$15,0.5,0),IF($D34="U",IF(N$14=N$15,1,0),1/N$15)))</f>
        <v>0</v>
      </c>
      <c r="O34" s="498" t="n">
        <f aca="false">INDEX(FC_FLUJO_CAJA!$D$44:$BK$44,1,O$13)*IF(IFERROR(VALUE($D34&amp;""),0)&gt;0,IF(O$14=MIN(VALUE($D34&amp;""),O$15),1,0),IF($D34="Q",IF(O$14=MIN(2,O$15),0.5,0)+IF(O$14=O$15,0.5,0),IF($D34="U",IF(O$14=O$15,1,0),1/O$15)))</f>
        <v>0</v>
      </c>
      <c r="P34" s="498" t="n">
        <f aca="false">INDEX(FC_FLUJO_CAJA!$D$44:$BK$44,1,P$13)*IF(IFERROR(VALUE($D34&amp;""),0)&gt;0,IF(P$14=MIN(VALUE($D34&amp;""),P$15),1,0),IF($D34="Q",IF(P$14=MIN(2,P$15),0.5,0)+IF(P$14=P$15,0.5,0),IF($D34="U",IF(P$14=P$15,1,0),1/P$15)))</f>
        <v>0</v>
      </c>
      <c r="Q34" s="498" t="n">
        <f aca="false">INDEX(FC_FLUJO_CAJA!$D$44:$BK$44,1,Q$13)*IF(IFERROR(VALUE($D34&amp;""),0)&gt;0,IF(Q$14=MIN(VALUE($D34&amp;""),Q$15),1,0),IF($D34="Q",IF(Q$14=MIN(2,Q$15),0.5,0)+IF(Q$14=Q$15,0.5,0),IF($D34="U",IF(Q$14=Q$15,1,0),1/Q$15)))</f>
        <v>0</v>
      </c>
      <c r="R34" s="498" t="n">
        <f aca="false">INDEX(FC_FLUJO_CAJA!$D$44:$BK$44,1,R$13)*IF(IFERROR(VALUE($D34&amp;""),0)&gt;0,IF(R$14=MIN(VALUE($D34&amp;""),R$15),1,0),IF($D34="Q",IF(R$14=MIN(2,R$15),0.5,0)+IF(R$14=R$15,0.5,0),IF($D34="U",IF(R$14=R$15,1,0),1/R$15)))</f>
        <v>0</v>
      </c>
      <c r="S34" s="498" t="n">
        <f aca="false">INDEX(FC_FLUJO_CAJA!$D$44:$BK$44,1,S$13)*IF(IFERROR(VALUE($D34&amp;""),0)&gt;0,IF(S$14=MIN(VALUE($D34&amp;""),S$15),1,0),IF($D34="Q",IF(S$14=MIN(2,S$15),0.5,0)+IF(S$14=S$15,0.5,0),IF($D34="U",IF(S$14=S$15,1,0),1/S$15)))</f>
        <v>0</v>
      </c>
      <c r="T34" s="498" t="n">
        <f aca="false">INDEX(FC_FLUJO_CAJA!$D$44:$BK$44,1,T$13)*IF(IFERROR(VALUE($D34&amp;""),0)&gt;0,IF(T$14=MIN(VALUE($D34&amp;""),T$15),1,0),IF($D34="Q",IF(T$14=MIN(2,T$15),0.5,0)+IF(T$14=T$15,0.5,0),IF($D34="U",IF(T$14=T$15,1,0),1/T$15)))</f>
        <v>0</v>
      </c>
      <c r="U34" s="498" t="n">
        <f aca="false">INDEX(FC_FLUJO_CAJA!$D$44:$BK$44,1,U$13)*IF(IFERROR(VALUE($D34&amp;""),0)&gt;0,IF(U$14=MIN(VALUE($D34&amp;""),U$15),1,0),IF($D34="Q",IF(U$14=MIN(2,U$15),0.5,0)+IF(U$14=U$15,0.5,0),IF($D34="U",IF(U$14=U$15,1,0),1/U$15)))</f>
        <v>0</v>
      </c>
      <c r="V34" s="498" t="n">
        <f aca="false">INDEX(FC_FLUJO_CAJA!$D$44:$BK$44,1,V$13)*IF(IFERROR(VALUE($D34&amp;""),0)&gt;0,IF(V$14=MIN(VALUE($D34&amp;""),V$15),1,0),IF($D34="Q",IF(V$14=MIN(2,V$15),0.5,0)+IF(V$14=V$15,0.5,0),IF($D34="U",IF(V$14=V$15,1,0),1/V$15)))</f>
        <v>0</v>
      </c>
      <c r="W34" s="498" t="n">
        <f aca="false">INDEX(FC_FLUJO_CAJA!$D$44:$BK$44,1,W$13)*IF(IFERROR(VALUE($D34&amp;""),0)&gt;0,IF(W$14=MIN(VALUE($D34&amp;""),W$15),1,0),IF($D34="Q",IF(W$14=MIN(2,W$15),0.5,0)+IF(W$14=W$15,0.5,0),IF($D34="U",IF(W$14=W$15,1,0),1/W$15)))</f>
        <v>0</v>
      </c>
      <c r="X34" s="498" t="n">
        <f aca="false">INDEX(FC_FLUJO_CAJA!$D$44:$BK$44,1,X$13)*IF(IFERROR(VALUE($D34&amp;""),0)&gt;0,IF(X$14=MIN(VALUE($D34&amp;""),X$15),1,0),IF($D34="Q",IF(X$14=MIN(2,X$15),0.5,0)+IF(X$14=X$15,0.5,0),IF($D34="U",IF(X$14=X$15,1,0),1/X$15)))</f>
        <v>0</v>
      </c>
      <c r="Y34" s="498" t="n">
        <f aca="false">INDEX(FC_FLUJO_CAJA!$D$44:$BK$44,1,Y$13)*IF(IFERROR(VALUE($D34&amp;""),0)&gt;0,IF(Y$14=MIN(VALUE($D34&amp;""),Y$15),1,0),IF($D34="Q",IF(Y$14=MIN(2,Y$15),0.5,0)+IF(Y$14=Y$15,0.5,0),IF($D34="U",IF(Y$14=Y$15,1,0),1/Y$15)))</f>
        <v>0</v>
      </c>
      <c r="Z34" s="498" t="n">
        <f aca="false">INDEX(FC_FLUJO_CAJA!$D$44:$BK$44,1,Z$13)*IF(IFERROR(VALUE($D34&amp;""),0)&gt;0,IF(Z$14=MIN(VALUE($D34&amp;""),Z$15),1,0),IF($D34="Q",IF(Z$14=MIN(2,Z$15),0.5,0)+IF(Z$14=Z$15,0.5,0),IF($D34="U",IF(Z$14=Z$15,1,0),1/Z$15)))</f>
        <v>0</v>
      </c>
      <c r="AA34" s="498" t="n">
        <f aca="false">INDEX(FC_FLUJO_CAJA!$D$44:$BK$44,1,AA$13)*IF(IFERROR(VALUE($D34&amp;""),0)&gt;0,IF(AA$14=MIN(VALUE($D34&amp;""),AA$15),1,0),IF($D34="Q",IF(AA$14=MIN(2,AA$15),0.5,0)+IF(AA$14=AA$15,0.5,0),IF($D34="U",IF(AA$14=AA$15,1,0),1/AA$15)))</f>
        <v>0</v>
      </c>
      <c r="AB34" s="498" t="n">
        <f aca="false">INDEX(FC_FLUJO_CAJA!$D$44:$BK$44,1,AB$13)*IF(IFERROR(VALUE($D34&amp;""),0)&gt;0,IF(AB$14=MIN(VALUE($D34&amp;""),AB$15),1,0),IF($D34="Q",IF(AB$14=MIN(2,AB$15),0.5,0)+IF(AB$14=AB$15,0.5,0),IF($D34="U",IF(AB$14=AB$15,1,0),1/AB$15)))</f>
        <v>0</v>
      </c>
      <c r="AC34" s="498" t="n">
        <f aca="false">INDEX(FC_FLUJO_CAJA!$D$44:$BK$44,1,AC$13)*IF(IFERROR(VALUE($D34&amp;""),0)&gt;0,IF(AC$14=MIN(VALUE($D34&amp;""),AC$15),1,0),IF($D34="Q",IF(AC$14=MIN(2,AC$15),0.5,0)+IF(AC$14=AC$15,0.5,0),IF($D34="U",IF(AC$14=AC$15,1,0),1/AC$15)))</f>
        <v>0</v>
      </c>
      <c r="AD34" s="498" t="n">
        <f aca="false">INDEX(FC_FLUJO_CAJA!$D$44:$BK$44,1,AD$13)*IF(IFERROR(VALUE($D34&amp;""),0)&gt;0,IF(AD$14=MIN(VALUE($D34&amp;""),AD$15),1,0),IF($D34="Q",IF(AD$14=MIN(2,AD$15),0.5,0)+IF(AD$14=AD$15,0.5,0),IF($D34="U",IF(AD$14=AD$15,1,0),1/AD$15)))</f>
        <v>0</v>
      </c>
      <c r="AE34" s="498" t="n">
        <f aca="false">INDEX(FC_FLUJO_CAJA!$D$44:$BK$44,1,AE$13)*IF(IFERROR(VALUE($D34&amp;""),0)&gt;0,IF(AE$14=MIN(VALUE($D34&amp;""),AE$15),1,0),IF($D34="Q",IF(AE$14=MIN(2,AE$15),0.5,0)+IF(AE$14=AE$15,0.5,0),IF($D34="U",IF(AE$14=AE$15,1,0),1/AE$15)))</f>
        <v>0</v>
      </c>
      <c r="AF34" s="498" t="n">
        <f aca="false">INDEX(FC_FLUJO_CAJA!$D$44:$BK$44,1,AF$13)*IF(IFERROR(VALUE($D34&amp;""),0)&gt;0,IF(AF$14=MIN(VALUE($D34&amp;""),AF$15),1,0),IF($D34="Q",IF(AF$14=MIN(2,AF$15),0.5,0)+IF(AF$14=AF$15,0.5,0),IF($D34="U",IF(AF$14=AF$15,1,0),1/AF$15)))</f>
        <v>0</v>
      </c>
      <c r="AG34" s="498" t="n">
        <f aca="false">INDEX(FC_FLUJO_CAJA!$D$44:$BK$44,1,AG$13)*IF(IFERROR(VALUE($D34&amp;""),0)&gt;0,IF(AG$14=MIN(VALUE($D34&amp;""),AG$15),1,0),IF($D34="Q",IF(AG$14=MIN(2,AG$15),0.5,0)+IF(AG$14=AG$15,0.5,0),IF($D34="U",IF(AG$14=AG$15,1,0),1/AG$15)))</f>
        <v>0</v>
      </c>
      <c r="AH34" s="498" t="n">
        <f aca="false">INDEX(FC_FLUJO_CAJA!$D$44:$BK$44,1,AH$13)*IF(IFERROR(VALUE($D34&amp;""),0)&gt;0,IF(AH$14=MIN(VALUE($D34&amp;""),AH$15),1,0),IF($D34="Q",IF(AH$14=MIN(2,AH$15),0.5,0)+IF(AH$14=AH$15,0.5,0),IF($D34="U",IF(AH$14=AH$15,1,0),1/AH$15)))</f>
        <v>0</v>
      </c>
      <c r="AI34" s="498" t="n">
        <f aca="false">INDEX(FC_FLUJO_CAJA!$D$44:$BK$44,1,AI$13)*IF(IFERROR(VALUE($D34&amp;""),0)&gt;0,IF(AI$14=MIN(VALUE($D34&amp;""),AI$15),1,0),IF($D34="Q",IF(AI$14=MIN(2,AI$15),0.5,0)+IF(AI$14=AI$15,0.5,0),IF($D34="U",IF(AI$14=AI$15,1,0),1/AI$15)))</f>
        <v>0</v>
      </c>
      <c r="AJ34" s="498" t="n">
        <f aca="false">INDEX(FC_FLUJO_CAJA!$D$44:$BK$44,1,AJ$13)*IF(IFERROR(VALUE($D34&amp;""),0)&gt;0,IF(AJ$14=MIN(VALUE($D34&amp;""),AJ$15),1,0),IF($D34="Q",IF(AJ$14=MIN(2,AJ$15),0.5,0)+IF(AJ$14=AJ$15,0.5,0),IF($D34="U",IF(AJ$14=AJ$15,1,0),1/AJ$15)))</f>
        <v>0</v>
      </c>
      <c r="AK34" s="498" t="n">
        <f aca="false">INDEX(FC_FLUJO_CAJA!$D$44:$BK$44,1,AK$13)*IF(IFERROR(VALUE($D34&amp;""),0)&gt;0,IF(AK$14=MIN(VALUE($D34&amp;""),AK$15),1,0),IF($D34="Q",IF(AK$14=MIN(2,AK$15),0.5,0)+IF(AK$14=AK$15,0.5,0),IF($D34="U",IF(AK$14=AK$15,1,0),1/AK$15)))</f>
        <v>0</v>
      </c>
      <c r="AL34" s="498" t="n">
        <f aca="false">INDEX(FC_FLUJO_CAJA!$D$44:$BK$44,1,AL$13)*IF(IFERROR(VALUE($D34&amp;""),0)&gt;0,IF(AL$14=MIN(VALUE($D34&amp;""),AL$15),1,0),IF($D34="Q",IF(AL$14=MIN(2,AL$15),0.5,0)+IF(AL$14=AL$15,0.5,0),IF($D34="U",IF(AL$14=AL$15,1,0),1/AL$15)))</f>
        <v>0</v>
      </c>
      <c r="AM34" s="498" t="n">
        <f aca="false">INDEX(FC_FLUJO_CAJA!$D$44:$BK$44,1,AM$13)*IF(IFERROR(VALUE($D34&amp;""),0)&gt;0,IF(AM$14=MIN(VALUE($D34&amp;""),AM$15),1,0),IF($D34="Q",IF(AM$14=MIN(2,AM$15),0.5,0)+IF(AM$14=AM$15,0.5,0),IF($D34="U",IF(AM$14=AM$15,1,0),1/AM$15)))</f>
        <v>0</v>
      </c>
      <c r="AN34" s="498" t="n">
        <f aca="false">INDEX(FC_FLUJO_CAJA!$D$44:$BK$44,1,AN$13)*IF(IFERROR(VALUE($D34&amp;""),0)&gt;0,IF(AN$14=MIN(VALUE($D34&amp;""),AN$15),1,0),IF($D34="Q",IF(AN$14=MIN(2,AN$15),0.5,0)+IF(AN$14=AN$15,0.5,0),IF($D34="U",IF(AN$14=AN$15,1,0),1/AN$15)))</f>
        <v>0</v>
      </c>
      <c r="AO34" s="498" t="n">
        <f aca="false">INDEX(FC_FLUJO_CAJA!$D$44:$BK$44,1,AO$13)*IF(IFERROR(VALUE($D34&amp;""),0)&gt;0,IF(AO$14=MIN(VALUE($D34&amp;""),AO$15),1,0),IF($D34="Q",IF(AO$14=MIN(2,AO$15),0.5,0)+IF(AO$14=AO$15,0.5,0),IF($D34="U",IF(AO$14=AO$15,1,0),1/AO$15)))</f>
        <v>0</v>
      </c>
      <c r="AP34" s="498" t="n">
        <f aca="false">INDEX(FC_FLUJO_CAJA!$D$44:$BK$44,1,AP$13)*IF(IFERROR(VALUE($D34&amp;""),0)&gt;0,IF(AP$14=MIN(VALUE($D34&amp;""),AP$15),1,0),IF($D34="Q",IF(AP$14=MIN(2,AP$15),0.5,0)+IF(AP$14=AP$15,0.5,0),IF($D34="U",IF(AP$14=AP$15,1,0),1/AP$15)))</f>
        <v>0</v>
      </c>
      <c r="AQ34" s="498" t="n">
        <f aca="false">INDEX(FC_FLUJO_CAJA!$D$44:$BK$44,1,AQ$13)*IF(IFERROR(VALUE($D34&amp;""),0)&gt;0,IF(AQ$14=MIN(VALUE($D34&amp;""),AQ$15),1,0),IF($D34="Q",IF(AQ$14=MIN(2,AQ$15),0.5,0)+IF(AQ$14=AQ$15,0.5,0),IF($D34="U",IF(AQ$14=AQ$15,1,0),1/AQ$15)))</f>
        <v>0</v>
      </c>
      <c r="AR34" s="498" t="n">
        <f aca="false">INDEX(FC_FLUJO_CAJA!$D$44:$BK$44,1,AR$13)*IF(IFERROR(VALUE($D34&amp;""),0)&gt;0,IF(AR$14=MIN(VALUE($D34&amp;""),AR$15),1,0),IF($D34="Q",IF(AR$14=MIN(2,AR$15),0.5,0)+IF(AR$14=AR$15,0.5,0),IF($D34="U",IF(AR$14=AR$15,1,0),1/AR$15)))</f>
        <v>0</v>
      </c>
      <c r="AS34" s="498" t="n">
        <f aca="false">INDEX(FC_FLUJO_CAJA!$D$44:$BK$44,1,AS$13)*IF(IFERROR(VALUE($D34&amp;""),0)&gt;0,IF(AS$14=MIN(VALUE($D34&amp;""),AS$15),1,0),IF($D34="Q",IF(AS$14=MIN(2,AS$15),0.5,0)+IF(AS$14=AS$15,0.5,0),IF($D34="U",IF(AS$14=AS$15,1,0),1/AS$15)))</f>
        <v>0</v>
      </c>
      <c r="AT34" s="498" t="n">
        <f aca="false">INDEX(FC_FLUJO_CAJA!$D$44:$BK$44,1,AT$13)*IF(IFERROR(VALUE($D34&amp;""),0)&gt;0,IF(AT$14=MIN(VALUE($D34&amp;""),AT$15),1,0),IF($D34="Q",IF(AT$14=MIN(2,AT$15),0.5,0)+IF(AT$14=AT$15,0.5,0),IF($D34="U",IF(AT$14=AT$15,1,0),1/AT$15)))</f>
        <v>0</v>
      </c>
      <c r="AU34" s="498" t="n">
        <f aca="false">INDEX(FC_FLUJO_CAJA!$D$44:$BK$44,1,AU$13)*IF(IFERROR(VALUE($D34&amp;""),0)&gt;0,IF(AU$14=MIN(VALUE($D34&amp;""),AU$15),1,0),IF($D34="Q",IF(AU$14=MIN(2,AU$15),0.5,0)+IF(AU$14=AU$15,0.5,0),IF($D34="U",IF(AU$14=AU$15,1,0),1/AU$15)))</f>
        <v>0</v>
      </c>
      <c r="AV34" s="498" t="n">
        <f aca="false">INDEX(FC_FLUJO_CAJA!$D$44:$BK$44,1,AV$13)*IF(IFERROR(VALUE($D34&amp;""),0)&gt;0,IF(AV$14=MIN(VALUE($D34&amp;""),AV$15),1,0),IF($D34="Q",IF(AV$14=MIN(2,AV$15),0.5,0)+IF(AV$14=AV$15,0.5,0),IF($D34="U",IF(AV$14=AV$15,1,0),1/AV$15)))</f>
        <v>0</v>
      </c>
      <c r="AW34" s="498" t="n">
        <f aca="false">INDEX(FC_FLUJO_CAJA!$D$44:$BK$44,1,AW$13)*IF(IFERROR(VALUE($D34&amp;""),0)&gt;0,IF(AW$14=MIN(VALUE($D34&amp;""),AW$15),1,0),IF($D34="Q",IF(AW$14=MIN(2,AW$15),0.5,0)+IF(AW$14=AW$15,0.5,0),IF($D34="U",IF(AW$14=AW$15,1,0),1/AW$15)))</f>
        <v>0</v>
      </c>
      <c r="AX34" s="498" t="n">
        <f aca="false">INDEX(FC_FLUJO_CAJA!$D$44:$BK$44,1,AX$13)*IF(IFERROR(VALUE($D34&amp;""),0)&gt;0,IF(AX$14=MIN(VALUE($D34&amp;""),AX$15),1,0),IF($D34="Q",IF(AX$14=MIN(2,AX$15),0.5,0)+IF(AX$14=AX$15,0.5,0),IF($D34="U",IF(AX$14=AX$15,1,0),1/AX$15)))</f>
        <v>0</v>
      </c>
      <c r="AY34" s="498" t="n">
        <f aca="false">INDEX(FC_FLUJO_CAJA!$D$44:$BK$44,1,AY$13)*IF(IFERROR(VALUE($D34&amp;""),0)&gt;0,IF(AY$14=MIN(VALUE($D34&amp;""),AY$15),1,0),IF($D34="Q",IF(AY$14=MIN(2,AY$15),0.5,0)+IF(AY$14=AY$15,0.5,0),IF($D34="U",IF(AY$14=AY$15,1,0),1/AY$15)))</f>
        <v>0</v>
      </c>
      <c r="AZ34" s="498" t="n">
        <f aca="false">INDEX(FC_FLUJO_CAJA!$D$44:$BK$44,1,AZ$13)*IF(IFERROR(VALUE($D34&amp;""),0)&gt;0,IF(AZ$14=MIN(VALUE($D34&amp;""),AZ$15),1,0),IF($D34="Q",IF(AZ$14=MIN(2,AZ$15),0.5,0)+IF(AZ$14=AZ$15,0.5,0),IF($D34="U",IF(AZ$14=AZ$15,1,0),1/AZ$15)))</f>
        <v>0</v>
      </c>
      <c r="BA34" s="498" t="n">
        <f aca="false">INDEX(FC_FLUJO_CAJA!$D$44:$BK$44,1,BA$13)*IF(IFERROR(VALUE($D34&amp;""),0)&gt;0,IF(BA$14=MIN(VALUE($D34&amp;""),BA$15),1,0),IF($D34="Q",IF(BA$14=MIN(2,BA$15),0.5,0)+IF(BA$14=BA$15,0.5,0),IF($D34="U",IF(BA$14=BA$15,1,0),1/BA$15)))</f>
        <v>0</v>
      </c>
      <c r="BB34" s="498" t="n">
        <f aca="false">INDEX(FC_FLUJO_CAJA!$D$44:$BK$44,1,BB$13)*IF(IFERROR(VALUE($D34&amp;""),0)&gt;0,IF(BB$14=MIN(VALUE($D34&amp;""),BB$15),1,0),IF($D34="Q",IF(BB$14=MIN(2,BB$15),0.5,0)+IF(BB$14=BB$15,0.5,0),IF($D34="U",IF(BB$14=BB$15,1,0),1/BB$15)))</f>
        <v>0</v>
      </c>
      <c r="BC34" s="498" t="n">
        <f aca="false">INDEX(FC_FLUJO_CAJA!$D$44:$BK$44,1,BC$13)*IF(IFERROR(VALUE($D34&amp;""),0)&gt;0,IF(BC$14=MIN(VALUE($D34&amp;""),BC$15),1,0),IF($D34="Q",IF(BC$14=MIN(2,BC$15),0.5,0)+IF(BC$14=BC$15,0.5,0),IF($D34="U",IF(BC$14=BC$15,1,0),1/BC$15)))</f>
        <v>0</v>
      </c>
      <c r="BD34" s="498" t="n">
        <f aca="false">INDEX(FC_FLUJO_CAJA!$D$44:$BK$44,1,BD$13)*IF(IFERROR(VALUE($D34&amp;""),0)&gt;0,IF(BD$14=MIN(VALUE($D34&amp;""),BD$15),1,0),IF($D34="Q",IF(BD$14=MIN(2,BD$15),0.5,0)+IF(BD$14=BD$15,0.5,0),IF($D34="U",IF(BD$14=BD$15,1,0),1/BD$15)))</f>
        <v>0</v>
      </c>
      <c r="BE34" s="498" t="n">
        <f aca="false">INDEX(FC_FLUJO_CAJA!$D$44:$BK$44,1,BE$13)*IF(IFERROR(VALUE($D34&amp;""),0)&gt;0,IF(BE$14=MIN(VALUE($D34&amp;""),BE$15),1,0),IF($D34="Q",IF(BE$14=MIN(2,BE$15),0.5,0)+IF(BE$14=BE$15,0.5,0),IF($D34="U",IF(BE$14=BE$15,1,0),1/BE$15)))</f>
        <v>0</v>
      </c>
    </row>
    <row r="35" customFormat="false" ht="15" hidden="false" customHeight="true" outlineLevel="0" collapsed="false">
      <c r="A35" s="400" t="s">
        <v>3119</v>
      </c>
      <c r="B35" s="283" t="s">
        <v>3120</v>
      </c>
      <c r="C35" s="531" t="s">
        <v>3118</v>
      </c>
      <c r="D35" s="289" t="n">
        <f aca="false">FC_SUPUESTOS!$C$138</f>
        <v>1</v>
      </c>
      <c r="E35" s="532" t="n">
        <f aca="false">SUM(F35:BE35)</f>
        <v>119971.660665243</v>
      </c>
      <c r="F35" s="498" t="n">
        <f aca="false">INDEX(FC_FLUJO_CAJA!$D$45:$BK$45,1,F$13)*IF(IFERROR(VALUE($D35&amp;""),0)&gt;0,IF(F$14=MIN(VALUE($D35&amp;""),F$15),1,0),IF($D35="Q",IF(F$14=MIN(2,F$15),0.5,0)+IF(F$14=F$15,0.5,0),IF($D35="U",IF(F$14=F$15,1,0),1/F$15)))</f>
        <v>0</v>
      </c>
      <c r="G35" s="498" t="n">
        <f aca="false">INDEX(FC_FLUJO_CAJA!$D$45:$BK$45,1,G$13)*IF(IFERROR(VALUE($D35&amp;""),0)&gt;0,IF(G$14=MIN(VALUE($D35&amp;""),G$15),1,0),IF($D35="Q",IF(G$14=MIN(2,G$15),0.5,0)+IF(G$14=G$15,0.5,0),IF($D35="U",IF(G$14=G$15,1,0),1/G$15)))</f>
        <v>0</v>
      </c>
      <c r="H35" s="498" t="n">
        <f aca="false">INDEX(FC_FLUJO_CAJA!$D$45:$BK$45,1,H$13)*IF(IFERROR(VALUE($D35&amp;""),0)&gt;0,IF(H$14=MIN(VALUE($D35&amp;""),H$15),1,0),IF($D35="Q",IF(H$14=MIN(2,H$15),0.5,0)+IF(H$14=H$15,0.5,0),IF($D35="U",IF(H$14=H$15,1,0),1/H$15)))</f>
        <v>0</v>
      </c>
      <c r="I35" s="498" t="n">
        <f aca="false">INDEX(FC_FLUJO_CAJA!$D$45:$BK$45,1,I$13)*IF(IFERROR(VALUE($D35&amp;""),0)&gt;0,IF(I$14=MIN(VALUE($D35&amp;""),I$15),1,0),IF($D35="Q",IF(I$14=MIN(2,I$15),0.5,0)+IF(I$14=I$15,0.5,0),IF($D35="U",IF(I$14=I$15,1,0),1/I$15)))</f>
        <v>0</v>
      </c>
      <c r="J35" s="498" t="n">
        <f aca="false">INDEX(FC_FLUJO_CAJA!$D$45:$BK$45,1,J$13)*IF(IFERROR(VALUE($D35&amp;""),0)&gt;0,IF(J$14=MIN(VALUE($D35&amp;""),J$15),1,0),IF($D35="Q",IF(J$14=MIN(2,J$15),0.5,0)+IF(J$14=J$15,0.5,0),IF($D35="U",IF(J$14=J$15,1,0),1/J$15)))</f>
        <v>0</v>
      </c>
      <c r="K35" s="498" t="n">
        <f aca="false">INDEX(FC_FLUJO_CAJA!$D$45:$BK$45,1,K$13)*IF(IFERROR(VALUE($D35&amp;""),0)&gt;0,IF(K$14=MIN(VALUE($D35&amp;""),K$15),1,0),IF($D35="Q",IF(K$14=MIN(2,K$15),0.5,0)+IF(K$14=K$15,0.5,0),IF($D35="U",IF(K$14=K$15,1,0),1/K$15)))</f>
        <v>0</v>
      </c>
      <c r="L35" s="498" t="n">
        <f aca="false">INDEX(FC_FLUJO_CAJA!$D$45:$BK$45,1,L$13)*IF(IFERROR(VALUE($D35&amp;""),0)&gt;0,IF(L$14=MIN(VALUE($D35&amp;""),L$15),1,0),IF($D35="Q",IF(L$14=MIN(2,L$15),0.5,0)+IF(L$14=L$15,0.5,0),IF($D35="U",IF(L$14=L$15,1,0),1/L$15)))</f>
        <v>0</v>
      </c>
      <c r="M35" s="498" t="n">
        <f aca="false">INDEX(FC_FLUJO_CAJA!$D$45:$BK$45,1,M$13)*IF(IFERROR(VALUE($D35&amp;""),0)&gt;0,IF(M$14=MIN(VALUE($D35&amp;""),M$15),1,0),IF($D35="Q",IF(M$14=MIN(2,M$15),0.5,0)+IF(M$14=M$15,0.5,0),IF($D35="U",IF(M$14=M$15,1,0),1/M$15)))</f>
        <v>0</v>
      </c>
      <c r="N35" s="498" t="n">
        <f aca="false">INDEX(FC_FLUJO_CAJA!$D$45:$BK$45,1,N$13)*IF(IFERROR(VALUE($D35&amp;""),0)&gt;0,IF(N$14=MIN(VALUE($D35&amp;""),N$15),1,0),IF($D35="Q",IF(N$14=MIN(2,N$15),0.5,0)+IF(N$14=N$15,0.5,0),IF($D35="U",IF(N$14=N$15,1,0),1/N$15)))</f>
        <v>0</v>
      </c>
      <c r="O35" s="498" t="n">
        <f aca="false">INDEX(FC_FLUJO_CAJA!$D$45:$BK$45,1,O$13)*IF(IFERROR(VALUE($D35&amp;""),0)&gt;0,IF(O$14=MIN(VALUE($D35&amp;""),O$15),1,0),IF($D35="Q",IF(O$14=MIN(2,O$15),0.5,0)+IF(O$14=O$15,0.5,0),IF($D35="U",IF(O$14=O$15,1,0),1/O$15)))</f>
        <v>0</v>
      </c>
      <c r="P35" s="498" t="n">
        <f aca="false">INDEX(FC_FLUJO_CAJA!$D$45:$BK$45,1,P$13)*IF(IFERROR(VALUE($D35&amp;""),0)&gt;0,IF(P$14=MIN(VALUE($D35&amp;""),P$15),1,0),IF($D35="Q",IF(P$14=MIN(2,P$15),0.5,0)+IF(P$14=P$15,0.5,0),IF($D35="U",IF(P$14=P$15,1,0),1/P$15)))</f>
        <v>0</v>
      </c>
      <c r="Q35" s="498" t="n">
        <f aca="false">INDEX(FC_FLUJO_CAJA!$D$45:$BK$45,1,Q$13)*IF(IFERROR(VALUE($D35&amp;""),0)&gt;0,IF(Q$14=MIN(VALUE($D35&amp;""),Q$15),1,0),IF($D35="Q",IF(Q$14=MIN(2,Q$15),0.5,0)+IF(Q$14=Q$15,0.5,0),IF($D35="U",IF(Q$14=Q$15,1,0),1/Q$15)))</f>
        <v>0</v>
      </c>
      <c r="R35" s="498" t="n">
        <f aca="false">INDEX(FC_FLUJO_CAJA!$D$45:$BK$45,1,R$13)*IF(IFERROR(VALUE($D35&amp;""),0)&gt;0,IF(R$14=MIN(VALUE($D35&amp;""),R$15),1,0),IF($D35="Q",IF(R$14=MIN(2,R$15),0.5,0)+IF(R$14=R$15,0.5,0),IF($D35="U",IF(R$14=R$15,1,0),1/R$15)))</f>
        <v>0</v>
      </c>
      <c r="S35" s="498" t="n">
        <f aca="false">INDEX(FC_FLUJO_CAJA!$D$45:$BK$45,1,S$13)*IF(IFERROR(VALUE($D35&amp;""),0)&gt;0,IF(S$14=MIN(VALUE($D35&amp;""),S$15),1,0),IF($D35="Q",IF(S$14=MIN(2,S$15),0.5,0)+IF(S$14=S$15,0.5,0),IF($D35="U",IF(S$14=S$15,1,0),1/S$15)))</f>
        <v>0</v>
      </c>
      <c r="T35" s="498" t="n">
        <f aca="false">INDEX(FC_FLUJO_CAJA!$D$45:$BK$45,1,T$13)*IF(IFERROR(VALUE($D35&amp;""),0)&gt;0,IF(T$14=MIN(VALUE($D35&amp;""),T$15),1,0),IF($D35="Q",IF(T$14=MIN(2,T$15),0.5,0)+IF(T$14=T$15,0.5,0),IF($D35="U",IF(T$14=T$15,1,0),1/T$15)))</f>
        <v>0</v>
      </c>
      <c r="U35" s="498" t="n">
        <f aca="false">INDEX(FC_FLUJO_CAJA!$D$45:$BK$45,1,U$13)*IF(IFERROR(VALUE($D35&amp;""),0)&gt;0,IF(U$14=MIN(VALUE($D35&amp;""),U$15),1,0),IF($D35="Q",IF(U$14=MIN(2,U$15),0.5,0)+IF(U$14=U$15,0.5,0),IF($D35="U",IF(U$14=U$15,1,0),1/U$15)))</f>
        <v>0</v>
      </c>
      <c r="V35" s="498" t="n">
        <f aca="false">INDEX(FC_FLUJO_CAJA!$D$45:$BK$45,1,V$13)*IF(IFERROR(VALUE($D35&amp;""),0)&gt;0,IF(V$14=MIN(VALUE($D35&amp;""),V$15),1,0),IF($D35="Q",IF(V$14=MIN(2,V$15),0.5,0)+IF(V$14=V$15,0.5,0),IF($D35="U",IF(V$14=V$15,1,0),1/V$15)))</f>
        <v>0</v>
      </c>
      <c r="W35" s="498" t="n">
        <f aca="false">INDEX(FC_FLUJO_CAJA!$D$45:$BK$45,1,W$13)*IF(IFERROR(VALUE($D35&amp;""),0)&gt;0,IF(W$14=MIN(VALUE($D35&amp;""),W$15),1,0),IF($D35="Q",IF(W$14=MIN(2,W$15),0.5,0)+IF(W$14=W$15,0.5,0),IF($D35="U",IF(W$14=W$15,1,0),1/W$15)))</f>
        <v>119971.660665243</v>
      </c>
      <c r="X35" s="498" t="n">
        <f aca="false">INDEX(FC_FLUJO_CAJA!$D$45:$BK$45,1,X$13)*IF(IFERROR(VALUE($D35&amp;""),0)&gt;0,IF(X$14=MIN(VALUE($D35&amp;""),X$15),1,0),IF($D35="Q",IF(X$14=MIN(2,X$15),0.5,0)+IF(X$14=X$15,0.5,0),IF($D35="U",IF(X$14=X$15,1,0),1/X$15)))</f>
        <v>0</v>
      </c>
      <c r="Y35" s="498" t="n">
        <f aca="false">INDEX(FC_FLUJO_CAJA!$D$45:$BK$45,1,Y$13)*IF(IFERROR(VALUE($D35&amp;""),0)&gt;0,IF(Y$14=MIN(VALUE($D35&amp;""),Y$15),1,0),IF($D35="Q",IF(Y$14=MIN(2,Y$15),0.5,0)+IF(Y$14=Y$15,0.5,0),IF($D35="U",IF(Y$14=Y$15,1,0),1/Y$15)))</f>
        <v>0</v>
      </c>
      <c r="Z35" s="498" t="n">
        <f aca="false">INDEX(FC_FLUJO_CAJA!$D$45:$BK$45,1,Z$13)*IF(IFERROR(VALUE($D35&amp;""),0)&gt;0,IF(Z$14=MIN(VALUE($D35&amp;""),Z$15),1,0),IF($D35="Q",IF(Z$14=MIN(2,Z$15),0.5,0)+IF(Z$14=Z$15,0.5,0),IF($D35="U",IF(Z$14=Z$15,1,0),1/Z$15)))</f>
        <v>0</v>
      </c>
      <c r="AA35" s="498" t="n">
        <f aca="false">INDEX(FC_FLUJO_CAJA!$D$45:$BK$45,1,AA$13)*IF(IFERROR(VALUE($D35&amp;""),0)&gt;0,IF(AA$14=MIN(VALUE($D35&amp;""),AA$15),1,0),IF($D35="Q",IF(AA$14=MIN(2,AA$15),0.5,0)+IF(AA$14=AA$15,0.5,0),IF($D35="U",IF(AA$14=AA$15,1,0),1/AA$15)))</f>
        <v>0</v>
      </c>
      <c r="AB35" s="498" t="n">
        <f aca="false">INDEX(FC_FLUJO_CAJA!$D$45:$BK$45,1,AB$13)*IF(IFERROR(VALUE($D35&amp;""),0)&gt;0,IF(AB$14=MIN(VALUE($D35&amp;""),AB$15),1,0),IF($D35="Q",IF(AB$14=MIN(2,AB$15),0.5,0)+IF(AB$14=AB$15,0.5,0),IF($D35="U",IF(AB$14=AB$15,1,0),1/AB$15)))</f>
        <v>0</v>
      </c>
      <c r="AC35" s="498" t="n">
        <f aca="false">INDEX(FC_FLUJO_CAJA!$D$45:$BK$45,1,AC$13)*IF(IFERROR(VALUE($D35&amp;""),0)&gt;0,IF(AC$14=MIN(VALUE($D35&amp;""),AC$15),1,0),IF($D35="Q",IF(AC$14=MIN(2,AC$15),0.5,0)+IF(AC$14=AC$15,0.5,0),IF($D35="U",IF(AC$14=AC$15,1,0),1/AC$15)))</f>
        <v>0</v>
      </c>
      <c r="AD35" s="498" t="n">
        <f aca="false">INDEX(FC_FLUJO_CAJA!$D$45:$BK$45,1,AD$13)*IF(IFERROR(VALUE($D35&amp;""),0)&gt;0,IF(AD$14=MIN(VALUE($D35&amp;""),AD$15),1,0),IF($D35="Q",IF(AD$14=MIN(2,AD$15),0.5,0)+IF(AD$14=AD$15,0.5,0),IF($D35="U",IF(AD$14=AD$15,1,0),1/AD$15)))</f>
        <v>0</v>
      </c>
      <c r="AE35" s="498" t="n">
        <f aca="false">INDEX(FC_FLUJO_CAJA!$D$45:$BK$45,1,AE$13)*IF(IFERROR(VALUE($D35&amp;""),0)&gt;0,IF(AE$14=MIN(VALUE($D35&amp;""),AE$15),1,0),IF($D35="Q",IF(AE$14=MIN(2,AE$15),0.5,0)+IF(AE$14=AE$15,0.5,0),IF($D35="U",IF(AE$14=AE$15,1,0),1/AE$15)))</f>
        <v>0</v>
      </c>
      <c r="AF35" s="498" t="n">
        <f aca="false">INDEX(FC_FLUJO_CAJA!$D$45:$BK$45,1,AF$13)*IF(IFERROR(VALUE($D35&amp;""),0)&gt;0,IF(AF$14=MIN(VALUE($D35&amp;""),AF$15),1,0),IF($D35="Q",IF(AF$14=MIN(2,AF$15),0.5,0)+IF(AF$14=AF$15,0.5,0),IF($D35="U",IF(AF$14=AF$15,1,0),1/AF$15)))</f>
        <v>0</v>
      </c>
      <c r="AG35" s="498" t="n">
        <f aca="false">INDEX(FC_FLUJO_CAJA!$D$45:$BK$45,1,AG$13)*IF(IFERROR(VALUE($D35&amp;""),0)&gt;0,IF(AG$14=MIN(VALUE($D35&amp;""),AG$15),1,0),IF($D35="Q",IF(AG$14=MIN(2,AG$15),0.5,0)+IF(AG$14=AG$15,0.5,0),IF($D35="U",IF(AG$14=AG$15,1,0),1/AG$15)))</f>
        <v>0</v>
      </c>
      <c r="AH35" s="498" t="n">
        <f aca="false">INDEX(FC_FLUJO_CAJA!$D$45:$BK$45,1,AH$13)*IF(IFERROR(VALUE($D35&amp;""),0)&gt;0,IF(AH$14=MIN(VALUE($D35&amp;""),AH$15),1,0),IF($D35="Q",IF(AH$14=MIN(2,AH$15),0.5,0)+IF(AH$14=AH$15,0.5,0),IF($D35="U",IF(AH$14=AH$15,1,0),1/AH$15)))</f>
        <v>0</v>
      </c>
      <c r="AI35" s="498" t="n">
        <f aca="false">INDEX(FC_FLUJO_CAJA!$D$45:$BK$45,1,AI$13)*IF(IFERROR(VALUE($D35&amp;""),0)&gt;0,IF(AI$14=MIN(VALUE($D35&amp;""),AI$15),1,0),IF($D35="Q",IF(AI$14=MIN(2,AI$15),0.5,0)+IF(AI$14=AI$15,0.5,0),IF($D35="U",IF(AI$14=AI$15,1,0),1/AI$15)))</f>
        <v>0</v>
      </c>
      <c r="AJ35" s="498" t="n">
        <f aca="false">INDEX(FC_FLUJO_CAJA!$D$45:$BK$45,1,AJ$13)*IF(IFERROR(VALUE($D35&amp;""),0)&gt;0,IF(AJ$14=MIN(VALUE($D35&amp;""),AJ$15),1,0),IF($D35="Q",IF(AJ$14=MIN(2,AJ$15),0.5,0)+IF(AJ$14=AJ$15,0.5,0),IF($D35="U",IF(AJ$14=AJ$15,1,0),1/AJ$15)))</f>
        <v>0</v>
      </c>
      <c r="AK35" s="498" t="n">
        <f aca="false">INDEX(FC_FLUJO_CAJA!$D$45:$BK$45,1,AK$13)*IF(IFERROR(VALUE($D35&amp;""),0)&gt;0,IF(AK$14=MIN(VALUE($D35&amp;""),AK$15),1,0),IF($D35="Q",IF(AK$14=MIN(2,AK$15),0.5,0)+IF(AK$14=AK$15,0.5,0),IF($D35="U",IF(AK$14=AK$15,1,0),1/AK$15)))</f>
        <v>0</v>
      </c>
      <c r="AL35" s="498" t="n">
        <f aca="false">INDEX(FC_FLUJO_CAJA!$D$45:$BK$45,1,AL$13)*IF(IFERROR(VALUE($D35&amp;""),0)&gt;0,IF(AL$14=MIN(VALUE($D35&amp;""),AL$15),1,0),IF($D35="Q",IF(AL$14=MIN(2,AL$15),0.5,0)+IF(AL$14=AL$15,0.5,0),IF($D35="U",IF(AL$14=AL$15,1,0),1/AL$15)))</f>
        <v>0</v>
      </c>
      <c r="AM35" s="498" t="n">
        <f aca="false">INDEX(FC_FLUJO_CAJA!$D$45:$BK$45,1,AM$13)*IF(IFERROR(VALUE($D35&amp;""),0)&gt;0,IF(AM$14=MIN(VALUE($D35&amp;""),AM$15),1,0),IF($D35="Q",IF(AM$14=MIN(2,AM$15),0.5,0)+IF(AM$14=AM$15,0.5,0),IF($D35="U",IF(AM$14=AM$15,1,0),1/AM$15)))</f>
        <v>0</v>
      </c>
      <c r="AN35" s="498" t="n">
        <f aca="false">INDEX(FC_FLUJO_CAJA!$D$45:$BK$45,1,AN$13)*IF(IFERROR(VALUE($D35&amp;""),0)&gt;0,IF(AN$14=MIN(VALUE($D35&amp;""),AN$15),1,0),IF($D35="Q",IF(AN$14=MIN(2,AN$15),0.5,0)+IF(AN$14=AN$15,0.5,0),IF($D35="U",IF(AN$14=AN$15,1,0),1/AN$15)))</f>
        <v>0</v>
      </c>
      <c r="AO35" s="498" t="n">
        <f aca="false">INDEX(FC_FLUJO_CAJA!$D$45:$BK$45,1,AO$13)*IF(IFERROR(VALUE($D35&amp;""),0)&gt;0,IF(AO$14=MIN(VALUE($D35&amp;""),AO$15),1,0),IF($D35="Q",IF(AO$14=MIN(2,AO$15),0.5,0)+IF(AO$14=AO$15,0.5,0),IF($D35="U",IF(AO$14=AO$15,1,0),1/AO$15)))</f>
        <v>0</v>
      </c>
      <c r="AP35" s="498" t="n">
        <f aca="false">INDEX(FC_FLUJO_CAJA!$D$45:$BK$45,1,AP$13)*IF(IFERROR(VALUE($D35&amp;""),0)&gt;0,IF(AP$14=MIN(VALUE($D35&amp;""),AP$15),1,0),IF($D35="Q",IF(AP$14=MIN(2,AP$15),0.5,0)+IF(AP$14=AP$15,0.5,0),IF($D35="U",IF(AP$14=AP$15,1,0),1/AP$15)))</f>
        <v>0</v>
      </c>
      <c r="AQ35" s="498" t="n">
        <f aca="false">INDEX(FC_FLUJO_CAJA!$D$45:$BK$45,1,AQ$13)*IF(IFERROR(VALUE($D35&amp;""),0)&gt;0,IF(AQ$14=MIN(VALUE($D35&amp;""),AQ$15),1,0),IF($D35="Q",IF(AQ$14=MIN(2,AQ$15),0.5,0)+IF(AQ$14=AQ$15,0.5,0),IF($D35="U",IF(AQ$14=AQ$15,1,0),1/AQ$15)))</f>
        <v>0</v>
      </c>
      <c r="AR35" s="498" t="n">
        <f aca="false">INDEX(FC_FLUJO_CAJA!$D$45:$BK$45,1,AR$13)*IF(IFERROR(VALUE($D35&amp;""),0)&gt;0,IF(AR$14=MIN(VALUE($D35&amp;""),AR$15),1,0),IF($D35="Q",IF(AR$14=MIN(2,AR$15),0.5,0)+IF(AR$14=AR$15,0.5,0),IF($D35="U",IF(AR$14=AR$15,1,0),1/AR$15)))</f>
        <v>0</v>
      </c>
      <c r="AS35" s="498" t="n">
        <f aca="false">INDEX(FC_FLUJO_CAJA!$D$45:$BK$45,1,AS$13)*IF(IFERROR(VALUE($D35&amp;""),0)&gt;0,IF(AS$14=MIN(VALUE($D35&amp;""),AS$15),1,0),IF($D35="Q",IF(AS$14=MIN(2,AS$15),0.5,0)+IF(AS$14=AS$15,0.5,0),IF($D35="U",IF(AS$14=AS$15,1,0),1/AS$15)))</f>
        <v>0</v>
      </c>
      <c r="AT35" s="498" t="n">
        <f aca="false">INDEX(FC_FLUJO_CAJA!$D$45:$BK$45,1,AT$13)*IF(IFERROR(VALUE($D35&amp;""),0)&gt;0,IF(AT$14=MIN(VALUE($D35&amp;""),AT$15),1,0),IF($D35="Q",IF(AT$14=MIN(2,AT$15),0.5,0)+IF(AT$14=AT$15,0.5,0),IF($D35="U",IF(AT$14=AT$15,1,0),1/AT$15)))</f>
        <v>0</v>
      </c>
      <c r="AU35" s="498" t="n">
        <f aca="false">INDEX(FC_FLUJO_CAJA!$D$45:$BK$45,1,AU$13)*IF(IFERROR(VALUE($D35&amp;""),0)&gt;0,IF(AU$14=MIN(VALUE($D35&amp;""),AU$15),1,0),IF($D35="Q",IF(AU$14=MIN(2,AU$15),0.5,0)+IF(AU$14=AU$15,0.5,0),IF($D35="U",IF(AU$14=AU$15,1,0),1/AU$15)))</f>
        <v>0</v>
      </c>
      <c r="AV35" s="498" t="n">
        <f aca="false">INDEX(FC_FLUJO_CAJA!$D$45:$BK$45,1,AV$13)*IF(IFERROR(VALUE($D35&amp;""),0)&gt;0,IF(AV$14=MIN(VALUE($D35&amp;""),AV$15),1,0),IF($D35="Q",IF(AV$14=MIN(2,AV$15),0.5,0)+IF(AV$14=AV$15,0.5,0),IF($D35="U",IF(AV$14=AV$15,1,0),1/AV$15)))</f>
        <v>0</v>
      </c>
      <c r="AW35" s="498" t="n">
        <f aca="false">INDEX(FC_FLUJO_CAJA!$D$45:$BK$45,1,AW$13)*IF(IFERROR(VALUE($D35&amp;""),0)&gt;0,IF(AW$14=MIN(VALUE($D35&amp;""),AW$15),1,0),IF($D35="Q",IF(AW$14=MIN(2,AW$15),0.5,0)+IF(AW$14=AW$15,0.5,0),IF($D35="U",IF(AW$14=AW$15,1,0),1/AW$15)))</f>
        <v>0</v>
      </c>
      <c r="AX35" s="498" t="n">
        <f aca="false">INDEX(FC_FLUJO_CAJA!$D$45:$BK$45,1,AX$13)*IF(IFERROR(VALUE($D35&amp;""),0)&gt;0,IF(AX$14=MIN(VALUE($D35&amp;""),AX$15),1,0),IF($D35="Q",IF(AX$14=MIN(2,AX$15),0.5,0)+IF(AX$14=AX$15,0.5,0),IF($D35="U",IF(AX$14=AX$15,1,0),1/AX$15)))</f>
        <v>0</v>
      </c>
      <c r="AY35" s="498" t="n">
        <f aca="false">INDEX(FC_FLUJO_CAJA!$D$45:$BK$45,1,AY$13)*IF(IFERROR(VALUE($D35&amp;""),0)&gt;0,IF(AY$14=MIN(VALUE($D35&amp;""),AY$15),1,0),IF($D35="Q",IF(AY$14=MIN(2,AY$15),0.5,0)+IF(AY$14=AY$15,0.5,0),IF($D35="U",IF(AY$14=AY$15,1,0),1/AY$15)))</f>
        <v>0</v>
      </c>
      <c r="AZ35" s="498" t="n">
        <f aca="false">INDEX(FC_FLUJO_CAJA!$D$45:$BK$45,1,AZ$13)*IF(IFERROR(VALUE($D35&amp;""),0)&gt;0,IF(AZ$14=MIN(VALUE($D35&amp;""),AZ$15),1,0),IF($D35="Q",IF(AZ$14=MIN(2,AZ$15),0.5,0)+IF(AZ$14=AZ$15,0.5,0),IF($D35="U",IF(AZ$14=AZ$15,1,0),1/AZ$15)))</f>
        <v>0</v>
      </c>
      <c r="BA35" s="498" t="n">
        <f aca="false">INDEX(FC_FLUJO_CAJA!$D$45:$BK$45,1,BA$13)*IF(IFERROR(VALUE($D35&amp;""),0)&gt;0,IF(BA$14=MIN(VALUE($D35&amp;""),BA$15),1,0),IF($D35="Q",IF(BA$14=MIN(2,BA$15),0.5,0)+IF(BA$14=BA$15,0.5,0),IF($D35="U",IF(BA$14=BA$15,1,0),1/BA$15)))</f>
        <v>0</v>
      </c>
      <c r="BB35" s="498" t="n">
        <f aca="false">INDEX(FC_FLUJO_CAJA!$D$45:$BK$45,1,BB$13)*IF(IFERROR(VALUE($D35&amp;""),0)&gt;0,IF(BB$14=MIN(VALUE($D35&amp;""),BB$15),1,0),IF($D35="Q",IF(BB$14=MIN(2,BB$15),0.5,0)+IF(BB$14=BB$15,0.5,0),IF($D35="U",IF(BB$14=BB$15,1,0),1/BB$15)))</f>
        <v>0</v>
      </c>
      <c r="BC35" s="498" t="n">
        <f aca="false">INDEX(FC_FLUJO_CAJA!$D$45:$BK$45,1,BC$13)*IF(IFERROR(VALUE($D35&amp;""),0)&gt;0,IF(BC$14=MIN(VALUE($D35&amp;""),BC$15),1,0),IF($D35="Q",IF(BC$14=MIN(2,BC$15),0.5,0)+IF(BC$14=BC$15,0.5,0),IF($D35="U",IF(BC$14=BC$15,1,0),1/BC$15)))</f>
        <v>0</v>
      </c>
      <c r="BD35" s="498" t="n">
        <f aca="false">INDEX(FC_FLUJO_CAJA!$D$45:$BK$45,1,BD$13)*IF(IFERROR(VALUE($D35&amp;""),0)&gt;0,IF(BD$14=MIN(VALUE($D35&amp;""),BD$15),1,0),IF($D35="Q",IF(BD$14=MIN(2,BD$15),0.5,0)+IF(BD$14=BD$15,0.5,0),IF($D35="U",IF(BD$14=BD$15,1,0),1/BD$15)))</f>
        <v>0</v>
      </c>
      <c r="BE35" s="498" t="n">
        <f aca="false">INDEX(FC_FLUJO_CAJA!$D$45:$BK$45,1,BE$13)*IF(IFERROR(VALUE($D35&amp;""),0)&gt;0,IF(BE$14=MIN(VALUE($D35&amp;""),BE$15),1,0),IF($D35="Q",IF(BE$14=MIN(2,BE$15),0.5,0)+IF(BE$14=BE$15,0.5,0),IF($D35="U",IF(BE$14=BE$15,1,0),1/BE$15)))</f>
        <v>0</v>
      </c>
    </row>
    <row r="36" customFormat="false" ht="15" hidden="false" customHeight="true" outlineLevel="0" collapsed="false">
      <c r="A36" s="400" t="s">
        <v>3121</v>
      </c>
      <c r="B36" s="283" t="s">
        <v>2945</v>
      </c>
      <c r="C36" s="531" t="s">
        <v>3122</v>
      </c>
      <c r="D36" s="289" t="n">
        <f aca="false">FC_SUPUESTOS!$C$139</f>
        <v>1</v>
      </c>
      <c r="E36" s="532" t="n">
        <f aca="false">SUM(F36:BE36)</f>
        <v>25993.8598108026</v>
      </c>
      <c r="F36" s="498" t="n">
        <f aca="false">INDEX(FC_FLUJO_CAJA!$D$46:$BK$46,1,F$13)*IF(IFERROR(VALUE($D36&amp;""),0)&gt;0,IF(F$14=MIN(VALUE($D36&amp;""),F$15),1,0),IF($D36="Q",IF(F$14=MIN(2,F$15),0.5,0)+IF(F$14=F$15,0.5,0),IF($D36="U",IF(F$14=F$15,1,0),1/F$15)))</f>
        <v>0</v>
      </c>
      <c r="G36" s="498" t="n">
        <f aca="false">INDEX(FC_FLUJO_CAJA!$D$46:$BK$46,1,G$13)*IF(IFERROR(VALUE($D36&amp;""),0)&gt;0,IF(G$14=MIN(VALUE($D36&amp;""),G$15),1,0),IF($D36="Q",IF(G$14=MIN(2,G$15),0.5,0)+IF(G$14=G$15,0.5,0),IF($D36="U",IF(G$14=G$15,1,0),1/G$15)))</f>
        <v>0</v>
      </c>
      <c r="H36" s="498" t="n">
        <f aca="false">INDEX(FC_FLUJO_CAJA!$D$46:$BK$46,1,H$13)*IF(IFERROR(VALUE($D36&amp;""),0)&gt;0,IF(H$14=MIN(VALUE($D36&amp;""),H$15),1,0),IF($D36="Q",IF(H$14=MIN(2,H$15),0.5,0)+IF(H$14=H$15,0.5,0),IF($D36="U",IF(H$14=H$15,1,0),1/H$15)))</f>
        <v>0</v>
      </c>
      <c r="I36" s="498" t="n">
        <f aca="false">INDEX(FC_FLUJO_CAJA!$D$46:$BK$46,1,I$13)*IF(IFERROR(VALUE($D36&amp;""),0)&gt;0,IF(I$14=MIN(VALUE($D36&amp;""),I$15),1,0),IF($D36="Q",IF(I$14=MIN(2,I$15),0.5,0)+IF(I$14=I$15,0.5,0),IF($D36="U",IF(I$14=I$15,1,0),1/I$15)))</f>
        <v>0</v>
      </c>
      <c r="J36" s="498" t="n">
        <f aca="false">INDEX(FC_FLUJO_CAJA!$D$46:$BK$46,1,J$13)*IF(IFERROR(VALUE($D36&amp;""),0)&gt;0,IF(J$14=MIN(VALUE($D36&amp;""),J$15),1,0),IF($D36="Q",IF(J$14=MIN(2,J$15),0.5,0)+IF(J$14=J$15,0.5,0),IF($D36="U",IF(J$14=J$15,1,0),1/J$15)))</f>
        <v>0</v>
      </c>
      <c r="K36" s="498" t="n">
        <f aca="false">INDEX(FC_FLUJO_CAJA!$D$46:$BK$46,1,K$13)*IF(IFERROR(VALUE($D36&amp;""),0)&gt;0,IF(K$14=MIN(VALUE($D36&amp;""),K$15),1,0),IF($D36="Q",IF(K$14=MIN(2,K$15),0.5,0)+IF(K$14=K$15,0.5,0),IF($D36="U",IF(K$14=K$15,1,0),1/K$15)))</f>
        <v>0</v>
      </c>
      <c r="L36" s="498" t="n">
        <f aca="false">INDEX(FC_FLUJO_CAJA!$D$46:$BK$46,1,L$13)*IF(IFERROR(VALUE($D36&amp;""),0)&gt;0,IF(L$14=MIN(VALUE($D36&amp;""),L$15),1,0),IF($D36="Q",IF(L$14=MIN(2,L$15),0.5,0)+IF(L$14=L$15,0.5,0),IF($D36="U",IF(L$14=L$15,1,0),1/L$15)))</f>
        <v>0</v>
      </c>
      <c r="M36" s="498" t="n">
        <f aca="false">INDEX(FC_FLUJO_CAJA!$D$46:$BK$46,1,M$13)*IF(IFERROR(VALUE($D36&amp;""),0)&gt;0,IF(M$14=MIN(VALUE($D36&amp;""),M$15),1,0),IF($D36="Q",IF(M$14=MIN(2,M$15),0.5,0)+IF(M$14=M$15,0.5,0),IF($D36="U",IF(M$14=M$15,1,0),1/M$15)))</f>
        <v>0</v>
      </c>
      <c r="N36" s="498" t="n">
        <f aca="false">INDEX(FC_FLUJO_CAJA!$D$46:$BK$46,1,N$13)*IF(IFERROR(VALUE($D36&amp;""),0)&gt;0,IF(N$14=MIN(VALUE($D36&amp;""),N$15),1,0),IF($D36="Q",IF(N$14=MIN(2,N$15),0.5,0)+IF(N$14=N$15,0.5,0),IF($D36="U",IF(N$14=N$15,1,0),1/N$15)))</f>
        <v>0</v>
      </c>
      <c r="O36" s="498" t="n">
        <f aca="false">INDEX(FC_FLUJO_CAJA!$D$46:$BK$46,1,O$13)*IF(IFERROR(VALUE($D36&amp;""),0)&gt;0,IF(O$14=MIN(VALUE($D36&amp;""),O$15),1,0),IF($D36="Q",IF(O$14=MIN(2,O$15),0.5,0)+IF(O$14=O$15,0.5,0),IF($D36="U",IF(O$14=O$15,1,0),1/O$15)))</f>
        <v>0</v>
      </c>
      <c r="P36" s="498" t="n">
        <f aca="false">INDEX(FC_FLUJO_CAJA!$D$46:$BK$46,1,P$13)*IF(IFERROR(VALUE($D36&amp;""),0)&gt;0,IF(P$14=MIN(VALUE($D36&amp;""),P$15),1,0),IF($D36="Q",IF(P$14=MIN(2,P$15),0.5,0)+IF(P$14=P$15,0.5,0),IF($D36="U",IF(P$14=P$15,1,0),1/P$15)))</f>
        <v>0</v>
      </c>
      <c r="Q36" s="498" t="n">
        <f aca="false">INDEX(FC_FLUJO_CAJA!$D$46:$BK$46,1,Q$13)*IF(IFERROR(VALUE($D36&amp;""),0)&gt;0,IF(Q$14=MIN(VALUE($D36&amp;""),Q$15),1,0),IF($D36="Q",IF(Q$14=MIN(2,Q$15),0.5,0)+IF(Q$14=Q$15,0.5,0),IF($D36="U",IF(Q$14=Q$15,1,0),1/Q$15)))</f>
        <v>0</v>
      </c>
      <c r="R36" s="498" t="n">
        <f aca="false">INDEX(FC_FLUJO_CAJA!$D$46:$BK$46,1,R$13)*IF(IFERROR(VALUE($D36&amp;""),0)&gt;0,IF(R$14=MIN(VALUE($D36&amp;""),R$15),1,0),IF($D36="Q",IF(R$14=MIN(2,R$15),0.5,0)+IF(R$14=R$15,0.5,0),IF($D36="U",IF(R$14=R$15,1,0),1/R$15)))</f>
        <v>0</v>
      </c>
      <c r="S36" s="498" t="n">
        <f aca="false">INDEX(FC_FLUJO_CAJA!$D$46:$BK$46,1,S$13)*IF(IFERROR(VALUE($D36&amp;""),0)&gt;0,IF(S$14=MIN(VALUE($D36&amp;""),S$15),1,0),IF($D36="Q",IF(S$14=MIN(2,S$15),0.5,0)+IF(S$14=S$15,0.5,0),IF($D36="U",IF(S$14=S$15,1,0),1/S$15)))</f>
        <v>0</v>
      </c>
      <c r="T36" s="498" t="n">
        <f aca="false">INDEX(FC_FLUJO_CAJA!$D$46:$BK$46,1,T$13)*IF(IFERROR(VALUE($D36&amp;""),0)&gt;0,IF(T$14=MIN(VALUE($D36&amp;""),T$15),1,0),IF($D36="Q",IF(T$14=MIN(2,T$15),0.5,0)+IF(T$14=T$15,0.5,0),IF($D36="U",IF(T$14=T$15,1,0),1/T$15)))</f>
        <v>0</v>
      </c>
      <c r="U36" s="498" t="n">
        <f aca="false">INDEX(FC_FLUJO_CAJA!$D$46:$BK$46,1,U$13)*IF(IFERROR(VALUE($D36&amp;""),0)&gt;0,IF(U$14=MIN(VALUE($D36&amp;""),U$15),1,0),IF($D36="Q",IF(U$14=MIN(2,U$15),0.5,0)+IF(U$14=U$15,0.5,0),IF($D36="U",IF(U$14=U$15,1,0),1/U$15)))</f>
        <v>0</v>
      </c>
      <c r="V36" s="498" t="n">
        <f aca="false">INDEX(FC_FLUJO_CAJA!$D$46:$BK$46,1,V$13)*IF(IFERROR(VALUE($D36&amp;""),0)&gt;0,IF(V$14=MIN(VALUE($D36&amp;""),V$15),1,0),IF($D36="Q",IF(V$14=MIN(2,V$15),0.5,0)+IF(V$14=V$15,0.5,0),IF($D36="U",IF(V$14=V$15,1,0),1/V$15)))</f>
        <v>0</v>
      </c>
      <c r="W36" s="498" t="n">
        <f aca="false">INDEX(FC_FLUJO_CAJA!$D$46:$BK$46,1,W$13)*IF(IFERROR(VALUE($D36&amp;""),0)&gt;0,IF(W$14=MIN(VALUE($D36&amp;""),W$15),1,0),IF($D36="Q",IF(W$14=MIN(2,W$15),0.5,0)+IF(W$14=W$15,0.5,0),IF($D36="U",IF(W$14=W$15,1,0),1/W$15)))</f>
        <v>25993.8598108026</v>
      </c>
      <c r="X36" s="498" t="n">
        <f aca="false">INDEX(FC_FLUJO_CAJA!$D$46:$BK$46,1,X$13)*IF(IFERROR(VALUE($D36&amp;""),0)&gt;0,IF(X$14=MIN(VALUE($D36&amp;""),X$15),1,0),IF($D36="Q",IF(X$14=MIN(2,X$15),0.5,0)+IF(X$14=X$15,0.5,0),IF($D36="U",IF(X$14=X$15,1,0),1/X$15)))</f>
        <v>0</v>
      </c>
      <c r="Y36" s="498" t="n">
        <f aca="false">INDEX(FC_FLUJO_CAJA!$D$46:$BK$46,1,Y$13)*IF(IFERROR(VALUE($D36&amp;""),0)&gt;0,IF(Y$14=MIN(VALUE($D36&amp;""),Y$15),1,0),IF($D36="Q",IF(Y$14=MIN(2,Y$15),0.5,0)+IF(Y$14=Y$15,0.5,0),IF($D36="U",IF(Y$14=Y$15,1,0),1/Y$15)))</f>
        <v>0</v>
      </c>
      <c r="Z36" s="498" t="n">
        <f aca="false">INDEX(FC_FLUJO_CAJA!$D$46:$BK$46,1,Z$13)*IF(IFERROR(VALUE($D36&amp;""),0)&gt;0,IF(Z$14=MIN(VALUE($D36&amp;""),Z$15),1,0),IF($D36="Q",IF(Z$14=MIN(2,Z$15),0.5,0)+IF(Z$14=Z$15,0.5,0),IF($D36="U",IF(Z$14=Z$15,1,0),1/Z$15)))</f>
        <v>0</v>
      </c>
      <c r="AA36" s="498" t="n">
        <f aca="false">INDEX(FC_FLUJO_CAJA!$D$46:$BK$46,1,AA$13)*IF(IFERROR(VALUE($D36&amp;""),0)&gt;0,IF(AA$14=MIN(VALUE($D36&amp;""),AA$15),1,0),IF($D36="Q",IF(AA$14=MIN(2,AA$15),0.5,0)+IF(AA$14=AA$15,0.5,0),IF($D36="U",IF(AA$14=AA$15,1,0),1/AA$15)))</f>
        <v>0</v>
      </c>
      <c r="AB36" s="498" t="n">
        <f aca="false">INDEX(FC_FLUJO_CAJA!$D$46:$BK$46,1,AB$13)*IF(IFERROR(VALUE($D36&amp;""),0)&gt;0,IF(AB$14=MIN(VALUE($D36&amp;""),AB$15),1,0),IF($D36="Q",IF(AB$14=MIN(2,AB$15),0.5,0)+IF(AB$14=AB$15,0.5,0),IF($D36="U",IF(AB$14=AB$15,1,0),1/AB$15)))</f>
        <v>0</v>
      </c>
      <c r="AC36" s="498" t="n">
        <f aca="false">INDEX(FC_FLUJO_CAJA!$D$46:$BK$46,1,AC$13)*IF(IFERROR(VALUE($D36&amp;""),0)&gt;0,IF(AC$14=MIN(VALUE($D36&amp;""),AC$15),1,0),IF($D36="Q",IF(AC$14=MIN(2,AC$15),0.5,0)+IF(AC$14=AC$15,0.5,0),IF($D36="U",IF(AC$14=AC$15,1,0),1/AC$15)))</f>
        <v>0</v>
      </c>
      <c r="AD36" s="498" t="n">
        <f aca="false">INDEX(FC_FLUJO_CAJA!$D$46:$BK$46,1,AD$13)*IF(IFERROR(VALUE($D36&amp;""),0)&gt;0,IF(AD$14=MIN(VALUE($D36&amp;""),AD$15),1,0),IF($D36="Q",IF(AD$14=MIN(2,AD$15),0.5,0)+IF(AD$14=AD$15,0.5,0),IF($D36="U",IF(AD$14=AD$15,1,0),1/AD$15)))</f>
        <v>0</v>
      </c>
      <c r="AE36" s="498" t="n">
        <f aca="false">INDEX(FC_FLUJO_CAJA!$D$46:$BK$46,1,AE$13)*IF(IFERROR(VALUE($D36&amp;""),0)&gt;0,IF(AE$14=MIN(VALUE($D36&amp;""),AE$15),1,0),IF($D36="Q",IF(AE$14=MIN(2,AE$15),0.5,0)+IF(AE$14=AE$15,0.5,0),IF($D36="U",IF(AE$14=AE$15,1,0),1/AE$15)))</f>
        <v>0</v>
      </c>
      <c r="AF36" s="498" t="n">
        <f aca="false">INDEX(FC_FLUJO_CAJA!$D$46:$BK$46,1,AF$13)*IF(IFERROR(VALUE($D36&amp;""),0)&gt;0,IF(AF$14=MIN(VALUE($D36&amp;""),AF$15),1,0),IF($D36="Q",IF(AF$14=MIN(2,AF$15),0.5,0)+IF(AF$14=AF$15,0.5,0),IF($D36="U",IF(AF$14=AF$15,1,0),1/AF$15)))</f>
        <v>0</v>
      </c>
      <c r="AG36" s="498" t="n">
        <f aca="false">INDEX(FC_FLUJO_CAJA!$D$46:$BK$46,1,AG$13)*IF(IFERROR(VALUE($D36&amp;""),0)&gt;0,IF(AG$14=MIN(VALUE($D36&amp;""),AG$15),1,0),IF($D36="Q",IF(AG$14=MIN(2,AG$15),0.5,0)+IF(AG$14=AG$15,0.5,0),IF($D36="U",IF(AG$14=AG$15,1,0),1/AG$15)))</f>
        <v>0</v>
      </c>
      <c r="AH36" s="498" t="n">
        <f aca="false">INDEX(FC_FLUJO_CAJA!$D$46:$BK$46,1,AH$13)*IF(IFERROR(VALUE($D36&amp;""),0)&gt;0,IF(AH$14=MIN(VALUE($D36&amp;""),AH$15),1,0),IF($D36="Q",IF(AH$14=MIN(2,AH$15),0.5,0)+IF(AH$14=AH$15,0.5,0),IF($D36="U",IF(AH$14=AH$15,1,0),1/AH$15)))</f>
        <v>0</v>
      </c>
      <c r="AI36" s="498" t="n">
        <f aca="false">INDEX(FC_FLUJO_CAJA!$D$46:$BK$46,1,AI$13)*IF(IFERROR(VALUE($D36&amp;""),0)&gt;0,IF(AI$14=MIN(VALUE($D36&amp;""),AI$15),1,0),IF($D36="Q",IF(AI$14=MIN(2,AI$15),0.5,0)+IF(AI$14=AI$15,0.5,0),IF($D36="U",IF(AI$14=AI$15,1,0),1/AI$15)))</f>
        <v>0</v>
      </c>
      <c r="AJ36" s="498" t="n">
        <f aca="false">INDEX(FC_FLUJO_CAJA!$D$46:$BK$46,1,AJ$13)*IF(IFERROR(VALUE($D36&amp;""),0)&gt;0,IF(AJ$14=MIN(VALUE($D36&amp;""),AJ$15),1,0),IF($D36="Q",IF(AJ$14=MIN(2,AJ$15),0.5,0)+IF(AJ$14=AJ$15,0.5,0),IF($D36="U",IF(AJ$14=AJ$15,1,0),1/AJ$15)))</f>
        <v>0</v>
      </c>
      <c r="AK36" s="498" t="n">
        <f aca="false">INDEX(FC_FLUJO_CAJA!$D$46:$BK$46,1,AK$13)*IF(IFERROR(VALUE($D36&amp;""),0)&gt;0,IF(AK$14=MIN(VALUE($D36&amp;""),AK$15),1,0),IF($D36="Q",IF(AK$14=MIN(2,AK$15),0.5,0)+IF(AK$14=AK$15,0.5,0),IF($D36="U",IF(AK$14=AK$15,1,0),1/AK$15)))</f>
        <v>0</v>
      </c>
      <c r="AL36" s="498" t="n">
        <f aca="false">INDEX(FC_FLUJO_CAJA!$D$46:$BK$46,1,AL$13)*IF(IFERROR(VALUE($D36&amp;""),0)&gt;0,IF(AL$14=MIN(VALUE($D36&amp;""),AL$15),1,0),IF($D36="Q",IF(AL$14=MIN(2,AL$15),0.5,0)+IF(AL$14=AL$15,0.5,0),IF($D36="U",IF(AL$14=AL$15,1,0),1/AL$15)))</f>
        <v>0</v>
      </c>
      <c r="AM36" s="498" t="n">
        <f aca="false">INDEX(FC_FLUJO_CAJA!$D$46:$BK$46,1,AM$13)*IF(IFERROR(VALUE($D36&amp;""),0)&gt;0,IF(AM$14=MIN(VALUE($D36&amp;""),AM$15),1,0),IF($D36="Q",IF(AM$14=MIN(2,AM$15),0.5,0)+IF(AM$14=AM$15,0.5,0),IF($D36="U",IF(AM$14=AM$15,1,0),1/AM$15)))</f>
        <v>0</v>
      </c>
      <c r="AN36" s="498" t="n">
        <f aca="false">INDEX(FC_FLUJO_CAJA!$D$46:$BK$46,1,AN$13)*IF(IFERROR(VALUE($D36&amp;""),0)&gt;0,IF(AN$14=MIN(VALUE($D36&amp;""),AN$15),1,0),IF($D36="Q",IF(AN$14=MIN(2,AN$15),0.5,0)+IF(AN$14=AN$15,0.5,0),IF($D36="U",IF(AN$14=AN$15,1,0),1/AN$15)))</f>
        <v>0</v>
      </c>
      <c r="AO36" s="498" t="n">
        <f aca="false">INDEX(FC_FLUJO_CAJA!$D$46:$BK$46,1,AO$13)*IF(IFERROR(VALUE($D36&amp;""),0)&gt;0,IF(AO$14=MIN(VALUE($D36&amp;""),AO$15),1,0),IF($D36="Q",IF(AO$14=MIN(2,AO$15),0.5,0)+IF(AO$14=AO$15,0.5,0),IF($D36="U",IF(AO$14=AO$15,1,0),1/AO$15)))</f>
        <v>0</v>
      </c>
      <c r="AP36" s="498" t="n">
        <f aca="false">INDEX(FC_FLUJO_CAJA!$D$46:$BK$46,1,AP$13)*IF(IFERROR(VALUE($D36&amp;""),0)&gt;0,IF(AP$14=MIN(VALUE($D36&amp;""),AP$15),1,0),IF($D36="Q",IF(AP$14=MIN(2,AP$15),0.5,0)+IF(AP$14=AP$15,0.5,0),IF($D36="U",IF(AP$14=AP$15,1,0),1/AP$15)))</f>
        <v>0</v>
      </c>
      <c r="AQ36" s="498" t="n">
        <f aca="false">INDEX(FC_FLUJO_CAJA!$D$46:$BK$46,1,AQ$13)*IF(IFERROR(VALUE($D36&amp;""),0)&gt;0,IF(AQ$14=MIN(VALUE($D36&amp;""),AQ$15),1,0),IF($D36="Q",IF(AQ$14=MIN(2,AQ$15),0.5,0)+IF(AQ$14=AQ$15,0.5,0),IF($D36="U",IF(AQ$14=AQ$15,1,0),1/AQ$15)))</f>
        <v>0</v>
      </c>
      <c r="AR36" s="498" t="n">
        <f aca="false">INDEX(FC_FLUJO_CAJA!$D$46:$BK$46,1,AR$13)*IF(IFERROR(VALUE($D36&amp;""),0)&gt;0,IF(AR$14=MIN(VALUE($D36&amp;""),AR$15),1,0),IF($D36="Q",IF(AR$14=MIN(2,AR$15),0.5,0)+IF(AR$14=AR$15,0.5,0),IF($D36="U",IF(AR$14=AR$15,1,0),1/AR$15)))</f>
        <v>0</v>
      </c>
      <c r="AS36" s="498" t="n">
        <f aca="false">INDEX(FC_FLUJO_CAJA!$D$46:$BK$46,1,AS$13)*IF(IFERROR(VALUE($D36&amp;""),0)&gt;0,IF(AS$14=MIN(VALUE($D36&amp;""),AS$15),1,0),IF($D36="Q",IF(AS$14=MIN(2,AS$15),0.5,0)+IF(AS$14=AS$15,0.5,0),IF($D36="U",IF(AS$14=AS$15,1,0),1/AS$15)))</f>
        <v>0</v>
      </c>
      <c r="AT36" s="498" t="n">
        <f aca="false">INDEX(FC_FLUJO_CAJA!$D$46:$BK$46,1,AT$13)*IF(IFERROR(VALUE($D36&amp;""),0)&gt;0,IF(AT$14=MIN(VALUE($D36&amp;""),AT$15),1,0),IF($D36="Q",IF(AT$14=MIN(2,AT$15),0.5,0)+IF(AT$14=AT$15,0.5,0),IF($D36="U",IF(AT$14=AT$15,1,0),1/AT$15)))</f>
        <v>0</v>
      </c>
      <c r="AU36" s="498" t="n">
        <f aca="false">INDEX(FC_FLUJO_CAJA!$D$46:$BK$46,1,AU$13)*IF(IFERROR(VALUE($D36&amp;""),0)&gt;0,IF(AU$14=MIN(VALUE($D36&amp;""),AU$15),1,0),IF($D36="Q",IF(AU$14=MIN(2,AU$15),0.5,0)+IF(AU$14=AU$15,0.5,0),IF($D36="U",IF(AU$14=AU$15,1,0),1/AU$15)))</f>
        <v>0</v>
      </c>
      <c r="AV36" s="498" t="n">
        <f aca="false">INDEX(FC_FLUJO_CAJA!$D$46:$BK$46,1,AV$13)*IF(IFERROR(VALUE($D36&amp;""),0)&gt;0,IF(AV$14=MIN(VALUE($D36&amp;""),AV$15),1,0),IF($D36="Q",IF(AV$14=MIN(2,AV$15),0.5,0)+IF(AV$14=AV$15,0.5,0),IF($D36="U",IF(AV$14=AV$15,1,0),1/AV$15)))</f>
        <v>0</v>
      </c>
      <c r="AW36" s="498" t="n">
        <f aca="false">INDEX(FC_FLUJO_CAJA!$D$46:$BK$46,1,AW$13)*IF(IFERROR(VALUE($D36&amp;""),0)&gt;0,IF(AW$14=MIN(VALUE($D36&amp;""),AW$15),1,0),IF($D36="Q",IF(AW$14=MIN(2,AW$15),0.5,0)+IF(AW$14=AW$15,0.5,0),IF($D36="U",IF(AW$14=AW$15,1,0),1/AW$15)))</f>
        <v>0</v>
      </c>
      <c r="AX36" s="498" t="n">
        <f aca="false">INDEX(FC_FLUJO_CAJA!$D$46:$BK$46,1,AX$13)*IF(IFERROR(VALUE($D36&amp;""),0)&gt;0,IF(AX$14=MIN(VALUE($D36&amp;""),AX$15),1,0),IF($D36="Q",IF(AX$14=MIN(2,AX$15),0.5,0)+IF(AX$14=AX$15,0.5,0),IF($D36="U",IF(AX$14=AX$15,1,0),1/AX$15)))</f>
        <v>0</v>
      </c>
      <c r="AY36" s="498" t="n">
        <f aca="false">INDEX(FC_FLUJO_CAJA!$D$46:$BK$46,1,AY$13)*IF(IFERROR(VALUE($D36&amp;""),0)&gt;0,IF(AY$14=MIN(VALUE($D36&amp;""),AY$15),1,0),IF($D36="Q",IF(AY$14=MIN(2,AY$15),0.5,0)+IF(AY$14=AY$15,0.5,0),IF($D36="U",IF(AY$14=AY$15,1,0),1/AY$15)))</f>
        <v>0</v>
      </c>
      <c r="AZ36" s="498" t="n">
        <f aca="false">INDEX(FC_FLUJO_CAJA!$D$46:$BK$46,1,AZ$13)*IF(IFERROR(VALUE($D36&amp;""),0)&gt;0,IF(AZ$14=MIN(VALUE($D36&amp;""),AZ$15),1,0),IF($D36="Q",IF(AZ$14=MIN(2,AZ$15),0.5,0)+IF(AZ$14=AZ$15,0.5,0),IF($D36="U",IF(AZ$14=AZ$15,1,0),1/AZ$15)))</f>
        <v>0</v>
      </c>
      <c r="BA36" s="498" t="n">
        <f aca="false">INDEX(FC_FLUJO_CAJA!$D$46:$BK$46,1,BA$13)*IF(IFERROR(VALUE($D36&amp;""),0)&gt;0,IF(BA$14=MIN(VALUE($D36&amp;""),BA$15),1,0),IF($D36="Q",IF(BA$14=MIN(2,BA$15),0.5,0)+IF(BA$14=BA$15,0.5,0),IF($D36="U",IF(BA$14=BA$15,1,0),1/BA$15)))</f>
        <v>0</v>
      </c>
      <c r="BB36" s="498" t="n">
        <f aca="false">INDEX(FC_FLUJO_CAJA!$D$46:$BK$46,1,BB$13)*IF(IFERROR(VALUE($D36&amp;""),0)&gt;0,IF(BB$14=MIN(VALUE($D36&amp;""),BB$15),1,0),IF($D36="Q",IF(BB$14=MIN(2,BB$15),0.5,0)+IF(BB$14=BB$15,0.5,0),IF($D36="U",IF(BB$14=BB$15,1,0),1/BB$15)))</f>
        <v>0</v>
      </c>
      <c r="BC36" s="498" t="n">
        <f aca="false">INDEX(FC_FLUJO_CAJA!$D$46:$BK$46,1,BC$13)*IF(IFERROR(VALUE($D36&amp;""),0)&gt;0,IF(BC$14=MIN(VALUE($D36&amp;""),BC$15),1,0),IF($D36="Q",IF(BC$14=MIN(2,BC$15),0.5,0)+IF(BC$14=BC$15,0.5,0),IF($D36="U",IF(BC$14=BC$15,1,0),1/BC$15)))</f>
        <v>0</v>
      </c>
      <c r="BD36" s="498" t="n">
        <f aca="false">INDEX(FC_FLUJO_CAJA!$D$46:$BK$46,1,BD$13)*IF(IFERROR(VALUE($D36&amp;""),0)&gt;0,IF(BD$14=MIN(VALUE($D36&amp;""),BD$15),1,0),IF($D36="Q",IF(BD$14=MIN(2,BD$15),0.5,0)+IF(BD$14=BD$15,0.5,0),IF($D36="U",IF(BD$14=BD$15,1,0),1/BD$15)))</f>
        <v>0</v>
      </c>
      <c r="BE36" s="498" t="n">
        <f aca="false">INDEX(FC_FLUJO_CAJA!$D$46:$BK$46,1,BE$13)*IF(IFERROR(VALUE($D36&amp;""),0)&gt;0,IF(BE$14=MIN(VALUE($D36&amp;""),BE$15),1,0),IF($D36="Q",IF(BE$14=MIN(2,BE$15),0.5,0)+IF(BE$14=BE$15,0.5,0),IF($D36="U",IF(BE$14=BE$15,1,0),1/BE$15)))</f>
        <v>0</v>
      </c>
    </row>
    <row r="37" customFormat="false" ht="15" hidden="false" customHeight="true" outlineLevel="0" collapsed="false">
      <c r="A37" s="400" t="s">
        <v>3123</v>
      </c>
      <c r="B37" s="283" t="s">
        <v>3124</v>
      </c>
      <c r="C37" s="531" t="s">
        <v>3125</v>
      </c>
      <c r="D37" s="289" t="n">
        <f aca="false">FC_SUPUESTOS!$C$140</f>
        <v>2</v>
      </c>
      <c r="E37" s="532" t="n">
        <f aca="false">SUM(F37:BE37)</f>
        <v>101675.982413793</v>
      </c>
      <c r="F37" s="498" t="n">
        <f aca="false">INDEX(FC_FLUJO_CAJA!$D$47:$BK$47,1,F$13)*IF(IFERROR(VALUE($D37&amp;""),0)&gt;0,IF(F$14=MIN(VALUE($D37&amp;""),F$15),1,0),IF($D37="Q",IF(F$14=MIN(2,F$15),0.5,0)+IF(F$14=F$15,0.5,0),IF($D37="U",IF(F$14=F$15,1,0),1/F$15)))</f>
        <v>0</v>
      </c>
      <c r="G37" s="498" t="n">
        <f aca="false">INDEX(FC_FLUJO_CAJA!$D$47:$BK$47,1,G$13)*IF(IFERROR(VALUE($D37&amp;""),0)&gt;0,IF(G$14=MIN(VALUE($D37&amp;""),G$15),1,0),IF($D37="Q",IF(G$14=MIN(2,G$15),0.5,0)+IF(G$14=G$15,0.5,0),IF($D37="U",IF(G$14=G$15,1,0),1/G$15)))</f>
        <v>0</v>
      </c>
      <c r="H37" s="498" t="n">
        <f aca="false">INDEX(FC_FLUJO_CAJA!$D$47:$BK$47,1,H$13)*IF(IFERROR(VALUE($D37&amp;""),0)&gt;0,IF(H$14=MIN(VALUE($D37&amp;""),H$15),1,0),IF($D37="Q",IF(H$14=MIN(2,H$15),0.5,0)+IF(H$14=H$15,0.5,0),IF($D37="U",IF(H$14=H$15,1,0),1/H$15)))</f>
        <v>0</v>
      </c>
      <c r="I37" s="498" t="n">
        <f aca="false">INDEX(FC_FLUJO_CAJA!$D$47:$BK$47,1,I$13)*IF(IFERROR(VALUE($D37&amp;""),0)&gt;0,IF(I$14=MIN(VALUE($D37&amp;""),I$15),1,0),IF($D37="Q",IF(I$14=MIN(2,I$15),0.5,0)+IF(I$14=I$15,0.5,0),IF($D37="U",IF(I$14=I$15,1,0),1/I$15)))</f>
        <v>0</v>
      </c>
      <c r="J37" s="498" t="n">
        <f aca="false">INDEX(FC_FLUJO_CAJA!$D$47:$BK$47,1,J$13)*IF(IFERROR(VALUE($D37&amp;""),0)&gt;0,IF(J$14=MIN(VALUE($D37&amp;""),J$15),1,0),IF($D37="Q",IF(J$14=MIN(2,J$15),0.5,0)+IF(J$14=J$15,0.5,0),IF($D37="U",IF(J$14=J$15,1,0),1/J$15)))</f>
        <v>0</v>
      </c>
      <c r="K37" s="498" t="n">
        <f aca="false">INDEX(FC_FLUJO_CAJA!$D$47:$BK$47,1,K$13)*IF(IFERROR(VALUE($D37&amp;""),0)&gt;0,IF(K$14=MIN(VALUE($D37&amp;""),K$15),1,0),IF($D37="Q",IF(K$14=MIN(2,K$15),0.5,0)+IF(K$14=K$15,0.5,0),IF($D37="U",IF(K$14=K$15,1,0),1/K$15)))</f>
        <v>0</v>
      </c>
      <c r="L37" s="498" t="n">
        <f aca="false">INDEX(FC_FLUJO_CAJA!$D$47:$BK$47,1,L$13)*IF(IFERROR(VALUE($D37&amp;""),0)&gt;0,IF(L$14=MIN(VALUE($D37&amp;""),L$15),1,0),IF($D37="Q",IF(L$14=MIN(2,L$15),0.5,0)+IF(L$14=L$15,0.5,0),IF($D37="U",IF(L$14=L$15,1,0),1/L$15)))</f>
        <v>0</v>
      </c>
      <c r="M37" s="498" t="n">
        <f aca="false">INDEX(FC_FLUJO_CAJA!$D$47:$BK$47,1,M$13)*IF(IFERROR(VALUE($D37&amp;""),0)&gt;0,IF(M$14=MIN(VALUE($D37&amp;""),M$15),1,0),IF($D37="Q",IF(M$14=MIN(2,M$15),0.5,0)+IF(M$14=M$15,0.5,0),IF($D37="U",IF(M$14=M$15,1,0),1/M$15)))</f>
        <v>0</v>
      </c>
      <c r="N37" s="498" t="n">
        <f aca="false">INDEX(FC_FLUJO_CAJA!$D$47:$BK$47,1,N$13)*IF(IFERROR(VALUE($D37&amp;""),0)&gt;0,IF(N$14=MIN(VALUE($D37&amp;""),N$15),1,0),IF($D37="Q",IF(N$14=MIN(2,N$15),0.5,0)+IF(N$14=N$15,0.5,0),IF($D37="U",IF(N$14=N$15,1,0),1/N$15)))</f>
        <v>0</v>
      </c>
      <c r="O37" s="498" t="n">
        <f aca="false">INDEX(FC_FLUJO_CAJA!$D$47:$BK$47,1,O$13)*IF(IFERROR(VALUE($D37&amp;""),0)&gt;0,IF(O$14=MIN(VALUE($D37&amp;""),O$15),1,0),IF($D37="Q",IF(O$14=MIN(2,O$15),0.5,0)+IF(O$14=O$15,0.5,0),IF($D37="U",IF(O$14=O$15,1,0),1/O$15)))</f>
        <v>0</v>
      </c>
      <c r="P37" s="498" t="n">
        <f aca="false">INDEX(FC_FLUJO_CAJA!$D$47:$BK$47,1,P$13)*IF(IFERROR(VALUE($D37&amp;""),0)&gt;0,IF(P$14=MIN(VALUE($D37&amp;""),P$15),1,0),IF($D37="Q",IF(P$14=MIN(2,P$15),0.5,0)+IF(P$14=P$15,0.5,0),IF($D37="U",IF(P$14=P$15,1,0),1/P$15)))</f>
        <v>0</v>
      </c>
      <c r="Q37" s="498" t="n">
        <f aca="false">INDEX(FC_FLUJO_CAJA!$D$47:$BK$47,1,Q$13)*IF(IFERROR(VALUE($D37&amp;""),0)&gt;0,IF(Q$14=MIN(VALUE($D37&amp;""),Q$15),1,0),IF($D37="Q",IF(Q$14=MIN(2,Q$15),0.5,0)+IF(Q$14=Q$15,0.5,0),IF($D37="U",IF(Q$14=Q$15,1,0),1/Q$15)))</f>
        <v>0</v>
      </c>
      <c r="R37" s="498" t="n">
        <f aca="false">INDEX(FC_FLUJO_CAJA!$D$47:$BK$47,1,R$13)*IF(IFERROR(VALUE($D37&amp;""),0)&gt;0,IF(R$14=MIN(VALUE($D37&amp;""),R$15),1,0),IF($D37="Q",IF(R$14=MIN(2,R$15),0.5,0)+IF(R$14=R$15,0.5,0),IF($D37="U",IF(R$14=R$15,1,0),1/R$15)))</f>
        <v>0</v>
      </c>
      <c r="S37" s="498" t="n">
        <f aca="false">INDEX(FC_FLUJO_CAJA!$D$47:$BK$47,1,S$13)*IF(IFERROR(VALUE($D37&amp;""),0)&gt;0,IF(S$14=MIN(VALUE($D37&amp;""),S$15),1,0),IF($D37="Q",IF(S$14=MIN(2,S$15),0.5,0)+IF(S$14=S$15,0.5,0),IF($D37="U",IF(S$14=S$15,1,0),1/S$15)))</f>
        <v>0</v>
      </c>
      <c r="T37" s="498" t="n">
        <f aca="false">INDEX(FC_FLUJO_CAJA!$D$47:$BK$47,1,T$13)*IF(IFERROR(VALUE($D37&amp;""),0)&gt;0,IF(T$14=MIN(VALUE($D37&amp;""),T$15),1,0),IF($D37="Q",IF(T$14=MIN(2,T$15),0.5,0)+IF(T$14=T$15,0.5,0),IF($D37="U",IF(T$14=T$15,1,0),1/T$15)))</f>
        <v>0</v>
      </c>
      <c r="U37" s="498" t="n">
        <f aca="false">INDEX(FC_FLUJO_CAJA!$D$47:$BK$47,1,U$13)*IF(IFERROR(VALUE($D37&amp;""),0)&gt;0,IF(U$14=MIN(VALUE($D37&amp;""),U$15),1,0),IF($D37="Q",IF(U$14=MIN(2,U$15),0.5,0)+IF(U$14=U$15,0.5,0),IF($D37="U",IF(U$14=U$15,1,0),1/U$15)))</f>
        <v>0</v>
      </c>
      <c r="V37" s="498" t="n">
        <f aca="false">INDEX(FC_FLUJO_CAJA!$D$47:$BK$47,1,V$13)*IF(IFERROR(VALUE($D37&amp;""),0)&gt;0,IF(V$14=MIN(VALUE($D37&amp;""),V$15),1,0),IF($D37="Q",IF(V$14=MIN(2,V$15),0.5,0)+IF(V$14=V$15,0.5,0),IF($D37="U",IF(V$14=V$15,1,0),1/V$15)))</f>
        <v>0</v>
      </c>
      <c r="W37" s="498" t="n">
        <f aca="false">INDEX(FC_FLUJO_CAJA!$D$47:$BK$47,1,W$13)*IF(IFERROR(VALUE($D37&amp;""),0)&gt;0,IF(W$14=MIN(VALUE($D37&amp;""),W$15),1,0),IF($D37="Q",IF(W$14=MIN(2,W$15),0.5,0)+IF(W$14=W$15,0.5,0),IF($D37="U",IF(W$14=W$15,1,0),1/W$15)))</f>
        <v>0</v>
      </c>
      <c r="X37" s="498" t="n">
        <f aca="false">INDEX(FC_FLUJO_CAJA!$D$47:$BK$47,1,X$13)*IF(IFERROR(VALUE($D37&amp;""),0)&gt;0,IF(X$14=MIN(VALUE($D37&amp;""),X$15),1,0),IF($D37="Q",IF(X$14=MIN(2,X$15),0.5,0)+IF(X$14=X$15,0.5,0),IF($D37="U",IF(X$14=X$15,1,0),1/X$15)))</f>
        <v>0</v>
      </c>
      <c r="Y37" s="498" t="n">
        <f aca="false">INDEX(FC_FLUJO_CAJA!$D$47:$BK$47,1,Y$13)*IF(IFERROR(VALUE($D37&amp;""),0)&gt;0,IF(Y$14=MIN(VALUE($D37&amp;""),Y$15),1,0),IF($D37="Q",IF(Y$14=MIN(2,Y$15),0.5,0)+IF(Y$14=Y$15,0.5,0),IF($D37="U",IF(Y$14=Y$15,1,0),1/Y$15)))</f>
        <v>0</v>
      </c>
      <c r="Z37" s="498" t="n">
        <f aca="false">INDEX(FC_FLUJO_CAJA!$D$47:$BK$47,1,Z$13)*IF(IFERROR(VALUE($D37&amp;""),0)&gt;0,IF(Z$14=MIN(VALUE($D37&amp;""),Z$15),1,0),IF($D37="Q",IF(Z$14=MIN(2,Z$15),0.5,0)+IF(Z$14=Z$15,0.5,0),IF($D37="U",IF(Z$14=Z$15,1,0),1/Z$15)))</f>
        <v>0</v>
      </c>
      <c r="AA37" s="498" t="n">
        <f aca="false">INDEX(FC_FLUJO_CAJA!$D$47:$BK$47,1,AA$13)*IF(IFERROR(VALUE($D37&amp;""),0)&gt;0,IF(AA$14=MIN(VALUE($D37&amp;""),AA$15),1,0),IF($D37="Q",IF(AA$14=MIN(2,AA$15),0.5,0)+IF(AA$14=AA$15,0.5,0),IF($D37="U",IF(AA$14=AA$15,1,0),1/AA$15)))</f>
        <v>0</v>
      </c>
      <c r="AB37" s="498" t="n">
        <f aca="false">INDEX(FC_FLUJO_CAJA!$D$47:$BK$47,1,AB$13)*IF(IFERROR(VALUE($D37&amp;""),0)&gt;0,IF(AB$14=MIN(VALUE($D37&amp;""),AB$15),1,0),IF($D37="Q",IF(AB$14=MIN(2,AB$15),0.5,0)+IF(AB$14=AB$15,0.5,0),IF($D37="U",IF(AB$14=AB$15,1,0),1/AB$15)))</f>
        <v>0</v>
      </c>
      <c r="AC37" s="498" t="n">
        <f aca="false">INDEX(FC_FLUJO_CAJA!$D$47:$BK$47,1,AC$13)*IF(IFERROR(VALUE($D37&amp;""),0)&gt;0,IF(AC$14=MIN(VALUE($D37&amp;""),AC$15),1,0),IF($D37="Q",IF(AC$14=MIN(2,AC$15),0.5,0)+IF(AC$14=AC$15,0.5,0),IF($D37="U",IF(AC$14=AC$15,1,0),1/AC$15)))</f>
        <v>0</v>
      </c>
      <c r="AD37" s="498" t="n">
        <f aca="false">INDEX(FC_FLUJO_CAJA!$D$47:$BK$47,1,AD$13)*IF(IFERROR(VALUE($D37&amp;""),0)&gt;0,IF(AD$14=MIN(VALUE($D37&amp;""),AD$15),1,0),IF($D37="Q",IF(AD$14=MIN(2,AD$15),0.5,0)+IF(AD$14=AD$15,0.5,0),IF($D37="U",IF(AD$14=AD$15,1,0),1/AD$15)))</f>
        <v>0</v>
      </c>
      <c r="AE37" s="498" t="n">
        <f aca="false">INDEX(FC_FLUJO_CAJA!$D$47:$BK$47,1,AE$13)*IF(IFERROR(VALUE($D37&amp;""),0)&gt;0,IF(AE$14=MIN(VALUE($D37&amp;""),AE$15),1,0),IF($D37="Q",IF(AE$14=MIN(2,AE$15),0.5,0)+IF(AE$14=AE$15,0.5,0),IF($D37="U",IF(AE$14=AE$15,1,0),1/AE$15)))</f>
        <v>0</v>
      </c>
      <c r="AF37" s="498" t="n">
        <f aca="false">INDEX(FC_FLUJO_CAJA!$D$47:$BK$47,1,AF$13)*IF(IFERROR(VALUE($D37&amp;""),0)&gt;0,IF(AF$14=MIN(VALUE($D37&amp;""),AF$15),1,0),IF($D37="Q",IF(AF$14=MIN(2,AF$15),0.5,0)+IF(AF$14=AF$15,0.5,0),IF($D37="U",IF(AF$14=AF$15,1,0),1/AF$15)))</f>
        <v>0</v>
      </c>
      <c r="AG37" s="498" t="n">
        <f aca="false">INDEX(FC_FLUJO_CAJA!$D$47:$BK$47,1,AG$13)*IF(IFERROR(VALUE($D37&amp;""),0)&gt;0,IF(AG$14=MIN(VALUE($D37&amp;""),AG$15),1,0),IF($D37="Q",IF(AG$14=MIN(2,AG$15),0.5,0)+IF(AG$14=AG$15,0.5,0),IF($D37="U",IF(AG$14=AG$15,1,0),1/AG$15)))</f>
        <v>101675.982413793</v>
      </c>
      <c r="AH37" s="498" t="n">
        <f aca="false">INDEX(FC_FLUJO_CAJA!$D$47:$BK$47,1,AH$13)*IF(IFERROR(VALUE($D37&amp;""),0)&gt;0,IF(AH$14=MIN(VALUE($D37&amp;""),AH$15),1,0),IF($D37="Q",IF(AH$14=MIN(2,AH$15),0.5,0)+IF(AH$14=AH$15,0.5,0),IF($D37="U",IF(AH$14=AH$15,1,0),1/AH$15)))</f>
        <v>0</v>
      </c>
      <c r="AI37" s="498" t="n">
        <f aca="false">INDEX(FC_FLUJO_CAJA!$D$47:$BK$47,1,AI$13)*IF(IFERROR(VALUE($D37&amp;""),0)&gt;0,IF(AI$14=MIN(VALUE($D37&amp;""),AI$15),1,0),IF($D37="Q",IF(AI$14=MIN(2,AI$15),0.5,0)+IF(AI$14=AI$15,0.5,0),IF($D37="U",IF(AI$14=AI$15,1,0),1/AI$15)))</f>
        <v>0</v>
      </c>
      <c r="AJ37" s="498" t="n">
        <f aca="false">INDEX(FC_FLUJO_CAJA!$D$47:$BK$47,1,AJ$13)*IF(IFERROR(VALUE($D37&amp;""),0)&gt;0,IF(AJ$14=MIN(VALUE($D37&amp;""),AJ$15),1,0),IF($D37="Q",IF(AJ$14=MIN(2,AJ$15),0.5,0)+IF(AJ$14=AJ$15,0.5,0),IF($D37="U",IF(AJ$14=AJ$15,1,0),1/AJ$15)))</f>
        <v>0</v>
      </c>
      <c r="AK37" s="498" t="n">
        <f aca="false">INDEX(FC_FLUJO_CAJA!$D$47:$BK$47,1,AK$13)*IF(IFERROR(VALUE($D37&amp;""),0)&gt;0,IF(AK$14=MIN(VALUE($D37&amp;""),AK$15),1,0),IF($D37="Q",IF(AK$14=MIN(2,AK$15),0.5,0)+IF(AK$14=AK$15,0.5,0),IF($D37="U",IF(AK$14=AK$15,1,0),1/AK$15)))</f>
        <v>0</v>
      </c>
      <c r="AL37" s="498" t="n">
        <f aca="false">INDEX(FC_FLUJO_CAJA!$D$47:$BK$47,1,AL$13)*IF(IFERROR(VALUE($D37&amp;""),0)&gt;0,IF(AL$14=MIN(VALUE($D37&amp;""),AL$15),1,0),IF($D37="Q",IF(AL$14=MIN(2,AL$15),0.5,0)+IF(AL$14=AL$15,0.5,0),IF($D37="U",IF(AL$14=AL$15,1,0),1/AL$15)))</f>
        <v>0</v>
      </c>
      <c r="AM37" s="498" t="n">
        <f aca="false">INDEX(FC_FLUJO_CAJA!$D$47:$BK$47,1,AM$13)*IF(IFERROR(VALUE($D37&amp;""),0)&gt;0,IF(AM$14=MIN(VALUE($D37&amp;""),AM$15),1,0),IF($D37="Q",IF(AM$14=MIN(2,AM$15),0.5,0)+IF(AM$14=AM$15,0.5,0),IF($D37="U",IF(AM$14=AM$15,1,0),1/AM$15)))</f>
        <v>0</v>
      </c>
      <c r="AN37" s="498" t="n">
        <f aca="false">INDEX(FC_FLUJO_CAJA!$D$47:$BK$47,1,AN$13)*IF(IFERROR(VALUE($D37&amp;""),0)&gt;0,IF(AN$14=MIN(VALUE($D37&amp;""),AN$15),1,0),IF($D37="Q",IF(AN$14=MIN(2,AN$15),0.5,0)+IF(AN$14=AN$15,0.5,0),IF($D37="U",IF(AN$14=AN$15,1,0),1/AN$15)))</f>
        <v>0</v>
      </c>
      <c r="AO37" s="498" t="n">
        <f aca="false">INDEX(FC_FLUJO_CAJA!$D$47:$BK$47,1,AO$13)*IF(IFERROR(VALUE($D37&amp;""),0)&gt;0,IF(AO$14=MIN(VALUE($D37&amp;""),AO$15),1,0),IF($D37="Q",IF(AO$14=MIN(2,AO$15),0.5,0)+IF(AO$14=AO$15,0.5,0),IF($D37="U",IF(AO$14=AO$15,1,0),1/AO$15)))</f>
        <v>0</v>
      </c>
      <c r="AP37" s="498" t="n">
        <f aca="false">INDEX(FC_FLUJO_CAJA!$D$47:$BK$47,1,AP$13)*IF(IFERROR(VALUE($D37&amp;""),0)&gt;0,IF(AP$14=MIN(VALUE($D37&amp;""),AP$15),1,0),IF($D37="Q",IF(AP$14=MIN(2,AP$15),0.5,0)+IF(AP$14=AP$15,0.5,0),IF($D37="U",IF(AP$14=AP$15,1,0),1/AP$15)))</f>
        <v>0</v>
      </c>
      <c r="AQ37" s="498" t="n">
        <f aca="false">INDEX(FC_FLUJO_CAJA!$D$47:$BK$47,1,AQ$13)*IF(IFERROR(VALUE($D37&amp;""),0)&gt;0,IF(AQ$14=MIN(VALUE($D37&amp;""),AQ$15),1,0),IF($D37="Q",IF(AQ$14=MIN(2,AQ$15),0.5,0)+IF(AQ$14=AQ$15,0.5,0),IF($D37="U",IF(AQ$14=AQ$15,1,0),1/AQ$15)))</f>
        <v>0</v>
      </c>
      <c r="AR37" s="498" t="n">
        <f aca="false">INDEX(FC_FLUJO_CAJA!$D$47:$BK$47,1,AR$13)*IF(IFERROR(VALUE($D37&amp;""),0)&gt;0,IF(AR$14=MIN(VALUE($D37&amp;""),AR$15),1,0),IF($D37="Q",IF(AR$14=MIN(2,AR$15),0.5,0)+IF(AR$14=AR$15,0.5,0),IF($D37="U",IF(AR$14=AR$15,1,0),1/AR$15)))</f>
        <v>0</v>
      </c>
      <c r="AS37" s="498" t="n">
        <f aca="false">INDEX(FC_FLUJO_CAJA!$D$47:$BK$47,1,AS$13)*IF(IFERROR(VALUE($D37&amp;""),0)&gt;0,IF(AS$14=MIN(VALUE($D37&amp;""),AS$15),1,0),IF($D37="Q",IF(AS$14=MIN(2,AS$15),0.5,0)+IF(AS$14=AS$15,0.5,0),IF($D37="U",IF(AS$14=AS$15,1,0),1/AS$15)))</f>
        <v>0</v>
      </c>
      <c r="AT37" s="498" t="n">
        <f aca="false">INDEX(FC_FLUJO_CAJA!$D$47:$BK$47,1,AT$13)*IF(IFERROR(VALUE($D37&amp;""),0)&gt;0,IF(AT$14=MIN(VALUE($D37&amp;""),AT$15),1,0),IF($D37="Q",IF(AT$14=MIN(2,AT$15),0.5,0)+IF(AT$14=AT$15,0.5,0),IF($D37="U",IF(AT$14=AT$15,1,0),1/AT$15)))</f>
        <v>0</v>
      </c>
      <c r="AU37" s="498" t="n">
        <f aca="false">INDEX(FC_FLUJO_CAJA!$D$47:$BK$47,1,AU$13)*IF(IFERROR(VALUE($D37&amp;""),0)&gt;0,IF(AU$14=MIN(VALUE($D37&amp;""),AU$15),1,0),IF($D37="Q",IF(AU$14=MIN(2,AU$15),0.5,0)+IF(AU$14=AU$15,0.5,0),IF($D37="U",IF(AU$14=AU$15,1,0),1/AU$15)))</f>
        <v>0</v>
      </c>
      <c r="AV37" s="498" t="n">
        <f aca="false">INDEX(FC_FLUJO_CAJA!$D$47:$BK$47,1,AV$13)*IF(IFERROR(VALUE($D37&amp;""),0)&gt;0,IF(AV$14=MIN(VALUE($D37&amp;""),AV$15),1,0),IF($D37="Q",IF(AV$14=MIN(2,AV$15),0.5,0)+IF(AV$14=AV$15,0.5,0),IF($D37="U",IF(AV$14=AV$15,1,0),1/AV$15)))</f>
        <v>0</v>
      </c>
      <c r="AW37" s="498" t="n">
        <f aca="false">INDEX(FC_FLUJO_CAJA!$D$47:$BK$47,1,AW$13)*IF(IFERROR(VALUE($D37&amp;""),0)&gt;0,IF(AW$14=MIN(VALUE($D37&amp;""),AW$15),1,0),IF($D37="Q",IF(AW$14=MIN(2,AW$15),0.5,0)+IF(AW$14=AW$15,0.5,0),IF($D37="U",IF(AW$14=AW$15,1,0),1/AW$15)))</f>
        <v>0</v>
      </c>
      <c r="AX37" s="498" t="n">
        <f aca="false">INDEX(FC_FLUJO_CAJA!$D$47:$BK$47,1,AX$13)*IF(IFERROR(VALUE($D37&amp;""),0)&gt;0,IF(AX$14=MIN(VALUE($D37&amp;""),AX$15),1,0),IF($D37="Q",IF(AX$14=MIN(2,AX$15),0.5,0)+IF(AX$14=AX$15,0.5,0),IF($D37="U",IF(AX$14=AX$15,1,0),1/AX$15)))</f>
        <v>0</v>
      </c>
      <c r="AY37" s="498" t="n">
        <f aca="false">INDEX(FC_FLUJO_CAJA!$D$47:$BK$47,1,AY$13)*IF(IFERROR(VALUE($D37&amp;""),0)&gt;0,IF(AY$14=MIN(VALUE($D37&amp;""),AY$15),1,0),IF($D37="Q",IF(AY$14=MIN(2,AY$15),0.5,0)+IF(AY$14=AY$15,0.5,0),IF($D37="U",IF(AY$14=AY$15,1,0),1/AY$15)))</f>
        <v>0</v>
      </c>
      <c r="AZ37" s="498" t="n">
        <f aca="false">INDEX(FC_FLUJO_CAJA!$D$47:$BK$47,1,AZ$13)*IF(IFERROR(VALUE($D37&amp;""),0)&gt;0,IF(AZ$14=MIN(VALUE($D37&amp;""),AZ$15),1,0),IF($D37="Q",IF(AZ$14=MIN(2,AZ$15),0.5,0)+IF(AZ$14=AZ$15,0.5,0),IF($D37="U",IF(AZ$14=AZ$15,1,0),1/AZ$15)))</f>
        <v>0</v>
      </c>
      <c r="BA37" s="498" t="n">
        <f aca="false">INDEX(FC_FLUJO_CAJA!$D$47:$BK$47,1,BA$13)*IF(IFERROR(VALUE($D37&amp;""),0)&gt;0,IF(BA$14=MIN(VALUE($D37&amp;""),BA$15),1,0),IF($D37="Q",IF(BA$14=MIN(2,BA$15),0.5,0)+IF(BA$14=BA$15,0.5,0),IF($D37="U",IF(BA$14=BA$15,1,0),1/BA$15)))</f>
        <v>0</v>
      </c>
      <c r="BB37" s="498" t="n">
        <f aca="false">INDEX(FC_FLUJO_CAJA!$D$47:$BK$47,1,BB$13)*IF(IFERROR(VALUE($D37&amp;""),0)&gt;0,IF(BB$14=MIN(VALUE($D37&amp;""),BB$15),1,0),IF($D37="Q",IF(BB$14=MIN(2,BB$15),0.5,0)+IF(BB$14=BB$15,0.5,0),IF($D37="U",IF(BB$14=BB$15,1,0),1/BB$15)))</f>
        <v>0</v>
      </c>
      <c r="BC37" s="498" t="n">
        <f aca="false">INDEX(FC_FLUJO_CAJA!$D$47:$BK$47,1,BC$13)*IF(IFERROR(VALUE($D37&amp;""),0)&gt;0,IF(BC$14=MIN(VALUE($D37&amp;""),BC$15),1,0),IF($D37="Q",IF(BC$14=MIN(2,BC$15),0.5,0)+IF(BC$14=BC$15,0.5,0),IF($D37="U",IF(BC$14=BC$15,1,0),1/BC$15)))</f>
        <v>0</v>
      </c>
      <c r="BD37" s="498" t="n">
        <f aca="false">INDEX(FC_FLUJO_CAJA!$D$47:$BK$47,1,BD$13)*IF(IFERROR(VALUE($D37&amp;""),0)&gt;0,IF(BD$14=MIN(VALUE($D37&amp;""),BD$15),1,0),IF($D37="Q",IF(BD$14=MIN(2,BD$15),0.5,0)+IF(BD$14=BD$15,0.5,0),IF($D37="U",IF(BD$14=BD$15,1,0),1/BD$15)))</f>
        <v>0</v>
      </c>
      <c r="BE37" s="498" t="n">
        <f aca="false">INDEX(FC_FLUJO_CAJA!$D$47:$BK$47,1,BE$13)*IF(IFERROR(VALUE($D37&amp;""),0)&gt;0,IF(BE$14=MIN(VALUE($D37&amp;""),BE$15),1,0),IF($D37="Q",IF(BE$14=MIN(2,BE$15),0.5,0)+IF(BE$14=BE$15,0.5,0),IF($D37="U",IF(BE$14=BE$15,1,0),1/BE$15)))</f>
        <v>0</v>
      </c>
    </row>
    <row r="38" customFormat="false" ht="15" hidden="false" customHeight="true" outlineLevel="0" collapsed="false">
      <c r="A38" s="400" t="s">
        <v>3126</v>
      </c>
      <c r="B38" s="283" t="s">
        <v>3127</v>
      </c>
      <c r="C38" s="531" t="s">
        <v>3128</v>
      </c>
      <c r="D38" s="289" t="n">
        <f aca="false">FC_SUPUESTOS!$C$141</f>
        <v>3</v>
      </c>
      <c r="E38" s="532" t="n">
        <f aca="false">SUM(F38:BE38)</f>
        <v>45000</v>
      </c>
      <c r="F38" s="498" t="n">
        <f aca="false">INDEX(FC_FLUJO_CAJA!$D$48:$BK$48,1,F$13)*IF(IFERROR(VALUE($D38&amp;""),0)&gt;0,IF(F$14=MIN(VALUE($D38&amp;""),F$15),1,0),IF($D38="Q",IF(F$14=MIN(2,F$15),0.5,0)+IF(F$14=F$15,0.5,0),IF($D38="U",IF(F$14=F$15,1,0),1/F$15)))</f>
        <v>0</v>
      </c>
      <c r="G38" s="498" t="n">
        <f aca="false">INDEX(FC_FLUJO_CAJA!$D$48:$BK$48,1,G$13)*IF(IFERROR(VALUE($D38&amp;""),0)&gt;0,IF(G$14=MIN(VALUE($D38&amp;""),G$15),1,0),IF($D38="Q",IF(G$14=MIN(2,G$15),0.5,0)+IF(G$14=G$15,0.5,0),IF($D38="U",IF(G$14=G$15,1,0),1/G$15)))</f>
        <v>0</v>
      </c>
      <c r="H38" s="498" t="n">
        <f aca="false">INDEX(FC_FLUJO_CAJA!$D$48:$BK$48,1,H$13)*IF(IFERROR(VALUE($D38&amp;""),0)&gt;0,IF(H$14=MIN(VALUE($D38&amp;""),H$15),1,0),IF($D38="Q",IF(H$14=MIN(2,H$15),0.5,0)+IF(H$14=H$15,0.5,0),IF($D38="U",IF(H$14=H$15,1,0),1/H$15)))</f>
        <v>0</v>
      </c>
      <c r="I38" s="498" t="n">
        <f aca="false">INDEX(FC_FLUJO_CAJA!$D$48:$BK$48,1,I$13)*IF(IFERROR(VALUE($D38&amp;""),0)&gt;0,IF(I$14=MIN(VALUE($D38&amp;""),I$15),1,0),IF($D38="Q",IF(I$14=MIN(2,I$15),0.5,0)+IF(I$14=I$15,0.5,0),IF($D38="U",IF(I$14=I$15,1,0),1/I$15)))</f>
        <v>0</v>
      </c>
      <c r="J38" s="498" t="n">
        <f aca="false">INDEX(FC_FLUJO_CAJA!$D$48:$BK$48,1,J$13)*IF(IFERROR(VALUE($D38&amp;""),0)&gt;0,IF(J$14=MIN(VALUE($D38&amp;""),J$15),1,0),IF($D38="Q",IF(J$14=MIN(2,J$15),0.5,0)+IF(J$14=J$15,0.5,0),IF($D38="U",IF(J$14=J$15,1,0),1/J$15)))</f>
        <v>0</v>
      </c>
      <c r="K38" s="498" t="n">
        <f aca="false">INDEX(FC_FLUJO_CAJA!$D$48:$BK$48,1,K$13)*IF(IFERROR(VALUE($D38&amp;""),0)&gt;0,IF(K$14=MIN(VALUE($D38&amp;""),K$15),1,0),IF($D38="Q",IF(K$14=MIN(2,K$15),0.5,0)+IF(K$14=K$15,0.5,0),IF($D38="U",IF(K$14=K$15,1,0),1/K$15)))</f>
        <v>0</v>
      </c>
      <c r="L38" s="498" t="n">
        <f aca="false">INDEX(FC_FLUJO_CAJA!$D$48:$BK$48,1,L$13)*IF(IFERROR(VALUE($D38&amp;""),0)&gt;0,IF(L$14=MIN(VALUE($D38&amp;""),L$15),1,0),IF($D38="Q",IF(L$14=MIN(2,L$15),0.5,0)+IF(L$14=L$15,0.5,0),IF($D38="U",IF(L$14=L$15,1,0),1/L$15)))</f>
        <v>0</v>
      </c>
      <c r="M38" s="498" t="n">
        <f aca="false">INDEX(FC_FLUJO_CAJA!$D$48:$BK$48,1,M$13)*IF(IFERROR(VALUE($D38&amp;""),0)&gt;0,IF(M$14=MIN(VALUE($D38&amp;""),M$15),1,0),IF($D38="Q",IF(M$14=MIN(2,M$15),0.5,0)+IF(M$14=M$15,0.5,0),IF($D38="U",IF(M$14=M$15,1,0),1/M$15)))</f>
        <v>0</v>
      </c>
      <c r="N38" s="498" t="n">
        <f aca="false">INDEX(FC_FLUJO_CAJA!$D$48:$BK$48,1,N$13)*IF(IFERROR(VALUE($D38&amp;""),0)&gt;0,IF(N$14=MIN(VALUE($D38&amp;""),N$15),1,0),IF($D38="Q",IF(N$14=MIN(2,N$15),0.5,0)+IF(N$14=N$15,0.5,0),IF($D38="U",IF(N$14=N$15,1,0),1/N$15)))</f>
        <v>0</v>
      </c>
      <c r="O38" s="498" t="n">
        <f aca="false">INDEX(FC_FLUJO_CAJA!$D$48:$BK$48,1,O$13)*IF(IFERROR(VALUE($D38&amp;""),0)&gt;0,IF(O$14=MIN(VALUE($D38&amp;""),O$15),1,0),IF($D38="Q",IF(O$14=MIN(2,O$15),0.5,0)+IF(O$14=O$15,0.5,0),IF($D38="U",IF(O$14=O$15,1,0),1/O$15)))</f>
        <v>0</v>
      </c>
      <c r="P38" s="498" t="n">
        <f aca="false">INDEX(FC_FLUJO_CAJA!$D$48:$BK$48,1,P$13)*IF(IFERROR(VALUE($D38&amp;""),0)&gt;0,IF(P$14=MIN(VALUE($D38&amp;""),P$15),1,0),IF($D38="Q",IF(P$14=MIN(2,P$15),0.5,0)+IF(P$14=P$15,0.5,0),IF($D38="U",IF(P$14=P$15,1,0),1/P$15)))</f>
        <v>0</v>
      </c>
      <c r="Q38" s="498" t="n">
        <f aca="false">INDEX(FC_FLUJO_CAJA!$D$48:$BK$48,1,Q$13)*IF(IFERROR(VALUE($D38&amp;""),0)&gt;0,IF(Q$14=MIN(VALUE($D38&amp;""),Q$15),1,0),IF($D38="Q",IF(Q$14=MIN(2,Q$15),0.5,0)+IF(Q$14=Q$15,0.5,0),IF($D38="U",IF(Q$14=Q$15,1,0),1/Q$15)))</f>
        <v>0</v>
      </c>
      <c r="R38" s="498" t="n">
        <f aca="false">INDEX(FC_FLUJO_CAJA!$D$48:$BK$48,1,R$13)*IF(IFERROR(VALUE($D38&amp;""),0)&gt;0,IF(R$14=MIN(VALUE($D38&amp;""),R$15),1,0),IF($D38="Q",IF(R$14=MIN(2,R$15),0.5,0)+IF(R$14=R$15,0.5,0),IF($D38="U",IF(R$14=R$15,1,0),1/R$15)))</f>
        <v>0</v>
      </c>
      <c r="S38" s="498" t="n">
        <f aca="false">INDEX(FC_FLUJO_CAJA!$D$48:$BK$48,1,S$13)*IF(IFERROR(VALUE($D38&amp;""),0)&gt;0,IF(S$14=MIN(VALUE($D38&amp;""),S$15),1,0),IF($D38="Q",IF(S$14=MIN(2,S$15),0.5,0)+IF(S$14=S$15,0.5,0),IF($D38="U",IF(S$14=S$15,1,0),1/S$15)))</f>
        <v>0</v>
      </c>
      <c r="T38" s="498" t="n">
        <f aca="false">INDEX(FC_FLUJO_CAJA!$D$48:$BK$48,1,T$13)*IF(IFERROR(VALUE($D38&amp;""),0)&gt;0,IF(T$14=MIN(VALUE($D38&amp;""),T$15),1,0),IF($D38="Q",IF(T$14=MIN(2,T$15),0.5,0)+IF(T$14=T$15,0.5,0),IF($D38="U",IF(T$14=T$15,1,0),1/T$15)))</f>
        <v>0</v>
      </c>
      <c r="U38" s="498" t="n">
        <f aca="false">INDEX(FC_FLUJO_CAJA!$D$48:$BK$48,1,U$13)*IF(IFERROR(VALUE($D38&amp;""),0)&gt;0,IF(U$14=MIN(VALUE($D38&amp;""),U$15),1,0),IF($D38="Q",IF(U$14=MIN(2,U$15),0.5,0)+IF(U$14=U$15,0.5,0),IF($D38="U",IF(U$14=U$15,1,0),1/U$15)))</f>
        <v>0</v>
      </c>
      <c r="V38" s="498" t="n">
        <f aca="false">INDEX(FC_FLUJO_CAJA!$D$48:$BK$48,1,V$13)*IF(IFERROR(VALUE($D38&amp;""),0)&gt;0,IF(V$14=MIN(VALUE($D38&amp;""),V$15),1,0),IF($D38="Q",IF(V$14=MIN(2,V$15),0.5,0)+IF(V$14=V$15,0.5,0),IF($D38="U",IF(V$14=V$15,1,0),1/V$15)))</f>
        <v>0</v>
      </c>
      <c r="W38" s="498" t="n">
        <f aca="false">INDEX(FC_FLUJO_CAJA!$D$48:$BK$48,1,W$13)*IF(IFERROR(VALUE($D38&amp;""),0)&gt;0,IF(W$14=MIN(VALUE($D38&amp;""),W$15),1,0),IF($D38="Q",IF(W$14=MIN(2,W$15),0.5,0)+IF(W$14=W$15,0.5,0),IF($D38="U",IF(W$14=W$15,1,0),1/W$15)))</f>
        <v>0</v>
      </c>
      <c r="X38" s="498" t="n">
        <f aca="false">INDEX(FC_FLUJO_CAJA!$D$48:$BK$48,1,X$13)*IF(IFERROR(VALUE($D38&amp;""),0)&gt;0,IF(X$14=MIN(VALUE($D38&amp;""),X$15),1,0),IF($D38="Q",IF(X$14=MIN(2,X$15),0.5,0)+IF(X$14=X$15,0.5,0),IF($D38="U",IF(X$14=X$15,1,0),1/X$15)))</f>
        <v>0</v>
      </c>
      <c r="Y38" s="498" t="n">
        <f aca="false">INDEX(FC_FLUJO_CAJA!$D$48:$BK$48,1,Y$13)*IF(IFERROR(VALUE($D38&amp;""),0)&gt;0,IF(Y$14=MIN(VALUE($D38&amp;""),Y$15),1,0),IF($D38="Q",IF(Y$14=MIN(2,Y$15),0.5,0)+IF(Y$14=Y$15,0.5,0),IF($D38="U",IF(Y$14=Y$15,1,0),1/Y$15)))</f>
        <v>0</v>
      </c>
      <c r="Z38" s="498" t="n">
        <f aca="false">INDEX(FC_FLUJO_CAJA!$D$48:$BK$48,1,Z$13)*IF(IFERROR(VALUE($D38&amp;""),0)&gt;0,IF(Z$14=MIN(VALUE($D38&amp;""),Z$15),1,0),IF($D38="Q",IF(Z$14=MIN(2,Z$15),0.5,0)+IF(Z$14=Z$15,0.5,0),IF($D38="U",IF(Z$14=Z$15,1,0),1/Z$15)))</f>
        <v>0</v>
      </c>
      <c r="AA38" s="498" t="n">
        <f aca="false">INDEX(FC_FLUJO_CAJA!$D$48:$BK$48,1,AA$13)*IF(IFERROR(VALUE($D38&amp;""),0)&gt;0,IF(AA$14=MIN(VALUE($D38&amp;""),AA$15),1,0),IF($D38="Q",IF(AA$14=MIN(2,AA$15),0.5,0)+IF(AA$14=AA$15,0.5,0),IF($D38="U",IF(AA$14=AA$15,1,0),1/AA$15)))</f>
        <v>0</v>
      </c>
      <c r="AB38" s="498" t="n">
        <f aca="false">INDEX(FC_FLUJO_CAJA!$D$48:$BK$48,1,AB$13)*IF(IFERROR(VALUE($D38&amp;""),0)&gt;0,IF(AB$14=MIN(VALUE($D38&amp;""),AB$15),1,0),IF($D38="Q",IF(AB$14=MIN(2,AB$15),0.5,0)+IF(AB$14=AB$15,0.5,0),IF($D38="U",IF(AB$14=AB$15,1,0),1/AB$15)))</f>
        <v>0</v>
      </c>
      <c r="AC38" s="498" t="n">
        <f aca="false">INDEX(FC_FLUJO_CAJA!$D$48:$BK$48,1,AC$13)*IF(IFERROR(VALUE($D38&amp;""),0)&gt;0,IF(AC$14=MIN(VALUE($D38&amp;""),AC$15),1,0),IF($D38="Q",IF(AC$14=MIN(2,AC$15),0.5,0)+IF(AC$14=AC$15,0.5,0),IF($D38="U",IF(AC$14=AC$15,1,0),1/AC$15)))</f>
        <v>0</v>
      </c>
      <c r="AD38" s="498" t="n">
        <f aca="false">INDEX(FC_FLUJO_CAJA!$D$48:$BK$48,1,AD$13)*IF(IFERROR(VALUE($D38&amp;""),0)&gt;0,IF(AD$14=MIN(VALUE($D38&amp;""),AD$15),1,0),IF($D38="Q",IF(AD$14=MIN(2,AD$15),0.5,0)+IF(AD$14=AD$15,0.5,0),IF($D38="U",IF(AD$14=AD$15,1,0),1/AD$15)))</f>
        <v>0</v>
      </c>
      <c r="AE38" s="498" t="n">
        <f aca="false">INDEX(FC_FLUJO_CAJA!$D$48:$BK$48,1,AE$13)*IF(IFERROR(VALUE($D38&amp;""),0)&gt;0,IF(AE$14=MIN(VALUE($D38&amp;""),AE$15),1,0),IF($D38="Q",IF(AE$14=MIN(2,AE$15),0.5,0)+IF(AE$14=AE$15,0.5,0),IF($D38="U",IF(AE$14=AE$15,1,0),1/AE$15)))</f>
        <v>0</v>
      </c>
      <c r="AF38" s="498" t="n">
        <f aca="false">INDEX(FC_FLUJO_CAJA!$D$48:$BK$48,1,AF$13)*IF(IFERROR(VALUE($D38&amp;""),0)&gt;0,IF(AF$14=MIN(VALUE($D38&amp;""),AF$15),1,0),IF($D38="Q",IF(AF$14=MIN(2,AF$15),0.5,0)+IF(AF$14=AF$15,0.5,0),IF($D38="U",IF(AF$14=AF$15,1,0),1/AF$15)))</f>
        <v>0</v>
      </c>
      <c r="AG38" s="498" t="n">
        <f aca="false">INDEX(FC_FLUJO_CAJA!$D$48:$BK$48,1,AG$13)*IF(IFERROR(VALUE($D38&amp;""),0)&gt;0,IF(AG$14=MIN(VALUE($D38&amp;""),AG$15),1,0),IF($D38="Q",IF(AG$14=MIN(2,AG$15),0.5,0)+IF(AG$14=AG$15,0.5,0),IF($D38="U",IF(AG$14=AG$15,1,0),1/AG$15)))</f>
        <v>0</v>
      </c>
      <c r="AH38" s="498" t="n">
        <f aca="false">INDEX(FC_FLUJO_CAJA!$D$48:$BK$48,1,AH$13)*IF(IFERROR(VALUE($D38&amp;""),0)&gt;0,IF(AH$14=MIN(VALUE($D38&amp;""),AH$15),1,0),IF($D38="Q",IF(AH$14=MIN(2,AH$15),0.5,0)+IF(AH$14=AH$15,0.5,0),IF($D38="U",IF(AH$14=AH$15,1,0),1/AH$15)))</f>
        <v>0</v>
      </c>
      <c r="AI38" s="498" t="n">
        <f aca="false">INDEX(FC_FLUJO_CAJA!$D$48:$BK$48,1,AI$13)*IF(IFERROR(VALUE($D38&amp;""),0)&gt;0,IF(AI$14=MIN(VALUE($D38&amp;""),AI$15),1,0),IF($D38="Q",IF(AI$14=MIN(2,AI$15),0.5,0)+IF(AI$14=AI$15,0.5,0),IF($D38="U",IF(AI$14=AI$15,1,0),1/AI$15)))</f>
        <v>0</v>
      </c>
      <c r="AJ38" s="498" t="n">
        <f aca="false">INDEX(FC_FLUJO_CAJA!$D$48:$BK$48,1,AJ$13)*IF(IFERROR(VALUE($D38&amp;""),0)&gt;0,IF(AJ$14=MIN(VALUE($D38&amp;""),AJ$15),1,0),IF($D38="Q",IF(AJ$14=MIN(2,AJ$15),0.5,0)+IF(AJ$14=AJ$15,0.5,0),IF($D38="U",IF(AJ$14=AJ$15,1,0),1/AJ$15)))</f>
        <v>0</v>
      </c>
      <c r="AK38" s="498" t="n">
        <f aca="false">INDEX(FC_FLUJO_CAJA!$D$48:$BK$48,1,AK$13)*IF(IFERROR(VALUE($D38&amp;""),0)&gt;0,IF(AK$14=MIN(VALUE($D38&amp;""),AK$15),1,0),IF($D38="Q",IF(AK$14=MIN(2,AK$15),0.5,0)+IF(AK$14=AK$15,0.5,0),IF($D38="U",IF(AK$14=AK$15,1,0),1/AK$15)))</f>
        <v>0</v>
      </c>
      <c r="AL38" s="498" t="n">
        <f aca="false">INDEX(FC_FLUJO_CAJA!$D$48:$BK$48,1,AL$13)*IF(IFERROR(VALUE($D38&amp;""),0)&gt;0,IF(AL$14=MIN(VALUE($D38&amp;""),AL$15),1,0),IF($D38="Q",IF(AL$14=MIN(2,AL$15),0.5,0)+IF(AL$14=AL$15,0.5,0),IF($D38="U",IF(AL$14=AL$15,1,0),1/AL$15)))</f>
        <v>22500</v>
      </c>
      <c r="AM38" s="498" t="n">
        <f aca="false">INDEX(FC_FLUJO_CAJA!$D$48:$BK$48,1,AM$13)*IF(IFERROR(VALUE($D38&amp;""),0)&gt;0,IF(AM$14=MIN(VALUE($D38&amp;""),AM$15),1,0),IF($D38="Q",IF(AM$14=MIN(2,AM$15),0.5,0)+IF(AM$14=AM$15,0.5,0),IF($D38="U",IF(AM$14=AM$15,1,0),1/AM$15)))</f>
        <v>0</v>
      </c>
      <c r="AN38" s="498" t="n">
        <f aca="false">INDEX(FC_FLUJO_CAJA!$D$48:$BK$48,1,AN$13)*IF(IFERROR(VALUE($D38&amp;""),0)&gt;0,IF(AN$14=MIN(VALUE($D38&amp;""),AN$15),1,0),IF($D38="Q",IF(AN$14=MIN(2,AN$15),0.5,0)+IF(AN$14=AN$15,0.5,0),IF($D38="U",IF(AN$14=AN$15,1,0),1/AN$15)))</f>
        <v>0</v>
      </c>
      <c r="AO38" s="498" t="n">
        <f aca="false">INDEX(FC_FLUJO_CAJA!$D$48:$BK$48,1,AO$13)*IF(IFERROR(VALUE($D38&amp;""),0)&gt;0,IF(AO$14=MIN(VALUE($D38&amp;""),AO$15),1,0),IF($D38="Q",IF(AO$14=MIN(2,AO$15),0.5,0)+IF(AO$14=AO$15,0.5,0),IF($D38="U",IF(AO$14=AO$15,1,0),1/AO$15)))</f>
        <v>0</v>
      </c>
      <c r="AP38" s="498" t="n">
        <f aca="false">INDEX(FC_FLUJO_CAJA!$D$48:$BK$48,1,AP$13)*IF(IFERROR(VALUE($D38&amp;""),0)&gt;0,IF(AP$14=MIN(VALUE($D38&amp;""),AP$15),1,0),IF($D38="Q",IF(AP$14=MIN(2,AP$15),0.5,0)+IF(AP$14=AP$15,0.5,0),IF($D38="U",IF(AP$14=AP$15,1,0),1/AP$15)))</f>
        <v>0</v>
      </c>
      <c r="AQ38" s="498" t="n">
        <f aca="false">INDEX(FC_FLUJO_CAJA!$D$48:$BK$48,1,AQ$13)*IF(IFERROR(VALUE($D38&amp;""),0)&gt;0,IF(AQ$14=MIN(VALUE($D38&amp;""),AQ$15),1,0),IF($D38="Q",IF(AQ$14=MIN(2,AQ$15),0.5,0)+IF(AQ$14=AQ$15,0.5,0),IF($D38="U",IF(AQ$14=AQ$15,1,0),1/AQ$15)))</f>
        <v>22500</v>
      </c>
      <c r="AR38" s="498" t="n">
        <f aca="false">INDEX(FC_FLUJO_CAJA!$D$48:$BK$48,1,AR$13)*IF(IFERROR(VALUE($D38&amp;""),0)&gt;0,IF(AR$14=MIN(VALUE($D38&amp;""),AR$15),1,0),IF($D38="Q",IF(AR$14=MIN(2,AR$15),0.5,0)+IF(AR$14=AR$15,0.5,0),IF($D38="U",IF(AR$14=AR$15,1,0),1/AR$15)))</f>
        <v>0</v>
      </c>
      <c r="AS38" s="498" t="n">
        <f aca="false">INDEX(FC_FLUJO_CAJA!$D$48:$BK$48,1,AS$13)*IF(IFERROR(VALUE($D38&amp;""),0)&gt;0,IF(AS$14=MIN(VALUE($D38&amp;""),AS$15),1,0),IF($D38="Q",IF(AS$14=MIN(2,AS$15),0.5,0)+IF(AS$14=AS$15,0.5,0),IF($D38="U",IF(AS$14=AS$15,1,0),1/AS$15)))</f>
        <v>0</v>
      </c>
      <c r="AT38" s="498" t="n">
        <f aca="false">INDEX(FC_FLUJO_CAJA!$D$48:$BK$48,1,AT$13)*IF(IFERROR(VALUE($D38&amp;""),0)&gt;0,IF(AT$14=MIN(VALUE($D38&amp;""),AT$15),1,0),IF($D38="Q",IF(AT$14=MIN(2,AT$15),0.5,0)+IF(AT$14=AT$15,0.5,0),IF($D38="U",IF(AT$14=AT$15,1,0),1/AT$15)))</f>
        <v>0</v>
      </c>
      <c r="AU38" s="498" t="n">
        <f aca="false">INDEX(FC_FLUJO_CAJA!$D$48:$BK$48,1,AU$13)*IF(IFERROR(VALUE($D38&amp;""),0)&gt;0,IF(AU$14=MIN(VALUE($D38&amp;""),AU$15),1,0),IF($D38="Q",IF(AU$14=MIN(2,AU$15),0.5,0)+IF(AU$14=AU$15,0.5,0),IF($D38="U",IF(AU$14=AU$15,1,0),1/AU$15)))</f>
        <v>0</v>
      </c>
      <c r="AV38" s="498" t="n">
        <f aca="false">INDEX(FC_FLUJO_CAJA!$D$48:$BK$48,1,AV$13)*IF(IFERROR(VALUE($D38&amp;""),0)&gt;0,IF(AV$14=MIN(VALUE($D38&amp;""),AV$15),1,0),IF($D38="Q",IF(AV$14=MIN(2,AV$15),0.5,0)+IF(AV$14=AV$15,0.5,0),IF($D38="U",IF(AV$14=AV$15,1,0),1/AV$15)))</f>
        <v>0</v>
      </c>
      <c r="AW38" s="498" t="n">
        <f aca="false">INDEX(FC_FLUJO_CAJA!$D$48:$BK$48,1,AW$13)*IF(IFERROR(VALUE($D38&amp;""),0)&gt;0,IF(AW$14=MIN(VALUE($D38&amp;""),AW$15),1,0),IF($D38="Q",IF(AW$14=MIN(2,AW$15),0.5,0)+IF(AW$14=AW$15,0.5,0),IF($D38="U",IF(AW$14=AW$15,1,0),1/AW$15)))</f>
        <v>0</v>
      </c>
      <c r="AX38" s="498" t="n">
        <f aca="false">INDEX(FC_FLUJO_CAJA!$D$48:$BK$48,1,AX$13)*IF(IFERROR(VALUE($D38&amp;""),0)&gt;0,IF(AX$14=MIN(VALUE($D38&amp;""),AX$15),1,0),IF($D38="Q",IF(AX$14=MIN(2,AX$15),0.5,0)+IF(AX$14=AX$15,0.5,0),IF($D38="U",IF(AX$14=AX$15,1,0),1/AX$15)))</f>
        <v>0</v>
      </c>
      <c r="AY38" s="498" t="n">
        <f aca="false">INDEX(FC_FLUJO_CAJA!$D$48:$BK$48,1,AY$13)*IF(IFERROR(VALUE($D38&amp;""),0)&gt;0,IF(AY$14=MIN(VALUE($D38&amp;""),AY$15),1,0),IF($D38="Q",IF(AY$14=MIN(2,AY$15),0.5,0)+IF(AY$14=AY$15,0.5,0),IF($D38="U",IF(AY$14=AY$15,1,0),1/AY$15)))</f>
        <v>0</v>
      </c>
      <c r="AZ38" s="498" t="n">
        <f aca="false">INDEX(FC_FLUJO_CAJA!$D$48:$BK$48,1,AZ$13)*IF(IFERROR(VALUE($D38&amp;""),0)&gt;0,IF(AZ$14=MIN(VALUE($D38&amp;""),AZ$15),1,0),IF($D38="Q",IF(AZ$14=MIN(2,AZ$15),0.5,0)+IF(AZ$14=AZ$15,0.5,0),IF($D38="U",IF(AZ$14=AZ$15,1,0),1/AZ$15)))</f>
        <v>0</v>
      </c>
      <c r="BA38" s="498" t="n">
        <f aca="false">INDEX(FC_FLUJO_CAJA!$D$48:$BK$48,1,BA$13)*IF(IFERROR(VALUE($D38&amp;""),0)&gt;0,IF(BA$14=MIN(VALUE($D38&amp;""),BA$15),1,0),IF($D38="Q",IF(BA$14=MIN(2,BA$15),0.5,0)+IF(BA$14=BA$15,0.5,0),IF($D38="U",IF(BA$14=BA$15,1,0),1/BA$15)))</f>
        <v>0</v>
      </c>
      <c r="BB38" s="498" t="n">
        <f aca="false">INDEX(FC_FLUJO_CAJA!$D$48:$BK$48,1,BB$13)*IF(IFERROR(VALUE($D38&amp;""),0)&gt;0,IF(BB$14=MIN(VALUE($D38&amp;""),BB$15),1,0),IF($D38="Q",IF(BB$14=MIN(2,BB$15),0.5,0)+IF(BB$14=BB$15,0.5,0),IF($D38="U",IF(BB$14=BB$15,1,0),1/BB$15)))</f>
        <v>0</v>
      </c>
      <c r="BC38" s="498" t="n">
        <f aca="false">INDEX(FC_FLUJO_CAJA!$D$48:$BK$48,1,BC$13)*IF(IFERROR(VALUE($D38&amp;""),0)&gt;0,IF(BC$14=MIN(VALUE($D38&amp;""),BC$15),1,0),IF($D38="Q",IF(BC$14=MIN(2,BC$15),0.5,0)+IF(BC$14=BC$15,0.5,0),IF($D38="U",IF(BC$14=BC$15,1,0),1/BC$15)))</f>
        <v>0</v>
      </c>
      <c r="BD38" s="498" t="n">
        <f aca="false">INDEX(FC_FLUJO_CAJA!$D$48:$BK$48,1,BD$13)*IF(IFERROR(VALUE($D38&amp;""),0)&gt;0,IF(BD$14=MIN(VALUE($D38&amp;""),BD$15),1,0),IF($D38="Q",IF(BD$14=MIN(2,BD$15),0.5,0)+IF(BD$14=BD$15,0.5,0),IF($D38="U",IF(BD$14=BD$15,1,0),1/BD$15)))</f>
        <v>0</v>
      </c>
      <c r="BE38" s="498" t="n">
        <f aca="false">INDEX(FC_FLUJO_CAJA!$D$48:$BK$48,1,BE$13)*IF(IFERROR(VALUE($D38&amp;""),0)&gt;0,IF(BE$14=MIN(VALUE($D38&amp;""),BE$15),1,0),IF($D38="Q",IF(BE$14=MIN(2,BE$15),0.5,0)+IF(BE$14=BE$15,0.5,0),IF($D38="U",IF(BE$14=BE$15,1,0),1/BE$15)))</f>
        <v>0</v>
      </c>
    </row>
    <row r="39" customFormat="false" ht="15" hidden="false" customHeight="true" outlineLevel="0" collapsed="false">
      <c r="A39" s="400" t="s">
        <v>3129</v>
      </c>
      <c r="B39" s="283" t="s">
        <v>3130</v>
      </c>
      <c r="C39" s="531" t="s">
        <v>3131</v>
      </c>
      <c r="D39" s="289" t="str">
        <f aca="false">FC_SUPUESTOS!$C$142</f>
        <v>P</v>
      </c>
      <c r="E39" s="532" t="n">
        <f aca="false">SUM(F39:BE39)</f>
        <v>40640.58</v>
      </c>
      <c r="F39" s="498" t="n">
        <f aca="false">INDEX(FC_FLUJO_CAJA!$D$49:$BK$49,1,F$13)*IF(IFERROR(VALUE($D39&amp;""),0)&gt;0,IF(F$14=MIN(VALUE($D39&amp;""),F$15),1,0),IF($D39="Q",IF(F$14=MIN(2,F$15),0.5,0)+IF(F$14=F$15,0.5,0),IF($D39="U",IF(F$14=F$15,1,0),1/F$15)))</f>
        <v>0</v>
      </c>
      <c r="G39" s="498" t="n">
        <f aca="false">INDEX(FC_FLUJO_CAJA!$D$49:$BK$49,1,G$13)*IF(IFERROR(VALUE($D39&amp;""),0)&gt;0,IF(G$14=MIN(VALUE($D39&amp;""),G$15),1,0),IF($D39="Q",IF(G$14=MIN(2,G$15),0.5,0)+IF(G$14=G$15,0.5,0),IF($D39="U",IF(G$14=G$15,1,0),1/G$15)))</f>
        <v>0</v>
      </c>
      <c r="H39" s="498" t="n">
        <f aca="false">INDEX(FC_FLUJO_CAJA!$D$49:$BK$49,1,H$13)*IF(IFERROR(VALUE($D39&amp;""),0)&gt;0,IF(H$14=MIN(VALUE($D39&amp;""),H$15),1,0),IF($D39="Q",IF(H$14=MIN(2,H$15),0.5,0)+IF(H$14=H$15,0.5,0),IF($D39="U",IF(H$14=H$15,1,0),1/H$15)))</f>
        <v>0</v>
      </c>
      <c r="I39" s="498" t="n">
        <f aca="false">INDEX(FC_FLUJO_CAJA!$D$49:$BK$49,1,I$13)*IF(IFERROR(VALUE($D39&amp;""),0)&gt;0,IF(I$14=MIN(VALUE($D39&amp;""),I$15),1,0),IF($D39="Q",IF(I$14=MIN(2,I$15),0.5,0)+IF(I$14=I$15,0.5,0),IF($D39="U",IF(I$14=I$15,1,0),1/I$15)))</f>
        <v>0</v>
      </c>
      <c r="J39" s="498" t="n">
        <f aca="false">INDEX(FC_FLUJO_CAJA!$D$49:$BK$49,1,J$13)*IF(IFERROR(VALUE($D39&amp;""),0)&gt;0,IF(J$14=MIN(VALUE($D39&amp;""),J$15),1,0),IF($D39="Q",IF(J$14=MIN(2,J$15),0.5,0)+IF(J$14=J$15,0.5,0),IF($D39="U",IF(J$14=J$15,1,0),1/J$15)))</f>
        <v>0</v>
      </c>
      <c r="K39" s="498" t="n">
        <f aca="false">INDEX(FC_FLUJO_CAJA!$D$49:$BK$49,1,K$13)*IF(IFERROR(VALUE($D39&amp;""),0)&gt;0,IF(K$14=MIN(VALUE($D39&amp;""),K$15),1,0),IF($D39="Q",IF(K$14=MIN(2,K$15),0.5,0)+IF(K$14=K$15,0.5,0),IF($D39="U",IF(K$14=K$15,1,0),1/K$15)))</f>
        <v>0</v>
      </c>
      <c r="L39" s="498" t="n">
        <f aca="false">INDEX(FC_FLUJO_CAJA!$D$49:$BK$49,1,L$13)*IF(IFERROR(VALUE($D39&amp;""),0)&gt;0,IF(L$14=MIN(VALUE($D39&amp;""),L$15),1,0),IF($D39="Q",IF(L$14=MIN(2,L$15),0.5,0)+IF(L$14=L$15,0.5,0),IF($D39="U",IF(L$14=L$15,1,0),1/L$15)))</f>
        <v>0</v>
      </c>
      <c r="M39" s="498" t="n">
        <f aca="false">INDEX(FC_FLUJO_CAJA!$D$49:$BK$49,1,M$13)*IF(IFERROR(VALUE($D39&amp;""),0)&gt;0,IF(M$14=MIN(VALUE($D39&amp;""),M$15),1,0),IF($D39="Q",IF(M$14=MIN(2,M$15),0.5,0)+IF(M$14=M$15,0.5,0),IF($D39="U",IF(M$14=M$15,1,0),1/M$15)))</f>
        <v>0</v>
      </c>
      <c r="N39" s="498" t="n">
        <f aca="false">INDEX(FC_FLUJO_CAJA!$D$49:$BK$49,1,N$13)*IF(IFERROR(VALUE($D39&amp;""),0)&gt;0,IF(N$14=MIN(VALUE($D39&amp;""),N$15),1,0),IF($D39="Q",IF(N$14=MIN(2,N$15),0.5,0)+IF(N$14=N$15,0.5,0),IF($D39="U",IF(N$14=N$15,1,0),1/N$15)))</f>
        <v>0</v>
      </c>
      <c r="O39" s="498" t="n">
        <f aca="false">INDEX(FC_FLUJO_CAJA!$D$49:$BK$49,1,O$13)*IF(IFERROR(VALUE($D39&amp;""),0)&gt;0,IF(O$14=MIN(VALUE($D39&amp;""),O$15),1,0),IF($D39="Q",IF(O$14=MIN(2,O$15),0.5,0)+IF(O$14=O$15,0.5,0),IF($D39="U",IF(O$14=O$15,1,0),1/O$15)))</f>
        <v>0</v>
      </c>
      <c r="P39" s="498" t="n">
        <f aca="false">INDEX(FC_FLUJO_CAJA!$D$49:$BK$49,1,P$13)*IF(IFERROR(VALUE($D39&amp;""),0)&gt;0,IF(P$14=MIN(VALUE($D39&amp;""),P$15),1,0),IF($D39="Q",IF(P$14=MIN(2,P$15),0.5,0)+IF(P$14=P$15,0.5,0),IF($D39="U",IF(P$14=P$15,1,0),1/P$15)))</f>
        <v>0</v>
      </c>
      <c r="Q39" s="498" t="n">
        <f aca="false">INDEX(FC_FLUJO_CAJA!$D$49:$BK$49,1,Q$13)*IF(IFERROR(VALUE($D39&amp;""),0)&gt;0,IF(Q$14=MIN(VALUE($D39&amp;""),Q$15),1,0),IF($D39="Q",IF(Q$14=MIN(2,Q$15),0.5,0)+IF(Q$14=Q$15,0.5,0),IF($D39="U",IF(Q$14=Q$15,1,0),1/Q$15)))</f>
        <v>0</v>
      </c>
      <c r="R39" s="498" t="n">
        <f aca="false">INDEX(FC_FLUJO_CAJA!$D$49:$BK$49,1,R$13)*IF(IFERROR(VALUE($D39&amp;""),0)&gt;0,IF(R$14=MIN(VALUE($D39&amp;""),R$15),1,0),IF($D39="Q",IF(R$14=MIN(2,R$15),0.5,0)+IF(R$14=R$15,0.5,0),IF($D39="U",IF(R$14=R$15,1,0),1/R$15)))</f>
        <v>0</v>
      </c>
      <c r="S39" s="498" t="n">
        <f aca="false">INDEX(FC_FLUJO_CAJA!$D$49:$BK$49,1,S$13)*IF(IFERROR(VALUE($D39&amp;""),0)&gt;0,IF(S$14=MIN(VALUE($D39&amp;""),S$15),1,0),IF($D39="Q",IF(S$14=MIN(2,S$15),0.5,0)+IF(S$14=S$15,0.5,0),IF($D39="U",IF(S$14=S$15,1,0),1/S$15)))</f>
        <v>0</v>
      </c>
      <c r="T39" s="498" t="n">
        <f aca="false">INDEX(FC_FLUJO_CAJA!$D$49:$BK$49,1,T$13)*IF(IFERROR(VALUE($D39&amp;""),0)&gt;0,IF(T$14=MIN(VALUE($D39&amp;""),T$15),1,0),IF($D39="Q",IF(T$14=MIN(2,T$15),0.5,0)+IF(T$14=T$15,0.5,0),IF($D39="U",IF(T$14=T$15,1,0),1/T$15)))</f>
        <v>0</v>
      </c>
      <c r="U39" s="498" t="n">
        <f aca="false">INDEX(FC_FLUJO_CAJA!$D$49:$BK$49,1,U$13)*IF(IFERROR(VALUE($D39&amp;""),0)&gt;0,IF(U$14=MIN(VALUE($D39&amp;""),U$15),1,0),IF($D39="Q",IF(U$14=MIN(2,U$15),0.5,0)+IF(U$14=U$15,0.5,0),IF($D39="U",IF(U$14=U$15,1,0),1/U$15)))</f>
        <v>0</v>
      </c>
      <c r="V39" s="498" t="n">
        <f aca="false">INDEX(FC_FLUJO_CAJA!$D$49:$BK$49,1,V$13)*IF(IFERROR(VALUE($D39&amp;""),0)&gt;0,IF(V$14=MIN(VALUE($D39&amp;""),V$15),1,0),IF($D39="Q",IF(V$14=MIN(2,V$15),0.5,0)+IF(V$14=V$15,0.5,0),IF($D39="U",IF(V$14=V$15,1,0),1/V$15)))</f>
        <v>0</v>
      </c>
      <c r="W39" s="498" t="n">
        <f aca="false">INDEX(FC_FLUJO_CAJA!$D$49:$BK$49,1,W$13)*IF(IFERROR(VALUE($D39&amp;""),0)&gt;0,IF(W$14=MIN(VALUE($D39&amp;""),W$15),1,0),IF($D39="Q",IF(W$14=MIN(2,W$15),0.5,0)+IF(W$14=W$15,0.5,0),IF($D39="U",IF(W$14=W$15,1,0),1/W$15)))</f>
        <v>0</v>
      </c>
      <c r="X39" s="498" t="n">
        <f aca="false">INDEX(FC_FLUJO_CAJA!$D$49:$BK$49,1,X$13)*IF(IFERROR(VALUE($D39&amp;""),0)&gt;0,IF(X$14=MIN(VALUE($D39&amp;""),X$15),1,0),IF($D39="Q",IF(X$14=MIN(2,X$15),0.5,0)+IF(X$14=X$15,0.5,0),IF($D39="U",IF(X$14=X$15,1,0),1/X$15)))</f>
        <v>0</v>
      </c>
      <c r="Y39" s="498" t="n">
        <f aca="false">INDEX(FC_FLUJO_CAJA!$D$49:$BK$49,1,Y$13)*IF(IFERROR(VALUE($D39&amp;""),0)&gt;0,IF(Y$14=MIN(VALUE($D39&amp;""),Y$15),1,0),IF($D39="Q",IF(Y$14=MIN(2,Y$15),0.5,0)+IF(Y$14=Y$15,0.5,0),IF($D39="U",IF(Y$14=Y$15,1,0),1/Y$15)))</f>
        <v>0</v>
      </c>
      <c r="Z39" s="498" t="n">
        <f aca="false">INDEX(FC_FLUJO_CAJA!$D$49:$BK$49,1,Z$13)*IF(IFERROR(VALUE($D39&amp;""),0)&gt;0,IF(Z$14=MIN(VALUE($D39&amp;""),Z$15),1,0),IF($D39="Q",IF(Z$14=MIN(2,Z$15),0.5,0)+IF(Z$14=Z$15,0.5,0),IF($D39="U",IF(Z$14=Z$15,1,0),1/Z$15)))</f>
        <v>0</v>
      </c>
      <c r="AA39" s="498" t="n">
        <f aca="false">INDEX(FC_FLUJO_CAJA!$D$49:$BK$49,1,AA$13)*IF(IFERROR(VALUE($D39&amp;""),0)&gt;0,IF(AA$14=MIN(VALUE($D39&amp;""),AA$15),1,0),IF($D39="Q",IF(AA$14=MIN(2,AA$15),0.5,0)+IF(AA$14=AA$15,0.5,0),IF($D39="U",IF(AA$14=AA$15,1,0),1/AA$15)))</f>
        <v>0</v>
      </c>
      <c r="AB39" s="498" t="n">
        <f aca="false">INDEX(FC_FLUJO_CAJA!$D$49:$BK$49,1,AB$13)*IF(IFERROR(VALUE($D39&amp;""),0)&gt;0,IF(AB$14=MIN(VALUE($D39&amp;""),AB$15),1,0),IF($D39="Q",IF(AB$14=MIN(2,AB$15),0.5,0)+IF(AB$14=AB$15,0.5,0),IF($D39="U",IF(AB$14=AB$15,1,0),1/AB$15)))</f>
        <v>0</v>
      </c>
      <c r="AC39" s="498" t="n">
        <f aca="false">INDEX(FC_FLUJO_CAJA!$D$49:$BK$49,1,AC$13)*IF(IFERROR(VALUE($D39&amp;""),0)&gt;0,IF(AC$14=MIN(VALUE($D39&amp;""),AC$15),1,0),IF($D39="Q",IF(AC$14=MIN(2,AC$15),0.5,0)+IF(AC$14=AC$15,0.5,0),IF($D39="U",IF(AC$14=AC$15,1,0),1/AC$15)))</f>
        <v>0</v>
      </c>
      <c r="AD39" s="498" t="n">
        <f aca="false">INDEX(FC_FLUJO_CAJA!$D$49:$BK$49,1,AD$13)*IF(IFERROR(VALUE($D39&amp;""),0)&gt;0,IF(AD$14=MIN(VALUE($D39&amp;""),AD$15),1,0),IF($D39="Q",IF(AD$14=MIN(2,AD$15),0.5,0)+IF(AD$14=AD$15,0.5,0),IF($D39="U",IF(AD$14=AD$15,1,0),1/AD$15)))</f>
        <v>0</v>
      </c>
      <c r="AE39" s="498" t="n">
        <f aca="false">INDEX(FC_FLUJO_CAJA!$D$49:$BK$49,1,AE$13)*IF(IFERROR(VALUE($D39&amp;""),0)&gt;0,IF(AE$14=MIN(VALUE($D39&amp;""),AE$15),1,0),IF($D39="Q",IF(AE$14=MIN(2,AE$15),0.5,0)+IF(AE$14=AE$15,0.5,0),IF($D39="U",IF(AE$14=AE$15,1,0),1/AE$15)))</f>
        <v>0</v>
      </c>
      <c r="AF39" s="498" t="n">
        <f aca="false">INDEX(FC_FLUJO_CAJA!$D$49:$BK$49,1,AF$13)*IF(IFERROR(VALUE($D39&amp;""),0)&gt;0,IF(AF$14=MIN(VALUE($D39&amp;""),AF$15),1,0),IF($D39="Q",IF(AF$14=MIN(2,AF$15),0.5,0)+IF(AF$14=AF$15,0.5,0),IF($D39="U",IF(AF$14=AF$15,1,0),1/AF$15)))</f>
        <v>0</v>
      </c>
      <c r="AG39" s="498" t="n">
        <f aca="false">INDEX(FC_FLUJO_CAJA!$D$49:$BK$49,1,AG$13)*IF(IFERROR(VALUE($D39&amp;""),0)&gt;0,IF(AG$14=MIN(VALUE($D39&amp;""),AG$15),1,0),IF($D39="Q",IF(AG$14=MIN(2,AG$15),0.5,0)+IF(AG$14=AG$15,0.5,0),IF($D39="U",IF(AG$14=AG$15,1,0),1/AG$15)))</f>
        <v>0</v>
      </c>
      <c r="AH39" s="498" t="n">
        <f aca="false">INDEX(FC_FLUJO_CAJA!$D$49:$BK$49,1,AH$13)*IF(IFERROR(VALUE($D39&amp;""),0)&gt;0,IF(AH$14=MIN(VALUE($D39&amp;""),AH$15),1,0),IF($D39="Q",IF(AH$14=MIN(2,AH$15),0.5,0)+IF(AH$14=AH$15,0.5,0),IF($D39="U",IF(AH$14=AH$15,1,0),1/AH$15)))</f>
        <v>0</v>
      </c>
      <c r="AI39" s="498" t="n">
        <f aca="false">INDEX(FC_FLUJO_CAJA!$D$49:$BK$49,1,AI$13)*IF(IFERROR(VALUE($D39&amp;""),0)&gt;0,IF(AI$14=MIN(VALUE($D39&amp;""),AI$15),1,0),IF($D39="Q",IF(AI$14=MIN(2,AI$15),0.5,0)+IF(AI$14=AI$15,0.5,0),IF($D39="U",IF(AI$14=AI$15,1,0),1/AI$15)))</f>
        <v>0</v>
      </c>
      <c r="AJ39" s="498" t="n">
        <f aca="false">INDEX(FC_FLUJO_CAJA!$D$49:$BK$49,1,AJ$13)*IF(IFERROR(VALUE($D39&amp;""),0)&gt;0,IF(AJ$14=MIN(VALUE($D39&amp;""),AJ$15),1,0),IF($D39="Q",IF(AJ$14=MIN(2,AJ$15),0.5,0)+IF(AJ$14=AJ$15,0.5,0),IF($D39="U",IF(AJ$14=AJ$15,1,0),1/AJ$15)))</f>
        <v>4064.058</v>
      </c>
      <c r="AK39" s="498" t="n">
        <f aca="false">INDEX(FC_FLUJO_CAJA!$D$49:$BK$49,1,AK$13)*IF(IFERROR(VALUE($D39&amp;""),0)&gt;0,IF(AK$14=MIN(VALUE($D39&amp;""),AK$15),1,0),IF($D39="Q",IF(AK$14=MIN(2,AK$15),0.5,0)+IF(AK$14=AK$15,0.5,0),IF($D39="U",IF(AK$14=AK$15,1,0),1/AK$15)))</f>
        <v>4064.058</v>
      </c>
      <c r="AL39" s="498" t="n">
        <f aca="false">INDEX(FC_FLUJO_CAJA!$D$49:$BK$49,1,AL$13)*IF(IFERROR(VALUE($D39&amp;""),0)&gt;0,IF(AL$14=MIN(VALUE($D39&amp;""),AL$15),1,0),IF($D39="Q",IF(AL$14=MIN(2,AL$15),0.5,0)+IF(AL$14=AL$15,0.5,0),IF($D39="U",IF(AL$14=AL$15,1,0),1/AL$15)))</f>
        <v>4064.058</v>
      </c>
      <c r="AM39" s="498" t="n">
        <f aca="false">INDEX(FC_FLUJO_CAJA!$D$49:$BK$49,1,AM$13)*IF(IFERROR(VALUE($D39&amp;""),0)&gt;0,IF(AM$14=MIN(VALUE($D39&amp;""),AM$15),1,0),IF($D39="Q",IF(AM$14=MIN(2,AM$15),0.5,0)+IF(AM$14=AM$15,0.5,0),IF($D39="U",IF(AM$14=AM$15,1,0),1/AM$15)))</f>
        <v>4064.058</v>
      </c>
      <c r="AN39" s="498" t="n">
        <f aca="false">INDEX(FC_FLUJO_CAJA!$D$49:$BK$49,1,AN$13)*IF(IFERROR(VALUE($D39&amp;""),0)&gt;0,IF(AN$14=MIN(VALUE($D39&amp;""),AN$15),1,0),IF($D39="Q",IF(AN$14=MIN(2,AN$15),0.5,0)+IF(AN$14=AN$15,0.5,0),IF($D39="U",IF(AN$14=AN$15,1,0),1/AN$15)))</f>
        <v>4064.058</v>
      </c>
      <c r="AO39" s="498" t="n">
        <f aca="false">INDEX(FC_FLUJO_CAJA!$D$49:$BK$49,1,AO$13)*IF(IFERROR(VALUE($D39&amp;""),0)&gt;0,IF(AO$14=MIN(VALUE($D39&amp;""),AO$15),1,0),IF($D39="Q",IF(AO$14=MIN(2,AO$15),0.5,0)+IF(AO$14=AO$15,0.5,0),IF($D39="U",IF(AO$14=AO$15,1,0),1/AO$15)))</f>
        <v>5080.0725</v>
      </c>
      <c r="AP39" s="498" t="n">
        <f aca="false">INDEX(FC_FLUJO_CAJA!$D$49:$BK$49,1,AP$13)*IF(IFERROR(VALUE($D39&amp;""),0)&gt;0,IF(AP$14=MIN(VALUE($D39&amp;""),AP$15),1,0),IF($D39="Q",IF(AP$14=MIN(2,AP$15),0.5,0)+IF(AP$14=AP$15,0.5,0),IF($D39="U",IF(AP$14=AP$15,1,0),1/AP$15)))</f>
        <v>5080.0725</v>
      </c>
      <c r="AQ39" s="498" t="n">
        <f aca="false">INDEX(FC_FLUJO_CAJA!$D$49:$BK$49,1,AQ$13)*IF(IFERROR(VALUE($D39&amp;""),0)&gt;0,IF(AQ$14=MIN(VALUE($D39&amp;""),AQ$15),1,0),IF($D39="Q",IF(AQ$14=MIN(2,AQ$15),0.5,0)+IF(AQ$14=AQ$15,0.5,0),IF($D39="U",IF(AQ$14=AQ$15,1,0),1/AQ$15)))</f>
        <v>5080.0725</v>
      </c>
      <c r="AR39" s="498" t="n">
        <f aca="false">INDEX(FC_FLUJO_CAJA!$D$49:$BK$49,1,AR$13)*IF(IFERROR(VALUE($D39&amp;""),0)&gt;0,IF(AR$14=MIN(VALUE($D39&amp;""),AR$15),1,0),IF($D39="Q",IF(AR$14=MIN(2,AR$15),0.5,0)+IF(AR$14=AR$15,0.5,0),IF($D39="U",IF(AR$14=AR$15,1,0),1/AR$15)))</f>
        <v>5080.0725</v>
      </c>
      <c r="AS39" s="498" t="n">
        <f aca="false">INDEX(FC_FLUJO_CAJA!$D$49:$BK$49,1,AS$13)*IF(IFERROR(VALUE($D39&amp;""),0)&gt;0,IF(AS$14=MIN(VALUE($D39&amp;""),AS$15),1,0),IF($D39="Q",IF(AS$14=MIN(2,AS$15),0.5,0)+IF(AS$14=AS$15,0.5,0),IF($D39="U",IF(AS$14=AS$15,1,0),1/AS$15)))</f>
        <v>0</v>
      </c>
      <c r="AT39" s="498" t="n">
        <f aca="false">INDEX(FC_FLUJO_CAJA!$D$49:$BK$49,1,AT$13)*IF(IFERROR(VALUE($D39&amp;""),0)&gt;0,IF(AT$14=MIN(VALUE($D39&amp;""),AT$15),1,0),IF($D39="Q",IF(AT$14=MIN(2,AT$15),0.5,0)+IF(AT$14=AT$15,0.5,0),IF($D39="U",IF(AT$14=AT$15,1,0),1/AT$15)))</f>
        <v>0</v>
      </c>
      <c r="AU39" s="498" t="n">
        <f aca="false">INDEX(FC_FLUJO_CAJA!$D$49:$BK$49,1,AU$13)*IF(IFERROR(VALUE($D39&amp;""),0)&gt;0,IF(AU$14=MIN(VALUE($D39&amp;""),AU$15),1,0),IF($D39="Q",IF(AU$14=MIN(2,AU$15),0.5,0)+IF(AU$14=AU$15,0.5,0),IF($D39="U",IF(AU$14=AU$15,1,0),1/AU$15)))</f>
        <v>0</v>
      </c>
      <c r="AV39" s="498" t="n">
        <f aca="false">INDEX(FC_FLUJO_CAJA!$D$49:$BK$49,1,AV$13)*IF(IFERROR(VALUE($D39&amp;""),0)&gt;0,IF(AV$14=MIN(VALUE($D39&amp;""),AV$15),1,0),IF($D39="Q",IF(AV$14=MIN(2,AV$15),0.5,0)+IF(AV$14=AV$15,0.5,0),IF($D39="U",IF(AV$14=AV$15,1,0),1/AV$15)))</f>
        <v>0</v>
      </c>
      <c r="AW39" s="498" t="n">
        <f aca="false">INDEX(FC_FLUJO_CAJA!$D$49:$BK$49,1,AW$13)*IF(IFERROR(VALUE($D39&amp;""),0)&gt;0,IF(AW$14=MIN(VALUE($D39&amp;""),AW$15),1,0),IF($D39="Q",IF(AW$14=MIN(2,AW$15),0.5,0)+IF(AW$14=AW$15,0.5,0),IF($D39="U",IF(AW$14=AW$15,1,0),1/AW$15)))</f>
        <v>0</v>
      </c>
      <c r="AX39" s="498" t="n">
        <f aca="false">INDEX(FC_FLUJO_CAJA!$D$49:$BK$49,1,AX$13)*IF(IFERROR(VALUE($D39&amp;""),0)&gt;0,IF(AX$14=MIN(VALUE($D39&amp;""),AX$15),1,0),IF($D39="Q",IF(AX$14=MIN(2,AX$15),0.5,0)+IF(AX$14=AX$15,0.5,0),IF($D39="U",IF(AX$14=AX$15,1,0),1/AX$15)))</f>
        <v>0</v>
      </c>
      <c r="AY39" s="498" t="n">
        <f aca="false">INDEX(FC_FLUJO_CAJA!$D$49:$BK$49,1,AY$13)*IF(IFERROR(VALUE($D39&amp;""),0)&gt;0,IF(AY$14=MIN(VALUE($D39&amp;""),AY$15),1,0),IF($D39="Q",IF(AY$14=MIN(2,AY$15),0.5,0)+IF(AY$14=AY$15,0.5,0),IF($D39="U",IF(AY$14=AY$15,1,0),1/AY$15)))</f>
        <v>0</v>
      </c>
      <c r="AZ39" s="498" t="n">
        <f aca="false">INDEX(FC_FLUJO_CAJA!$D$49:$BK$49,1,AZ$13)*IF(IFERROR(VALUE($D39&amp;""),0)&gt;0,IF(AZ$14=MIN(VALUE($D39&amp;""),AZ$15),1,0),IF($D39="Q",IF(AZ$14=MIN(2,AZ$15),0.5,0)+IF(AZ$14=AZ$15,0.5,0),IF($D39="U",IF(AZ$14=AZ$15,1,0),1/AZ$15)))</f>
        <v>0</v>
      </c>
      <c r="BA39" s="498" t="n">
        <f aca="false">INDEX(FC_FLUJO_CAJA!$D$49:$BK$49,1,BA$13)*IF(IFERROR(VALUE($D39&amp;""),0)&gt;0,IF(BA$14=MIN(VALUE($D39&amp;""),BA$15),1,0),IF($D39="Q",IF(BA$14=MIN(2,BA$15),0.5,0)+IF(BA$14=BA$15,0.5,0),IF($D39="U",IF(BA$14=BA$15,1,0),1/BA$15)))</f>
        <v>0</v>
      </c>
      <c r="BB39" s="498" t="n">
        <f aca="false">INDEX(FC_FLUJO_CAJA!$D$49:$BK$49,1,BB$13)*IF(IFERROR(VALUE($D39&amp;""),0)&gt;0,IF(BB$14=MIN(VALUE($D39&amp;""),BB$15),1,0),IF($D39="Q",IF(BB$14=MIN(2,BB$15),0.5,0)+IF(BB$14=BB$15,0.5,0),IF($D39="U",IF(BB$14=BB$15,1,0),1/BB$15)))</f>
        <v>0</v>
      </c>
      <c r="BC39" s="498" t="n">
        <f aca="false">INDEX(FC_FLUJO_CAJA!$D$49:$BK$49,1,BC$13)*IF(IFERROR(VALUE($D39&amp;""),0)&gt;0,IF(BC$14=MIN(VALUE($D39&amp;""),BC$15),1,0),IF($D39="Q",IF(BC$14=MIN(2,BC$15),0.5,0)+IF(BC$14=BC$15,0.5,0),IF($D39="U",IF(BC$14=BC$15,1,0),1/BC$15)))</f>
        <v>0</v>
      </c>
      <c r="BD39" s="498" t="n">
        <f aca="false">INDEX(FC_FLUJO_CAJA!$D$49:$BK$49,1,BD$13)*IF(IFERROR(VALUE($D39&amp;""),0)&gt;0,IF(BD$14=MIN(VALUE($D39&amp;""),BD$15),1,0),IF($D39="Q",IF(BD$14=MIN(2,BD$15),0.5,0)+IF(BD$14=BD$15,0.5,0),IF($D39="U",IF(BD$14=BD$15,1,0),1/BD$15)))</f>
        <v>0</v>
      </c>
      <c r="BE39" s="498" t="n">
        <f aca="false">INDEX(FC_FLUJO_CAJA!$D$49:$BK$49,1,BE$13)*IF(IFERROR(VALUE($D39&amp;""),0)&gt;0,IF(BE$14=MIN(VALUE($D39&amp;""),BE$15),1,0),IF($D39="Q",IF(BE$14=MIN(2,BE$15),0.5,0)+IF(BE$14=BE$15,0.5,0),IF($D39="U",IF(BE$14=BE$15,1,0),1/BE$15)))</f>
        <v>0</v>
      </c>
    </row>
    <row r="40" customFormat="false" ht="15" hidden="false" customHeight="true" outlineLevel="0" collapsed="false">
      <c r="A40" s="400" t="s">
        <v>3132</v>
      </c>
      <c r="B40" s="283" t="s">
        <v>3133</v>
      </c>
      <c r="C40" s="531" t="s">
        <v>3134</v>
      </c>
      <c r="D40" s="289" t="str">
        <f aca="false">FC_SUPUESTOS!$C$143</f>
        <v>P</v>
      </c>
      <c r="E40" s="532" t="n">
        <f aca="false">SUM(F40:BE40)</f>
        <v>24000</v>
      </c>
      <c r="F40" s="498" t="n">
        <f aca="false">INDEX(FC_FLUJO_CAJA!$D$50:$BK$50,1,F$13)*IF(IFERROR(VALUE($D40&amp;""),0)&gt;0,IF(F$14=MIN(VALUE($D40&amp;""),F$15),1,0),IF($D40="Q",IF(F$14=MIN(2,F$15),0.5,0)+IF(F$14=F$15,0.5,0),IF($D40="U",IF(F$14=F$15,1,0),1/F$15)))</f>
        <v>0</v>
      </c>
      <c r="G40" s="498" t="n">
        <f aca="false">INDEX(FC_FLUJO_CAJA!$D$50:$BK$50,1,G$13)*IF(IFERROR(VALUE($D40&amp;""),0)&gt;0,IF(G$14=MIN(VALUE($D40&amp;""),G$15),1,0),IF($D40="Q",IF(G$14=MIN(2,G$15),0.5,0)+IF(G$14=G$15,0.5,0),IF($D40="U",IF(G$14=G$15,1,0),1/G$15)))</f>
        <v>0</v>
      </c>
      <c r="H40" s="498" t="n">
        <f aca="false">INDEX(FC_FLUJO_CAJA!$D$50:$BK$50,1,H$13)*IF(IFERROR(VALUE($D40&amp;""),0)&gt;0,IF(H$14=MIN(VALUE($D40&amp;""),H$15),1,0),IF($D40="Q",IF(H$14=MIN(2,H$15),0.5,0)+IF(H$14=H$15,0.5,0),IF($D40="U",IF(H$14=H$15,1,0),1/H$15)))</f>
        <v>0</v>
      </c>
      <c r="I40" s="498" t="n">
        <f aca="false">INDEX(FC_FLUJO_CAJA!$D$50:$BK$50,1,I$13)*IF(IFERROR(VALUE($D40&amp;""),0)&gt;0,IF(I$14=MIN(VALUE($D40&amp;""),I$15),1,0),IF($D40="Q",IF(I$14=MIN(2,I$15),0.5,0)+IF(I$14=I$15,0.5,0),IF($D40="U",IF(I$14=I$15,1,0),1/I$15)))</f>
        <v>0</v>
      </c>
      <c r="J40" s="498" t="n">
        <f aca="false">INDEX(FC_FLUJO_CAJA!$D$50:$BK$50,1,J$13)*IF(IFERROR(VALUE($D40&amp;""),0)&gt;0,IF(J$14=MIN(VALUE($D40&amp;""),J$15),1,0),IF($D40="Q",IF(J$14=MIN(2,J$15),0.5,0)+IF(J$14=J$15,0.5,0),IF($D40="U",IF(J$14=J$15,1,0),1/J$15)))</f>
        <v>0</v>
      </c>
      <c r="K40" s="498" t="n">
        <f aca="false">INDEX(FC_FLUJO_CAJA!$D$50:$BK$50,1,K$13)*IF(IFERROR(VALUE($D40&amp;""),0)&gt;0,IF(K$14=MIN(VALUE($D40&amp;""),K$15),1,0),IF($D40="Q",IF(K$14=MIN(2,K$15),0.5,0)+IF(K$14=K$15,0.5,0),IF($D40="U",IF(K$14=K$15,1,0),1/K$15)))</f>
        <v>0</v>
      </c>
      <c r="L40" s="498" t="n">
        <f aca="false">INDEX(FC_FLUJO_CAJA!$D$50:$BK$50,1,L$13)*IF(IFERROR(VALUE($D40&amp;""),0)&gt;0,IF(L$14=MIN(VALUE($D40&amp;""),L$15),1,0),IF($D40="Q",IF(L$14=MIN(2,L$15),0.5,0)+IF(L$14=L$15,0.5,0),IF($D40="U",IF(L$14=L$15,1,0),1/L$15)))</f>
        <v>0</v>
      </c>
      <c r="M40" s="498" t="n">
        <f aca="false">INDEX(FC_FLUJO_CAJA!$D$50:$BK$50,1,M$13)*IF(IFERROR(VALUE($D40&amp;""),0)&gt;0,IF(M$14=MIN(VALUE($D40&amp;""),M$15),1,0),IF($D40="Q",IF(M$14=MIN(2,M$15),0.5,0)+IF(M$14=M$15,0.5,0),IF($D40="U",IF(M$14=M$15,1,0),1/M$15)))</f>
        <v>0</v>
      </c>
      <c r="N40" s="498" t="n">
        <f aca="false">INDEX(FC_FLUJO_CAJA!$D$50:$BK$50,1,N$13)*IF(IFERROR(VALUE($D40&amp;""),0)&gt;0,IF(N$14=MIN(VALUE($D40&amp;""),N$15),1,0),IF($D40="Q",IF(N$14=MIN(2,N$15),0.5,0)+IF(N$14=N$15,0.5,0),IF($D40="U",IF(N$14=N$15,1,0),1/N$15)))</f>
        <v>0</v>
      </c>
      <c r="O40" s="498" t="n">
        <f aca="false">INDEX(FC_FLUJO_CAJA!$D$50:$BK$50,1,O$13)*IF(IFERROR(VALUE($D40&amp;""),0)&gt;0,IF(O$14=MIN(VALUE($D40&amp;""),O$15),1,0),IF($D40="Q",IF(O$14=MIN(2,O$15),0.5,0)+IF(O$14=O$15,0.5,0),IF($D40="U",IF(O$14=O$15,1,0),1/O$15)))</f>
        <v>0</v>
      </c>
      <c r="P40" s="498" t="n">
        <f aca="false">INDEX(FC_FLUJO_CAJA!$D$50:$BK$50,1,P$13)*IF(IFERROR(VALUE($D40&amp;""),0)&gt;0,IF(P$14=MIN(VALUE($D40&amp;""),P$15),1,0),IF($D40="Q",IF(P$14=MIN(2,P$15),0.5,0)+IF(P$14=P$15,0.5,0),IF($D40="U",IF(P$14=P$15,1,0),1/P$15)))</f>
        <v>0</v>
      </c>
      <c r="Q40" s="498" t="n">
        <f aca="false">INDEX(FC_FLUJO_CAJA!$D$50:$BK$50,1,Q$13)*IF(IFERROR(VALUE($D40&amp;""),0)&gt;0,IF(Q$14=MIN(VALUE($D40&amp;""),Q$15),1,0),IF($D40="Q",IF(Q$14=MIN(2,Q$15),0.5,0)+IF(Q$14=Q$15,0.5,0),IF($D40="U",IF(Q$14=Q$15,1,0),1/Q$15)))</f>
        <v>0</v>
      </c>
      <c r="R40" s="498" t="n">
        <f aca="false">INDEX(FC_FLUJO_CAJA!$D$50:$BK$50,1,R$13)*IF(IFERROR(VALUE($D40&amp;""),0)&gt;0,IF(R$14=MIN(VALUE($D40&amp;""),R$15),1,0),IF($D40="Q",IF(R$14=MIN(2,R$15),0.5,0)+IF(R$14=R$15,0.5,0),IF($D40="U",IF(R$14=R$15,1,0),1/R$15)))</f>
        <v>0</v>
      </c>
      <c r="S40" s="498" t="n">
        <f aca="false">INDEX(FC_FLUJO_CAJA!$D$50:$BK$50,1,S$13)*IF(IFERROR(VALUE($D40&amp;""),0)&gt;0,IF(S$14=MIN(VALUE($D40&amp;""),S$15),1,0),IF($D40="Q",IF(S$14=MIN(2,S$15),0.5,0)+IF(S$14=S$15,0.5,0),IF($D40="U",IF(S$14=S$15,1,0),1/S$15)))</f>
        <v>0</v>
      </c>
      <c r="T40" s="498" t="n">
        <f aca="false">INDEX(FC_FLUJO_CAJA!$D$50:$BK$50,1,T$13)*IF(IFERROR(VALUE($D40&amp;""),0)&gt;0,IF(T$14=MIN(VALUE($D40&amp;""),T$15),1,0),IF($D40="Q",IF(T$14=MIN(2,T$15),0.5,0)+IF(T$14=T$15,0.5,0),IF($D40="U",IF(T$14=T$15,1,0),1/T$15)))</f>
        <v>0</v>
      </c>
      <c r="U40" s="498" t="n">
        <f aca="false">INDEX(FC_FLUJO_CAJA!$D$50:$BK$50,1,U$13)*IF(IFERROR(VALUE($D40&amp;""),0)&gt;0,IF(U$14=MIN(VALUE($D40&amp;""),U$15),1,0),IF($D40="Q",IF(U$14=MIN(2,U$15),0.5,0)+IF(U$14=U$15,0.5,0),IF($D40="U",IF(U$14=U$15,1,0),1/U$15)))</f>
        <v>0</v>
      </c>
      <c r="V40" s="498" t="n">
        <f aca="false">INDEX(FC_FLUJO_CAJA!$D$50:$BK$50,1,V$13)*IF(IFERROR(VALUE($D40&amp;""),0)&gt;0,IF(V$14=MIN(VALUE($D40&amp;""),V$15),1,0),IF($D40="Q",IF(V$14=MIN(2,V$15),0.5,0)+IF(V$14=V$15,0.5,0),IF($D40="U",IF(V$14=V$15,1,0),1/V$15)))</f>
        <v>0</v>
      </c>
      <c r="W40" s="498" t="n">
        <f aca="false">INDEX(FC_FLUJO_CAJA!$D$50:$BK$50,1,W$13)*IF(IFERROR(VALUE($D40&amp;""),0)&gt;0,IF(W$14=MIN(VALUE($D40&amp;""),W$15),1,0),IF($D40="Q",IF(W$14=MIN(2,W$15),0.5,0)+IF(W$14=W$15,0.5,0),IF($D40="U",IF(W$14=W$15,1,0),1/W$15)))</f>
        <v>0</v>
      </c>
      <c r="X40" s="498" t="n">
        <f aca="false">INDEX(FC_FLUJO_CAJA!$D$50:$BK$50,1,X$13)*IF(IFERROR(VALUE($D40&amp;""),0)&gt;0,IF(X$14=MIN(VALUE($D40&amp;""),X$15),1,0),IF($D40="Q",IF(X$14=MIN(2,X$15),0.5,0)+IF(X$14=X$15,0.5,0),IF($D40="U",IF(X$14=X$15,1,0),1/X$15)))</f>
        <v>0</v>
      </c>
      <c r="Y40" s="498" t="n">
        <f aca="false">INDEX(FC_FLUJO_CAJA!$D$50:$BK$50,1,Y$13)*IF(IFERROR(VALUE($D40&amp;""),0)&gt;0,IF(Y$14=MIN(VALUE($D40&amp;""),Y$15),1,0),IF($D40="Q",IF(Y$14=MIN(2,Y$15),0.5,0)+IF(Y$14=Y$15,0.5,0),IF($D40="U",IF(Y$14=Y$15,1,0),1/Y$15)))</f>
        <v>0</v>
      </c>
      <c r="Z40" s="498" t="n">
        <f aca="false">INDEX(FC_FLUJO_CAJA!$D$50:$BK$50,1,Z$13)*IF(IFERROR(VALUE($D40&amp;""),0)&gt;0,IF(Z$14=MIN(VALUE($D40&amp;""),Z$15),1,0),IF($D40="Q",IF(Z$14=MIN(2,Z$15),0.5,0)+IF(Z$14=Z$15,0.5,0),IF($D40="U",IF(Z$14=Z$15,1,0),1/Z$15)))</f>
        <v>0</v>
      </c>
      <c r="AA40" s="498" t="n">
        <f aca="false">INDEX(FC_FLUJO_CAJA!$D$50:$BK$50,1,AA$13)*IF(IFERROR(VALUE($D40&amp;""),0)&gt;0,IF(AA$14=MIN(VALUE($D40&amp;""),AA$15),1,0),IF($D40="Q",IF(AA$14=MIN(2,AA$15),0.5,0)+IF(AA$14=AA$15,0.5,0),IF($D40="U",IF(AA$14=AA$15,1,0),1/AA$15)))</f>
        <v>0</v>
      </c>
      <c r="AB40" s="498" t="n">
        <f aca="false">INDEX(FC_FLUJO_CAJA!$D$50:$BK$50,1,AB$13)*IF(IFERROR(VALUE($D40&amp;""),0)&gt;0,IF(AB$14=MIN(VALUE($D40&amp;""),AB$15),1,0),IF($D40="Q",IF(AB$14=MIN(2,AB$15),0.5,0)+IF(AB$14=AB$15,0.5,0),IF($D40="U",IF(AB$14=AB$15,1,0),1/AB$15)))</f>
        <v>0</v>
      </c>
      <c r="AC40" s="498" t="n">
        <f aca="false">INDEX(FC_FLUJO_CAJA!$D$50:$BK$50,1,AC$13)*IF(IFERROR(VALUE($D40&amp;""),0)&gt;0,IF(AC$14=MIN(VALUE($D40&amp;""),AC$15),1,0),IF($D40="Q",IF(AC$14=MIN(2,AC$15),0.5,0)+IF(AC$14=AC$15,0.5,0),IF($D40="U",IF(AC$14=AC$15,1,0),1/AC$15)))</f>
        <v>0</v>
      </c>
      <c r="AD40" s="498" t="n">
        <f aca="false">INDEX(FC_FLUJO_CAJA!$D$50:$BK$50,1,AD$13)*IF(IFERROR(VALUE($D40&amp;""),0)&gt;0,IF(AD$14=MIN(VALUE($D40&amp;""),AD$15),1,0),IF($D40="Q",IF(AD$14=MIN(2,AD$15),0.5,0)+IF(AD$14=AD$15,0.5,0),IF($D40="U",IF(AD$14=AD$15,1,0),1/AD$15)))</f>
        <v>0</v>
      </c>
      <c r="AE40" s="498" t="n">
        <f aca="false">INDEX(FC_FLUJO_CAJA!$D$50:$BK$50,1,AE$13)*IF(IFERROR(VALUE($D40&amp;""),0)&gt;0,IF(AE$14=MIN(VALUE($D40&amp;""),AE$15),1,0),IF($D40="Q",IF(AE$14=MIN(2,AE$15),0.5,0)+IF(AE$14=AE$15,0.5,0),IF($D40="U",IF(AE$14=AE$15,1,0),1/AE$15)))</f>
        <v>0</v>
      </c>
      <c r="AF40" s="498" t="n">
        <f aca="false">INDEX(FC_FLUJO_CAJA!$D$50:$BK$50,1,AF$13)*IF(IFERROR(VALUE($D40&amp;""),0)&gt;0,IF(AF$14=MIN(VALUE($D40&amp;""),AF$15),1,0),IF($D40="Q",IF(AF$14=MIN(2,AF$15),0.5,0)+IF(AF$14=AF$15,0.5,0),IF($D40="U",IF(AF$14=AF$15,1,0),1/AF$15)))</f>
        <v>2000</v>
      </c>
      <c r="AG40" s="498" t="n">
        <f aca="false">INDEX(FC_FLUJO_CAJA!$D$50:$BK$50,1,AG$13)*IF(IFERROR(VALUE($D40&amp;""),0)&gt;0,IF(AG$14=MIN(VALUE($D40&amp;""),AG$15),1,0),IF($D40="Q",IF(AG$14=MIN(2,AG$15),0.5,0)+IF(AG$14=AG$15,0.5,0),IF($D40="U",IF(AG$14=AG$15,1,0),1/AG$15)))</f>
        <v>2000</v>
      </c>
      <c r="AH40" s="498" t="n">
        <f aca="false">INDEX(FC_FLUJO_CAJA!$D$50:$BK$50,1,AH$13)*IF(IFERROR(VALUE($D40&amp;""),0)&gt;0,IF(AH$14=MIN(VALUE($D40&amp;""),AH$15),1,0),IF($D40="Q",IF(AH$14=MIN(2,AH$15),0.5,0)+IF(AH$14=AH$15,0.5,0),IF($D40="U",IF(AH$14=AH$15,1,0),1/AH$15)))</f>
        <v>2000</v>
      </c>
      <c r="AI40" s="498" t="n">
        <f aca="false">INDEX(FC_FLUJO_CAJA!$D$50:$BK$50,1,AI$13)*IF(IFERROR(VALUE($D40&amp;""),0)&gt;0,IF(AI$14=MIN(VALUE($D40&amp;""),AI$15),1,0),IF($D40="Q",IF(AI$14=MIN(2,AI$15),0.5,0)+IF(AI$14=AI$15,0.5,0),IF($D40="U",IF(AI$14=AI$15,1,0),1/AI$15)))</f>
        <v>2000</v>
      </c>
      <c r="AJ40" s="498" t="n">
        <f aca="false">INDEX(FC_FLUJO_CAJA!$D$50:$BK$50,1,AJ$13)*IF(IFERROR(VALUE($D40&amp;""),0)&gt;0,IF(AJ$14=MIN(VALUE($D40&amp;""),AJ$15),1,0),IF($D40="Q",IF(AJ$14=MIN(2,AJ$15),0.5,0)+IF(AJ$14=AJ$15,0.5,0),IF($D40="U",IF(AJ$14=AJ$15,1,0),1/AJ$15)))</f>
        <v>1600</v>
      </c>
      <c r="AK40" s="498" t="n">
        <f aca="false">INDEX(FC_FLUJO_CAJA!$D$50:$BK$50,1,AK$13)*IF(IFERROR(VALUE($D40&amp;""),0)&gt;0,IF(AK$14=MIN(VALUE($D40&amp;""),AK$15),1,0),IF($D40="Q",IF(AK$14=MIN(2,AK$15),0.5,0)+IF(AK$14=AK$15,0.5,0),IF($D40="U",IF(AK$14=AK$15,1,0),1/AK$15)))</f>
        <v>1600</v>
      </c>
      <c r="AL40" s="498" t="n">
        <f aca="false">INDEX(FC_FLUJO_CAJA!$D$50:$BK$50,1,AL$13)*IF(IFERROR(VALUE($D40&amp;""),0)&gt;0,IF(AL$14=MIN(VALUE($D40&amp;""),AL$15),1,0),IF($D40="Q",IF(AL$14=MIN(2,AL$15),0.5,0)+IF(AL$14=AL$15,0.5,0),IF($D40="U",IF(AL$14=AL$15,1,0),1/AL$15)))</f>
        <v>1600</v>
      </c>
      <c r="AM40" s="498" t="n">
        <f aca="false">INDEX(FC_FLUJO_CAJA!$D$50:$BK$50,1,AM$13)*IF(IFERROR(VALUE($D40&amp;""),0)&gt;0,IF(AM$14=MIN(VALUE($D40&amp;""),AM$15),1,0),IF($D40="Q",IF(AM$14=MIN(2,AM$15),0.5,0)+IF(AM$14=AM$15,0.5,0),IF($D40="U",IF(AM$14=AM$15,1,0),1/AM$15)))</f>
        <v>1600</v>
      </c>
      <c r="AN40" s="498" t="n">
        <f aca="false">INDEX(FC_FLUJO_CAJA!$D$50:$BK$50,1,AN$13)*IF(IFERROR(VALUE($D40&amp;""),0)&gt;0,IF(AN$14=MIN(VALUE($D40&amp;""),AN$15),1,0),IF($D40="Q",IF(AN$14=MIN(2,AN$15),0.5,0)+IF(AN$14=AN$15,0.5,0),IF($D40="U",IF(AN$14=AN$15,1,0),1/AN$15)))</f>
        <v>1600</v>
      </c>
      <c r="AO40" s="498" t="n">
        <f aca="false">INDEX(FC_FLUJO_CAJA!$D$50:$BK$50,1,AO$13)*IF(IFERROR(VALUE($D40&amp;""),0)&gt;0,IF(AO$14=MIN(VALUE($D40&amp;""),AO$15),1,0),IF($D40="Q",IF(AO$14=MIN(2,AO$15),0.5,0)+IF(AO$14=AO$15,0.5,0),IF($D40="U",IF(AO$14=AO$15,1,0),1/AO$15)))</f>
        <v>2000</v>
      </c>
      <c r="AP40" s="498" t="n">
        <f aca="false">INDEX(FC_FLUJO_CAJA!$D$50:$BK$50,1,AP$13)*IF(IFERROR(VALUE($D40&amp;""),0)&gt;0,IF(AP$14=MIN(VALUE($D40&amp;""),AP$15),1,0),IF($D40="Q",IF(AP$14=MIN(2,AP$15),0.5,0)+IF(AP$14=AP$15,0.5,0),IF($D40="U",IF(AP$14=AP$15,1,0),1/AP$15)))</f>
        <v>2000</v>
      </c>
      <c r="AQ40" s="498" t="n">
        <f aca="false">INDEX(FC_FLUJO_CAJA!$D$50:$BK$50,1,AQ$13)*IF(IFERROR(VALUE($D40&amp;""),0)&gt;0,IF(AQ$14=MIN(VALUE($D40&amp;""),AQ$15),1,0),IF($D40="Q",IF(AQ$14=MIN(2,AQ$15),0.5,0)+IF(AQ$14=AQ$15,0.5,0),IF($D40="U",IF(AQ$14=AQ$15,1,0),1/AQ$15)))</f>
        <v>2000</v>
      </c>
      <c r="AR40" s="498" t="n">
        <f aca="false">INDEX(FC_FLUJO_CAJA!$D$50:$BK$50,1,AR$13)*IF(IFERROR(VALUE($D40&amp;""),0)&gt;0,IF(AR$14=MIN(VALUE($D40&amp;""),AR$15),1,0),IF($D40="Q",IF(AR$14=MIN(2,AR$15),0.5,0)+IF(AR$14=AR$15,0.5,0),IF($D40="U",IF(AR$14=AR$15,1,0),1/AR$15)))</f>
        <v>2000</v>
      </c>
      <c r="AS40" s="498" t="n">
        <f aca="false">INDEX(FC_FLUJO_CAJA!$D$50:$BK$50,1,AS$13)*IF(IFERROR(VALUE($D40&amp;""),0)&gt;0,IF(AS$14=MIN(VALUE($D40&amp;""),AS$15),1,0),IF($D40="Q",IF(AS$14=MIN(2,AS$15),0.5,0)+IF(AS$14=AS$15,0.5,0),IF($D40="U",IF(AS$14=AS$15,1,0),1/AS$15)))</f>
        <v>0</v>
      </c>
      <c r="AT40" s="498" t="n">
        <f aca="false">INDEX(FC_FLUJO_CAJA!$D$50:$BK$50,1,AT$13)*IF(IFERROR(VALUE($D40&amp;""),0)&gt;0,IF(AT$14=MIN(VALUE($D40&amp;""),AT$15),1,0),IF($D40="Q",IF(AT$14=MIN(2,AT$15),0.5,0)+IF(AT$14=AT$15,0.5,0),IF($D40="U",IF(AT$14=AT$15,1,0),1/AT$15)))</f>
        <v>0</v>
      </c>
      <c r="AU40" s="498" t="n">
        <f aca="false">INDEX(FC_FLUJO_CAJA!$D$50:$BK$50,1,AU$13)*IF(IFERROR(VALUE($D40&amp;""),0)&gt;0,IF(AU$14=MIN(VALUE($D40&amp;""),AU$15),1,0),IF($D40="Q",IF(AU$14=MIN(2,AU$15),0.5,0)+IF(AU$14=AU$15,0.5,0),IF($D40="U",IF(AU$14=AU$15,1,0),1/AU$15)))</f>
        <v>0</v>
      </c>
      <c r="AV40" s="498" t="n">
        <f aca="false">INDEX(FC_FLUJO_CAJA!$D$50:$BK$50,1,AV$13)*IF(IFERROR(VALUE($D40&amp;""),0)&gt;0,IF(AV$14=MIN(VALUE($D40&amp;""),AV$15),1,0),IF($D40="Q",IF(AV$14=MIN(2,AV$15),0.5,0)+IF(AV$14=AV$15,0.5,0),IF($D40="U",IF(AV$14=AV$15,1,0),1/AV$15)))</f>
        <v>0</v>
      </c>
      <c r="AW40" s="498" t="n">
        <f aca="false">INDEX(FC_FLUJO_CAJA!$D$50:$BK$50,1,AW$13)*IF(IFERROR(VALUE($D40&amp;""),0)&gt;0,IF(AW$14=MIN(VALUE($D40&amp;""),AW$15),1,0),IF($D40="Q",IF(AW$14=MIN(2,AW$15),0.5,0)+IF(AW$14=AW$15,0.5,0),IF($D40="U",IF(AW$14=AW$15,1,0),1/AW$15)))</f>
        <v>0</v>
      </c>
      <c r="AX40" s="498" t="n">
        <f aca="false">INDEX(FC_FLUJO_CAJA!$D$50:$BK$50,1,AX$13)*IF(IFERROR(VALUE($D40&amp;""),0)&gt;0,IF(AX$14=MIN(VALUE($D40&amp;""),AX$15),1,0),IF($D40="Q",IF(AX$14=MIN(2,AX$15),0.5,0)+IF(AX$14=AX$15,0.5,0),IF($D40="U",IF(AX$14=AX$15,1,0),1/AX$15)))</f>
        <v>0</v>
      </c>
      <c r="AY40" s="498" t="n">
        <f aca="false">INDEX(FC_FLUJO_CAJA!$D$50:$BK$50,1,AY$13)*IF(IFERROR(VALUE($D40&amp;""),0)&gt;0,IF(AY$14=MIN(VALUE($D40&amp;""),AY$15),1,0),IF($D40="Q",IF(AY$14=MIN(2,AY$15),0.5,0)+IF(AY$14=AY$15,0.5,0),IF($D40="U",IF(AY$14=AY$15,1,0),1/AY$15)))</f>
        <v>0</v>
      </c>
      <c r="AZ40" s="498" t="n">
        <f aca="false">INDEX(FC_FLUJO_CAJA!$D$50:$BK$50,1,AZ$13)*IF(IFERROR(VALUE($D40&amp;""),0)&gt;0,IF(AZ$14=MIN(VALUE($D40&amp;""),AZ$15),1,0),IF($D40="Q",IF(AZ$14=MIN(2,AZ$15),0.5,0)+IF(AZ$14=AZ$15,0.5,0),IF($D40="U",IF(AZ$14=AZ$15,1,0),1/AZ$15)))</f>
        <v>0</v>
      </c>
      <c r="BA40" s="498" t="n">
        <f aca="false">INDEX(FC_FLUJO_CAJA!$D$50:$BK$50,1,BA$13)*IF(IFERROR(VALUE($D40&amp;""),0)&gt;0,IF(BA$14=MIN(VALUE($D40&amp;""),BA$15),1,0),IF($D40="Q",IF(BA$14=MIN(2,BA$15),0.5,0)+IF(BA$14=BA$15,0.5,0),IF($D40="U",IF(BA$14=BA$15,1,0),1/BA$15)))</f>
        <v>0</v>
      </c>
      <c r="BB40" s="498" t="n">
        <f aca="false">INDEX(FC_FLUJO_CAJA!$D$50:$BK$50,1,BB$13)*IF(IFERROR(VALUE($D40&amp;""),0)&gt;0,IF(BB$14=MIN(VALUE($D40&amp;""),BB$15),1,0),IF($D40="Q",IF(BB$14=MIN(2,BB$15),0.5,0)+IF(BB$14=BB$15,0.5,0),IF($D40="U",IF(BB$14=BB$15,1,0),1/BB$15)))</f>
        <v>0</v>
      </c>
      <c r="BC40" s="498" t="n">
        <f aca="false">INDEX(FC_FLUJO_CAJA!$D$50:$BK$50,1,BC$13)*IF(IFERROR(VALUE($D40&amp;""),0)&gt;0,IF(BC$14=MIN(VALUE($D40&amp;""),BC$15),1,0),IF($D40="Q",IF(BC$14=MIN(2,BC$15),0.5,0)+IF(BC$14=BC$15,0.5,0),IF($D40="U",IF(BC$14=BC$15,1,0),1/BC$15)))</f>
        <v>0</v>
      </c>
      <c r="BD40" s="498" t="n">
        <f aca="false">INDEX(FC_FLUJO_CAJA!$D$50:$BK$50,1,BD$13)*IF(IFERROR(VALUE($D40&amp;""),0)&gt;0,IF(BD$14=MIN(VALUE($D40&amp;""),BD$15),1,0),IF($D40="Q",IF(BD$14=MIN(2,BD$15),0.5,0)+IF(BD$14=BD$15,0.5,0),IF($D40="U",IF(BD$14=BD$15,1,0),1/BD$15)))</f>
        <v>0</v>
      </c>
      <c r="BE40" s="498" t="n">
        <f aca="false">INDEX(FC_FLUJO_CAJA!$D$50:$BK$50,1,BE$13)*IF(IFERROR(VALUE($D40&amp;""),0)&gt;0,IF(BE$14=MIN(VALUE($D40&amp;""),BE$15),1,0),IF($D40="Q",IF(BE$14=MIN(2,BE$15),0.5,0)+IF(BE$14=BE$15,0.5,0),IF($D40="U",IF(BE$14=BE$15,1,0),1/BE$15)))</f>
        <v>0</v>
      </c>
    </row>
    <row r="41" customFormat="false" ht="15" hidden="false" customHeight="true" outlineLevel="0" collapsed="false">
      <c r="A41" s="400" t="s">
        <v>3135</v>
      </c>
      <c r="B41" s="283" t="s">
        <v>3136</v>
      </c>
      <c r="C41" s="531" t="s">
        <v>3137</v>
      </c>
      <c r="D41" s="289" t="str">
        <f aca="false">FC_SUPUESTOS!$C$144</f>
        <v>P</v>
      </c>
      <c r="E41" s="532" t="n">
        <f aca="false">SUM(F41:BE41)</f>
        <v>35000</v>
      </c>
      <c r="F41" s="498" t="n">
        <f aca="false">INDEX(FC_FLUJO_CAJA!$D$51:$BK$51,1,F$13)*IF(IFERROR(VALUE($D41&amp;""),0)&gt;0,IF(F$14=MIN(VALUE($D41&amp;""),F$15),1,0),IF($D41="Q",IF(F$14=MIN(2,F$15),0.5,0)+IF(F$14=F$15,0.5,0),IF($D41="U",IF(F$14=F$15,1,0),1/F$15)))</f>
        <v>0</v>
      </c>
      <c r="G41" s="498" t="n">
        <f aca="false">INDEX(FC_FLUJO_CAJA!$D$51:$BK$51,1,G$13)*IF(IFERROR(VALUE($D41&amp;""),0)&gt;0,IF(G$14=MIN(VALUE($D41&amp;""),G$15),1,0),IF($D41="Q",IF(G$14=MIN(2,G$15),0.5,0)+IF(G$14=G$15,0.5,0),IF($D41="U",IF(G$14=G$15,1,0),1/G$15)))</f>
        <v>0</v>
      </c>
      <c r="H41" s="498" t="n">
        <f aca="false">INDEX(FC_FLUJO_CAJA!$D$51:$BK$51,1,H$13)*IF(IFERROR(VALUE($D41&amp;""),0)&gt;0,IF(H$14=MIN(VALUE($D41&amp;""),H$15),1,0),IF($D41="Q",IF(H$14=MIN(2,H$15),0.5,0)+IF(H$14=H$15,0.5,0),IF($D41="U",IF(H$14=H$15,1,0),1/H$15)))</f>
        <v>0</v>
      </c>
      <c r="I41" s="498" t="n">
        <f aca="false">INDEX(FC_FLUJO_CAJA!$D$51:$BK$51,1,I$13)*IF(IFERROR(VALUE($D41&amp;""),0)&gt;0,IF(I$14=MIN(VALUE($D41&amp;""),I$15),1,0),IF($D41="Q",IF(I$14=MIN(2,I$15),0.5,0)+IF(I$14=I$15,0.5,0),IF($D41="U",IF(I$14=I$15,1,0),1/I$15)))</f>
        <v>0</v>
      </c>
      <c r="J41" s="498" t="n">
        <f aca="false">INDEX(FC_FLUJO_CAJA!$D$51:$BK$51,1,J$13)*IF(IFERROR(VALUE($D41&amp;""),0)&gt;0,IF(J$14=MIN(VALUE($D41&amp;""),J$15),1,0),IF($D41="Q",IF(J$14=MIN(2,J$15),0.5,0)+IF(J$14=J$15,0.5,0),IF($D41="U",IF(J$14=J$15,1,0),1/J$15)))</f>
        <v>0</v>
      </c>
      <c r="K41" s="498" t="n">
        <f aca="false">INDEX(FC_FLUJO_CAJA!$D$51:$BK$51,1,K$13)*IF(IFERROR(VALUE($D41&amp;""),0)&gt;0,IF(K$14=MIN(VALUE($D41&amp;""),K$15),1,0),IF($D41="Q",IF(K$14=MIN(2,K$15),0.5,0)+IF(K$14=K$15,0.5,0),IF($D41="U",IF(K$14=K$15,1,0),1/K$15)))</f>
        <v>0</v>
      </c>
      <c r="L41" s="498" t="n">
        <f aca="false">INDEX(FC_FLUJO_CAJA!$D$51:$BK$51,1,L$13)*IF(IFERROR(VALUE($D41&amp;""),0)&gt;0,IF(L$14=MIN(VALUE($D41&amp;""),L$15),1,0),IF($D41="Q",IF(L$14=MIN(2,L$15),0.5,0)+IF(L$14=L$15,0.5,0),IF($D41="U",IF(L$14=L$15,1,0),1/L$15)))</f>
        <v>0</v>
      </c>
      <c r="M41" s="498" t="n">
        <f aca="false">INDEX(FC_FLUJO_CAJA!$D$51:$BK$51,1,M$13)*IF(IFERROR(VALUE($D41&amp;""),0)&gt;0,IF(M$14=MIN(VALUE($D41&amp;""),M$15),1,0),IF($D41="Q",IF(M$14=MIN(2,M$15),0.5,0)+IF(M$14=M$15,0.5,0),IF($D41="U",IF(M$14=M$15,1,0),1/M$15)))</f>
        <v>0</v>
      </c>
      <c r="N41" s="498" t="n">
        <f aca="false">INDEX(FC_FLUJO_CAJA!$D$51:$BK$51,1,N$13)*IF(IFERROR(VALUE($D41&amp;""),0)&gt;0,IF(N$14=MIN(VALUE($D41&amp;""),N$15),1,0),IF($D41="Q",IF(N$14=MIN(2,N$15),0.5,0)+IF(N$14=N$15,0.5,0),IF($D41="U",IF(N$14=N$15,1,0),1/N$15)))</f>
        <v>0</v>
      </c>
      <c r="O41" s="498" t="n">
        <f aca="false">INDEX(FC_FLUJO_CAJA!$D$51:$BK$51,1,O$13)*IF(IFERROR(VALUE($D41&amp;""),0)&gt;0,IF(O$14=MIN(VALUE($D41&amp;""),O$15),1,0),IF($D41="Q",IF(O$14=MIN(2,O$15),0.5,0)+IF(O$14=O$15,0.5,0),IF($D41="U",IF(O$14=O$15,1,0),1/O$15)))</f>
        <v>0</v>
      </c>
      <c r="P41" s="498" t="n">
        <f aca="false">INDEX(FC_FLUJO_CAJA!$D$51:$BK$51,1,P$13)*IF(IFERROR(VALUE($D41&amp;""),0)&gt;0,IF(P$14=MIN(VALUE($D41&amp;""),P$15),1,0),IF($D41="Q",IF(P$14=MIN(2,P$15),0.5,0)+IF(P$14=P$15,0.5,0),IF($D41="U",IF(P$14=P$15,1,0),1/P$15)))</f>
        <v>0</v>
      </c>
      <c r="Q41" s="498" t="n">
        <f aca="false">INDEX(FC_FLUJO_CAJA!$D$51:$BK$51,1,Q$13)*IF(IFERROR(VALUE($D41&amp;""),0)&gt;0,IF(Q$14=MIN(VALUE($D41&amp;""),Q$15),1,0),IF($D41="Q",IF(Q$14=MIN(2,Q$15),0.5,0)+IF(Q$14=Q$15,0.5,0),IF($D41="U",IF(Q$14=Q$15,1,0),1/Q$15)))</f>
        <v>0</v>
      </c>
      <c r="R41" s="498" t="n">
        <f aca="false">INDEX(FC_FLUJO_CAJA!$D$51:$BK$51,1,R$13)*IF(IFERROR(VALUE($D41&amp;""),0)&gt;0,IF(R$14=MIN(VALUE($D41&amp;""),R$15),1,0),IF($D41="Q",IF(R$14=MIN(2,R$15),0.5,0)+IF(R$14=R$15,0.5,0),IF($D41="U",IF(R$14=R$15,1,0),1/R$15)))</f>
        <v>0</v>
      </c>
      <c r="S41" s="498" t="n">
        <f aca="false">INDEX(FC_FLUJO_CAJA!$D$51:$BK$51,1,S$13)*IF(IFERROR(VALUE($D41&amp;""),0)&gt;0,IF(S$14=MIN(VALUE($D41&amp;""),S$15),1,0),IF($D41="Q",IF(S$14=MIN(2,S$15),0.5,0)+IF(S$14=S$15,0.5,0),IF($D41="U",IF(S$14=S$15,1,0),1/S$15)))</f>
        <v>0</v>
      </c>
      <c r="T41" s="498" t="n">
        <f aca="false">INDEX(FC_FLUJO_CAJA!$D$51:$BK$51,1,T$13)*IF(IFERROR(VALUE($D41&amp;""),0)&gt;0,IF(T$14=MIN(VALUE($D41&amp;""),T$15),1,0),IF($D41="Q",IF(T$14=MIN(2,T$15),0.5,0)+IF(T$14=T$15,0.5,0),IF($D41="U",IF(T$14=T$15,1,0),1/T$15)))</f>
        <v>0</v>
      </c>
      <c r="U41" s="498" t="n">
        <f aca="false">INDEX(FC_FLUJO_CAJA!$D$51:$BK$51,1,U$13)*IF(IFERROR(VALUE($D41&amp;""),0)&gt;0,IF(U$14=MIN(VALUE($D41&amp;""),U$15),1,0),IF($D41="Q",IF(U$14=MIN(2,U$15),0.5,0)+IF(U$14=U$15,0.5,0),IF($D41="U",IF(U$14=U$15,1,0),1/U$15)))</f>
        <v>0</v>
      </c>
      <c r="V41" s="498" t="n">
        <f aca="false">INDEX(FC_FLUJO_CAJA!$D$51:$BK$51,1,V$13)*IF(IFERROR(VALUE($D41&amp;""),0)&gt;0,IF(V$14=MIN(VALUE($D41&amp;""),V$15),1,0),IF($D41="Q",IF(V$14=MIN(2,V$15),0.5,0)+IF(V$14=V$15,0.5,0),IF($D41="U",IF(V$14=V$15,1,0),1/V$15)))</f>
        <v>0</v>
      </c>
      <c r="W41" s="498" t="n">
        <f aca="false">INDEX(FC_FLUJO_CAJA!$D$51:$BK$51,1,W$13)*IF(IFERROR(VALUE($D41&amp;""),0)&gt;0,IF(W$14=MIN(VALUE($D41&amp;""),W$15),1,0),IF($D41="Q",IF(W$14=MIN(2,W$15),0.5,0)+IF(W$14=W$15,0.5,0),IF($D41="U",IF(W$14=W$15,1,0),1/W$15)))</f>
        <v>0</v>
      </c>
      <c r="X41" s="498" t="n">
        <f aca="false">INDEX(FC_FLUJO_CAJA!$D$51:$BK$51,1,X$13)*IF(IFERROR(VALUE($D41&amp;""),0)&gt;0,IF(X$14=MIN(VALUE($D41&amp;""),X$15),1,0),IF($D41="Q",IF(X$14=MIN(2,X$15),0.5,0)+IF(X$14=X$15,0.5,0),IF($D41="U",IF(X$14=X$15,1,0),1/X$15)))</f>
        <v>0</v>
      </c>
      <c r="Y41" s="498" t="n">
        <f aca="false">INDEX(FC_FLUJO_CAJA!$D$51:$BK$51,1,Y$13)*IF(IFERROR(VALUE($D41&amp;""),0)&gt;0,IF(Y$14=MIN(VALUE($D41&amp;""),Y$15),1,0),IF($D41="Q",IF(Y$14=MIN(2,Y$15),0.5,0)+IF(Y$14=Y$15,0.5,0),IF($D41="U",IF(Y$14=Y$15,1,0),1/Y$15)))</f>
        <v>0</v>
      </c>
      <c r="Z41" s="498" t="n">
        <f aca="false">INDEX(FC_FLUJO_CAJA!$D$51:$BK$51,1,Z$13)*IF(IFERROR(VALUE($D41&amp;""),0)&gt;0,IF(Z$14=MIN(VALUE($D41&amp;""),Z$15),1,0),IF($D41="Q",IF(Z$14=MIN(2,Z$15),0.5,0)+IF(Z$14=Z$15,0.5,0),IF($D41="U",IF(Z$14=Z$15,1,0),1/Z$15)))</f>
        <v>0</v>
      </c>
      <c r="AA41" s="498" t="n">
        <f aca="false">INDEX(FC_FLUJO_CAJA!$D$51:$BK$51,1,AA$13)*IF(IFERROR(VALUE($D41&amp;""),0)&gt;0,IF(AA$14=MIN(VALUE($D41&amp;""),AA$15),1,0),IF($D41="Q",IF(AA$14=MIN(2,AA$15),0.5,0)+IF(AA$14=AA$15,0.5,0),IF($D41="U",IF(AA$14=AA$15,1,0),1/AA$15)))</f>
        <v>0</v>
      </c>
      <c r="AB41" s="498" t="n">
        <f aca="false">INDEX(FC_FLUJO_CAJA!$D$51:$BK$51,1,AB$13)*IF(IFERROR(VALUE($D41&amp;""),0)&gt;0,IF(AB$14=MIN(VALUE($D41&amp;""),AB$15),1,0),IF($D41="Q",IF(AB$14=MIN(2,AB$15),0.5,0)+IF(AB$14=AB$15,0.5,0),IF($D41="U",IF(AB$14=AB$15,1,0),1/AB$15)))</f>
        <v>0</v>
      </c>
      <c r="AC41" s="498" t="n">
        <f aca="false">INDEX(FC_FLUJO_CAJA!$D$51:$BK$51,1,AC$13)*IF(IFERROR(VALUE($D41&amp;""),0)&gt;0,IF(AC$14=MIN(VALUE($D41&amp;""),AC$15),1,0),IF($D41="Q",IF(AC$14=MIN(2,AC$15),0.5,0)+IF(AC$14=AC$15,0.5,0),IF($D41="U",IF(AC$14=AC$15,1,0),1/AC$15)))</f>
        <v>0</v>
      </c>
      <c r="AD41" s="498" t="n">
        <f aca="false">INDEX(FC_FLUJO_CAJA!$D$51:$BK$51,1,AD$13)*IF(IFERROR(VALUE($D41&amp;""),0)&gt;0,IF(AD$14=MIN(VALUE($D41&amp;""),AD$15),1,0),IF($D41="Q",IF(AD$14=MIN(2,AD$15),0.5,0)+IF(AD$14=AD$15,0.5,0),IF($D41="U",IF(AD$14=AD$15,1,0),1/AD$15)))</f>
        <v>0</v>
      </c>
      <c r="AE41" s="498" t="n">
        <f aca="false">INDEX(FC_FLUJO_CAJA!$D$51:$BK$51,1,AE$13)*IF(IFERROR(VALUE($D41&amp;""),0)&gt;0,IF(AE$14=MIN(VALUE($D41&amp;""),AE$15),1,0),IF($D41="Q",IF(AE$14=MIN(2,AE$15),0.5,0)+IF(AE$14=AE$15,0.5,0),IF($D41="U",IF(AE$14=AE$15,1,0),1/AE$15)))</f>
        <v>0</v>
      </c>
      <c r="AF41" s="498" t="n">
        <f aca="false">INDEX(FC_FLUJO_CAJA!$D$51:$BK$51,1,AF$13)*IF(IFERROR(VALUE($D41&amp;""),0)&gt;0,IF(AF$14=MIN(VALUE($D41&amp;""),AF$15),1,0),IF($D41="Q",IF(AF$14=MIN(2,AF$15),0.5,0)+IF(AF$14=AF$15,0.5,0),IF($D41="U",IF(AF$14=AF$15,1,0),1/AF$15)))</f>
        <v>0</v>
      </c>
      <c r="AG41" s="498" t="n">
        <f aca="false">INDEX(FC_FLUJO_CAJA!$D$51:$BK$51,1,AG$13)*IF(IFERROR(VALUE($D41&amp;""),0)&gt;0,IF(AG$14=MIN(VALUE($D41&amp;""),AG$15),1,0),IF($D41="Q",IF(AG$14=MIN(2,AG$15),0.5,0)+IF(AG$14=AG$15,0.5,0),IF($D41="U",IF(AG$14=AG$15,1,0),1/AG$15)))</f>
        <v>0</v>
      </c>
      <c r="AH41" s="498" t="n">
        <f aca="false">INDEX(FC_FLUJO_CAJA!$D$51:$BK$51,1,AH$13)*IF(IFERROR(VALUE($D41&amp;""),0)&gt;0,IF(AH$14=MIN(VALUE($D41&amp;""),AH$15),1,0),IF($D41="Q",IF(AH$14=MIN(2,AH$15),0.5,0)+IF(AH$14=AH$15,0.5,0),IF($D41="U",IF(AH$14=AH$15,1,0),1/AH$15)))</f>
        <v>0</v>
      </c>
      <c r="AI41" s="498" t="n">
        <f aca="false">INDEX(FC_FLUJO_CAJA!$D$51:$BK$51,1,AI$13)*IF(IFERROR(VALUE($D41&amp;""),0)&gt;0,IF(AI$14=MIN(VALUE($D41&amp;""),AI$15),1,0),IF($D41="Q",IF(AI$14=MIN(2,AI$15),0.5,0)+IF(AI$14=AI$15,0.5,0),IF($D41="U",IF(AI$14=AI$15,1,0),1/AI$15)))</f>
        <v>0</v>
      </c>
      <c r="AJ41" s="498" t="n">
        <f aca="false">INDEX(FC_FLUJO_CAJA!$D$51:$BK$51,1,AJ$13)*IF(IFERROR(VALUE($D41&amp;""),0)&gt;0,IF(AJ$14=MIN(VALUE($D41&amp;""),AJ$15),1,0),IF($D41="Q",IF(AJ$14=MIN(2,AJ$15),0.5,0)+IF(AJ$14=AJ$15,0.5,0),IF($D41="U",IF(AJ$14=AJ$15,1,0),1/AJ$15)))</f>
        <v>0</v>
      </c>
      <c r="AK41" s="498" t="n">
        <f aca="false">INDEX(FC_FLUJO_CAJA!$D$51:$BK$51,1,AK$13)*IF(IFERROR(VALUE($D41&amp;""),0)&gt;0,IF(AK$14=MIN(VALUE($D41&amp;""),AK$15),1,0),IF($D41="Q",IF(AK$14=MIN(2,AK$15),0.5,0)+IF(AK$14=AK$15,0.5,0),IF($D41="U",IF(AK$14=AK$15,1,0),1/AK$15)))</f>
        <v>0</v>
      </c>
      <c r="AL41" s="498" t="n">
        <f aca="false">INDEX(FC_FLUJO_CAJA!$D$51:$BK$51,1,AL$13)*IF(IFERROR(VALUE($D41&amp;""),0)&gt;0,IF(AL$14=MIN(VALUE($D41&amp;""),AL$15),1,0),IF($D41="Q",IF(AL$14=MIN(2,AL$15),0.5,0)+IF(AL$14=AL$15,0.5,0),IF($D41="U",IF(AL$14=AL$15,1,0),1/AL$15)))</f>
        <v>0</v>
      </c>
      <c r="AM41" s="498" t="n">
        <f aca="false">INDEX(FC_FLUJO_CAJA!$D$51:$BK$51,1,AM$13)*IF(IFERROR(VALUE($D41&amp;""),0)&gt;0,IF(AM$14=MIN(VALUE($D41&amp;""),AM$15),1,0),IF($D41="Q",IF(AM$14=MIN(2,AM$15),0.5,0)+IF(AM$14=AM$15,0.5,0),IF($D41="U",IF(AM$14=AM$15,1,0),1/AM$15)))</f>
        <v>0</v>
      </c>
      <c r="AN41" s="498" t="n">
        <f aca="false">INDEX(FC_FLUJO_CAJA!$D$51:$BK$51,1,AN$13)*IF(IFERROR(VALUE($D41&amp;""),0)&gt;0,IF(AN$14=MIN(VALUE($D41&amp;""),AN$15),1,0),IF($D41="Q",IF(AN$14=MIN(2,AN$15),0.5,0)+IF(AN$14=AN$15,0.5,0),IF($D41="U",IF(AN$14=AN$15,1,0),1/AN$15)))</f>
        <v>0</v>
      </c>
      <c r="AO41" s="498" t="n">
        <f aca="false">INDEX(FC_FLUJO_CAJA!$D$51:$BK$51,1,AO$13)*IF(IFERROR(VALUE($D41&amp;""),0)&gt;0,IF(AO$14=MIN(VALUE($D41&amp;""),AO$15),1,0),IF($D41="Q",IF(AO$14=MIN(2,AO$15),0.5,0)+IF(AO$14=AO$15,0.5,0),IF($D41="U",IF(AO$14=AO$15,1,0),1/AO$15)))</f>
        <v>8750</v>
      </c>
      <c r="AP41" s="498" t="n">
        <f aca="false">INDEX(FC_FLUJO_CAJA!$D$51:$BK$51,1,AP$13)*IF(IFERROR(VALUE($D41&amp;""),0)&gt;0,IF(AP$14=MIN(VALUE($D41&amp;""),AP$15),1,0),IF($D41="Q",IF(AP$14=MIN(2,AP$15),0.5,0)+IF(AP$14=AP$15,0.5,0),IF($D41="U",IF(AP$14=AP$15,1,0),1/AP$15)))</f>
        <v>8750</v>
      </c>
      <c r="AQ41" s="498" t="n">
        <f aca="false">INDEX(FC_FLUJO_CAJA!$D$51:$BK$51,1,AQ$13)*IF(IFERROR(VALUE($D41&amp;""),0)&gt;0,IF(AQ$14=MIN(VALUE($D41&amp;""),AQ$15),1,0),IF($D41="Q",IF(AQ$14=MIN(2,AQ$15),0.5,0)+IF(AQ$14=AQ$15,0.5,0),IF($D41="U",IF(AQ$14=AQ$15,1,0),1/AQ$15)))</f>
        <v>8750</v>
      </c>
      <c r="AR41" s="498" t="n">
        <f aca="false">INDEX(FC_FLUJO_CAJA!$D$51:$BK$51,1,AR$13)*IF(IFERROR(VALUE($D41&amp;""),0)&gt;0,IF(AR$14=MIN(VALUE($D41&amp;""),AR$15),1,0),IF($D41="Q",IF(AR$14=MIN(2,AR$15),0.5,0)+IF(AR$14=AR$15,0.5,0),IF($D41="U",IF(AR$14=AR$15,1,0),1/AR$15)))</f>
        <v>8750</v>
      </c>
      <c r="AS41" s="498" t="n">
        <f aca="false">INDEX(FC_FLUJO_CAJA!$D$51:$BK$51,1,AS$13)*IF(IFERROR(VALUE($D41&amp;""),0)&gt;0,IF(AS$14=MIN(VALUE($D41&amp;""),AS$15),1,0),IF($D41="Q",IF(AS$14=MIN(2,AS$15),0.5,0)+IF(AS$14=AS$15,0.5,0),IF($D41="U",IF(AS$14=AS$15,1,0),1/AS$15)))</f>
        <v>0</v>
      </c>
      <c r="AT41" s="498" t="n">
        <f aca="false">INDEX(FC_FLUJO_CAJA!$D$51:$BK$51,1,AT$13)*IF(IFERROR(VALUE($D41&amp;""),0)&gt;0,IF(AT$14=MIN(VALUE($D41&amp;""),AT$15),1,0),IF($D41="Q",IF(AT$14=MIN(2,AT$15),0.5,0)+IF(AT$14=AT$15,0.5,0),IF($D41="U",IF(AT$14=AT$15,1,0),1/AT$15)))</f>
        <v>0</v>
      </c>
      <c r="AU41" s="498" t="n">
        <f aca="false">INDEX(FC_FLUJO_CAJA!$D$51:$BK$51,1,AU$13)*IF(IFERROR(VALUE($D41&amp;""),0)&gt;0,IF(AU$14=MIN(VALUE($D41&amp;""),AU$15),1,0),IF($D41="Q",IF(AU$14=MIN(2,AU$15),0.5,0)+IF(AU$14=AU$15,0.5,0),IF($D41="U",IF(AU$14=AU$15,1,0),1/AU$15)))</f>
        <v>0</v>
      </c>
      <c r="AV41" s="498" t="n">
        <f aca="false">INDEX(FC_FLUJO_CAJA!$D$51:$BK$51,1,AV$13)*IF(IFERROR(VALUE($D41&amp;""),0)&gt;0,IF(AV$14=MIN(VALUE($D41&amp;""),AV$15),1,0),IF($D41="Q",IF(AV$14=MIN(2,AV$15),0.5,0)+IF(AV$14=AV$15,0.5,0),IF($D41="U",IF(AV$14=AV$15,1,0),1/AV$15)))</f>
        <v>0</v>
      </c>
      <c r="AW41" s="498" t="n">
        <f aca="false">INDEX(FC_FLUJO_CAJA!$D$51:$BK$51,1,AW$13)*IF(IFERROR(VALUE($D41&amp;""),0)&gt;0,IF(AW$14=MIN(VALUE($D41&amp;""),AW$15),1,0),IF($D41="Q",IF(AW$14=MIN(2,AW$15),0.5,0)+IF(AW$14=AW$15,0.5,0),IF($D41="U",IF(AW$14=AW$15,1,0),1/AW$15)))</f>
        <v>0</v>
      </c>
      <c r="AX41" s="498" t="n">
        <f aca="false">INDEX(FC_FLUJO_CAJA!$D$51:$BK$51,1,AX$13)*IF(IFERROR(VALUE($D41&amp;""),0)&gt;0,IF(AX$14=MIN(VALUE($D41&amp;""),AX$15),1,0),IF($D41="Q",IF(AX$14=MIN(2,AX$15),0.5,0)+IF(AX$14=AX$15,0.5,0),IF($D41="U",IF(AX$14=AX$15,1,0),1/AX$15)))</f>
        <v>0</v>
      </c>
      <c r="AY41" s="498" t="n">
        <f aca="false">INDEX(FC_FLUJO_CAJA!$D$51:$BK$51,1,AY$13)*IF(IFERROR(VALUE($D41&amp;""),0)&gt;0,IF(AY$14=MIN(VALUE($D41&amp;""),AY$15),1,0),IF($D41="Q",IF(AY$14=MIN(2,AY$15),0.5,0)+IF(AY$14=AY$15,0.5,0),IF($D41="U",IF(AY$14=AY$15,1,0),1/AY$15)))</f>
        <v>0</v>
      </c>
      <c r="AZ41" s="498" t="n">
        <f aca="false">INDEX(FC_FLUJO_CAJA!$D$51:$BK$51,1,AZ$13)*IF(IFERROR(VALUE($D41&amp;""),0)&gt;0,IF(AZ$14=MIN(VALUE($D41&amp;""),AZ$15),1,0),IF($D41="Q",IF(AZ$14=MIN(2,AZ$15),0.5,0)+IF(AZ$14=AZ$15,0.5,0),IF($D41="U",IF(AZ$14=AZ$15,1,0),1/AZ$15)))</f>
        <v>0</v>
      </c>
      <c r="BA41" s="498" t="n">
        <f aca="false">INDEX(FC_FLUJO_CAJA!$D$51:$BK$51,1,BA$13)*IF(IFERROR(VALUE($D41&amp;""),0)&gt;0,IF(BA$14=MIN(VALUE($D41&amp;""),BA$15),1,0),IF($D41="Q",IF(BA$14=MIN(2,BA$15),0.5,0)+IF(BA$14=BA$15,0.5,0),IF($D41="U",IF(BA$14=BA$15,1,0),1/BA$15)))</f>
        <v>0</v>
      </c>
      <c r="BB41" s="498" t="n">
        <f aca="false">INDEX(FC_FLUJO_CAJA!$D$51:$BK$51,1,BB$13)*IF(IFERROR(VALUE($D41&amp;""),0)&gt;0,IF(BB$14=MIN(VALUE($D41&amp;""),BB$15),1,0),IF($D41="Q",IF(BB$14=MIN(2,BB$15),0.5,0)+IF(BB$14=BB$15,0.5,0),IF($D41="U",IF(BB$14=BB$15,1,0),1/BB$15)))</f>
        <v>0</v>
      </c>
      <c r="BC41" s="498" t="n">
        <f aca="false">INDEX(FC_FLUJO_CAJA!$D$51:$BK$51,1,BC$13)*IF(IFERROR(VALUE($D41&amp;""),0)&gt;0,IF(BC$14=MIN(VALUE($D41&amp;""),BC$15),1,0),IF($D41="Q",IF(BC$14=MIN(2,BC$15),0.5,0)+IF(BC$14=BC$15,0.5,0),IF($D41="U",IF(BC$14=BC$15,1,0),1/BC$15)))</f>
        <v>0</v>
      </c>
      <c r="BD41" s="498" t="n">
        <f aca="false">INDEX(FC_FLUJO_CAJA!$D$51:$BK$51,1,BD$13)*IF(IFERROR(VALUE($D41&amp;""),0)&gt;0,IF(BD$14=MIN(VALUE($D41&amp;""),BD$15),1,0),IF($D41="Q",IF(BD$14=MIN(2,BD$15),0.5,0)+IF(BD$14=BD$15,0.5,0),IF($D41="U",IF(BD$14=BD$15,1,0),1/BD$15)))</f>
        <v>0</v>
      </c>
      <c r="BE41" s="498" t="n">
        <f aca="false">INDEX(FC_FLUJO_CAJA!$D$51:$BK$51,1,BE$13)*IF(IFERROR(VALUE($D41&amp;""),0)&gt;0,IF(BE$14=MIN(VALUE($D41&amp;""),BE$15),1,0),IF($D41="Q",IF(BE$14=MIN(2,BE$15),0.5,0)+IF(BE$14=BE$15,0.5,0),IF($D41="U",IF(BE$14=BE$15,1,0),1/BE$15)))</f>
        <v>0</v>
      </c>
    </row>
    <row r="42" customFormat="false" ht="15" hidden="false" customHeight="true" outlineLevel="0" collapsed="false">
      <c r="A42" s="400" t="s">
        <v>3138</v>
      </c>
      <c r="B42" s="283" t="s">
        <v>3139</v>
      </c>
      <c r="C42" s="531" t="s">
        <v>3140</v>
      </c>
      <c r="D42" s="289" t="n">
        <f aca="false">FC_SUPUESTOS!$C$145</f>
        <v>3</v>
      </c>
      <c r="E42" s="532" t="n">
        <f aca="false">SUM(F42:BE42)</f>
        <v>141141</v>
      </c>
      <c r="F42" s="498" t="n">
        <f aca="false">INDEX(FC_FLUJO_CAJA!$D$52:$BK$52,1,F$13)*IF(IFERROR(VALUE($D42&amp;""),0)&gt;0,IF(F$14=MIN(VALUE($D42&amp;""),F$15),1,0),IF($D42="Q",IF(F$14=MIN(2,F$15),0.5,0)+IF(F$14=F$15,0.5,0),IF($D42="U",IF(F$14=F$15,1,0),1/F$15)))</f>
        <v>0</v>
      </c>
      <c r="G42" s="498" t="n">
        <f aca="false">INDEX(FC_FLUJO_CAJA!$D$52:$BK$52,1,G$13)*IF(IFERROR(VALUE($D42&amp;""),0)&gt;0,IF(G$14=MIN(VALUE($D42&amp;""),G$15),1,0),IF($D42="Q",IF(G$14=MIN(2,G$15),0.5,0)+IF(G$14=G$15,0.5,0),IF($D42="U",IF(G$14=G$15,1,0),1/G$15)))</f>
        <v>0</v>
      </c>
      <c r="H42" s="498" t="n">
        <f aca="false">INDEX(FC_FLUJO_CAJA!$D$52:$BK$52,1,H$13)*IF(IFERROR(VALUE($D42&amp;""),0)&gt;0,IF(H$14=MIN(VALUE($D42&amp;""),H$15),1,0),IF($D42="Q",IF(H$14=MIN(2,H$15),0.5,0)+IF(H$14=H$15,0.5,0),IF($D42="U",IF(H$14=H$15,1,0),1/H$15)))</f>
        <v>0</v>
      </c>
      <c r="I42" s="498" t="n">
        <f aca="false">INDEX(FC_FLUJO_CAJA!$D$52:$BK$52,1,I$13)*IF(IFERROR(VALUE($D42&amp;""),0)&gt;0,IF(I$14=MIN(VALUE($D42&amp;""),I$15),1,0),IF($D42="Q",IF(I$14=MIN(2,I$15),0.5,0)+IF(I$14=I$15,0.5,0),IF($D42="U",IF(I$14=I$15,1,0),1/I$15)))</f>
        <v>0</v>
      </c>
      <c r="J42" s="498" t="n">
        <f aca="false">INDEX(FC_FLUJO_CAJA!$D$52:$BK$52,1,J$13)*IF(IFERROR(VALUE($D42&amp;""),0)&gt;0,IF(J$14=MIN(VALUE($D42&amp;""),J$15),1,0),IF($D42="Q",IF(J$14=MIN(2,J$15),0.5,0)+IF(J$14=J$15,0.5,0),IF($D42="U",IF(J$14=J$15,1,0),1/J$15)))</f>
        <v>0</v>
      </c>
      <c r="K42" s="498" t="n">
        <f aca="false">INDEX(FC_FLUJO_CAJA!$D$52:$BK$52,1,K$13)*IF(IFERROR(VALUE($D42&amp;""),0)&gt;0,IF(K$14=MIN(VALUE($D42&amp;""),K$15),1,0),IF($D42="Q",IF(K$14=MIN(2,K$15),0.5,0)+IF(K$14=K$15,0.5,0),IF($D42="U",IF(K$14=K$15,1,0),1/K$15)))</f>
        <v>0</v>
      </c>
      <c r="L42" s="498" t="n">
        <f aca="false">INDEX(FC_FLUJO_CAJA!$D$52:$BK$52,1,L$13)*IF(IFERROR(VALUE($D42&amp;""),0)&gt;0,IF(L$14=MIN(VALUE($D42&amp;""),L$15),1,0),IF($D42="Q",IF(L$14=MIN(2,L$15),0.5,0)+IF(L$14=L$15,0.5,0),IF($D42="U",IF(L$14=L$15,1,0),1/L$15)))</f>
        <v>0</v>
      </c>
      <c r="M42" s="498" t="n">
        <f aca="false">INDEX(FC_FLUJO_CAJA!$D$52:$BK$52,1,M$13)*IF(IFERROR(VALUE($D42&amp;""),0)&gt;0,IF(M$14=MIN(VALUE($D42&amp;""),M$15),1,0),IF($D42="Q",IF(M$14=MIN(2,M$15),0.5,0)+IF(M$14=M$15,0.5,0),IF($D42="U",IF(M$14=M$15,1,0),1/M$15)))</f>
        <v>0</v>
      </c>
      <c r="N42" s="498" t="n">
        <f aca="false">INDEX(FC_FLUJO_CAJA!$D$52:$BK$52,1,N$13)*IF(IFERROR(VALUE($D42&amp;""),0)&gt;0,IF(N$14=MIN(VALUE($D42&amp;""),N$15),1,0),IF($D42="Q",IF(N$14=MIN(2,N$15),0.5,0)+IF(N$14=N$15,0.5,0),IF($D42="U",IF(N$14=N$15,1,0),1/N$15)))</f>
        <v>0</v>
      </c>
      <c r="O42" s="498" t="n">
        <f aca="false">INDEX(FC_FLUJO_CAJA!$D$52:$BK$52,1,O$13)*IF(IFERROR(VALUE($D42&amp;""),0)&gt;0,IF(O$14=MIN(VALUE($D42&amp;""),O$15),1,0),IF($D42="Q",IF(O$14=MIN(2,O$15),0.5,0)+IF(O$14=O$15,0.5,0),IF($D42="U",IF(O$14=O$15,1,0),1/O$15)))</f>
        <v>0</v>
      </c>
      <c r="P42" s="498" t="n">
        <f aca="false">INDEX(FC_FLUJO_CAJA!$D$52:$BK$52,1,P$13)*IF(IFERROR(VALUE($D42&amp;""),0)&gt;0,IF(P$14=MIN(VALUE($D42&amp;""),P$15),1,0),IF($D42="Q",IF(P$14=MIN(2,P$15),0.5,0)+IF(P$14=P$15,0.5,0),IF($D42="U",IF(P$14=P$15,1,0),1/P$15)))</f>
        <v>0</v>
      </c>
      <c r="Q42" s="498" t="n">
        <f aca="false">INDEX(FC_FLUJO_CAJA!$D$52:$BK$52,1,Q$13)*IF(IFERROR(VALUE($D42&amp;""),0)&gt;0,IF(Q$14=MIN(VALUE($D42&amp;""),Q$15),1,0),IF($D42="Q",IF(Q$14=MIN(2,Q$15),0.5,0)+IF(Q$14=Q$15,0.5,0),IF($D42="U",IF(Q$14=Q$15,1,0),1/Q$15)))</f>
        <v>0</v>
      </c>
      <c r="R42" s="498" t="n">
        <f aca="false">INDEX(FC_FLUJO_CAJA!$D$52:$BK$52,1,R$13)*IF(IFERROR(VALUE($D42&amp;""),0)&gt;0,IF(R$14=MIN(VALUE($D42&amp;""),R$15),1,0),IF($D42="Q",IF(R$14=MIN(2,R$15),0.5,0)+IF(R$14=R$15,0.5,0),IF($D42="U",IF(R$14=R$15,1,0),1/R$15)))</f>
        <v>0</v>
      </c>
      <c r="S42" s="498" t="n">
        <f aca="false">INDEX(FC_FLUJO_CAJA!$D$52:$BK$52,1,S$13)*IF(IFERROR(VALUE($D42&amp;""),0)&gt;0,IF(S$14=MIN(VALUE($D42&amp;""),S$15),1,0),IF($D42="Q",IF(S$14=MIN(2,S$15),0.5,0)+IF(S$14=S$15,0.5,0),IF($D42="U",IF(S$14=S$15,1,0),1/S$15)))</f>
        <v>0</v>
      </c>
      <c r="T42" s="498" t="n">
        <f aca="false">INDEX(FC_FLUJO_CAJA!$D$52:$BK$52,1,T$13)*IF(IFERROR(VALUE($D42&amp;""),0)&gt;0,IF(T$14=MIN(VALUE($D42&amp;""),T$15),1,0),IF($D42="Q",IF(T$14=MIN(2,T$15),0.5,0)+IF(T$14=T$15,0.5,0),IF($D42="U",IF(T$14=T$15,1,0),1/T$15)))</f>
        <v>0</v>
      </c>
      <c r="U42" s="498" t="n">
        <f aca="false">INDEX(FC_FLUJO_CAJA!$D$52:$BK$52,1,U$13)*IF(IFERROR(VALUE($D42&amp;""),0)&gt;0,IF(U$14=MIN(VALUE($D42&amp;""),U$15),1,0),IF($D42="Q",IF(U$14=MIN(2,U$15),0.5,0)+IF(U$14=U$15,0.5,0),IF($D42="U",IF(U$14=U$15,1,0),1/U$15)))</f>
        <v>0</v>
      </c>
      <c r="V42" s="498" t="n">
        <f aca="false">INDEX(FC_FLUJO_CAJA!$D$52:$BK$52,1,V$13)*IF(IFERROR(VALUE($D42&amp;""),0)&gt;0,IF(V$14=MIN(VALUE($D42&amp;""),V$15),1,0),IF($D42="Q",IF(V$14=MIN(2,V$15),0.5,0)+IF(V$14=V$15,0.5,0),IF($D42="U",IF(V$14=V$15,1,0),1/V$15)))</f>
        <v>0</v>
      </c>
      <c r="W42" s="498" t="n">
        <f aca="false">INDEX(FC_FLUJO_CAJA!$D$52:$BK$52,1,W$13)*IF(IFERROR(VALUE($D42&amp;""),0)&gt;0,IF(W$14=MIN(VALUE($D42&amp;""),W$15),1,0),IF($D42="Q",IF(W$14=MIN(2,W$15),0.5,0)+IF(W$14=W$15,0.5,0),IF($D42="U",IF(W$14=W$15,1,0),1/W$15)))</f>
        <v>0</v>
      </c>
      <c r="X42" s="498" t="n">
        <f aca="false">INDEX(FC_FLUJO_CAJA!$D$52:$BK$52,1,X$13)*IF(IFERROR(VALUE($D42&amp;""),0)&gt;0,IF(X$14=MIN(VALUE($D42&amp;""),X$15),1,0),IF($D42="Q",IF(X$14=MIN(2,X$15),0.5,0)+IF(X$14=X$15,0.5,0),IF($D42="U",IF(X$14=X$15,1,0),1/X$15)))</f>
        <v>0</v>
      </c>
      <c r="Y42" s="498" t="n">
        <f aca="false">INDEX(FC_FLUJO_CAJA!$D$52:$BK$52,1,Y$13)*IF(IFERROR(VALUE($D42&amp;""),0)&gt;0,IF(Y$14=MIN(VALUE($D42&amp;""),Y$15),1,0),IF($D42="Q",IF(Y$14=MIN(2,Y$15),0.5,0)+IF(Y$14=Y$15,0.5,0),IF($D42="U",IF(Y$14=Y$15,1,0),1/Y$15)))</f>
        <v>0</v>
      </c>
      <c r="Z42" s="498" t="n">
        <f aca="false">INDEX(FC_FLUJO_CAJA!$D$52:$BK$52,1,Z$13)*IF(IFERROR(VALUE($D42&amp;""),0)&gt;0,IF(Z$14=MIN(VALUE($D42&amp;""),Z$15),1,0),IF($D42="Q",IF(Z$14=MIN(2,Z$15),0.5,0)+IF(Z$14=Z$15,0.5,0),IF($D42="U",IF(Z$14=Z$15,1,0),1/Z$15)))</f>
        <v>0</v>
      </c>
      <c r="AA42" s="498" t="n">
        <f aca="false">INDEX(FC_FLUJO_CAJA!$D$52:$BK$52,1,AA$13)*IF(IFERROR(VALUE($D42&amp;""),0)&gt;0,IF(AA$14=MIN(VALUE($D42&amp;""),AA$15),1,0),IF($D42="Q",IF(AA$14=MIN(2,AA$15),0.5,0)+IF(AA$14=AA$15,0.5,0),IF($D42="U",IF(AA$14=AA$15,1,0),1/AA$15)))</f>
        <v>0</v>
      </c>
      <c r="AB42" s="498" t="n">
        <f aca="false">INDEX(FC_FLUJO_CAJA!$D$52:$BK$52,1,AB$13)*IF(IFERROR(VALUE($D42&amp;""),0)&gt;0,IF(AB$14=MIN(VALUE($D42&amp;""),AB$15),1,0),IF($D42="Q",IF(AB$14=MIN(2,AB$15),0.5,0)+IF(AB$14=AB$15,0.5,0),IF($D42="U",IF(AB$14=AB$15,1,0),1/AB$15)))</f>
        <v>0</v>
      </c>
      <c r="AC42" s="498" t="n">
        <f aca="false">INDEX(FC_FLUJO_CAJA!$D$52:$BK$52,1,AC$13)*IF(IFERROR(VALUE($D42&amp;""),0)&gt;0,IF(AC$14=MIN(VALUE($D42&amp;""),AC$15),1,0),IF($D42="Q",IF(AC$14=MIN(2,AC$15),0.5,0)+IF(AC$14=AC$15,0.5,0),IF($D42="U",IF(AC$14=AC$15,1,0),1/AC$15)))</f>
        <v>0</v>
      </c>
      <c r="AD42" s="498" t="n">
        <f aca="false">INDEX(FC_FLUJO_CAJA!$D$52:$BK$52,1,AD$13)*IF(IFERROR(VALUE($D42&amp;""),0)&gt;0,IF(AD$14=MIN(VALUE($D42&amp;""),AD$15),1,0),IF($D42="Q",IF(AD$14=MIN(2,AD$15),0.5,0)+IF(AD$14=AD$15,0.5,0),IF($D42="U",IF(AD$14=AD$15,1,0),1/AD$15)))</f>
        <v>0</v>
      </c>
      <c r="AE42" s="498" t="n">
        <f aca="false">INDEX(FC_FLUJO_CAJA!$D$52:$BK$52,1,AE$13)*IF(IFERROR(VALUE($D42&amp;""),0)&gt;0,IF(AE$14=MIN(VALUE($D42&amp;""),AE$15),1,0),IF($D42="Q",IF(AE$14=MIN(2,AE$15),0.5,0)+IF(AE$14=AE$15,0.5,0),IF($D42="U",IF(AE$14=AE$15,1,0),1/AE$15)))</f>
        <v>0</v>
      </c>
      <c r="AF42" s="498" t="n">
        <f aca="false">INDEX(FC_FLUJO_CAJA!$D$52:$BK$52,1,AF$13)*IF(IFERROR(VALUE($D42&amp;""),0)&gt;0,IF(AF$14=MIN(VALUE($D42&amp;""),AF$15),1,0),IF($D42="Q",IF(AF$14=MIN(2,AF$15),0.5,0)+IF(AF$14=AF$15,0.5,0),IF($D42="U",IF(AF$14=AF$15,1,0),1/AF$15)))</f>
        <v>0</v>
      </c>
      <c r="AG42" s="498" t="n">
        <f aca="false">INDEX(FC_FLUJO_CAJA!$D$52:$BK$52,1,AG$13)*IF(IFERROR(VALUE($D42&amp;""),0)&gt;0,IF(AG$14=MIN(VALUE($D42&amp;""),AG$15),1,0),IF($D42="Q",IF(AG$14=MIN(2,AG$15),0.5,0)+IF(AG$14=AG$15,0.5,0),IF($D42="U",IF(AG$14=AG$15,1,0),1/AG$15)))</f>
        <v>0</v>
      </c>
      <c r="AH42" s="498" t="n">
        <f aca="false">INDEX(FC_FLUJO_CAJA!$D$52:$BK$52,1,AH$13)*IF(IFERROR(VALUE($D42&amp;""),0)&gt;0,IF(AH$14=MIN(VALUE($D42&amp;""),AH$15),1,0),IF($D42="Q",IF(AH$14=MIN(2,AH$15),0.5,0)+IF(AH$14=AH$15,0.5,0),IF($D42="U",IF(AH$14=AH$15,1,0),1/AH$15)))</f>
        <v>0</v>
      </c>
      <c r="AI42" s="498" t="n">
        <f aca="false">INDEX(FC_FLUJO_CAJA!$D$52:$BK$52,1,AI$13)*IF(IFERROR(VALUE($D42&amp;""),0)&gt;0,IF(AI$14=MIN(VALUE($D42&amp;""),AI$15),1,0),IF($D42="Q",IF(AI$14=MIN(2,AI$15),0.5,0)+IF(AI$14=AI$15,0.5,0),IF($D42="U",IF(AI$14=AI$15,1,0),1/AI$15)))</f>
        <v>0</v>
      </c>
      <c r="AJ42" s="498" t="n">
        <f aca="false">INDEX(FC_FLUJO_CAJA!$D$52:$BK$52,1,AJ$13)*IF(IFERROR(VALUE($D42&amp;""),0)&gt;0,IF(AJ$14=MIN(VALUE($D42&amp;""),AJ$15),1,0),IF($D42="Q",IF(AJ$14=MIN(2,AJ$15),0.5,0)+IF(AJ$14=AJ$15,0.5,0),IF($D42="U",IF(AJ$14=AJ$15,1,0),1/AJ$15)))</f>
        <v>0</v>
      </c>
      <c r="AK42" s="498" t="n">
        <f aca="false">INDEX(FC_FLUJO_CAJA!$D$52:$BK$52,1,AK$13)*IF(IFERROR(VALUE($D42&amp;""),0)&gt;0,IF(AK$14=MIN(VALUE($D42&amp;""),AK$15),1,0),IF($D42="Q",IF(AK$14=MIN(2,AK$15),0.5,0)+IF(AK$14=AK$15,0.5,0),IF($D42="U",IF(AK$14=AK$15,1,0),1/AK$15)))</f>
        <v>0</v>
      </c>
      <c r="AL42" s="498" t="n">
        <f aca="false">INDEX(FC_FLUJO_CAJA!$D$52:$BK$52,1,AL$13)*IF(IFERROR(VALUE($D42&amp;""),0)&gt;0,IF(AL$14=MIN(VALUE($D42&amp;""),AL$15),1,0),IF($D42="Q",IF(AL$14=MIN(2,AL$15),0.5,0)+IF(AL$14=AL$15,0.5,0),IF($D42="U",IF(AL$14=AL$15,1,0),1/AL$15)))</f>
        <v>0</v>
      </c>
      <c r="AM42" s="498" t="n">
        <f aca="false">INDEX(FC_FLUJO_CAJA!$D$52:$BK$52,1,AM$13)*IF(IFERROR(VALUE($D42&amp;""),0)&gt;0,IF(AM$14=MIN(VALUE($D42&amp;""),AM$15),1,0),IF($D42="Q",IF(AM$14=MIN(2,AM$15),0.5,0)+IF(AM$14=AM$15,0.5,0),IF($D42="U",IF(AM$14=AM$15,1,0),1/AM$15)))</f>
        <v>0</v>
      </c>
      <c r="AN42" s="498" t="n">
        <f aca="false">INDEX(FC_FLUJO_CAJA!$D$52:$BK$52,1,AN$13)*IF(IFERROR(VALUE($D42&amp;""),0)&gt;0,IF(AN$14=MIN(VALUE($D42&amp;""),AN$15),1,0),IF($D42="Q",IF(AN$14=MIN(2,AN$15),0.5,0)+IF(AN$14=AN$15,0.5,0),IF($D42="U",IF(AN$14=AN$15,1,0),1/AN$15)))</f>
        <v>0</v>
      </c>
      <c r="AO42" s="498" t="n">
        <f aca="false">INDEX(FC_FLUJO_CAJA!$D$52:$BK$52,1,AO$13)*IF(IFERROR(VALUE($D42&amp;""),0)&gt;0,IF(AO$14=MIN(VALUE($D42&amp;""),AO$15),1,0),IF($D42="Q",IF(AO$14=MIN(2,AO$15),0.5,0)+IF(AO$14=AO$15,0.5,0),IF($D42="U",IF(AO$14=AO$15,1,0),1/AO$15)))</f>
        <v>0</v>
      </c>
      <c r="AP42" s="498" t="n">
        <f aca="false">INDEX(FC_FLUJO_CAJA!$D$52:$BK$52,1,AP$13)*IF(IFERROR(VALUE($D42&amp;""),0)&gt;0,IF(AP$14=MIN(VALUE($D42&amp;""),AP$15),1,0),IF($D42="Q",IF(AP$14=MIN(2,AP$15),0.5,0)+IF(AP$14=AP$15,0.5,0),IF($D42="U",IF(AP$14=AP$15,1,0),1/AP$15)))</f>
        <v>0</v>
      </c>
      <c r="AQ42" s="498" t="n">
        <f aca="false">INDEX(FC_FLUJO_CAJA!$D$52:$BK$52,1,AQ$13)*IF(IFERROR(VALUE($D42&amp;""),0)&gt;0,IF(AQ$14=MIN(VALUE($D42&amp;""),AQ$15),1,0),IF($D42="Q",IF(AQ$14=MIN(2,AQ$15),0.5,0)+IF(AQ$14=AQ$15,0.5,0),IF($D42="U",IF(AQ$14=AQ$15,1,0),1/AQ$15)))</f>
        <v>141141</v>
      </c>
      <c r="AR42" s="498" t="n">
        <f aca="false">INDEX(FC_FLUJO_CAJA!$D$52:$BK$52,1,AR$13)*IF(IFERROR(VALUE($D42&amp;""),0)&gt;0,IF(AR$14=MIN(VALUE($D42&amp;""),AR$15),1,0),IF($D42="Q",IF(AR$14=MIN(2,AR$15),0.5,0)+IF(AR$14=AR$15,0.5,0),IF($D42="U",IF(AR$14=AR$15,1,0),1/AR$15)))</f>
        <v>0</v>
      </c>
      <c r="AS42" s="498" t="n">
        <f aca="false">INDEX(FC_FLUJO_CAJA!$D$52:$BK$52,1,AS$13)*IF(IFERROR(VALUE($D42&amp;""),0)&gt;0,IF(AS$14=MIN(VALUE($D42&amp;""),AS$15),1,0),IF($D42="Q",IF(AS$14=MIN(2,AS$15),0.5,0)+IF(AS$14=AS$15,0.5,0),IF($D42="U",IF(AS$14=AS$15,1,0),1/AS$15)))</f>
        <v>0</v>
      </c>
      <c r="AT42" s="498" t="n">
        <f aca="false">INDEX(FC_FLUJO_CAJA!$D$52:$BK$52,1,AT$13)*IF(IFERROR(VALUE($D42&amp;""),0)&gt;0,IF(AT$14=MIN(VALUE($D42&amp;""),AT$15),1,0),IF($D42="Q",IF(AT$14=MIN(2,AT$15),0.5,0)+IF(AT$14=AT$15,0.5,0),IF($D42="U",IF(AT$14=AT$15,1,0),1/AT$15)))</f>
        <v>0</v>
      </c>
      <c r="AU42" s="498" t="n">
        <f aca="false">INDEX(FC_FLUJO_CAJA!$D$52:$BK$52,1,AU$13)*IF(IFERROR(VALUE($D42&amp;""),0)&gt;0,IF(AU$14=MIN(VALUE($D42&amp;""),AU$15),1,0),IF($D42="Q",IF(AU$14=MIN(2,AU$15),0.5,0)+IF(AU$14=AU$15,0.5,0),IF($D42="U",IF(AU$14=AU$15,1,0),1/AU$15)))</f>
        <v>0</v>
      </c>
      <c r="AV42" s="498" t="n">
        <f aca="false">INDEX(FC_FLUJO_CAJA!$D$52:$BK$52,1,AV$13)*IF(IFERROR(VALUE($D42&amp;""),0)&gt;0,IF(AV$14=MIN(VALUE($D42&amp;""),AV$15),1,0),IF($D42="Q",IF(AV$14=MIN(2,AV$15),0.5,0)+IF(AV$14=AV$15,0.5,0),IF($D42="U",IF(AV$14=AV$15,1,0),1/AV$15)))</f>
        <v>0</v>
      </c>
      <c r="AW42" s="498" t="n">
        <f aca="false">INDEX(FC_FLUJO_CAJA!$D$52:$BK$52,1,AW$13)*IF(IFERROR(VALUE($D42&amp;""),0)&gt;0,IF(AW$14=MIN(VALUE($D42&amp;""),AW$15),1,0),IF($D42="Q",IF(AW$14=MIN(2,AW$15),0.5,0)+IF(AW$14=AW$15,0.5,0),IF($D42="U",IF(AW$14=AW$15,1,0),1/AW$15)))</f>
        <v>0</v>
      </c>
      <c r="AX42" s="498" t="n">
        <f aca="false">INDEX(FC_FLUJO_CAJA!$D$52:$BK$52,1,AX$13)*IF(IFERROR(VALUE($D42&amp;""),0)&gt;0,IF(AX$14=MIN(VALUE($D42&amp;""),AX$15),1,0),IF($D42="Q",IF(AX$14=MIN(2,AX$15),0.5,0)+IF(AX$14=AX$15,0.5,0),IF($D42="U",IF(AX$14=AX$15,1,0),1/AX$15)))</f>
        <v>0</v>
      </c>
      <c r="AY42" s="498" t="n">
        <f aca="false">INDEX(FC_FLUJO_CAJA!$D$52:$BK$52,1,AY$13)*IF(IFERROR(VALUE($D42&amp;""),0)&gt;0,IF(AY$14=MIN(VALUE($D42&amp;""),AY$15),1,0),IF($D42="Q",IF(AY$14=MIN(2,AY$15),0.5,0)+IF(AY$14=AY$15,0.5,0),IF($D42="U",IF(AY$14=AY$15,1,0),1/AY$15)))</f>
        <v>0</v>
      </c>
      <c r="AZ42" s="498" t="n">
        <f aca="false">INDEX(FC_FLUJO_CAJA!$D$52:$BK$52,1,AZ$13)*IF(IFERROR(VALUE($D42&amp;""),0)&gt;0,IF(AZ$14=MIN(VALUE($D42&amp;""),AZ$15),1,0),IF($D42="Q",IF(AZ$14=MIN(2,AZ$15),0.5,0)+IF(AZ$14=AZ$15,0.5,0),IF($D42="U",IF(AZ$14=AZ$15,1,0),1/AZ$15)))</f>
        <v>0</v>
      </c>
      <c r="BA42" s="498" t="n">
        <f aca="false">INDEX(FC_FLUJO_CAJA!$D$52:$BK$52,1,BA$13)*IF(IFERROR(VALUE($D42&amp;""),0)&gt;0,IF(BA$14=MIN(VALUE($D42&amp;""),BA$15),1,0),IF($D42="Q",IF(BA$14=MIN(2,BA$15),0.5,0)+IF(BA$14=BA$15,0.5,0),IF($D42="U",IF(BA$14=BA$15,1,0),1/BA$15)))</f>
        <v>0</v>
      </c>
      <c r="BB42" s="498" t="n">
        <f aca="false">INDEX(FC_FLUJO_CAJA!$D$52:$BK$52,1,BB$13)*IF(IFERROR(VALUE($D42&amp;""),0)&gt;0,IF(BB$14=MIN(VALUE($D42&amp;""),BB$15),1,0),IF($D42="Q",IF(BB$14=MIN(2,BB$15),0.5,0)+IF(BB$14=BB$15,0.5,0),IF($D42="U",IF(BB$14=BB$15,1,0),1/BB$15)))</f>
        <v>0</v>
      </c>
      <c r="BC42" s="498" t="n">
        <f aca="false">INDEX(FC_FLUJO_CAJA!$D$52:$BK$52,1,BC$13)*IF(IFERROR(VALUE($D42&amp;""),0)&gt;0,IF(BC$14=MIN(VALUE($D42&amp;""),BC$15),1,0),IF($D42="Q",IF(BC$14=MIN(2,BC$15),0.5,0)+IF(BC$14=BC$15,0.5,0),IF($D42="U",IF(BC$14=BC$15,1,0),1/BC$15)))</f>
        <v>0</v>
      </c>
      <c r="BD42" s="498" t="n">
        <f aca="false">INDEX(FC_FLUJO_CAJA!$D$52:$BK$52,1,BD$13)*IF(IFERROR(VALUE($D42&amp;""),0)&gt;0,IF(BD$14=MIN(VALUE($D42&amp;""),BD$15),1,0),IF($D42="Q",IF(BD$14=MIN(2,BD$15),0.5,0)+IF(BD$14=BD$15,0.5,0),IF($D42="U",IF(BD$14=BD$15,1,0),1/BD$15)))</f>
        <v>0</v>
      </c>
      <c r="BE42" s="498" t="n">
        <f aca="false">INDEX(FC_FLUJO_CAJA!$D$52:$BK$52,1,BE$13)*IF(IFERROR(VALUE($D42&amp;""),0)&gt;0,IF(BE$14=MIN(VALUE($D42&amp;""),BE$15),1,0),IF($D42="Q",IF(BE$14=MIN(2,BE$15),0.5,0)+IF(BE$14=BE$15,0.5,0),IF($D42="U",IF(BE$14=BE$15,1,0),1/BE$15)))</f>
        <v>0</v>
      </c>
    </row>
    <row r="43" customFormat="false" ht="15" hidden="false" customHeight="true" outlineLevel="0" collapsed="false">
      <c r="A43" s="400" t="s">
        <v>3141</v>
      </c>
      <c r="B43" s="283" t="s">
        <v>3142</v>
      </c>
      <c r="C43" s="531" t="s">
        <v>3143</v>
      </c>
      <c r="D43" s="289" t="str">
        <f aca="false">FC_SUPUESTOS!$C$146</f>
        <v>P</v>
      </c>
      <c r="E43" s="532" t="n">
        <f aca="false">SUM(F43:BE43)</f>
        <v>61340.419</v>
      </c>
      <c r="F43" s="498" t="n">
        <f aca="false">INDEX(FC_FLUJO_CAJA!$D$53:$BK$53,1,F$13)*IF(IFERROR(VALUE($D43&amp;""),0)&gt;0,IF(F$14=MIN(VALUE($D43&amp;""),F$15),1,0),IF($D43="Q",IF(F$14=MIN(2,F$15),0.5,0)+IF(F$14=F$15,0.5,0),IF($D43="U",IF(F$14=F$15,1,0),1/F$15)))</f>
        <v>1999.52767775404</v>
      </c>
      <c r="G43" s="498" t="n">
        <f aca="false">INDEX(FC_FLUJO_CAJA!$D$53:$BK$53,1,G$13)*IF(IFERROR(VALUE($D43&amp;""),0)&gt;0,IF(G$14=MIN(VALUE($D43&amp;""),G$15),1,0),IF($D43="Q",IF(G$14=MIN(2,G$15),0.5,0)+IF(G$14=G$15,0.5,0),IF($D43="U",IF(G$14=G$15,1,0),1/G$15)))</f>
        <v>1999.52767775404</v>
      </c>
      <c r="H43" s="498" t="n">
        <f aca="false">INDEX(FC_FLUJO_CAJA!$D$53:$BK$53,1,H$13)*IF(IFERROR(VALUE($D43&amp;""),0)&gt;0,IF(H$14=MIN(VALUE($D43&amp;""),H$15),1,0),IF($D43="Q",IF(H$14=MIN(2,H$15),0.5,0)+IF(H$14=H$15,0.5,0),IF($D43="U",IF(H$14=H$15,1,0),1/H$15)))</f>
        <v>1999.52767775404</v>
      </c>
      <c r="I43" s="498" t="n">
        <f aca="false">INDEX(FC_FLUJO_CAJA!$D$53:$BK$53,1,I$13)*IF(IFERROR(VALUE($D43&amp;""),0)&gt;0,IF(I$14=MIN(VALUE($D43&amp;""),I$15),1,0),IF($D43="Q",IF(I$14=MIN(2,I$15),0.5,0)+IF(I$14=I$15,0.5,0),IF($D43="U",IF(I$14=I$15,1,0),1/I$15)))</f>
        <v>1999.52767775404</v>
      </c>
      <c r="J43" s="498" t="n">
        <f aca="false">INDEX(FC_FLUJO_CAJA!$D$53:$BK$53,1,J$13)*IF(IFERROR(VALUE($D43&amp;""),0)&gt;0,IF(J$14=MIN(VALUE($D43&amp;""),J$15),1,0),IF($D43="Q",IF(J$14=MIN(2,J$15),0.5,0)+IF(J$14=J$15,0.5,0),IF($D43="U",IF(J$14=J$15,1,0),1/J$15)))</f>
        <v>0</v>
      </c>
      <c r="K43" s="498" t="n">
        <f aca="false">INDEX(FC_FLUJO_CAJA!$D$53:$BK$53,1,K$13)*IF(IFERROR(VALUE($D43&amp;""),0)&gt;0,IF(K$14=MIN(VALUE($D43&amp;""),K$15),1,0),IF($D43="Q",IF(K$14=MIN(2,K$15),0.5,0)+IF(K$14=K$15,0.5,0),IF($D43="U",IF(K$14=K$15,1,0),1/K$15)))</f>
        <v>0</v>
      </c>
      <c r="L43" s="498" t="n">
        <f aca="false">INDEX(FC_FLUJO_CAJA!$D$53:$BK$53,1,L$13)*IF(IFERROR(VALUE($D43&amp;""),0)&gt;0,IF(L$14=MIN(VALUE($D43&amp;""),L$15),1,0),IF($D43="Q",IF(L$14=MIN(2,L$15),0.5,0)+IF(L$14=L$15,0.5,0),IF($D43="U",IF(L$14=L$15,1,0),1/L$15)))</f>
        <v>0</v>
      </c>
      <c r="M43" s="498" t="n">
        <f aca="false">INDEX(FC_FLUJO_CAJA!$D$53:$BK$53,1,M$13)*IF(IFERROR(VALUE($D43&amp;""),0)&gt;0,IF(M$14=MIN(VALUE($D43&amp;""),M$15),1,0),IF($D43="Q",IF(M$14=MIN(2,M$15),0.5,0)+IF(M$14=M$15,0.5,0),IF($D43="U",IF(M$14=M$15,1,0),1/M$15)))</f>
        <v>0</v>
      </c>
      <c r="N43" s="498" t="n">
        <f aca="false">INDEX(FC_FLUJO_CAJA!$D$53:$BK$53,1,N$13)*IF(IFERROR(VALUE($D43&amp;""),0)&gt;0,IF(N$14=MIN(VALUE($D43&amp;""),N$15),1,0),IF($D43="Q",IF(N$14=MIN(2,N$15),0.5,0)+IF(N$14=N$15,0.5,0),IF($D43="U",IF(N$14=N$15,1,0),1/N$15)))</f>
        <v>0</v>
      </c>
      <c r="O43" s="498" t="n">
        <f aca="false">INDEX(FC_FLUJO_CAJA!$D$53:$BK$53,1,O$13)*IF(IFERROR(VALUE($D43&amp;""),0)&gt;0,IF(O$14=MIN(VALUE($D43&amp;""),O$15),1,0),IF($D43="Q",IF(O$14=MIN(2,O$15),0.5,0)+IF(O$14=O$15,0.5,0),IF($D43="U",IF(O$14=O$15,1,0),1/O$15)))</f>
        <v>0</v>
      </c>
      <c r="P43" s="498" t="n">
        <f aca="false">INDEX(FC_FLUJO_CAJA!$D$53:$BK$53,1,P$13)*IF(IFERROR(VALUE($D43&amp;""),0)&gt;0,IF(P$14=MIN(VALUE($D43&amp;""),P$15),1,0),IF($D43="Q",IF(P$14=MIN(2,P$15),0.5,0)+IF(P$14=P$15,0.5,0),IF($D43="U",IF(P$14=P$15,1,0),1/P$15)))</f>
        <v>0</v>
      </c>
      <c r="Q43" s="498" t="n">
        <f aca="false">INDEX(FC_FLUJO_CAJA!$D$53:$BK$53,1,Q$13)*IF(IFERROR(VALUE($D43&amp;""),0)&gt;0,IF(Q$14=MIN(VALUE($D43&amp;""),Q$15),1,0),IF($D43="Q",IF(Q$14=MIN(2,Q$15),0.5,0)+IF(Q$14=Q$15,0.5,0),IF($D43="U",IF(Q$14=Q$15,1,0),1/Q$15)))</f>
        <v>0</v>
      </c>
      <c r="R43" s="498" t="n">
        <f aca="false">INDEX(FC_FLUJO_CAJA!$D$53:$BK$53,1,R$13)*IF(IFERROR(VALUE($D43&amp;""),0)&gt;0,IF(R$14=MIN(VALUE($D43&amp;""),R$15),1,0),IF($D43="Q",IF(R$14=MIN(2,R$15),0.5,0)+IF(R$14=R$15,0.5,0),IF($D43="U",IF(R$14=R$15,1,0),1/R$15)))</f>
        <v>0</v>
      </c>
      <c r="S43" s="498" t="n">
        <f aca="false">INDEX(FC_FLUJO_CAJA!$D$53:$BK$53,1,S$13)*IF(IFERROR(VALUE($D43&amp;""),0)&gt;0,IF(S$14=MIN(VALUE($D43&amp;""),S$15),1,0),IF($D43="Q",IF(S$14=MIN(2,S$15),0.5,0)+IF(S$14=S$15,0.5,0),IF($D43="U",IF(S$14=S$15,1,0),1/S$15)))</f>
        <v>0</v>
      </c>
      <c r="T43" s="498" t="n">
        <f aca="false">INDEX(FC_FLUJO_CAJA!$D$53:$BK$53,1,T$13)*IF(IFERROR(VALUE($D43&amp;""),0)&gt;0,IF(T$14=MIN(VALUE($D43&amp;""),T$15),1,0),IF($D43="Q",IF(T$14=MIN(2,T$15),0.5,0)+IF(T$14=T$15,0.5,0),IF($D43="U",IF(T$14=T$15,1,0),1/T$15)))</f>
        <v>0</v>
      </c>
      <c r="U43" s="498" t="n">
        <f aca="false">INDEX(FC_FLUJO_CAJA!$D$53:$BK$53,1,U$13)*IF(IFERROR(VALUE($D43&amp;""),0)&gt;0,IF(U$14=MIN(VALUE($D43&amp;""),U$15),1,0),IF($D43="Q",IF(U$14=MIN(2,U$15),0.5,0)+IF(U$14=U$15,0.5,0),IF($D43="U",IF(U$14=U$15,1,0),1/U$15)))</f>
        <v>0</v>
      </c>
      <c r="V43" s="498" t="n">
        <f aca="false">INDEX(FC_FLUJO_CAJA!$D$53:$BK$53,1,V$13)*IF(IFERROR(VALUE($D43&amp;""),0)&gt;0,IF(V$14=MIN(VALUE($D43&amp;""),V$15),1,0),IF($D43="Q",IF(V$14=MIN(2,V$15),0.5,0)+IF(V$14=V$15,0.5,0),IF($D43="U",IF(V$14=V$15,1,0),1/V$15)))</f>
        <v>0</v>
      </c>
      <c r="W43" s="498" t="n">
        <f aca="false">INDEX(FC_FLUJO_CAJA!$D$53:$BK$53,1,W$13)*IF(IFERROR(VALUE($D43&amp;""),0)&gt;0,IF(W$14=MIN(VALUE($D43&amp;""),W$15),1,0),IF($D43="Q",IF(W$14=MIN(2,W$15),0.5,0)+IF(W$14=W$15,0.5,0),IF($D43="U",IF(W$14=W$15,1,0),1/W$15)))</f>
        <v>3649.13801190113</v>
      </c>
      <c r="X43" s="498" t="n">
        <f aca="false">INDEX(FC_FLUJO_CAJA!$D$53:$BK$53,1,X$13)*IF(IFERROR(VALUE($D43&amp;""),0)&gt;0,IF(X$14=MIN(VALUE($D43&amp;""),X$15),1,0),IF($D43="Q",IF(X$14=MIN(2,X$15),0.5,0)+IF(X$14=X$15,0.5,0),IF($D43="U",IF(X$14=X$15,1,0),1/X$15)))</f>
        <v>3649.13801190113</v>
      </c>
      <c r="Y43" s="498" t="n">
        <f aca="false">INDEX(FC_FLUJO_CAJA!$D$53:$BK$53,1,Y$13)*IF(IFERROR(VALUE($D43&amp;""),0)&gt;0,IF(Y$14=MIN(VALUE($D43&amp;""),Y$15),1,0),IF($D43="Q",IF(Y$14=MIN(2,Y$15),0.5,0)+IF(Y$14=Y$15,0.5,0),IF($D43="U",IF(Y$14=Y$15,1,0),1/Y$15)))</f>
        <v>3649.13801190113</v>
      </c>
      <c r="Z43" s="498" t="n">
        <f aca="false">INDEX(FC_FLUJO_CAJA!$D$53:$BK$53,1,Z$13)*IF(IFERROR(VALUE($D43&amp;""),0)&gt;0,IF(Z$14=MIN(VALUE($D43&amp;""),Z$15),1,0),IF($D43="Q",IF(Z$14=MIN(2,Z$15),0.5,0)+IF(Z$14=Z$15,0.5,0),IF($D43="U",IF(Z$14=Z$15,1,0),1/Z$15)))</f>
        <v>3649.13801190113</v>
      </c>
      <c r="AA43" s="498" t="n">
        <f aca="false">INDEX(FC_FLUJO_CAJA!$D$53:$BK$53,1,AA$13)*IF(IFERROR(VALUE($D43&amp;""),0)&gt;0,IF(AA$14=MIN(VALUE($D43&amp;""),AA$15),1,0),IF($D43="Q",IF(AA$14=MIN(2,AA$15),0.5,0)+IF(AA$14=AA$15,0.5,0),IF($D43="U",IF(AA$14=AA$15,1,0),1/AA$15)))</f>
        <v>0</v>
      </c>
      <c r="AB43" s="498" t="n">
        <f aca="false">INDEX(FC_FLUJO_CAJA!$D$53:$BK$53,1,AB$13)*IF(IFERROR(VALUE($D43&amp;""),0)&gt;0,IF(AB$14=MIN(VALUE($D43&amp;""),AB$15),1,0),IF($D43="Q",IF(AB$14=MIN(2,AB$15),0.5,0)+IF(AB$14=AB$15,0.5,0),IF($D43="U",IF(AB$14=AB$15,1,0),1/AB$15)))</f>
        <v>0</v>
      </c>
      <c r="AC43" s="498" t="n">
        <f aca="false">INDEX(FC_FLUJO_CAJA!$D$53:$BK$53,1,AC$13)*IF(IFERROR(VALUE($D43&amp;""),0)&gt;0,IF(AC$14=MIN(VALUE($D43&amp;""),AC$15),1,0),IF($D43="Q",IF(AC$14=MIN(2,AC$15),0.5,0)+IF(AC$14=AC$15,0.5,0),IF($D43="U",IF(AC$14=AC$15,1,0),1/AC$15)))</f>
        <v>0</v>
      </c>
      <c r="AD43" s="498" t="n">
        <f aca="false">INDEX(FC_FLUJO_CAJA!$D$53:$BK$53,1,AD$13)*IF(IFERROR(VALUE($D43&amp;""),0)&gt;0,IF(AD$14=MIN(VALUE($D43&amp;""),AD$15),1,0),IF($D43="Q",IF(AD$14=MIN(2,AD$15),0.5,0)+IF(AD$14=AD$15,0.5,0),IF($D43="U",IF(AD$14=AD$15,1,0),1/AD$15)))</f>
        <v>0</v>
      </c>
      <c r="AE43" s="498" t="n">
        <f aca="false">INDEX(FC_FLUJO_CAJA!$D$53:$BK$53,1,AE$13)*IF(IFERROR(VALUE($D43&amp;""),0)&gt;0,IF(AE$14=MIN(VALUE($D43&amp;""),AE$15),1,0),IF($D43="Q",IF(AE$14=MIN(2,AE$15),0.5,0)+IF(AE$14=AE$15,0.5,0),IF($D43="U",IF(AE$14=AE$15,1,0),1/AE$15)))</f>
        <v>0</v>
      </c>
      <c r="AF43" s="498" t="n">
        <f aca="false">INDEX(FC_FLUJO_CAJA!$D$53:$BK$53,1,AF$13)*IF(IFERROR(VALUE($D43&amp;""),0)&gt;0,IF(AF$14=MIN(VALUE($D43&amp;""),AF$15),1,0),IF($D43="Q",IF(AF$14=MIN(2,AF$15),0.5,0)+IF(AF$14=AF$15,0.5,0),IF($D43="U",IF(AF$14=AF$15,1,0),1/AF$15)))</f>
        <v>2741.89956034483</v>
      </c>
      <c r="AG43" s="498" t="n">
        <f aca="false">INDEX(FC_FLUJO_CAJA!$D$53:$BK$53,1,AG$13)*IF(IFERROR(VALUE($D43&amp;""),0)&gt;0,IF(AG$14=MIN(VALUE($D43&amp;""),AG$15),1,0),IF($D43="Q",IF(AG$14=MIN(2,AG$15),0.5,0)+IF(AG$14=AG$15,0.5,0),IF($D43="U",IF(AG$14=AG$15,1,0),1/AG$15)))</f>
        <v>2741.89956034483</v>
      </c>
      <c r="AH43" s="498" t="n">
        <f aca="false">INDEX(FC_FLUJO_CAJA!$D$53:$BK$53,1,AH$13)*IF(IFERROR(VALUE($D43&amp;""),0)&gt;0,IF(AH$14=MIN(VALUE($D43&amp;""),AH$15),1,0),IF($D43="Q",IF(AH$14=MIN(2,AH$15),0.5,0)+IF(AH$14=AH$15,0.5,0),IF($D43="U",IF(AH$14=AH$15,1,0),1/AH$15)))</f>
        <v>2741.89956034483</v>
      </c>
      <c r="AI43" s="498" t="n">
        <f aca="false">INDEX(FC_FLUJO_CAJA!$D$53:$BK$53,1,AI$13)*IF(IFERROR(VALUE($D43&amp;""),0)&gt;0,IF(AI$14=MIN(VALUE($D43&amp;""),AI$15),1,0),IF($D43="Q",IF(AI$14=MIN(2,AI$15),0.5,0)+IF(AI$14=AI$15,0.5,0),IF($D43="U",IF(AI$14=AI$15,1,0),1/AI$15)))</f>
        <v>2741.89956034483</v>
      </c>
      <c r="AJ43" s="498" t="n">
        <f aca="false">INDEX(FC_FLUJO_CAJA!$D$53:$BK$53,1,AJ$13)*IF(IFERROR(VALUE($D43&amp;""),0)&gt;0,IF(AJ$14=MIN(VALUE($D43&amp;""),AJ$15),1,0),IF($D43="Q",IF(AJ$14=MIN(2,AJ$15),0.5,0)+IF(AJ$14=AJ$15,0.5,0),IF($D43="U",IF(AJ$14=AJ$15,1,0),1/AJ$15)))</f>
        <v>1016.4058</v>
      </c>
      <c r="AK43" s="498" t="n">
        <f aca="false">INDEX(FC_FLUJO_CAJA!$D$53:$BK$53,1,AK$13)*IF(IFERROR(VALUE($D43&amp;""),0)&gt;0,IF(AK$14=MIN(VALUE($D43&amp;""),AK$15),1,0),IF($D43="Q",IF(AK$14=MIN(2,AK$15),0.5,0)+IF(AK$14=AK$15,0.5,0),IF($D43="U",IF(AK$14=AK$15,1,0),1/AK$15)))</f>
        <v>1016.4058</v>
      </c>
      <c r="AL43" s="498" t="n">
        <f aca="false">INDEX(FC_FLUJO_CAJA!$D$53:$BK$53,1,AL$13)*IF(IFERROR(VALUE($D43&amp;""),0)&gt;0,IF(AL$14=MIN(VALUE($D43&amp;""),AL$15),1,0),IF($D43="Q",IF(AL$14=MIN(2,AL$15),0.5,0)+IF(AL$14=AL$15,0.5,0),IF($D43="U",IF(AL$14=AL$15,1,0),1/AL$15)))</f>
        <v>1016.4058</v>
      </c>
      <c r="AM43" s="498" t="n">
        <f aca="false">INDEX(FC_FLUJO_CAJA!$D$53:$BK$53,1,AM$13)*IF(IFERROR(VALUE($D43&amp;""),0)&gt;0,IF(AM$14=MIN(VALUE($D43&amp;""),AM$15),1,0),IF($D43="Q",IF(AM$14=MIN(2,AM$15),0.5,0)+IF(AM$14=AM$15,0.5,0),IF($D43="U",IF(AM$14=AM$15,1,0),1/AM$15)))</f>
        <v>1016.4058</v>
      </c>
      <c r="AN43" s="498" t="n">
        <f aca="false">INDEX(FC_FLUJO_CAJA!$D$53:$BK$53,1,AN$13)*IF(IFERROR(VALUE($D43&amp;""),0)&gt;0,IF(AN$14=MIN(VALUE($D43&amp;""),AN$15),1,0),IF($D43="Q",IF(AN$14=MIN(2,AN$15),0.5,0)+IF(AN$14=AN$15,0.5,0),IF($D43="U",IF(AN$14=AN$15,1,0),1/AN$15)))</f>
        <v>1016.4058</v>
      </c>
      <c r="AO43" s="498" t="n">
        <f aca="false">INDEX(FC_FLUJO_CAJA!$D$53:$BK$53,1,AO$13)*IF(IFERROR(VALUE($D43&amp;""),0)&gt;0,IF(AO$14=MIN(VALUE($D43&amp;""),AO$15),1,0),IF($D43="Q",IF(AO$14=MIN(2,AO$15),0.5,0)+IF(AO$14=AO$15,0.5,0),IF($D43="U",IF(AO$14=AO$15,1,0),1/AO$15)))</f>
        <v>5674.03225</v>
      </c>
      <c r="AP43" s="498" t="n">
        <f aca="false">INDEX(FC_FLUJO_CAJA!$D$53:$BK$53,1,AP$13)*IF(IFERROR(VALUE($D43&amp;""),0)&gt;0,IF(AP$14=MIN(VALUE($D43&amp;""),AP$15),1,0),IF($D43="Q",IF(AP$14=MIN(2,AP$15),0.5,0)+IF(AP$14=AP$15,0.5,0),IF($D43="U",IF(AP$14=AP$15,1,0),1/AP$15)))</f>
        <v>5674.03225</v>
      </c>
      <c r="AQ43" s="498" t="n">
        <f aca="false">INDEX(FC_FLUJO_CAJA!$D$53:$BK$53,1,AQ$13)*IF(IFERROR(VALUE($D43&amp;""),0)&gt;0,IF(AQ$14=MIN(VALUE($D43&amp;""),AQ$15),1,0),IF($D43="Q",IF(AQ$14=MIN(2,AQ$15),0.5,0)+IF(AQ$14=AQ$15,0.5,0),IF($D43="U",IF(AQ$14=AQ$15,1,0),1/AQ$15)))</f>
        <v>5674.03225</v>
      </c>
      <c r="AR43" s="498" t="n">
        <f aca="false">INDEX(FC_FLUJO_CAJA!$D$53:$BK$53,1,AR$13)*IF(IFERROR(VALUE($D43&amp;""),0)&gt;0,IF(AR$14=MIN(VALUE($D43&amp;""),AR$15),1,0),IF($D43="Q",IF(AR$14=MIN(2,AR$15),0.5,0)+IF(AR$14=AR$15,0.5,0),IF($D43="U",IF(AR$14=AR$15,1,0),1/AR$15)))</f>
        <v>5674.03225</v>
      </c>
      <c r="AS43" s="498" t="n">
        <f aca="false">INDEX(FC_FLUJO_CAJA!$D$53:$BK$53,1,AS$13)*IF(IFERROR(VALUE($D43&amp;""),0)&gt;0,IF(AS$14=MIN(VALUE($D43&amp;""),AS$15),1,0),IF($D43="Q",IF(AS$14=MIN(2,AS$15),0.5,0)+IF(AS$14=AS$15,0.5,0),IF($D43="U",IF(AS$14=AS$15,1,0),1/AS$15)))</f>
        <v>0</v>
      </c>
      <c r="AT43" s="498" t="n">
        <f aca="false">INDEX(FC_FLUJO_CAJA!$D$53:$BK$53,1,AT$13)*IF(IFERROR(VALUE($D43&amp;""),0)&gt;0,IF(AT$14=MIN(VALUE($D43&amp;""),AT$15),1,0),IF($D43="Q",IF(AT$14=MIN(2,AT$15),0.5,0)+IF(AT$14=AT$15,0.5,0),IF($D43="U",IF(AT$14=AT$15,1,0),1/AT$15)))</f>
        <v>0</v>
      </c>
      <c r="AU43" s="498" t="n">
        <f aca="false">INDEX(FC_FLUJO_CAJA!$D$53:$BK$53,1,AU$13)*IF(IFERROR(VALUE($D43&amp;""),0)&gt;0,IF(AU$14=MIN(VALUE($D43&amp;""),AU$15),1,0),IF($D43="Q",IF(AU$14=MIN(2,AU$15),0.5,0)+IF(AU$14=AU$15,0.5,0),IF($D43="U",IF(AU$14=AU$15,1,0),1/AU$15)))</f>
        <v>0</v>
      </c>
      <c r="AV43" s="498" t="n">
        <f aca="false">INDEX(FC_FLUJO_CAJA!$D$53:$BK$53,1,AV$13)*IF(IFERROR(VALUE($D43&amp;""),0)&gt;0,IF(AV$14=MIN(VALUE($D43&amp;""),AV$15),1,0),IF($D43="Q",IF(AV$14=MIN(2,AV$15),0.5,0)+IF(AV$14=AV$15,0.5,0),IF($D43="U",IF(AV$14=AV$15,1,0),1/AV$15)))</f>
        <v>0</v>
      </c>
      <c r="AW43" s="498" t="n">
        <f aca="false">INDEX(FC_FLUJO_CAJA!$D$53:$BK$53,1,AW$13)*IF(IFERROR(VALUE($D43&amp;""),0)&gt;0,IF(AW$14=MIN(VALUE($D43&amp;""),AW$15),1,0),IF($D43="Q",IF(AW$14=MIN(2,AW$15),0.5,0)+IF(AW$14=AW$15,0.5,0),IF($D43="U",IF(AW$14=AW$15,1,0),1/AW$15)))</f>
        <v>0</v>
      </c>
      <c r="AX43" s="498" t="n">
        <f aca="false">INDEX(FC_FLUJO_CAJA!$D$53:$BK$53,1,AX$13)*IF(IFERROR(VALUE($D43&amp;""),0)&gt;0,IF(AX$14=MIN(VALUE($D43&amp;""),AX$15),1,0),IF($D43="Q",IF(AX$14=MIN(2,AX$15),0.5,0)+IF(AX$14=AX$15,0.5,0),IF($D43="U",IF(AX$14=AX$15,1,0),1/AX$15)))</f>
        <v>0</v>
      </c>
      <c r="AY43" s="498" t="n">
        <f aca="false">INDEX(FC_FLUJO_CAJA!$D$53:$BK$53,1,AY$13)*IF(IFERROR(VALUE($D43&amp;""),0)&gt;0,IF(AY$14=MIN(VALUE($D43&amp;""),AY$15),1,0),IF($D43="Q",IF(AY$14=MIN(2,AY$15),0.5,0)+IF(AY$14=AY$15,0.5,0),IF($D43="U",IF(AY$14=AY$15,1,0),1/AY$15)))</f>
        <v>0</v>
      </c>
      <c r="AZ43" s="498" t="n">
        <f aca="false">INDEX(FC_FLUJO_CAJA!$D$53:$BK$53,1,AZ$13)*IF(IFERROR(VALUE($D43&amp;""),0)&gt;0,IF(AZ$14=MIN(VALUE($D43&amp;""),AZ$15),1,0),IF($D43="Q",IF(AZ$14=MIN(2,AZ$15),0.5,0)+IF(AZ$14=AZ$15,0.5,0),IF($D43="U",IF(AZ$14=AZ$15,1,0),1/AZ$15)))</f>
        <v>0</v>
      </c>
      <c r="BA43" s="498" t="n">
        <f aca="false">INDEX(FC_FLUJO_CAJA!$D$53:$BK$53,1,BA$13)*IF(IFERROR(VALUE($D43&amp;""),0)&gt;0,IF(BA$14=MIN(VALUE($D43&amp;""),BA$15),1,0),IF($D43="Q",IF(BA$14=MIN(2,BA$15),0.5,0)+IF(BA$14=BA$15,0.5,0),IF($D43="U",IF(BA$14=BA$15,1,0),1/BA$15)))</f>
        <v>0</v>
      </c>
      <c r="BB43" s="498" t="n">
        <f aca="false">INDEX(FC_FLUJO_CAJA!$D$53:$BK$53,1,BB$13)*IF(IFERROR(VALUE($D43&amp;""),0)&gt;0,IF(BB$14=MIN(VALUE($D43&amp;""),BB$15),1,0),IF($D43="Q",IF(BB$14=MIN(2,BB$15),0.5,0)+IF(BB$14=BB$15,0.5,0),IF($D43="U",IF(BB$14=BB$15,1,0),1/BB$15)))</f>
        <v>0</v>
      </c>
      <c r="BC43" s="498" t="n">
        <f aca="false">INDEX(FC_FLUJO_CAJA!$D$53:$BK$53,1,BC$13)*IF(IFERROR(VALUE($D43&amp;""),0)&gt;0,IF(BC$14=MIN(VALUE($D43&amp;""),BC$15),1,0),IF($D43="Q",IF(BC$14=MIN(2,BC$15),0.5,0)+IF(BC$14=BC$15,0.5,0),IF($D43="U",IF(BC$14=BC$15,1,0),1/BC$15)))</f>
        <v>0</v>
      </c>
      <c r="BD43" s="498" t="n">
        <f aca="false">INDEX(FC_FLUJO_CAJA!$D$53:$BK$53,1,BD$13)*IF(IFERROR(VALUE($D43&amp;""),0)&gt;0,IF(BD$14=MIN(VALUE($D43&amp;""),BD$15),1,0),IF($D43="Q",IF(BD$14=MIN(2,BD$15),0.5,0)+IF(BD$14=BD$15,0.5,0),IF($D43="U",IF(BD$14=BD$15,1,0),1/BD$15)))</f>
        <v>0</v>
      </c>
      <c r="BE43" s="498" t="n">
        <f aca="false">INDEX(FC_FLUJO_CAJA!$D$53:$BK$53,1,BE$13)*IF(IFERROR(VALUE($D43&amp;""),0)&gt;0,IF(BE$14=MIN(VALUE($D43&amp;""),BE$15),1,0),IF($D43="Q",IF(BE$14=MIN(2,BE$15),0.5,0)+IF(BE$14=BE$15,0.5,0),IF($D43="U",IF(BE$14=BE$15,1,0),1/BE$15)))</f>
        <v>0</v>
      </c>
    </row>
    <row r="44" customFormat="false" ht="15" hidden="false" customHeight="true" outlineLevel="0" collapsed="false">
      <c r="A44" s="218"/>
      <c r="B44" s="499" t="s">
        <v>3144</v>
      </c>
      <c r="C44" s="218"/>
      <c r="D44" s="218"/>
      <c r="E44" s="533" t="n">
        <f aca="false">SUM(F44:BE44)</f>
        <v>674744.609</v>
      </c>
      <c r="F44" s="533" t="n">
        <f aca="false">SUM(F34:F43)</f>
        <v>81980.6347879158</v>
      </c>
      <c r="G44" s="533" t="n">
        <f aca="false">SUM(G34:G43)</f>
        <v>1999.52767775404</v>
      </c>
      <c r="H44" s="533" t="n">
        <f aca="false">SUM(H34:H43)</f>
        <v>1999.52767775404</v>
      </c>
      <c r="I44" s="533" t="n">
        <f aca="false">SUM(I34:I43)</f>
        <v>1999.52767775404</v>
      </c>
      <c r="J44" s="533" t="n">
        <f aca="false">SUM(J34:J43)</f>
        <v>0</v>
      </c>
      <c r="K44" s="533" t="n">
        <f aca="false">SUM(K34:K43)</f>
        <v>0</v>
      </c>
      <c r="L44" s="533" t="n">
        <f aca="false">SUM(L34:L43)</f>
        <v>0</v>
      </c>
      <c r="M44" s="533" t="n">
        <f aca="false">SUM(M34:M43)</f>
        <v>0</v>
      </c>
      <c r="N44" s="533" t="n">
        <f aca="false">SUM(N34:N43)</f>
        <v>0</v>
      </c>
      <c r="O44" s="533" t="n">
        <f aca="false">SUM(O34:O43)</f>
        <v>0</v>
      </c>
      <c r="P44" s="533" t="n">
        <f aca="false">SUM(P34:P43)</f>
        <v>0</v>
      </c>
      <c r="Q44" s="533" t="n">
        <f aca="false">SUM(Q34:Q43)</f>
        <v>0</v>
      </c>
      <c r="R44" s="533" t="n">
        <f aca="false">SUM(R34:R43)</f>
        <v>0</v>
      </c>
      <c r="S44" s="533" t="n">
        <f aca="false">SUM(S34:S43)</f>
        <v>0</v>
      </c>
      <c r="T44" s="533" t="n">
        <f aca="false">SUM(T34:T43)</f>
        <v>0</v>
      </c>
      <c r="U44" s="533" t="n">
        <f aca="false">SUM(U34:U43)</f>
        <v>0</v>
      </c>
      <c r="V44" s="533" t="n">
        <f aca="false">SUM(V34:V43)</f>
        <v>0</v>
      </c>
      <c r="W44" s="533" t="n">
        <f aca="false">SUM(W34:W43)</f>
        <v>149614.658487946</v>
      </c>
      <c r="X44" s="533" t="n">
        <f aca="false">SUM(X34:X43)</f>
        <v>3649.13801190113</v>
      </c>
      <c r="Y44" s="533" t="n">
        <f aca="false">SUM(Y34:Y43)</f>
        <v>3649.13801190113</v>
      </c>
      <c r="Z44" s="533" t="n">
        <f aca="false">SUM(Z34:Z43)</f>
        <v>3649.13801190113</v>
      </c>
      <c r="AA44" s="533" t="n">
        <f aca="false">SUM(AA34:AA43)</f>
        <v>0</v>
      </c>
      <c r="AB44" s="533" t="n">
        <f aca="false">SUM(AB34:AB43)</f>
        <v>0</v>
      </c>
      <c r="AC44" s="533" t="n">
        <f aca="false">SUM(AC34:AC43)</f>
        <v>0</v>
      </c>
      <c r="AD44" s="533" t="n">
        <f aca="false">SUM(AD34:AD43)</f>
        <v>0</v>
      </c>
      <c r="AE44" s="533" t="n">
        <f aca="false">SUM(AE34:AE43)</f>
        <v>0</v>
      </c>
      <c r="AF44" s="533" t="n">
        <f aca="false">SUM(AF34:AF43)</f>
        <v>4741.89956034483</v>
      </c>
      <c r="AG44" s="533" t="n">
        <f aca="false">SUM(AG34:AG43)</f>
        <v>106417.881974138</v>
      </c>
      <c r="AH44" s="533" t="n">
        <f aca="false">SUM(AH34:AH43)</f>
        <v>4741.89956034483</v>
      </c>
      <c r="AI44" s="533" t="n">
        <f aca="false">SUM(AI34:AI43)</f>
        <v>4741.89956034483</v>
      </c>
      <c r="AJ44" s="533" t="n">
        <f aca="false">SUM(AJ34:AJ43)</f>
        <v>6680.4638</v>
      </c>
      <c r="AK44" s="533" t="n">
        <f aca="false">SUM(AK34:AK43)</f>
        <v>6680.4638</v>
      </c>
      <c r="AL44" s="533" t="n">
        <f aca="false">SUM(AL34:AL43)</f>
        <v>29180.4638</v>
      </c>
      <c r="AM44" s="533" t="n">
        <f aca="false">SUM(AM34:AM43)</f>
        <v>6680.4638</v>
      </c>
      <c r="AN44" s="533" t="n">
        <f aca="false">SUM(AN34:AN43)</f>
        <v>6680.4638</v>
      </c>
      <c r="AO44" s="533" t="n">
        <f aca="false">SUM(AO34:AO43)</f>
        <v>21504.10475</v>
      </c>
      <c r="AP44" s="533" t="n">
        <f aca="false">SUM(AP34:AP43)</f>
        <v>21504.10475</v>
      </c>
      <c r="AQ44" s="533" t="n">
        <f aca="false">SUM(AQ34:AQ43)</f>
        <v>185145.10475</v>
      </c>
      <c r="AR44" s="533" t="n">
        <f aca="false">SUM(AR34:AR43)</f>
        <v>21504.10475</v>
      </c>
      <c r="AS44" s="533" t="n">
        <f aca="false">SUM(AS34:AS43)</f>
        <v>0</v>
      </c>
      <c r="AT44" s="533" t="n">
        <f aca="false">SUM(AT34:AT43)</f>
        <v>0</v>
      </c>
      <c r="AU44" s="533" t="n">
        <f aca="false">SUM(AU34:AU43)</f>
        <v>0</v>
      </c>
      <c r="AV44" s="533" t="n">
        <f aca="false">SUM(AV34:AV43)</f>
        <v>0</v>
      </c>
      <c r="AW44" s="533" t="n">
        <f aca="false">SUM(AW34:AW43)</f>
        <v>0</v>
      </c>
      <c r="AX44" s="533" t="n">
        <f aca="false">SUM(AX34:AX43)</f>
        <v>0</v>
      </c>
      <c r="AY44" s="533" t="n">
        <f aca="false">SUM(AY34:AY43)</f>
        <v>0</v>
      </c>
      <c r="AZ44" s="533" t="n">
        <f aca="false">SUM(AZ34:AZ43)</f>
        <v>0</v>
      </c>
      <c r="BA44" s="533" t="n">
        <f aca="false">SUM(BA34:BA43)</f>
        <v>0</v>
      </c>
      <c r="BB44" s="533" t="n">
        <f aca="false">SUM(BB34:BB43)</f>
        <v>0</v>
      </c>
      <c r="BC44" s="533" t="n">
        <f aca="false">SUM(BC34:BC43)</f>
        <v>0</v>
      </c>
      <c r="BD44" s="533" t="n">
        <f aca="false">SUM(BD34:BD43)</f>
        <v>0</v>
      </c>
      <c r="BE44" s="533" t="n">
        <f aca="false">SUM(BE34:BE43)</f>
        <v>0</v>
      </c>
    </row>
    <row r="45" customFormat="false" ht="15" hidden="false" customHeight="true" outlineLevel="0" collapsed="false">
      <c r="A45" s="281" t="s">
        <v>3145</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row>
    <row r="46" customFormat="false" ht="15" hidden="false" customHeight="true" outlineLevel="0" collapsed="false">
      <c r="A46" s="400" t="s">
        <v>3146</v>
      </c>
      <c r="B46" s="283" t="s">
        <v>3147</v>
      </c>
      <c r="C46" s="531" t="s">
        <v>3148</v>
      </c>
      <c r="D46" s="289" t="n">
        <f aca="false">FC_SUPUESTOS!$C$147</f>
        <v>1</v>
      </c>
      <c r="E46" s="532" t="n">
        <f aca="false">SUM(F46:BE46)</f>
        <v>73298</v>
      </c>
      <c r="F46" s="498" t="n">
        <f aca="false">INDEX(FC_FLUJO_CAJA!$D$57:$BK$57,1,F$13)*IF(IFERROR(VALUE($D46&amp;""),0)&gt;0,IF(F$14=MIN(VALUE($D46&amp;""),F$15),1,0),IF($D46="Q",IF(F$14=MIN(2,F$15),0.5,0)+IF(F$14=F$15,0.5,0),IF($D46="U",IF(F$14=F$15,1,0),1/F$15)))</f>
        <v>73298</v>
      </c>
      <c r="G46" s="498" t="n">
        <f aca="false">INDEX(FC_FLUJO_CAJA!$D$57:$BK$57,1,G$13)*IF(IFERROR(VALUE($D46&amp;""),0)&gt;0,IF(G$14=MIN(VALUE($D46&amp;""),G$15),1,0),IF($D46="Q",IF(G$14=MIN(2,G$15),0.5,0)+IF(G$14=G$15,0.5,0),IF($D46="U",IF(G$14=G$15,1,0),1/G$15)))</f>
        <v>0</v>
      </c>
      <c r="H46" s="498" t="n">
        <f aca="false">INDEX(FC_FLUJO_CAJA!$D$57:$BK$57,1,H$13)*IF(IFERROR(VALUE($D46&amp;""),0)&gt;0,IF(H$14=MIN(VALUE($D46&amp;""),H$15),1,0),IF($D46="Q",IF(H$14=MIN(2,H$15),0.5,0)+IF(H$14=H$15,0.5,0),IF($D46="U",IF(H$14=H$15,1,0),1/H$15)))</f>
        <v>0</v>
      </c>
      <c r="I46" s="498" t="n">
        <f aca="false">INDEX(FC_FLUJO_CAJA!$D$57:$BK$57,1,I$13)*IF(IFERROR(VALUE($D46&amp;""),0)&gt;0,IF(I$14=MIN(VALUE($D46&amp;""),I$15),1,0),IF($D46="Q",IF(I$14=MIN(2,I$15),0.5,0)+IF(I$14=I$15,0.5,0),IF($D46="U",IF(I$14=I$15,1,0),1/I$15)))</f>
        <v>0</v>
      </c>
      <c r="J46" s="498" t="n">
        <f aca="false">INDEX(FC_FLUJO_CAJA!$D$57:$BK$57,1,J$13)*IF(IFERROR(VALUE($D46&amp;""),0)&gt;0,IF(J$14=MIN(VALUE($D46&amp;""),J$15),1,0),IF($D46="Q",IF(J$14=MIN(2,J$15),0.5,0)+IF(J$14=J$15,0.5,0),IF($D46="U",IF(J$14=J$15,1,0),1/J$15)))</f>
        <v>0</v>
      </c>
      <c r="K46" s="498" t="n">
        <f aca="false">INDEX(FC_FLUJO_CAJA!$D$57:$BK$57,1,K$13)*IF(IFERROR(VALUE($D46&amp;""),0)&gt;0,IF(K$14=MIN(VALUE($D46&amp;""),K$15),1,0),IF($D46="Q",IF(K$14=MIN(2,K$15),0.5,0)+IF(K$14=K$15,0.5,0),IF($D46="U",IF(K$14=K$15,1,0),1/K$15)))</f>
        <v>0</v>
      </c>
      <c r="L46" s="498" t="n">
        <f aca="false">INDEX(FC_FLUJO_CAJA!$D$57:$BK$57,1,L$13)*IF(IFERROR(VALUE($D46&amp;""),0)&gt;0,IF(L$14=MIN(VALUE($D46&amp;""),L$15),1,0),IF($D46="Q",IF(L$14=MIN(2,L$15),0.5,0)+IF(L$14=L$15,0.5,0),IF($D46="U",IF(L$14=L$15,1,0),1/L$15)))</f>
        <v>0</v>
      </c>
      <c r="M46" s="498" t="n">
        <f aca="false">INDEX(FC_FLUJO_CAJA!$D$57:$BK$57,1,M$13)*IF(IFERROR(VALUE($D46&amp;""),0)&gt;0,IF(M$14=MIN(VALUE($D46&amp;""),M$15),1,0),IF($D46="Q",IF(M$14=MIN(2,M$15),0.5,0)+IF(M$14=M$15,0.5,0),IF($D46="U",IF(M$14=M$15,1,0),1/M$15)))</f>
        <v>0</v>
      </c>
      <c r="N46" s="498" t="n">
        <f aca="false">INDEX(FC_FLUJO_CAJA!$D$57:$BK$57,1,N$13)*IF(IFERROR(VALUE($D46&amp;""),0)&gt;0,IF(N$14=MIN(VALUE($D46&amp;""),N$15),1,0),IF($D46="Q",IF(N$14=MIN(2,N$15),0.5,0)+IF(N$14=N$15,0.5,0),IF($D46="U",IF(N$14=N$15,1,0),1/N$15)))</f>
        <v>0</v>
      </c>
      <c r="O46" s="498" t="n">
        <f aca="false">INDEX(FC_FLUJO_CAJA!$D$57:$BK$57,1,O$13)*IF(IFERROR(VALUE($D46&amp;""),0)&gt;0,IF(O$14=MIN(VALUE($D46&amp;""),O$15),1,0),IF($D46="Q",IF(O$14=MIN(2,O$15),0.5,0)+IF(O$14=O$15,0.5,0),IF($D46="U",IF(O$14=O$15,1,0),1/O$15)))</f>
        <v>0</v>
      </c>
      <c r="P46" s="498" t="n">
        <f aca="false">INDEX(FC_FLUJO_CAJA!$D$57:$BK$57,1,P$13)*IF(IFERROR(VALUE($D46&amp;""),0)&gt;0,IF(P$14=MIN(VALUE($D46&amp;""),P$15),1,0),IF($D46="Q",IF(P$14=MIN(2,P$15),0.5,0)+IF(P$14=P$15,0.5,0),IF($D46="U",IF(P$14=P$15,1,0),1/P$15)))</f>
        <v>0</v>
      </c>
      <c r="Q46" s="498" t="n">
        <f aca="false">INDEX(FC_FLUJO_CAJA!$D$57:$BK$57,1,Q$13)*IF(IFERROR(VALUE($D46&amp;""),0)&gt;0,IF(Q$14=MIN(VALUE($D46&amp;""),Q$15),1,0),IF($D46="Q",IF(Q$14=MIN(2,Q$15),0.5,0)+IF(Q$14=Q$15,0.5,0),IF($D46="U",IF(Q$14=Q$15,1,0),1/Q$15)))</f>
        <v>0</v>
      </c>
      <c r="R46" s="498" t="n">
        <f aca="false">INDEX(FC_FLUJO_CAJA!$D$57:$BK$57,1,R$13)*IF(IFERROR(VALUE($D46&amp;""),0)&gt;0,IF(R$14=MIN(VALUE($D46&amp;""),R$15),1,0),IF($D46="Q",IF(R$14=MIN(2,R$15),0.5,0)+IF(R$14=R$15,0.5,0),IF($D46="U",IF(R$14=R$15,1,0),1/R$15)))</f>
        <v>0</v>
      </c>
      <c r="S46" s="498" t="n">
        <f aca="false">INDEX(FC_FLUJO_CAJA!$D$57:$BK$57,1,S$13)*IF(IFERROR(VALUE($D46&amp;""),0)&gt;0,IF(S$14=MIN(VALUE($D46&amp;""),S$15),1,0),IF($D46="Q",IF(S$14=MIN(2,S$15),0.5,0)+IF(S$14=S$15,0.5,0),IF($D46="U",IF(S$14=S$15,1,0),1/S$15)))</f>
        <v>0</v>
      </c>
      <c r="T46" s="498" t="n">
        <f aca="false">INDEX(FC_FLUJO_CAJA!$D$57:$BK$57,1,T$13)*IF(IFERROR(VALUE($D46&amp;""),0)&gt;0,IF(T$14=MIN(VALUE($D46&amp;""),T$15),1,0),IF($D46="Q",IF(T$14=MIN(2,T$15),0.5,0)+IF(T$14=T$15,0.5,0),IF($D46="U",IF(T$14=T$15,1,0),1/T$15)))</f>
        <v>0</v>
      </c>
      <c r="U46" s="498" t="n">
        <f aca="false">INDEX(FC_FLUJO_CAJA!$D$57:$BK$57,1,U$13)*IF(IFERROR(VALUE($D46&amp;""),0)&gt;0,IF(U$14=MIN(VALUE($D46&amp;""),U$15),1,0),IF($D46="Q",IF(U$14=MIN(2,U$15),0.5,0)+IF(U$14=U$15,0.5,0),IF($D46="U",IF(U$14=U$15,1,0),1/U$15)))</f>
        <v>0</v>
      </c>
      <c r="V46" s="498" t="n">
        <f aca="false">INDEX(FC_FLUJO_CAJA!$D$57:$BK$57,1,V$13)*IF(IFERROR(VALUE($D46&amp;""),0)&gt;0,IF(V$14=MIN(VALUE($D46&amp;""),V$15),1,0),IF($D46="Q",IF(V$14=MIN(2,V$15),0.5,0)+IF(V$14=V$15,0.5,0),IF($D46="U",IF(V$14=V$15,1,0),1/V$15)))</f>
        <v>0</v>
      </c>
      <c r="W46" s="498" t="n">
        <f aca="false">INDEX(FC_FLUJO_CAJA!$D$57:$BK$57,1,W$13)*IF(IFERROR(VALUE($D46&amp;""),0)&gt;0,IF(W$14=MIN(VALUE($D46&amp;""),W$15),1,0),IF($D46="Q",IF(W$14=MIN(2,W$15),0.5,0)+IF(W$14=W$15,0.5,0),IF($D46="U",IF(W$14=W$15,1,0),1/W$15)))</f>
        <v>0</v>
      </c>
      <c r="X46" s="498" t="n">
        <f aca="false">INDEX(FC_FLUJO_CAJA!$D$57:$BK$57,1,X$13)*IF(IFERROR(VALUE($D46&amp;""),0)&gt;0,IF(X$14=MIN(VALUE($D46&amp;""),X$15),1,0),IF($D46="Q",IF(X$14=MIN(2,X$15),0.5,0)+IF(X$14=X$15,0.5,0),IF($D46="U",IF(X$14=X$15,1,0),1/X$15)))</f>
        <v>0</v>
      </c>
      <c r="Y46" s="498" t="n">
        <f aca="false">INDEX(FC_FLUJO_CAJA!$D$57:$BK$57,1,Y$13)*IF(IFERROR(VALUE($D46&amp;""),0)&gt;0,IF(Y$14=MIN(VALUE($D46&amp;""),Y$15),1,0),IF($D46="Q",IF(Y$14=MIN(2,Y$15),0.5,0)+IF(Y$14=Y$15,0.5,0),IF($D46="U",IF(Y$14=Y$15,1,0),1/Y$15)))</f>
        <v>0</v>
      </c>
      <c r="Z46" s="498" t="n">
        <f aca="false">INDEX(FC_FLUJO_CAJA!$D$57:$BK$57,1,Z$13)*IF(IFERROR(VALUE($D46&amp;""),0)&gt;0,IF(Z$14=MIN(VALUE($D46&amp;""),Z$15),1,0),IF($D46="Q",IF(Z$14=MIN(2,Z$15),0.5,0)+IF(Z$14=Z$15,0.5,0),IF($D46="U",IF(Z$14=Z$15,1,0),1/Z$15)))</f>
        <v>0</v>
      </c>
      <c r="AA46" s="498" t="n">
        <f aca="false">INDEX(FC_FLUJO_CAJA!$D$57:$BK$57,1,AA$13)*IF(IFERROR(VALUE($D46&amp;""),0)&gt;0,IF(AA$14=MIN(VALUE($D46&amp;""),AA$15),1,0),IF($D46="Q",IF(AA$14=MIN(2,AA$15),0.5,0)+IF(AA$14=AA$15,0.5,0),IF($D46="U",IF(AA$14=AA$15,1,0),1/AA$15)))</f>
        <v>0</v>
      </c>
      <c r="AB46" s="498" t="n">
        <f aca="false">INDEX(FC_FLUJO_CAJA!$D$57:$BK$57,1,AB$13)*IF(IFERROR(VALUE($D46&amp;""),0)&gt;0,IF(AB$14=MIN(VALUE($D46&amp;""),AB$15),1,0),IF($D46="Q",IF(AB$14=MIN(2,AB$15),0.5,0)+IF(AB$14=AB$15,0.5,0),IF($D46="U",IF(AB$14=AB$15,1,0),1/AB$15)))</f>
        <v>0</v>
      </c>
      <c r="AC46" s="498" t="n">
        <f aca="false">INDEX(FC_FLUJO_CAJA!$D$57:$BK$57,1,AC$13)*IF(IFERROR(VALUE($D46&amp;""),0)&gt;0,IF(AC$14=MIN(VALUE($D46&amp;""),AC$15),1,0),IF($D46="Q",IF(AC$14=MIN(2,AC$15),0.5,0)+IF(AC$14=AC$15,0.5,0),IF($D46="U",IF(AC$14=AC$15,1,0),1/AC$15)))</f>
        <v>0</v>
      </c>
      <c r="AD46" s="498" t="n">
        <f aca="false">INDEX(FC_FLUJO_CAJA!$D$57:$BK$57,1,AD$13)*IF(IFERROR(VALUE($D46&amp;""),0)&gt;0,IF(AD$14=MIN(VALUE($D46&amp;""),AD$15),1,0),IF($D46="Q",IF(AD$14=MIN(2,AD$15),0.5,0)+IF(AD$14=AD$15,0.5,0),IF($D46="U",IF(AD$14=AD$15,1,0),1/AD$15)))</f>
        <v>0</v>
      </c>
      <c r="AE46" s="498" t="n">
        <f aca="false">INDEX(FC_FLUJO_CAJA!$D$57:$BK$57,1,AE$13)*IF(IFERROR(VALUE($D46&amp;""),0)&gt;0,IF(AE$14=MIN(VALUE($D46&amp;""),AE$15),1,0),IF($D46="Q",IF(AE$14=MIN(2,AE$15),0.5,0)+IF(AE$14=AE$15,0.5,0),IF($D46="U",IF(AE$14=AE$15,1,0),1/AE$15)))</f>
        <v>0</v>
      </c>
      <c r="AF46" s="498" t="n">
        <f aca="false">INDEX(FC_FLUJO_CAJA!$D$57:$BK$57,1,AF$13)*IF(IFERROR(VALUE($D46&amp;""),0)&gt;0,IF(AF$14=MIN(VALUE($D46&amp;""),AF$15),1,0),IF($D46="Q",IF(AF$14=MIN(2,AF$15),0.5,0)+IF(AF$14=AF$15,0.5,0),IF($D46="U",IF(AF$14=AF$15,1,0),1/AF$15)))</f>
        <v>0</v>
      </c>
      <c r="AG46" s="498" t="n">
        <f aca="false">INDEX(FC_FLUJO_CAJA!$D$57:$BK$57,1,AG$13)*IF(IFERROR(VALUE($D46&amp;""),0)&gt;0,IF(AG$14=MIN(VALUE($D46&amp;""),AG$15),1,0),IF($D46="Q",IF(AG$14=MIN(2,AG$15),0.5,0)+IF(AG$14=AG$15,0.5,0),IF($D46="U",IF(AG$14=AG$15,1,0),1/AG$15)))</f>
        <v>0</v>
      </c>
      <c r="AH46" s="498" t="n">
        <f aca="false">INDEX(FC_FLUJO_CAJA!$D$57:$BK$57,1,AH$13)*IF(IFERROR(VALUE($D46&amp;""),0)&gt;0,IF(AH$14=MIN(VALUE($D46&amp;""),AH$15),1,0),IF($D46="Q",IF(AH$14=MIN(2,AH$15),0.5,0)+IF(AH$14=AH$15,0.5,0),IF($D46="U",IF(AH$14=AH$15,1,0),1/AH$15)))</f>
        <v>0</v>
      </c>
      <c r="AI46" s="498" t="n">
        <f aca="false">INDEX(FC_FLUJO_CAJA!$D$57:$BK$57,1,AI$13)*IF(IFERROR(VALUE($D46&amp;""),0)&gt;0,IF(AI$14=MIN(VALUE($D46&amp;""),AI$15),1,0),IF($D46="Q",IF(AI$14=MIN(2,AI$15),0.5,0)+IF(AI$14=AI$15,0.5,0),IF($D46="U",IF(AI$14=AI$15,1,0),1/AI$15)))</f>
        <v>0</v>
      </c>
      <c r="AJ46" s="498" t="n">
        <f aca="false">INDEX(FC_FLUJO_CAJA!$D$57:$BK$57,1,AJ$13)*IF(IFERROR(VALUE($D46&amp;""),0)&gt;0,IF(AJ$14=MIN(VALUE($D46&amp;""),AJ$15),1,0),IF($D46="Q",IF(AJ$14=MIN(2,AJ$15),0.5,0)+IF(AJ$14=AJ$15,0.5,0),IF($D46="U",IF(AJ$14=AJ$15,1,0),1/AJ$15)))</f>
        <v>0</v>
      </c>
      <c r="AK46" s="498" t="n">
        <f aca="false">INDEX(FC_FLUJO_CAJA!$D$57:$BK$57,1,AK$13)*IF(IFERROR(VALUE($D46&amp;""),0)&gt;0,IF(AK$14=MIN(VALUE($D46&amp;""),AK$15),1,0),IF($D46="Q",IF(AK$14=MIN(2,AK$15),0.5,0)+IF(AK$14=AK$15,0.5,0),IF($D46="U",IF(AK$14=AK$15,1,0),1/AK$15)))</f>
        <v>0</v>
      </c>
      <c r="AL46" s="498" t="n">
        <f aca="false">INDEX(FC_FLUJO_CAJA!$D$57:$BK$57,1,AL$13)*IF(IFERROR(VALUE($D46&amp;""),0)&gt;0,IF(AL$14=MIN(VALUE($D46&amp;""),AL$15),1,0),IF($D46="Q",IF(AL$14=MIN(2,AL$15),0.5,0)+IF(AL$14=AL$15,0.5,0),IF($D46="U",IF(AL$14=AL$15,1,0),1/AL$15)))</f>
        <v>0</v>
      </c>
      <c r="AM46" s="498" t="n">
        <f aca="false">INDEX(FC_FLUJO_CAJA!$D$57:$BK$57,1,AM$13)*IF(IFERROR(VALUE($D46&amp;""),0)&gt;0,IF(AM$14=MIN(VALUE($D46&amp;""),AM$15),1,0),IF($D46="Q",IF(AM$14=MIN(2,AM$15),0.5,0)+IF(AM$14=AM$15,0.5,0),IF($D46="U",IF(AM$14=AM$15,1,0),1/AM$15)))</f>
        <v>0</v>
      </c>
      <c r="AN46" s="498" t="n">
        <f aca="false">INDEX(FC_FLUJO_CAJA!$D$57:$BK$57,1,AN$13)*IF(IFERROR(VALUE($D46&amp;""),0)&gt;0,IF(AN$14=MIN(VALUE($D46&amp;""),AN$15),1,0),IF($D46="Q",IF(AN$14=MIN(2,AN$15),0.5,0)+IF(AN$14=AN$15,0.5,0),IF($D46="U",IF(AN$14=AN$15,1,0),1/AN$15)))</f>
        <v>0</v>
      </c>
      <c r="AO46" s="498" t="n">
        <f aca="false">INDEX(FC_FLUJO_CAJA!$D$57:$BK$57,1,AO$13)*IF(IFERROR(VALUE($D46&amp;""),0)&gt;0,IF(AO$14=MIN(VALUE($D46&amp;""),AO$15),1,0),IF($D46="Q",IF(AO$14=MIN(2,AO$15),0.5,0)+IF(AO$14=AO$15,0.5,0),IF($D46="U",IF(AO$14=AO$15,1,0),1/AO$15)))</f>
        <v>0</v>
      </c>
      <c r="AP46" s="498" t="n">
        <f aca="false">INDEX(FC_FLUJO_CAJA!$D$57:$BK$57,1,AP$13)*IF(IFERROR(VALUE($D46&amp;""),0)&gt;0,IF(AP$14=MIN(VALUE($D46&amp;""),AP$15),1,0),IF($D46="Q",IF(AP$14=MIN(2,AP$15),0.5,0)+IF(AP$14=AP$15,0.5,0),IF($D46="U",IF(AP$14=AP$15,1,0),1/AP$15)))</f>
        <v>0</v>
      </c>
      <c r="AQ46" s="498" t="n">
        <f aca="false">INDEX(FC_FLUJO_CAJA!$D$57:$BK$57,1,AQ$13)*IF(IFERROR(VALUE($D46&amp;""),0)&gt;0,IF(AQ$14=MIN(VALUE($D46&amp;""),AQ$15),1,0),IF($D46="Q",IF(AQ$14=MIN(2,AQ$15),0.5,0)+IF(AQ$14=AQ$15,0.5,0),IF($D46="U",IF(AQ$14=AQ$15,1,0),1/AQ$15)))</f>
        <v>0</v>
      </c>
      <c r="AR46" s="498" t="n">
        <f aca="false">INDEX(FC_FLUJO_CAJA!$D$57:$BK$57,1,AR$13)*IF(IFERROR(VALUE($D46&amp;""),0)&gt;0,IF(AR$14=MIN(VALUE($D46&amp;""),AR$15),1,0),IF($D46="Q",IF(AR$14=MIN(2,AR$15),0.5,0)+IF(AR$14=AR$15,0.5,0),IF($D46="U",IF(AR$14=AR$15,1,0),1/AR$15)))</f>
        <v>0</v>
      </c>
      <c r="AS46" s="498" t="n">
        <f aca="false">INDEX(FC_FLUJO_CAJA!$D$57:$BK$57,1,AS$13)*IF(IFERROR(VALUE($D46&amp;""),0)&gt;0,IF(AS$14=MIN(VALUE($D46&amp;""),AS$15),1,0),IF($D46="Q",IF(AS$14=MIN(2,AS$15),0.5,0)+IF(AS$14=AS$15,0.5,0),IF($D46="U",IF(AS$14=AS$15,1,0),1/AS$15)))</f>
        <v>0</v>
      </c>
      <c r="AT46" s="498" t="n">
        <f aca="false">INDEX(FC_FLUJO_CAJA!$D$57:$BK$57,1,AT$13)*IF(IFERROR(VALUE($D46&amp;""),0)&gt;0,IF(AT$14=MIN(VALUE($D46&amp;""),AT$15),1,0),IF($D46="Q",IF(AT$14=MIN(2,AT$15),0.5,0)+IF(AT$14=AT$15,0.5,0),IF($D46="U",IF(AT$14=AT$15,1,0),1/AT$15)))</f>
        <v>0</v>
      </c>
      <c r="AU46" s="498" t="n">
        <f aca="false">INDEX(FC_FLUJO_CAJA!$D$57:$BK$57,1,AU$13)*IF(IFERROR(VALUE($D46&amp;""),0)&gt;0,IF(AU$14=MIN(VALUE($D46&amp;""),AU$15),1,0),IF($D46="Q",IF(AU$14=MIN(2,AU$15),0.5,0)+IF(AU$14=AU$15,0.5,0),IF($D46="U",IF(AU$14=AU$15,1,0),1/AU$15)))</f>
        <v>0</v>
      </c>
      <c r="AV46" s="498" t="n">
        <f aca="false">INDEX(FC_FLUJO_CAJA!$D$57:$BK$57,1,AV$13)*IF(IFERROR(VALUE($D46&amp;""),0)&gt;0,IF(AV$14=MIN(VALUE($D46&amp;""),AV$15),1,0),IF($D46="Q",IF(AV$14=MIN(2,AV$15),0.5,0)+IF(AV$14=AV$15,0.5,0),IF($D46="U",IF(AV$14=AV$15,1,0),1/AV$15)))</f>
        <v>0</v>
      </c>
      <c r="AW46" s="498" t="n">
        <f aca="false">INDEX(FC_FLUJO_CAJA!$D$57:$BK$57,1,AW$13)*IF(IFERROR(VALUE($D46&amp;""),0)&gt;0,IF(AW$14=MIN(VALUE($D46&amp;""),AW$15),1,0),IF($D46="Q",IF(AW$14=MIN(2,AW$15),0.5,0)+IF(AW$14=AW$15,0.5,0),IF($D46="U",IF(AW$14=AW$15,1,0),1/AW$15)))</f>
        <v>0</v>
      </c>
      <c r="AX46" s="498" t="n">
        <f aca="false">INDEX(FC_FLUJO_CAJA!$D$57:$BK$57,1,AX$13)*IF(IFERROR(VALUE($D46&amp;""),0)&gt;0,IF(AX$14=MIN(VALUE($D46&amp;""),AX$15),1,0),IF($D46="Q",IF(AX$14=MIN(2,AX$15),0.5,0)+IF(AX$14=AX$15,0.5,0),IF($D46="U",IF(AX$14=AX$15,1,0),1/AX$15)))</f>
        <v>0</v>
      </c>
      <c r="AY46" s="498" t="n">
        <f aca="false">INDEX(FC_FLUJO_CAJA!$D$57:$BK$57,1,AY$13)*IF(IFERROR(VALUE($D46&amp;""),0)&gt;0,IF(AY$14=MIN(VALUE($D46&amp;""),AY$15),1,0),IF($D46="Q",IF(AY$14=MIN(2,AY$15),0.5,0)+IF(AY$14=AY$15,0.5,0),IF($D46="U",IF(AY$14=AY$15,1,0),1/AY$15)))</f>
        <v>0</v>
      </c>
      <c r="AZ46" s="498" t="n">
        <f aca="false">INDEX(FC_FLUJO_CAJA!$D$57:$BK$57,1,AZ$13)*IF(IFERROR(VALUE($D46&amp;""),0)&gt;0,IF(AZ$14=MIN(VALUE($D46&amp;""),AZ$15),1,0),IF($D46="Q",IF(AZ$14=MIN(2,AZ$15),0.5,0)+IF(AZ$14=AZ$15,0.5,0),IF($D46="U",IF(AZ$14=AZ$15,1,0),1/AZ$15)))</f>
        <v>0</v>
      </c>
      <c r="BA46" s="498" t="n">
        <f aca="false">INDEX(FC_FLUJO_CAJA!$D$57:$BK$57,1,BA$13)*IF(IFERROR(VALUE($D46&amp;""),0)&gt;0,IF(BA$14=MIN(VALUE($D46&amp;""),BA$15),1,0),IF($D46="Q",IF(BA$14=MIN(2,BA$15),0.5,0)+IF(BA$14=BA$15,0.5,0),IF($D46="U",IF(BA$14=BA$15,1,0),1/BA$15)))</f>
        <v>0</v>
      </c>
      <c r="BB46" s="498" t="n">
        <f aca="false">INDEX(FC_FLUJO_CAJA!$D$57:$BK$57,1,BB$13)*IF(IFERROR(VALUE($D46&amp;""),0)&gt;0,IF(BB$14=MIN(VALUE($D46&amp;""),BB$15),1,0),IF($D46="Q",IF(BB$14=MIN(2,BB$15),0.5,0)+IF(BB$14=BB$15,0.5,0),IF($D46="U",IF(BB$14=BB$15,1,0),1/BB$15)))</f>
        <v>0</v>
      </c>
      <c r="BC46" s="498" t="n">
        <f aca="false">INDEX(FC_FLUJO_CAJA!$D$57:$BK$57,1,BC$13)*IF(IFERROR(VALUE($D46&amp;""),0)&gt;0,IF(BC$14=MIN(VALUE($D46&amp;""),BC$15),1,0),IF($D46="Q",IF(BC$14=MIN(2,BC$15),0.5,0)+IF(BC$14=BC$15,0.5,0),IF($D46="U",IF(BC$14=BC$15,1,0),1/BC$15)))</f>
        <v>0</v>
      </c>
      <c r="BD46" s="498" t="n">
        <f aca="false">INDEX(FC_FLUJO_CAJA!$D$57:$BK$57,1,BD$13)*IF(IFERROR(VALUE($D46&amp;""),0)&gt;0,IF(BD$14=MIN(VALUE($D46&amp;""),BD$15),1,0),IF($D46="Q",IF(BD$14=MIN(2,BD$15),0.5,0)+IF(BD$14=BD$15,0.5,0),IF($D46="U",IF(BD$14=BD$15,1,0),1/BD$15)))</f>
        <v>0</v>
      </c>
      <c r="BE46" s="498" t="n">
        <f aca="false">INDEX(FC_FLUJO_CAJA!$D$57:$BK$57,1,BE$13)*IF(IFERROR(VALUE($D46&amp;""),0)&gt;0,IF(BE$14=MIN(VALUE($D46&amp;""),BE$15),1,0),IF($D46="Q",IF(BE$14=MIN(2,BE$15),0.5,0)+IF(BE$14=BE$15,0.5,0),IF($D46="U",IF(BE$14=BE$15,1,0),1/BE$15)))</f>
        <v>0</v>
      </c>
    </row>
    <row r="47" customFormat="false" ht="15" hidden="false" customHeight="true" outlineLevel="0" collapsed="false">
      <c r="A47" s="400" t="s">
        <v>3149</v>
      </c>
      <c r="B47" s="283" t="s">
        <v>3150</v>
      </c>
      <c r="C47" s="531" t="s">
        <v>3151</v>
      </c>
      <c r="D47" s="289" t="n">
        <f aca="false">FC_SUPUESTOS!$C$148</f>
        <v>1</v>
      </c>
      <c r="E47" s="532" t="n">
        <f aca="false">SUM(F47:BE47)</f>
        <v>109947</v>
      </c>
      <c r="F47" s="498" t="n">
        <f aca="false">INDEX(FC_FLUJO_CAJA!$D$58:$BK$58,1,F$13)*IF(IFERROR(VALUE($D47&amp;""),0)&gt;0,IF(F$14=MIN(VALUE($D47&amp;""),F$15),1,0),IF($D47="Q",IF(F$14=MIN(2,F$15),0.5,0)+IF(F$14=F$15,0.5,0),IF($D47="U",IF(F$14=F$15,1,0),1/F$15)))</f>
        <v>0</v>
      </c>
      <c r="G47" s="498" t="n">
        <f aca="false">INDEX(FC_FLUJO_CAJA!$D$58:$BK$58,1,G$13)*IF(IFERROR(VALUE($D47&amp;""),0)&gt;0,IF(G$14=MIN(VALUE($D47&amp;""),G$15),1,0),IF($D47="Q",IF(G$14=MIN(2,G$15),0.5,0)+IF(G$14=G$15,0.5,0),IF($D47="U",IF(G$14=G$15,1,0),1/G$15)))</f>
        <v>0</v>
      </c>
      <c r="H47" s="498" t="n">
        <f aca="false">INDEX(FC_FLUJO_CAJA!$D$58:$BK$58,1,H$13)*IF(IFERROR(VALUE($D47&amp;""),0)&gt;0,IF(H$14=MIN(VALUE($D47&amp;""),H$15),1,0),IF($D47="Q",IF(H$14=MIN(2,H$15),0.5,0)+IF(H$14=H$15,0.5,0),IF($D47="U",IF(H$14=H$15,1,0),1/H$15)))</f>
        <v>0</v>
      </c>
      <c r="I47" s="498" t="n">
        <f aca="false">INDEX(FC_FLUJO_CAJA!$D$58:$BK$58,1,I$13)*IF(IFERROR(VALUE($D47&amp;""),0)&gt;0,IF(I$14=MIN(VALUE($D47&amp;""),I$15),1,0),IF($D47="Q",IF(I$14=MIN(2,I$15),0.5,0)+IF(I$14=I$15,0.5,0),IF($D47="U",IF(I$14=I$15,1,0),1/I$15)))</f>
        <v>0</v>
      </c>
      <c r="J47" s="498" t="n">
        <f aca="false">INDEX(FC_FLUJO_CAJA!$D$58:$BK$58,1,J$13)*IF(IFERROR(VALUE($D47&amp;""),0)&gt;0,IF(J$14=MIN(VALUE($D47&amp;""),J$15),1,0),IF($D47="Q",IF(J$14=MIN(2,J$15),0.5,0)+IF(J$14=J$15,0.5,0),IF($D47="U",IF(J$14=J$15,1,0),1/J$15)))</f>
        <v>0</v>
      </c>
      <c r="K47" s="498" t="n">
        <f aca="false">INDEX(FC_FLUJO_CAJA!$D$58:$BK$58,1,K$13)*IF(IFERROR(VALUE($D47&amp;""),0)&gt;0,IF(K$14=MIN(VALUE($D47&amp;""),K$15),1,0),IF($D47="Q",IF(K$14=MIN(2,K$15),0.5,0)+IF(K$14=K$15,0.5,0),IF($D47="U",IF(K$14=K$15,1,0),1/K$15)))</f>
        <v>0</v>
      </c>
      <c r="L47" s="498" t="n">
        <f aca="false">INDEX(FC_FLUJO_CAJA!$D$58:$BK$58,1,L$13)*IF(IFERROR(VALUE($D47&amp;""),0)&gt;0,IF(L$14=MIN(VALUE($D47&amp;""),L$15),1,0),IF($D47="Q",IF(L$14=MIN(2,L$15),0.5,0)+IF(L$14=L$15,0.5,0),IF($D47="U",IF(L$14=L$15,1,0),1/L$15)))</f>
        <v>0</v>
      </c>
      <c r="M47" s="498" t="n">
        <f aca="false">INDEX(FC_FLUJO_CAJA!$D$58:$BK$58,1,M$13)*IF(IFERROR(VALUE($D47&amp;""),0)&gt;0,IF(M$14=MIN(VALUE($D47&amp;""),M$15),1,0),IF($D47="Q",IF(M$14=MIN(2,M$15),0.5,0)+IF(M$14=M$15,0.5,0),IF($D47="U",IF(M$14=M$15,1,0),1/M$15)))</f>
        <v>0</v>
      </c>
      <c r="N47" s="498" t="n">
        <f aca="false">INDEX(FC_FLUJO_CAJA!$D$58:$BK$58,1,N$13)*IF(IFERROR(VALUE($D47&amp;""),0)&gt;0,IF(N$14=MIN(VALUE($D47&amp;""),N$15),1,0),IF($D47="Q",IF(N$14=MIN(2,N$15),0.5,0)+IF(N$14=N$15,0.5,0),IF($D47="U",IF(N$14=N$15,1,0),1/N$15)))</f>
        <v>0</v>
      </c>
      <c r="O47" s="498" t="n">
        <f aca="false">INDEX(FC_FLUJO_CAJA!$D$58:$BK$58,1,O$13)*IF(IFERROR(VALUE($D47&amp;""),0)&gt;0,IF(O$14=MIN(VALUE($D47&amp;""),O$15),1,0),IF($D47="Q",IF(O$14=MIN(2,O$15),0.5,0)+IF(O$14=O$15,0.5,0),IF($D47="U",IF(O$14=O$15,1,0),1/O$15)))</f>
        <v>0</v>
      </c>
      <c r="P47" s="498" t="n">
        <f aca="false">INDEX(FC_FLUJO_CAJA!$D$58:$BK$58,1,P$13)*IF(IFERROR(VALUE($D47&amp;""),0)&gt;0,IF(P$14=MIN(VALUE($D47&amp;""),P$15),1,0),IF($D47="Q",IF(P$14=MIN(2,P$15),0.5,0)+IF(P$14=P$15,0.5,0),IF($D47="U",IF(P$14=P$15,1,0),1/P$15)))</f>
        <v>0</v>
      </c>
      <c r="Q47" s="498" t="n">
        <f aca="false">INDEX(FC_FLUJO_CAJA!$D$58:$BK$58,1,Q$13)*IF(IFERROR(VALUE($D47&amp;""),0)&gt;0,IF(Q$14=MIN(VALUE($D47&amp;""),Q$15),1,0),IF($D47="Q",IF(Q$14=MIN(2,Q$15),0.5,0)+IF(Q$14=Q$15,0.5,0),IF($D47="U",IF(Q$14=Q$15,1,0),1/Q$15)))</f>
        <v>0</v>
      </c>
      <c r="R47" s="498" t="n">
        <f aca="false">INDEX(FC_FLUJO_CAJA!$D$58:$BK$58,1,R$13)*IF(IFERROR(VALUE($D47&amp;""),0)&gt;0,IF(R$14=MIN(VALUE($D47&amp;""),R$15),1,0),IF($D47="Q",IF(R$14=MIN(2,R$15),0.5,0)+IF(R$14=R$15,0.5,0),IF($D47="U",IF(R$14=R$15,1,0),1/R$15)))</f>
        <v>0</v>
      </c>
      <c r="S47" s="498" t="n">
        <f aca="false">INDEX(FC_FLUJO_CAJA!$D$58:$BK$58,1,S$13)*IF(IFERROR(VALUE($D47&amp;""),0)&gt;0,IF(S$14=MIN(VALUE($D47&amp;""),S$15),1,0),IF($D47="Q",IF(S$14=MIN(2,S$15),0.5,0)+IF(S$14=S$15,0.5,0),IF($D47="U",IF(S$14=S$15,1,0),1/S$15)))</f>
        <v>109947</v>
      </c>
      <c r="T47" s="498" t="n">
        <f aca="false">INDEX(FC_FLUJO_CAJA!$D$58:$BK$58,1,T$13)*IF(IFERROR(VALUE($D47&amp;""),0)&gt;0,IF(T$14=MIN(VALUE($D47&amp;""),T$15),1,0),IF($D47="Q",IF(T$14=MIN(2,T$15),0.5,0)+IF(T$14=T$15,0.5,0),IF($D47="U",IF(T$14=T$15,1,0),1/T$15)))</f>
        <v>0</v>
      </c>
      <c r="U47" s="498" t="n">
        <f aca="false">INDEX(FC_FLUJO_CAJA!$D$58:$BK$58,1,U$13)*IF(IFERROR(VALUE($D47&amp;""),0)&gt;0,IF(U$14=MIN(VALUE($D47&amp;""),U$15),1,0),IF($D47="Q",IF(U$14=MIN(2,U$15),0.5,0)+IF(U$14=U$15,0.5,0),IF($D47="U",IF(U$14=U$15,1,0),1/U$15)))</f>
        <v>0</v>
      </c>
      <c r="V47" s="498" t="n">
        <f aca="false">INDEX(FC_FLUJO_CAJA!$D$58:$BK$58,1,V$13)*IF(IFERROR(VALUE($D47&amp;""),0)&gt;0,IF(V$14=MIN(VALUE($D47&amp;""),V$15),1,0),IF($D47="Q",IF(V$14=MIN(2,V$15),0.5,0)+IF(V$14=V$15,0.5,0),IF($D47="U",IF(V$14=V$15,1,0),1/V$15)))</f>
        <v>0</v>
      </c>
      <c r="W47" s="498" t="n">
        <f aca="false">INDEX(FC_FLUJO_CAJA!$D$58:$BK$58,1,W$13)*IF(IFERROR(VALUE($D47&amp;""),0)&gt;0,IF(W$14=MIN(VALUE($D47&amp;""),W$15),1,0),IF($D47="Q",IF(W$14=MIN(2,W$15),0.5,0)+IF(W$14=W$15,0.5,0),IF($D47="U",IF(W$14=W$15,1,0),1/W$15)))</f>
        <v>0</v>
      </c>
      <c r="X47" s="498" t="n">
        <f aca="false">INDEX(FC_FLUJO_CAJA!$D$58:$BK$58,1,X$13)*IF(IFERROR(VALUE($D47&amp;""),0)&gt;0,IF(X$14=MIN(VALUE($D47&amp;""),X$15),1,0),IF($D47="Q",IF(X$14=MIN(2,X$15),0.5,0)+IF(X$14=X$15,0.5,0),IF($D47="U",IF(X$14=X$15,1,0),1/X$15)))</f>
        <v>0</v>
      </c>
      <c r="Y47" s="498" t="n">
        <f aca="false">INDEX(FC_FLUJO_CAJA!$D$58:$BK$58,1,Y$13)*IF(IFERROR(VALUE($D47&amp;""),0)&gt;0,IF(Y$14=MIN(VALUE($D47&amp;""),Y$15),1,0),IF($D47="Q",IF(Y$14=MIN(2,Y$15),0.5,0)+IF(Y$14=Y$15,0.5,0),IF($D47="U",IF(Y$14=Y$15,1,0),1/Y$15)))</f>
        <v>0</v>
      </c>
      <c r="Z47" s="498" t="n">
        <f aca="false">INDEX(FC_FLUJO_CAJA!$D$58:$BK$58,1,Z$13)*IF(IFERROR(VALUE($D47&amp;""),0)&gt;0,IF(Z$14=MIN(VALUE($D47&amp;""),Z$15),1,0),IF($D47="Q",IF(Z$14=MIN(2,Z$15),0.5,0)+IF(Z$14=Z$15,0.5,0),IF($D47="U",IF(Z$14=Z$15,1,0),1/Z$15)))</f>
        <v>0</v>
      </c>
      <c r="AA47" s="498" t="n">
        <f aca="false">INDEX(FC_FLUJO_CAJA!$D$58:$BK$58,1,AA$13)*IF(IFERROR(VALUE($D47&amp;""),0)&gt;0,IF(AA$14=MIN(VALUE($D47&amp;""),AA$15),1,0),IF($D47="Q",IF(AA$14=MIN(2,AA$15),0.5,0)+IF(AA$14=AA$15,0.5,0),IF($D47="U",IF(AA$14=AA$15,1,0),1/AA$15)))</f>
        <v>0</v>
      </c>
      <c r="AB47" s="498" t="n">
        <f aca="false">INDEX(FC_FLUJO_CAJA!$D$58:$BK$58,1,AB$13)*IF(IFERROR(VALUE($D47&amp;""),0)&gt;0,IF(AB$14=MIN(VALUE($D47&amp;""),AB$15),1,0),IF($D47="Q",IF(AB$14=MIN(2,AB$15),0.5,0)+IF(AB$14=AB$15,0.5,0),IF($D47="U",IF(AB$14=AB$15,1,0),1/AB$15)))</f>
        <v>0</v>
      </c>
      <c r="AC47" s="498" t="n">
        <f aca="false">INDEX(FC_FLUJO_CAJA!$D$58:$BK$58,1,AC$13)*IF(IFERROR(VALUE($D47&amp;""),0)&gt;0,IF(AC$14=MIN(VALUE($D47&amp;""),AC$15),1,0),IF($D47="Q",IF(AC$14=MIN(2,AC$15),0.5,0)+IF(AC$14=AC$15,0.5,0),IF($D47="U",IF(AC$14=AC$15,1,0),1/AC$15)))</f>
        <v>0</v>
      </c>
      <c r="AD47" s="498" t="n">
        <f aca="false">INDEX(FC_FLUJO_CAJA!$D$58:$BK$58,1,AD$13)*IF(IFERROR(VALUE($D47&amp;""),0)&gt;0,IF(AD$14=MIN(VALUE($D47&amp;""),AD$15),1,0),IF($D47="Q",IF(AD$14=MIN(2,AD$15),0.5,0)+IF(AD$14=AD$15,0.5,0),IF($D47="U",IF(AD$14=AD$15,1,0),1/AD$15)))</f>
        <v>0</v>
      </c>
      <c r="AE47" s="498" t="n">
        <f aca="false">INDEX(FC_FLUJO_CAJA!$D$58:$BK$58,1,AE$13)*IF(IFERROR(VALUE($D47&amp;""),0)&gt;0,IF(AE$14=MIN(VALUE($D47&amp;""),AE$15),1,0),IF($D47="Q",IF(AE$14=MIN(2,AE$15),0.5,0)+IF(AE$14=AE$15,0.5,0),IF($D47="U",IF(AE$14=AE$15,1,0),1/AE$15)))</f>
        <v>0</v>
      </c>
      <c r="AF47" s="498" t="n">
        <f aca="false">INDEX(FC_FLUJO_CAJA!$D$58:$BK$58,1,AF$13)*IF(IFERROR(VALUE($D47&amp;""),0)&gt;0,IF(AF$14=MIN(VALUE($D47&amp;""),AF$15),1,0),IF($D47="Q",IF(AF$14=MIN(2,AF$15),0.5,0)+IF(AF$14=AF$15,0.5,0),IF($D47="U",IF(AF$14=AF$15,1,0),1/AF$15)))</f>
        <v>0</v>
      </c>
      <c r="AG47" s="498" t="n">
        <f aca="false">INDEX(FC_FLUJO_CAJA!$D$58:$BK$58,1,AG$13)*IF(IFERROR(VALUE($D47&amp;""),0)&gt;0,IF(AG$14=MIN(VALUE($D47&amp;""),AG$15),1,0),IF($D47="Q",IF(AG$14=MIN(2,AG$15),0.5,0)+IF(AG$14=AG$15,0.5,0),IF($D47="U",IF(AG$14=AG$15,1,0),1/AG$15)))</f>
        <v>0</v>
      </c>
      <c r="AH47" s="498" t="n">
        <f aca="false">INDEX(FC_FLUJO_CAJA!$D$58:$BK$58,1,AH$13)*IF(IFERROR(VALUE($D47&amp;""),0)&gt;0,IF(AH$14=MIN(VALUE($D47&amp;""),AH$15),1,0),IF($D47="Q",IF(AH$14=MIN(2,AH$15),0.5,0)+IF(AH$14=AH$15,0.5,0),IF($D47="U",IF(AH$14=AH$15,1,0),1/AH$15)))</f>
        <v>0</v>
      </c>
      <c r="AI47" s="498" t="n">
        <f aca="false">INDEX(FC_FLUJO_CAJA!$D$58:$BK$58,1,AI$13)*IF(IFERROR(VALUE($D47&amp;""),0)&gt;0,IF(AI$14=MIN(VALUE($D47&amp;""),AI$15),1,0),IF($D47="Q",IF(AI$14=MIN(2,AI$15),0.5,0)+IF(AI$14=AI$15,0.5,0),IF($D47="U",IF(AI$14=AI$15,1,0),1/AI$15)))</f>
        <v>0</v>
      </c>
      <c r="AJ47" s="498" t="n">
        <f aca="false">INDEX(FC_FLUJO_CAJA!$D$58:$BK$58,1,AJ$13)*IF(IFERROR(VALUE($D47&amp;""),0)&gt;0,IF(AJ$14=MIN(VALUE($D47&amp;""),AJ$15),1,0),IF($D47="Q",IF(AJ$14=MIN(2,AJ$15),0.5,0)+IF(AJ$14=AJ$15,0.5,0),IF($D47="U",IF(AJ$14=AJ$15,1,0),1/AJ$15)))</f>
        <v>0</v>
      </c>
      <c r="AK47" s="498" t="n">
        <f aca="false">INDEX(FC_FLUJO_CAJA!$D$58:$BK$58,1,AK$13)*IF(IFERROR(VALUE($D47&amp;""),0)&gt;0,IF(AK$14=MIN(VALUE($D47&amp;""),AK$15),1,0),IF($D47="Q",IF(AK$14=MIN(2,AK$15),0.5,0)+IF(AK$14=AK$15,0.5,0),IF($D47="U",IF(AK$14=AK$15,1,0),1/AK$15)))</f>
        <v>0</v>
      </c>
      <c r="AL47" s="498" t="n">
        <f aca="false">INDEX(FC_FLUJO_CAJA!$D$58:$BK$58,1,AL$13)*IF(IFERROR(VALUE($D47&amp;""),0)&gt;0,IF(AL$14=MIN(VALUE($D47&amp;""),AL$15),1,0),IF($D47="Q",IF(AL$14=MIN(2,AL$15),0.5,0)+IF(AL$14=AL$15,0.5,0),IF($D47="U",IF(AL$14=AL$15,1,0),1/AL$15)))</f>
        <v>0</v>
      </c>
      <c r="AM47" s="498" t="n">
        <f aca="false">INDEX(FC_FLUJO_CAJA!$D$58:$BK$58,1,AM$13)*IF(IFERROR(VALUE($D47&amp;""),0)&gt;0,IF(AM$14=MIN(VALUE($D47&amp;""),AM$15),1,0),IF($D47="Q",IF(AM$14=MIN(2,AM$15),0.5,0)+IF(AM$14=AM$15,0.5,0),IF($D47="U",IF(AM$14=AM$15,1,0),1/AM$15)))</f>
        <v>0</v>
      </c>
      <c r="AN47" s="498" t="n">
        <f aca="false">INDEX(FC_FLUJO_CAJA!$D$58:$BK$58,1,AN$13)*IF(IFERROR(VALUE($D47&amp;""),0)&gt;0,IF(AN$14=MIN(VALUE($D47&amp;""),AN$15),1,0),IF($D47="Q",IF(AN$14=MIN(2,AN$15),0.5,0)+IF(AN$14=AN$15,0.5,0),IF($D47="U",IF(AN$14=AN$15,1,0),1/AN$15)))</f>
        <v>0</v>
      </c>
      <c r="AO47" s="498" t="n">
        <f aca="false">INDEX(FC_FLUJO_CAJA!$D$58:$BK$58,1,AO$13)*IF(IFERROR(VALUE($D47&amp;""),0)&gt;0,IF(AO$14=MIN(VALUE($D47&amp;""),AO$15),1,0),IF($D47="Q",IF(AO$14=MIN(2,AO$15),0.5,0)+IF(AO$14=AO$15,0.5,0),IF($D47="U",IF(AO$14=AO$15,1,0),1/AO$15)))</f>
        <v>0</v>
      </c>
      <c r="AP47" s="498" t="n">
        <f aca="false">INDEX(FC_FLUJO_CAJA!$D$58:$BK$58,1,AP$13)*IF(IFERROR(VALUE($D47&amp;""),0)&gt;0,IF(AP$14=MIN(VALUE($D47&amp;""),AP$15),1,0),IF($D47="Q",IF(AP$14=MIN(2,AP$15),0.5,0)+IF(AP$14=AP$15,0.5,0),IF($D47="U",IF(AP$14=AP$15,1,0),1/AP$15)))</f>
        <v>0</v>
      </c>
      <c r="AQ47" s="498" t="n">
        <f aca="false">INDEX(FC_FLUJO_CAJA!$D$58:$BK$58,1,AQ$13)*IF(IFERROR(VALUE($D47&amp;""),0)&gt;0,IF(AQ$14=MIN(VALUE($D47&amp;""),AQ$15),1,0),IF($D47="Q",IF(AQ$14=MIN(2,AQ$15),0.5,0)+IF(AQ$14=AQ$15,0.5,0),IF($D47="U",IF(AQ$14=AQ$15,1,0),1/AQ$15)))</f>
        <v>0</v>
      </c>
      <c r="AR47" s="498" t="n">
        <f aca="false">INDEX(FC_FLUJO_CAJA!$D$58:$BK$58,1,AR$13)*IF(IFERROR(VALUE($D47&amp;""),0)&gt;0,IF(AR$14=MIN(VALUE($D47&amp;""),AR$15),1,0),IF($D47="Q",IF(AR$14=MIN(2,AR$15),0.5,0)+IF(AR$14=AR$15,0.5,0),IF($D47="U",IF(AR$14=AR$15,1,0),1/AR$15)))</f>
        <v>0</v>
      </c>
      <c r="AS47" s="498" t="n">
        <f aca="false">INDEX(FC_FLUJO_CAJA!$D$58:$BK$58,1,AS$13)*IF(IFERROR(VALUE($D47&amp;""),0)&gt;0,IF(AS$14=MIN(VALUE($D47&amp;""),AS$15),1,0),IF($D47="Q",IF(AS$14=MIN(2,AS$15),0.5,0)+IF(AS$14=AS$15,0.5,0),IF($D47="U",IF(AS$14=AS$15,1,0),1/AS$15)))</f>
        <v>0</v>
      </c>
      <c r="AT47" s="498" t="n">
        <f aca="false">INDEX(FC_FLUJO_CAJA!$D$58:$BK$58,1,AT$13)*IF(IFERROR(VALUE($D47&amp;""),0)&gt;0,IF(AT$14=MIN(VALUE($D47&amp;""),AT$15),1,0),IF($D47="Q",IF(AT$14=MIN(2,AT$15),0.5,0)+IF(AT$14=AT$15,0.5,0),IF($D47="U",IF(AT$14=AT$15,1,0),1/AT$15)))</f>
        <v>0</v>
      </c>
      <c r="AU47" s="498" t="n">
        <f aca="false">INDEX(FC_FLUJO_CAJA!$D$58:$BK$58,1,AU$13)*IF(IFERROR(VALUE($D47&amp;""),0)&gt;0,IF(AU$14=MIN(VALUE($D47&amp;""),AU$15),1,0),IF($D47="Q",IF(AU$14=MIN(2,AU$15),0.5,0)+IF(AU$14=AU$15,0.5,0),IF($D47="U",IF(AU$14=AU$15,1,0),1/AU$15)))</f>
        <v>0</v>
      </c>
      <c r="AV47" s="498" t="n">
        <f aca="false">INDEX(FC_FLUJO_CAJA!$D$58:$BK$58,1,AV$13)*IF(IFERROR(VALUE($D47&amp;""),0)&gt;0,IF(AV$14=MIN(VALUE($D47&amp;""),AV$15),1,0),IF($D47="Q",IF(AV$14=MIN(2,AV$15),0.5,0)+IF(AV$14=AV$15,0.5,0),IF($D47="U",IF(AV$14=AV$15,1,0),1/AV$15)))</f>
        <v>0</v>
      </c>
      <c r="AW47" s="498" t="n">
        <f aca="false">INDEX(FC_FLUJO_CAJA!$D$58:$BK$58,1,AW$13)*IF(IFERROR(VALUE($D47&amp;""),0)&gt;0,IF(AW$14=MIN(VALUE($D47&amp;""),AW$15),1,0),IF($D47="Q",IF(AW$14=MIN(2,AW$15),0.5,0)+IF(AW$14=AW$15,0.5,0),IF($D47="U",IF(AW$14=AW$15,1,0),1/AW$15)))</f>
        <v>0</v>
      </c>
      <c r="AX47" s="498" t="n">
        <f aca="false">INDEX(FC_FLUJO_CAJA!$D$58:$BK$58,1,AX$13)*IF(IFERROR(VALUE($D47&amp;""),0)&gt;0,IF(AX$14=MIN(VALUE($D47&amp;""),AX$15),1,0),IF($D47="Q",IF(AX$14=MIN(2,AX$15),0.5,0)+IF(AX$14=AX$15,0.5,0),IF($D47="U",IF(AX$14=AX$15,1,0),1/AX$15)))</f>
        <v>0</v>
      </c>
      <c r="AY47" s="498" t="n">
        <f aca="false">INDEX(FC_FLUJO_CAJA!$D$58:$BK$58,1,AY$13)*IF(IFERROR(VALUE($D47&amp;""),0)&gt;0,IF(AY$14=MIN(VALUE($D47&amp;""),AY$15),1,0),IF($D47="Q",IF(AY$14=MIN(2,AY$15),0.5,0)+IF(AY$14=AY$15,0.5,0),IF($D47="U",IF(AY$14=AY$15,1,0),1/AY$15)))</f>
        <v>0</v>
      </c>
      <c r="AZ47" s="498" t="n">
        <f aca="false">INDEX(FC_FLUJO_CAJA!$D$58:$BK$58,1,AZ$13)*IF(IFERROR(VALUE($D47&amp;""),0)&gt;0,IF(AZ$14=MIN(VALUE($D47&amp;""),AZ$15),1,0),IF($D47="Q",IF(AZ$14=MIN(2,AZ$15),0.5,0)+IF(AZ$14=AZ$15,0.5,0),IF($D47="U",IF(AZ$14=AZ$15,1,0),1/AZ$15)))</f>
        <v>0</v>
      </c>
      <c r="BA47" s="498" t="n">
        <f aca="false">INDEX(FC_FLUJO_CAJA!$D$58:$BK$58,1,BA$13)*IF(IFERROR(VALUE($D47&amp;""),0)&gt;0,IF(BA$14=MIN(VALUE($D47&amp;""),BA$15),1,0),IF($D47="Q",IF(BA$14=MIN(2,BA$15),0.5,0)+IF(BA$14=BA$15,0.5,0),IF($D47="U",IF(BA$14=BA$15,1,0),1/BA$15)))</f>
        <v>0</v>
      </c>
      <c r="BB47" s="498" t="n">
        <f aca="false">INDEX(FC_FLUJO_CAJA!$D$58:$BK$58,1,BB$13)*IF(IFERROR(VALUE($D47&amp;""),0)&gt;0,IF(BB$14=MIN(VALUE($D47&amp;""),BB$15),1,0),IF($D47="Q",IF(BB$14=MIN(2,BB$15),0.5,0)+IF(BB$14=BB$15,0.5,0),IF($D47="U",IF(BB$14=BB$15,1,0),1/BB$15)))</f>
        <v>0</v>
      </c>
      <c r="BC47" s="498" t="n">
        <f aca="false">INDEX(FC_FLUJO_CAJA!$D$58:$BK$58,1,BC$13)*IF(IFERROR(VALUE($D47&amp;""),0)&gt;0,IF(BC$14=MIN(VALUE($D47&amp;""),BC$15),1,0),IF($D47="Q",IF(BC$14=MIN(2,BC$15),0.5,0)+IF(BC$14=BC$15,0.5,0),IF($D47="U",IF(BC$14=BC$15,1,0),1/BC$15)))</f>
        <v>0</v>
      </c>
      <c r="BD47" s="498" t="n">
        <f aca="false">INDEX(FC_FLUJO_CAJA!$D$58:$BK$58,1,BD$13)*IF(IFERROR(VALUE($D47&amp;""),0)&gt;0,IF(BD$14=MIN(VALUE($D47&amp;""),BD$15),1,0),IF($D47="Q",IF(BD$14=MIN(2,BD$15),0.5,0)+IF(BD$14=BD$15,0.5,0),IF($D47="U",IF(BD$14=BD$15,1,0),1/BD$15)))</f>
        <v>0</v>
      </c>
      <c r="BE47" s="498" t="n">
        <f aca="false">INDEX(FC_FLUJO_CAJA!$D$58:$BK$58,1,BE$13)*IF(IFERROR(VALUE($D47&amp;""),0)&gt;0,IF(BE$14=MIN(VALUE($D47&amp;""),BE$15),1,0),IF($D47="Q",IF(BE$14=MIN(2,BE$15),0.5,0)+IF(BE$14=BE$15,0.5,0),IF($D47="U",IF(BE$14=BE$15,1,0),1/BE$15)))</f>
        <v>0</v>
      </c>
    </row>
    <row r="48" customFormat="false" ht="15" hidden="false" customHeight="true" outlineLevel="0" collapsed="false">
      <c r="A48" s="400" t="s">
        <v>3152</v>
      </c>
      <c r="B48" s="283" t="s">
        <v>2957</v>
      </c>
      <c r="C48" s="531" t="s">
        <v>3122</v>
      </c>
      <c r="D48" s="289" t="n">
        <f aca="false">FC_SUPUESTOS!$C$149</f>
        <v>1</v>
      </c>
      <c r="E48" s="532" t="n">
        <f aca="false">SUM(F48:BE48)</f>
        <v>23821.85</v>
      </c>
      <c r="F48" s="498" t="n">
        <f aca="false">INDEX(FC_FLUJO_CAJA!$D$59:$BK$59,1,F$13)*IF(IFERROR(VALUE($D48&amp;""),0)&gt;0,IF(F$14=MIN(VALUE($D48&amp;""),F$15),1,0),IF($D48="Q",IF(F$14=MIN(2,F$15),0.5,0)+IF(F$14=F$15,0.5,0),IF($D48="U",IF(F$14=F$15,1,0),1/F$15)))</f>
        <v>0</v>
      </c>
      <c r="G48" s="498" t="n">
        <f aca="false">INDEX(FC_FLUJO_CAJA!$D$59:$BK$59,1,G$13)*IF(IFERROR(VALUE($D48&amp;""),0)&gt;0,IF(G$14=MIN(VALUE($D48&amp;""),G$15),1,0),IF($D48="Q",IF(G$14=MIN(2,G$15),0.5,0)+IF(G$14=G$15,0.5,0),IF($D48="U",IF(G$14=G$15,1,0),1/G$15)))</f>
        <v>0</v>
      </c>
      <c r="H48" s="498" t="n">
        <f aca="false">INDEX(FC_FLUJO_CAJA!$D$59:$BK$59,1,H$13)*IF(IFERROR(VALUE($D48&amp;""),0)&gt;0,IF(H$14=MIN(VALUE($D48&amp;""),H$15),1,0),IF($D48="Q",IF(H$14=MIN(2,H$15),0.5,0)+IF(H$14=H$15,0.5,0),IF($D48="U",IF(H$14=H$15,1,0),1/H$15)))</f>
        <v>0</v>
      </c>
      <c r="I48" s="498" t="n">
        <f aca="false">INDEX(FC_FLUJO_CAJA!$D$59:$BK$59,1,I$13)*IF(IFERROR(VALUE($D48&amp;""),0)&gt;0,IF(I$14=MIN(VALUE($D48&amp;""),I$15),1,0),IF($D48="Q",IF(I$14=MIN(2,I$15),0.5,0)+IF(I$14=I$15,0.5,0),IF($D48="U",IF(I$14=I$15,1,0),1/I$15)))</f>
        <v>0</v>
      </c>
      <c r="J48" s="498" t="n">
        <f aca="false">INDEX(FC_FLUJO_CAJA!$D$59:$BK$59,1,J$13)*IF(IFERROR(VALUE($D48&amp;""),0)&gt;0,IF(J$14=MIN(VALUE($D48&amp;""),J$15),1,0),IF($D48="Q",IF(J$14=MIN(2,J$15),0.5,0)+IF(J$14=J$15,0.5,0),IF($D48="U",IF(J$14=J$15,1,0),1/J$15)))</f>
        <v>0</v>
      </c>
      <c r="K48" s="498" t="n">
        <f aca="false">INDEX(FC_FLUJO_CAJA!$D$59:$BK$59,1,K$13)*IF(IFERROR(VALUE($D48&amp;""),0)&gt;0,IF(K$14=MIN(VALUE($D48&amp;""),K$15),1,0),IF($D48="Q",IF(K$14=MIN(2,K$15),0.5,0)+IF(K$14=K$15,0.5,0),IF($D48="U",IF(K$14=K$15,1,0),1/K$15)))</f>
        <v>0</v>
      </c>
      <c r="L48" s="498" t="n">
        <f aca="false">INDEX(FC_FLUJO_CAJA!$D$59:$BK$59,1,L$13)*IF(IFERROR(VALUE($D48&amp;""),0)&gt;0,IF(L$14=MIN(VALUE($D48&amp;""),L$15),1,0),IF($D48="Q",IF(L$14=MIN(2,L$15),0.5,0)+IF(L$14=L$15,0.5,0),IF($D48="U",IF(L$14=L$15,1,0),1/L$15)))</f>
        <v>0</v>
      </c>
      <c r="M48" s="498" t="n">
        <f aca="false">INDEX(FC_FLUJO_CAJA!$D$59:$BK$59,1,M$13)*IF(IFERROR(VALUE($D48&amp;""),0)&gt;0,IF(M$14=MIN(VALUE($D48&amp;""),M$15),1,0),IF($D48="Q",IF(M$14=MIN(2,M$15),0.5,0)+IF(M$14=M$15,0.5,0),IF($D48="U",IF(M$14=M$15,1,0),1/M$15)))</f>
        <v>0</v>
      </c>
      <c r="N48" s="498" t="n">
        <f aca="false">INDEX(FC_FLUJO_CAJA!$D$59:$BK$59,1,N$13)*IF(IFERROR(VALUE($D48&amp;""),0)&gt;0,IF(N$14=MIN(VALUE($D48&amp;""),N$15),1,0),IF($D48="Q",IF(N$14=MIN(2,N$15),0.5,0)+IF(N$14=N$15,0.5,0),IF($D48="U",IF(N$14=N$15,1,0),1/N$15)))</f>
        <v>0</v>
      </c>
      <c r="O48" s="498" t="n">
        <f aca="false">INDEX(FC_FLUJO_CAJA!$D$59:$BK$59,1,O$13)*IF(IFERROR(VALUE($D48&amp;""),0)&gt;0,IF(O$14=MIN(VALUE($D48&amp;""),O$15),1,0),IF($D48="Q",IF(O$14=MIN(2,O$15),0.5,0)+IF(O$14=O$15,0.5,0),IF($D48="U",IF(O$14=O$15,1,0),1/O$15)))</f>
        <v>0</v>
      </c>
      <c r="P48" s="498" t="n">
        <f aca="false">INDEX(FC_FLUJO_CAJA!$D$59:$BK$59,1,P$13)*IF(IFERROR(VALUE($D48&amp;""),0)&gt;0,IF(P$14=MIN(VALUE($D48&amp;""),P$15),1,0),IF($D48="Q",IF(P$14=MIN(2,P$15),0.5,0)+IF(P$14=P$15,0.5,0),IF($D48="U",IF(P$14=P$15,1,0),1/P$15)))</f>
        <v>0</v>
      </c>
      <c r="Q48" s="498" t="n">
        <f aca="false">INDEX(FC_FLUJO_CAJA!$D$59:$BK$59,1,Q$13)*IF(IFERROR(VALUE($D48&amp;""),0)&gt;0,IF(Q$14=MIN(VALUE($D48&amp;""),Q$15),1,0),IF($D48="Q",IF(Q$14=MIN(2,Q$15),0.5,0)+IF(Q$14=Q$15,0.5,0),IF($D48="U",IF(Q$14=Q$15,1,0),1/Q$15)))</f>
        <v>0</v>
      </c>
      <c r="R48" s="498" t="n">
        <f aca="false">INDEX(FC_FLUJO_CAJA!$D$59:$BK$59,1,R$13)*IF(IFERROR(VALUE($D48&amp;""),0)&gt;0,IF(R$14=MIN(VALUE($D48&amp;""),R$15),1,0),IF($D48="Q",IF(R$14=MIN(2,R$15),0.5,0)+IF(R$14=R$15,0.5,0),IF($D48="U",IF(R$14=R$15,1,0),1/R$15)))</f>
        <v>0</v>
      </c>
      <c r="S48" s="498" t="n">
        <f aca="false">INDEX(FC_FLUJO_CAJA!$D$59:$BK$59,1,S$13)*IF(IFERROR(VALUE($D48&amp;""),0)&gt;0,IF(S$14=MIN(VALUE($D48&amp;""),S$15),1,0),IF($D48="Q",IF(S$14=MIN(2,S$15),0.5,0)+IF(S$14=S$15,0.5,0),IF($D48="U",IF(S$14=S$15,1,0),1/S$15)))</f>
        <v>23821.85</v>
      </c>
      <c r="T48" s="498" t="n">
        <f aca="false">INDEX(FC_FLUJO_CAJA!$D$59:$BK$59,1,T$13)*IF(IFERROR(VALUE($D48&amp;""),0)&gt;0,IF(T$14=MIN(VALUE($D48&amp;""),T$15),1,0),IF($D48="Q",IF(T$14=MIN(2,T$15),0.5,0)+IF(T$14=T$15,0.5,0),IF($D48="U",IF(T$14=T$15,1,0),1/T$15)))</f>
        <v>0</v>
      </c>
      <c r="U48" s="498" t="n">
        <f aca="false">INDEX(FC_FLUJO_CAJA!$D$59:$BK$59,1,U$13)*IF(IFERROR(VALUE($D48&amp;""),0)&gt;0,IF(U$14=MIN(VALUE($D48&amp;""),U$15),1,0),IF($D48="Q",IF(U$14=MIN(2,U$15),0.5,0)+IF(U$14=U$15,0.5,0),IF($D48="U",IF(U$14=U$15,1,0),1/U$15)))</f>
        <v>0</v>
      </c>
      <c r="V48" s="498" t="n">
        <f aca="false">INDEX(FC_FLUJO_CAJA!$D$59:$BK$59,1,V$13)*IF(IFERROR(VALUE($D48&amp;""),0)&gt;0,IF(V$14=MIN(VALUE($D48&amp;""),V$15),1,0),IF($D48="Q",IF(V$14=MIN(2,V$15),0.5,0)+IF(V$14=V$15,0.5,0),IF($D48="U",IF(V$14=V$15,1,0),1/V$15)))</f>
        <v>0</v>
      </c>
      <c r="W48" s="498" t="n">
        <f aca="false">INDEX(FC_FLUJO_CAJA!$D$59:$BK$59,1,W$13)*IF(IFERROR(VALUE($D48&amp;""),0)&gt;0,IF(W$14=MIN(VALUE($D48&amp;""),W$15),1,0),IF($D48="Q",IF(W$14=MIN(2,W$15),0.5,0)+IF(W$14=W$15,0.5,0),IF($D48="U",IF(W$14=W$15,1,0),1/W$15)))</f>
        <v>0</v>
      </c>
      <c r="X48" s="498" t="n">
        <f aca="false">INDEX(FC_FLUJO_CAJA!$D$59:$BK$59,1,X$13)*IF(IFERROR(VALUE($D48&amp;""),0)&gt;0,IF(X$14=MIN(VALUE($D48&amp;""),X$15),1,0),IF($D48="Q",IF(X$14=MIN(2,X$15),0.5,0)+IF(X$14=X$15,0.5,0),IF($D48="U",IF(X$14=X$15,1,0),1/X$15)))</f>
        <v>0</v>
      </c>
      <c r="Y48" s="498" t="n">
        <f aca="false">INDEX(FC_FLUJO_CAJA!$D$59:$BK$59,1,Y$13)*IF(IFERROR(VALUE($D48&amp;""),0)&gt;0,IF(Y$14=MIN(VALUE($D48&amp;""),Y$15),1,0),IF($D48="Q",IF(Y$14=MIN(2,Y$15),0.5,0)+IF(Y$14=Y$15,0.5,0),IF($D48="U",IF(Y$14=Y$15,1,0),1/Y$15)))</f>
        <v>0</v>
      </c>
      <c r="Z48" s="498" t="n">
        <f aca="false">INDEX(FC_FLUJO_CAJA!$D$59:$BK$59,1,Z$13)*IF(IFERROR(VALUE($D48&amp;""),0)&gt;0,IF(Z$14=MIN(VALUE($D48&amp;""),Z$15),1,0),IF($D48="Q",IF(Z$14=MIN(2,Z$15),0.5,0)+IF(Z$14=Z$15,0.5,0),IF($D48="U",IF(Z$14=Z$15,1,0),1/Z$15)))</f>
        <v>0</v>
      </c>
      <c r="AA48" s="498" t="n">
        <f aca="false">INDEX(FC_FLUJO_CAJA!$D$59:$BK$59,1,AA$13)*IF(IFERROR(VALUE($D48&amp;""),0)&gt;0,IF(AA$14=MIN(VALUE($D48&amp;""),AA$15),1,0),IF($D48="Q",IF(AA$14=MIN(2,AA$15),0.5,0)+IF(AA$14=AA$15,0.5,0),IF($D48="U",IF(AA$14=AA$15,1,0),1/AA$15)))</f>
        <v>0</v>
      </c>
      <c r="AB48" s="498" t="n">
        <f aca="false">INDEX(FC_FLUJO_CAJA!$D$59:$BK$59,1,AB$13)*IF(IFERROR(VALUE($D48&amp;""),0)&gt;0,IF(AB$14=MIN(VALUE($D48&amp;""),AB$15),1,0),IF($D48="Q",IF(AB$14=MIN(2,AB$15),0.5,0)+IF(AB$14=AB$15,0.5,0),IF($D48="U",IF(AB$14=AB$15,1,0),1/AB$15)))</f>
        <v>0</v>
      </c>
      <c r="AC48" s="498" t="n">
        <f aca="false">INDEX(FC_FLUJO_CAJA!$D$59:$BK$59,1,AC$13)*IF(IFERROR(VALUE($D48&amp;""),0)&gt;0,IF(AC$14=MIN(VALUE($D48&amp;""),AC$15),1,0),IF($D48="Q",IF(AC$14=MIN(2,AC$15),0.5,0)+IF(AC$14=AC$15,0.5,0),IF($D48="U",IF(AC$14=AC$15,1,0),1/AC$15)))</f>
        <v>0</v>
      </c>
      <c r="AD48" s="498" t="n">
        <f aca="false">INDEX(FC_FLUJO_CAJA!$D$59:$BK$59,1,AD$13)*IF(IFERROR(VALUE($D48&amp;""),0)&gt;0,IF(AD$14=MIN(VALUE($D48&amp;""),AD$15),1,0),IF($D48="Q",IF(AD$14=MIN(2,AD$15),0.5,0)+IF(AD$14=AD$15,0.5,0),IF($D48="U",IF(AD$14=AD$15,1,0),1/AD$15)))</f>
        <v>0</v>
      </c>
      <c r="AE48" s="498" t="n">
        <f aca="false">INDEX(FC_FLUJO_CAJA!$D$59:$BK$59,1,AE$13)*IF(IFERROR(VALUE($D48&amp;""),0)&gt;0,IF(AE$14=MIN(VALUE($D48&amp;""),AE$15),1,0),IF($D48="Q",IF(AE$14=MIN(2,AE$15),0.5,0)+IF(AE$14=AE$15,0.5,0),IF($D48="U",IF(AE$14=AE$15,1,0),1/AE$15)))</f>
        <v>0</v>
      </c>
      <c r="AF48" s="498" t="n">
        <f aca="false">INDEX(FC_FLUJO_CAJA!$D$59:$BK$59,1,AF$13)*IF(IFERROR(VALUE($D48&amp;""),0)&gt;0,IF(AF$14=MIN(VALUE($D48&amp;""),AF$15),1,0),IF($D48="Q",IF(AF$14=MIN(2,AF$15),0.5,0)+IF(AF$14=AF$15,0.5,0),IF($D48="U",IF(AF$14=AF$15,1,0),1/AF$15)))</f>
        <v>0</v>
      </c>
      <c r="AG48" s="498" t="n">
        <f aca="false">INDEX(FC_FLUJO_CAJA!$D$59:$BK$59,1,AG$13)*IF(IFERROR(VALUE($D48&amp;""),0)&gt;0,IF(AG$14=MIN(VALUE($D48&amp;""),AG$15),1,0),IF($D48="Q",IF(AG$14=MIN(2,AG$15),0.5,0)+IF(AG$14=AG$15,0.5,0),IF($D48="U",IF(AG$14=AG$15,1,0),1/AG$15)))</f>
        <v>0</v>
      </c>
      <c r="AH48" s="498" t="n">
        <f aca="false">INDEX(FC_FLUJO_CAJA!$D$59:$BK$59,1,AH$13)*IF(IFERROR(VALUE($D48&amp;""),0)&gt;0,IF(AH$14=MIN(VALUE($D48&amp;""),AH$15),1,0),IF($D48="Q",IF(AH$14=MIN(2,AH$15),0.5,0)+IF(AH$14=AH$15,0.5,0),IF($D48="U",IF(AH$14=AH$15,1,0),1/AH$15)))</f>
        <v>0</v>
      </c>
      <c r="AI48" s="498" t="n">
        <f aca="false">INDEX(FC_FLUJO_CAJA!$D$59:$BK$59,1,AI$13)*IF(IFERROR(VALUE($D48&amp;""),0)&gt;0,IF(AI$14=MIN(VALUE($D48&amp;""),AI$15),1,0),IF($D48="Q",IF(AI$14=MIN(2,AI$15),0.5,0)+IF(AI$14=AI$15,0.5,0),IF($D48="U",IF(AI$14=AI$15,1,0),1/AI$15)))</f>
        <v>0</v>
      </c>
      <c r="AJ48" s="498" t="n">
        <f aca="false">INDEX(FC_FLUJO_CAJA!$D$59:$BK$59,1,AJ$13)*IF(IFERROR(VALUE($D48&amp;""),0)&gt;0,IF(AJ$14=MIN(VALUE($D48&amp;""),AJ$15),1,0),IF($D48="Q",IF(AJ$14=MIN(2,AJ$15),0.5,0)+IF(AJ$14=AJ$15,0.5,0),IF($D48="U",IF(AJ$14=AJ$15,1,0),1/AJ$15)))</f>
        <v>0</v>
      </c>
      <c r="AK48" s="498" t="n">
        <f aca="false">INDEX(FC_FLUJO_CAJA!$D$59:$BK$59,1,AK$13)*IF(IFERROR(VALUE($D48&amp;""),0)&gt;0,IF(AK$14=MIN(VALUE($D48&amp;""),AK$15),1,0),IF($D48="Q",IF(AK$14=MIN(2,AK$15),0.5,0)+IF(AK$14=AK$15,0.5,0),IF($D48="U",IF(AK$14=AK$15,1,0),1/AK$15)))</f>
        <v>0</v>
      </c>
      <c r="AL48" s="498" t="n">
        <f aca="false">INDEX(FC_FLUJO_CAJA!$D$59:$BK$59,1,AL$13)*IF(IFERROR(VALUE($D48&amp;""),0)&gt;0,IF(AL$14=MIN(VALUE($D48&amp;""),AL$15),1,0),IF($D48="Q",IF(AL$14=MIN(2,AL$15),0.5,0)+IF(AL$14=AL$15,0.5,0),IF($D48="U",IF(AL$14=AL$15,1,0),1/AL$15)))</f>
        <v>0</v>
      </c>
      <c r="AM48" s="498" t="n">
        <f aca="false">INDEX(FC_FLUJO_CAJA!$D$59:$BK$59,1,AM$13)*IF(IFERROR(VALUE($D48&amp;""),0)&gt;0,IF(AM$14=MIN(VALUE($D48&amp;""),AM$15),1,0),IF($D48="Q",IF(AM$14=MIN(2,AM$15),0.5,0)+IF(AM$14=AM$15,0.5,0),IF($D48="U",IF(AM$14=AM$15,1,0),1/AM$15)))</f>
        <v>0</v>
      </c>
      <c r="AN48" s="498" t="n">
        <f aca="false">INDEX(FC_FLUJO_CAJA!$D$59:$BK$59,1,AN$13)*IF(IFERROR(VALUE($D48&amp;""),0)&gt;0,IF(AN$14=MIN(VALUE($D48&amp;""),AN$15),1,0),IF($D48="Q",IF(AN$14=MIN(2,AN$15),0.5,0)+IF(AN$14=AN$15,0.5,0),IF($D48="U",IF(AN$14=AN$15,1,0),1/AN$15)))</f>
        <v>0</v>
      </c>
      <c r="AO48" s="498" t="n">
        <f aca="false">INDEX(FC_FLUJO_CAJA!$D$59:$BK$59,1,AO$13)*IF(IFERROR(VALUE($D48&amp;""),0)&gt;0,IF(AO$14=MIN(VALUE($D48&amp;""),AO$15),1,0),IF($D48="Q",IF(AO$14=MIN(2,AO$15),0.5,0)+IF(AO$14=AO$15,0.5,0),IF($D48="U",IF(AO$14=AO$15,1,0),1/AO$15)))</f>
        <v>0</v>
      </c>
      <c r="AP48" s="498" t="n">
        <f aca="false">INDEX(FC_FLUJO_CAJA!$D$59:$BK$59,1,AP$13)*IF(IFERROR(VALUE($D48&amp;""),0)&gt;0,IF(AP$14=MIN(VALUE($D48&amp;""),AP$15),1,0),IF($D48="Q",IF(AP$14=MIN(2,AP$15),0.5,0)+IF(AP$14=AP$15,0.5,0),IF($D48="U",IF(AP$14=AP$15,1,0),1/AP$15)))</f>
        <v>0</v>
      </c>
      <c r="AQ48" s="498" t="n">
        <f aca="false">INDEX(FC_FLUJO_CAJA!$D$59:$BK$59,1,AQ$13)*IF(IFERROR(VALUE($D48&amp;""),0)&gt;0,IF(AQ$14=MIN(VALUE($D48&amp;""),AQ$15),1,0),IF($D48="Q",IF(AQ$14=MIN(2,AQ$15),0.5,0)+IF(AQ$14=AQ$15,0.5,0),IF($D48="U",IF(AQ$14=AQ$15,1,0),1/AQ$15)))</f>
        <v>0</v>
      </c>
      <c r="AR48" s="498" t="n">
        <f aca="false">INDEX(FC_FLUJO_CAJA!$D$59:$BK$59,1,AR$13)*IF(IFERROR(VALUE($D48&amp;""),0)&gt;0,IF(AR$14=MIN(VALUE($D48&amp;""),AR$15),1,0),IF($D48="Q",IF(AR$14=MIN(2,AR$15),0.5,0)+IF(AR$14=AR$15,0.5,0),IF($D48="U",IF(AR$14=AR$15,1,0),1/AR$15)))</f>
        <v>0</v>
      </c>
      <c r="AS48" s="498" t="n">
        <f aca="false">INDEX(FC_FLUJO_CAJA!$D$59:$BK$59,1,AS$13)*IF(IFERROR(VALUE($D48&amp;""),0)&gt;0,IF(AS$14=MIN(VALUE($D48&amp;""),AS$15),1,0),IF($D48="Q",IF(AS$14=MIN(2,AS$15),0.5,0)+IF(AS$14=AS$15,0.5,0),IF($D48="U",IF(AS$14=AS$15,1,0),1/AS$15)))</f>
        <v>0</v>
      </c>
      <c r="AT48" s="498" t="n">
        <f aca="false">INDEX(FC_FLUJO_CAJA!$D$59:$BK$59,1,AT$13)*IF(IFERROR(VALUE($D48&amp;""),0)&gt;0,IF(AT$14=MIN(VALUE($D48&amp;""),AT$15),1,0),IF($D48="Q",IF(AT$14=MIN(2,AT$15),0.5,0)+IF(AT$14=AT$15,0.5,0),IF($D48="U",IF(AT$14=AT$15,1,0),1/AT$15)))</f>
        <v>0</v>
      </c>
      <c r="AU48" s="498" t="n">
        <f aca="false">INDEX(FC_FLUJO_CAJA!$D$59:$BK$59,1,AU$13)*IF(IFERROR(VALUE($D48&amp;""),0)&gt;0,IF(AU$14=MIN(VALUE($D48&amp;""),AU$15),1,0),IF($D48="Q",IF(AU$14=MIN(2,AU$15),0.5,0)+IF(AU$14=AU$15,0.5,0),IF($D48="U",IF(AU$14=AU$15,1,0),1/AU$15)))</f>
        <v>0</v>
      </c>
      <c r="AV48" s="498" t="n">
        <f aca="false">INDEX(FC_FLUJO_CAJA!$D$59:$BK$59,1,AV$13)*IF(IFERROR(VALUE($D48&amp;""),0)&gt;0,IF(AV$14=MIN(VALUE($D48&amp;""),AV$15),1,0),IF($D48="Q",IF(AV$14=MIN(2,AV$15),0.5,0)+IF(AV$14=AV$15,0.5,0),IF($D48="U",IF(AV$14=AV$15,1,0),1/AV$15)))</f>
        <v>0</v>
      </c>
      <c r="AW48" s="498" t="n">
        <f aca="false">INDEX(FC_FLUJO_CAJA!$D$59:$BK$59,1,AW$13)*IF(IFERROR(VALUE($D48&amp;""),0)&gt;0,IF(AW$14=MIN(VALUE($D48&amp;""),AW$15),1,0),IF($D48="Q",IF(AW$14=MIN(2,AW$15),0.5,0)+IF(AW$14=AW$15,0.5,0),IF($D48="U",IF(AW$14=AW$15,1,0),1/AW$15)))</f>
        <v>0</v>
      </c>
      <c r="AX48" s="498" t="n">
        <f aca="false">INDEX(FC_FLUJO_CAJA!$D$59:$BK$59,1,AX$13)*IF(IFERROR(VALUE($D48&amp;""),0)&gt;0,IF(AX$14=MIN(VALUE($D48&amp;""),AX$15),1,0),IF($D48="Q",IF(AX$14=MIN(2,AX$15),0.5,0)+IF(AX$14=AX$15,0.5,0),IF($D48="U",IF(AX$14=AX$15,1,0),1/AX$15)))</f>
        <v>0</v>
      </c>
      <c r="AY48" s="498" t="n">
        <f aca="false">INDEX(FC_FLUJO_CAJA!$D$59:$BK$59,1,AY$13)*IF(IFERROR(VALUE($D48&amp;""),0)&gt;0,IF(AY$14=MIN(VALUE($D48&amp;""),AY$15),1,0),IF($D48="Q",IF(AY$14=MIN(2,AY$15),0.5,0)+IF(AY$14=AY$15,0.5,0),IF($D48="U",IF(AY$14=AY$15,1,0),1/AY$15)))</f>
        <v>0</v>
      </c>
      <c r="AZ48" s="498" t="n">
        <f aca="false">INDEX(FC_FLUJO_CAJA!$D$59:$BK$59,1,AZ$13)*IF(IFERROR(VALUE($D48&amp;""),0)&gt;0,IF(AZ$14=MIN(VALUE($D48&amp;""),AZ$15),1,0),IF($D48="Q",IF(AZ$14=MIN(2,AZ$15),0.5,0)+IF(AZ$14=AZ$15,0.5,0),IF($D48="U",IF(AZ$14=AZ$15,1,0),1/AZ$15)))</f>
        <v>0</v>
      </c>
      <c r="BA48" s="498" t="n">
        <f aca="false">INDEX(FC_FLUJO_CAJA!$D$59:$BK$59,1,BA$13)*IF(IFERROR(VALUE($D48&amp;""),0)&gt;0,IF(BA$14=MIN(VALUE($D48&amp;""),BA$15),1,0),IF($D48="Q",IF(BA$14=MIN(2,BA$15),0.5,0)+IF(BA$14=BA$15,0.5,0),IF($D48="U",IF(BA$14=BA$15,1,0),1/BA$15)))</f>
        <v>0</v>
      </c>
      <c r="BB48" s="498" t="n">
        <f aca="false">INDEX(FC_FLUJO_CAJA!$D$59:$BK$59,1,BB$13)*IF(IFERROR(VALUE($D48&amp;""),0)&gt;0,IF(BB$14=MIN(VALUE($D48&amp;""),BB$15),1,0),IF($D48="Q",IF(BB$14=MIN(2,BB$15),0.5,0)+IF(BB$14=BB$15,0.5,0),IF($D48="U",IF(BB$14=BB$15,1,0),1/BB$15)))</f>
        <v>0</v>
      </c>
      <c r="BC48" s="498" t="n">
        <f aca="false">INDEX(FC_FLUJO_CAJA!$D$59:$BK$59,1,BC$13)*IF(IFERROR(VALUE($D48&amp;""),0)&gt;0,IF(BC$14=MIN(VALUE($D48&amp;""),BC$15),1,0),IF($D48="Q",IF(BC$14=MIN(2,BC$15),0.5,0)+IF(BC$14=BC$15,0.5,0),IF($D48="U",IF(BC$14=BC$15,1,0),1/BC$15)))</f>
        <v>0</v>
      </c>
      <c r="BD48" s="498" t="n">
        <f aca="false">INDEX(FC_FLUJO_CAJA!$D$59:$BK$59,1,BD$13)*IF(IFERROR(VALUE($D48&amp;""),0)&gt;0,IF(BD$14=MIN(VALUE($D48&amp;""),BD$15),1,0),IF($D48="Q",IF(BD$14=MIN(2,BD$15),0.5,0)+IF(BD$14=BD$15,0.5,0),IF($D48="U",IF(BD$14=BD$15,1,0),1/BD$15)))</f>
        <v>0</v>
      </c>
      <c r="BE48" s="498" t="n">
        <f aca="false">INDEX(FC_FLUJO_CAJA!$D$59:$BK$59,1,BE$13)*IF(IFERROR(VALUE($D48&amp;""),0)&gt;0,IF(BE$14=MIN(VALUE($D48&amp;""),BE$15),1,0),IF($D48="Q",IF(BE$14=MIN(2,BE$15),0.5,0)+IF(BE$14=BE$15,0.5,0),IF($D48="U",IF(BE$14=BE$15,1,0),1/BE$15)))</f>
        <v>0</v>
      </c>
    </row>
    <row r="49" customFormat="false" ht="15" hidden="false" customHeight="true" outlineLevel="0" collapsed="false">
      <c r="A49" s="400" t="s">
        <v>3153</v>
      </c>
      <c r="B49" s="283" t="s">
        <v>3154</v>
      </c>
      <c r="C49" s="531" t="s">
        <v>3125</v>
      </c>
      <c r="D49" s="289" t="n">
        <f aca="false">FC_SUPUESTOS!$C$150</f>
        <v>2</v>
      </c>
      <c r="E49" s="532" t="n">
        <f aca="false">SUM(F49:BE49)</f>
        <v>93180.0825</v>
      </c>
      <c r="F49" s="498" t="n">
        <f aca="false">INDEX(FC_FLUJO_CAJA!$D$60:$BK$60,1,F$13)*IF(IFERROR(VALUE($D49&amp;""),0)&gt;0,IF(F$14=MIN(VALUE($D49&amp;""),F$15),1,0),IF($D49="Q",IF(F$14=MIN(2,F$15),0.5,0)+IF(F$14=F$15,0.5,0),IF($D49="U",IF(F$14=F$15,1,0),1/F$15)))</f>
        <v>0</v>
      </c>
      <c r="G49" s="498" t="n">
        <f aca="false">INDEX(FC_FLUJO_CAJA!$D$60:$BK$60,1,G$13)*IF(IFERROR(VALUE($D49&amp;""),0)&gt;0,IF(G$14=MIN(VALUE($D49&amp;""),G$15),1,0),IF($D49="Q",IF(G$14=MIN(2,G$15),0.5,0)+IF(G$14=G$15,0.5,0),IF($D49="U",IF(G$14=G$15,1,0),1/G$15)))</f>
        <v>0</v>
      </c>
      <c r="H49" s="498" t="n">
        <f aca="false">INDEX(FC_FLUJO_CAJA!$D$60:$BK$60,1,H$13)*IF(IFERROR(VALUE($D49&amp;""),0)&gt;0,IF(H$14=MIN(VALUE($D49&amp;""),H$15),1,0),IF($D49="Q",IF(H$14=MIN(2,H$15),0.5,0)+IF(H$14=H$15,0.5,0),IF($D49="U",IF(H$14=H$15,1,0),1/H$15)))</f>
        <v>0</v>
      </c>
      <c r="I49" s="498" t="n">
        <f aca="false">INDEX(FC_FLUJO_CAJA!$D$60:$BK$60,1,I$13)*IF(IFERROR(VALUE($D49&amp;""),0)&gt;0,IF(I$14=MIN(VALUE($D49&amp;""),I$15),1,0),IF($D49="Q",IF(I$14=MIN(2,I$15),0.5,0)+IF(I$14=I$15,0.5,0),IF($D49="U",IF(I$14=I$15,1,0),1/I$15)))</f>
        <v>0</v>
      </c>
      <c r="J49" s="498" t="n">
        <f aca="false">INDEX(FC_FLUJO_CAJA!$D$60:$BK$60,1,J$13)*IF(IFERROR(VALUE($D49&amp;""),0)&gt;0,IF(J$14=MIN(VALUE($D49&amp;""),J$15),1,0),IF($D49="Q",IF(J$14=MIN(2,J$15),0.5,0)+IF(J$14=J$15,0.5,0),IF($D49="U",IF(J$14=J$15,1,0),1/J$15)))</f>
        <v>0</v>
      </c>
      <c r="K49" s="498" t="n">
        <f aca="false">INDEX(FC_FLUJO_CAJA!$D$60:$BK$60,1,K$13)*IF(IFERROR(VALUE($D49&amp;""),0)&gt;0,IF(K$14=MIN(VALUE($D49&amp;""),K$15),1,0),IF($D49="Q",IF(K$14=MIN(2,K$15),0.5,0)+IF(K$14=K$15,0.5,0),IF($D49="U",IF(K$14=K$15,1,0),1/K$15)))</f>
        <v>0</v>
      </c>
      <c r="L49" s="498" t="n">
        <f aca="false">INDEX(FC_FLUJO_CAJA!$D$60:$BK$60,1,L$13)*IF(IFERROR(VALUE($D49&amp;""),0)&gt;0,IF(L$14=MIN(VALUE($D49&amp;""),L$15),1,0),IF($D49="Q",IF(L$14=MIN(2,L$15),0.5,0)+IF(L$14=L$15,0.5,0),IF($D49="U",IF(L$14=L$15,1,0),1/L$15)))</f>
        <v>0</v>
      </c>
      <c r="M49" s="498" t="n">
        <f aca="false">INDEX(FC_FLUJO_CAJA!$D$60:$BK$60,1,M$13)*IF(IFERROR(VALUE($D49&amp;""),0)&gt;0,IF(M$14=MIN(VALUE($D49&amp;""),M$15),1,0),IF($D49="Q",IF(M$14=MIN(2,M$15),0.5,0)+IF(M$14=M$15,0.5,0),IF($D49="U",IF(M$14=M$15,1,0),1/M$15)))</f>
        <v>0</v>
      </c>
      <c r="N49" s="498" t="n">
        <f aca="false">INDEX(FC_FLUJO_CAJA!$D$60:$BK$60,1,N$13)*IF(IFERROR(VALUE($D49&amp;""),0)&gt;0,IF(N$14=MIN(VALUE($D49&amp;""),N$15),1,0),IF($D49="Q",IF(N$14=MIN(2,N$15),0.5,0)+IF(N$14=N$15,0.5,0),IF($D49="U",IF(N$14=N$15,1,0),1/N$15)))</f>
        <v>0</v>
      </c>
      <c r="O49" s="498" t="n">
        <f aca="false">INDEX(FC_FLUJO_CAJA!$D$60:$BK$60,1,O$13)*IF(IFERROR(VALUE($D49&amp;""),0)&gt;0,IF(O$14=MIN(VALUE($D49&amp;""),O$15),1,0),IF($D49="Q",IF(O$14=MIN(2,O$15),0.5,0)+IF(O$14=O$15,0.5,0),IF($D49="U",IF(O$14=O$15,1,0),1/O$15)))</f>
        <v>0</v>
      </c>
      <c r="P49" s="498" t="n">
        <f aca="false">INDEX(FC_FLUJO_CAJA!$D$60:$BK$60,1,P$13)*IF(IFERROR(VALUE($D49&amp;""),0)&gt;0,IF(P$14=MIN(VALUE($D49&amp;""),P$15),1,0),IF($D49="Q",IF(P$14=MIN(2,P$15),0.5,0)+IF(P$14=P$15,0.5,0),IF($D49="U",IF(P$14=P$15,1,0),1/P$15)))</f>
        <v>0</v>
      </c>
      <c r="Q49" s="498" t="n">
        <f aca="false">INDEX(FC_FLUJO_CAJA!$D$60:$BK$60,1,Q$13)*IF(IFERROR(VALUE($D49&amp;""),0)&gt;0,IF(Q$14=MIN(VALUE($D49&amp;""),Q$15),1,0),IF($D49="Q",IF(Q$14=MIN(2,Q$15),0.5,0)+IF(Q$14=Q$15,0.5,0),IF($D49="U",IF(Q$14=Q$15,1,0),1/Q$15)))</f>
        <v>0</v>
      </c>
      <c r="R49" s="498" t="n">
        <f aca="false">INDEX(FC_FLUJO_CAJA!$D$60:$BK$60,1,R$13)*IF(IFERROR(VALUE($D49&amp;""),0)&gt;0,IF(R$14=MIN(VALUE($D49&amp;""),R$15),1,0),IF($D49="Q",IF(R$14=MIN(2,R$15),0.5,0)+IF(R$14=R$15,0.5,0),IF($D49="U",IF(R$14=R$15,1,0),1/R$15)))</f>
        <v>0</v>
      </c>
      <c r="S49" s="498" t="n">
        <f aca="false">INDEX(FC_FLUJO_CAJA!$D$60:$BK$60,1,S$13)*IF(IFERROR(VALUE($D49&amp;""),0)&gt;0,IF(S$14=MIN(VALUE($D49&amp;""),S$15),1,0),IF($D49="Q",IF(S$14=MIN(2,S$15),0.5,0)+IF(S$14=S$15,0.5,0),IF($D49="U",IF(S$14=S$15,1,0),1/S$15)))</f>
        <v>0</v>
      </c>
      <c r="T49" s="498" t="n">
        <f aca="false">INDEX(FC_FLUJO_CAJA!$D$60:$BK$60,1,T$13)*IF(IFERROR(VALUE($D49&amp;""),0)&gt;0,IF(T$14=MIN(VALUE($D49&amp;""),T$15),1,0),IF($D49="Q",IF(T$14=MIN(2,T$15),0.5,0)+IF(T$14=T$15,0.5,0),IF($D49="U",IF(T$14=T$15,1,0),1/T$15)))</f>
        <v>0</v>
      </c>
      <c r="U49" s="498" t="n">
        <f aca="false">INDEX(FC_FLUJO_CAJA!$D$60:$BK$60,1,U$13)*IF(IFERROR(VALUE($D49&amp;""),0)&gt;0,IF(U$14=MIN(VALUE($D49&amp;""),U$15),1,0),IF($D49="Q",IF(U$14=MIN(2,U$15),0.5,0)+IF(U$14=U$15,0.5,0),IF($D49="U",IF(U$14=U$15,1,0),1/U$15)))</f>
        <v>0</v>
      </c>
      <c r="V49" s="498" t="n">
        <f aca="false">INDEX(FC_FLUJO_CAJA!$D$60:$BK$60,1,V$13)*IF(IFERROR(VALUE($D49&amp;""),0)&gt;0,IF(V$14=MIN(VALUE($D49&amp;""),V$15),1,0),IF($D49="Q",IF(V$14=MIN(2,V$15),0.5,0)+IF(V$14=V$15,0.5,0),IF($D49="U",IF(V$14=V$15,1,0),1/V$15)))</f>
        <v>0</v>
      </c>
      <c r="W49" s="498" t="n">
        <f aca="false">INDEX(FC_FLUJO_CAJA!$D$60:$BK$60,1,W$13)*IF(IFERROR(VALUE($D49&amp;""),0)&gt;0,IF(W$14=MIN(VALUE($D49&amp;""),W$15),1,0),IF($D49="Q",IF(W$14=MIN(2,W$15),0.5,0)+IF(W$14=W$15,0.5,0),IF($D49="U",IF(W$14=W$15,1,0),1/W$15)))</f>
        <v>0</v>
      </c>
      <c r="X49" s="498" t="n">
        <f aca="false">INDEX(FC_FLUJO_CAJA!$D$60:$BK$60,1,X$13)*IF(IFERROR(VALUE($D49&amp;""),0)&gt;0,IF(X$14=MIN(VALUE($D49&amp;""),X$15),1,0),IF($D49="Q",IF(X$14=MIN(2,X$15),0.5,0)+IF(X$14=X$15,0.5,0),IF($D49="U",IF(X$14=X$15,1,0),1/X$15)))</f>
        <v>93180.0825</v>
      </c>
      <c r="Y49" s="498" t="n">
        <f aca="false">INDEX(FC_FLUJO_CAJA!$D$60:$BK$60,1,Y$13)*IF(IFERROR(VALUE($D49&amp;""),0)&gt;0,IF(Y$14=MIN(VALUE($D49&amp;""),Y$15),1,0),IF($D49="Q",IF(Y$14=MIN(2,Y$15),0.5,0)+IF(Y$14=Y$15,0.5,0),IF($D49="U",IF(Y$14=Y$15,1,0),1/Y$15)))</f>
        <v>0</v>
      </c>
      <c r="Z49" s="498" t="n">
        <f aca="false">INDEX(FC_FLUJO_CAJA!$D$60:$BK$60,1,Z$13)*IF(IFERROR(VALUE($D49&amp;""),0)&gt;0,IF(Z$14=MIN(VALUE($D49&amp;""),Z$15),1,0),IF($D49="Q",IF(Z$14=MIN(2,Z$15),0.5,0)+IF(Z$14=Z$15,0.5,0),IF($D49="U",IF(Z$14=Z$15,1,0),1/Z$15)))</f>
        <v>0</v>
      </c>
      <c r="AA49" s="498" t="n">
        <f aca="false">INDEX(FC_FLUJO_CAJA!$D$60:$BK$60,1,AA$13)*IF(IFERROR(VALUE($D49&amp;""),0)&gt;0,IF(AA$14=MIN(VALUE($D49&amp;""),AA$15),1,0),IF($D49="Q",IF(AA$14=MIN(2,AA$15),0.5,0)+IF(AA$14=AA$15,0.5,0),IF($D49="U",IF(AA$14=AA$15,1,0),1/AA$15)))</f>
        <v>0</v>
      </c>
      <c r="AB49" s="498" t="n">
        <f aca="false">INDEX(FC_FLUJO_CAJA!$D$60:$BK$60,1,AB$13)*IF(IFERROR(VALUE($D49&amp;""),0)&gt;0,IF(AB$14=MIN(VALUE($D49&amp;""),AB$15),1,0),IF($D49="Q",IF(AB$14=MIN(2,AB$15),0.5,0)+IF(AB$14=AB$15,0.5,0),IF($D49="U",IF(AB$14=AB$15,1,0),1/AB$15)))</f>
        <v>0</v>
      </c>
      <c r="AC49" s="498" t="n">
        <f aca="false">INDEX(FC_FLUJO_CAJA!$D$60:$BK$60,1,AC$13)*IF(IFERROR(VALUE($D49&amp;""),0)&gt;0,IF(AC$14=MIN(VALUE($D49&amp;""),AC$15),1,0),IF($D49="Q",IF(AC$14=MIN(2,AC$15),0.5,0)+IF(AC$14=AC$15,0.5,0),IF($D49="U",IF(AC$14=AC$15,1,0),1/AC$15)))</f>
        <v>0</v>
      </c>
      <c r="AD49" s="498" t="n">
        <f aca="false">INDEX(FC_FLUJO_CAJA!$D$60:$BK$60,1,AD$13)*IF(IFERROR(VALUE($D49&amp;""),0)&gt;0,IF(AD$14=MIN(VALUE($D49&amp;""),AD$15),1,0),IF($D49="Q",IF(AD$14=MIN(2,AD$15),0.5,0)+IF(AD$14=AD$15,0.5,0),IF($D49="U",IF(AD$14=AD$15,1,0),1/AD$15)))</f>
        <v>0</v>
      </c>
      <c r="AE49" s="498" t="n">
        <f aca="false">INDEX(FC_FLUJO_CAJA!$D$60:$BK$60,1,AE$13)*IF(IFERROR(VALUE($D49&amp;""),0)&gt;0,IF(AE$14=MIN(VALUE($D49&amp;""),AE$15),1,0),IF($D49="Q",IF(AE$14=MIN(2,AE$15),0.5,0)+IF(AE$14=AE$15,0.5,0),IF($D49="U",IF(AE$14=AE$15,1,0),1/AE$15)))</f>
        <v>0</v>
      </c>
      <c r="AF49" s="498" t="n">
        <f aca="false">INDEX(FC_FLUJO_CAJA!$D$60:$BK$60,1,AF$13)*IF(IFERROR(VALUE($D49&amp;""),0)&gt;0,IF(AF$14=MIN(VALUE($D49&amp;""),AF$15),1,0),IF($D49="Q",IF(AF$14=MIN(2,AF$15),0.5,0)+IF(AF$14=AF$15,0.5,0),IF($D49="U",IF(AF$14=AF$15,1,0),1/AF$15)))</f>
        <v>0</v>
      </c>
      <c r="AG49" s="498" t="n">
        <f aca="false">INDEX(FC_FLUJO_CAJA!$D$60:$BK$60,1,AG$13)*IF(IFERROR(VALUE($D49&amp;""),0)&gt;0,IF(AG$14=MIN(VALUE($D49&amp;""),AG$15),1,0),IF($D49="Q",IF(AG$14=MIN(2,AG$15),0.5,0)+IF(AG$14=AG$15,0.5,0),IF($D49="U",IF(AG$14=AG$15,1,0),1/AG$15)))</f>
        <v>0</v>
      </c>
      <c r="AH49" s="498" t="n">
        <f aca="false">INDEX(FC_FLUJO_CAJA!$D$60:$BK$60,1,AH$13)*IF(IFERROR(VALUE($D49&amp;""),0)&gt;0,IF(AH$14=MIN(VALUE($D49&amp;""),AH$15),1,0),IF($D49="Q",IF(AH$14=MIN(2,AH$15),0.5,0)+IF(AH$14=AH$15,0.5,0),IF($D49="U",IF(AH$14=AH$15,1,0),1/AH$15)))</f>
        <v>0</v>
      </c>
      <c r="AI49" s="498" t="n">
        <f aca="false">INDEX(FC_FLUJO_CAJA!$D$60:$BK$60,1,AI$13)*IF(IFERROR(VALUE($D49&amp;""),0)&gt;0,IF(AI$14=MIN(VALUE($D49&amp;""),AI$15),1,0),IF($D49="Q",IF(AI$14=MIN(2,AI$15),0.5,0)+IF(AI$14=AI$15,0.5,0),IF($D49="U",IF(AI$14=AI$15,1,0),1/AI$15)))</f>
        <v>0</v>
      </c>
      <c r="AJ49" s="498" t="n">
        <f aca="false">INDEX(FC_FLUJO_CAJA!$D$60:$BK$60,1,AJ$13)*IF(IFERROR(VALUE($D49&amp;""),0)&gt;0,IF(AJ$14=MIN(VALUE($D49&amp;""),AJ$15),1,0),IF($D49="Q",IF(AJ$14=MIN(2,AJ$15),0.5,0)+IF(AJ$14=AJ$15,0.5,0),IF($D49="U",IF(AJ$14=AJ$15,1,0),1/AJ$15)))</f>
        <v>0</v>
      </c>
      <c r="AK49" s="498" t="n">
        <f aca="false">INDEX(FC_FLUJO_CAJA!$D$60:$BK$60,1,AK$13)*IF(IFERROR(VALUE($D49&amp;""),0)&gt;0,IF(AK$14=MIN(VALUE($D49&amp;""),AK$15),1,0),IF($D49="Q",IF(AK$14=MIN(2,AK$15),0.5,0)+IF(AK$14=AK$15,0.5,0),IF($D49="U",IF(AK$14=AK$15,1,0),1/AK$15)))</f>
        <v>0</v>
      </c>
      <c r="AL49" s="498" t="n">
        <f aca="false">INDEX(FC_FLUJO_CAJA!$D$60:$BK$60,1,AL$13)*IF(IFERROR(VALUE($D49&amp;""),0)&gt;0,IF(AL$14=MIN(VALUE($D49&amp;""),AL$15),1,0),IF($D49="Q",IF(AL$14=MIN(2,AL$15),0.5,0)+IF(AL$14=AL$15,0.5,0),IF($D49="U",IF(AL$14=AL$15,1,0),1/AL$15)))</f>
        <v>0</v>
      </c>
      <c r="AM49" s="498" t="n">
        <f aca="false">INDEX(FC_FLUJO_CAJA!$D$60:$BK$60,1,AM$13)*IF(IFERROR(VALUE($D49&amp;""),0)&gt;0,IF(AM$14=MIN(VALUE($D49&amp;""),AM$15),1,0),IF($D49="Q",IF(AM$14=MIN(2,AM$15),0.5,0)+IF(AM$14=AM$15,0.5,0),IF($D49="U",IF(AM$14=AM$15,1,0),1/AM$15)))</f>
        <v>0</v>
      </c>
      <c r="AN49" s="498" t="n">
        <f aca="false">INDEX(FC_FLUJO_CAJA!$D$60:$BK$60,1,AN$13)*IF(IFERROR(VALUE($D49&amp;""),0)&gt;0,IF(AN$14=MIN(VALUE($D49&amp;""),AN$15),1,0),IF($D49="Q",IF(AN$14=MIN(2,AN$15),0.5,0)+IF(AN$14=AN$15,0.5,0),IF($D49="U",IF(AN$14=AN$15,1,0),1/AN$15)))</f>
        <v>0</v>
      </c>
      <c r="AO49" s="498" t="n">
        <f aca="false">INDEX(FC_FLUJO_CAJA!$D$60:$BK$60,1,AO$13)*IF(IFERROR(VALUE($D49&amp;""),0)&gt;0,IF(AO$14=MIN(VALUE($D49&amp;""),AO$15),1,0),IF($D49="Q",IF(AO$14=MIN(2,AO$15),0.5,0)+IF(AO$14=AO$15,0.5,0),IF($D49="U",IF(AO$14=AO$15,1,0),1/AO$15)))</f>
        <v>0</v>
      </c>
      <c r="AP49" s="498" t="n">
        <f aca="false">INDEX(FC_FLUJO_CAJA!$D$60:$BK$60,1,AP$13)*IF(IFERROR(VALUE($D49&amp;""),0)&gt;0,IF(AP$14=MIN(VALUE($D49&amp;""),AP$15),1,0),IF($D49="Q",IF(AP$14=MIN(2,AP$15),0.5,0)+IF(AP$14=AP$15,0.5,0),IF($D49="U",IF(AP$14=AP$15,1,0),1/AP$15)))</f>
        <v>0</v>
      </c>
      <c r="AQ49" s="498" t="n">
        <f aca="false">INDEX(FC_FLUJO_CAJA!$D$60:$BK$60,1,AQ$13)*IF(IFERROR(VALUE($D49&amp;""),0)&gt;0,IF(AQ$14=MIN(VALUE($D49&amp;""),AQ$15),1,0),IF($D49="Q",IF(AQ$14=MIN(2,AQ$15),0.5,0)+IF(AQ$14=AQ$15,0.5,0),IF($D49="U",IF(AQ$14=AQ$15,1,0),1/AQ$15)))</f>
        <v>0</v>
      </c>
      <c r="AR49" s="498" t="n">
        <f aca="false">INDEX(FC_FLUJO_CAJA!$D$60:$BK$60,1,AR$13)*IF(IFERROR(VALUE($D49&amp;""),0)&gt;0,IF(AR$14=MIN(VALUE($D49&amp;""),AR$15),1,0),IF($D49="Q",IF(AR$14=MIN(2,AR$15),0.5,0)+IF(AR$14=AR$15,0.5,0),IF($D49="U",IF(AR$14=AR$15,1,0),1/AR$15)))</f>
        <v>0</v>
      </c>
      <c r="AS49" s="498" t="n">
        <f aca="false">INDEX(FC_FLUJO_CAJA!$D$60:$BK$60,1,AS$13)*IF(IFERROR(VALUE($D49&amp;""),0)&gt;0,IF(AS$14=MIN(VALUE($D49&amp;""),AS$15),1,0),IF($D49="Q",IF(AS$14=MIN(2,AS$15),0.5,0)+IF(AS$14=AS$15,0.5,0),IF($D49="U",IF(AS$14=AS$15,1,0),1/AS$15)))</f>
        <v>0</v>
      </c>
      <c r="AT49" s="498" t="n">
        <f aca="false">INDEX(FC_FLUJO_CAJA!$D$60:$BK$60,1,AT$13)*IF(IFERROR(VALUE($D49&amp;""),0)&gt;0,IF(AT$14=MIN(VALUE($D49&amp;""),AT$15),1,0),IF($D49="Q",IF(AT$14=MIN(2,AT$15),0.5,0)+IF(AT$14=AT$15,0.5,0),IF($D49="U",IF(AT$14=AT$15,1,0),1/AT$15)))</f>
        <v>0</v>
      </c>
      <c r="AU49" s="498" t="n">
        <f aca="false">INDEX(FC_FLUJO_CAJA!$D$60:$BK$60,1,AU$13)*IF(IFERROR(VALUE($D49&amp;""),0)&gt;0,IF(AU$14=MIN(VALUE($D49&amp;""),AU$15),1,0),IF($D49="Q",IF(AU$14=MIN(2,AU$15),0.5,0)+IF(AU$14=AU$15,0.5,0),IF($D49="U",IF(AU$14=AU$15,1,0),1/AU$15)))</f>
        <v>0</v>
      </c>
      <c r="AV49" s="498" t="n">
        <f aca="false">INDEX(FC_FLUJO_CAJA!$D$60:$BK$60,1,AV$13)*IF(IFERROR(VALUE($D49&amp;""),0)&gt;0,IF(AV$14=MIN(VALUE($D49&amp;""),AV$15),1,0),IF($D49="Q",IF(AV$14=MIN(2,AV$15),0.5,0)+IF(AV$14=AV$15,0.5,0),IF($D49="U",IF(AV$14=AV$15,1,0),1/AV$15)))</f>
        <v>0</v>
      </c>
      <c r="AW49" s="498" t="n">
        <f aca="false">INDEX(FC_FLUJO_CAJA!$D$60:$BK$60,1,AW$13)*IF(IFERROR(VALUE($D49&amp;""),0)&gt;0,IF(AW$14=MIN(VALUE($D49&amp;""),AW$15),1,0),IF($D49="Q",IF(AW$14=MIN(2,AW$15),0.5,0)+IF(AW$14=AW$15,0.5,0),IF($D49="U",IF(AW$14=AW$15,1,0),1/AW$15)))</f>
        <v>0</v>
      </c>
      <c r="AX49" s="498" t="n">
        <f aca="false">INDEX(FC_FLUJO_CAJA!$D$60:$BK$60,1,AX$13)*IF(IFERROR(VALUE($D49&amp;""),0)&gt;0,IF(AX$14=MIN(VALUE($D49&amp;""),AX$15),1,0),IF($D49="Q",IF(AX$14=MIN(2,AX$15),0.5,0)+IF(AX$14=AX$15,0.5,0),IF($D49="U",IF(AX$14=AX$15,1,0),1/AX$15)))</f>
        <v>0</v>
      </c>
      <c r="AY49" s="498" t="n">
        <f aca="false">INDEX(FC_FLUJO_CAJA!$D$60:$BK$60,1,AY$13)*IF(IFERROR(VALUE($D49&amp;""),0)&gt;0,IF(AY$14=MIN(VALUE($D49&amp;""),AY$15),1,0),IF($D49="Q",IF(AY$14=MIN(2,AY$15),0.5,0)+IF(AY$14=AY$15,0.5,0),IF($D49="U",IF(AY$14=AY$15,1,0),1/AY$15)))</f>
        <v>0</v>
      </c>
      <c r="AZ49" s="498" t="n">
        <f aca="false">INDEX(FC_FLUJO_CAJA!$D$60:$BK$60,1,AZ$13)*IF(IFERROR(VALUE($D49&amp;""),0)&gt;0,IF(AZ$14=MIN(VALUE($D49&amp;""),AZ$15),1,0),IF($D49="Q",IF(AZ$14=MIN(2,AZ$15),0.5,0)+IF(AZ$14=AZ$15,0.5,0),IF($D49="U",IF(AZ$14=AZ$15,1,0),1/AZ$15)))</f>
        <v>0</v>
      </c>
      <c r="BA49" s="498" t="n">
        <f aca="false">INDEX(FC_FLUJO_CAJA!$D$60:$BK$60,1,BA$13)*IF(IFERROR(VALUE($D49&amp;""),0)&gt;0,IF(BA$14=MIN(VALUE($D49&amp;""),BA$15),1,0),IF($D49="Q",IF(BA$14=MIN(2,BA$15),0.5,0)+IF(BA$14=BA$15,0.5,0),IF($D49="U",IF(BA$14=BA$15,1,0),1/BA$15)))</f>
        <v>0</v>
      </c>
      <c r="BB49" s="498" t="n">
        <f aca="false">INDEX(FC_FLUJO_CAJA!$D$60:$BK$60,1,BB$13)*IF(IFERROR(VALUE($D49&amp;""),0)&gt;0,IF(BB$14=MIN(VALUE($D49&amp;""),BB$15),1,0),IF($D49="Q",IF(BB$14=MIN(2,BB$15),0.5,0)+IF(BB$14=BB$15,0.5,0),IF($D49="U",IF(BB$14=BB$15,1,0),1/BB$15)))</f>
        <v>0</v>
      </c>
      <c r="BC49" s="498" t="n">
        <f aca="false">INDEX(FC_FLUJO_CAJA!$D$60:$BK$60,1,BC$13)*IF(IFERROR(VALUE($D49&amp;""),0)&gt;0,IF(BC$14=MIN(VALUE($D49&amp;""),BC$15),1,0),IF($D49="Q",IF(BC$14=MIN(2,BC$15),0.5,0)+IF(BC$14=BC$15,0.5,0),IF($D49="U",IF(BC$14=BC$15,1,0),1/BC$15)))</f>
        <v>0</v>
      </c>
      <c r="BD49" s="498" t="n">
        <f aca="false">INDEX(FC_FLUJO_CAJA!$D$60:$BK$60,1,BD$13)*IF(IFERROR(VALUE($D49&amp;""),0)&gt;0,IF(BD$14=MIN(VALUE($D49&amp;""),BD$15),1,0),IF($D49="Q",IF(BD$14=MIN(2,BD$15),0.5,0)+IF(BD$14=BD$15,0.5,0),IF($D49="U",IF(BD$14=BD$15,1,0),1/BD$15)))</f>
        <v>0</v>
      </c>
      <c r="BE49" s="498" t="n">
        <f aca="false">INDEX(FC_FLUJO_CAJA!$D$60:$BK$60,1,BE$13)*IF(IFERROR(VALUE($D49&amp;""),0)&gt;0,IF(BE$14=MIN(VALUE($D49&amp;""),BE$15),1,0),IF($D49="Q",IF(BE$14=MIN(2,BE$15),0.5,0)+IF(BE$14=BE$15,0.5,0),IF($D49="U",IF(BE$14=BE$15,1,0),1/BE$15)))</f>
        <v>0</v>
      </c>
    </row>
    <row r="50" customFormat="false" ht="15" hidden="false" customHeight="true" outlineLevel="0" collapsed="false">
      <c r="A50" s="400" t="s">
        <v>3155</v>
      </c>
      <c r="B50" s="283" t="s">
        <v>3156</v>
      </c>
      <c r="C50" s="531" t="s">
        <v>3157</v>
      </c>
      <c r="D50" s="289" t="n">
        <f aca="false">FC_SUPUESTOS!$C$160</f>
        <v>1</v>
      </c>
      <c r="E50" s="532" t="n">
        <f aca="false">SUM(F50:BE50)</f>
        <v>98450</v>
      </c>
      <c r="F50" s="498" t="n">
        <f aca="false">INDEX(FC_FLUJO_CAJA!$D$99:$BK$99,1,F$13)*IF(IFERROR(VALUE($D50&amp;""),0)&gt;0,IF(F$14=MIN(VALUE($D50&amp;""),F$15),1,0),IF($D50="Q",IF(F$14=MIN(2,F$15),0.5,0)+IF(F$14=F$15,0.5,0),IF($D50="U",IF(F$14=F$15,1,0),1/F$15)))</f>
        <v>0</v>
      </c>
      <c r="G50" s="498" t="n">
        <f aca="false">INDEX(FC_FLUJO_CAJA!$D$99:$BK$99,1,G$13)*IF(IFERROR(VALUE($D50&amp;""),0)&gt;0,IF(G$14=MIN(VALUE($D50&amp;""),G$15),1,0),IF($D50="Q",IF(G$14=MIN(2,G$15),0.5,0)+IF(G$14=G$15,0.5,0),IF($D50="U",IF(G$14=G$15,1,0),1/G$15)))</f>
        <v>0</v>
      </c>
      <c r="H50" s="498" t="n">
        <f aca="false">INDEX(FC_FLUJO_CAJA!$D$99:$BK$99,1,H$13)*IF(IFERROR(VALUE($D50&amp;""),0)&gt;0,IF(H$14=MIN(VALUE($D50&amp;""),H$15),1,0),IF($D50="Q",IF(H$14=MIN(2,H$15),0.5,0)+IF(H$14=H$15,0.5,0),IF($D50="U",IF(H$14=H$15,1,0),1/H$15)))</f>
        <v>0</v>
      </c>
      <c r="I50" s="498" t="n">
        <f aca="false">INDEX(FC_FLUJO_CAJA!$D$99:$BK$99,1,I$13)*IF(IFERROR(VALUE($D50&amp;""),0)&gt;0,IF(I$14=MIN(VALUE($D50&amp;""),I$15),1,0),IF($D50="Q",IF(I$14=MIN(2,I$15),0.5,0)+IF(I$14=I$15,0.5,0),IF($D50="U",IF(I$14=I$15,1,0),1/I$15)))</f>
        <v>0</v>
      </c>
      <c r="J50" s="498" t="n">
        <f aca="false">INDEX(FC_FLUJO_CAJA!$D$99:$BK$99,1,J$13)*IF(IFERROR(VALUE($D50&amp;""),0)&gt;0,IF(J$14=MIN(VALUE($D50&amp;""),J$15),1,0),IF($D50="Q",IF(J$14=MIN(2,J$15),0.5,0)+IF(J$14=J$15,0.5,0),IF($D50="U",IF(J$14=J$15,1,0),1/J$15)))</f>
        <v>0</v>
      </c>
      <c r="K50" s="498" t="n">
        <f aca="false">INDEX(FC_FLUJO_CAJA!$D$99:$BK$99,1,K$13)*IF(IFERROR(VALUE($D50&amp;""),0)&gt;0,IF(K$14=MIN(VALUE($D50&amp;""),K$15),1,0),IF($D50="Q",IF(K$14=MIN(2,K$15),0.5,0)+IF(K$14=K$15,0.5,0),IF($D50="U",IF(K$14=K$15,1,0),1/K$15)))</f>
        <v>0</v>
      </c>
      <c r="L50" s="498" t="n">
        <f aca="false">INDEX(FC_FLUJO_CAJA!$D$99:$BK$99,1,L$13)*IF(IFERROR(VALUE($D50&amp;""),0)&gt;0,IF(L$14=MIN(VALUE($D50&amp;""),L$15),1,0),IF($D50="Q",IF(L$14=MIN(2,L$15),0.5,0)+IF(L$14=L$15,0.5,0),IF($D50="U",IF(L$14=L$15,1,0),1/L$15)))</f>
        <v>0</v>
      </c>
      <c r="M50" s="498" t="n">
        <f aca="false">INDEX(FC_FLUJO_CAJA!$D$99:$BK$99,1,M$13)*IF(IFERROR(VALUE($D50&amp;""),0)&gt;0,IF(M$14=MIN(VALUE($D50&amp;""),M$15),1,0),IF($D50="Q",IF(M$14=MIN(2,M$15),0.5,0)+IF(M$14=M$15,0.5,0),IF($D50="U",IF(M$14=M$15,1,0),1/M$15)))</f>
        <v>0</v>
      </c>
      <c r="N50" s="498" t="n">
        <f aca="false">INDEX(FC_FLUJO_CAJA!$D$99:$BK$99,1,N$13)*IF(IFERROR(VALUE($D50&amp;""),0)&gt;0,IF(N$14=MIN(VALUE($D50&amp;""),N$15),1,0),IF($D50="Q",IF(N$14=MIN(2,N$15),0.5,0)+IF(N$14=N$15,0.5,0),IF($D50="U",IF(N$14=N$15,1,0),1/N$15)))</f>
        <v>0</v>
      </c>
      <c r="O50" s="498" t="n">
        <f aca="false">INDEX(FC_FLUJO_CAJA!$D$99:$BK$99,1,O$13)*IF(IFERROR(VALUE($D50&amp;""),0)&gt;0,IF(O$14=MIN(VALUE($D50&amp;""),O$15),1,0),IF($D50="Q",IF(O$14=MIN(2,O$15),0.5,0)+IF(O$14=O$15,0.5,0),IF($D50="U",IF(O$14=O$15,1,0),1/O$15)))</f>
        <v>0</v>
      </c>
      <c r="P50" s="498" t="n">
        <f aca="false">INDEX(FC_FLUJO_CAJA!$D$99:$BK$99,1,P$13)*IF(IFERROR(VALUE($D50&amp;""),0)&gt;0,IF(P$14=MIN(VALUE($D50&amp;""),P$15),1,0),IF($D50="Q",IF(P$14=MIN(2,P$15),0.5,0)+IF(P$14=P$15,0.5,0),IF($D50="U",IF(P$14=P$15,1,0),1/P$15)))</f>
        <v>0</v>
      </c>
      <c r="Q50" s="498" t="n">
        <f aca="false">INDEX(FC_FLUJO_CAJA!$D$99:$BK$99,1,Q$13)*IF(IFERROR(VALUE($D50&amp;""),0)&gt;0,IF(Q$14=MIN(VALUE($D50&amp;""),Q$15),1,0),IF($D50="Q",IF(Q$14=MIN(2,Q$15),0.5,0)+IF(Q$14=Q$15,0.5,0),IF($D50="U",IF(Q$14=Q$15,1,0),1/Q$15)))</f>
        <v>0</v>
      </c>
      <c r="R50" s="498" t="n">
        <f aca="false">INDEX(FC_FLUJO_CAJA!$D$99:$BK$99,1,R$13)*IF(IFERROR(VALUE($D50&amp;""),0)&gt;0,IF(R$14=MIN(VALUE($D50&amp;""),R$15),1,0),IF($D50="Q",IF(R$14=MIN(2,R$15),0.5,0)+IF(R$14=R$15,0.5,0),IF($D50="U",IF(R$14=R$15,1,0),1/R$15)))</f>
        <v>0</v>
      </c>
      <c r="S50" s="498" t="n">
        <f aca="false">INDEX(FC_FLUJO_CAJA!$D$99:$BK$99,1,S$13)*IF(IFERROR(VALUE($D50&amp;""),0)&gt;0,IF(S$14=MIN(VALUE($D50&amp;""),S$15),1,0),IF($D50="Q",IF(S$14=MIN(2,S$15),0.5,0)+IF(S$14=S$15,0.5,0),IF($D50="U",IF(S$14=S$15,1,0),1/S$15)))</f>
        <v>0</v>
      </c>
      <c r="T50" s="498" t="n">
        <f aca="false">INDEX(FC_FLUJO_CAJA!$D$99:$BK$99,1,T$13)*IF(IFERROR(VALUE($D50&amp;""),0)&gt;0,IF(T$14=MIN(VALUE($D50&amp;""),T$15),1,0),IF($D50="Q",IF(T$14=MIN(2,T$15),0.5,0)+IF(T$14=T$15,0.5,0),IF($D50="U",IF(T$14=T$15,1,0),1/T$15)))</f>
        <v>0</v>
      </c>
      <c r="U50" s="498" t="n">
        <f aca="false">INDEX(FC_FLUJO_CAJA!$D$99:$BK$99,1,U$13)*IF(IFERROR(VALUE($D50&amp;""),0)&gt;0,IF(U$14=MIN(VALUE($D50&amp;""),U$15),1,0),IF($D50="Q",IF(U$14=MIN(2,U$15),0.5,0)+IF(U$14=U$15,0.5,0),IF($D50="U",IF(U$14=U$15,1,0),1/U$15)))</f>
        <v>0</v>
      </c>
      <c r="V50" s="498" t="n">
        <f aca="false">INDEX(FC_FLUJO_CAJA!$D$99:$BK$99,1,V$13)*IF(IFERROR(VALUE($D50&amp;""),0)&gt;0,IF(V$14=MIN(VALUE($D50&amp;""),V$15),1,0),IF($D50="Q",IF(V$14=MIN(2,V$15),0.5,0)+IF(V$14=V$15,0.5,0),IF($D50="U",IF(V$14=V$15,1,0),1/V$15)))</f>
        <v>0</v>
      </c>
      <c r="W50" s="498" t="n">
        <f aca="false">INDEX(FC_FLUJO_CAJA!$D$99:$BK$99,1,W$13)*IF(IFERROR(VALUE($D50&amp;""),0)&gt;0,IF(W$14=MIN(VALUE($D50&amp;""),W$15),1,0),IF($D50="Q",IF(W$14=MIN(2,W$15),0.5,0)+IF(W$14=W$15,0.5,0),IF($D50="U",IF(W$14=W$15,1,0),1/W$15)))</f>
        <v>0</v>
      </c>
      <c r="X50" s="498" t="n">
        <f aca="false">INDEX(FC_FLUJO_CAJA!$D$99:$BK$99,1,X$13)*IF(IFERROR(VALUE($D50&amp;""),0)&gt;0,IF(X$14=MIN(VALUE($D50&amp;""),X$15),1,0),IF($D50="Q",IF(X$14=MIN(2,X$15),0.5,0)+IF(X$14=X$15,0.5,0),IF($D50="U",IF(X$14=X$15,1,0),1/X$15)))</f>
        <v>0</v>
      </c>
      <c r="Y50" s="498" t="n">
        <f aca="false">INDEX(FC_FLUJO_CAJA!$D$99:$BK$99,1,Y$13)*IF(IFERROR(VALUE($D50&amp;""),0)&gt;0,IF(Y$14=MIN(VALUE($D50&amp;""),Y$15),1,0),IF($D50="Q",IF(Y$14=MIN(2,Y$15),0.5,0)+IF(Y$14=Y$15,0.5,0),IF($D50="U",IF(Y$14=Y$15,1,0),1/Y$15)))</f>
        <v>0</v>
      </c>
      <c r="Z50" s="498" t="n">
        <f aca="false">INDEX(FC_FLUJO_CAJA!$D$99:$BK$99,1,Z$13)*IF(IFERROR(VALUE($D50&amp;""),0)&gt;0,IF(Z$14=MIN(VALUE($D50&amp;""),Z$15),1,0),IF($D50="Q",IF(Z$14=MIN(2,Z$15),0.5,0)+IF(Z$14=Z$15,0.5,0),IF($D50="U",IF(Z$14=Z$15,1,0),1/Z$15)))</f>
        <v>0</v>
      </c>
      <c r="AA50" s="498" t="n">
        <f aca="false">INDEX(FC_FLUJO_CAJA!$D$99:$BK$99,1,AA$13)*IF(IFERROR(VALUE($D50&amp;""),0)&gt;0,IF(AA$14=MIN(VALUE($D50&amp;""),AA$15),1,0),IF($D50="Q",IF(AA$14=MIN(2,AA$15),0.5,0)+IF(AA$14=AA$15,0.5,0),IF($D50="U",IF(AA$14=AA$15,1,0),1/AA$15)))</f>
        <v>0</v>
      </c>
      <c r="AB50" s="498" t="n">
        <f aca="false">INDEX(FC_FLUJO_CAJA!$D$99:$BK$99,1,AB$13)*IF(IFERROR(VALUE($D50&amp;""),0)&gt;0,IF(AB$14=MIN(VALUE($D50&amp;""),AB$15),1,0),IF($D50="Q",IF(AB$14=MIN(2,AB$15),0.5,0)+IF(AB$14=AB$15,0.5,0),IF($D50="U",IF(AB$14=AB$15,1,0),1/AB$15)))</f>
        <v>0</v>
      </c>
      <c r="AC50" s="498" t="n">
        <f aca="false">INDEX(FC_FLUJO_CAJA!$D$99:$BK$99,1,AC$13)*IF(IFERROR(VALUE($D50&amp;""),0)&gt;0,IF(AC$14=MIN(VALUE($D50&amp;""),AC$15),1,0),IF($D50="Q",IF(AC$14=MIN(2,AC$15),0.5,0)+IF(AC$14=AC$15,0.5,0),IF($D50="U",IF(AC$14=AC$15,1,0),1/AC$15)))</f>
        <v>0</v>
      </c>
      <c r="AD50" s="498" t="n">
        <f aca="false">INDEX(FC_FLUJO_CAJA!$D$99:$BK$99,1,AD$13)*IF(IFERROR(VALUE($D50&amp;""),0)&gt;0,IF(AD$14=MIN(VALUE($D50&amp;""),AD$15),1,0),IF($D50="Q",IF(AD$14=MIN(2,AD$15),0.5,0)+IF(AD$14=AD$15,0.5,0),IF($D50="U",IF(AD$14=AD$15,1,0),1/AD$15)))</f>
        <v>0</v>
      </c>
      <c r="AE50" s="498" t="n">
        <f aca="false">INDEX(FC_FLUJO_CAJA!$D$99:$BK$99,1,AE$13)*IF(IFERROR(VALUE($D50&amp;""),0)&gt;0,IF(AE$14=MIN(VALUE($D50&amp;""),AE$15),1,0),IF($D50="Q",IF(AE$14=MIN(2,AE$15),0.5,0)+IF(AE$14=AE$15,0.5,0),IF($D50="U",IF(AE$14=AE$15,1,0),1/AE$15)))</f>
        <v>0</v>
      </c>
      <c r="AF50" s="498" t="n">
        <f aca="false">INDEX(FC_FLUJO_CAJA!$D$99:$BK$99,1,AF$13)*IF(IFERROR(VALUE($D50&amp;""),0)&gt;0,IF(AF$14=MIN(VALUE($D50&amp;""),AF$15),1,0),IF($D50="Q",IF(AF$14=MIN(2,AF$15),0.5,0)+IF(AF$14=AF$15,0.5,0),IF($D50="U",IF(AF$14=AF$15,1,0),1/AF$15)))</f>
        <v>17800</v>
      </c>
      <c r="AG50" s="498" t="n">
        <f aca="false">INDEX(FC_FLUJO_CAJA!$D$99:$BK$99,1,AG$13)*IF(IFERROR(VALUE($D50&amp;""),0)&gt;0,IF(AG$14=MIN(VALUE($D50&amp;""),AG$15),1,0),IF($D50="Q",IF(AG$14=MIN(2,AG$15),0.5,0)+IF(AG$14=AG$15,0.5,0),IF($D50="U",IF(AG$14=AG$15,1,0),1/AG$15)))</f>
        <v>0</v>
      </c>
      <c r="AH50" s="498" t="n">
        <f aca="false">INDEX(FC_FLUJO_CAJA!$D$99:$BK$99,1,AH$13)*IF(IFERROR(VALUE($D50&amp;""),0)&gt;0,IF(AH$14=MIN(VALUE($D50&amp;""),AH$15),1,0),IF($D50="Q",IF(AH$14=MIN(2,AH$15),0.5,0)+IF(AH$14=AH$15,0.5,0),IF($D50="U",IF(AH$14=AH$15,1,0),1/AH$15)))</f>
        <v>0</v>
      </c>
      <c r="AI50" s="498" t="n">
        <f aca="false">INDEX(FC_FLUJO_CAJA!$D$99:$BK$99,1,AI$13)*IF(IFERROR(VALUE($D50&amp;""),0)&gt;0,IF(AI$14=MIN(VALUE($D50&amp;""),AI$15),1,0),IF($D50="Q",IF(AI$14=MIN(2,AI$15),0.5,0)+IF(AI$14=AI$15,0.5,0),IF($D50="U",IF(AI$14=AI$15,1,0),1/AI$15)))</f>
        <v>0</v>
      </c>
      <c r="AJ50" s="498" t="n">
        <f aca="false">INDEX(FC_FLUJO_CAJA!$D$99:$BK$99,1,AJ$13)*IF(IFERROR(VALUE($D50&amp;""),0)&gt;0,IF(AJ$14=MIN(VALUE($D50&amp;""),AJ$15),1,0),IF($D50="Q",IF(AJ$14=MIN(2,AJ$15),0.5,0)+IF(AJ$14=AJ$15,0.5,0),IF($D50="U",IF(AJ$14=AJ$15,1,0),1/AJ$15)))</f>
        <v>17800</v>
      </c>
      <c r="AK50" s="498" t="n">
        <f aca="false">INDEX(FC_FLUJO_CAJA!$D$99:$BK$99,1,AK$13)*IF(IFERROR(VALUE($D50&amp;""),0)&gt;0,IF(AK$14=MIN(VALUE($D50&amp;""),AK$15),1,0),IF($D50="Q",IF(AK$14=MIN(2,AK$15),0.5,0)+IF(AK$14=AK$15,0.5,0),IF($D50="U",IF(AK$14=AK$15,1,0),1/AK$15)))</f>
        <v>0</v>
      </c>
      <c r="AL50" s="498" t="n">
        <f aca="false">INDEX(FC_FLUJO_CAJA!$D$99:$BK$99,1,AL$13)*IF(IFERROR(VALUE($D50&amp;""),0)&gt;0,IF(AL$14=MIN(VALUE($D50&amp;""),AL$15),1,0),IF($D50="Q",IF(AL$14=MIN(2,AL$15),0.5,0)+IF(AL$14=AL$15,0.5,0),IF($D50="U",IF(AL$14=AL$15,1,0),1/AL$15)))</f>
        <v>0</v>
      </c>
      <c r="AM50" s="498" t="n">
        <f aca="false">INDEX(FC_FLUJO_CAJA!$D$99:$BK$99,1,AM$13)*IF(IFERROR(VALUE($D50&amp;""),0)&gt;0,IF(AM$14=MIN(VALUE($D50&amp;""),AM$15),1,0),IF($D50="Q",IF(AM$14=MIN(2,AM$15),0.5,0)+IF(AM$14=AM$15,0.5,0),IF($D50="U",IF(AM$14=AM$15,1,0),1/AM$15)))</f>
        <v>0</v>
      </c>
      <c r="AN50" s="498" t="n">
        <f aca="false">INDEX(FC_FLUJO_CAJA!$D$99:$BK$99,1,AN$13)*IF(IFERROR(VALUE($D50&amp;""),0)&gt;0,IF(AN$14=MIN(VALUE($D50&amp;""),AN$15),1,0),IF($D50="Q",IF(AN$14=MIN(2,AN$15),0.5,0)+IF(AN$14=AN$15,0.5,0),IF($D50="U",IF(AN$14=AN$15,1,0),1/AN$15)))</f>
        <v>0</v>
      </c>
      <c r="AO50" s="498" t="n">
        <f aca="false">INDEX(FC_FLUJO_CAJA!$D$99:$BK$99,1,AO$13)*IF(IFERROR(VALUE($D50&amp;""),0)&gt;0,IF(AO$14=MIN(VALUE($D50&amp;""),AO$15),1,0),IF($D50="Q",IF(AO$14=MIN(2,AO$15),0.5,0)+IF(AO$14=AO$15,0.5,0),IF($D50="U",IF(AO$14=AO$15,1,0),1/AO$15)))</f>
        <v>17800</v>
      </c>
      <c r="AP50" s="498" t="n">
        <f aca="false">INDEX(FC_FLUJO_CAJA!$D$99:$BK$99,1,AP$13)*IF(IFERROR(VALUE($D50&amp;""),0)&gt;0,IF(AP$14=MIN(VALUE($D50&amp;""),AP$15),1,0),IF($D50="Q",IF(AP$14=MIN(2,AP$15),0.5,0)+IF(AP$14=AP$15,0.5,0),IF($D50="U",IF(AP$14=AP$15,1,0),1/AP$15)))</f>
        <v>0</v>
      </c>
      <c r="AQ50" s="498" t="n">
        <f aca="false">INDEX(FC_FLUJO_CAJA!$D$99:$BK$99,1,AQ$13)*IF(IFERROR(VALUE($D50&amp;""),0)&gt;0,IF(AQ$14=MIN(VALUE($D50&amp;""),AQ$15),1,0),IF($D50="Q",IF(AQ$14=MIN(2,AQ$15),0.5,0)+IF(AQ$14=AQ$15,0.5,0),IF($D50="U",IF(AQ$14=AQ$15,1,0),1/AQ$15)))</f>
        <v>0</v>
      </c>
      <c r="AR50" s="498" t="n">
        <f aca="false">INDEX(FC_FLUJO_CAJA!$D$99:$BK$99,1,AR$13)*IF(IFERROR(VALUE($D50&amp;""),0)&gt;0,IF(AR$14=MIN(VALUE($D50&amp;""),AR$15),1,0),IF($D50="Q",IF(AR$14=MIN(2,AR$15),0.5,0)+IF(AR$14=AR$15,0.5,0),IF($D50="U",IF(AR$14=AR$15,1,0),1/AR$15)))</f>
        <v>0</v>
      </c>
      <c r="AS50" s="498" t="n">
        <f aca="false">INDEX(FC_FLUJO_CAJA!$D$99:$BK$99,1,AS$13)*IF(IFERROR(VALUE($D50&amp;""),0)&gt;0,IF(AS$14=MIN(VALUE($D50&amp;""),AS$15),1,0),IF($D50="Q",IF(AS$14=MIN(2,AS$15),0.5,0)+IF(AS$14=AS$15,0.5,0),IF($D50="U",IF(AS$14=AS$15,1,0),1/AS$15)))</f>
        <v>20950</v>
      </c>
      <c r="AT50" s="498" t="n">
        <f aca="false">INDEX(FC_FLUJO_CAJA!$D$99:$BK$99,1,AT$13)*IF(IFERROR(VALUE($D50&amp;""),0)&gt;0,IF(AT$14=MIN(VALUE($D50&amp;""),AT$15),1,0),IF($D50="Q",IF(AT$14=MIN(2,AT$15),0.5,0)+IF(AT$14=AT$15,0.5,0),IF($D50="U",IF(AT$14=AT$15,1,0),1/AT$15)))</f>
        <v>0</v>
      </c>
      <c r="AU50" s="498" t="n">
        <f aca="false">INDEX(FC_FLUJO_CAJA!$D$99:$BK$99,1,AU$13)*IF(IFERROR(VALUE($D50&amp;""),0)&gt;0,IF(AU$14=MIN(VALUE($D50&amp;""),AU$15),1,0),IF($D50="Q",IF(AU$14=MIN(2,AU$15),0.5,0)+IF(AU$14=AU$15,0.5,0),IF($D50="U",IF(AU$14=AU$15,1,0),1/AU$15)))</f>
        <v>0</v>
      </c>
      <c r="AV50" s="498" t="n">
        <f aca="false">INDEX(FC_FLUJO_CAJA!$D$99:$BK$99,1,AV$13)*IF(IFERROR(VALUE($D50&amp;""),0)&gt;0,IF(AV$14=MIN(VALUE($D50&amp;""),AV$15),1,0),IF($D50="Q",IF(AV$14=MIN(2,AV$15),0.5,0)+IF(AV$14=AV$15,0.5,0),IF($D50="U",IF(AV$14=AV$15,1,0),1/AV$15)))</f>
        <v>0</v>
      </c>
      <c r="AW50" s="498" t="n">
        <f aca="false">INDEX(FC_FLUJO_CAJA!$D$99:$BK$99,1,AW$13)*IF(IFERROR(VALUE($D50&amp;""),0)&gt;0,IF(AW$14=MIN(VALUE($D50&amp;""),AW$15),1,0),IF($D50="Q",IF(AW$14=MIN(2,AW$15),0.5,0)+IF(AW$14=AW$15,0.5,0),IF($D50="U",IF(AW$14=AW$15,1,0),1/AW$15)))</f>
        <v>24100</v>
      </c>
      <c r="AX50" s="498" t="n">
        <f aca="false">INDEX(FC_FLUJO_CAJA!$D$99:$BK$99,1,AX$13)*IF(IFERROR(VALUE($D50&amp;""),0)&gt;0,IF(AX$14=MIN(VALUE($D50&amp;""),AX$15),1,0),IF($D50="Q",IF(AX$14=MIN(2,AX$15),0.5,0)+IF(AX$14=AX$15,0.5,0),IF($D50="U",IF(AX$14=AX$15,1,0),1/AX$15)))</f>
        <v>0</v>
      </c>
      <c r="AY50" s="498" t="n">
        <f aca="false">INDEX(FC_FLUJO_CAJA!$D$99:$BK$99,1,AY$13)*IF(IFERROR(VALUE($D50&amp;""),0)&gt;0,IF(AY$14=MIN(VALUE($D50&amp;""),AY$15),1,0),IF($D50="Q",IF(AY$14=MIN(2,AY$15),0.5,0)+IF(AY$14=AY$15,0.5,0),IF($D50="U",IF(AY$14=AY$15,1,0),1/AY$15)))</f>
        <v>0</v>
      </c>
      <c r="AZ50" s="498" t="n">
        <f aca="false">INDEX(FC_FLUJO_CAJA!$D$99:$BK$99,1,AZ$13)*IF(IFERROR(VALUE($D50&amp;""),0)&gt;0,IF(AZ$14=MIN(VALUE($D50&amp;""),AZ$15),1,0),IF($D50="Q",IF(AZ$14=MIN(2,AZ$15),0.5,0)+IF(AZ$14=AZ$15,0.5,0),IF($D50="U",IF(AZ$14=AZ$15,1,0),1/AZ$15)))</f>
        <v>0</v>
      </c>
      <c r="BA50" s="498" t="n">
        <f aca="false">INDEX(FC_FLUJO_CAJA!$D$99:$BK$99,1,BA$13)*IF(IFERROR(VALUE($D50&amp;""),0)&gt;0,IF(BA$14=MIN(VALUE($D50&amp;""),BA$15),1,0),IF($D50="Q",IF(BA$14=MIN(2,BA$15),0.5,0)+IF(BA$14=BA$15,0.5,0),IF($D50="U",IF(BA$14=BA$15,1,0),1/BA$15)))</f>
        <v>0</v>
      </c>
      <c r="BB50" s="498" t="n">
        <f aca="false">INDEX(FC_FLUJO_CAJA!$D$99:$BK$99,1,BB$13)*IF(IFERROR(VALUE($D50&amp;""),0)&gt;0,IF(BB$14=MIN(VALUE($D50&amp;""),BB$15),1,0),IF($D50="Q",IF(BB$14=MIN(2,BB$15),0.5,0)+IF(BB$14=BB$15,0.5,0),IF($D50="U",IF(BB$14=BB$15,1,0),1/BB$15)))</f>
        <v>0</v>
      </c>
      <c r="BC50" s="498" t="n">
        <f aca="false">INDEX(FC_FLUJO_CAJA!$D$99:$BK$99,1,BC$13)*IF(IFERROR(VALUE($D50&amp;""),0)&gt;0,IF(BC$14=MIN(VALUE($D50&amp;""),BC$15),1,0),IF($D50="Q",IF(BC$14=MIN(2,BC$15),0.5,0)+IF(BC$14=BC$15,0.5,0),IF($D50="U",IF(BC$14=BC$15,1,0),1/BC$15)))</f>
        <v>0</v>
      </c>
      <c r="BD50" s="498" t="n">
        <f aca="false">INDEX(FC_FLUJO_CAJA!$D$99:$BK$99,1,BD$13)*IF(IFERROR(VALUE($D50&amp;""),0)&gt;0,IF(BD$14=MIN(VALUE($D50&amp;""),BD$15),1,0),IF($D50="Q",IF(BD$14=MIN(2,BD$15),0.5,0)+IF(BD$14=BD$15,0.5,0),IF($D50="U",IF(BD$14=BD$15,1,0),1/BD$15)))</f>
        <v>0</v>
      </c>
      <c r="BE50" s="498" t="n">
        <f aca="false">INDEX(FC_FLUJO_CAJA!$D$99:$BK$99,1,BE$13)*IF(IFERROR(VALUE($D50&amp;""),0)&gt;0,IF(BE$14=MIN(VALUE($D50&amp;""),BE$15),1,0),IF($D50="Q",IF(BE$14=MIN(2,BE$15),0.5,0)+IF(BE$14=BE$15,0.5,0),IF($D50="U",IF(BE$14=BE$15,1,0),1/BE$15)))</f>
        <v>0</v>
      </c>
    </row>
    <row r="51" customFormat="false" ht="15" hidden="false" customHeight="true" outlineLevel="0" collapsed="false">
      <c r="A51" s="400" t="s">
        <v>3158</v>
      </c>
      <c r="B51" s="283" t="s">
        <v>3159</v>
      </c>
      <c r="C51" s="531" t="s">
        <v>3157</v>
      </c>
      <c r="D51" s="289" t="n">
        <f aca="false">FC_SUPUESTOS!$C$161</f>
        <v>2</v>
      </c>
      <c r="E51" s="532" t="n">
        <f aca="false">SUM(F51:BE51)</f>
        <v>98450</v>
      </c>
      <c r="F51" s="498" t="n">
        <f aca="false">INDEX(FC_FLUJO_CAJA!$D$100:$BK$100,1,F$13)*IF(IFERROR(VALUE($D51&amp;""),0)&gt;0,IF(F$14=MIN(VALUE($D51&amp;""),F$15),1,0),IF($D51="Q",IF(F$14=MIN(2,F$15),0.5,0)+IF(F$14=F$15,0.5,0),IF($D51="U",IF(F$14=F$15,1,0),1/F$15)))</f>
        <v>0</v>
      </c>
      <c r="G51" s="498" t="n">
        <f aca="false">INDEX(FC_FLUJO_CAJA!$D$100:$BK$100,1,G$13)*IF(IFERROR(VALUE($D51&amp;""),0)&gt;0,IF(G$14=MIN(VALUE($D51&amp;""),G$15),1,0),IF($D51="Q",IF(G$14=MIN(2,G$15),0.5,0)+IF(G$14=G$15,0.5,0),IF($D51="U",IF(G$14=G$15,1,0),1/G$15)))</f>
        <v>0</v>
      </c>
      <c r="H51" s="498" t="n">
        <f aca="false">INDEX(FC_FLUJO_CAJA!$D$100:$BK$100,1,H$13)*IF(IFERROR(VALUE($D51&amp;""),0)&gt;0,IF(H$14=MIN(VALUE($D51&amp;""),H$15),1,0),IF($D51="Q",IF(H$14=MIN(2,H$15),0.5,0)+IF(H$14=H$15,0.5,0),IF($D51="U",IF(H$14=H$15,1,0),1/H$15)))</f>
        <v>0</v>
      </c>
      <c r="I51" s="498" t="n">
        <f aca="false">INDEX(FC_FLUJO_CAJA!$D$100:$BK$100,1,I$13)*IF(IFERROR(VALUE($D51&amp;""),0)&gt;0,IF(I$14=MIN(VALUE($D51&amp;""),I$15),1,0),IF($D51="Q",IF(I$14=MIN(2,I$15),0.5,0)+IF(I$14=I$15,0.5,0),IF($D51="U",IF(I$14=I$15,1,0),1/I$15)))</f>
        <v>0</v>
      </c>
      <c r="J51" s="498" t="n">
        <f aca="false">INDEX(FC_FLUJO_CAJA!$D$100:$BK$100,1,J$13)*IF(IFERROR(VALUE($D51&amp;""),0)&gt;0,IF(J$14=MIN(VALUE($D51&amp;""),J$15),1,0),IF($D51="Q",IF(J$14=MIN(2,J$15),0.5,0)+IF(J$14=J$15,0.5,0),IF($D51="U",IF(J$14=J$15,1,0),1/J$15)))</f>
        <v>0</v>
      </c>
      <c r="K51" s="498" t="n">
        <f aca="false">INDEX(FC_FLUJO_CAJA!$D$100:$BK$100,1,K$13)*IF(IFERROR(VALUE($D51&amp;""),0)&gt;0,IF(K$14=MIN(VALUE($D51&amp;""),K$15),1,0),IF($D51="Q",IF(K$14=MIN(2,K$15),0.5,0)+IF(K$14=K$15,0.5,0),IF($D51="U",IF(K$14=K$15,1,0),1/K$15)))</f>
        <v>0</v>
      </c>
      <c r="L51" s="498" t="n">
        <f aca="false">INDEX(FC_FLUJO_CAJA!$D$100:$BK$100,1,L$13)*IF(IFERROR(VALUE($D51&amp;""),0)&gt;0,IF(L$14=MIN(VALUE($D51&amp;""),L$15),1,0),IF($D51="Q",IF(L$14=MIN(2,L$15),0.5,0)+IF(L$14=L$15,0.5,0),IF($D51="U",IF(L$14=L$15,1,0),1/L$15)))</f>
        <v>0</v>
      </c>
      <c r="M51" s="498" t="n">
        <f aca="false">INDEX(FC_FLUJO_CAJA!$D$100:$BK$100,1,M$13)*IF(IFERROR(VALUE($D51&amp;""),0)&gt;0,IF(M$14=MIN(VALUE($D51&amp;""),M$15),1,0),IF($D51="Q",IF(M$14=MIN(2,M$15),0.5,0)+IF(M$14=M$15,0.5,0),IF($D51="U",IF(M$14=M$15,1,0),1/M$15)))</f>
        <v>0</v>
      </c>
      <c r="N51" s="498" t="n">
        <f aca="false">INDEX(FC_FLUJO_CAJA!$D$100:$BK$100,1,N$13)*IF(IFERROR(VALUE($D51&amp;""),0)&gt;0,IF(N$14=MIN(VALUE($D51&amp;""),N$15),1,0),IF($D51="Q",IF(N$14=MIN(2,N$15),0.5,0)+IF(N$14=N$15,0.5,0),IF($D51="U",IF(N$14=N$15,1,0),1/N$15)))</f>
        <v>0</v>
      </c>
      <c r="O51" s="498" t="n">
        <f aca="false">INDEX(FC_FLUJO_CAJA!$D$100:$BK$100,1,O$13)*IF(IFERROR(VALUE($D51&amp;""),0)&gt;0,IF(O$14=MIN(VALUE($D51&amp;""),O$15),1,0),IF($D51="Q",IF(O$14=MIN(2,O$15),0.5,0)+IF(O$14=O$15,0.5,0),IF($D51="U",IF(O$14=O$15,1,0),1/O$15)))</f>
        <v>0</v>
      </c>
      <c r="P51" s="498" t="n">
        <f aca="false">INDEX(FC_FLUJO_CAJA!$D$100:$BK$100,1,P$13)*IF(IFERROR(VALUE($D51&amp;""),0)&gt;0,IF(P$14=MIN(VALUE($D51&amp;""),P$15),1,0),IF($D51="Q",IF(P$14=MIN(2,P$15),0.5,0)+IF(P$14=P$15,0.5,0),IF($D51="U",IF(P$14=P$15,1,0),1/P$15)))</f>
        <v>0</v>
      </c>
      <c r="Q51" s="498" t="n">
        <f aca="false">INDEX(FC_FLUJO_CAJA!$D$100:$BK$100,1,Q$13)*IF(IFERROR(VALUE($D51&amp;""),0)&gt;0,IF(Q$14=MIN(VALUE($D51&amp;""),Q$15),1,0),IF($D51="Q",IF(Q$14=MIN(2,Q$15),0.5,0)+IF(Q$14=Q$15,0.5,0),IF($D51="U",IF(Q$14=Q$15,1,0),1/Q$15)))</f>
        <v>0</v>
      </c>
      <c r="R51" s="498" t="n">
        <f aca="false">INDEX(FC_FLUJO_CAJA!$D$100:$BK$100,1,R$13)*IF(IFERROR(VALUE($D51&amp;""),0)&gt;0,IF(R$14=MIN(VALUE($D51&amp;""),R$15),1,0),IF($D51="Q",IF(R$14=MIN(2,R$15),0.5,0)+IF(R$14=R$15,0.5,0),IF($D51="U",IF(R$14=R$15,1,0),1/R$15)))</f>
        <v>0</v>
      </c>
      <c r="S51" s="498" t="n">
        <f aca="false">INDEX(FC_FLUJO_CAJA!$D$100:$BK$100,1,S$13)*IF(IFERROR(VALUE($D51&amp;""),0)&gt;0,IF(S$14=MIN(VALUE($D51&amp;""),S$15),1,0),IF($D51="Q",IF(S$14=MIN(2,S$15),0.5,0)+IF(S$14=S$15,0.5,0),IF($D51="U",IF(S$14=S$15,1,0),1/S$15)))</f>
        <v>0</v>
      </c>
      <c r="T51" s="498" t="n">
        <f aca="false">INDEX(FC_FLUJO_CAJA!$D$100:$BK$100,1,T$13)*IF(IFERROR(VALUE($D51&amp;""),0)&gt;0,IF(T$14=MIN(VALUE($D51&amp;""),T$15),1,0),IF($D51="Q",IF(T$14=MIN(2,T$15),0.5,0)+IF(T$14=T$15,0.5,0),IF($D51="U",IF(T$14=T$15,1,0),1/T$15)))</f>
        <v>0</v>
      </c>
      <c r="U51" s="498" t="n">
        <f aca="false">INDEX(FC_FLUJO_CAJA!$D$100:$BK$100,1,U$13)*IF(IFERROR(VALUE($D51&amp;""),0)&gt;0,IF(U$14=MIN(VALUE($D51&amp;""),U$15),1,0),IF($D51="Q",IF(U$14=MIN(2,U$15),0.5,0)+IF(U$14=U$15,0.5,0),IF($D51="U",IF(U$14=U$15,1,0),1/U$15)))</f>
        <v>0</v>
      </c>
      <c r="V51" s="498" t="n">
        <f aca="false">INDEX(FC_FLUJO_CAJA!$D$100:$BK$100,1,V$13)*IF(IFERROR(VALUE($D51&amp;""),0)&gt;0,IF(V$14=MIN(VALUE($D51&amp;""),V$15),1,0),IF($D51="Q",IF(V$14=MIN(2,V$15),0.5,0)+IF(V$14=V$15,0.5,0),IF($D51="U",IF(V$14=V$15,1,0),1/V$15)))</f>
        <v>0</v>
      </c>
      <c r="W51" s="498" t="n">
        <f aca="false">INDEX(FC_FLUJO_CAJA!$D$100:$BK$100,1,W$13)*IF(IFERROR(VALUE($D51&amp;""),0)&gt;0,IF(W$14=MIN(VALUE($D51&amp;""),W$15),1,0),IF($D51="Q",IF(W$14=MIN(2,W$15),0.5,0)+IF(W$14=W$15,0.5,0),IF($D51="U",IF(W$14=W$15,1,0),1/W$15)))</f>
        <v>0</v>
      </c>
      <c r="X51" s="498" t="n">
        <f aca="false">INDEX(FC_FLUJO_CAJA!$D$100:$BK$100,1,X$13)*IF(IFERROR(VALUE($D51&amp;""),0)&gt;0,IF(X$14=MIN(VALUE($D51&amp;""),X$15),1,0),IF($D51="Q",IF(X$14=MIN(2,X$15),0.5,0)+IF(X$14=X$15,0.5,0),IF($D51="U",IF(X$14=X$15,1,0),1/X$15)))</f>
        <v>0</v>
      </c>
      <c r="Y51" s="498" t="n">
        <f aca="false">INDEX(FC_FLUJO_CAJA!$D$100:$BK$100,1,Y$13)*IF(IFERROR(VALUE($D51&amp;""),0)&gt;0,IF(Y$14=MIN(VALUE($D51&amp;""),Y$15),1,0),IF($D51="Q",IF(Y$14=MIN(2,Y$15),0.5,0)+IF(Y$14=Y$15,0.5,0),IF($D51="U",IF(Y$14=Y$15,1,0),1/Y$15)))</f>
        <v>0</v>
      </c>
      <c r="Z51" s="498" t="n">
        <f aca="false">INDEX(FC_FLUJO_CAJA!$D$100:$BK$100,1,Z$13)*IF(IFERROR(VALUE($D51&amp;""),0)&gt;0,IF(Z$14=MIN(VALUE($D51&amp;""),Z$15),1,0),IF($D51="Q",IF(Z$14=MIN(2,Z$15),0.5,0)+IF(Z$14=Z$15,0.5,0),IF($D51="U",IF(Z$14=Z$15,1,0),1/Z$15)))</f>
        <v>0</v>
      </c>
      <c r="AA51" s="498" t="n">
        <f aca="false">INDEX(FC_FLUJO_CAJA!$D$100:$BK$100,1,AA$13)*IF(IFERROR(VALUE($D51&amp;""),0)&gt;0,IF(AA$14=MIN(VALUE($D51&amp;""),AA$15),1,0),IF($D51="Q",IF(AA$14=MIN(2,AA$15),0.5,0)+IF(AA$14=AA$15,0.5,0),IF($D51="U",IF(AA$14=AA$15,1,0),1/AA$15)))</f>
        <v>0</v>
      </c>
      <c r="AB51" s="498" t="n">
        <f aca="false">INDEX(FC_FLUJO_CAJA!$D$100:$BK$100,1,AB$13)*IF(IFERROR(VALUE($D51&amp;""),0)&gt;0,IF(AB$14=MIN(VALUE($D51&amp;""),AB$15),1,0),IF($D51="Q",IF(AB$14=MIN(2,AB$15),0.5,0)+IF(AB$14=AB$15,0.5,0),IF($D51="U",IF(AB$14=AB$15,1,0),1/AB$15)))</f>
        <v>0</v>
      </c>
      <c r="AC51" s="498" t="n">
        <f aca="false">INDEX(FC_FLUJO_CAJA!$D$100:$BK$100,1,AC$13)*IF(IFERROR(VALUE($D51&amp;""),0)&gt;0,IF(AC$14=MIN(VALUE($D51&amp;""),AC$15),1,0),IF($D51="Q",IF(AC$14=MIN(2,AC$15),0.5,0)+IF(AC$14=AC$15,0.5,0),IF($D51="U",IF(AC$14=AC$15,1,0),1/AC$15)))</f>
        <v>0</v>
      </c>
      <c r="AD51" s="498" t="n">
        <f aca="false">INDEX(FC_FLUJO_CAJA!$D$100:$BK$100,1,AD$13)*IF(IFERROR(VALUE($D51&amp;""),0)&gt;0,IF(AD$14=MIN(VALUE($D51&amp;""),AD$15),1,0),IF($D51="Q",IF(AD$14=MIN(2,AD$15),0.5,0)+IF(AD$14=AD$15,0.5,0),IF($D51="U",IF(AD$14=AD$15,1,0),1/AD$15)))</f>
        <v>0</v>
      </c>
      <c r="AE51" s="498" t="n">
        <f aca="false">INDEX(FC_FLUJO_CAJA!$D$100:$BK$100,1,AE$13)*IF(IFERROR(VALUE($D51&amp;""),0)&gt;0,IF(AE$14=MIN(VALUE($D51&amp;""),AE$15),1,0),IF($D51="Q",IF(AE$14=MIN(2,AE$15),0.5,0)+IF(AE$14=AE$15,0.5,0),IF($D51="U",IF(AE$14=AE$15,1,0),1/AE$15)))</f>
        <v>0</v>
      </c>
      <c r="AF51" s="498" t="n">
        <f aca="false">INDEX(FC_FLUJO_CAJA!$D$100:$BK$100,1,AF$13)*IF(IFERROR(VALUE($D51&amp;""),0)&gt;0,IF(AF$14=MIN(VALUE($D51&amp;""),AF$15),1,0),IF($D51="Q",IF(AF$14=MIN(2,AF$15),0.5,0)+IF(AF$14=AF$15,0.5,0),IF($D51="U",IF(AF$14=AF$15,1,0),1/AF$15)))</f>
        <v>0</v>
      </c>
      <c r="AG51" s="498" t="n">
        <f aca="false">INDEX(FC_FLUJO_CAJA!$D$100:$BK$100,1,AG$13)*IF(IFERROR(VALUE($D51&amp;""),0)&gt;0,IF(AG$14=MIN(VALUE($D51&amp;""),AG$15),1,0),IF($D51="Q",IF(AG$14=MIN(2,AG$15),0.5,0)+IF(AG$14=AG$15,0.5,0),IF($D51="U",IF(AG$14=AG$15,1,0),1/AG$15)))</f>
        <v>0</v>
      </c>
      <c r="AH51" s="498" t="n">
        <f aca="false">INDEX(FC_FLUJO_CAJA!$D$100:$BK$100,1,AH$13)*IF(IFERROR(VALUE($D51&amp;""),0)&gt;0,IF(AH$14=MIN(VALUE($D51&amp;""),AH$15),1,0),IF($D51="Q",IF(AH$14=MIN(2,AH$15),0.5,0)+IF(AH$14=AH$15,0.5,0),IF($D51="U",IF(AH$14=AH$15,1,0),1/AH$15)))</f>
        <v>0</v>
      </c>
      <c r="AI51" s="498" t="n">
        <f aca="false">INDEX(FC_FLUJO_CAJA!$D$100:$BK$100,1,AI$13)*IF(IFERROR(VALUE($D51&amp;""),0)&gt;0,IF(AI$14=MIN(VALUE($D51&amp;""),AI$15),1,0),IF($D51="Q",IF(AI$14=MIN(2,AI$15),0.5,0)+IF(AI$14=AI$15,0.5,0),IF($D51="U",IF(AI$14=AI$15,1,0),1/AI$15)))</f>
        <v>0</v>
      </c>
      <c r="AJ51" s="498" t="n">
        <f aca="false">INDEX(FC_FLUJO_CAJA!$D$100:$BK$100,1,AJ$13)*IF(IFERROR(VALUE($D51&amp;""),0)&gt;0,IF(AJ$14=MIN(VALUE($D51&amp;""),AJ$15),1,0),IF($D51="Q",IF(AJ$14=MIN(2,AJ$15),0.5,0)+IF(AJ$14=AJ$15,0.5,0),IF($D51="U",IF(AJ$14=AJ$15,1,0),1/AJ$15)))</f>
        <v>0</v>
      </c>
      <c r="AK51" s="498" t="n">
        <f aca="false">INDEX(FC_FLUJO_CAJA!$D$100:$BK$100,1,AK$13)*IF(IFERROR(VALUE($D51&amp;""),0)&gt;0,IF(AK$14=MIN(VALUE($D51&amp;""),AK$15),1,0),IF($D51="Q",IF(AK$14=MIN(2,AK$15),0.5,0)+IF(AK$14=AK$15,0.5,0),IF($D51="U",IF(AK$14=AK$15,1,0),1/AK$15)))</f>
        <v>17800</v>
      </c>
      <c r="AL51" s="498" t="n">
        <f aca="false">INDEX(FC_FLUJO_CAJA!$D$100:$BK$100,1,AL$13)*IF(IFERROR(VALUE($D51&amp;""),0)&gt;0,IF(AL$14=MIN(VALUE($D51&amp;""),AL$15),1,0),IF($D51="Q",IF(AL$14=MIN(2,AL$15),0.5,0)+IF(AL$14=AL$15,0.5,0),IF($D51="U",IF(AL$14=AL$15,1,0),1/AL$15)))</f>
        <v>0</v>
      </c>
      <c r="AM51" s="498" t="n">
        <f aca="false">INDEX(FC_FLUJO_CAJA!$D$100:$BK$100,1,AM$13)*IF(IFERROR(VALUE($D51&amp;""),0)&gt;0,IF(AM$14=MIN(VALUE($D51&amp;""),AM$15),1,0),IF($D51="Q",IF(AM$14=MIN(2,AM$15),0.5,0)+IF(AM$14=AM$15,0.5,0),IF($D51="U",IF(AM$14=AM$15,1,0),1/AM$15)))</f>
        <v>0</v>
      </c>
      <c r="AN51" s="498" t="n">
        <f aca="false">INDEX(FC_FLUJO_CAJA!$D$100:$BK$100,1,AN$13)*IF(IFERROR(VALUE($D51&amp;""),0)&gt;0,IF(AN$14=MIN(VALUE($D51&amp;""),AN$15),1,0),IF($D51="Q",IF(AN$14=MIN(2,AN$15),0.5,0)+IF(AN$14=AN$15,0.5,0),IF($D51="U",IF(AN$14=AN$15,1,0),1/AN$15)))</f>
        <v>0</v>
      </c>
      <c r="AO51" s="498" t="n">
        <f aca="false">INDEX(FC_FLUJO_CAJA!$D$100:$BK$100,1,AO$13)*IF(IFERROR(VALUE($D51&amp;""),0)&gt;0,IF(AO$14=MIN(VALUE($D51&amp;""),AO$15),1,0),IF($D51="Q",IF(AO$14=MIN(2,AO$15),0.5,0)+IF(AO$14=AO$15,0.5,0),IF($D51="U",IF(AO$14=AO$15,1,0),1/AO$15)))</f>
        <v>0</v>
      </c>
      <c r="AP51" s="498" t="n">
        <f aca="false">INDEX(FC_FLUJO_CAJA!$D$100:$BK$100,1,AP$13)*IF(IFERROR(VALUE($D51&amp;""),0)&gt;0,IF(AP$14=MIN(VALUE($D51&amp;""),AP$15),1,0),IF($D51="Q",IF(AP$14=MIN(2,AP$15),0.5,0)+IF(AP$14=AP$15,0.5,0),IF($D51="U",IF(AP$14=AP$15,1,0),1/AP$15)))</f>
        <v>17800</v>
      </c>
      <c r="AQ51" s="498" t="n">
        <f aca="false">INDEX(FC_FLUJO_CAJA!$D$100:$BK$100,1,AQ$13)*IF(IFERROR(VALUE($D51&amp;""),0)&gt;0,IF(AQ$14=MIN(VALUE($D51&amp;""),AQ$15),1,0),IF($D51="Q",IF(AQ$14=MIN(2,AQ$15),0.5,0)+IF(AQ$14=AQ$15,0.5,0),IF($D51="U",IF(AQ$14=AQ$15,1,0),1/AQ$15)))</f>
        <v>0</v>
      </c>
      <c r="AR51" s="498" t="n">
        <f aca="false">INDEX(FC_FLUJO_CAJA!$D$100:$BK$100,1,AR$13)*IF(IFERROR(VALUE($D51&amp;""),0)&gt;0,IF(AR$14=MIN(VALUE($D51&amp;""),AR$15),1,0),IF($D51="Q",IF(AR$14=MIN(2,AR$15),0.5,0)+IF(AR$14=AR$15,0.5,0),IF($D51="U",IF(AR$14=AR$15,1,0),1/AR$15)))</f>
        <v>0</v>
      </c>
      <c r="AS51" s="498" t="n">
        <f aca="false">INDEX(FC_FLUJO_CAJA!$D$100:$BK$100,1,AS$13)*IF(IFERROR(VALUE($D51&amp;""),0)&gt;0,IF(AS$14=MIN(VALUE($D51&amp;""),AS$15),1,0),IF($D51="Q",IF(AS$14=MIN(2,AS$15),0.5,0)+IF(AS$14=AS$15,0.5,0),IF($D51="U",IF(AS$14=AS$15,1,0),1/AS$15)))</f>
        <v>0</v>
      </c>
      <c r="AT51" s="498" t="n">
        <f aca="false">INDEX(FC_FLUJO_CAJA!$D$100:$BK$100,1,AT$13)*IF(IFERROR(VALUE($D51&amp;""),0)&gt;0,IF(AT$14=MIN(VALUE($D51&amp;""),AT$15),1,0),IF($D51="Q",IF(AT$14=MIN(2,AT$15),0.5,0)+IF(AT$14=AT$15,0.5,0),IF($D51="U",IF(AT$14=AT$15,1,0),1/AT$15)))</f>
        <v>17800</v>
      </c>
      <c r="AU51" s="498" t="n">
        <f aca="false">INDEX(FC_FLUJO_CAJA!$D$100:$BK$100,1,AU$13)*IF(IFERROR(VALUE($D51&amp;""),0)&gt;0,IF(AU$14=MIN(VALUE($D51&amp;""),AU$15),1,0),IF($D51="Q",IF(AU$14=MIN(2,AU$15),0.5,0)+IF(AU$14=AU$15,0.5,0),IF($D51="U",IF(AU$14=AU$15,1,0),1/AU$15)))</f>
        <v>0</v>
      </c>
      <c r="AV51" s="498" t="n">
        <f aca="false">INDEX(FC_FLUJO_CAJA!$D$100:$BK$100,1,AV$13)*IF(IFERROR(VALUE($D51&amp;""),0)&gt;0,IF(AV$14=MIN(VALUE($D51&amp;""),AV$15),1,0),IF($D51="Q",IF(AV$14=MIN(2,AV$15),0.5,0)+IF(AV$14=AV$15,0.5,0),IF($D51="U",IF(AV$14=AV$15,1,0),1/AV$15)))</f>
        <v>0</v>
      </c>
      <c r="AW51" s="498" t="n">
        <f aca="false">INDEX(FC_FLUJO_CAJA!$D$100:$BK$100,1,AW$13)*IF(IFERROR(VALUE($D51&amp;""),0)&gt;0,IF(AW$14=MIN(VALUE($D51&amp;""),AW$15),1,0),IF($D51="Q",IF(AW$14=MIN(2,AW$15),0.5,0)+IF(AW$14=AW$15,0.5,0),IF($D51="U",IF(AW$14=AW$15,1,0),1/AW$15)))</f>
        <v>0</v>
      </c>
      <c r="AX51" s="498" t="n">
        <f aca="false">INDEX(FC_FLUJO_CAJA!$D$100:$BK$100,1,AX$13)*IF(IFERROR(VALUE($D51&amp;""),0)&gt;0,IF(AX$14=MIN(VALUE($D51&amp;""),AX$15),1,0),IF($D51="Q",IF(AX$14=MIN(2,AX$15),0.5,0)+IF(AX$14=AX$15,0.5,0),IF($D51="U",IF(AX$14=AX$15,1,0),1/AX$15)))</f>
        <v>20950</v>
      </c>
      <c r="AY51" s="498" t="n">
        <f aca="false">INDEX(FC_FLUJO_CAJA!$D$100:$BK$100,1,AY$13)*IF(IFERROR(VALUE($D51&amp;""),0)&gt;0,IF(AY$14=MIN(VALUE($D51&amp;""),AY$15),1,0),IF($D51="Q",IF(AY$14=MIN(2,AY$15),0.5,0)+IF(AY$14=AY$15,0.5,0),IF($D51="U",IF(AY$14=AY$15,1,0),1/AY$15)))</f>
        <v>0</v>
      </c>
      <c r="AZ51" s="498" t="n">
        <f aca="false">INDEX(FC_FLUJO_CAJA!$D$100:$BK$100,1,AZ$13)*IF(IFERROR(VALUE($D51&amp;""),0)&gt;0,IF(AZ$14=MIN(VALUE($D51&amp;""),AZ$15),1,0),IF($D51="Q",IF(AZ$14=MIN(2,AZ$15),0.5,0)+IF(AZ$14=AZ$15,0.5,0),IF($D51="U",IF(AZ$14=AZ$15,1,0),1/AZ$15)))</f>
        <v>0</v>
      </c>
      <c r="BA51" s="498" t="n">
        <f aca="false">INDEX(FC_FLUJO_CAJA!$D$100:$BK$100,1,BA$13)*IF(IFERROR(VALUE($D51&amp;""),0)&gt;0,IF(BA$14=MIN(VALUE($D51&amp;""),BA$15),1,0),IF($D51="Q",IF(BA$14=MIN(2,BA$15),0.5,0)+IF(BA$14=BA$15,0.5,0),IF($D51="U",IF(BA$14=BA$15,1,0),1/BA$15)))</f>
        <v>0</v>
      </c>
      <c r="BB51" s="498" t="n">
        <f aca="false">INDEX(FC_FLUJO_CAJA!$D$100:$BK$100,1,BB$13)*IF(IFERROR(VALUE($D51&amp;""),0)&gt;0,IF(BB$14=MIN(VALUE($D51&amp;""),BB$15),1,0),IF($D51="Q",IF(BB$14=MIN(2,BB$15),0.5,0)+IF(BB$14=BB$15,0.5,0),IF($D51="U",IF(BB$14=BB$15,1,0),1/BB$15)))</f>
        <v>0</v>
      </c>
      <c r="BC51" s="498" t="n">
        <f aca="false">INDEX(FC_FLUJO_CAJA!$D$100:$BK$100,1,BC$13)*IF(IFERROR(VALUE($D51&amp;""),0)&gt;0,IF(BC$14=MIN(VALUE($D51&amp;""),BC$15),1,0),IF($D51="Q",IF(BC$14=MIN(2,BC$15),0.5,0)+IF(BC$14=BC$15,0.5,0),IF($D51="U",IF(BC$14=BC$15,1,0),1/BC$15)))</f>
        <v>24100</v>
      </c>
      <c r="BD51" s="498" t="n">
        <f aca="false">INDEX(FC_FLUJO_CAJA!$D$100:$BK$100,1,BD$13)*IF(IFERROR(VALUE($D51&amp;""),0)&gt;0,IF(BD$14=MIN(VALUE($D51&amp;""),BD$15),1,0),IF($D51="Q",IF(BD$14=MIN(2,BD$15),0.5,0)+IF(BD$14=BD$15,0.5,0),IF($D51="U",IF(BD$14=BD$15,1,0),1/BD$15)))</f>
        <v>0</v>
      </c>
      <c r="BE51" s="498" t="n">
        <f aca="false">INDEX(FC_FLUJO_CAJA!$D$100:$BK$100,1,BE$13)*IF(IFERROR(VALUE($D51&amp;""),0)&gt;0,IF(BE$14=MIN(VALUE($D51&amp;""),BE$15),1,0),IF($D51="Q",IF(BE$14=MIN(2,BE$15),0.5,0)+IF(BE$14=BE$15,0.5,0),IF($D51="U",IF(BE$14=BE$15,1,0),1/BE$15)))</f>
        <v>0</v>
      </c>
    </row>
    <row r="52" customFormat="false" ht="15" hidden="false" customHeight="true" outlineLevel="0" collapsed="false">
      <c r="A52" s="400" t="s">
        <v>3160</v>
      </c>
      <c r="B52" s="283" t="s">
        <v>3161</v>
      </c>
      <c r="C52" s="531" t="s">
        <v>3162</v>
      </c>
      <c r="D52" s="289" t="n">
        <f aca="false">FC_SUPUESTOS!$C$151</f>
        <v>3</v>
      </c>
      <c r="E52" s="532" t="n">
        <f aca="false">SUM(F52:BE52)</f>
        <v>57300</v>
      </c>
      <c r="F52" s="498" t="n">
        <f aca="false">INDEX(FC_FLUJO_CAJA!$D$101:$BK$101,1,F$13)*IF(IFERROR(VALUE($D52&amp;""),0)&gt;0,IF(F$14=MIN(VALUE($D52&amp;""),F$15),1,0),IF($D52="Q",IF(F$14=MIN(2,F$15),0.5,0)+IF(F$14=F$15,0.5,0),IF($D52="U",IF(F$14=F$15,1,0),1/F$15)))</f>
        <v>0</v>
      </c>
      <c r="G52" s="498" t="n">
        <f aca="false">INDEX(FC_FLUJO_CAJA!$D$101:$BK$101,1,G$13)*IF(IFERROR(VALUE($D52&amp;""),0)&gt;0,IF(G$14=MIN(VALUE($D52&amp;""),G$15),1,0),IF($D52="Q",IF(G$14=MIN(2,G$15),0.5,0)+IF(G$14=G$15,0.5,0),IF($D52="U",IF(G$14=G$15,1,0),1/G$15)))</f>
        <v>0</v>
      </c>
      <c r="H52" s="498" t="n">
        <f aca="false">INDEX(FC_FLUJO_CAJA!$D$101:$BK$101,1,H$13)*IF(IFERROR(VALUE($D52&amp;""),0)&gt;0,IF(H$14=MIN(VALUE($D52&amp;""),H$15),1,0),IF($D52="Q",IF(H$14=MIN(2,H$15),0.5,0)+IF(H$14=H$15,0.5,0),IF($D52="U",IF(H$14=H$15,1,0),1/H$15)))</f>
        <v>0</v>
      </c>
      <c r="I52" s="498" t="n">
        <f aca="false">INDEX(FC_FLUJO_CAJA!$D$101:$BK$101,1,I$13)*IF(IFERROR(VALUE($D52&amp;""),0)&gt;0,IF(I$14=MIN(VALUE($D52&amp;""),I$15),1,0),IF($D52="Q",IF(I$14=MIN(2,I$15),0.5,0)+IF(I$14=I$15,0.5,0),IF($D52="U",IF(I$14=I$15,1,0),1/I$15)))</f>
        <v>0</v>
      </c>
      <c r="J52" s="498" t="n">
        <f aca="false">INDEX(FC_FLUJO_CAJA!$D$101:$BK$101,1,J$13)*IF(IFERROR(VALUE($D52&amp;""),0)&gt;0,IF(J$14=MIN(VALUE($D52&amp;""),J$15),1,0),IF($D52="Q",IF(J$14=MIN(2,J$15),0.5,0)+IF(J$14=J$15,0.5,0),IF($D52="U",IF(J$14=J$15,1,0),1/J$15)))</f>
        <v>0</v>
      </c>
      <c r="K52" s="498" t="n">
        <f aca="false">INDEX(FC_FLUJO_CAJA!$D$101:$BK$101,1,K$13)*IF(IFERROR(VALUE($D52&amp;""),0)&gt;0,IF(K$14=MIN(VALUE($D52&amp;""),K$15),1,0),IF($D52="Q",IF(K$14=MIN(2,K$15),0.5,0)+IF(K$14=K$15,0.5,0),IF($D52="U",IF(K$14=K$15,1,0),1/K$15)))</f>
        <v>0</v>
      </c>
      <c r="L52" s="498" t="n">
        <f aca="false">INDEX(FC_FLUJO_CAJA!$D$101:$BK$101,1,L$13)*IF(IFERROR(VALUE($D52&amp;""),0)&gt;0,IF(L$14=MIN(VALUE($D52&amp;""),L$15),1,0),IF($D52="Q",IF(L$14=MIN(2,L$15),0.5,0)+IF(L$14=L$15,0.5,0),IF($D52="U",IF(L$14=L$15,1,0),1/L$15)))</f>
        <v>0</v>
      </c>
      <c r="M52" s="498" t="n">
        <f aca="false">INDEX(FC_FLUJO_CAJA!$D$101:$BK$101,1,M$13)*IF(IFERROR(VALUE($D52&amp;""),0)&gt;0,IF(M$14=MIN(VALUE($D52&amp;""),M$15),1,0),IF($D52="Q",IF(M$14=MIN(2,M$15),0.5,0)+IF(M$14=M$15,0.5,0),IF($D52="U",IF(M$14=M$15,1,0),1/M$15)))</f>
        <v>0</v>
      </c>
      <c r="N52" s="498" t="n">
        <f aca="false">INDEX(FC_FLUJO_CAJA!$D$101:$BK$101,1,N$13)*IF(IFERROR(VALUE($D52&amp;""),0)&gt;0,IF(N$14=MIN(VALUE($D52&amp;""),N$15),1,0),IF($D52="Q",IF(N$14=MIN(2,N$15),0.5,0)+IF(N$14=N$15,0.5,0),IF($D52="U",IF(N$14=N$15,1,0),1/N$15)))</f>
        <v>0</v>
      </c>
      <c r="O52" s="498" t="n">
        <f aca="false">INDEX(FC_FLUJO_CAJA!$D$101:$BK$101,1,O$13)*IF(IFERROR(VALUE($D52&amp;""),0)&gt;0,IF(O$14=MIN(VALUE($D52&amp;""),O$15),1,0),IF($D52="Q",IF(O$14=MIN(2,O$15),0.5,0)+IF(O$14=O$15,0.5,0),IF($D52="U",IF(O$14=O$15,1,0),1/O$15)))</f>
        <v>0</v>
      </c>
      <c r="P52" s="498" t="n">
        <f aca="false">INDEX(FC_FLUJO_CAJA!$D$101:$BK$101,1,P$13)*IF(IFERROR(VALUE($D52&amp;""),0)&gt;0,IF(P$14=MIN(VALUE($D52&amp;""),P$15),1,0),IF($D52="Q",IF(P$14=MIN(2,P$15),0.5,0)+IF(P$14=P$15,0.5,0),IF($D52="U",IF(P$14=P$15,1,0),1/P$15)))</f>
        <v>0</v>
      </c>
      <c r="Q52" s="498" t="n">
        <f aca="false">INDEX(FC_FLUJO_CAJA!$D$101:$BK$101,1,Q$13)*IF(IFERROR(VALUE($D52&amp;""),0)&gt;0,IF(Q$14=MIN(VALUE($D52&amp;""),Q$15),1,0),IF($D52="Q",IF(Q$14=MIN(2,Q$15),0.5,0)+IF(Q$14=Q$15,0.5,0),IF($D52="U",IF(Q$14=Q$15,1,0),1/Q$15)))</f>
        <v>0</v>
      </c>
      <c r="R52" s="498" t="n">
        <f aca="false">INDEX(FC_FLUJO_CAJA!$D$101:$BK$101,1,R$13)*IF(IFERROR(VALUE($D52&amp;""),0)&gt;0,IF(R$14=MIN(VALUE($D52&amp;""),R$15),1,0),IF($D52="Q",IF(R$14=MIN(2,R$15),0.5,0)+IF(R$14=R$15,0.5,0),IF($D52="U",IF(R$14=R$15,1,0),1/R$15)))</f>
        <v>0</v>
      </c>
      <c r="S52" s="498" t="n">
        <f aca="false">INDEX(FC_FLUJO_CAJA!$D$101:$BK$101,1,S$13)*IF(IFERROR(VALUE($D52&amp;""),0)&gt;0,IF(S$14=MIN(VALUE($D52&amp;""),S$15),1,0),IF($D52="Q",IF(S$14=MIN(2,S$15),0.5,0)+IF(S$14=S$15,0.5,0),IF($D52="U",IF(S$14=S$15,1,0),1/S$15)))</f>
        <v>0</v>
      </c>
      <c r="T52" s="498" t="n">
        <f aca="false">INDEX(FC_FLUJO_CAJA!$D$101:$BK$101,1,T$13)*IF(IFERROR(VALUE($D52&amp;""),0)&gt;0,IF(T$14=MIN(VALUE($D52&amp;""),T$15),1,0),IF($D52="Q",IF(T$14=MIN(2,T$15),0.5,0)+IF(T$14=T$15,0.5,0),IF($D52="U",IF(T$14=T$15,1,0),1/T$15)))</f>
        <v>0</v>
      </c>
      <c r="U52" s="498" t="n">
        <f aca="false">INDEX(FC_FLUJO_CAJA!$D$101:$BK$101,1,U$13)*IF(IFERROR(VALUE($D52&amp;""),0)&gt;0,IF(U$14=MIN(VALUE($D52&amp;""),U$15),1,0),IF($D52="Q",IF(U$14=MIN(2,U$15),0.5,0)+IF(U$14=U$15,0.5,0),IF($D52="U",IF(U$14=U$15,1,0),1/U$15)))</f>
        <v>0</v>
      </c>
      <c r="V52" s="498" t="n">
        <f aca="false">INDEX(FC_FLUJO_CAJA!$D$101:$BK$101,1,V$13)*IF(IFERROR(VALUE($D52&amp;""),0)&gt;0,IF(V$14=MIN(VALUE($D52&amp;""),V$15),1,0),IF($D52="Q",IF(V$14=MIN(2,V$15),0.5,0)+IF(V$14=V$15,0.5,0),IF($D52="U",IF(V$14=V$15,1,0),1/V$15)))</f>
        <v>0</v>
      </c>
      <c r="W52" s="498" t="n">
        <f aca="false">INDEX(FC_FLUJO_CAJA!$D$101:$BK$101,1,W$13)*IF(IFERROR(VALUE($D52&amp;""),0)&gt;0,IF(W$14=MIN(VALUE($D52&amp;""),W$15),1,0),IF($D52="Q",IF(W$14=MIN(2,W$15),0.5,0)+IF(W$14=W$15,0.5,0),IF($D52="U",IF(W$14=W$15,1,0),1/W$15)))</f>
        <v>0</v>
      </c>
      <c r="X52" s="498" t="n">
        <f aca="false">INDEX(FC_FLUJO_CAJA!$D$101:$BK$101,1,X$13)*IF(IFERROR(VALUE($D52&amp;""),0)&gt;0,IF(X$14=MIN(VALUE($D52&amp;""),X$15),1,0),IF($D52="Q",IF(X$14=MIN(2,X$15),0.5,0)+IF(X$14=X$15,0.5,0),IF($D52="U",IF(X$14=X$15,1,0),1/X$15)))</f>
        <v>0</v>
      </c>
      <c r="Y52" s="498" t="n">
        <f aca="false">INDEX(FC_FLUJO_CAJA!$D$101:$BK$101,1,Y$13)*IF(IFERROR(VALUE($D52&amp;""),0)&gt;0,IF(Y$14=MIN(VALUE($D52&amp;""),Y$15),1,0),IF($D52="Q",IF(Y$14=MIN(2,Y$15),0.5,0)+IF(Y$14=Y$15,0.5,0),IF($D52="U",IF(Y$14=Y$15,1,0),1/Y$15)))</f>
        <v>0</v>
      </c>
      <c r="Z52" s="498" t="n">
        <f aca="false">INDEX(FC_FLUJO_CAJA!$D$101:$BK$101,1,Z$13)*IF(IFERROR(VALUE($D52&amp;""),0)&gt;0,IF(Z$14=MIN(VALUE($D52&amp;""),Z$15),1,0),IF($D52="Q",IF(Z$14=MIN(2,Z$15),0.5,0)+IF(Z$14=Z$15,0.5,0),IF($D52="U",IF(Z$14=Z$15,1,0),1/Z$15)))</f>
        <v>0</v>
      </c>
      <c r="AA52" s="498" t="n">
        <f aca="false">INDEX(FC_FLUJO_CAJA!$D$101:$BK$101,1,AA$13)*IF(IFERROR(VALUE($D52&amp;""),0)&gt;0,IF(AA$14=MIN(VALUE($D52&amp;""),AA$15),1,0),IF($D52="Q",IF(AA$14=MIN(2,AA$15),0.5,0)+IF(AA$14=AA$15,0.5,0),IF($D52="U",IF(AA$14=AA$15,1,0),1/AA$15)))</f>
        <v>0</v>
      </c>
      <c r="AB52" s="498" t="n">
        <f aca="false">INDEX(FC_FLUJO_CAJA!$D$101:$BK$101,1,AB$13)*IF(IFERROR(VALUE($D52&amp;""),0)&gt;0,IF(AB$14=MIN(VALUE($D52&amp;""),AB$15),1,0),IF($D52="Q",IF(AB$14=MIN(2,AB$15),0.5,0)+IF(AB$14=AB$15,0.5,0),IF($D52="U",IF(AB$14=AB$15,1,0),1/AB$15)))</f>
        <v>0</v>
      </c>
      <c r="AC52" s="498" t="n">
        <f aca="false">INDEX(FC_FLUJO_CAJA!$D$101:$BK$101,1,AC$13)*IF(IFERROR(VALUE($D52&amp;""),0)&gt;0,IF(AC$14=MIN(VALUE($D52&amp;""),AC$15),1,0),IF($D52="Q",IF(AC$14=MIN(2,AC$15),0.5,0)+IF(AC$14=AC$15,0.5,0),IF($D52="U",IF(AC$14=AC$15,1,0),1/AC$15)))</f>
        <v>0</v>
      </c>
      <c r="AD52" s="498" t="n">
        <f aca="false">INDEX(FC_FLUJO_CAJA!$D$101:$BK$101,1,AD$13)*IF(IFERROR(VALUE($D52&amp;""),0)&gt;0,IF(AD$14=MIN(VALUE($D52&amp;""),AD$15),1,0),IF($D52="Q",IF(AD$14=MIN(2,AD$15),0.5,0)+IF(AD$14=AD$15,0.5,0),IF($D52="U",IF(AD$14=AD$15,1,0),1/AD$15)))</f>
        <v>0</v>
      </c>
      <c r="AE52" s="498" t="n">
        <f aca="false">INDEX(FC_FLUJO_CAJA!$D$101:$BK$101,1,AE$13)*IF(IFERROR(VALUE($D52&amp;""),0)&gt;0,IF(AE$14=MIN(VALUE($D52&amp;""),AE$15),1,0),IF($D52="Q",IF(AE$14=MIN(2,AE$15),0.5,0)+IF(AE$14=AE$15,0.5,0),IF($D52="U",IF(AE$14=AE$15,1,0),1/AE$15)))</f>
        <v>0</v>
      </c>
      <c r="AF52" s="498" t="n">
        <f aca="false">INDEX(FC_FLUJO_CAJA!$D$101:$BK$101,1,AF$13)*IF(IFERROR(VALUE($D52&amp;""),0)&gt;0,IF(AF$14=MIN(VALUE($D52&amp;""),AF$15),1,0),IF($D52="Q",IF(AF$14=MIN(2,AF$15),0.5,0)+IF(AF$14=AF$15,0.5,0),IF($D52="U",IF(AF$14=AF$15,1,0),1/AF$15)))</f>
        <v>0</v>
      </c>
      <c r="AG52" s="498" t="n">
        <f aca="false">INDEX(FC_FLUJO_CAJA!$D$101:$BK$101,1,AG$13)*IF(IFERROR(VALUE($D52&amp;""),0)&gt;0,IF(AG$14=MIN(VALUE($D52&amp;""),AG$15),1,0),IF($D52="Q",IF(AG$14=MIN(2,AG$15),0.5,0)+IF(AG$14=AG$15,0.5,0),IF($D52="U",IF(AG$14=AG$15,1,0),1/AG$15)))</f>
        <v>0</v>
      </c>
      <c r="AH52" s="498" t="n">
        <f aca="false">INDEX(FC_FLUJO_CAJA!$D$101:$BK$101,1,AH$13)*IF(IFERROR(VALUE($D52&amp;""),0)&gt;0,IF(AH$14=MIN(VALUE($D52&amp;""),AH$15),1,0),IF($D52="Q",IF(AH$14=MIN(2,AH$15),0.5,0)+IF(AH$14=AH$15,0.5,0),IF($D52="U",IF(AH$14=AH$15,1,0),1/AH$15)))</f>
        <v>0</v>
      </c>
      <c r="AI52" s="498" t="n">
        <f aca="false">INDEX(FC_FLUJO_CAJA!$D$101:$BK$101,1,AI$13)*IF(IFERROR(VALUE($D52&amp;""),0)&gt;0,IF(AI$14=MIN(VALUE($D52&amp;""),AI$15),1,0),IF($D52="Q",IF(AI$14=MIN(2,AI$15),0.5,0)+IF(AI$14=AI$15,0.5,0),IF($D52="U",IF(AI$14=AI$15,1,0),1/AI$15)))</f>
        <v>0</v>
      </c>
      <c r="AJ52" s="498" t="n">
        <f aca="false">INDEX(FC_FLUJO_CAJA!$D$101:$BK$101,1,AJ$13)*IF(IFERROR(VALUE($D52&amp;""),0)&gt;0,IF(AJ$14=MIN(VALUE($D52&amp;""),AJ$15),1,0),IF($D52="Q",IF(AJ$14=MIN(2,AJ$15),0.5,0)+IF(AJ$14=AJ$15,0.5,0),IF($D52="U",IF(AJ$14=AJ$15,1,0),1/AJ$15)))</f>
        <v>0</v>
      </c>
      <c r="AK52" s="498" t="n">
        <f aca="false">INDEX(FC_FLUJO_CAJA!$D$101:$BK$101,1,AK$13)*IF(IFERROR(VALUE($D52&amp;""),0)&gt;0,IF(AK$14=MIN(VALUE($D52&amp;""),AK$15),1,0),IF($D52="Q",IF(AK$14=MIN(2,AK$15),0.5,0)+IF(AK$14=AK$15,0.5,0),IF($D52="U",IF(AK$14=AK$15,1,0),1/AK$15)))</f>
        <v>0</v>
      </c>
      <c r="AL52" s="498" t="n">
        <f aca="false">INDEX(FC_FLUJO_CAJA!$D$101:$BK$101,1,AL$13)*IF(IFERROR(VALUE($D52&amp;""),0)&gt;0,IF(AL$14=MIN(VALUE($D52&amp;""),AL$15),1,0),IF($D52="Q",IF(AL$14=MIN(2,AL$15),0.5,0)+IF(AL$14=AL$15,0.5,0),IF($D52="U",IF(AL$14=AL$15,1,0),1/AL$15)))</f>
        <v>0</v>
      </c>
      <c r="AM52" s="498" t="n">
        <f aca="false">INDEX(FC_FLUJO_CAJA!$D$101:$BK$101,1,AM$13)*IF(IFERROR(VALUE($D52&amp;""),0)&gt;0,IF(AM$14=MIN(VALUE($D52&amp;""),AM$15),1,0),IF($D52="Q",IF(AM$14=MIN(2,AM$15),0.5,0)+IF(AM$14=AM$15,0.5,0),IF($D52="U",IF(AM$14=AM$15,1,0),1/AM$15)))</f>
        <v>0</v>
      </c>
      <c r="AN52" s="498" t="n">
        <f aca="false">INDEX(FC_FLUJO_CAJA!$D$101:$BK$101,1,AN$13)*IF(IFERROR(VALUE($D52&amp;""),0)&gt;0,IF(AN$14=MIN(VALUE($D52&amp;""),AN$15),1,0),IF($D52="Q",IF(AN$14=MIN(2,AN$15),0.5,0)+IF(AN$14=AN$15,0.5,0),IF($D52="U",IF(AN$14=AN$15,1,0),1/AN$15)))</f>
        <v>0</v>
      </c>
      <c r="AO52" s="498" t="n">
        <f aca="false">INDEX(FC_FLUJO_CAJA!$D$101:$BK$101,1,AO$13)*IF(IFERROR(VALUE($D52&amp;""),0)&gt;0,IF(AO$14=MIN(VALUE($D52&amp;""),AO$15),1,0),IF($D52="Q",IF(AO$14=MIN(2,AO$15),0.5,0)+IF(AO$14=AO$15,0.5,0),IF($D52="U",IF(AO$14=AO$15,1,0),1/AO$15)))</f>
        <v>0</v>
      </c>
      <c r="AP52" s="498" t="n">
        <f aca="false">INDEX(FC_FLUJO_CAJA!$D$101:$BK$101,1,AP$13)*IF(IFERROR(VALUE($D52&amp;""),0)&gt;0,IF(AP$14=MIN(VALUE($D52&amp;""),AP$15),1,0),IF($D52="Q",IF(AP$14=MIN(2,AP$15),0.5,0)+IF(AP$14=AP$15,0.5,0),IF($D52="U",IF(AP$14=AP$15,1,0),1/AP$15)))</f>
        <v>0</v>
      </c>
      <c r="AQ52" s="498" t="n">
        <f aca="false">INDEX(FC_FLUJO_CAJA!$D$101:$BK$101,1,AQ$13)*IF(IFERROR(VALUE($D52&amp;""),0)&gt;0,IF(AQ$14=MIN(VALUE($D52&amp;""),AQ$15),1,0),IF($D52="Q",IF(AQ$14=MIN(2,AQ$15),0.5,0)+IF(AQ$14=AQ$15,0.5,0),IF($D52="U",IF(AQ$14=AQ$15,1,0),1/AQ$15)))</f>
        <v>13600</v>
      </c>
      <c r="AR52" s="498" t="n">
        <f aca="false">INDEX(FC_FLUJO_CAJA!$D$101:$BK$101,1,AR$13)*IF(IFERROR(VALUE($D52&amp;""),0)&gt;0,IF(AR$14=MIN(VALUE($D52&amp;""),AR$15),1,0),IF($D52="Q",IF(AR$14=MIN(2,AR$15),0.5,0)+IF(AR$14=AR$15,0.5,0),IF($D52="U",IF(AR$14=AR$15,1,0),1/AR$15)))</f>
        <v>0</v>
      </c>
      <c r="AS52" s="498" t="n">
        <f aca="false">INDEX(FC_FLUJO_CAJA!$D$101:$BK$101,1,AS$13)*IF(IFERROR(VALUE($D52&amp;""),0)&gt;0,IF(AS$14=MIN(VALUE($D52&amp;""),AS$15),1,0),IF($D52="Q",IF(AS$14=MIN(2,AS$15),0.5,0)+IF(AS$14=AS$15,0.5,0),IF($D52="U",IF(AS$14=AS$15,1,0),1/AS$15)))</f>
        <v>0</v>
      </c>
      <c r="AT52" s="498" t="n">
        <f aca="false">INDEX(FC_FLUJO_CAJA!$D$101:$BK$101,1,AT$13)*IF(IFERROR(VALUE($D52&amp;""),0)&gt;0,IF(AT$14=MIN(VALUE($D52&amp;""),AT$15),1,0),IF($D52="Q",IF(AT$14=MIN(2,AT$15),0.5,0)+IF(AT$14=AT$15,0.5,0),IF($D52="U",IF(AT$14=AT$15,1,0),1/AT$15)))</f>
        <v>0</v>
      </c>
      <c r="AU52" s="498" t="n">
        <f aca="false">INDEX(FC_FLUJO_CAJA!$D$101:$BK$101,1,AU$13)*IF(IFERROR(VALUE($D52&amp;""),0)&gt;0,IF(AU$14=MIN(VALUE($D52&amp;""),AU$15),1,0),IF($D52="Q",IF(AU$14=MIN(2,AU$15),0.5,0)+IF(AU$14=AU$15,0.5,0),IF($D52="U",IF(AU$14=AU$15,1,0),1/AU$15)))</f>
        <v>13600</v>
      </c>
      <c r="AV52" s="498" t="n">
        <f aca="false">INDEX(FC_FLUJO_CAJA!$D$101:$BK$101,1,AV$13)*IF(IFERROR(VALUE($D52&amp;""),0)&gt;0,IF(AV$14=MIN(VALUE($D52&amp;""),AV$15),1,0),IF($D52="Q",IF(AV$14=MIN(2,AV$15),0.5,0)+IF(AV$14=AV$15,0.5,0),IF($D52="U",IF(AV$14=AV$15,1,0),1/AV$15)))</f>
        <v>0</v>
      </c>
      <c r="AW52" s="498" t="n">
        <f aca="false">INDEX(FC_FLUJO_CAJA!$D$101:$BK$101,1,AW$13)*IF(IFERROR(VALUE($D52&amp;""),0)&gt;0,IF(AW$14=MIN(VALUE($D52&amp;""),AW$15),1,0),IF($D52="Q",IF(AW$14=MIN(2,AW$15),0.5,0)+IF(AW$14=AW$15,0.5,0),IF($D52="U",IF(AW$14=AW$15,1,0),1/AW$15)))</f>
        <v>0</v>
      </c>
      <c r="AX52" s="498" t="n">
        <f aca="false">INDEX(FC_FLUJO_CAJA!$D$101:$BK$101,1,AX$13)*IF(IFERROR(VALUE($D52&amp;""),0)&gt;0,IF(AX$14=MIN(VALUE($D52&amp;""),AX$15),1,0),IF($D52="Q",IF(AX$14=MIN(2,AX$15),0.5,0)+IF(AX$14=AX$15,0.5,0),IF($D52="U",IF(AX$14=AX$15,1,0),1/AX$15)))</f>
        <v>0</v>
      </c>
      <c r="AY52" s="498" t="n">
        <f aca="false">INDEX(FC_FLUJO_CAJA!$D$101:$BK$101,1,AY$13)*IF(IFERROR(VALUE($D52&amp;""),0)&gt;0,IF(AY$14=MIN(VALUE($D52&amp;""),AY$15),1,0),IF($D52="Q",IF(AY$14=MIN(2,AY$15),0.5,0)+IF(AY$14=AY$15,0.5,0),IF($D52="U",IF(AY$14=AY$15,1,0),1/AY$15)))</f>
        <v>13600</v>
      </c>
      <c r="AZ52" s="498" t="n">
        <f aca="false">INDEX(FC_FLUJO_CAJA!$D$101:$BK$101,1,AZ$13)*IF(IFERROR(VALUE($D52&amp;""),0)&gt;0,IF(AZ$14=MIN(VALUE($D52&amp;""),AZ$15),1,0),IF($D52="Q",IF(AZ$14=MIN(2,AZ$15),0.5,0)+IF(AZ$14=AZ$15,0.5,0),IF($D52="U",IF(AZ$14=AZ$15,1,0),1/AZ$15)))</f>
        <v>0</v>
      </c>
      <c r="BA52" s="498" t="n">
        <f aca="false">INDEX(FC_FLUJO_CAJA!$D$101:$BK$101,1,BA$13)*IF(IFERROR(VALUE($D52&amp;""),0)&gt;0,IF(BA$14=MIN(VALUE($D52&amp;""),BA$15),1,0),IF($D52="Q",IF(BA$14=MIN(2,BA$15),0.5,0)+IF(BA$14=BA$15,0.5,0),IF($D52="U",IF(BA$14=BA$15,1,0),1/BA$15)))</f>
        <v>0</v>
      </c>
      <c r="BB52" s="498" t="n">
        <f aca="false">INDEX(FC_FLUJO_CAJA!$D$101:$BK$101,1,BB$13)*IF(IFERROR(VALUE($D52&amp;""),0)&gt;0,IF(BB$14=MIN(VALUE($D52&amp;""),BB$15),1,0),IF($D52="Q",IF(BB$14=MIN(2,BB$15),0.5,0)+IF(BB$14=BB$15,0.5,0),IF($D52="U",IF(BB$14=BB$15,1,0),1/BB$15)))</f>
        <v>0</v>
      </c>
      <c r="BC52" s="498" t="n">
        <f aca="false">INDEX(FC_FLUJO_CAJA!$D$101:$BK$101,1,BC$13)*IF(IFERROR(VALUE($D52&amp;""),0)&gt;0,IF(BC$14=MIN(VALUE($D52&amp;""),BC$15),1,0),IF($D52="Q",IF(BC$14=MIN(2,BC$15),0.5,0)+IF(BC$14=BC$15,0.5,0),IF($D52="U",IF(BC$14=BC$15,1,0),1/BC$15)))</f>
        <v>0</v>
      </c>
      <c r="BD52" s="498" t="n">
        <f aca="false">INDEX(FC_FLUJO_CAJA!$D$101:$BK$101,1,BD$13)*IF(IFERROR(VALUE($D52&amp;""),0)&gt;0,IF(BD$14=MIN(VALUE($D52&amp;""),BD$15),1,0),IF($D52="Q",IF(BD$14=MIN(2,BD$15),0.5,0)+IF(BD$14=BD$15,0.5,0),IF($D52="U",IF(BD$14=BD$15,1,0),1/BD$15)))</f>
        <v>16500</v>
      </c>
      <c r="BE52" s="498" t="n">
        <f aca="false">INDEX(FC_FLUJO_CAJA!$D$101:$BK$101,1,BE$13)*IF(IFERROR(VALUE($D52&amp;""),0)&gt;0,IF(BE$14=MIN(VALUE($D52&amp;""),BE$15),1,0),IF($D52="Q",IF(BE$14=MIN(2,BE$15),0.5,0)+IF(BE$14=BE$15,0.5,0),IF($D52="U",IF(BE$14=BE$15,1,0),1/BE$15)))</f>
        <v>0</v>
      </c>
    </row>
    <row r="53" customFormat="false" ht="15" hidden="false" customHeight="true" outlineLevel="0" collapsed="false">
      <c r="A53" s="400" t="s">
        <v>3163</v>
      </c>
      <c r="B53" s="283" t="s">
        <v>3164</v>
      </c>
      <c r="C53" s="531" t="s">
        <v>3165</v>
      </c>
      <c r="D53" s="289" t="str">
        <f aca="false">FC_SUPUESTOS!$C$152</f>
        <v>P</v>
      </c>
      <c r="E53" s="532" t="n">
        <f aca="false">SUM(F53:BE53)</f>
        <v>308000</v>
      </c>
      <c r="F53" s="498" t="n">
        <f aca="false">INDEX(FC_FLUJO_CAJA!$D$62:$BK$62,1,F$13)*IF(IFERROR(VALUE($D53&amp;""),0)&gt;0,IF(F$14=MIN(VALUE($D53&amp;""),F$15),1,0),IF($D53="Q",IF(F$14=MIN(2,F$15),0.5,0)+IF(F$14=F$15,0.5,0),IF($D53="U",IF(F$14=F$15,1,0),1/F$15)))</f>
        <v>0</v>
      </c>
      <c r="G53" s="498" t="n">
        <f aca="false">INDEX(FC_FLUJO_CAJA!$D$62:$BK$62,1,G$13)*IF(IFERROR(VALUE($D53&amp;""),0)&gt;0,IF(G$14=MIN(VALUE($D53&amp;""),G$15),1,0),IF($D53="Q",IF(G$14=MIN(2,G$15),0.5,0)+IF(G$14=G$15,0.5,0),IF($D53="U",IF(G$14=G$15,1,0),1/G$15)))</f>
        <v>0</v>
      </c>
      <c r="H53" s="498" t="n">
        <f aca="false">INDEX(FC_FLUJO_CAJA!$D$62:$BK$62,1,H$13)*IF(IFERROR(VALUE($D53&amp;""),0)&gt;0,IF(H$14=MIN(VALUE($D53&amp;""),H$15),1,0),IF($D53="Q",IF(H$14=MIN(2,H$15),0.5,0)+IF(H$14=H$15,0.5,0),IF($D53="U",IF(H$14=H$15,1,0),1/H$15)))</f>
        <v>0</v>
      </c>
      <c r="I53" s="498" t="n">
        <f aca="false">INDEX(FC_FLUJO_CAJA!$D$62:$BK$62,1,I$13)*IF(IFERROR(VALUE($D53&amp;""),0)&gt;0,IF(I$14=MIN(VALUE($D53&amp;""),I$15),1,0),IF($D53="Q",IF(I$14=MIN(2,I$15),0.5,0)+IF(I$14=I$15,0.5,0),IF($D53="U",IF(I$14=I$15,1,0),1/I$15)))</f>
        <v>0</v>
      </c>
      <c r="J53" s="498" t="n">
        <f aca="false">INDEX(FC_FLUJO_CAJA!$D$62:$BK$62,1,J$13)*IF(IFERROR(VALUE($D53&amp;""),0)&gt;0,IF(J$14=MIN(VALUE($D53&amp;""),J$15),1,0),IF($D53="Q",IF(J$14=MIN(2,J$15),0.5,0)+IF(J$14=J$15,0.5,0),IF($D53="U",IF(J$14=J$15,1,0),1/J$15)))</f>
        <v>0</v>
      </c>
      <c r="K53" s="498" t="n">
        <f aca="false">INDEX(FC_FLUJO_CAJA!$D$62:$BK$62,1,K$13)*IF(IFERROR(VALUE($D53&amp;""),0)&gt;0,IF(K$14=MIN(VALUE($D53&amp;""),K$15),1,0),IF($D53="Q",IF(K$14=MIN(2,K$15),0.5,0)+IF(K$14=K$15,0.5,0),IF($D53="U",IF(K$14=K$15,1,0),1/K$15)))</f>
        <v>0</v>
      </c>
      <c r="L53" s="498" t="n">
        <f aca="false">INDEX(FC_FLUJO_CAJA!$D$62:$BK$62,1,L$13)*IF(IFERROR(VALUE($D53&amp;""),0)&gt;0,IF(L$14=MIN(VALUE($D53&amp;""),L$15),1,0),IF($D53="Q",IF(L$14=MIN(2,L$15),0.5,0)+IF(L$14=L$15,0.5,0),IF($D53="U",IF(L$14=L$15,1,0),1/L$15)))</f>
        <v>0</v>
      </c>
      <c r="M53" s="498" t="n">
        <f aca="false">INDEX(FC_FLUJO_CAJA!$D$62:$BK$62,1,M$13)*IF(IFERROR(VALUE($D53&amp;""),0)&gt;0,IF(M$14=MIN(VALUE($D53&amp;""),M$15),1,0),IF($D53="Q",IF(M$14=MIN(2,M$15),0.5,0)+IF(M$14=M$15,0.5,0),IF($D53="U",IF(M$14=M$15,1,0),1/M$15)))</f>
        <v>0</v>
      </c>
      <c r="N53" s="498" t="n">
        <f aca="false">INDEX(FC_FLUJO_CAJA!$D$62:$BK$62,1,N$13)*IF(IFERROR(VALUE($D53&amp;""),0)&gt;0,IF(N$14=MIN(VALUE($D53&amp;""),N$15),1,0),IF($D53="Q",IF(N$14=MIN(2,N$15),0.5,0)+IF(N$14=N$15,0.5,0),IF($D53="U",IF(N$14=N$15,1,0),1/N$15)))</f>
        <v>0</v>
      </c>
      <c r="O53" s="498" t="n">
        <f aca="false">INDEX(FC_FLUJO_CAJA!$D$62:$BK$62,1,O$13)*IF(IFERROR(VALUE($D53&amp;""),0)&gt;0,IF(O$14=MIN(VALUE($D53&amp;""),O$15),1,0),IF($D53="Q",IF(O$14=MIN(2,O$15),0.5,0)+IF(O$14=O$15,0.5,0),IF($D53="U",IF(O$14=O$15,1,0),1/O$15)))</f>
        <v>0</v>
      </c>
      <c r="P53" s="498" t="n">
        <f aca="false">INDEX(FC_FLUJO_CAJA!$D$62:$BK$62,1,P$13)*IF(IFERROR(VALUE($D53&amp;""),0)&gt;0,IF(P$14=MIN(VALUE($D53&amp;""),P$15),1,0),IF($D53="Q",IF(P$14=MIN(2,P$15),0.5,0)+IF(P$14=P$15,0.5,0),IF($D53="U",IF(P$14=P$15,1,0),1/P$15)))</f>
        <v>0</v>
      </c>
      <c r="Q53" s="498" t="n">
        <f aca="false">INDEX(FC_FLUJO_CAJA!$D$62:$BK$62,1,Q$13)*IF(IFERROR(VALUE($D53&amp;""),0)&gt;0,IF(Q$14=MIN(VALUE($D53&amp;""),Q$15),1,0),IF($D53="Q",IF(Q$14=MIN(2,Q$15),0.5,0)+IF(Q$14=Q$15,0.5,0),IF($D53="U",IF(Q$14=Q$15,1,0),1/Q$15)))</f>
        <v>0</v>
      </c>
      <c r="R53" s="498" t="n">
        <f aca="false">INDEX(FC_FLUJO_CAJA!$D$62:$BK$62,1,R$13)*IF(IFERROR(VALUE($D53&amp;""),0)&gt;0,IF(R$14=MIN(VALUE($D53&amp;""),R$15),1,0),IF($D53="Q",IF(R$14=MIN(2,R$15),0.5,0)+IF(R$14=R$15,0.5,0),IF($D53="U",IF(R$14=R$15,1,0),1/R$15)))</f>
        <v>0</v>
      </c>
      <c r="S53" s="498" t="n">
        <f aca="false">INDEX(FC_FLUJO_CAJA!$D$62:$BK$62,1,S$13)*IF(IFERROR(VALUE($D53&amp;""),0)&gt;0,IF(S$14=MIN(VALUE($D53&amp;""),S$15),1,0),IF($D53="Q",IF(S$14=MIN(2,S$15),0.5,0)+IF(S$14=S$15,0.5,0),IF($D53="U",IF(S$14=S$15,1,0),1/S$15)))</f>
        <v>0</v>
      </c>
      <c r="T53" s="498" t="n">
        <f aca="false">INDEX(FC_FLUJO_CAJA!$D$62:$BK$62,1,T$13)*IF(IFERROR(VALUE($D53&amp;""),0)&gt;0,IF(T$14=MIN(VALUE($D53&amp;""),T$15),1,0),IF($D53="Q",IF(T$14=MIN(2,T$15),0.5,0)+IF(T$14=T$15,0.5,0),IF($D53="U",IF(T$14=T$15,1,0),1/T$15)))</f>
        <v>0</v>
      </c>
      <c r="U53" s="498" t="n">
        <f aca="false">INDEX(FC_FLUJO_CAJA!$D$62:$BK$62,1,U$13)*IF(IFERROR(VALUE($D53&amp;""),0)&gt;0,IF(U$14=MIN(VALUE($D53&amp;""),U$15),1,0),IF($D53="Q",IF(U$14=MIN(2,U$15),0.5,0)+IF(U$14=U$15,0.5,0),IF($D53="U",IF(U$14=U$15,1,0),1/U$15)))</f>
        <v>0</v>
      </c>
      <c r="V53" s="498" t="n">
        <f aca="false">INDEX(FC_FLUJO_CAJA!$D$62:$BK$62,1,V$13)*IF(IFERROR(VALUE($D53&amp;""),0)&gt;0,IF(V$14=MIN(VALUE($D53&amp;""),V$15),1,0),IF($D53="Q",IF(V$14=MIN(2,V$15),0.5,0)+IF(V$14=V$15,0.5,0),IF($D53="U",IF(V$14=V$15,1,0),1/V$15)))</f>
        <v>0</v>
      </c>
      <c r="W53" s="498" t="n">
        <f aca="false">INDEX(FC_FLUJO_CAJA!$D$62:$BK$62,1,W$13)*IF(IFERROR(VALUE($D53&amp;""),0)&gt;0,IF(W$14=MIN(VALUE($D53&amp;""),W$15),1,0),IF($D53="Q",IF(W$14=MIN(2,W$15),0.5,0)+IF(W$14=W$15,0.5,0),IF($D53="U",IF(W$14=W$15,1,0),1/W$15)))</f>
        <v>0</v>
      </c>
      <c r="X53" s="498" t="n">
        <f aca="false">INDEX(FC_FLUJO_CAJA!$D$62:$BK$62,1,X$13)*IF(IFERROR(VALUE($D53&amp;""),0)&gt;0,IF(X$14=MIN(VALUE($D53&amp;""),X$15),1,0),IF($D53="Q",IF(X$14=MIN(2,X$15),0.5,0)+IF(X$14=X$15,0.5,0),IF($D53="U",IF(X$14=X$15,1,0),1/X$15)))</f>
        <v>0</v>
      </c>
      <c r="Y53" s="498" t="n">
        <f aca="false">INDEX(FC_FLUJO_CAJA!$D$62:$BK$62,1,Y$13)*IF(IFERROR(VALUE($D53&amp;""),0)&gt;0,IF(Y$14=MIN(VALUE($D53&amp;""),Y$15),1,0),IF($D53="Q",IF(Y$14=MIN(2,Y$15),0.5,0)+IF(Y$14=Y$15,0.5,0),IF($D53="U",IF(Y$14=Y$15,1,0),1/Y$15)))</f>
        <v>0</v>
      </c>
      <c r="Z53" s="498" t="n">
        <f aca="false">INDEX(FC_FLUJO_CAJA!$D$62:$BK$62,1,Z$13)*IF(IFERROR(VALUE($D53&amp;""),0)&gt;0,IF(Z$14=MIN(VALUE($D53&amp;""),Z$15),1,0),IF($D53="Q",IF(Z$14=MIN(2,Z$15),0.5,0)+IF(Z$14=Z$15,0.5,0),IF($D53="U",IF(Z$14=Z$15,1,0),1/Z$15)))</f>
        <v>0</v>
      </c>
      <c r="AA53" s="498" t="n">
        <f aca="false">INDEX(FC_FLUJO_CAJA!$D$62:$BK$62,1,AA$13)*IF(IFERROR(VALUE($D53&amp;""),0)&gt;0,IF(AA$14=MIN(VALUE($D53&amp;""),AA$15),1,0),IF($D53="Q",IF(AA$14=MIN(2,AA$15),0.5,0)+IF(AA$14=AA$15,0.5,0),IF($D53="U",IF(AA$14=AA$15,1,0),1/AA$15)))</f>
        <v>0</v>
      </c>
      <c r="AB53" s="498" t="n">
        <f aca="false">INDEX(FC_FLUJO_CAJA!$D$62:$BK$62,1,AB$13)*IF(IFERROR(VALUE($D53&amp;""),0)&gt;0,IF(AB$14=MIN(VALUE($D53&amp;""),AB$15),1,0),IF($D53="Q",IF(AB$14=MIN(2,AB$15),0.5,0)+IF(AB$14=AB$15,0.5,0),IF($D53="U",IF(AB$14=AB$15,1,0),1/AB$15)))</f>
        <v>0</v>
      </c>
      <c r="AC53" s="498" t="n">
        <f aca="false">INDEX(FC_FLUJO_CAJA!$D$62:$BK$62,1,AC$13)*IF(IFERROR(VALUE($D53&amp;""),0)&gt;0,IF(AC$14=MIN(VALUE($D53&amp;""),AC$15),1,0),IF($D53="Q",IF(AC$14=MIN(2,AC$15),0.5,0)+IF(AC$14=AC$15,0.5,0),IF($D53="U",IF(AC$14=AC$15,1,0),1/AC$15)))</f>
        <v>0</v>
      </c>
      <c r="AD53" s="498" t="n">
        <f aca="false">INDEX(FC_FLUJO_CAJA!$D$62:$BK$62,1,AD$13)*IF(IFERROR(VALUE($D53&amp;""),0)&gt;0,IF(AD$14=MIN(VALUE($D53&amp;""),AD$15),1,0),IF($D53="Q",IF(AD$14=MIN(2,AD$15),0.5,0)+IF(AD$14=AD$15,0.5,0),IF($D53="U",IF(AD$14=AD$15,1,0),1/AD$15)))</f>
        <v>0</v>
      </c>
      <c r="AE53" s="498" t="n">
        <f aca="false">INDEX(FC_FLUJO_CAJA!$D$62:$BK$62,1,AE$13)*IF(IFERROR(VALUE($D53&amp;""),0)&gt;0,IF(AE$14=MIN(VALUE($D53&amp;""),AE$15),1,0),IF($D53="Q",IF(AE$14=MIN(2,AE$15),0.5,0)+IF(AE$14=AE$15,0.5,0),IF($D53="U",IF(AE$14=AE$15,1,0),1/AE$15)))</f>
        <v>0</v>
      </c>
      <c r="AF53" s="498" t="n">
        <f aca="false">INDEX(FC_FLUJO_CAJA!$D$62:$BK$62,1,AF$13)*IF(IFERROR(VALUE($D53&amp;""),0)&gt;0,IF(AF$14=MIN(VALUE($D53&amp;""),AF$15),1,0),IF($D53="Q",IF(AF$14=MIN(2,AF$15),0.5,0)+IF(AF$14=AF$15,0.5,0),IF($D53="U",IF(AF$14=AF$15,1,0),1/AF$15)))</f>
        <v>0</v>
      </c>
      <c r="AG53" s="498" t="n">
        <f aca="false">INDEX(FC_FLUJO_CAJA!$D$62:$BK$62,1,AG$13)*IF(IFERROR(VALUE($D53&amp;""),0)&gt;0,IF(AG$14=MIN(VALUE($D53&amp;""),AG$15),1,0),IF($D53="Q",IF(AG$14=MIN(2,AG$15),0.5,0)+IF(AG$14=AG$15,0.5,0),IF($D53="U",IF(AG$14=AG$15,1,0),1/AG$15)))</f>
        <v>0</v>
      </c>
      <c r="AH53" s="498" t="n">
        <f aca="false">INDEX(FC_FLUJO_CAJA!$D$62:$BK$62,1,AH$13)*IF(IFERROR(VALUE($D53&amp;""),0)&gt;0,IF(AH$14=MIN(VALUE($D53&amp;""),AH$15),1,0),IF($D53="Q",IF(AH$14=MIN(2,AH$15),0.5,0)+IF(AH$14=AH$15,0.5,0),IF($D53="U",IF(AH$14=AH$15,1,0),1/AH$15)))</f>
        <v>0</v>
      </c>
      <c r="AI53" s="498" t="n">
        <f aca="false">INDEX(FC_FLUJO_CAJA!$D$62:$BK$62,1,AI$13)*IF(IFERROR(VALUE($D53&amp;""),0)&gt;0,IF(AI$14=MIN(VALUE($D53&amp;""),AI$15),1,0),IF($D53="Q",IF(AI$14=MIN(2,AI$15),0.5,0)+IF(AI$14=AI$15,0.5,0),IF($D53="U",IF(AI$14=AI$15,1,0),1/AI$15)))</f>
        <v>0</v>
      </c>
      <c r="AJ53" s="498" t="n">
        <f aca="false">INDEX(FC_FLUJO_CAJA!$D$62:$BK$62,1,AJ$13)*IF(IFERROR(VALUE($D53&amp;""),0)&gt;0,IF(AJ$14=MIN(VALUE($D53&amp;""),AJ$15),1,0),IF($D53="Q",IF(AJ$14=MIN(2,AJ$15),0.5,0)+IF(AJ$14=AJ$15,0.5,0),IF($D53="U",IF(AJ$14=AJ$15,1,0),1/AJ$15)))</f>
        <v>5600</v>
      </c>
      <c r="AK53" s="498" t="n">
        <f aca="false">INDEX(FC_FLUJO_CAJA!$D$62:$BK$62,1,AK$13)*IF(IFERROR(VALUE($D53&amp;""),0)&gt;0,IF(AK$14=MIN(VALUE($D53&amp;""),AK$15),1,0),IF($D53="Q",IF(AK$14=MIN(2,AK$15),0.5,0)+IF(AK$14=AK$15,0.5,0),IF($D53="U",IF(AK$14=AK$15,1,0),1/AK$15)))</f>
        <v>5600</v>
      </c>
      <c r="AL53" s="498" t="n">
        <f aca="false">INDEX(FC_FLUJO_CAJA!$D$62:$BK$62,1,AL$13)*IF(IFERROR(VALUE($D53&amp;""),0)&gt;0,IF(AL$14=MIN(VALUE($D53&amp;""),AL$15),1,0),IF($D53="Q",IF(AL$14=MIN(2,AL$15),0.5,0)+IF(AL$14=AL$15,0.5,0),IF($D53="U",IF(AL$14=AL$15,1,0),1/AL$15)))</f>
        <v>5600</v>
      </c>
      <c r="AM53" s="498" t="n">
        <f aca="false">INDEX(FC_FLUJO_CAJA!$D$62:$BK$62,1,AM$13)*IF(IFERROR(VALUE($D53&amp;""),0)&gt;0,IF(AM$14=MIN(VALUE($D53&amp;""),AM$15),1,0),IF($D53="Q",IF(AM$14=MIN(2,AM$15),0.5,0)+IF(AM$14=AM$15,0.5,0),IF($D53="U",IF(AM$14=AM$15,1,0),1/AM$15)))</f>
        <v>5600</v>
      </c>
      <c r="AN53" s="498" t="n">
        <f aca="false">INDEX(FC_FLUJO_CAJA!$D$62:$BK$62,1,AN$13)*IF(IFERROR(VALUE($D53&amp;""),0)&gt;0,IF(AN$14=MIN(VALUE($D53&amp;""),AN$15),1,0),IF($D53="Q",IF(AN$14=MIN(2,AN$15),0.5,0)+IF(AN$14=AN$15,0.5,0),IF($D53="U",IF(AN$14=AN$15,1,0),1/AN$15)))</f>
        <v>5600</v>
      </c>
      <c r="AO53" s="498" t="n">
        <f aca="false">INDEX(FC_FLUJO_CAJA!$D$62:$BK$62,1,AO$13)*IF(IFERROR(VALUE($D53&amp;""),0)&gt;0,IF(AO$14=MIN(VALUE($D53&amp;""),AO$15),1,0),IF($D53="Q",IF(AO$14=MIN(2,AO$15),0.5,0)+IF(AO$14=AO$15,0.5,0),IF($D53="U",IF(AO$14=AO$15,1,0),1/AO$15)))</f>
        <v>14000</v>
      </c>
      <c r="AP53" s="498" t="n">
        <f aca="false">INDEX(FC_FLUJO_CAJA!$D$62:$BK$62,1,AP$13)*IF(IFERROR(VALUE($D53&amp;""),0)&gt;0,IF(AP$14=MIN(VALUE($D53&amp;""),AP$15),1,0),IF($D53="Q",IF(AP$14=MIN(2,AP$15),0.5,0)+IF(AP$14=AP$15,0.5,0),IF($D53="U",IF(AP$14=AP$15,1,0),1/AP$15)))</f>
        <v>14000</v>
      </c>
      <c r="AQ53" s="498" t="n">
        <f aca="false">INDEX(FC_FLUJO_CAJA!$D$62:$BK$62,1,AQ$13)*IF(IFERROR(VALUE($D53&amp;""),0)&gt;0,IF(AQ$14=MIN(VALUE($D53&amp;""),AQ$15),1,0),IF($D53="Q",IF(AQ$14=MIN(2,AQ$15),0.5,0)+IF(AQ$14=AQ$15,0.5,0),IF($D53="U",IF(AQ$14=AQ$15,1,0),1/AQ$15)))</f>
        <v>14000</v>
      </c>
      <c r="AR53" s="498" t="n">
        <f aca="false">INDEX(FC_FLUJO_CAJA!$D$62:$BK$62,1,AR$13)*IF(IFERROR(VALUE($D53&amp;""),0)&gt;0,IF(AR$14=MIN(VALUE($D53&amp;""),AR$15),1,0),IF($D53="Q",IF(AR$14=MIN(2,AR$15),0.5,0)+IF(AR$14=AR$15,0.5,0),IF($D53="U",IF(AR$14=AR$15,1,0),1/AR$15)))</f>
        <v>14000</v>
      </c>
      <c r="AS53" s="498" t="n">
        <f aca="false">INDEX(FC_FLUJO_CAJA!$D$62:$BK$62,1,AS$13)*IF(IFERROR(VALUE($D53&amp;""),0)&gt;0,IF(AS$14=MIN(VALUE($D53&amp;""),AS$15),1,0),IF($D53="Q",IF(AS$14=MIN(2,AS$15),0.5,0)+IF(AS$14=AS$15,0.5,0),IF($D53="U",IF(AS$14=AS$15,1,0),1/AS$15)))</f>
        <v>14000</v>
      </c>
      <c r="AT53" s="498" t="n">
        <f aca="false">INDEX(FC_FLUJO_CAJA!$D$62:$BK$62,1,AT$13)*IF(IFERROR(VALUE($D53&amp;""),0)&gt;0,IF(AT$14=MIN(VALUE($D53&amp;""),AT$15),1,0),IF($D53="Q",IF(AT$14=MIN(2,AT$15),0.5,0)+IF(AT$14=AT$15,0.5,0),IF($D53="U",IF(AT$14=AT$15,1,0),1/AT$15)))</f>
        <v>14000</v>
      </c>
      <c r="AU53" s="498" t="n">
        <f aca="false">INDEX(FC_FLUJO_CAJA!$D$62:$BK$62,1,AU$13)*IF(IFERROR(VALUE($D53&amp;""),0)&gt;0,IF(AU$14=MIN(VALUE($D53&amp;""),AU$15),1,0),IF($D53="Q",IF(AU$14=MIN(2,AU$15),0.5,0)+IF(AU$14=AU$15,0.5,0),IF($D53="U",IF(AU$14=AU$15,1,0),1/AU$15)))</f>
        <v>14000</v>
      </c>
      <c r="AV53" s="498" t="n">
        <f aca="false">INDEX(FC_FLUJO_CAJA!$D$62:$BK$62,1,AV$13)*IF(IFERROR(VALUE($D53&amp;""),0)&gt;0,IF(AV$14=MIN(VALUE($D53&amp;""),AV$15),1,0),IF($D53="Q",IF(AV$14=MIN(2,AV$15),0.5,0)+IF(AV$14=AV$15,0.5,0),IF($D53="U",IF(AV$14=AV$15,1,0),1/AV$15)))</f>
        <v>14000</v>
      </c>
      <c r="AW53" s="498" t="n">
        <f aca="false">INDEX(FC_FLUJO_CAJA!$D$62:$BK$62,1,AW$13)*IF(IFERROR(VALUE($D53&amp;""),0)&gt;0,IF(AW$14=MIN(VALUE($D53&amp;""),AW$15),1,0),IF($D53="Q",IF(AW$14=MIN(2,AW$15),0.5,0)+IF(AW$14=AW$15,0.5,0),IF($D53="U",IF(AW$14=AW$15,1,0),1/AW$15)))</f>
        <v>14000</v>
      </c>
      <c r="AX53" s="498" t="n">
        <f aca="false">INDEX(FC_FLUJO_CAJA!$D$62:$BK$62,1,AX$13)*IF(IFERROR(VALUE($D53&amp;""),0)&gt;0,IF(AX$14=MIN(VALUE($D53&amp;""),AX$15),1,0),IF($D53="Q",IF(AX$14=MIN(2,AX$15),0.5,0)+IF(AX$14=AX$15,0.5,0),IF($D53="U",IF(AX$14=AX$15,1,0),1/AX$15)))</f>
        <v>14000</v>
      </c>
      <c r="AY53" s="498" t="n">
        <f aca="false">INDEX(FC_FLUJO_CAJA!$D$62:$BK$62,1,AY$13)*IF(IFERROR(VALUE($D53&amp;""),0)&gt;0,IF(AY$14=MIN(VALUE($D53&amp;""),AY$15),1,0),IF($D53="Q",IF(AY$14=MIN(2,AY$15),0.5,0)+IF(AY$14=AY$15,0.5,0),IF($D53="U",IF(AY$14=AY$15,1,0),1/AY$15)))</f>
        <v>14000</v>
      </c>
      <c r="AZ53" s="498" t="n">
        <f aca="false">INDEX(FC_FLUJO_CAJA!$D$62:$BK$62,1,AZ$13)*IF(IFERROR(VALUE($D53&amp;""),0)&gt;0,IF(AZ$14=MIN(VALUE($D53&amp;""),AZ$15),1,0),IF($D53="Q",IF(AZ$14=MIN(2,AZ$15),0.5,0)+IF(AZ$14=AZ$15,0.5,0),IF($D53="U",IF(AZ$14=AZ$15,1,0),1/AZ$15)))</f>
        <v>14000</v>
      </c>
      <c r="BA53" s="498" t="n">
        <f aca="false">INDEX(FC_FLUJO_CAJA!$D$62:$BK$62,1,BA$13)*IF(IFERROR(VALUE($D53&amp;""),0)&gt;0,IF(BA$14=MIN(VALUE($D53&amp;""),BA$15),1,0),IF($D53="Q",IF(BA$14=MIN(2,BA$15),0.5,0)+IF(BA$14=BA$15,0.5,0),IF($D53="U",IF(BA$14=BA$15,1,0),1/BA$15)))</f>
        <v>14000</v>
      </c>
      <c r="BB53" s="498" t="n">
        <f aca="false">INDEX(FC_FLUJO_CAJA!$D$62:$BK$62,1,BB$13)*IF(IFERROR(VALUE($D53&amp;""),0)&gt;0,IF(BB$14=MIN(VALUE($D53&amp;""),BB$15),1,0),IF($D53="Q",IF(BB$14=MIN(2,BB$15),0.5,0)+IF(BB$14=BB$15,0.5,0),IF($D53="U",IF(BB$14=BB$15,1,0),1/BB$15)))</f>
        <v>24500</v>
      </c>
      <c r="BC53" s="498" t="n">
        <f aca="false">INDEX(FC_FLUJO_CAJA!$D$62:$BK$62,1,BC$13)*IF(IFERROR(VALUE($D53&amp;""),0)&gt;0,IF(BC$14=MIN(VALUE($D53&amp;""),BC$15),1,0),IF($D53="Q",IF(BC$14=MIN(2,BC$15),0.5,0)+IF(BC$14=BC$15,0.5,0),IF($D53="U",IF(BC$14=BC$15,1,0),1/BC$15)))</f>
        <v>24500</v>
      </c>
      <c r="BD53" s="498" t="n">
        <f aca="false">INDEX(FC_FLUJO_CAJA!$D$62:$BK$62,1,BD$13)*IF(IFERROR(VALUE($D53&amp;""),0)&gt;0,IF(BD$14=MIN(VALUE($D53&amp;""),BD$15),1,0),IF($D53="Q",IF(BD$14=MIN(2,BD$15),0.5,0)+IF(BD$14=BD$15,0.5,0),IF($D53="U",IF(BD$14=BD$15,1,0),1/BD$15)))</f>
        <v>24500</v>
      </c>
      <c r="BE53" s="498" t="n">
        <f aca="false">INDEX(FC_FLUJO_CAJA!$D$62:$BK$62,1,BE$13)*IF(IFERROR(VALUE($D53&amp;""),0)&gt;0,IF(BE$14=MIN(VALUE($D53&amp;""),BE$15),1,0),IF($D53="Q",IF(BE$14=MIN(2,BE$15),0.5,0)+IF(BE$14=BE$15,0.5,0),IF($D53="U",IF(BE$14=BE$15,1,0),1/BE$15)))</f>
        <v>24500</v>
      </c>
    </row>
    <row r="54" customFormat="false" ht="15" hidden="false" customHeight="true" outlineLevel="0" collapsed="false">
      <c r="A54" s="400" t="s">
        <v>3166</v>
      </c>
      <c r="B54" s="283" t="s">
        <v>3167</v>
      </c>
      <c r="C54" s="531" t="s">
        <v>3168</v>
      </c>
      <c r="D54" s="289" t="str">
        <f aca="false">FC_SUPUESTOS!$C$153</f>
        <v>P</v>
      </c>
      <c r="E54" s="532" t="n">
        <f aca="false">SUM(F54:BE54)</f>
        <v>24000</v>
      </c>
      <c r="F54" s="498" t="n">
        <f aca="false">INDEX(FC_FLUJO_CAJA!$D$63:$BK$63,1,F$13)*IF(IFERROR(VALUE($D54&amp;""),0)&gt;0,IF(F$14=MIN(VALUE($D54&amp;""),F$15),1,0),IF($D54="Q",IF(F$14=MIN(2,F$15),0.5,0)+IF(F$14=F$15,0.5,0),IF($D54="U",IF(F$14=F$15,1,0),1/F$15)))</f>
        <v>0</v>
      </c>
      <c r="G54" s="498" t="n">
        <f aca="false">INDEX(FC_FLUJO_CAJA!$D$63:$BK$63,1,G$13)*IF(IFERROR(VALUE($D54&amp;""),0)&gt;0,IF(G$14=MIN(VALUE($D54&amp;""),G$15),1,0),IF($D54="Q",IF(G$14=MIN(2,G$15),0.5,0)+IF(G$14=G$15,0.5,0),IF($D54="U",IF(G$14=G$15,1,0),1/G$15)))</f>
        <v>0</v>
      </c>
      <c r="H54" s="498" t="n">
        <f aca="false">INDEX(FC_FLUJO_CAJA!$D$63:$BK$63,1,H$13)*IF(IFERROR(VALUE($D54&amp;""),0)&gt;0,IF(H$14=MIN(VALUE($D54&amp;""),H$15),1,0),IF($D54="Q",IF(H$14=MIN(2,H$15),0.5,0)+IF(H$14=H$15,0.5,0),IF($D54="U",IF(H$14=H$15,1,0),1/H$15)))</f>
        <v>0</v>
      </c>
      <c r="I54" s="498" t="n">
        <f aca="false">INDEX(FC_FLUJO_CAJA!$D$63:$BK$63,1,I$13)*IF(IFERROR(VALUE($D54&amp;""),0)&gt;0,IF(I$14=MIN(VALUE($D54&amp;""),I$15),1,0),IF($D54="Q",IF(I$14=MIN(2,I$15),0.5,0)+IF(I$14=I$15,0.5,0),IF($D54="U",IF(I$14=I$15,1,0),1/I$15)))</f>
        <v>0</v>
      </c>
      <c r="J54" s="498" t="n">
        <f aca="false">INDEX(FC_FLUJO_CAJA!$D$63:$BK$63,1,J$13)*IF(IFERROR(VALUE($D54&amp;""),0)&gt;0,IF(J$14=MIN(VALUE($D54&amp;""),J$15),1,0),IF($D54="Q",IF(J$14=MIN(2,J$15),0.5,0)+IF(J$14=J$15,0.5,0),IF($D54="U",IF(J$14=J$15,1,0),1/J$15)))</f>
        <v>0</v>
      </c>
      <c r="K54" s="498" t="n">
        <f aca="false">INDEX(FC_FLUJO_CAJA!$D$63:$BK$63,1,K$13)*IF(IFERROR(VALUE($D54&amp;""),0)&gt;0,IF(K$14=MIN(VALUE($D54&amp;""),K$15),1,0),IF($D54="Q",IF(K$14=MIN(2,K$15),0.5,0)+IF(K$14=K$15,0.5,0),IF($D54="U",IF(K$14=K$15,1,0),1/K$15)))</f>
        <v>0</v>
      </c>
      <c r="L54" s="498" t="n">
        <f aca="false">INDEX(FC_FLUJO_CAJA!$D$63:$BK$63,1,L$13)*IF(IFERROR(VALUE($D54&amp;""),0)&gt;0,IF(L$14=MIN(VALUE($D54&amp;""),L$15),1,0),IF($D54="Q",IF(L$14=MIN(2,L$15),0.5,0)+IF(L$14=L$15,0.5,0),IF($D54="U",IF(L$14=L$15,1,0),1/L$15)))</f>
        <v>0</v>
      </c>
      <c r="M54" s="498" t="n">
        <f aca="false">INDEX(FC_FLUJO_CAJA!$D$63:$BK$63,1,M$13)*IF(IFERROR(VALUE($D54&amp;""),0)&gt;0,IF(M$14=MIN(VALUE($D54&amp;""),M$15),1,0),IF($D54="Q",IF(M$14=MIN(2,M$15),0.5,0)+IF(M$14=M$15,0.5,0),IF($D54="U",IF(M$14=M$15,1,0),1/M$15)))</f>
        <v>0</v>
      </c>
      <c r="N54" s="498" t="n">
        <f aca="false">INDEX(FC_FLUJO_CAJA!$D$63:$BK$63,1,N$13)*IF(IFERROR(VALUE($D54&amp;""),0)&gt;0,IF(N$14=MIN(VALUE($D54&amp;""),N$15),1,0),IF($D54="Q",IF(N$14=MIN(2,N$15),0.5,0)+IF(N$14=N$15,0.5,0),IF($D54="U",IF(N$14=N$15,1,0),1/N$15)))</f>
        <v>0</v>
      </c>
      <c r="O54" s="498" t="n">
        <f aca="false">INDEX(FC_FLUJO_CAJA!$D$63:$BK$63,1,O$13)*IF(IFERROR(VALUE($D54&amp;""),0)&gt;0,IF(O$14=MIN(VALUE($D54&amp;""),O$15),1,0),IF($D54="Q",IF(O$14=MIN(2,O$15),0.5,0)+IF(O$14=O$15,0.5,0),IF($D54="U",IF(O$14=O$15,1,0),1/O$15)))</f>
        <v>0</v>
      </c>
      <c r="P54" s="498" t="n">
        <f aca="false">INDEX(FC_FLUJO_CAJA!$D$63:$BK$63,1,P$13)*IF(IFERROR(VALUE($D54&amp;""),0)&gt;0,IF(P$14=MIN(VALUE($D54&amp;""),P$15),1,0),IF($D54="Q",IF(P$14=MIN(2,P$15),0.5,0)+IF(P$14=P$15,0.5,0),IF($D54="U",IF(P$14=P$15,1,0),1/P$15)))</f>
        <v>0</v>
      </c>
      <c r="Q54" s="498" t="n">
        <f aca="false">INDEX(FC_FLUJO_CAJA!$D$63:$BK$63,1,Q$13)*IF(IFERROR(VALUE($D54&amp;""),0)&gt;0,IF(Q$14=MIN(VALUE($D54&amp;""),Q$15),1,0),IF($D54="Q",IF(Q$14=MIN(2,Q$15),0.5,0)+IF(Q$14=Q$15,0.5,0),IF($D54="U",IF(Q$14=Q$15,1,0),1/Q$15)))</f>
        <v>0</v>
      </c>
      <c r="R54" s="498" t="n">
        <f aca="false">INDEX(FC_FLUJO_CAJA!$D$63:$BK$63,1,R$13)*IF(IFERROR(VALUE($D54&amp;""),0)&gt;0,IF(R$14=MIN(VALUE($D54&amp;""),R$15),1,0),IF($D54="Q",IF(R$14=MIN(2,R$15),0.5,0)+IF(R$14=R$15,0.5,0),IF($D54="U",IF(R$14=R$15,1,0),1/R$15)))</f>
        <v>0</v>
      </c>
      <c r="S54" s="498" t="n">
        <f aca="false">INDEX(FC_FLUJO_CAJA!$D$63:$BK$63,1,S$13)*IF(IFERROR(VALUE($D54&amp;""),0)&gt;0,IF(S$14=MIN(VALUE($D54&amp;""),S$15),1,0),IF($D54="Q",IF(S$14=MIN(2,S$15),0.5,0)+IF(S$14=S$15,0.5,0),IF($D54="U",IF(S$14=S$15,1,0),1/S$15)))</f>
        <v>0</v>
      </c>
      <c r="T54" s="498" t="n">
        <f aca="false">INDEX(FC_FLUJO_CAJA!$D$63:$BK$63,1,T$13)*IF(IFERROR(VALUE($D54&amp;""),0)&gt;0,IF(T$14=MIN(VALUE($D54&amp;""),T$15),1,0),IF($D54="Q",IF(T$14=MIN(2,T$15),0.5,0)+IF(T$14=T$15,0.5,0),IF($D54="U",IF(T$14=T$15,1,0),1/T$15)))</f>
        <v>0</v>
      </c>
      <c r="U54" s="498" t="n">
        <f aca="false">INDEX(FC_FLUJO_CAJA!$D$63:$BK$63,1,U$13)*IF(IFERROR(VALUE($D54&amp;""),0)&gt;0,IF(U$14=MIN(VALUE($D54&amp;""),U$15),1,0),IF($D54="Q",IF(U$14=MIN(2,U$15),0.5,0)+IF(U$14=U$15,0.5,0),IF($D54="U",IF(U$14=U$15,1,0),1/U$15)))</f>
        <v>0</v>
      </c>
      <c r="V54" s="498" t="n">
        <f aca="false">INDEX(FC_FLUJO_CAJA!$D$63:$BK$63,1,V$13)*IF(IFERROR(VALUE($D54&amp;""),0)&gt;0,IF(V$14=MIN(VALUE($D54&amp;""),V$15),1,0),IF($D54="Q",IF(V$14=MIN(2,V$15),0.5,0)+IF(V$14=V$15,0.5,0),IF($D54="U",IF(V$14=V$15,1,0),1/V$15)))</f>
        <v>0</v>
      </c>
      <c r="W54" s="498" t="n">
        <f aca="false">INDEX(FC_FLUJO_CAJA!$D$63:$BK$63,1,W$13)*IF(IFERROR(VALUE($D54&amp;""),0)&gt;0,IF(W$14=MIN(VALUE($D54&amp;""),W$15),1,0),IF($D54="Q",IF(W$14=MIN(2,W$15),0.5,0)+IF(W$14=W$15,0.5,0),IF($D54="U",IF(W$14=W$15,1,0),1/W$15)))</f>
        <v>0</v>
      </c>
      <c r="X54" s="498" t="n">
        <f aca="false">INDEX(FC_FLUJO_CAJA!$D$63:$BK$63,1,X$13)*IF(IFERROR(VALUE($D54&amp;""),0)&gt;0,IF(X$14=MIN(VALUE($D54&amp;""),X$15),1,0),IF($D54="Q",IF(X$14=MIN(2,X$15),0.5,0)+IF(X$14=X$15,0.5,0),IF($D54="U",IF(X$14=X$15,1,0),1/X$15)))</f>
        <v>0</v>
      </c>
      <c r="Y54" s="498" t="n">
        <f aca="false">INDEX(FC_FLUJO_CAJA!$D$63:$BK$63,1,Y$13)*IF(IFERROR(VALUE($D54&amp;""),0)&gt;0,IF(Y$14=MIN(VALUE($D54&amp;""),Y$15),1,0),IF($D54="Q",IF(Y$14=MIN(2,Y$15),0.5,0)+IF(Y$14=Y$15,0.5,0),IF($D54="U",IF(Y$14=Y$15,1,0),1/Y$15)))</f>
        <v>0</v>
      </c>
      <c r="Z54" s="498" t="n">
        <f aca="false">INDEX(FC_FLUJO_CAJA!$D$63:$BK$63,1,Z$13)*IF(IFERROR(VALUE($D54&amp;""),0)&gt;0,IF(Z$14=MIN(VALUE($D54&amp;""),Z$15),1,0),IF($D54="Q",IF(Z$14=MIN(2,Z$15),0.5,0)+IF(Z$14=Z$15,0.5,0),IF($D54="U",IF(Z$14=Z$15,1,0),1/Z$15)))</f>
        <v>0</v>
      </c>
      <c r="AA54" s="498" t="n">
        <f aca="false">INDEX(FC_FLUJO_CAJA!$D$63:$BK$63,1,AA$13)*IF(IFERROR(VALUE($D54&amp;""),0)&gt;0,IF(AA$14=MIN(VALUE($D54&amp;""),AA$15),1,0),IF($D54="Q",IF(AA$14=MIN(2,AA$15),0.5,0)+IF(AA$14=AA$15,0.5,0),IF($D54="U",IF(AA$14=AA$15,1,0),1/AA$15)))</f>
        <v>0</v>
      </c>
      <c r="AB54" s="498" t="n">
        <f aca="false">INDEX(FC_FLUJO_CAJA!$D$63:$BK$63,1,AB$13)*IF(IFERROR(VALUE($D54&amp;""),0)&gt;0,IF(AB$14=MIN(VALUE($D54&amp;""),AB$15),1,0),IF($D54="Q",IF(AB$14=MIN(2,AB$15),0.5,0)+IF(AB$14=AB$15,0.5,0),IF($D54="U",IF(AB$14=AB$15,1,0),1/AB$15)))</f>
        <v>0</v>
      </c>
      <c r="AC54" s="498" t="n">
        <f aca="false">INDEX(FC_FLUJO_CAJA!$D$63:$BK$63,1,AC$13)*IF(IFERROR(VALUE($D54&amp;""),0)&gt;0,IF(AC$14=MIN(VALUE($D54&amp;""),AC$15),1,0),IF($D54="Q",IF(AC$14=MIN(2,AC$15),0.5,0)+IF(AC$14=AC$15,0.5,0),IF($D54="U",IF(AC$14=AC$15,1,0),1/AC$15)))</f>
        <v>0</v>
      </c>
      <c r="AD54" s="498" t="n">
        <f aca="false">INDEX(FC_FLUJO_CAJA!$D$63:$BK$63,1,AD$13)*IF(IFERROR(VALUE($D54&amp;""),0)&gt;0,IF(AD$14=MIN(VALUE($D54&amp;""),AD$15),1,0),IF($D54="Q",IF(AD$14=MIN(2,AD$15),0.5,0)+IF(AD$14=AD$15,0.5,0),IF($D54="U",IF(AD$14=AD$15,1,0),1/AD$15)))</f>
        <v>0</v>
      </c>
      <c r="AE54" s="498" t="n">
        <f aca="false">INDEX(FC_FLUJO_CAJA!$D$63:$BK$63,1,AE$13)*IF(IFERROR(VALUE($D54&amp;""),0)&gt;0,IF(AE$14=MIN(VALUE($D54&amp;""),AE$15),1,0),IF($D54="Q",IF(AE$14=MIN(2,AE$15),0.5,0)+IF(AE$14=AE$15,0.5,0),IF($D54="U",IF(AE$14=AE$15,1,0),1/AE$15)))</f>
        <v>0</v>
      </c>
      <c r="AF54" s="498" t="n">
        <f aca="false">INDEX(FC_FLUJO_CAJA!$D$63:$BK$63,1,AF$13)*IF(IFERROR(VALUE($D54&amp;""),0)&gt;0,IF(AF$14=MIN(VALUE($D54&amp;""),AF$15),1,0),IF($D54="Q",IF(AF$14=MIN(2,AF$15),0.5,0)+IF(AF$14=AF$15,0.5,0),IF($D54="U",IF(AF$14=AF$15,1,0),1/AF$15)))</f>
        <v>0</v>
      </c>
      <c r="AG54" s="498" t="n">
        <f aca="false">INDEX(FC_FLUJO_CAJA!$D$63:$BK$63,1,AG$13)*IF(IFERROR(VALUE($D54&amp;""),0)&gt;0,IF(AG$14=MIN(VALUE($D54&amp;""),AG$15),1,0),IF($D54="Q",IF(AG$14=MIN(2,AG$15),0.5,0)+IF(AG$14=AG$15,0.5,0),IF($D54="U",IF(AG$14=AG$15,1,0),1/AG$15)))</f>
        <v>0</v>
      </c>
      <c r="AH54" s="498" t="n">
        <f aca="false">INDEX(FC_FLUJO_CAJA!$D$63:$BK$63,1,AH$13)*IF(IFERROR(VALUE($D54&amp;""),0)&gt;0,IF(AH$14=MIN(VALUE($D54&amp;""),AH$15),1,0),IF($D54="Q",IF(AH$14=MIN(2,AH$15),0.5,0)+IF(AH$14=AH$15,0.5,0),IF($D54="U",IF(AH$14=AH$15,1,0),1/AH$15)))</f>
        <v>0</v>
      </c>
      <c r="AI54" s="498" t="n">
        <f aca="false">INDEX(FC_FLUJO_CAJA!$D$63:$BK$63,1,AI$13)*IF(IFERROR(VALUE($D54&amp;""),0)&gt;0,IF(AI$14=MIN(VALUE($D54&amp;""),AI$15),1,0),IF($D54="Q",IF(AI$14=MIN(2,AI$15),0.5,0)+IF(AI$14=AI$15,0.5,0),IF($D54="U",IF(AI$14=AI$15,1,0),1/AI$15)))</f>
        <v>0</v>
      </c>
      <c r="AJ54" s="498" t="n">
        <f aca="false">INDEX(FC_FLUJO_CAJA!$D$63:$BK$63,1,AJ$13)*IF(IFERROR(VALUE($D54&amp;""),0)&gt;0,IF(AJ$14=MIN(VALUE($D54&amp;""),AJ$15),1,0),IF($D54="Q",IF(AJ$14=MIN(2,AJ$15),0.5,0)+IF(AJ$14=AJ$15,0.5,0),IF($D54="U",IF(AJ$14=AJ$15,1,0),1/AJ$15)))</f>
        <v>0</v>
      </c>
      <c r="AK54" s="498" t="n">
        <f aca="false">INDEX(FC_FLUJO_CAJA!$D$63:$BK$63,1,AK$13)*IF(IFERROR(VALUE($D54&amp;""),0)&gt;0,IF(AK$14=MIN(VALUE($D54&amp;""),AK$15),1,0),IF($D54="Q",IF(AK$14=MIN(2,AK$15),0.5,0)+IF(AK$14=AK$15,0.5,0),IF($D54="U",IF(AK$14=AK$15,1,0),1/AK$15)))</f>
        <v>0</v>
      </c>
      <c r="AL54" s="498" t="n">
        <f aca="false">INDEX(FC_FLUJO_CAJA!$D$63:$BK$63,1,AL$13)*IF(IFERROR(VALUE($D54&amp;""),0)&gt;0,IF(AL$14=MIN(VALUE($D54&amp;""),AL$15),1,0),IF($D54="Q",IF(AL$14=MIN(2,AL$15),0.5,0)+IF(AL$14=AL$15,0.5,0),IF($D54="U",IF(AL$14=AL$15,1,0),1/AL$15)))</f>
        <v>0</v>
      </c>
      <c r="AM54" s="498" t="n">
        <f aca="false">INDEX(FC_FLUJO_CAJA!$D$63:$BK$63,1,AM$13)*IF(IFERROR(VALUE($D54&amp;""),0)&gt;0,IF(AM$14=MIN(VALUE($D54&amp;""),AM$15),1,0),IF($D54="Q",IF(AM$14=MIN(2,AM$15),0.5,0)+IF(AM$14=AM$15,0.5,0),IF($D54="U",IF(AM$14=AM$15,1,0),1/AM$15)))</f>
        <v>0</v>
      </c>
      <c r="AN54" s="498" t="n">
        <f aca="false">INDEX(FC_FLUJO_CAJA!$D$63:$BK$63,1,AN$13)*IF(IFERROR(VALUE($D54&amp;""),0)&gt;0,IF(AN$14=MIN(VALUE($D54&amp;""),AN$15),1,0),IF($D54="Q",IF(AN$14=MIN(2,AN$15),0.5,0)+IF(AN$14=AN$15,0.5,0),IF($D54="U",IF(AN$14=AN$15,1,0),1/AN$15)))</f>
        <v>0</v>
      </c>
      <c r="AO54" s="498" t="n">
        <f aca="false">INDEX(FC_FLUJO_CAJA!$D$63:$BK$63,1,AO$13)*IF(IFERROR(VALUE($D54&amp;""),0)&gt;0,IF(AO$14=MIN(VALUE($D54&amp;""),AO$15),1,0),IF($D54="Q",IF(AO$14=MIN(2,AO$15),0.5,0)+IF(AO$14=AO$15,0.5,0),IF($D54="U",IF(AO$14=AO$15,1,0),1/AO$15)))</f>
        <v>1500</v>
      </c>
      <c r="AP54" s="498" t="n">
        <f aca="false">INDEX(FC_FLUJO_CAJA!$D$63:$BK$63,1,AP$13)*IF(IFERROR(VALUE($D54&amp;""),0)&gt;0,IF(AP$14=MIN(VALUE($D54&amp;""),AP$15),1,0),IF($D54="Q",IF(AP$14=MIN(2,AP$15),0.5,0)+IF(AP$14=AP$15,0.5,0),IF($D54="U",IF(AP$14=AP$15,1,0),1/AP$15)))</f>
        <v>1500</v>
      </c>
      <c r="AQ54" s="498" t="n">
        <f aca="false">INDEX(FC_FLUJO_CAJA!$D$63:$BK$63,1,AQ$13)*IF(IFERROR(VALUE($D54&amp;""),0)&gt;0,IF(AQ$14=MIN(VALUE($D54&amp;""),AQ$15),1,0),IF($D54="Q",IF(AQ$14=MIN(2,AQ$15),0.5,0)+IF(AQ$14=AQ$15,0.5,0),IF($D54="U",IF(AQ$14=AQ$15,1,0),1/AQ$15)))</f>
        <v>1500</v>
      </c>
      <c r="AR54" s="498" t="n">
        <f aca="false">INDEX(FC_FLUJO_CAJA!$D$63:$BK$63,1,AR$13)*IF(IFERROR(VALUE($D54&amp;""),0)&gt;0,IF(AR$14=MIN(VALUE($D54&amp;""),AR$15),1,0),IF($D54="Q",IF(AR$14=MIN(2,AR$15),0.5,0)+IF(AR$14=AR$15,0.5,0),IF($D54="U",IF(AR$14=AR$15,1,0),1/AR$15)))</f>
        <v>1500</v>
      </c>
      <c r="AS54" s="498" t="n">
        <f aca="false">INDEX(FC_FLUJO_CAJA!$D$63:$BK$63,1,AS$13)*IF(IFERROR(VALUE($D54&amp;""),0)&gt;0,IF(AS$14=MIN(VALUE($D54&amp;""),AS$15),1,0),IF($D54="Q",IF(AS$14=MIN(2,AS$15),0.5,0)+IF(AS$14=AS$15,0.5,0),IF($D54="U",IF(AS$14=AS$15,1,0),1/AS$15)))</f>
        <v>1500</v>
      </c>
      <c r="AT54" s="498" t="n">
        <f aca="false">INDEX(FC_FLUJO_CAJA!$D$63:$BK$63,1,AT$13)*IF(IFERROR(VALUE($D54&amp;""),0)&gt;0,IF(AT$14=MIN(VALUE($D54&amp;""),AT$15),1,0),IF($D54="Q",IF(AT$14=MIN(2,AT$15),0.5,0)+IF(AT$14=AT$15,0.5,0),IF($D54="U",IF(AT$14=AT$15,1,0),1/AT$15)))</f>
        <v>1500</v>
      </c>
      <c r="AU54" s="498" t="n">
        <f aca="false">INDEX(FC_FLUJO_CAJA!$D$63:$BK$63,1,AU$13)*IF(IFERROR(VALUE($D54&amp;""),0)&gt;0,IF(AU$14=MIN(VALUE($D54&amp;""),AU$15),1,0),IF($D54="Q",IF(AU$14=MIN(2,AU$15),0.5,0)+IF(AU$14=AU$15,0.5,0),IF($D54="U",IF(AU$14=AU$15,1,0),1/AU$15)))</f>
        <v>1500</v>
      </c>
      <c r="AV54" s="498" t="n">
        <f aca="false">INDEX(FC_FLUJO_CAJA!$D$63:$BK$63,1,AV$13)*IF(IFERROR(VALUE($D54&amp;""),0)&gt;0,IF(AV$14=MIN(VALUE($D54&amp;""),AV$15),1,0),IF($D54="Q",IF(AV$14=MIN(2,AV$15),0.5,0)+IF(AV$14=AV$15,0.5,0),IF($D54="U",IF(AV$14=AV$15,1,0),1/AV$15)))</f>
        <v>1500</v>
      </c>
      <c r="AW54" s="498" t="n">
        <f aca="false">INDEX(FC_FLUJO_CAJA!$D$63:$BK$63,1,AW$13)*IF(IFERROR(VALUE($D54&amp;""),0)&gt;0,IF(AW$14=MIN(VALUE($D54&amp;""),AW$15),1,0),IF($D54="Q",IF(AW$14=MIN(2,AW$15),0.5,0)+IF(AW$14=AW$15,0.5,0),IF($D54="U",IF(AW$14=AW$15,1,0),1/AW$15)))</f>
        <v>1200</v>
      </c>
      <c r="AX54" s="498" t="n">
        <f aca="false">INDEX(FC_FLUJO_CAJA!$D$63:$BK$63,1,AX$13)*IF(IFERROR(VALUE($D54&amp;""),0)&gt;0,IF(AX$14=MIN(VALUE($D54&amp;""),AX$15),1,0),IF($D54="Q",IF(AX$14=MIN(2,AX$15),0.5,0)+IF(AX$14=AX$15,0.5,0),IF($D54="U",IF(AX$14=AX$15,1,0),1/AX$15)))</f>
        <v>1200</v>
      </c>
      <c r="AY54" s="498" t="n">
        <f aca="false">INDEX(FC_FLUJO_CAJA!$D$63:$BK$63,1,AY$13)*IF(IFERROR(VALUE($D54&amp;""),0)&gt;0,IF(AY$14=MIN(VALUE($D54&amp;""),AY$15),1,0),IF($D54="Q",IF(AY$14=MIN(2,AY$15),0.5,0)+IF(AY$14=AY$15,0.5,0),IF($D54="U",IF(AY$14=AY$15,1,0),1/AY$15)))</f>
        <v>1200</v>
      </c>
      <c r="AZ54" s="498" t="n">
        <f aca="false">INDEX(FC_FLUJO_CAJA!$D$63:$BK$63,1,AZ$13)*IF(IFERROR(VALUE($D54&amp;""),0)&gt;0,IF(AZ$14=MIN(VALUE($D54&amp;""),AZ$15),1,0),IF($D54="Q",IF(AZ$14=MIN(2,AZ$15),0.5,0)+IF(AZ$14=AZ$15,0.5,0),IF($D54="U",IF(AZ$14=AZ$15,1,0),1/AZ$15)))</f>
        <v>1200</v>
      </c>
      <c r="BA54" s="498" t="n">
        <f aca="false">INDEX(FC_FLUJO_CAJA!$D$63:$BK$63,1,BA$13)*IF(IFERROR(VALUE($D54&amp;""),0)&gt;0,IF(BA$14=MIN(VALUE($D54&amp;""),BA$15),1,0),IF($D54="Q",IF(BA$14=MIN(2,BA$15),0.5,0)+IF(BA$14=BA$15,0.5,0),IF($D54="U",IF(BA$14=BA$15,1,0),1/BA$15)))</f>
        <v>1200</v>
      </c>
      <c r="BB54" s="498" t="n">
        <f aca="false">INDEX(FC_FLUJO_CAJA!$D$63:$BK$63,1,BB$13)*IF(IFERROR(VALUE($D54&amp;""),0)&gt;0,IF(BB$14=MIN(VALUE($D54&amp;""),BB$15),1,0),IF($D54="Q",IF(BB$14=MIN(2,BB$15),0.5,0)+IF(BB$14=BB$15,0.5,0),IF($D54="U",IF(BB$14=BB$15,1,0),1/BB$15)))</f>
        <v>1500</v>
      </c>
      <c r="BC54" s="498" t="n">
        <f aca="false">INDEX(FC_FLUJO_CAJA!$D$63:$BK$63,1,BC$13)*IF(IFERROR(VALUE($D54&amp;""),0)&gt;0,IF(BC$14=MIN(VALUE($D54&amp;""),BC$15),1,0),IF($D54="Q",IF(BC$14=MIN(2,BC$15),0.5,0)+IF(BC$14=BC$15,0.5,0),IF($D54="U",IF(BC$14=BC$15,1,0),1/BC$15)))</f>
        <v>1500</v>
      </c>
      <c r="BD54" s="498" t="n">
        <f aca="false">INDEX(FC_FLUJO_CAJA!$D$63:$BK$63,1,BD$13)*IF(IFERROR(VALUE($D54&amp;""),0)&gt;0,IF(BD$14=MIN(VALUE($D54&amp;""),BD$15),1,0),IF($D54="Q",IF(BD$14=MIN(2,BD$15),0.5,0)+IF(BD$14=BD$15,0.5,0),IF($D54="U",IF(BD$14=BD$15,1,0),1/BD$15)))</f>
        <v>1500</v>
      </c>
      <c r="BE54" s="498" t="n">
        <f aca="false">INDEX(FC_FLUJO_CAJA!$D$63:$BK$63,1,BE$13)*IF(IFERROR(VALUE($D54&amp;""),0)&gt;0,IF(BE$14=MIN(VALUE($D54&amp;""),BE$15),1,0),IF($D54="Q",IF(BE$14=MIN(2,BE$15),0.5,0)+IF(BE$14=BE$15,0.5,0),IF($D54="U",IF(BE$14=BE$15,1,0),1/BE$15)))</f>
        <v>1500</v>
      </c>
    </row>
    <row r="55" customFormat="false" ht="15" hidden="false" customHeight="true" outlineLevel="0" collapsed="false">
      <c r="A55" s="400" t="s">
        <v>3169</v>
      </c>
      <c r="B55" s="283" t="s">
        <v>3170</v>
      </c>
      <c r="C55" s="531" t="s">
        <v>3143</v>
      </c>
      <c r="D55" s="289" t="str">
        <f aca="false">FC_SUPUESTOS!$C$154</f>
        <v>P</v>
      </c>
      <c r="E55" s="532" t="n">
        <f aca="false">SUM(F55:BE55)</f>
        <v>88644.69325</v>
      </c>
      <c r="F55" s="498" t="n">
        <f aca="false">INDEX(FC_FLUJO_CAJA!$D$64:$BK$64,1,F$13)*IF(IFERROR(VALUE($D55&amp;""),0)&gt;0,IF(F$14=MIN(VALUE($D55&amp;""),F$15),1,0),IF($D55="Q",IF(F$14=MIN(2,F$15),0.5,0)+IF(F$14=F$15,0.5,0),IF($D55="U",IF(F$14=F$15,1,0),1/F$15)))</f>
        <v>1832.45</v>
      </c>
      <c r="G55" s="498" t="n">
        <f aca="false">INDEX(FC_FLUJO_CAJA!$D$64:$BK$64,1,G$13)*IF(IFERROR(VALUE($D55&amp;""),0)&gt;0,IF(G$14=MIN(VALUE($D55&amp;""),G$15),1,0),IF($D55="Q",IF(G$14=MIN(2,G$15),0.5,0)+IF(G$14=G$15,0.5,0),IF($D55="U",IF(G$14=G$15,1,0),1/G$15)))</f>
        <v>1832.45</v>
      </c>
      <c r="H55" s="498" t="n">
        <f aca="false">INDEX(FC_FLUJO_CAJA!$D$64:$BK$64,1,H$13)*IF(IFERROR(VALUE($D55&amp;""),0)&gt;0,IF(H$14=MIN(VALUE($D55&amp;""),H$15),1,0),IF($D55="Q",IF(H$14=MIN(2,H$15),0.5,0)+IF(H$14=H$15,0.5,0),IF($D55="U",IF(H$14=H$15,1,0),1/H$15)))</f>
        <v>1832.45</v>
      </c>
      <c r="I55" s="498" t="n">
        <f aca="false">INDEX(FC_FLUJO_CAJA!$D$64:$BK$64,1,I$13)*IF(IFERROR(VALUE($D55&amp;""),0)&gt;0,IF(I$14=MIN(VALUE($D55&amp;""),I$15),1,0),IF($D55="Q",IF(I$14=MIN(2,I$15),0.5,0)+IF(I$14=I$15,0.5,0),IF($D55="U",IF(I$14=I$15,1,0),1/I$15)))</f>
        <v>1832.45</v>
      </c>
      <c r="J55" s="498" t="n">
        <f aca="false">INDEX(FC_FLUJO_CAJA!$D$64:$BK$64,1,J$13)*IF(IFERROR(VALUE($D55&amp;""),0)&gt;0,IF(J$14=MIN(VALUE($D55&amp;""),J$15),1,0),IF($D55="Q",IF(J$14=MIN(2,J$15),0.5,0)+IF(J$14=J$15,0.5,0),IF($D55="U",IF(J$14=J$15,1,0),1/J$15)))</f>
        <v>0</v>
      </c>
      <c r="K55" s="498" t="n">
        <f aca="false">INDEX(FC_FLUJO_CAJA!$D$64:$BK$64,1,K$13)*IF(IFERROR(VALUE($D55&amp;""),0)&gt;0,IF(K$14=MIN(VALUE($D55&amp;""),K$15),1,0),IF($D55="Q",IF(K$14=MIN(2,K$15),0.5,0)+IF(K$14=K$15,0.5,0),IF($D55="U",IF(K$14=K$15,1,0),1/K$15)))</f>
        <v>0</v>
      </c>
      <c r="L55" s="498" t="n">
        <f aca="false">INDEX(FC_FLUJO_CAJA!$D$64:$BK$64,1,L$13)*IF(IFERROR(VALUE($D55&amp;""),0)&gt;0,IF(L$14=MIN(VALUE($D55&amp;""),L$15),1,0),IF($D55="Q",IF(L$14=MIN(2,L$15),0.5,0)+IF(L$14=L$15,0.5,0),IF($D55="U",IF(L$14=L$15,1,0),1/L$15)))</f>
        <v>0</v>
      </c>
      <c r="M55" s="498" t="n">
        <f aca="false">INDEX(FC_FLUJO_CAJA!$D$64:$BK$64,1,M$13)*IF(IFERROR(VALUE($D55&amp;""),0)&gt;0,IF(M$14=MIN(VALUE($D55&amp;""),M$15),1,0),IF($D55="Q",IF(M$14=MIN(2,M$15),0.5,0)+IF(M$14=M$15,0.5,0),IF($D55="U",IF(M$14=M$15,1,0),1/M$15)))</f>
        <v>0</v>
      </c>
      <c r="N55" s="498" t="n">
        <f aca="false">INDEX(FC_FLUJO_CAJA!$D$64:$BK$64,1,N$13)*IF(IFERROR(VALUE($D55&amp;""),0)&gt;0,IF(N$14=MIN(VALUE($D55&amp;""),N$15),1,0),IF($D55="Q",IF(N$14=MIN(2,N$15),0.5,0)+IF(N$14=N$15,0.5,0),IF($D55="U",IF(N$14=N$15,1,0),1/N$15)))</f>
        <v>0</v>
      </c>
      <c r="O55" s="498" t="n">
        <f aca="false">INDEX(FC_FLUJO_CAJA!$D$64:$BK$64,1,O$13)*IF(IFERROR(VALUE($D55&amp;""),0)&gt;0,IF(O$14=MIN(VALUE($D55&amp;""),O$15),1,0),IF($D55="Q",IF(O$14=MIN(2,O$15),0.5,0)+IF(O$14=O$15,0.5,0),IF($D55="U",IF(O$14=O$15,1,0),1/O$15)))</f>
        <v>0</v>
      </c>
      <c r="P55" s="498" t="n">
        <f aca="false">INDEX(FC_FLUJO_CAJA!$D$64:$BK$64,1,P$13)*IF(IFERROR(VALUE($D55&amp;""),0)&gt;0,IF(P$14=MIN(VALUE($D55&amp;""),P$15),1,0),IF($D55="Q",IF(P$14=MIN(2,P$15),0.5,0)+IF(P$14=P$15,0.5,0),IF($D55="U",IF(P$14=P$15,1,0),1/P$15)))</f>
        <v>0</v>
      </c>
      <c r="Q55" s="498" t="n">
        <f aca="false">INDEX(FC_FLUJO_CAJA!$D$64:$BK$64,1,Q$13)*IF(IFERROR(VALUE($D55&amp;""),0)&gt;0,IF(Q$14=MIN(VALUE($D55&amp;""),Q$15),1,0),IF($D55="Q",IF(Q$14=MIN(2,Q$15),0.5,0)+IF(Q$14=Q$15,0.5,0),IF($D55="U",IF(Q$14=Q$15,1,0),1/Q$15)))</f>
        <v>0</v>
      </c>
      <c r="R55" s="498" t="n">
        <f aca="false">INDEX(FC_FLUJO_CAJA!$D$64:$BK$64,1,R$13)*IF(IFERROR(VALUE($D55&amp;""),0)&gt;0,IF(R$14=MIN(VALUE($D55&amp;""),R$15),1,0),IF($D55="Q",IF(R$14=MIN(2,R$15),0.5,0)+IF(R$14=R$15,0.5,0),IF($D55="U",IF(R$14=R$15,1,0),1/R$15)))</f>
        <v>0</v>
      </c>
      <c r="S55" s="498" t="n">
        <f aca="false">INDEX(FC_FLUJO_CAJA!$D$64:$BK$64,1,S$13)*IF(IFERROR(VALUE($D55&amp;""),0)&gt;0,IF(S$14=MIN(VALUE($D55&amp;""),S$15),1,0),IF($D55="Q",IF(S$14=MIN(2,S$15),0.5,0)+IF(S$14=S$15,0.5,0),IF($D55="U",IF(S$14=S$15,1,0),1/S$15)))</f>
        <v>3344.22125</v>
      </c>
      <c r="T55" s="498" t="n">
        <f aca="false">INDEX(FC_FLUJO_CAJA!$D$64:$BK$64,1,T$13)*IF(IFERROR(VALUE($D55&amp;""),0)&gt;0,IF(T$14=MIN(VALUE($D55&amp;""),T$15),1,0),IF($D55="Q",IF(T$14=MIN(2,T$15),0.5,0)+IF(T$14=T$15,0.5,0),IF($D55="U",IF(T$14=T$15,1,0),1/T$15)))</f>
        <v>3344.22125</v>
      </c>
      <c r="U55" s="498" t="n">
        <f aca="false">INDEX(FC_FLUJO_CAJA!$D$64:$BK$64,1,U$13)*IF(IFERROR(VALUE($D55&amp;""),0)&gt;0,IF(U$14=MIN(VALUE($D55&amp;""),U$15),1,0),IF($D55="Q",IF(U$14=MIN(2,U$15),0.5,0)+IF(U$14=U$15,0.5,0),IF($D55="U",IF(U$14=U$15,1,0),1/U$15)))</f>
        <v>3344.22125</v>
      </c>
      <c r="V55" s="498" t="n">
        <f aca="false">INDEX(FC_FLUJO_CAJA!$D$64:$BK$64,1,V$13)*IF(IFERROR(VALUE($D55&amp;""),0)&gt;0,IF(V$14=MIN(VALUE($D55&amp;""),V$15),1,0),IF($D55="Q",IF(V$14=MIN(2,V$15),0.5,0)+IF(V$14=V$15,0.5,0),IF($D55="U",IF(V$14=V$15,1,0),1/V$15)))</f>
        <v>3344.22125</v>
      </c>
      <c r="W55" s="498" t="n">
        <f aca="false">INDEX(FC_FLUJO_CAJA!$D$64:$BK$64,1,W$13)*IF(IFERROR(VALUE($D55&amp;""),0)&gt;0,IF(W$14=MIN(VALUE($D55&amp;""),W$15),1,0),IF($D55="Q",IF(W$14=MIN(2,W$15),0.5,0)+IF(W$14=W$15,0.5,0),IF($D55="U",IF(W$14=W$15,1,0),1/W$15)))</f>
        <v>2329.5020625</v>
      </c>
      <c r="X55" s="498" t="n">
        <f aca="false">INDEX(FC_FLUJO_CAJA!$D$64:$BK$64,1,X$13)*IF(IFERROR(VALUE($D55&amp;""),0)&gt;0,IF(X$14=MIN(VALUE($D55&amp;""),X$15),1,0),IF($D55="Q",IF(X$14=MIN(2,X$15),0.5,0)+IF(X$14=X$15,0.5,0),IF($D55="U",IF(X$14=X$15,1,0),1/X$15)))</f>
        <v>2329.5020625</v>
      </c>
      <c r="Y55" s="498" t="n">
        <f aca="false">INDEX(FC_FLUJO_CAJA!$D$64:$BK$64,1,Y$13)*IF(IFERROR(VALUE($D55&amp;""),0)&gt;0,IF(Y$14=MIN(VALUE($D55&amp;""),Y$15),1,0),IF($D55="Q",IF(Y$14=MIN(2,Y$15),0.5,0)+IF(Y$14=Y$15,0.5,0),IF($D55="U",IF(Y$14=Y$15,1,0),1/Y$15)))</f>
        <v>2329.5020625</v>
      </c>
      <c r="Z55" s="498" t="n">
        <f aca="false">INDEX(FC_FLUJO_CAJA!$D$64:$BK$64,1,Z$13)*IF(IFERROR(VALUE($D55&amp;""),0)&gt;0,IF(Z$14=MIN(VALUE($D55&amp;""),Z$15),1,0),IF($D55="Q",IF(Z$14=MIN(2,Z$15),0.5,0)+IF(Z$14=Z$15,0.5,0),IF($D55="U",IF(Z$14=Z$15,1,0),1/Z$15)))</f>
        <v>2329.5020625</v>
      </c>
      <c r="AA55" s="498" t="n">
        <f aca="false">INDEX(FC_FLUJO_CAJA!$D$64:$BK$64,1,AA$13)*IF(IFERROR(VALUE($D55&amp;""),0)&gt;0,IF(AA$14=MIN(VALUE($D55&amp;""),AA$15),1,0),IF($D55="Q",IF(AA$14=MIN(2,AA$15),0.5,0)+IF(AA$14=AA$15,0.5,0),IF($D55="U",IF(AA$14=AA$15,1,0),1/AA$15)))</f>
        <v>0</v>
      </c>
      <c r="AB55" s="498" t="n">
        <f aca="false">INDEX(FC_FLUJO_CAJA!$D$64:$BK$64,1,AB$13)*IF(IFERROR(VALUE($D55&amp;""),0)&gt;0,IF(AB$14=MIN(VALUE($D55&amp;""),AB$15),1,0),IF($D55="Q",IF(AB$14=MIN(2,AB$15),0.5,0)+IF(AB$14=AB$15,0.5,0),IF($D55="U",IF(AB$14=AB$15,1,0),1/AB$15)))</f>
        <v>0</v>
      </c>
      <c r="AC55" s="498" t="n">
        <f aca="false">INDEX(FC_FLUJO_CAJA!$D$64:$BK$64,1,AC$13)*IF(IFERROR(VALUE($D55&amp;""),0)&gt;0,IF(AC$14=MIN(VALUE($D55&amp;""),AC$15),1,0),IF($D55="Q",IF(AC$14=MIN(2,AC$15),0.5,0)+IF(AC$14=AC$15,0.5,0),IF($D55="U",IF(AC$14=AC$15,1,0),1/AC$15)))</f>
        <v>0</v>
      </c>
      <c r="AD55" s="498" t="n">
        <f aca="false">INDEX(FC_FLUJO_CAJA!$D$64:$BK$64,1,AD$13)*IF(IFERROR(VALUE($D55&amp;""),0)&gt;0,IF(AD$14=MIN(VALUE($D55&amp;""),AD$15),1,0),IF($D55="Q",IF(AD$14=MIN(2,AD$15),0.5,0)+IF(AD$14=AD$15,0.5,0),IF($D55="U",IF(AD$14=AD$15,1,0),1/AD$15)))</f>
        <v>0</v>
      </c>
      <c r="AE55" s="498" t="n">
        <f aca="false">INDEX(FC_FLUJO_CAJA!$D$64:$BK$64,1,AE$13)*IF(IFERROR(VALUE($D55&amp;""),0)&gt;0,IF(AE$14=MIN(VALUE($D55&amp;""),AE$15),1,0),IF($D55="Q",IF(AE$14=MIN(2,AE$15),0.5,0)+IF(AE$14=AE$15,0.5,0),IF($D55="U",IF(AE$14=AE$15,1,0),1/AE$15)))</f>
        <v>0</v>
      </c>
      <c r="AF55" s="498" t="n">
        <f aca="false">INDEX(FC_FLUJO_CAJA!$D$64:$BK$64,1,AF$13)*IF(IFERROR(VALUE($D55&amp;""),0)&gt;0,IF(AF$14=MIN(VALUE($D55&amp;""),AF$15),1,0),IF($D55="Q",IF(AF$14=MIN(2,AF$15),0.5,0)+IF(AF$14=AF$15,0.5,0),IF($D55="U",IF(AF$14=AF$15,1,0),1/AF$15)))</f>
        <v>445</v>
      </c>
      <c r="AG55" s="498" t="n">
        <f aca="false">INDEX(FC_FLUJO_CAJA!$D$64:$BK$64,1,AG$13)*IF(IFERROR(VALUE($D55&amp;""),0)&gt;0,IF(AG$14=MIN(VALUE($D55&amp;""),AG$15),1,0),IF($D55="Q",IF(AG$14=MIN(2,AG$15),0.5,0)+IF(AG$14=AG$15,0.5,0),IF($D55="U",IF(AG$14=AG$15,1,0),1/AG$15)))</f>
        <v>445</v>
      </c>
      <c r="AH55" s="498" t="n">
        <f aca="false">INDEX(FC_FLUJO_CAJA!$D$64:$BK$64,1,AH$13)*IF(IFERROR(VALUE($D55&amp;""),0)&gt;0,IF(AH$14=MIN(VALUE($D55&amp;""),AH$15),1,0),IF($D55="Q",IF(AH$14=MIN(2,AH$15),0.5,0)+IF(AH$14=AH$15,0.5,0),IF($D55="U",IF(AH$14=AH$15,1,0),1/AH$15)))</f>
        <v>445</v>
      </c>
      <c r="AI55" s="498" t="n">
        <f aca="false">INDEX(FC_FLUJO_CAJA!$D$64:$BK$64,1,AI$13)*IF(IFERROR(VALUE($D55&amp;""),0)&gt;0,IF(AI$14=MIN(VALUE($D55&amp;""),AI$15),1,0),IF($D55="Q",IF(AI$14=MIN(2,AI$15),0.5,0)+IF(AI$14=AI$15,0.5,0),IF($D55="U",IF(AI$14=AI$15,1,0),1/AI$15)))</f>
        <v>445</v>
      </c>
      <c r="AJ55" s="498" t="n">
        <f aca="false">INDEX(FC_FLUJO_CAJA!$D$64:$BK$64,1,AJ$13)*IF(IFERROR(VALUE($D55&amp;""),0)&gt;0,IF(AJ$14=MIN(VALUE($D55&amp;""),AJ$15),1,0),IF($D55="Q",IF(AJ$14=MIN(2,AJ$15),0.5,0)+IF(AJ$14=AJ$15,0.5,0),IF($D55="U",IF(AJ$14=AJ$15,1,0),1/AJ$15)))</f>
        <v>1272</v>
      </c>
      <c r="AK55" s="498" t="n">
        <f aca="false">INDEX(FC_FLUJO_CAJA!$D$64:$BK$64,1,AK$13)*IF(IFERROR(VALUE($D55&amp;""),0)&gt;0,IF(AK$14=MIN(VALUE($D55&amp;""),AK$15),1,0),IF($D55="Q",IF(AK$14=MIN(2,AK$15),0.5,0)+IF(AK$14=AK$15,0.5,0),IF($D55="U",IF(AK$14=AK$15,1,0),1/AK$15)))</f>
        <v>1272</v>
      </c>
      <c r="AL55" s="498" t="n">
        <f aca="false">INDEX(FC_FLUJO_CAJA!$D$64:$BK$64,1,AL$13)*IF(IFERROR(VALUE($D55&amp;""),0)&gt;0,IF(AL$14=MIN(VALUE($D55&amp;""),AL$15),1,0),IF($D55="Q",IF(AL$14=MIN(2,AL$15),0.5,0)+IF(AL$14=AL$15,0.5,0),IF($D55="U",IF(AL$14=AL$15,1,0),1/AL$15)))</f>
        <v>1272</v>
      </c>
      <c r="AM55" s="498" t="n">
        <f aca="false">INDEX(FC_FLUJO_CAJA!$D$64:$BK$64,1,AM$13)*IF(IFERROR(VALUE($D55&amp;""),0)&gt;0,IF(AM$14=MIN(VALUE($D55&amp;""),AM$15),1,0),IF($D55="Q",IF(AM$14=MIN(2,AM$15),0.5,0)+IF(AM$14=AM$15,0.5,0),IF($D55="U",IF(AM$14=AM$15,1,0),1/AM$15)))</f>
        <v>1272</v>
      </c>
      <c r="AN55" s="498" t="n">
        <f aca="false">INDEX(FC_FLUJO_CAJA!$D$64:$BK$64,1,AN$13)*IF(IFERROR(VALUE($D55&amp;""),0)&gt;0,IF(AN$14=MIN(VALUE($D55&amp;""),AN$15),1,0),IF($D55="Q",IF(AN$14=MIN(2,AN$15),0.5,0)+IF(AN$14=AN$15,0.5,0),IF($D55="U",IF(AN$14=AN$15,1,0),1/AN$15)))</f>
        <v>1272</v>
      </c>
      <c r="AO55" s="498" t="n">
        <f aca="false">INDEX(FC_FLUJO_CAJA!$D$64:$BK$64,1,AO$13)*IF(IFERROR(VALUE($D55&amp;""),0)&gt;0,IF(AO$14=MIN(VALUE($D55&amp;""),AO$15),1,0),IF($D55="Q",IF(AO$14=MIN(2,AO$15),0.5,0)+IF(AO$14=AO$15,0.5,0),IF($D55="U",IF(AO$14=AO$15,1,0),1/AO$15)))</f>
        <v>2780</v>
      </c>
      <c r="AP55" s="498" t="n">
        <f aca="false">INDEX(FC_FLUJO_CAJA!$D$64:$BK$64,1,AP$13)*IF(IFERROR(VALUE($D55&amp;""),0)&gt;0,IF(AP$14=MIN(VALUE($D55&amp;""),AP$15),1,0),IF($D55="Q",IF(AP$14=MIN(2,AP$15),0.5,0)+IF(AP$14=AP$15,0.5,0),IF($D55="U",IF(AP$14=AP$15,1,0),1/AP$15)))</f>
        <v>2780</v>
      </c>
      <c r="AQ55" s="498" t="n">
        <f aca="false">INDEX(FC_FLUJO_CAJA!$D$64:$BK$64,1,AQ$13)*IF(IFERROR(VALUE($D55&amp;""),0)&gt;0,IF(AQ$14=MIN(VALUE($D55&amp;""),AQ$15),1,0),IF($D55="Q",IF(AQ$14=MIN(2,AQ$15),0.5,0)+IF(AQ$14=AQ$15,0.5,0),IF($D55="U",IF(AQ$14=AQ$15,1,0),1/AQ$15)))</f>
        <v>2780</v>
      </c>
      <c r="AR55" s="498" t="n">
        <f aca="false">INDEX(FC_FLUJO_CAJA!$D$64:$BK$64,1,AR$13)*IF(IFERROR(VALUE($D55&amp;""),0)&gt;0,IF(AR$14=MIN(VALUE($D55&amp;""),AR$15),1,0),IF($D55="Q",IF(AR$14=MIN(2,AR$15),0.5,0)+IF(AR$14=AR$15,0.5,0),IF($D55="U",IF(AR$14=AR$15,1,0),1/AR$15)))</f>
        <v>2780</v>
      </c>
      <c r="AS55" s="498" t="n">
        <f aca="false">INDEX(FC_FLUJO_CAJA!$D$64:$BK$64,1,AS$13)*IF(IFERROR(VALUE($D55&amp;""),0)&gt;0,IF(AS$14=MIN(VALUE($D55&amp;""),AS$15),1,0),IF($D55="Q",IF(AS$14=MIN(2,AS$15),0.5,0)+IF(AS$14=AS$15,0.5,0),IF($D55="U",IF(AS$14=AS$15,1,0),1/AS$15)))</f>
        <v>2858.75</v>
      </c>
      <c r="AT55" s="498" t="n">
        <f aca="false">INDEX(FC_FLUJO_CAJA!$D$64:$BK$64,1,AT$13)*IF(IFERROR(VALUE($D55&amp;""),0)&gt;0,IF(AT$14=MIN(VALUE($D55&amp;""),AT$15),1,0),IF($D55="Q",IF(AT$14=MIN(2,AT$15),0.5,0)+IF(AT$14=AT$15,0.5,0),IF($D55="U",IF(AT$14=AT$15,1,0),1/AT$15)))</f>
        <v>2858.75</v>
      </c>
      <c r="AU55" s="498" t="n">
        <f aca="false">INDEX(FC_FLUJO_CAJA!$D$64:$BK$64,1,AU$13)*IF(IFERROR(VALUE($D55&amp;""),0)&gt;0,IF(AU$14=MIN(VALUE($D55&amp;""),AU$15),1,0),IF($D55="Q",IF(AU$14=MIN(2,AU$15),0.5,0)+IF(AU$14=AU$15,0.5,0),IF($D55="U",IF(AU$14=AU$15,1,0),1/AU$15)))</f>
        <v>2858.75</v>
      </c>
      <c r="AV55" s="498" t="n">
        <f aca="false">INDEX(FC_FLUJO_CAJA!$D$64:$BK$64,1,AV$13)*IF(IFERROR(VALUE($D55&amp;""),0)&gt;0,IF(AV$14=MIN(VALUE($D55&amp;""),AV$15),1,0),IF($D55="Q",IF(AV$14=MIN(2,AV$15),0.5,0)+IF(AV$14=AV$15,0.5,0),IF($D55="U",IF(AV$14=AV$15,1,0),1/AV$15)))</f>
        <v>2858.75</v>
      </c>
      <c r="AW55" s="498" t="n">
        <f aca="false">INDEX(FC_FLUJO_CAJA!$D$64:$BK$64,1,AW$13)*IF(IFERROR(VALUE($D55&amp;""),0)&gt;0,IF(AW$14=MIN(VALUE($D55&amp;""),AW$15),1,0),IF($D55="Q",IF(AW$14=MIN(2,AW$15),0.5,0)+IF(AW$14=AW$15,0.5,0),IF($D55="U",IF(AW$14=AW$15,1,0),1/AW$15)))</f>
        <v>2693</v>
      </c>
      <c r="AX55" s="498" t="n">
        <f aca="false">INDEX(FC_FLUJO_CAJA!$D$64:$BK$64,1,AX$13)*IF(IFERROR(VALUE($D55&amp;""),0)&gt;0,IF(AX$14=MIN(VALUE($D55&amp;""),AX$15),1,0),IF($D55="Q",IF(AX$14=MIN(2,AX$15),0.5,0)+IF(AX$14=AX$15,0.5,0),IF($D55="U",IF(AX$14=AX$15,1,0),1/AX$15)))</f>
        <v>2693</v>
      </c>
      <c r="AY55" s="498" t="n">
        <f aca="false">INDEX(FC_FLUJO_CAJA!$D$64:$BK$64,1,AY$13)*IF(IFERROR(VALUE($D55&amp;""),0)&gt;0,IF(AY$14=MIN(VALUE($D55&amp;""),AY$15),1,0),IF($D55="Q",IF(AY$14=MIN(2,AY$15),0.5,0)+IF(AY$14=AY$15,0.5,0),IF($D55="U",IF(AY$14=AY$15,1,0),1/AY$15)))</f>
        <v>2693</v>
      </c>
      <c r="AZ55" s="498" t="n">
        <f aca="false">INDEX(FC_FLUJO_CAJA!$D$64:$BK$64,1,AZ$13)*IF(IFERROR(VALUE($D55&amp;""),0)&gt;0,IF(AZ$14=MIN(VALUE($D55&amp;""),AZ$15),1,0),IF($D55="Q",IF(AZ$14=MIN(2,AZ$15),0.5,0)+IF(AZ$14=AZ$15,0.5,0),IF($D55="U",IF(AZ$14=AZ$15,1,0),1/AZ$15)))</f>
        <v>2693</v>
      </c>
      <c r="BA55" s="498" t="n">
        <f aca="false">INDEX(FC_FLUJO_CAJA!$D$64:$BK$64,1,BA$13)*IF(IFERROR(VALUE($D55&amp;""),0)&gt;0,IF(BA$14=MIN(VALUE($D55&amp;""),BA$15),1,0),IF($D55="Q",IF(BA$14=MIN(2,BA$15),0.5,0)+IF(BA$14=BA$15,0.5,0),IF($D55="U",IF(BA$14=BA$15,1,0),1/BA$15)))</f>
        <v>2693</v>
      </c>
      <c r="BB55" s="498" t="n">
        <f aca="false">INDEX(FC_FLUJO_CAJA!$D$64:$BK$64,1,BB$13)*IF(IFERROR(VALUE($D55&amp;""),0)&gt;0,IF(BB$14=MIN(VALUE($D55&amp;""),BB$15),1,0),IF($D55="Q",IF(BB$14=MIN(2,BB$15),0.5,0)+IF(BB$14=BB$15,0.5,0),IF($D55="U",IF(BB$14=BB$15,1,0),1/BB$15)))</f>
        <v>3615</v>
      </c>
      <c r="BC55" s="498" t="n">
        <f aca="false">INDEX(FC_FLUJO_CAJA!$D$64:$BK$64,1,BC$13)*IF(IFERROR(VALUE($D55&amp;""),0)&gt;0,IF(BC$14=MIN(VALUE($D55&amp;""),BC$15),1,0),IF($D55="Q",IF(BC$14=MIN(2,BC$15),0.5,0)+IF(BC$14=BC$15,0.5,0),IF($D55="U",IF(BC$14=BC$15,1,0),1/BC$15)))</f>
        <v>3615</v>
      </c>
      <c r="BD55" s="498" t="n">
        <f aca="false">INDEX(FC_FLUJO_CAJA!$D$64:$BK$64,1,BD$13)*IF(IFERROR(VALUE($D55&amp;""),0)&gt;0,IF(BD$14=MIN(VALUE($D55&amp;""),BD$15),1,0),IF($D55="Q",IF(BD$14=MIN(2,BD$15),0.5,0)+IF(BD$14=BD$15,0.5,0),IF($D55="U",IF(BD$14=BD$15,1,0),1/BD$15)))</f>
        <v>3615</v>
      </c>
      <c r="BE55" s="498" t="n">
        <f aca="false">INDEX(FC_FLUJO_CAJA!$D$64:$BK$64,1,BE$13)*IF(IFERROR(VALUE($D55&amp;""),0)&gt;0,IF(BE$14=MIN(VALUE($D55&amp;""),BE$15),1,0),IF($D55="Q",IF(BE$14=MIN(2,BE$15),0.5,0)+IF(BE$14=BE$15,0.5,0),IF($D55="U",IF(BE$14=BE$15,1,0),1/BE$15)))</f>
        <v>3615</v>
      </c>
    </row>
    <row r="56" customFormat="false" ht="15" hidden="false" customHeight="true" outlineLevel="0" collapsed="false">
      <c r="A56" s="400" t="s">
        <v>3171</v>
      </c>
      <c r="B56" s="283" t="s">
        <v>3172</v>
      </c>
      <c r="C56" s="531" t="s">
        <v>3102</v>
      </c>
      <c r="D56" s="289" t="n">
        <f aca="false">FC_SUPUESTOS!$C$155</f>
        <v>1</v>
      </c>
      <c r="E56" s="532" t="n">
        <f aca="false">SUM(F56:BE56)</f>
        <v>70800</v>
      </c>
      <c r="F56" s="498" t="n">
        <f aca="false">INDEX(FC_FLUJO_CAJA!$D$65:$BK$65,1,F$13)*IF(IFERROR(VALUE($D56&amp;""),0)&gt;0,IF(F$14=MIN(VALUE($D56&amp;""),F$15),1,0),IF($D56="Q",IF(F$14=MIN(2,F$15),0.5,0)+IF(F$14=F$15,0.5,0),IF($D56="U",IF(F$14=F$15,1,0),1/F$15)))</f>
        <v>0</v>
      </c>
      <c r="G56" s="498" t="n">
        <f aca="false">INDEX(FC_FLUJO_CAJA!$D$65:$BK$65,1,G$13)*IF(IFERROR(VALUE($D56&amp;""),0)&gt;0,IF(G$14=MIN(VALUE($D56&amp;""),G$15),1,0),IF($D56="Q",IF(G$14=MIN(2,G$15),0.5,0)+IF(G$14=G$15,0.5,0),IF($D56="U",IF(G$14=G$15,1,0),1/G$15)))</f>
        <v>0</v>
      </c>
      <c r="H56" s="498" t="n">
        <f aca="false">INDEX(FC_FLUJO_CAJA!$D$65:$BK$65,1,H$13)*IF(IFERROR(VALUE($D56&amp;""),0)&gt;0,IF(H$14=MIN(VALUE($D56&amp;""),H$15),1,0),IF($D56="Q",IF(H$14=MIN(2,H$15),0.5,0)+IF(H$14=H$15,0.5,0),IF($D56="U",IF(H$14=H$15,1,0),1/H$15)))</f>
        <v>0</v>
      </c>
      <c r="I56" s="498" t="n">
        <f aca="false">INDEX(FC_FLUJO_CAJA!$D$65:$BK$65,1,I$13)*IF(IFERROR(VALUE($D56&amp;""),0)&gt;0,IF(I$14=MIN(VALUE($D56&amp;""),I$15),1,0),IF($D56="Q",IF(I$14=MIN(2,I$15),0.5,0)+IF(I$14=I$15,0.5,0),IF($D56="U",IF(I$14=I$15,1,0),1/I$15)))</f>
        <v>0</v>
      </c>
      <c r="J56" s="498" t="n">
        <f aca="false">INDEX(FC_FLUJO_CAJA!$D$65:$BK$65,1,J$13)*IF(IFERROR(VALUE($D56&amp;""),0)&gt;0,IF(J$14=MIN(VALUE($D56&amp;""),J$15),1,0),IF($D56="Q",IF(J$14=MIN(2,J$15),0.5,0)+IF(J$14=J$15,0.5,0),IF($D56="U",IF(J$14=J$15,1,0),1/J$15)))</f>
        <v>0</v>
      </c>
      <c r="K56" s="498" t="n">
        <f aca="false">INDEX(FC_FLUJO_CAJA!$D$65:$BK$65,1,K$13)*IF(IFERROR(VALUE($D56&amp;""),0)&gt;0,IF(K$14=MIN(VALUE($D56&amp;""),K$15),1,0),IF($D56="Q",IF(K$14=MIN(2,K$15),0.5,0)+IF(K$14=K$15,0.5,0),IF($D56="U",IF(K$14=K$15,1,0),1/K$15)))</f>
        <v>0</v>
      </c>
      <c r="L56" s="498" t="n">
        <f aca="false">INDEX(FC_FLUJO_CAJA!$D$65:$BK$65,1,L$13)*IF(IFERROR(VALUE($D56&amp;""),0)&gt;0,IF(L$14=MIN(VALUE($D56&amp;""),L$15),1,0),IF($D56="Q",IF(L$14=MIN(2,L$15),0.5,0)+IF(L$14=L$15,0.5,0),IF($D56="U",IF(L$14=L$15,1,0),1/L$15)))</f>
        <v>0</v>
      </c>
      <c r="M56" s="498" t="n">
        <f aca="false">INDEX(FC_FLUJO_CAJA!$D$65:$BK$65,1,M$13)*IF(IFERROR(VALUE($D56&amp;""),0)&gt;0,IF(M$14=MIN(VALUE($D56&amp;""),M$15),1,0),IF($D56="Q",IF(M$14=MIN(2,M$15),0.5,0)+IF(M$14=M$15,0.5,0),IF($D56="U",IF(M$14=M$15,1,0),1/M$15)))</f>
        <v>0</v>
      </c>
      <c r="N56" s="498" t="n">
        <f aca="false">INDEX(FC_FLUJO_CAJA!$D$65:$BK$65,1,N$13)*IF(IFERROR(VALUE($D56&amp;""),0)&gt;0,IF(N$14=MIN(VALUE($D56&amp;""),N$15),1,0),IF($D56="Q",IF(N$14=MIN(2,N$15),0.5,0)+IF(N$14=N$15,0.5,0),IF($D56="U",IF(N$14=N$15,1,0),1/N$15)))</f>
        <v>0</v>
      </c>
      <c r="O56" s="498" t="n">
        <f aca="false">INDEX(FC_FLUJO_CAJA!$D$65:$BK$65,1,O$13)*IF(IFERROR(VALUE($D56&amp;""),0)&gt;0,IF(O$14=MIN(VALUE($D56&amp;""),O$15),1,0),IF($D56="Q",IF(O$14=MIN(2,O$15),0.5,0)+IF(O$14=O$15,0.5,0),IF($D56="U",IF(O$14=O$15,1,0),1/O$15)))</f>
        <v>0</v>
      </c>
      <c r="P56" s="498" t="n">
        <f aca="false">INDEX(FC_FLUJO_CAJA!$D$65:$BK$65,1,P$13)*IF(IFERROR(VALUE($D56&amp;""),0)&gt;0,IF(P$14=MIN(VALUE($D56&amp;""),P$15),1,0),IF($D56="Q",IF(P$14=MIN(2,P$15),0.5,0)+IF(P$14=P$15,0.5,0),IF($D56="U",IF(P$14=P$15,1,0),1/P$15)))</f>
        <v>0</v>
      </c>
      <c r="Q56" s="498" t="n">
        <f aca="false">INDEX(FC_FLUJO_CAJA!$D$65:$BK$65,1,Q$13)*IF(IFERROR(VALUE($D56&amp;""),0)&gt;0,IF(Q$14=MIN(VALUE($D56&amp;""),Q$15),1,0),IF($D56="Q",IF(Q$14=MIN(2,Q$15),0.5,0)+IF(Q$14=Q$15,0.5,0),IF($D56="U",IF(Q$14=Q$15,1,0),1/Q$15)))</f>
        <v>0</v>
      </c>
      <c r="R56" s="498" t="n">
        <f aca="false">INDEX(FC_FLUJO_CAJA!$D$65:$BK$65,1,R$13)*IF(IFERROR(VALUE($D56&amp;""),0)&gt;0,IF(R$14=MIN(VALUE($D56&amp;""),R$15),1,0),IF($D56="Q",IF(R$14=MIN(2,R$15),0.5,0)+IF(R$14=R$15,0.5,0),IF($D56="U",IF(R$14=R$15,1,0),1/R$15)))</f>
        <v>0</v>
      </c>
      <c r="S56" s="498" t="n">
        <f aca="false">INDEX(FC_FLUJO_CAJA!$D$65:$BK$65,1,S$13)*IF(IFERROR(VALUE($D56&amp;""),0)&gt;0,IF(S$14=MIN(VALUE($D56&amp;""),S$15),1,0),IF($D56="Q",IF(S$14=MIN(2,S$15),0.5,0)+IF(S$14=S$15,0.5,0),IF($D56="U",IF(S$14=S$15,1,0),1/S$15)))</f>
        <v>0</v>
      </c>
      <c r="T56" s="498" t="n">
        <f aca="false">INDEX(FC_FLUJO_CAJA!$D$65:$BK$65,1,T$13)*IF(IFERROR(VALUE($D56&amp;""),0)&gt;0,IF(T$14=MIN(VALUE($D56&amp;""),T$15),1,0),IF($D56="Q",IF(T$14=MIN(2,T$15),0.5,0)+IF(T$14=T$15,0.5,0),IF($D56="U",IF(T$14=T$15,1,0),1/T$15)))</f>
        <v>0</v>
      </c>
      <c r="U56" s="498" t="n">
        <f aca="false">INDEX(FC_FLUJO_CAJA!$D$65:$BK$65,1,U$13)*IF(IFERROR(VALUE($D56&amp;""),0)&gt;0,IF(U$14=MIN(VALUE($D56&amp;""),U$15),1,0),IF($D56="Q",IF(U$14=MIN(2,U$15),0.5,0)+IF(U$14=U$15,0.5,0),IF($D56="U",IF(U$14=U$15,1,0),1/U$15)))</f>
        <v>0</v>
      </c>
      <c r="V56" s="498" t="n">
        <f aca="false">INDEX(FC_FLUJO_CAJA!$D$65:$BK$65,1,V$13)*IF(IFERROR(VALUE($D56&amp;""),0)&gt;0,IF(V$14=MIN(VALUE($D56&amp;""),V$15),1,0),IF($D56="Q",IF(V$14=MIN(2,V$15),0.5,0)+IF(V$14=V$15,0.5,0),IF($D56="U",IF(V$14=V$15,1,0),1/V$15)))</f>
        <v>0</v>
      </c>
      <c r="W56" s="498" t="n">
        <f aca="false">INDEX(FC_FLUJO_CAJA!$D$65:$BK$65,1,W$13)*IF(IFERROR(VALUE($D56&amp;""),0)&gt;0,IF(W$14=MIN(VALUE($D56&amp;""),W$15),1,0),IF($D56="Q",IF(W$14=MIN(2,W$15),0.5,0)+IF(W$14=W$15,0.5,0),IF($D56="U",IF(W$14=W$15,1,0),1/W$15)))</f>
        <v>0</v>
      </c>
      <c r="X56" s="498" t="n">
        <f aca="false">INDEX(FC_FLUJO_CAJA!$D$65:$BK$65,1,X$13)*IF(IFERROR(VALUE($D56&amp;""),0)&gt;0,IF(X$14=MIN(VALUE($D56&amp;""),X$15),1,0),IF($D56="Q",IF(X$14=MIN(2,X$15),0.5,0)+IF(X$14=X$15,0.5,0),IF($D56="U",IF(X$14=X$15,1,0),1/X$15)))</f>
        <v>0</v>
      </c>
      <c r="Y56" s="498" t="n">
        <f aca="false">INDEX(FC_FLUJO_CAJA!$D$65:$BK$65,1,Y$13)*IF(IFERROR(VALUE($D56&amp;""),0)&gt;0,IF(Y$14=MIN(VALUE($D56&amp;""),Y$15),1,0),IF($D56="Q",IF(Y$14=MIN(2,Y$15),0.5,0)+IF(Y$14=Y$15,0.5,0),IF($D56="U",IF(Y$14=Y$15,1,0),1/Y$15)))</f>
        <v>0</v>
      </c>
      <c r="Z56" s="498" t="n">
        <f aca="false">INDEX(FC_FLUJO_CAJA!$D$65:$BK$65,1,Z$13)*IF(IFERROR(VALUE($D56&amp;""),0)&gt;0,IF(Z$14=MIN(VALUE($D56&amp;""),Z$15),1,0),IF($D56="Q",IF(Z$14=MIN(2,Z$15),0.5,0)+IF(Z$14=Z$15,0.5,0),IF($D56="U",IF(Z$14=Z$15,1,0),1/Z$15)))</f>
        <v>0</v>
      </c>
      <c r="AA56" s="498" t="n">
        <f aca="false">INDEX(FC_FLUJO_CAJA!$D$65:$BK$65,1,AA$13)*IF(IFERROR(VALUE($D56&amp;""),0)&gt;0,IF(AA$14=MIN(VALUE($D56&amp;""),AA$15),1,0),IF($D56="Q",IF(AA$14=MIN(2,AA$15),0.5,0)+IF(AA$14=AA$15,0.5,0),IF($D56="U",IF(AA$14=AA$15,1,0),1/AA$15)))</f>
        <v>0</v>
      </c>
      <c r="AB56" s="498" t="n">
        <f aca="false">INDEX(FC_FLUJO_CAJA!$D$65:$BK$65,1,AB$13)*IF(IFERROR(VALUE($D56&amp;""),0)&gt;0,IF(AB$14=MIN(VALUE($D56&amp;""),AB$15),1,0),IF($D56="Q",IF(AB$14=MIN(2,AB$15),0.5,0)+IF(AB$14=AB$15,0.5,0),IF($D56="U",IF(AB$14=AB$15,1,0),1/AB$15)))</f>
        <v>0</v>
      </c>
      <c r="AC56" s="498" t="n">
        <f aca="false">INDEX(FC_FLUJO_CAJA!$D$65:$BK$65,1,AC$13)*IF(IFERROR(VALUE($D56&amp;""),0)&gt;0,IF(AC$14=MIN(VALUE($D56&amp;""),AC$15),1,0),IF($D56="Q",IF(AC$14=MIN(2,AC$15),0.5,0)+IF(AC$14=AC$15,0.5,0),IF($D56="U",IF(AC$14=AC$15,1,0),1/AC$15)))</f>
        <v>0</v>
      </c>
      <c r="AD56" s="498" t="n">
        <f aca="false">INDEX(FC_FLUJO_CAJA!$D$65:$BK$65,1,AD$13)*IF(IFERROR(VALUE($D56&amp;""),0)&gt;0,IF(AD$14=MIN(VALUE($D56&amp;""),AD$15),1,0),IF($D56="Q",IF(AD$14=MIN(2,AD$15),0.5,0)+IF(AD$14=AD$15,0.5,0),IF($D56="U",IF(AD$14=AD$15,1,0),1/AD$15)))</f>
        <v>0</v>
      </c>
      <c r="AE56" s="498" t="n">
        <f aca="false">INDEX(FC_FLUJO_CAJA!$D$65:$BK$65,1,AE$13)*IF(IFERROR(VALUE($D56&amp;""),0)&gt;0,IF(AE$14=MIN(VALUE($D56&amp;""),AE$15),1,0),IF($D56="Q",IF(AE$14=MIN(2,AE$15),0.5,0)+IF(AE$14=AE$15,0.5,0),IF($D56="U",IF(AE$14=AE$15,1,0),1/AE$15)))</f>
        <v>0</v>
      </c>
      <c r="AF56" s="498" t="n">
        <f aca="false">INDEX(FC_FLUJO_CAJA!$D$65:$BK$65,1,AF$13)*IF(IFERROR(VALUE($D56&amp;""),0)&gt;0,IF(AF$14=MIN(VALUE($D56&amp;""),AF$15),1,0),IF($D56="Q",IF(AF$14=MIN(2,AF$15),0.5,0)+IF(AF$14=AF$15,0.5,0),IF($D56="U",IF(AF$14=AF$15,1,0),1/AF$15)))</f>
        <v>12000</v>
      </c>
      <c r="AG56" s="498" t="n">
        <f aca="false">INDEX(FC_FLUJO_CAJA!$D$65:$BK$65,1,AG$13)*IF(IFERROR(VALUE($D56&amp;""),0)&gt;0,IF(AG$14=MIN(VALUE($D56&amp;""),AG$15),1,0),IF($D56="Q",IF(AG$14=MIN(2,AG$15),0.5,0)+IF(AG$14=AG$15,0.5,0),IF($D56="U",IF(AG$14=AG$15,1,0),1/AG$15)))</f>
        <v>0</v>
      </c>
      <c r="AH56" s="498" t="n">
        <f aca="false">INDEX(FC_FLUJO_CAJA!$D$65:$BK$65,1,AH$13)*IF(IFERROR(VALUE($D56&amp;""),0)&gt;0,IF(AH$14=MIN(VALUE($D56&amp;""),AH$15),1,0),IF($D56="Q",IF(AH$14=MIN(2,AH$15),0.5,0)+IF(AH$14=AH$15,0.5,0),IF($D56="U",IF(AH$14=AH$15,1,0),1/AH$15)))</f>
        <v>0</v>
      </c>
      <c r="AI56" s="498" t="n">
        <f aca="false">INDEX(FC_FLUJO_CAJA!$D$65:$BK$65,1,AI$13)*IF(IFERROR(VALUE($D56&amp;""),0)&gt;0,IF(AI$14=MIN(VALUE($D56&amp;""),AI$15),1,0),IF($D56="Q",IF(AI$14=MIN(2,AI$15),0.5,0)+IF(AI$14=AI$15,0.5,0),IF($D56="U",IF(AI$14=AI$15,1,0),1/AI$15)))</f>
        <v>0</v>
      </c>
      <c r="AJ56" s="498" t="n">
        <f aca="false">INDEX(FC_FLUJO_CAJA!$D$65:$BK$65,1,AJ$13)*IF(IFERROR(VALUE($D56&amp;""),0)&gt;0,IF(AJ$14=MIN(VALUE($D56&amp;""),AJ$15),1,0),IF($D56="Q",IF(AJ$14=MIN(2,AJ$15),0.5,0)+IF(AJ$14=AJ$15,0.5,0),IF($D56="U",IF(AJ$14=AJ$15,1,0),1/AJ$15)))</f>
        <v>12000</v>
      </c>
      <c r="AK56" s="498" t="n">
        <f aca="false">INDEX(FC_FLUJO_CAJA!$D$65:$BK$65,1,AK$13)*IF(IFERROR(VALUE($D56&amp;""),0)&gt;0,IF(AK$14=MIN(VALUE($D56&amp;""),AK$15),1,0),IF($D56="Q",IF(AK$14=MIN(2,AK$15),0.5,0)+IF(AK$14=AK$15,0.5,0),IF($D56="U",IF(AK$14=AK$15,1,0),1/AK$15)))</f>
        <v>0</v>
      </c>
      <c r="AL56" s="498" t="n">
        <f aca="false">INDEX(FC_FLUJO_CAJA!$D$65:$BK$65,1,AL$13)*IF(IFERROR(VALUE($D56&amp;""),0)&gt;0,IF(AL$14=MIN(VALUE($D56&amp;""),AL$15),1,0),IF($D56="Q",IF(AL$14=MIN(2,AL$15),0.5,0)+IF(AL$14=AL$15,0.5,0),IF($D56="U",IF(AL$14=AL$15,1,0),1/AL$15)))</f>
        <v>0</v>
      </c>
      <c r="AM56" s="498" t="n">
        <f aca="false">INDEX(FC_FLUJO_CAJA!$D$65:$BK$65,1,AM$13)*IF(IFERROR(VALUE($D56&amp;""),0)&gt;0,IF(AM$14=MIN(VALUE($D56&amp;""),AM$15),1,0),IF($D56="Q",IF(AM$14=MIN(2,AM$15),0.5,0)+IF(AM$14=AM$15,0.5,0),IF($D56="U",IF(AM$14=AM$15,1,0),1/AM$15)))</f>
        <v>0</v>
      </c>
      <c r="AN56" s="498" t="n">
        <f aca="false">INDEX(FC_FLUJO_CAJA!$D$65:$BK$65,1,AN$13)*IF(IFERROR(VALUE($D56&amp;""),0)&gt;0,IF(AN$14=MIN(VALUE($D56&amp;""),AN$15),1,0),IF($D56="Q",IF(AN$14=MIN(2,AN$15),0.5,0)+IF(AN$14=AN$15,0.5,0),IF($D56="U",IF(AN$14=AN$15,1,0),1/AN$15)))</f>
        <v>0</v>
      </c>
      <c r="AO56" s="498" t="n">
        <f aca="false">INDEX(FC_FLUJO_CAJA!$D$65:$BK$65,1,AO$13)*IF(IFERROR(VALUE($D56&amp;""),0)&gt;0,IF(AO$14=MIN(VALUE($D56&amp;""),AO$15),1,0),IF($D56="Q",IF(AO$14=MIN(2,AO$15),0.5,0)+IF(AO$14=AO$15,0.5,0),IF($D56="U",IF(AO$14=AO$15,1,0),1/AO$15)))</f>
        <v>12000</v>
      </c>
      <c r="AP56" s="498" t="n">
        <f aca="false">INDEX(FC_FLUJO_CAJA!$D$65:$BK$65,1,AP$13)*IF(IFERROR(VALUE($D56&amp;""),0)&gt;0,IF(AP$14=MIN(VALUE($D56&amp;""),AP$15),1,0),IF($D56="Q",IF(AP$14=MIN(2,AP$15),0.5,0)+IF(AP$14=AP$15,0.5,0),IF($D56="U",IF(AP$14=AP$15,1,0),1/AP$15)))</f>
        <v>0</v>
      </c>
      <c r="AQ56" s="498" t="n">
        <f aca="false">INDEX(FC_FLUJO_CAJA!$D$65:$BK$65,1,AQ$13)*IF(IFERROR(VALUE($D56&amp;""),0)&gt;0,IF(AQ$14=MIN(VALUE($D56&amp;""),AQ$15),1,0),IF($D56="Q",IF(AQ$14=MIN(2,AQ$15),0.5,0)+IF(AQ$14=AQ$15,0.5,0),IF($D56="U",IF(AQ$14=AQ$15,1,0),1/AQ$15)))</f>
        <v>0</v>
      </c>
      <c r="AR56" s="498" t="n">
        <f aca="false">INDEX(FC_FLUJO_CAJA!$D$65:$BK$65,1,AR$13)*IF(IFERROR(VALUE($D56&amp;""),0)&gt;0,IF(AR$14=MIN(VALUE($D56&amp;""),AR$15),1,0),IF($D56="Q",IF(AR$14=MIN(2,AR$15),0.5,0)+IF(AR$14=AR$15,0.5,0),IF($D56="U",IF(AR$14=AR$15,1,0),1/AR$15)))</f>
        <v>0</v>
      </c>
      <c r="AS56" s="498" t="n">
        <f aca="false">INDEX(FC_FLUJO_CAJA!$D$65:$BK$65,1,AS$13)*IF(IFERROR(VALUE($D56&amp;""),0)&gt;0,IF(AS$14=MIN(VALUE($D56&amp;""),AS$15),1,0),IF($D56="Q",IF(AS$14=MIN(2,AS$15),0.5,0)+IF(AS$14=AS$15,0.5,0),IF($D56="U",IF(AS$14=AS$15,1,0),1/AS$15)))</f>
        <v>15600</v>
      </c>
      <c r="AT56" s="498" t="n">
        <f aca="false">INDEX(FC_FLUJO_CAJA!$D$65:$BK$65,1,AT$13)*IF(IFERROR(VALUE($D56&amp;""),0)&gt;0,IF(AT$14=MIN(VALUE($D56&amp;""),AT$15),1,0),IF($D56="Q",IF(AT$14=MIN(2,AT$15),0.5,0)+IF(AT$14=AT$15,0.5,0),IF($D56="U",IF(AT$14=AT$15,1,0),1/AT$15)))</f>
        <v>0</v>
      </c>
      <c r="AU56" s="498" t="n">
        <f aca="false">INDEX(FC_FLUJO_CAJA!$D$65:$BK$65,1,AU$13)*IF(IFERROR(VALUE($D56&amp;""),0)&gt;0,IF(AU$14=MIN(VALUE($D56&amp;""),AU$15),1,0),IF($D56="Q",IF(AU$14=MIN(2,AU$15),0.5,0)+IF(AU$14=AU$15,0.5,0),IF($D56="U",IF(AU$14=AU$15,1,0),1/AU$15)))</f>
        <v>0</v>
      </c>
      <c r="AV56" s="498" t="n">
        <f aca="false">INDEX(FC_FLUJO_CAJA!$D$65:$BK$65,1,AV$13)*IF(IFERROR(VALUE($D56&amp;""),0)&gt;0,IF(AV$14=MIN(VALUE($D56&amp;""),AV$15),1,0),IF($D56="Q",IF(AV$14=MIN(2,AV$15),0.5,0)+IF(AV$14=AV$15,0.5,0),IF($D56="U",IF(AV$14=AV$15,1,0),1/AV$15)))</f>
        <v>0</v>
      </c>
      <c r="AW56" s="498" t="n">
        <f aca="false">INDEX(FC_FLUJO_CAJA!$D$65:$BK$65,1,AW$13)*IF(IFERROR(VALUE($D56&amp;""),0)&gt;0,IF(AW$14=MIN(VALUE($D56&amp;""),AW$15),1,0),IF($D56="Q",IF(AW$14=MIN(2,AW$15),0.5,0)+IF(AW$14=AW$15,0.5,0),IF($D56="U",IF(AW$14=AW$15,1,0),1/AW$15)))</f>
        <v>19200</v>
      </c>
      <c r="AX56" s="498" t="n">
        <f aca="false">INDEX(FC_FLUJO_CAJA!$D$65:$BK$65,1,AX$13)*IF(IFERROR(VALUE($D56&amp;""),0)&gt;0,IF(AX$14=MIN(VALUE($D56&amp;""),AX$15),1,0),IF($D56="Q",IF(AX$14=MIN(2,AX$15),0.5,0)+IF(AX$14=AX$15,0.5,0),IF($D56="U",IF(AX$14=AX$15,1,0),1/AX$15)))</f>
        <v>0</v>
      </c>
      <c r="AY56" s="498" t="n">
        <f aca="false">INDEX(FC_FLUJO_CAJA!$D$65:$BK$65,1,AY$13)*IF(IFERROR(VALUE($D56&amp;""),0)&gt;0,IF(AY$14=MIN(VALUE($D56&amp;""),AY$15),1,0),IF($D56="Q",IF(AY$14=MIN(2,AY$15),0.5,0)+IF(AY$14=AY$15,0.5,0),IF($D56="U",IF(AY$14=AY$15,1,0),1/AY$15)))</f>
        <v>0</v>
      </c>
      <c r="AZ56" s="498" t="n">
        <f aca="false">INDEX(FC_FLUJO_CAJA!$D$65:$BK$65,1,AZ$13)*IF(IFERROR(VALUE($D56&amp;""),0)&gt;0,IF(AZ$14=MIN(VALUE($D56&amp;""),AZ$15),1,0),IF($D56="Q",IF(AZ$14=MIN(2,AZ$15),0.5,0)+IF(AZ$14=AZ$15,0.5,0),IF($D56="U",IF(AZ$14=AZ$15,1,0),1/AZ$15)))</f>
        <v>0</v>
      </c>
      <c r="BA56" s="498" t="n">
        <f aca="false">INDEX(FC_FLUJO_CAJA!$D$65:$BK$65,1,BA$13)*IF(IFERROR(VALUE($D56&amp;""),0)&gt;0,IF(BA$14=MIN(VALUE($D56&amp;""),BA$15),1,0),IF($D56="Q",IF(BA$14=MIN(2,BA$15),0.5,0)+IF(BA$14=BA$15,0.5,0),IF($D56="U",IF(BA$14=BA$15,1,0),1/BA$15)))</f>
        <v>0</v>
      </c>
      <c r="BB56" s="498" t="n">
        <f aca="false">INDEX(FC_FLUJO_CAJA!$D$65:$BK$65,1,BB$13)*IF(IFERROR(VALUE($D56&amp;""),0)&gt;0,IF(BB$14=MIN(VALUE($D56&amp;""),BB$15),1,0),IF($D56="Q",IF(BB$14=MIN(2,BB$15),0.5,0)+IF(BB$14=BB$15,0.5,0),IF($D56="U",IF(BB$14=BB$15,1,0),1/BB$15)))</f>
        <v>0</v>
      </c>
      <c r="BC56" s="498" t="n">
        <f aca="false">INDEX(FC_FLUJO_CAJA!$D$65:$BK$65,1,BC$13)*IF(IFERROR(VALUE($D56&amp;""),0)&gt;0,IF(BC$14=MIN(VALUE($D56&amp;""),BC$15),1,0),IF($D56="Q",IF(BC$14=MIN(2,BC$15),0.5,0)+IF(BC$14=BC$15,0.5,0),IF($D56="U",IF(BC$14=BC$15,1,0),1/BC$15)))</f>
        <v>0</v>
      </c>
      <c r="BD56" s="498" t="n">
        <f aca="false">INDEX(FC_FLUJO_CAJA!$D$65:$BK$65,1,BD$13)*IF(IFERROR(VALUE($D56&amp;""),0)&gt;0,IF(BD$14=MIN(VALUE($D56&amp;""),BD$15),1,0),IF($D56="Q",IF(BD$14=MIN(2,BD$15),0.5,0)+IF(BD$14=BD$15,0.5,0),IF($D56="U",IF(BD$14=BD$15,1,0),1/BD$15)))</f>
        <v>0</v>
      </c>
      <c r="BE56" s="498" t="n">
        <f aca="false">INDEX(FC_FLUJO_CAJA!$D$65:$BK$65,1,BE$13)*IF(IFERROR(VALUE($D56&amp;""),0)&gt;0,IF(BE$14=MIN(VALUE($D56&amp;""),BE$15),1,0),IF($D56="Q",IF(BE$14=MIN(2,BE$15),0.5,0)+IF(BE$14=BE$15,0.5,0),IF($D56="U",IF(BE$14=BE$15,1,0),1/BE$15)))</f>
        <v>0</v>
      </c>
    </row>
    <row r="57" customFormat="false" ht="15" hidden="false" customHeight="true" outlineLevel="0" collapsed="false">
      <c r="A57" s="400" t="s">
        <v>3173</v>
      </c>
      <c r="B57" s="283" t="s">
        <v>3174</v>
      </c>
      <c r="C57" s="531" t="s">
        <v>3102</v>
      </c>
      <c r="D57" s="289" t="n">
        <f aca="false">FC_SUPUESTOS!$C$156</f>
        <v>1</v>
      </c>
      <c r="E57" s="532" t="n">
        <f aca="false">SUM(F57:BE57)</f>
        <v>47200</v>
      </c>
      <c r="F57" s="498" t="n">
        <f aca="false">INDEX(FC_FLUJO_CAJA!$D$66:$BK$66,1,F$13)*IF(IFERROR(VALUE($D57&amp;""),0)&gt;0,IF(F$14=MIN(VALUE($D57&amp;""),F$15),1,0),IF($D57="Q",IF(F$14=MIN(2,F$15),0.5,0)+IF(F$14=F$15,0.5,0),IF($D57="U",IF(F$14=F$15,1,0),1/F$15)))</f>
        <v>0</v>
      </c>
      <c r="G57" s="498" t="n">
        <f aca="false">INDEX(FC_FLUJO_CAJA!$D$66:$BK$66,1,G$13)*IF(IFERROR(VALUE($D57&amp;""),0)&gt;0,IF(G$14=MIN(VALUE($D57&amp;""),G$15),1,0),IF($D57="Q",IF(G$14=MIN(2,G$15),0.5,0)+IF(G$14=G$15,0.5,0),IF($D57="U",IF(G$14=G$15,1,0),1/G$15)))</f>
        <v>0</v>
      </c>
      <c r="H57" s="498" t="n">
        <f aca="false">INDEX(FC_FLUJO_CAJA!$D$66:$BK$66,1,H$13)*IF(IFERROR(VALUE($D57&amp;""),0)&gt;0,IF(H$14=MIN(VALUE($D57&amp;""),H$15),1,0),IF($D57="Q",IF(H$14=MIN(2,H$15),0.5,0)+IF(H$14=H$15,0.5,0),IF($D57="U",IF(H$14=H$15,1,0),1/H$15)))</f>
        <v>0</v>
      </c>
      <c r="I57" s="498" t="n">
        <f aca="false">INDEX(FC_FLUJO_CAJA!$D$66:$BK$66,1,I$13)*IF(IFERROR(VALUE($D57&amp;""),0)&gt;0,IF(I$14=MIN(VALUE($D57&amp;""),I$15),1,0),IF($D57="Q",IF(I$14=MIN(2,I$15),0.5,0)+IF(I$14=I$15,0.5,0),IF($D57="U",IF(I$14=I$15,1,0),1/I$15)))</f>
        <v>0</v>
      </c>
      <c r="J57" s="498" t="n">
        <f aca="false">INDEX(FC_FLUJO_CAJA!$D$66:$BK$66,1,J$13)*IF(IFERROR(VALUE($D57&amp;""),0)&gt;0,IF(J$14=MIN(VALUE($D57&amp;""),J$15),1,0),IF($D57="Q",IF(J$14=MIN(2,J$15),0.5,0)+IF(J$14=J$15,0.5,0),IF($D57="U",IF(J$14=J$15,1,0),1/J$15)))</f>
        <v>0</v>
      </c>
      <c r="K57" s="498" t="n">
        <f aca="false">INDEX(FC_FLUJO_CAJA!$D$66:$BK$66,1,K$13)*IF(IFERROR(VALUE($D57&amp;""),0)&gt;0,IF(K$14=MIN(VALUE($D57&amp;""),K$15),1,0),IF($D57="Q",IF(K$14=MIN(2,K$15),0.5,0)+IF(K$14=K$15,0.5,0),IF($D57="U",IF(K$14=K$15,1,0),1/K$15)))</f>
        <v>0</v>
      </c>
      <c r="L57" s="498" t="n">
        <f aca="false">INDEX(FC_FLUJO_CAJA!$D$66:$BK$66,1,L$13)*IF(IFERROR(VALUE($D57&amp;""),0)&gt;0,IF(L$14=MIN(VALUE($D57&amp;""),L$15),1,0),IF($D57="Q",IF(L$14=MIN(2,L$15),0.5,0)+IF(L$14=L$15,0.5,0),IF($D57="U",IF(L$14=L$15,1,0),1/L$15)))</f>
        <v>0</v>
      </c>
      <c r="M57" s="498" t="n">
        <f aca="false">INDEX(FC_FLUJO_CAJA!$D$66:$BK$66,1,M$13)*IF(IFERROR(VALUE($D57&amp;""),0)&gt;0,IF(M$14=MIN(VALUE($D57&amp;""),M$15),1,0),IF($D57="Q",IF(M$14=MIN(2,M$15),0.5,0)+IF(M$14=M$15,0.5,0),IF($D57="U",IF(M$14=M$15,1,0),1/M$15)))</f>
        <v>0</v>
      </c>
      <c r="N57" s="498" t="n">
        <f aca="false">INDEX(FC_FLUJO_CAJA!$D$66:$BK$66,1,N$13)*IF(IFERROR(VALUE($D57&amp;""),0)&gt;0,IF(N$14=MIN(VALUE($D57&amp;""),N$15),1,0),IF($D57="Q",IF(N$14=MIN(2,N$15),0.5,0)+IF(N$14=N$15,0.5,0),IF($D57="U",IF(N$14=N$15,1,0),1/N$15)))</f>
        <v>0</v>
      </c>
      <c r="O57" s="498" t="n">
        <f aca="false">INDEX(FC_FLUJO_CAJA!$D$66:$BK$66,1,O$13)*IF(IFERROR(VALUE($D57&amp;""),0)&gt;0,IF(O$14=MIN(VALUE($D57&amp;""),O$15),1,0),IF($D57="Q",IF(O$14=MIN(2,O$15),0.5,0)+IF(O$14=O$15,0.5,0),IF($D57="U",IF(O$14=O$15,1,0),1/O$15)))</f>
        <v>0</v>
      </c>
      <c r="P57" s="498" t="n">
        <f aca="false">INDEX(FC_FLUJO_CAJA!$D$66:$BK$66,1,P$13)*IF(IFERROR(VALUE($D57&amp;""),0)&gt;0,IF(P$14=MIN(VALUE($D57&amp;""),P$15),1,0),IF($D57="Q",IF(P$14=MIN(2,P$15),0.5,0)+IF(P$14=P$15,0.5,0),IF($D57="U",IF(P$14=P$15,1,0),1/P$15)))</f>
        <v>0</v>
      </c>
      <c r="Q57" s="498" t="n">
        <f aca="false">INDEX(FC_FLUJO_CAJA!$D$66:$BK$66,1,Q$13)*IF(IFERROR(VALUE($D57&amp;""),0)&gt;0,IF(Q$14=MIN(VALUE($D57&amp;""),Q$15),1,0),IF($D57="Q",IF(Q$14=MIN(2,Q$15),0.5,0)+IF(Q$14=Q$15,0.5,0),IF($D57="U",IF(Q$14=Q$15,1,0),1/Q$15)))</f>
        <v>0</v>
      </c>
      <c r="R57" s="498" t="n">
        <f aca="false">INDEX(FC_FLUJO_CAJA!$D$66:$BK$66,1,R$13)*IF(IFERROR(VALUE($D57&amp;""),0)&gt;0,IF(R$14=MIN(VALUE($D57&amp;""),R$15),1,0),IF($D57="Q",IF(R$14=MIN(2,R$15),0.5,0)+IF(R$14=R$15,0.5,0),IF($D57="U",IF(R$14=R$15,1,0),1/R$15)))</f>
        <v>0</v>
      </c>
      <c r="S57" s="498" t="n">
        <f aca="false">INDEX(FC_FLUJO_CAJA!$D$66:$BK$66,1,S$13)*IF(IFERROR(VALUE($D57&amp;""),0)&gt;0,IF(S$14=MIN(VALUE($D57&amp;""),S$15),1,0),IF($D57="Q",IF(S$14=MIN(2,S$15),0.5,0)+IF(S$14=S$15,0.5,0),IF($D57="U",IF(S$14=S$15,1,0),1/S$15)))</f>
        <v>0</v>
      </c>
      <c r="T57" s="498" t="n">
        <f aca="false">INDEX(FC_FLUJO_CAJA!$D$66:$BK$66,1,T$13)*IF(IFERROR(VALUE($D57&amp;""),0)&gt;0,IF(T$14=MIN(VALUE($D57&amp;""),T$15),1,0),IF($D57="Q",IF(T$14=MIN(2,T$15),0.5,0)+IF(T$14=T$15,0.5,0),IF($D57="U",IF(T$14=T$15,1,0),1/T$15)))</f>
        <v>0</v>
      </c>
      <c r="U57" s="498" t="n">
        <f aca="false">INDEX(FC_FLUJO_CAJA!$D$66:$BK$66,1,U$13)*IF(IFERROR(VALUE($D57&amp;""),0)&gt;0,IF(U$14=MIN(VALUE($D57&amp;""),U$15),1,0),IF($D57="Q",IF(U$14=MIN(2,U$15),0.5,0)+IF(U$14=U$15,0.5,0),IF($D57="U",IF(U$14=U$15,1,0),1/U$15)))</f>
        <v>0</v>
      </c>
      <c r="V57" s="498" t="n">
        <f aca="false">INDEX(FC_FLUJO_CAJA!$D$66:$BK$66,1,V$13)*IF(IFERROR(VALUE($D57&amp;""),0)&gt;0,IF(V$14=MIN(VALUE($D57&amp;""),V$15),1,0),IF($D57="Q",IF(V$14=MIN(2,V$15),0.5,0)+IF(V$14=V$15,0.5,0),IF($D57="U",IF(V$14=V$15,1,0),1/V$15)))</f>
        <v>0</v>
      </c>
      <c r="W57" s="498" t="n">
        <f aca="false">INDEX(FC_FLUJO_CAJA!$D$66:$BK$66,1,W$13)*IF(IFERROR(VALUE($D57&amp;""),0)&gt;0,IF(W$14=MIN(VALUE($D57&amp;""),W$15),1,0),IF($D57="Q",IF(W$14=MIN(2,W$15),0.5,0)+IF(W$14=W$15,0.5,0),IF($D57="U",IF(W$14=W$15,1,0),1/W$15)))</f>
        <v>0</v>
      </c>
      <c r="X57" s="498" t="n">
        <f aca="false">INDEX(FC_FLUJO_CAJA!$D$66:$BK$66,1,X$13)*IF(IFERROR(VALUE($D57&amp;""),0)&gt;0,IF(X$14=MIN(VALUE($D57&amp;""),X$15),1,0),IF($D57="Q",IF(X$14=MIN(2,X$15),0.5,0)+IF(X$14=X$15,0.5,0),IF($D57="U",IF(X$14=X$15,1,0),1/X$15)))</f>
        <v>0</v>
      </c>
      <c r="Y57" s="498" t="n">
        <f aca="false">INDEX(FC_FLUJO_CAJA!$D$66:$BK$66,1,Y$13)*IF(IFERROR(VALUE($D57&amp;""),0)&gt;0,IF(Y$14=MIN(VALUE($D57&amp;""),Y$15),1,0),IF($D57="Q",IF(Y$14=MIN(2,Y$15),0.5,0)+IF(Y$14=Y$15,0.5,0),IF($D57="U",IF(Y$14=Y$15,1,0),1/Y$15)))</f>
        <v>0</v>
      </c>
      <c r="Z57" s="498" t="n">
        <f aca="false">INDEX(FC_FLUJO_CAJA!$D$66:$BK$66,1,Z$13)*IF(IFERROR(VALUE($D57&amp;""),0)&gt;0,IF(Z$14=MIN(VALUE($D57&amp;""),Z$15),1,0),IF($D57="Q",IF(Z$14=MIN(2,Z$15),0.5,0)+IF(Z$14=Z$15,0.5,0),IF($D57="U",IF(Z$14=Z$15,1,0),1/Z$15)))</f>
        <v>0</v>
      </c>
      <c r="AA57" s="498" t="n">
        <f aca="false">INDEX(FC_FLUJO_CAJA!$D$66:$BK$66,1,AA$13)*IF(IFERROR(VALUE($D57&amp;""),0)&gt;0,IF(AA$14=MIN(VALUE($D57&amp;""),AA$15),1,0),IF($D57="Q",IF(AA$14=MIN(2,AA$15),0.5,0)+IF(AA$14=AA$15,0.5,0),IF($D57="U",IF(AA$14=AA$15,1,0),1/AA$15)))</f>
        <v>0</v>
      </c>
      <c r="AB57" s="498" t="n">
        <f aca="false">INDEX(FC_FLUJO_CAJA!$D$66:$BK$66,1,AB$13)*IF(IFERROR(VALUE($D57&amp;""),0)&gt;0,IF(AB$14=MIN(VALUE($D57&amp;""),AB$15),1,0),IF($D57="Q",IF(AB$14=MIN(2,AB$15),0.5,0)+IF(AB$14=AB$15,0.5,0),IF($D57="U",IF(AB$14=AB$15,1,0),1/AB$15)))</f>
        <v>0</v>
      </c>
      <c r="AC57" s="498" t="n">
        <f aca="false">INDEX(FC_FLUJO_CAJA!$D$66:$BK$66,1,AC$13)*IF(IFERROR(VALUE($D57&amp;""),0)&gt;0,IF(AC$14=MIN(VALUE($D57&amp;""),AC$15),1,0),IF($D57="Q",IF(AC$14=MIN(2,AC$15),0.5,0)+IF(AC$14=AC$15,0.5,0),IF($D57="U",IF(AC$14=AC$15,1,0),1/AC$15)))</f>
        <v>0</v>
      </c>
      <c r="AD57" s="498" t="n">
        <f aca="false">INDEX(FC_FLUJO_CAJA!$D$66:$BK$66,1,AD$13)*IF(IFERROR(VALUE($D57&amp;""),0)&gt;0,IF(AD$14=MIN(VALUE($D57&amp;""),AD$15),1,0),IF($D57="Q",IF(AD$14=MIN(2,AD$15),0.5,0)+IF(AD$14=AD$15,0.5,0),IF($D57="U",IF(AD$14=AD$15,1,0),1/AD$15)))</f>
        <v>0</v>
      </c>
      <c r="AE57" s="498" t="n">
        <f aca="false">INDEX(FC_FLUJO_CAJA!$D$66:$BK$66,1,AE$13)*IF(IFERROR(VALUE($D57&amp;""),0)&gt;0,IF(AE$14=MIN(VALUE($D57&amp;""),AE$15),1,0),IF($D57="Q",IF(AE$14=MIN(2,AE$15),0.5,0)+IF(AE$14=AE$15,0.5,0),IF($D57="U",IF(AE$14=AE$15,1,0),1/AE$15)))</f>
        <v>0</v>
      </c>
      <c r="AF57" s="498" t="n">
        <f aca="false">INDEX(FC_FLUJO_CAJA!$D$66:$BK$66,1,AF$13)*IF(IFERROR(VALUE($D57&amp;""),0)&gt;0,IF(AF$14=MIN(VALUE($D57&amp;""),AF$15),1,0),IF($D57="Q",IF(AF$14=MIN(2,AF$15),0.5,0)+IF(AF$14=AF$15,0.5,0),IF($D57="U",IF(AF$14=AF$15,1,0),1/AF$15)))</f>
        <v>8000</v>
      </c>
      <c r="AG57" s="498" t="n">
        <f aca="false">INDEX(FC_FLUJO_CAJA!$D$66:$BK$66,1,AG$13)*IF(IFERROR(VALUE($D57&amp;""),0)&gt;0,IF(AG$14=MIN(VALUE($D57&amp;""),AG$15),1,0),IF($D57="Q",IF(AG$14=MIN(2,AG$15),0.5,0)+IF(AG$14=AG$15,0.5,0),IF($D57="U",IF(AG$14=AG$15,1,0),1/AG$15)))</f>
        <v>0</v>
      </c>
      <c r="AH57" s="498" t="n">
        <f aca="false">INDEX(FC_FLUJO_CAJA!$D$66:$BK$66,1,AH$13)*IF(IFERROR(VALUE($D57&amp;""),0)&gt;0,IF(AH$14=MIN(VALUE($D57&amp;""),AH$15),1,0),IF($D57="Q",IF(AH$14=MIN(2,AH$15),0.5,0)+IF(AH$14=AH$15,0.5,0),IF($D57="U",IF(AH$14=AH$15,1,0),1/AH$15)))</f>
        <v>0</v>
      </c>
      <c r="AI57" s="498" t="n">
        <f aca="false">INDEX(FC_FLUJO_CAJA!$D$66:$BK$66,1,AI$13)*IF(IFERROR(VALUE($D57&amp;""),0)&gt;0,IF(AI$14=MIN(VALUE($D57&amp;""),AI$15),1,0),IF($D57="Q",IF(AI$14=MIN(2,AI$15),0.5,0)+IF(AI$14=AI$15,0.5,0),IF($D57="U",IF(AI$14=AI$15,1,0),1/AI$15)))</f>
        <v>0</v>
      </c>
      <c r="AJ57" s="498" t="n">
        <f aca="false">INDEX(FC_FLUJO_CAJA!$D$66:$BK$66,1,AJ$13)*IF(IFERROR(VALUE($D57&amp;""),0)&gt;0,IF(AJ$14=MIN(VALUE($D57&amp;""),AJ$15),1,0),IF($D57="Q",IF(AJ$14=MIN(2,AJ$15),0.5,0)+IF(AJ$14=AJ$15,0.5,0),IF($D57="U",IF(AJ$14=AJ$15,1,0),1/AJ$15)))</f>
        <v>8000</v>
      </c>
      <c r="AK57" s="498" t="n">
        <f aca="false">INDEX(FC_FLUJO_CAJA!$D$66:$BK$66,1,AK$13)*IF(IFERROR(VALUE($D57&amp;""),0)&gt;0,IF(AK$14=MIN(VALUE($D57&amp;""),AK$15),1,0),IF($D57="Q",IF(AK$14=MIN(2,AK$15),0.5,0)+IF(AK$14=AK$15,0.5,0),IF($D57="U",IF(AK$14=AK$15,1,0),1/AK$15)))</f>
        <v>0</v>
      </c>
      <c r="AL57" s="498" t="n">
        <f aca="false">INDEX(FC_FLUJO_CAJA!$D$66:$BK$66,1,AL$13)*IF(IFERROR(VALUE($D57&amp;""),0)&gt;0,IF(AL$14=MIN(VALUE($D57&amp;""),AL$15),1,0),IF($D57="Q",IF(AL$14=MIN(2,AL$15),0.5,0)+IF(AL$14=AL$15,0.5,0),IF($D57="U",IF(AL$14=AL$15,1,0),1/AL$15)))</f>
        <v>0</v>
      </c>
      <c r="AM57" s="498" t="n">
        <f aca="false">INDEX(FC_FLUJO_CAJA!$D$66:$BK$66,1,AM$13)*IF(IFERROR(VALUE($D57&amp;""),0)&gt;0,IF(AM$14=MIN(VALUE($D57&amp;""),AM$15),1,0),IF($D57="Q",IF(AM$14=MIN(2,AM$15),0.5,0)+IF(AM$14=AM$15,0.5,0),IF($D57="U",IF(AM$14=AM$15,1,0),1/AM$15)))</f>
        <v>0</v>
      </c>
      <c r="AN57" s="498" t="n">
        <f aca="false">INDEX(FC_FLUJO_CAJA!$D$66:$BK$66,1,AN$13)*IF(IFERROR(VALUE($D57&amp;""),0)&gt;0,IF(AN$14=MIN(VALUE($D57&amp;""),AN$15),1,0),IF($D57="Q",IF(AN$14=MIN(2,AN$15),0.5,0)+IF(AN$14=AN$15,0.5,0),IF($D57="U",IF(AN$14=AN$15,1,0),1/AN$15)))</f>
        <v>0</v>
      </c>
      <c r="AO57" s="498" t="n">
        <f aca="false">INDEX(FC_FLUJO_CAJA!$D$66:$BK$66,1,AO$13)*IF(IFERROR(VALUE($D57&amp;""),0)&gt;0,IF(AO$14=MIN(VALUE($D57&amp;""),AO$15),1,0),IF($D57="Q",IF(AO$14=MIN(2,AO$15),0.5,0)+IF(AO$14=AO$15,0.5,0),IF($D57="U",IF(AO$14=AO$15,1,0),1/AO$15)))</f>
        <v>8000</v>
      </c>
      <c r="AP57" s="498" t="n">
        <f aca="false">INDEX(FC_FLUJO_CAJA!$D$66:$BK$66,1,AP$13)*IF(IFERROR(VALUE($D57&amp;""),0)&gt;0,IF(AP$14=MIN(VALUE($D57&amp;""),AP$15),1,0),IF($D57="Q",IF(AP$14=MIN(2,AP$15),0.5,0)+IF(AP$14=AP$15,0.5,0),IF($D57="U",IF(AP$14=AP$15,1,0),1/AP$15)))</f>
        <v>0</v>
      </c>
      <c r="AQ57" s="498" t="n">
        <f aca="false">INDEX(FC_FLUJO_CAJA!$D$66:$BK$66,1,AQ$13)*IF(IFERROR(VALUE($D57&amp;""),0)&gt;0,IF(AQ$14=MIN(VALUE($D57&amp;""),AQ$15),1,0),IF($D57="Q",IF(AQ$14=MIN(2,AQ$15),0.5,0)+IF(AQ$14=AQ$15,0.5,0),IF($D57="U",IF(AQ$14=AQ$15,1,0),1/AQ$15)))</f>
        <v>0</v>
      </c>
      <c r="AR57" s="498" t="n">
        <f aca="false">INDEX(FC_FLUJO_CAJA!$D$66:$BK$66,1,AR$13)*IF(IFERROR(VALUE($D57&amp;""),0)&gt;0,IF(AR$14=MIN(VALUE($D57&amp;""),AR$15),1,0),IF($D57="Q",IF(AR$14=MIN(2,AR$15),0.5,0)+IF(AR$14=AR$15,0.5,0),IF($D57="U",IF(AR$14=AR$15,1,0),1/AR$15)))</f>
        <v>0</v>
      </c>
      <c r="AS57" s="498" t="n">
        <f aca="false">INDEX(FC_FLUJO_CAJA!$D$66:$BK$66,1,AS$13)*IF(IFERROR(VALUE($D57&amp;""),0)&gt;0,IF(AS$14=MIN(VALUE($D57&amp;""),AS$15),1,0),IF($D57="Q",IF(AS$14=MIN(2,AS$15),0.5,0)+IF(AS$14=AS$15,0.5,0),IF($D57="U",IF(AS$14=AS$15,1,0),1/AS$15)))</f>
        <v>10400</v>
      </c>
      <c r="AT57" s="498" t="n">
        <f aca="false">INDEX(FC_FLUJO_CAJA!$D$66:$BK$66,1,AT$13)*IF(IFERROR(VALUE($D57&amp;""),0)&gt;0,IF(AT$14=MIN(VALUE($D57&amp;""),AT$15),1,0),IF($D57="Q",IF(AT$14=MIN(2,AT$15),0.5,0)+IF(AT$14=AT$15,0.5,0),IF($D57="U",IF(AT$14=AT$15,1,0),1/AT$15)))</f>
        <v>0</v>
      </c>
      <c r="AU57" s="498" t="n">
        <f aca="false">INDEX(FC_FLUJO_CAJA!$D$66:$BK$66,1,AU$13)*IF(IFERROR(VALUE($D57&amp;""),0)&gt;0,IF(AU$14=MIN(VALUE($D57&amp;""),AU$15),1,0),IF($D57="Q",IF(AU$14=MIN(2,AU$15),0.5,0)+IF(AU$14=AU$15,0.5,0),IF($D57="U",IF(AU$14=AU$15,1,0),1/AU$15)))</f>
        <v>0</v>
      </c>
      <c r="AV57" s="498" t="n">
        <f aca="false">INDEX(FC_FLUJO_CAJA!$D$66:$BK$66,1,AV$13)*IF(IFERROR(VALUE($D57&amp;""),0)&gt;0,IF(AV$14=MIN(VALUE($D57&amp;""),AV$15),1,0),IF($D57="Q",IF(AV$14=MIN(2,AV$15),0.5,0)+IF(AV$14=AV$15,0.5,0),IF($D57="U",IF(AV$14=AV$15,1,0),1/AV$15)))</f>
        <v>0</v>
      </c>
      <c r="AW57" s="498" t="n">
        <f aca="false">INDEX(FC_FLUJO_CAJA!$D$66:$BK$66,1,AW$13)*IF(IFERROR(VALUE($D57&amp;""),0)&gt;0,IF(AW$14=MIN(VALUE($D57&amp;""),AW$15),1,0),IF($D57="Q",IF(AW$14=MIN(2,AW$15),0.5,0)+IF(AW$14=AW$15,0.5,0),IF($D57="U",IF(AW$14=AW$15,1,0),1/AW$15)))</f>
        <v>12800</v>
      </c>
      <c r="AX57" s="498" t="n">
        <f aca="false">INDEX(FC_FLUJO_CAJA!$D$66:$BK$66,1,AX$13)*IF(IFERROR(VALUE($D57&amp;""),0)&gt;0,IF(AX$14=MIN(VALUE($D57&amp;""),AX$15),1,0),IF($D57="Q",IF(AX$14=MIN(2,AX$15),0.5,0)+IF(AX$14=AX$15,0.5,0),IF($D57="U",IF(AX$14=AX$15,1,0),1/AX$15)))</f>
        <v>0</v>
      </c>
      <c r="AY57" s="498" t="n">
        <f aca="false">INDEX(FC_FLUJO_CAJA!$D$66:$BK$66,1,AY$13)*IF(IFERROR(VALUE($D57&amp;""),0)&gt;0,IF(AY$14=MIN(VALUE($D57&amp;""),AY$15),1,0),IF($D57="Q",IF(AY$14=MIN(2,AY$15),0.5,0)+IF(AY$14=AY$15,0.5,0),IF($D57="U",IF(AY$14=AY$15,1,0),1/AY$15)))</f>
        <v>0</v>
      </c>
      <c r="AZ57" s="498" t="n">
        <f aca="false">INDEX(FC_FLUJO_CAJA!$D$66:$BK$66,1,AZ$13)*IF(IFERROR(VALUE($D57&amp;""),0)&gt;0,IF(AZ$14=MIN(VALUE($D57&amp;""),AZ$15),1,0),IF($D57="Q",IF(AZ$14=MIN(2,AZ$15),0.5,0)+IF(AZ$14=AZ$15,0.5,0),IF($D57="U",IF(AZ$14=AZ$15,1,0),1/AZ$15)))</f>
        <v>0</v>
      </c>
      <c r="BA57" s="498" t="n">
        <f aca="false">INDEX(FC_FLUJO_CAJA!$D$66:$BK$66,1,BA$13)*IF(IFERROR(VALUE($D57&amp;""),0)&gt;0,IF(BA$14=MIN(VALUE($D57&amp;""),BA$15),1,0),IF($D57="Q",IF(BA$14=MIN(2,BA$15),0.5,0)+IF(BA$14=BA$15,0.5,0),IF($D57="U",IF(BA$14=BA$15,1,0),1/BA$15)))</f>
        <v>0</v>
      </c>
      <c r="BB57" s="498" t="n">
        <f aca="false">INDEX(FC_FLUJO_CAJA!$D$66:$BK$66,1,BB$13)*IF(IFERROR(VALUE($D57&amp;""),0)&gt;0,IF(BB$14=MIN(VALUE($D57&amp;""),BB$15),1,0),IF($D57="Q",IF(BB$14=MIN(2,BB$15),0.5,0)+IF(BB$14=BB$15,0.5,0),IF($D57="U",IF(BB$14=BB$15,1,0),1/BB$15)))</f>
        <v>0</v>
      </c>
      <c r="BC57" s="498" t="n">
        <f aca="false">INDEX(FC_FLUJO_CAJA!$D$66:$BK$66,1,BC$13)*IF(IFERROR(VALUE($D57&amp;""),0)&gt;0,IF(BC$14=MIN(VALUE($D57&amp;""),BC$15),1,0),IF($D57="Q",IF(BC$14=MIN(2,BC$15),0.5,0)+IF(BC$14=BC$15,0.5,0),IF($D57="U",IF(BC$14=BC$15,1,0),1/BC$15)))</f>
        <v>0</v>
      </c>
      <c r="BD57" s="498" t="n">
        <f aca="false">INDEX(FC_FLUJO_CAJA!$D$66:$BK$66,1,BD$13)*IF(IFERROR(VALUE($D57&amp;""),0)&gt;0,IF(BD$14=MIN(VALUE($D57&amp;""),BD$15),1,0),IF($D57="Q",IF(BD$14=MIN(2,BD$15),0.5,0)+IF(BD$14=BD$15,0.5,0),IF($D57="U",IF(BD$14=BD$15,1,0),1/BD$15)))</f>
        <v>0</v>
      </c>
      <c r="BE57" s="498" t="n">
        <f aca="false">INDEX(FC_FLUJO_CAJA!$D$66:$BK$66,1,BE$13)*IF(IFERROR(VALUE($D57&amp;""),0)&gt;0,IF(BE$14=MIN(VALUE($D57&amp;""),BE$15),1,0),IF($D57="Q",IF(BE$14=MIN(2,BE$15),0.5,0)+IF(BE$14=BE$15,0.5,0),IF($D57="U",IF(BE$14=BE$15,1,0),1/BE$15)))</f>
        <v>0</v>
      </c>
    </row>
    <row r="58" customFormat="false" ht="15" hidden="false" customHeight="true" outlineLevel="0" collapsed="false">
      <c r="A58" s="400" t="s">
        <v>3175</v>
      </c>
      <c r="B58" s="283" t="s">
        <v>3176</v>
      </c>
      <c r="C58" s="531" t="s">
        <v>3177</v>
      </c>
      <c r="D58" s="289" t="n">
        <f aca="false">FC_SUPUESTOS!$C$157</f>
        <v>2</v>
      </c>
      <c r="E58" s="532" t="n">
        <f aca="false">SUM(F58:BE58)</f>
        <v>45000</v>
      </c>
      <c r="F58" s="498" t="n">
        <f aca="false">INDEX(FC_FLUJO_CAJA!$D$67:$BK$67,1,F$13)*IF(IFERROR(VALUE($D58&amp;""),0)&gt;0,IF(F$14=MIN(VALUE($D58&amp;""),F$15),1,0),IF($D58="Q",IF(F$14=MIN(2,F$15),0.5,0)+IF(F$14=F$15,0.5,0),IF($D58="U",IF(F$14=F$15,1,0),1/F$15)))</f>
        <v>0</v>
      </c>
      <c r="G58" s="498" t="n">
        <f aca="false">INDEX(FC_FLUJO_CAJA!$D$67:$BK$67,1,G$13)*IF(IFERROR(VALUE($D58&amp;""),0)&gt;0,IF(G$14=MIN(VALUE($D58&amp;""),G$15),1,0),IF($D58="Q",IF(G$14=MIN(2,G$15),0.5,0)+IF(G$14=G$15,0.5,0),IF($D58="U",IF(G$14=G$15,1,0),1/G$15)))</f>
        <v>0</v>
      </c>
      <c r="H58" s="498" t="n">
        <f aca="false">INDEX(FC_FLUJO_CAJA!$D$67:$BK$67,1,H$13)*IF(IFERROR(VALUE($D58&amp;""),0)&gt;0,IF(H$14=MIN(VALUE($D58&amp;""),H$15),1,0),IF($D58="Q",IF(H$14=MIN(2,H$15),0.5,0)+IF(H$14=H$15,0.5,0),IF($D58="U",IF(H$14=H$15,1,0),1/H$15)))</f>
        <v>0</v>
      </c>
      <c r="I58" s="498" t="n">
        <f aca="false">INDEX(FC_FLUJO_CAJA!$D$67:$BK$67,1,I$13)*IF(IFERROR(VALUE($D58&amp;""),0)&gt;0,IF(I$14=MIN(VALUE($D58&amp;""),I$15),1,0),IF($D58="Q",IF(I$14=MIN(2,I$15),0.5,0)+IF(I$14=I$15,0.5,0),IF($D58="U",IF(I$14=I$15,1,0),1/I$15)))</f>
        <v>0</v>
      </c>
      <c r="J58" s="498" t="n">
        <f aca="false">INDEX(FC_FLUJO_CAJA!$D$67:$BK$67,1,J$13)*IF(IFERROR(VALUE($D58&amp;""),0)&gt;0,IF(J$14=MIN(VALUE($D58&amp;""),J$15),1,0),IF($D58="Q",IF(J$14=MIN(2,J$15),0.5,0)+IF(J$14=J$15,0.5,0),IF($D58="U",IF(J$14=J$15,1,0),1/J$15)))</f>
        <v>0</v>
      </c>
      <c r="K58" s="498" t="n">
        <f aca="false">INDEX(FC_FLUJO_CAJA!$D$67:$BK$67,1,K$13)*IF(IFERROR(VALUE($D58&amp;""),0)&gt;0,IF(K$14=MIN(VALUE($D58&amp;""),K$15),1,0),IF($D58="Q",IF(K$14=MIN(2,K$15),0.5,0)+IF(K$14=K$15,0.5,0),IF($D58="U",IF(K$14=K$15,1,0),1/K$15)))</f>
        <v>0</v>
      </c>
      <c r="L58" s="498" t="n">
        <f aca="false">INDEX(FC_FLUJO_CAJA!$D$67:$BK$67,1,L$13)*IF(IFERROR(VALUE($D58&amp;""),0)&gt;0,IF(L$14=MIN(VALUE($D58&amp;""),L$15),1,0),IF($D58="Q",IF(L$14=MIN(2,L$15),0.5,0)+IF(L$14=L$15,0.5,0),IF($D58="U",IF(L$14=L$15,1,0),1/L$15)))</f>
        <v>0</v>
      </c>
      <c r="M58" s="498" t="n">
        <f aca="false">INDEX(FC_FLUJO_CAJA!$D$67:$BK$67,1,M$13)*IF(IFERROR(VALUE($D58&amp;""),0)&gt;0,IF(M$14=MIN(VALUE($D58&amp;""),M$15),1,0),IF($D58="Q",IF(M$14=MIN(2,M$15),0.5,0)+IF(M$14=M$15,0.5,0),IF($D58="U",IF(M$14=M$15,1,0),1/M$15)))</f>
        <v>0</v>
      </c>
      <c r="N58" s="498" t="n">
        <f aca="false">INDEX(FC_FLUJO_CAJA!$D$67:$BK$67,1,N$13)*IF(IFERROR(VALUE($D58&amp;""),0)&gt;0,IF(N$14=MIN(VALUE($D58&amp;""),N$15),1,0),IF($D58="Q",IF(N$14=MIN(2,N$15),0.5,0)+IF(N$14=N$15,0.5,0),IF($D58="U",IF(N$14=N$15,1,0),1/N$15)))</f>
        <v>0</v>
      </c>
      <c r="O58" s="498" t="n">
        <f aca="false">INDEX(FC_FLUJO_CAJA!$D$67:$BK$67,1,O$13)*IF(IFERROR(VALUE($D58&amp;""),0)&gt;0,IF(O$14=MIN(VALUE($D58&amp;""),O$15),1,0),IF($D58="Q",IF(O$14=MIN(2,O$15),0.5,0)+IF(O$14=O$15,0.5,0),IF($D58="U",IF(O$14=O$15,1,0),1/O$15)))</f>
        <v>0</v>
      </c>
      <c r="P58" s="498" t="n">
        <f aca="false">INDEX(FC_FLUJO_CAJA!$D$67:$BK$67,1,P$13)*IF(IFERROR(VALUE($D58&amp;""),0)&gt;0,IF(P$14=MIN(VALUE($D58&amp;""),P$15),1,0),IF($D58="Q",IF(P$14=MIN(2,P$15),0.5,0)+IF(P$14=P$15,0.5,0),IF($D58="U",IF(P$14=P$15,1,0),1/P$15)))</f>
        <v>0</v>
      </c>
      <c r="Q58" s="498" t="n">
        <f aca="false">INDEX(FC_FLUJO_CAJA!$D$67:$BK$67,1,Q$13)*IF(IFERROR(VALUE($D58&amp;""),0)&gt;0,IF(Q$14=MIN(VALUE($D58&amp;""),Q$15),1,0),IF($D58="Q",IF(Q$14=MIN(2,Q$15),0.5,0)+IF(Q$14=Q$15,0.5,0),IF($D58="U",IF(Q$14=Q$15,1,0),1/Q$15)))</f>
        <v>0</v>
      </c>
      <c r="R58" s="498" t="n">
        <f aca="false">INDEX(FC_FLUJO_CAJA!$D$67:$BK$67,1,R$13)*IF(IFERROR(VALUE($D58&amp;""),0)&gt;0,IF(R$14=MIN(VALUE($D58&amp;""),R$15),1,0),IF($D58="Q",IF(R$14=MIN(2,R$15),0.5,0)+IF(R$14=R$15,0.5,0),IF($D58="U",IF(R$14=R$15,1,0),1/R$15)))</f>
        <v>0</v>
      </c>
      <c r="S58" s="498" t="n">
        <f aca="false">INDEX(FC_FLUJO_CAJA!$D$67:$BK$67,1,S$13)*IF(IFERROR(VALUE($D58&amp;""),0)&gt;0,IF(S$14=MIN(VALUE($D58&amp;""),S$15),1,0),IF($D58="Q",IF(S$14=MIN(2,S$15),0.5,0)+IF(S$14=S$15,0.5,0),IF($D58="U",IF(S$14=S$15,1,0),1/S$15)))</f>
        <v>0</v>
      </c>
      <c r="T58" s="498" t="n">
        <f aca="false">INDEX(FC_FLUJO_CAJA!$D$67:$BK$67,1,T$13)*IF(IFERROR(VALUE($D58&amp;""),0)&gt;0,IF(T$14=MIN(VALUE($D58&amp;""),T$15),1,0),IF($D58="Q",IF(T$14=MIN(2,T$15),0.5,0)+IF(T$14=T$15,0.5,0),IF($D58="U",IF(T$14=T$15,1,0),1/T$15)))</f>
        <v>0</v>
      </c>
      <c r="U58" s="498" t="n">
        <f aca="false">INDEX(FC_FLUJO_CAJA!$D$67:$BK$67,1,U$13)*IF(IFERROR(VALUE($D58&amp;""),0)&gt;0,IF(U$14=MIN(VALUE($D58&amp;""),U$15),1,0),IF($D58="Q",IF(U$14=MIN(2,U$15),0.5,0)+IF(U$14=U$15,0.5,0),IF($D58="U",IF(U$14=U$15,1,0),1/U$15)))</f>
        <v>0</v>
      </c>
      <c r="V58" s="498" t="n">
        <f aca="false">INDEX(FC_FLUJO_CAJA!$D$67:$BK$67,1,V$13)*IF(IFERROR(VALUE($D58&amp;""),0)&gt;0,IF(V$14=MIN(VALUE($D58&amp;""),V$15),1,0),IF($D58="Q",IF(V$14=MIN(2,V$15),0.5,0)+IF(V$14=V$15,0.5,0),IF($D58="U",IF(V$14=V$15,1,0),1/V$15)))</f>
        <v>0</v>
      </c>
      <c r="W58" s="498" t="n">
        <f aca="false">INDEX(FC_FLUJO_CAJA!$D$67:$BK$67,1,W$13)*IF(IFERROR(VALUE($D58&amp;""),0)&gt;0,IF(W$14=MIN(VALUE($D58&amp;""),W$15),1,0),IF($D58="Q",IF(W$14=MIN(2,W$15),0.5,0)+IF(W$14=W$15,0.5,0),IF($D58="U",IF(W$14=W$15,1,0),1/W$15)))</f>
        <v>0</v>
      </c>
      <c r="X58" s="498" t="n">
        <f aca="false">INDEX(FC_FLUJO_CAJA!$D$67:$BK$67,1,X$13)*IF(IFERROR(VALUE($D58&amp;""),0)&gt;0,IF(X$14=MIN(VALUE($D58&amp;""),X$15),1,0),IF($D58="Q",IF(X$14=MIN(2,X$15),0.5,0)+IF(X$14=X$15,0.5,0),IF($D58="U",IF(X$14=X$15,1,0),1/X$15)))</f>
        <v>0</v>
      </c>
      <c r="Y58" s="498" t="n">
        <f aca="false">INDEX(FC_FLUJO_CAJA!$D$67:$BK$67,1,Y$13)*IF(IFERROR(VALUE($D58&amp;""),0)&gt;0,IF(Y$14=MIN(VALUE($D58&amp;""),Y$15),1,0),IF($D58="Q",IF(Y$14=MIN(2,Y$15),0.5,0)+IF(Y$14=Y$15,0.5,0),IF($D58="U",IF(Y$14=Y$15,1,0),1/Y$15)))</f>
        <v>0</v>
      </c>
      <c r="Z58" s="498" t="n">
        <f aca="false">INDEX(FC_FLUJO_CAJA!$D$67:$BK$67,1,Z$13)*IF(IFERROR(VALUE($D58&amp;""),0)&gt;0,IF(Z$14=MIN(VALUE($D58&amp;""),Z$15),1,0),IF($D58="Q",IF(Z$14=MIN(2,Z$15),0.5,0)+IF(Z$14=Z$15,0.5,0),IF($D58="U",IF(Z$14=Z$15,1,0),1/Z$15)))</f>
        <v>0</v>
      </c>
      <c r="AA58" s="498" t="n">
        <f aca="false">INDEX(FC_FLUJO_CAJA!$D$67:$BK$67,1,AA$13)*IF(IFERROR(VALUE($D58&amp;""),0)&gt;0,IF(AA$14=MIN(VALUE($D58&amp;""),AA$15),1,0),IF($D58="Q",IF(AA$14=MIN(2,AA$15),0.5,0)+IF(AA$14=AA$15,0.5,0),IF($D58="U",IF(AA$14=AA$15,1,0),1/AA$15)))</f>
        <v>0</v>
      </c>
      <c r="AB58" s="498" t="n">
        <f aca="false">INDEX(FC_FLUJO_CAJA!$D$67:$BK$67,1,AB$13)*IF(IFERROR(VALUE($D58&amp;""),0)&gt;0,IF(AB$14=MIN(VALUE($D58&amp;""),AB$15),1,0),IF($D58="Q",IF(AB$14=MIN(2,AB$15),0.5,0)+IF(AB$14=AB$15,0.5,0),IF($D58="U",IF(AB$14=AB$15,1,0),1/AB$15)))</f>
        <v>0</v>
      </c>
      <c r="AC58" s="498" t="n">
        <f aca="false">INDEX(FC_FLUJO_CAJA!$D$67:$BK$67,1,AC$13)*IF(IFERROR(VALUE($D58&amp;""),0)&gt;0,IF(AC$14=MIN(VALUE($D58&amp;""),AC$15),1,0),IF($D58="Q",IF(AC$14=MIN(2,AC$15),0.5,0)+IF(AC$14=AC$15,0.5,0),IF($D58="U",IF(AC$14=AC$15,1,0),1/AC$15)))</f>
        <v>0</v>
      </c>
      <c r="AD58" s="498" t="n">
        <f aca="false">INDEX(FC_FLUJO_CAJA!$D$67:$BK$67,1,AD$13)*IF(IFERROR(VALUE($D58&amp;""),0)&gt;0,IF(AD$14=MIN(VALUE($D58&amp;""),AD$15),1,0),IF($D58="Q",IF(AD$14=MIN(2,AD$15),0.5,0)+IF(AD$14=AD$15,0.5,0),IF($D58="U",IF(AD$14=AD$15,1,0),1/AD$15)))</f>
        <v>0</v>
      </c>
      <c r="AE58" s="498" t="n">
        <f aca="false">INDEX(FC_FLUJO_CAJA!$D$67:$BK$67,1,AE$13)*IF(IFERROR(VALUE($D58&amp;""),0)&gt;0,IF(AE$14=MIN(VALUE($D58&amp;""),AE$15),1,0),IF($D58="Q",IF(AE$14=MIN(2,AE$15),0.5,0)+IF(AE$14=AE$15,0.5,0),IF($D58="U",IF(AE$14=AE$15,1,0),1/AE$15)))</f>
        <v>0</v>
      </c>
      <c r="AF58" s="498" t="n">
        <f aca="false">INDEX(FC_FLUJO_CAJA!$D$67:$BK$67,1,AF$13)*IF(IFERROR(VALUE($D58&amp;""),0)&gt;0,IF(AF$14=MIN(VALUE($D58&amp;""),AF$15),1,0),IF($D58="Q",IF(AF$14=MIN(2,AF$15),0.5,0)+IF(AF$14=AF$15,0.5,0),IF($D58="U",IF(AF$14=AF$15,1,0),1/AF$15)))</f>
        <v>0</v>
      </c>
      <c r="AG58" s="498" t="n">
        <f aca="false">INDEX(FC_FLUJO_CAJA!$D$67:$BK$67,1,AG$13)*IF(IFERROR(VALUE($D58&amp;""),0)&gt;0,IF(AG$14=MIN(VALUE($D58&amp;""),AG$15),1,0),IF($D58="Q",IF(AG$14=MIN(2,AG$15),0.5,0)+IF(AG$14=AG$15,0.5,0),IF($D58="U",IF(AG$14=AG$15,1,0),1/AG$15)))</f>
        <v>0</v>
      </c>
      <c r="AH58" s="498" t="n">
        <f aca="false">INDEX(FC_FLUJO_CAJA!$D$67:$BK$67,1,AH$13)*IF(IFERROR(VALUE($D58&amp;""),0)&gt;0,IF(AH$14=MIN(VALUE($D58&amp;""),AH$15),1,0),IF($D58="Q",IF(AH$14=MIN(2,AH$15),0.5,0)+IF(AH$14=AH$15,0.5,0),IF($D58="U",IF(AH$14=AH$15,1,0),1/AH$15)))</f>
        <v>0</v>
      </c>
      <c r="AI58" s="498" t="n">
        <f aca="false">INDEX(FC_FLUJO_CAJA!$D$67:$BK$67,1,AI$13)*IF(IFERROR(VALUE($D58&amp;""),0)&gt;0,IF(AI$14=MIN(VALUE($D58&amp;""),AI$15),1,0),IF($D58="Q",IF(AI$14=MIN(2,AI$15),0.5,0)+IF(AI$14=AI$15,0.5,0),IF($D58="U",IF(AI$14=AI$15,1,0),1/AI$15)))</f>
        <v>0</v>
      </c>
      <c r="AJ58" s="498" t="n">
        <f aca="false">INDEX(FC_FLUJO_CAJA!$D$67:$BK$67,1,AJ$13)*IF(IFERROR(VALUE($D58&amp;""),0)&gt;0,IF(AJ$14=MIN(VALUE($D58&amp;""),AJ$15),1,0),IF($D58="Q",IF(AJ$14=MIN(2,AJ$15),0.5,0)+IF(AJ$14=AJ$15,0.5,0),IF($D58="U",IF(AJ$14=AJ$15,1,0),1/AJ$15)))</f>
        <v>0</v>
      </c>
      <c r="AK58" s="498" t="n">
        <f aca="false">INDEX(FC_FLUJO_CAJA!$D$67:$BK$67,1,AK$13)*IF(IFERROR(VALUE($D58&amp;""),0)&gt;0,IF(AK$14=MIN(VALUE($D58&amp;""),AK$15),1,0),IF($D58="Q",IF(AK$14=MIN(2,AK$15),0.5,0)+IF(AK$14=AK$15,0.5,0),IF($D58="U",IF(AK$14=AK$15,1,0),1/AK$15)))</f>
        <v>45000</v>
      </c>
      <c r="AL58" s="498" t="n">
        <f aca="false">INDEX(FC_FLUJO_CAJA!$D$67:$BK$67,1,AL$13)*IF(IFERROR(VALUE($D58&amp;""),0)&gt;0,IF(AL$14=MIN(VALUE($D58&amp;""),AL$15),1,0),IF($D58="Q",IF(AL$14=MIN(2,AL$15),0.5,0)+IF(AL$14=AL$15,0.5,0),IF($D58="U",IF(AL$14=AL$15,1,0),1/AL$15)))</f>
        <v>0</v>
      </c>
      <c r="AM58" s="498" t="n">
        <f aca="false">INDEX(FC_FLUJO_CAJA!$D$67:$BK$67,1,AM$13)*IF(IFERROR(VALUE($D58&amp;""),0)&gt;0,IF(AM$14=MIN(VALUE($D58&amp;""),AM$15),1,0),IF($D58="Q",IF(AM$14=MIN(2,AM$15),0.5,0)+IF(AM$14=AM$15,0.5,0),IF($D58="U",IF(AM$14=AM$15,1,0),1/AM$15)))</f>
        <v>0</v>
      </c>
      <c r="AN58" s="498" t="n">
        <f aca="false">INDEX(FC_FLUJO_CAJA!$D$67:$BK$67,1,AN$13)*IF(IFERROR(VALUE($D58&amp;""),0)&gt;0,IF(AN$14=MIN(VALUE($D58&amp;""),AN$15),1,0),IF($D58="Q",IF(AN$14=MIN(2,AN$15),0.5,0)+IF(AN$14=AN$15,0.5,0),IF($D58="U",IF(AN$14=AN$15,1,0),1/AN$15)))</f>
        <v>0</v>
      </c>
      <c r="AO58" s="498" t="n">
        <f aca="false">INDEX(FC_FLUJO_CAJA!$D$67:$BK$67,1,AO$13)*IF(IFERROR(VALUE($D58&amp;""),0)&gt;0,IF(AO$14=MIN(VALUE($D58&amp;""),AO$15),1,0),IF($D58="Q",IF(AO$14=MIN(2,AO$15),0.5,0)+IF(AO$14=AO$15,0.5,0),IF($D58="U",IF(AO$14=AO$15,1,0),1/AO$15)))</f>
        <v>0</v>
      </c>
      <c r="AP58" s="498" t="n">
        <f aca="false">INDEX(FC_FLUJO_CAJA!$D$67:$BK$67,1,AP$13)*IF(IFERROR(VALUE($D58&amp;""),0)&gt;0,IF(AP$14=MIN(VALUE($D58&amp;""),AP$15),1,0),IF($D58="Q",IF(AP$14=MIN(2,AP$15),0.5,0)+IF(AP$14=AP$15,0.5,0),IF($D58="U",IF(AP$14=AP$15,1,0),1/AP$15)))</f>
        <v>0</v>
      </c>
      <c r="AQ58" s="498" t="n">
        <f aca="false">INDEX(FC_FLUJO_CAJA!$D$67:$BK$67,1,AQ$13)*IF(IFERROR(VALUE($D58&amp;""),0)&gt;0,IF(AQ$14=MIN(VALUE($D58&amp;""),AQ$15),1,0),IF($D58="Q",IF(AQ$14=MIN(2,AQ$15),0.5,0)+IF(AQ$14=AQ$15,0.5,0),IF($D58="U",IF(AQ$14=AQ$15,1,0),1/AQ$15)))</f>
        <v>0</v>
      </c>
      <c r="AR58" s="498" t="n">
        <f aca="false">INDEX(FC_FLUJO_CAJA!$D$67:$BK$67,1,AR$13)*IF(IFERROR(VALUE($D58&amp;""),0)&gt;0,IF(AR$14=MIN(VALUE($D58&amp;""),AR$15),1,0),IF($D58="Q",IF(AR$14=MIN(2,AR$15),0.5,0)+IF(AR$14=AR$15,0.5,0),IF($D58="U",IF(AR$14=AR$15,1,0),1/AR$15)))</f>
        <v>0</v>
      </c>
      <c r="AS58" s="498" t="n">
        <f aca="false">INDEX(FC_FLUJO_CAJA!$D$67:$BK$67,1,AS$13)*IF(IFERROR(VALUE($D58&amp;""),0)&gt;0,IF(AS$14=MIN(VALUE($D58&amp;""),AS$15),1,0),IF($D58="Q",IF(AS$14=MIN(2,AS$15),0.5,0)+IF(AS$14=AS$15,0.5,0),IF($D58="U",IF(AS$14=AS$15,1,0),1/AS$15)))</f>
        <v>0</v>
      </c>
      <c r="AT58" s="498" t="n">
        <f aca="false">INDEX(FC_FLUJO_CAJA!$D$67:$BK$67,1,AT$13)*IF(IFERROR(VALUE($D58&amp;""),0)&gt;0,IF(AT$14=MIN(VALUE($D58&amp;""),AT$15),1,0),IF($D58="Q",IF(AT$14=MIN(2,AT$15),0.5,0)+IF(AT$14=AT$15,0.5,0),IF($D58="U",IF(AT$14=AT$15,1,0),1/AT$15)))</f>
        <v>0</v>
      </c>
      <c r="AU58" s="498" t="n">
        <f aca="false">INDEX(FC_FLUJO_CAJA!$D$67:$BK$67,1,AU$13)*IF(IFERROR(VALUE($D58&amp;""),0)&gt;0,IF(AU$14=MIN(VALUE($D58&amp;""),AU$15),1,0),IF($D58="Q",IF(AU$14=MIN(2,AU$15),0.5,0)+IF(AU$14=AU$15,0.5,0),IF($D58="U",IF(AU$14=AU$15,1,0),1/AU$15)))</f>
        <v>0</v>
      </c>
      <c r="AV58" s="498" t="n">
        <f aca="false">INDEX(FC_FLUJO_CAJA!$D$67:$BK$67,1,AV$13)*IF(IFERROR(VALUE($D58&amp;""),0)&gt;0,IF(AV$14=MIN(VALUE($D58&amp;""),AV$15),1,0),IF($D58="Q",IF(AV$14=MIN(2,AV$15),0.5,0)+IF(AV$14=AV$15,0.5,0),IF($D58="U",IF(AV$14=AV$15,1,0),1/AV$15)))</f>
        <v>0</v>
      </c>
      <c r="AW58" s="498" t="n">
        <f aca="false">INDEX(FC_FLUJO_CAJA!$D$67:$BK$67,1,AW$13)*IF(IFERROR(VALUE($D58&amp;""),0)&gt;0,IF(AW$14=MIN(VALUE($D58&amp;""),AW$15),1,0),IF($D58="Q",IF(AW$14=MIN(2,AW$15),0.5,0)+IF(AW$14=AW$15,0.5,0),IF($D58="U",IF(AW$14=AW$15,1,0),1/AW$15)))</f>
        <v>0</v>
      </c>
      <c r="AX58" s="498" t="n">
        <f aca="false">INDEX(FC_FLUJO_CAJA!$D$67:$BK$67,1,AX$13)*IF(IFERROR(VALUE($D58&amp;""),0)&gt;0,IF(AX$14=MIN(VALUE($D58&amp;""),AX$15),1,0),IF($D58="Q",IF(AX$14=MIN(2,AX$15),0.5,0)+IF(AX$14=AX$15,0.5,0),IF($D58="U",IF(AX$14=AX$15,1,0),1/AX$15)))</f>
        <v>0</v>
      </c>
      <c r="AY58" s="498" t="n">
        <f aca="false">INDEX(FC_FLUJO_CAJA!$D$67:$BK$67,1,AY$13)*IF(IFERROR(VALUE($D58&amp;""),0)&gt;0,IF(AY$14=MIN(VALUE($D58&amp;""),AY$15),1,0),IF($D58="Q",IF(AY$14=MIN(2,AY$15),0.5,0)+IF(AY$14=AY$15,0.5,0),IF($D58="U",IF(AY$14=AY$15,1,0),1/AY$15)))</f>
        <v>0</v>
      </c>
      <c r="AZ58" s="498" t="n">
        <f aca="false">INDEX(FC_FLUJO_CAJA!$D$67:$BK$67,1,AZ$13)*IF(IFERROR(VALUE($D58&amp;""),0)&gt;0,IF(AZ$14=MIN(VALUE($D58&amp;""),AZ$15),1,0),IF($D58="Q",IF(AZ$14=MIN(2,AZ$15),0.5,0)+IF(AZ$14=AZ$15,0.5,0),IF($D58="U",IF(AZ$14=AZ$15,1,0),1/AZ$15)))</f>
        <v>0</v>
      </c>
      <c r="BA58" s="498" t="n">
        <f aca="false">INDEX(FC_FLUJO_CAJA!$D$67:$BK$67,1,BA$13)*IF(IFERROR(VALUE($D58&amp;""),0)&gt;0,IF(BA$14=MIN(VALUE($D58&amp;""),BA$15),1,0),IF($D58="Q",IF(BA$14=MIN(2,BA$15),0.5,0)+IF(BA$14=BA$15,0.5,0),IF($D58="U",IF(BA$14=BA$15,1,0),1/BA$15)))</f>
        <v>0</v>
      </c>
      <c r="BB58" s="498" t="n">
        <f aca="false">INDEX(FC_FLUJO_CAJA!$D$67:$BK$67,1,BB$13)*IF(IFERROR(VALUE($D58&amp;""),0)&gt;0,IF(BB$14=MIN(VALUE($D58&amp;""),BB$15),1,0),IF($D58="Q",IF(BB$14=MIN(2,BB$15),0.5,0)+IF(BB$14=BB$15,0.5,0),IF($D58="U",IF(BB$14=BB$15,1,0),1/BB$15)))</f>
        <v>0</v>
      </c>
      <c r="BC58" s="498" t="n">
        <f aca="false">INDEX(FC_FLUJO_CAJA!$D$67:$BK$67,1,BC$13)*IF(IFERROR(VALUE($D58&amp;""),0)&gt;0,IF(BC$14=MIN(VALUE($D58&amp;""),BC$15),1,0),IF($D58="Q",IF(BC$14=MIN(2,BC$15),0.5,0)+IF(BC$14=BC$15,0.5,0),IF($D58="U",IF(BC$14=BC$15,1,0),1/BC$15)))</f>
        <v>0</v>
      </c>
      <c r="BD58" s="498" t="n">
        <f aca="false">INDEX(FC_FLUJO_CAJA!$D$67:$BK$67,1,BD$13)*IF(IFERROR(VALUE($D58&amp;""),0)&gt;0,IF(BD$14=MIN(VALUE($D58&amp;""),BD$15),1,0),IF($D58="Q",IF(BD$14=MIN(2,BD$15),0.5,0)+IF(BD$14=BD$15,0.5,0),IF($D58="U",IF(BD$14=BD$15,1,0),1/BD$15)))</f>
        <v>0</v>
      </c>
      <c r="BE58" s="498" t="n">
        <f aca="false">INDEX(FC_FLUJO_CAJA!$D$67:$BK$67,1,BE$13)*IF(IFERROR(VALUE($D58&amp;""),0)&gt;0,IF(BE$14=MIN(VALUE($D58&amp;""),BE$15),1,0),IF($D58="Q",IF(BE$14=MIN(2,BE$15),0.5,0)+IF(BE$14=BE$15,0.5,0),IF($D58="U",IF(BE$14=BE$15,1,0),1/BE$15)))</f>
        <v>0</v>
      </c>
    </row>
    <row r="59" customFormat="false" ht="15" hidden="false" customHeight="true" outlineLevel="0" collapsed="false">
      <c r="A59" s="218"/>
      <c r="B59" s="499" t="s">
        <v>3178</v>
      </c>
      <c r="C59" s="218"/>
      <c r="D59" s="218"/>
      <c r="E59" s="533" t="n">
        <f aca="false">SUM(F59:BE59)</f>
        <v>1138091.62575</v>
      </c>
      <c r="F59" s="533" t="n">
        <f aca="false">SUM(F46:F58)</f>
        <v>75130.45</v>
      </c>
      <c r="G59" s="533" t="n">
        <f aca="false">SUM(G46:G58)</f>
        <v>1832.45</v>
      </c>
      <c r="H59" s="533" t="n">
        <f aca="false">SUM(H46:H58)</f>
        <v>1832.45</v>
      </c>
      <c r="I59" s="533" t="n">
        <f aca="false">SUM(I46:I58)</f>
        <v>1832.45</v>
      </c>
      <c r="J59" s="533" t="n">
        <f aca="false">SUM(J46:J58)</f>
        <v>0</v>
      </c>
      <c r="K59" s="533" t="n">
        <f aca="false">SUM(K46:K58)</f>
        <v>0</v>
      </c>
      <c r="L59" s="533" t="n">
        <f aca="false">SUM(L46:L58)</f>
        <v>0</v>
      </c>
      <c r="M59" s="533" t="n">
        <f aca="false">SUM(M46:M58)</f>
        <v>0</v>
      </c>
      <c r="N59" s="533" t="n">
        <f aca="false">SUM(N46:N58)</f>
        <v>0</v>
      </c>
      <c r="O59" s="533" t="n">
        <f aca="false">SUM(O46:O58)</f>
        <v>0</v>
      </c>
      <c r="P59" s="533" t="n">
        <f aca="false">SUM(P46:P58)</f>
        <v>0</v>
      </c>
      <c r="Q59" s="533" t="n">
        <f aca="false">SUM(Q46:Q58)</f>
        <v>0</v>
      </c>
      <c r="R59" s="533" t="n">
        <f aca="false">SUM(R46:R58)</f>
        <v>0</v>
      </c>
      <c r="S59" s="533" t="n">
        <f aca="false">SUM(S46:S58)</f>
        <v>137113.07125</v>
      </c>
      <c r="T59" s="533" t="n">
        <f aca="false">SUM(T46:T58)</f>
        <v>3344.22125</v>
      </c>
      <c r="U59" s="533" t="n">
        <f aca="false">SUM(U46:U58)</f>
        <v>3344.22125</v>
      </c>
      <c r="V59" s="533" t="n">
        <f aca="false">SUM(V46:V58)</f>
        <v>3344.22125</v>
      </c>
      <c r="W59" s="533" t="n">
        <f aca="false">SUM(W46:W58)</f>
        <v>2329.5020625</v>
      </c>
      <c r="X59" s="533" t="n">
        <f aca="false">SUM(X46:X58)</f>
        <v>95509.5845625</v>
      </c>
      <c r="Y59" s="533" t="n">
        <f aca="false">SUM(Y46:Y58)</f>
        <v>2329.5020625</v>
      </c>
      <c r="Z59" s="533" t="n">
        <f aca="false">SUM(Z46:Z58)</f>
        <v>2329.5020625</v>
      </c>
      <c r="AA59" s="533" t="n">
        <f aca="false">SUM(AA46:AA58)</f>
        <v>0</v>
      </c>
      <c r="AB59" s="533" t="n">
        <f aca="false">SUM(AB46:AB58)</f>
        <v>0</v>
      </c>
      <c r="AC59" s="533" t="n">
        <f aca="false">SUM(AC46:AC58)</f>
        <v>0</v>
      </c>
      <c r="AD59" s="533" t="n">
        <f aca="false">SUM(AD46:AD58)</f>
        <v>0</v>
      </c>
      <c r="AE59" s="533" t="n">
        <f aca="false">SUM(AE46:AE58)</f>
        <v>0</v>
      </c>
      <c r="AF59" s="533" t="n">
        <f aca="false">SUM(AF46:AF58)</f>
        <v>38245</v>
      </c>
      <c r="AG59" s="533" t="n">
        <f aca="false">SUM(AG46:AG58)</f>
        <v>445</v>
      </c>
      <c r="AH59" s="533" t="n">
        <f aca="false">SUM(AH46:AH58)</f>
        <v>445</v>
      </c>
      <c r="AI59" s="533" t="n">
        <f aca="false">SUM(AI46:AI58)</f>
        <v>445</v>
      </c>
      <c r="AJ59" s="533" t="n">
        <f aca="false">SUM(AJ46:AJ58)</f>
        <v>44672</v>
      </c>
      <c r="AK59" s="533" t="n">
        <f aca="false">SUM(AK46:AK58)</f>
        <v>69672</v>
      </c>
      <c r="AL59" s="533" t="n">
        <f aca="false">SUM(AL46:AL58)</f>
        <v>6872</v>
      </c>
      <c r="AM59" s="533" t="n">
        <f aca="false">SUM(AM46:AM58)</f>
        <v>6872</v>
      </c>
      <c r="AN59" s="533" t="n">
        <f aca="false">SUM(AN46:AN58)</f>
        <v>6872</v>
      </c>
      <c r="AO59" s="533" t="n">
        <f aca="false">SUM(AO46:AO58)</f>
        <v>56080</v>
      </c>
      <c r="AP59" s="533" t="n">
        <f aca="false">SUM(AP46:AP58)</f>
        <v>36080</v>
      </c>
      <c r="AQ59" s="533" t="n">
        <f aca="false">SUM(AQ46:AQ58)</f>
        <v>31880</v>
      </c>
      <c r="AR59" s="533" t="n">
        <f aca="false">SUM(AR46:AR58)</f>
        <v>18280</v>
      </c>
      <c r="AS59" s="533" t="n">
        <f aca="false">SUM(AS46:AS58)</f>
        <v>65308.75</v>
      </c>
      <c r="AT59" s="533" t="n">
        <f aca="false">SUM(AT46:AT58)</f>
        <v>36158.75</v>
      </c>
      <c r="AU59" s="533" t="n">
        <f aca="false">SUM(AU46:AU58)</f>
        <v>31958.75</v>
      </c>
      <c r="AV59" s="533" t="n">
        <f aca="false">SUM(AV46:AV58)</f>
        <v>18358.75</v>
      </c>
      <c r="AW59" s="533" t="n">
        <f aca="false">SUM(AW46:AW58)</f>
        <v>73993</v>
      </c>
      <c r="AX59" s="533" t="n">
        <f aca="false">SUM(AX46:AX58)</f>
        <v>38843</v>
      </c>
      <c r="AY59" s="533" t="n">
        <f aca="false">SUM(AY46:AY58)</f>
        <v>31493</v>
      </c>
      <c r="AZ59" s="533" t="n">
        <f aca="false">SUM(AZ46:AZ58)</f>
        <v>17893</v>
      </c>
      <c r="BA59" s="533" t="n">
        <f aca="false">SUM(BA46:BA58)</f>
        <v>17893</v>
      </c>
      <c r="BB59" s="533" t="n">
        <f aca="false">SUM(BB46:BB58)</f>
        <v>29615</v>
      </c>
      <c r="BC59" s="533" t="n">
        <f aca="false">SUM(BC46:BC58)</f>
        <v>53715</v>
      </c>
      <c r="BD59" s="533" t="n">
        <f aca="false">SUM(BD46:BD58)</f>
        <v>46115</v>
      </c>
      <c r="BE59" s="533" t="n">
        <f aca="false">SUM(BE46:BE58)</f>
        <v>29615</v>
      </c>
    </row>
    <row r="60" customFormat="false" ht="15" hidden="false" customHeight="true" outlineLevel="0" collapsed="false">
      <c r="A60" s="281" t="s">
        <v>3179</v>
      </c>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row>
    <row r="61" customFormat="false" ht="15" hidden="false" customHeight="true" outlineLevel="0" collapsed="false">
      <c r="A61" s="400" t="s">
        <v>3180</v>
      </c>
      <c r="B61" s="283" t="s">
        <v>3181</v>
      </c>
      <c r="C61" s="531" t="s">
        <v>360</v>
      </c>
      <c r="D61" s="289" t="str">
        <f aca="false">FC_SUPUESTOS!$C$158</f>
        <v>P</v>
      </c>
      <c r="E61" s="532" t="n">
        <f aca="false">SUM(F61:BE61)</f>
        <v>0</v>
      </c>
      <c r="F61" s="498" t="n">
        <f aca="false">(INDEX(FC_FLUJO_CAJA!$D$81:$BK$81,1,F$13)+INDEX(FC_FLUJO_CAJA!$D$23:$BK$23,1,F$13)+INDEX(FC_FLUJO_CAJA!$D$25:$BK$25,1,F$13))*IF(IFERROR(VALUE($D61&amp;""),0)&gt;0,IF(F$14=MIN(VALUE($D61&amp;""),F$15),1,0),IF($D61="Q",IF(F$14=MIN(2,F$15),0.5,0)+IF(F$14=F$15,0.5,0),IF($D61="U",IF(F$14=F$15,1,0),1/F$15)))</f>
        <v>0</v>
      </c>
      <c r="G61" s="498" t="n">
        <f aca="false">(INDEX(FC_FLUJO_CAJA!$D$81:$BK$81,1,G$13)+INDEX(FC_FLUJO_CAJA!$D$23:$BK$23,1,G$13)+INDEX(FC_FLUJO_CAJA!$D$25:$BK$25,1,G$13))*IF(IFERROR(VALUE($D61&amp;""),0)&gt;0,IF(G$14=MIN(VALUE($D61&amp;""),G$15),1,0),IF($D61="Q",IF(G$14=MIN(2,G$15),0.5,0)+IF(G$14=G$15,0.5,0),IF($D61="U",IF(G$14=G$15,1,0),1/G$15)))</f>
        <v>0</v>
      </c>
      <c r="H61" s="498" t="n">
        <f aca="false">(INDEX(FC_FLUJO_CAJA!$D$81:$BK$81,1,H$13)+INDEX(FC_FLUJO_CAJA!$D$23:$BK$23,1,H$13)+INDEX(FC_FLUJO_CAJA!$D$25:$BK$25,1,H$13))*IF(IFERROR(VALUE($D61&amp;""),0)&gt;0,IF(H$14=MIN(VALUE($D61&amp;""),H$15),1,0),IF($D61="Q",IF(H$14=MIN(2,H$15),0.5,0)+IF(H$14=H$15,0.5,0),IF($D61="U",IF(H$14=H$15,1,0),1/H$15)))</f>
        <v>0</v>
      </c>
      <c r="I61" s="498" t="n">
        <f aca="false">(INDEX(FC_FLUJO_CAJA!$D$81:$BK$81,1,I$13)+INDEX(FC_FLUJO_CAJA!$D$23:$BK$23,1,I$13)+INDEX(FC_FLUJO_CAJA!$D$25:$BK$25,1,I$13))*IF(IFERROR(VALUE($D61&amp;""),0)&gt;0,IF(I$14=MIN(VALUE($D61&amp;""),I$15),1,0),IF($D61="Q",IF(I$14=MIN(2,I$15),0.5,0)+IF(I$14=I$15,0.5,0),IF($D61="U",IF(I$14=I$15,1,0),1/I$15)))</f>
        <v>0</v>
      </c>
      <c r="J61" s="498" t="n">
        <f aca="false">(INDEX(FC_FLUJO_CAJA!$D$81:$BK$81,1,J$13)+INDEX(FC_FLUJO_CAJA!$D$23:$BK$23,1,J$13)+INDEX(FC_FLUJO_CAJA!$D$25:$BK$25,1,J$13))*IF(IFERROR(VALUE($D61&amp;""),0)&gt;0,IF(J$14=MIN(VALUE($D61&amp;""),J$15),1,0),IF($D61="Q",IF(J$14=MIN(2,J$15),0.5,0)+IF(J$14=J$15,0.5,0),IF($D61="U",IF(J$14=J$15,1,0),1/J$15)))</f>
        <v>0</v>
      </c>
      <c r="K61" s="498" t="n">
        <f aca="false">(INDEX(FC_FLUJO_CAJA!$D$81:$BK$81,1,K$13)+INDEX(FC_FLUJO_CAJA!$D$23:$BK$23,1,K$13)+INDEX(FC_FLUJO_CAJA!$D$25:$BK$25,1,K$13))*IF(IFERROR(VALUE($D61&amp;""),0)&gt;0,IF(K$14=MIN(VALUE($D61&amp;""),K$15),1,0),IF($D61="Q",IF(K$14=MIN(2,K$15),0.5,0)+IF(K$14=K$15,0.5,0),IF($D61="U",IF(K$14=K$15,1,0),1/K$15)))</f>
        <v>0</v>
      </c>
      <c r="L61" s="498" t="n">
        <f aca="false">(INDEX(FC_FLUJO_CAJA!$D$81:$BK$81,1,L$13)+INDEX(FC_FLUJO_CAJA!$D$23:$BK$23,1,L$13)+INDEX(FC_FLUJO_CAJA!$D$25:$BK$25,1,L$13))*IF(IFERROR(VALUE($D61&amp;""),0)&gt;0,IF(L$14=MIN(VALUE($D61&amp;""),L$15),1,0),IF($D61="Q",IF(L$14=MIN(2,L$15),0.5,0)+IF(L$14=L$15,0.5,0),IF($D61="U",IF(L$14=L$15,1,0),1/L$15)))</f>
        <v>0</v>
      </c>
      <c r="M61" s="498" t="n">
        <f aca="false">(INDEX(FC_FLUJO_CAJA!$D$81:$BK$81,1,M$13)+INDEX(FC_FLUJO_CAJA!$D$23:$BK$23,1,M$13)+INDEX(FC_FLUJO_CAJA!$D$25:$BK$25,1,M$13))*IF(IFERROR(VALUE($D61&amp;""),0)&gt;0,IF(M$14=MIN(VALUE($D61&amp;""),M$15),1,0),IF($D61="Q",IF(M$14=MIN(2,M$15),0.5,0)+IF(M$14=M$15,0.5,0),IF($D61="U",IF(M$14=M$15,1,0),1/M$15)))</f>
        <v>0</v>
      </c>
      <c r="N61" s="498" t="n">
        <f aca="false">(INDEX(FC_FLUJO_CAJA!$D$81:$BK$81,1,N$13)+INDEX(FC_FLUJO_CAJA!$D$23:$BK$23,1,N$13)+INDEX(FC_FLUJO_CAJA!$D$25:$BK$25,1,N$13))*IF(IFERROR(VALUE($D61&amp;""),0)&gt;0,IF(N$14=MIN(VALUE($D61&amp;""),N$15),1,0),IF($D61="Q",IF(N$14=MIN(2,N$15),0.5,0)+IF(N$14=N$15,0.5,0),IF($D61="U",IF(N$14=N$15,1,0),1/N$15)))</f>
        <v>0</v>
      </c>
      <c r="O61" s="498" t="n">
        <f aca="false">(INDEX(FC_FLUJO_CAJA!$D$81:$BK$81,1,O$13)+INDEX(FC_FLUJO_CAJA!$D$23:$BK$23,1,O$13)+INDEX(FC_FLUJO_CAJA!$D$25:$BK$25,1,O$13))*IF(IFERROR(VALUE($D61&amp;""),0)&gt;0,IF(O$14=MIN(VALUE($D61&amp;""),O$15),1,0),IF($D61="Q",IF(O$14=MIN(2,O$15),0.5,0)+IF(O$14=O$15,0.5,0),IF($D61="U",IF(O$14=O$15,1,0),1/O$15)))</f>
        <v>0</v>
      </c>
      <c r="P61" s="498" t="n">
        <f aca="false">(INDEX(FC_FLUJO_CAJA!$D$81:$BK$81,1,P$13)+INDEX(FC_FLUJO_CAJA!$D$23:$BK$23,1,P$13)+INDEX(FC_FLUJO_CAJA!$D$25:$BK$25,1,P$13))*IF(IFERROR(VALUE($D61&amp;""),0)&gt;0,IF(P$14=MIN(VALUE($D61&amp;""),P$15),1,0),IF($D61="Q",IF(P$14=MIN(2,P$15),0.5,0)+IF(P$14=P$15,0.5,0),IF($D61="U",IF(P$14=P$15,1,0),1/P$15)))</f>
        <v>0</v>
      </c>
      <c r="Q61" s="498" t="n">
        <f aca="false">(INDEX(FC_FLUJO_CAJA!$D$81:$BK$81,1,Q$13)+INDEX(FC_FLUJO_CAJA!$D$23:$BK$23,1,Q$13)+INDEX(FC_FLUJO_CAJA!$D$25:$BK$25,1,Q$13))*IF(IFERROR(VALUE($D61&amp;""),0)&gt;0,IF(Q$14=MIN(VALUE($D61&amp;""),Q$15),1,0),IF($D61="Q",IF(Q$14=MIN(2,Q$15),0.5,0)+IF(Q$14=Q$15,0.5,0),IF($D61="U",IF(Q$14=Q$15,1,0),1/Q$15)))</f>
        <v>0</v>
      </c>
      <c r="R61" s="498" t="n">
        <f aca="false">(INDEX(FC_FLUJO_CAJA!$D$81:$BK$81,1,R$13)+INDEX(FC_FLUJO_CAJA!$D$23:$BK$23,1,R$13)+INDEX(FC_FLUJO_CAJA!$D$25:$BK$25,1,R$13))*IF(IFERROR(VALUE($D61&amp;""),0)&gt;0,IF(R$14=MIN(VALUE($D61&amp;""),R$15),1,0),IF($D61="Q",IF(R$14=MIN(2,R$15),0.5,0)+IF(R$14=R$15,0.5,0),IF($D61="U",IF(R$14=R$15,1,0),1/R$15)))</f>
        <v>0</v>
      </c>
      <c r="S61" s="498" t="n">
        <f aca="false">(INDEX(FC_FLUJO_CAJA!$D$81:$BK$81,1,S$13)+INDEX(FC_FLUJO_CAJA!$D$23:$BK$23,1,S$13)+INDEX(FC_FLUJO_CAJA!$D$25:$BK$25,1,S$13))*IF(IFERROR(VALUE($D61&amp;""),0)&gt;0,IF(S$14=MIN(VALUE($D61&amp;""),S$15),1,0),IF($D61="Q",IF(S$14=MIN(2,S$15),0.5,0)+IF(S$14=S$15,0.5,0),IF($D61="U",IF(S$14=S$15,1,0),1/S$15)))</f>
        <v>0</v>
      </c>
      <c r="T61" s="498" t="n">
        <f aca="false">(INDEX(FC_FLUJO_CAJA!$D$81:$BK$81,1,T$13)+INDEX(FC_FLUJO_CAJA!$D$23:$BK$23,1,T$13)+INDEX(FC_FLUJO_CAJA!$D$25:$BK$25,1,T$13))*IF(IFERROR(VALUE($D61&amp;""),0)&gt;0,IF(T$14=MIN(VALUE($D61&amp;""),T$15),1,0),IF($D61="Q",IF(T$14=MIN(2,T$15),0.5,0)+IF(T$14=T$15,0.5,0),IF($D61="U",IF(T$14=T$15,1,0),1/T$15)))</f>
        <v>0</v>
      </c>
      <c r="U61" s="498" t="n">
        <f aca="false">(INDEX(FC_FLUJO_CAJA!$D$81:$BK$81,1,U$13)+INDEX(FC_FLUJO_CAJA!$D$23:$BK$23,1,U$13)+INDEX(FC_FLUJO_CAJA!$D$25:$BK$25,1,U$13))*IF(IFERROR(VALUE($D61&amp;""),0)&gt;0,IF(U$14=MIN(VALUE($D61&amp;""),U$15),1,0),IF($D61="Q",IF(U$14=MIN(2,U$15),0.5,0)+IF(U$14=U$15,0.5,0),IF($D61="U",IF(U$14=U$15,1,0),1/U$15)))</f>
        <v>0</v>
      </c>
      <c r="V61" s="498" t="n">
        <f aca="false">(INDEX(FC_FLUJO_CAJA!$D$81:$BK$81,1,V$13)+INDEX(FC_FLUJO_CAJA!$D$23:$BK$23,1,V$13)+INDEX(FC_FLUJO_CAJA!$D$25:$BK$25,1,V$13))*IF(IFERROR(VALUE($D61&amp;""),0)&gt;0,IF(V$14=MIN(VALUE($D61&amp;""),V$15),1,0),IF($D61="Q",IF(V$14=MIN(2,V$15),0.5,0)+IF(V$14=V$15,0.5,0),IF($D61="U",IF(V$14=V$15,1,0),1/V$15)))</f>
        <v>0</v>
      </c>
      <c r="W61" s="498" t="n">
        <f aca="false">(INDEX(FC_FLUJO_CAJA!$D$81:$BK$81,1,W$13)+INDEX(FC_FLUJO_CAJA!$D$23:$BK$23,1,W$13)+INDEX(FC_FLUJO_CAJA!$D$25:$BK$25,1,W$13))*IF(IFERROR(VALUE($D61&amp;""),0)&gt;0,IF(W$14=MIN(VALUE($D61&amp;""),W$15),1,0),IF($D61="Q",IF(W$14=MIN(2,W$15),0.5,0)+IF(W$14=W$15,0.5,0),IF($D61="U",IF(W$14=W$15,1,0),1/W$15)))</f>
        <v>0</v>
      </c>
      <c r="X61" s="498" t="n">
        <f aca="false">(INDEX(FC_FLUJO_CAJA!$D$81:$BK$81,1,X$13)+INDEX(FC_FLUJO_CAJA!$D$23:$BK$23,1,X$13)+INDEX(FC_FLUJO_CAJA!$D$25:$BK$25,1,X$13))*IF(IFERROR(VALUE($D61&amp;""),0)&gt;0,IF(X$14=MIN(VALUE($D61&amp;""),X$15),1,0),IF($D61="Q",IF(X$14=MIN(2,X$15),0.5,0)+IF(X$14=X$15,0.5,0),IF($D61="U",IF(X$14=X$15,1,0),1/X$15)))</f>
        <v>0</v>
      </c>
      <c r="Y61" s="498" t="n">
        <f aca="false">(INDEX(FC_FLUJO_CAJA!$D$81:$BK$81,1,Y$13)+INDEX(FC_FLUJO_CAJA!$D$23:$BK$23,1,Y$13)+INDEX(FC_FLUJO_CAJA!$D$25:$BK$25,1,Y$13))*IF(IFERROR(VALUE($D61&amp;""),0)&gt;0,IF(Y$14=MIN(VALUE($D61&amp;""),Y$15),1,0),IF($D61="Q",IF(Y$14=MIN(2,Y$15),0.5,0)+IF(Y$14=Y$15,0.5,0),IF($D61="U",IF(Y$14=Y$15,1,0),1/Y$15)))</f>
        <v>0</v>
      </c>
      <c r="Z61" s="498" t="n">
        <f aca="false">(INDEX(FC_FLUJO_CAJA!$D$81:$BK$81,1,Z$13)+INDEX(FC_FLUJO_CAJA!$D$23:$BK$23,1,Z$13)+INDEX(FC_FLUJO_CAJA!$D$25:$BK$25,1,Z$13))*IF(IFERROR(VALUE($D61&amp;""),0)&gt;0,IF(Z$14=MIN(VALUE($D61&amp;""),Z$15),1,0),IF($D61="Q",IF(Z$14=MIN(2,Z$15),0.5,0)+IF(Z$14=Z$15,0.5,0),IF($D61="U",IF(Z$14=Z$15,1,0),1/Z$15)))</f>
        <v>0</v>
      </c>
      <c r="AA61" s="498" t="n">
        <f aca="false">(INDEX(FC_FLUJO_CAJA!$D$81:$BK$81,1,AA$13)+INDEX(FC_FLUJO_CAJA!$D$23:$BK$23,1,AA$13)+INDEX(FC_FLUJO_CAJA!$D$25:$BK$25,1,AA$13))*IF(IFERROR(VALUE($D61&amp;""),0)&gt;0,IF(AA$14=MIN(VALUE($D61&amp;""),AA$15),1,0),IF($D61="Q",IF(AA$14=MIN(2,AA$15),0.5,0)+IF(AA$14=AA$15,0.5,0),IF($D61="U",IF(AA$14=AA$15,1,0),1/AA$15)))</f>
        <v>0</v>
      </c>
      <c r="AB61" s="498" t="n">
        <f aca="false">(INDEX(FC_FLUJO_CAJA!$D$81:$BK$81,1,AB$13)+INDEX(FC_FLUJO_CAJA!$D$23:$BK$23,1,AB$13)+INDEX(FC_FLUJO_CAJA!$D$25:$BK$25,1,AB$13))*IF(IFERROR(VALUE($D61&amp;""),0)&gt;0,IF(AB$14=MIN(VALUE($D61&amp;""),AB$15),1,0),IF($D61="Q",IF(AB$14=MIN(2,AB$15),0.5,0)+IF(AB$14=AB$15,0.5,0),IF($D61="U",IF(AB$14=AB$15,1,0),1/AB$15)))</f>
        <v>0</v>
      </c>
      <c r="AC61" s="498" t="n">
        <f aca="false">(INDEX(FC_FLUJO_CAJA!$D$81:$BK$81,1,AC$13)+INDEX(FC_FLUJO_CAJA!$D$23:$BK$23,1,AC$13)+INDEX(FC_FLUJO_CAJA!$D$25:$BK$25,1,AC$13))*IF(IFERROR(VALUE($D61&amp;""),0)&gt;0,IF(AC$14=MIN(VALUE($D61&amp;""),AC$15),1,0),IF($D61="Q",IF(AC$14=MIN(2,AC$15),0.5,0)+IF(AC$14=AC$15,0.5,0),IF($D61="U",IF(AC$14=AC$15,1,0),1/AC$15)))</f>
        <v>0</v>
      </c>
      <c r="AD61" s="498" t="n">
        <f aca="false">(INDEX(FC_FLUJO_CAJA!$D$81:$BK$81,1,AD$13)+INDEX(FC_FLUJO_CAJA!$D$23:$BK$23,1,AD$13)+INDEX(FC_FLUJO_CAJA!$D$25:$BK$25,1,AD$13))*IF(IFERROR(VALUE($D61&amp;""),0)&gt;0,IF(AD$14=MIN(VALUE($D61&amp;""),AD$15),1,0),IF($D61="Q",IF(AD$14=MIN(2,AD$15),0.5,0)+IF(AD$14=AD$15,0.5,0),IF($D61="U",IF(AD$14=AD$15,1,0),1/AD$15)))</f>
        <v>0</v>
      </c>
      <c r="AE61" s="498" t="n">
        <f aca="false">(INDEX(FC_FLUJO_CAJA!$D$81:$BK$81,1,AE$13)+INDEX(FC_FLUJO_CAJA!$D$23:$BK$23,1,AE$13)+INDEX(FC_FLUJO_CAJA!$D$25:$BK$25,1,AE$13))*IF(IFERROR(VALUE($D61&amp;""),0)&gt;0,IF(AE$14=MIN(VALUE($D61&amp;""),AE$15),1,0),IF($D61="Q",IF(AE$14=MIN(2,AE$15),0.5,0)+IF(AE$14=AE$15,0.5,0),IF($D61="U",IF(AE$14=AE$15,1,0),1/AE$15)))</f>
        <v>0</v>
      </c>
      <c r="AF61" s="498" t="n">
        <f aca="false">(INDEX(FC_FLUJO_CAJA!$D$81:$BK$81,1,AF$13)+INDEX(FC_FLUJO_CAJA!$D$23:$BK$23,1,AF$13)+INDEX(FC_FLUJO_CAJA!$D$25:$BK$25,1,AF$13))*IF(IFERROR(VALUE($D61&amp;""),0)&gt;0,IF(AF$14=MIN(VALUE($D61&amp;""),AF$15),1,0),IF($D61="Q",IF(AF$14=MIN(2,AF$15),0.5,0)+IF(AF$14=AF$15,0.5,0),IF($D61="U",IF(AF$14=AF$15,1,0),1/AF$15)))</f>
        <v>0</v>
      </c>
      <c r="AG61" s="498" t="n">
        <f aca="false">(INDEX(FC_FLUJO_CAJA!$D$81:$BK$81,1,AG$13)+INDEX(FC_FLUJO_CAJA!$D$23:$BK$23,1,AG$13)+INDEX(FC_FLUJO_CAJA!$D$25:$BK$25,1,AG$13))*IF(IFERROR(VALUE($D61&amp;""),0)&gt;0,IF(AG$14=MIN(VALUE($D61&amp;""),AG$15),1,0),IF($D61="Q",IF(AG$14=MIN(2,AG$15),0.5,0)+IF(AG$14=AG$15,0.5,0),IF($D61="U",IF(AG$14=AG$15,1,0),1/AG$15)))</f>
        <v>0</v>
      </c>
      <c r="AH61" s="498" t="n">
        <f aca="false">(INDEX(FC_FLUJO_CAJA!$D$81:$BK$81,1,AH$13)+INDEX(FC_FLUJO_CAJA!$D$23:$BK$23,1,AH$13)+INDEX(FC_FLUJO_CAJA!$D$25:$BK$25,1,AH$13))*IF(IFERROR(VALUE($D61&amp;""),0)&gt;0,IF(AH$14=MIN(VALUE($D61&amp;""),AH$15),1,0),IF($D61="Q",IF(AH$14=MIN(2,AH$15),0.5,0)+IF(AH$14=AH$15,0.5,0),IF($D61="U",IF(AH$14=AH$15,1,0),1/AH$15)))</f>
        <v>0</v>
      </c>
      <c r="AI61" s="498" t="n">
        <f aca="false">(INDEX(FC_FLUJO_CAJA!$D$81:$BK$81,1,AI$13)+INDEX(FC_FLUJO_CAJA!$D$23:$BK$23,1,AI$13)+INDEX(FC_FLUJO_CAJA!$D$25:$BK$25,1,AI$13))*IF(IFERROR(VALUE($D61&amp;""),0)&gt;0,IF(AI$14=MIN(VALUE($D61&amp;""),AI$15),1,0),IF($D61="Q",IF(AI$14=MIN(2,AI$15),0.5,0)+IF(AI$14=AI$15,0.5,0),IF($D61="U",IF(AI$14=AI$15,1,0),1/AI$15)))</f>
        <v>0</v>
      </c>
      <c r="AJ61" s="498" t="n">
        <f aca="false">(INDEX(FC_FLUJO_CAJA!$D$81:$BK$81,1,AJ$13)+INDEX(FC_FLUJO_CAJA!$D$23:$BK$23,1,AJ$13)+INDEX(FC_FLUJO_CAJA!$D$25:$BK$25,1,AJ$13))*IF(IFERROR(VALUE($D61&amp;""),0)&gt;0,IF(AJ$14=MIN(VALUE($D61&amp;""),AJ$15),1,0),IF($D61="Q",IF(AJ$14=MIN(2,AJ$15),0.5,0)+IF(AJ$14=AJ$15,0.5,0),IF($D61="U",IF(AJ$14=AJ$15,1,0),1/AJ$15)))</f>
        <v>0</v>
      </c>
      <c r="AK61" s="498" t="n">
        <f aca="false">(INDEX(FC_FLUJO_CAJA!$D$81:$BK$81,1,AK$13)+INDEX(FC_FLUJO_CAJA!$D$23:$BK$23,1,AK$13)+INDEX(FC_FLUJO_CAJA!$D$25:$BK$25,1,AK$13))*IF(IFERROR(VALUE($D61&amp;""),0)&gt;0,IF(AK$14=MIN(VALUE($D61&amp;""),AK$15),1,0),IF($D61="Q",IF(AK$14=MIN(2,AK$15),0.5,0)+IF(AK$14=AK$15,0.5,0),IF($D61="U",IF(AK$14=AK$15,1,0),1/AK$15)))</f>
        <v>0</v>
      </c>
      <c r="AL61" s="498" t="n">
        <f aca="false">(INDEX(FC_FLUJO_CAJA!$D$81:$BK$81,1,AL$13)+INDEX(FC_FLUJO_CAJA!$D$23:$BK$23,1,AL$13)+INDEX(FC_FLUJO_CAJA!$D$25:$BK$25,1,AL$13))*IF(IFERROR(VALUE($D61&amp;""),0)&gt;0,IF(AL$14=MIN(VALUE($D61&amp;""),AL$15),1,0),IF($D61="Q",IF(AL$14=MIN(2,AL$15),0.5,0)+IF(AL$14=AL$15,0.5,0),IF($D61="U",IF(AL$14=AL$15,1,0),1/AL$15)))</f>
        <v>0</v>
      </c>
      <c r="AM61" s="498" t="n">
        <f aca="false">(INDEX(FC_FLUJO_CAJA!$D$81:$BK$81,1,AM$13)+INDEX(FC_FLUJO_CAJA!$D$23:$BK$23,1,AM$13)+INDEX(FC_FLUJO_CAJA!$D$25:$BK$25,1,AM$13))*IF(IFERROR(VALUE($D61&amp;""),0)&gt;0,IF(AM$14=MIN(VALUE($D61&amp;""),AM$15),1,0),IF($D61="Q",IF(AM$14=MIN(2,AM$15),0.5,0)+IF(AM$14=AM$15,0.5,0),IF($D61="U",IF(AM$14=AM$15,1,0),1/AM$15)))</f>
        <v>0</v>
      </c>
      <c r="AN61" s="498" t="n">
        <f aca="false">(INDEX(FC_FLUJO_CAJA!$D$81:$BK$81,1,AN$13)+INDEX(FC_FLUJO_CAJA!$D$23:$BK$23,1,AN$13)+INDEX(FC_FLUJO_CAJA!$D$25:$BK$25,1,AN$13))*IF(IFERROR(VALUE($D61&amp;""),0)&gt;0,IF(AN$14=MIN(VALUE($D61&amp;""),AN$15),1,0),IF($D61="Q",IF(AN$14=MIN(2,AN$15),0.5,0)+IF(AN$14=AN$15,0.5,0),IF($D61="U",IF(AN$14=AN$15,1,0),1/AN$15)))</f>
        <v>0</v>
      </c>
      <c r="AO61" s="498" t="n">
        <f aca="false">(INDEX(FC_FLUJO_CAJA!$D$81:$BK$81,1,AO$13)+INDEX(FC_FLUJO_CAJA!$D$23:$BK$23,1,AO$13)+INDEX(FC_FLUJO_CAJA!$D$25:$BK$25,1,AO$13))*IF(IFERROR(VALUE($D61&amp;""),0)&gt;0,IF(AO$14=MIN(VALUE($D61&amp;""),AO$15),1,0),IF($D61="Q",IF(AO$14=MIN(2,AO$15),0.5,0)+IF(AO$14=AO$15,0.5,0),IF($D61="U",IF(AO$14=AO$15,1,0),1/AO$15)))</f>
        <v>0</v>
      </c>
      <c r="AP61" s="498" t="n">
        <f aca="false">(INDEX(FC_FLUJO_CAJA!$D$81:$BK$81,1,AP$13)+INDEX(FC_FLUJO_CAJA!$D$23:$BK$23,1,AP$13)+INDEX(FC_FLUJO_CAJA!$D$25:$BK$25,1,AP$13))*IF(IFERROR(VALUE($D61&amp;""),0)&gt;0,IF(AP$14=MIN(VALUE($D61&amp;""),AP$15),1,0),IF($D61="Q",IF(AP$14=MIN(2,AP$15),0.5,0)+IF(AP$14=AP$15,0.5,0),IF($D61="U",IF(AP$14=AP$15,1,0),1/AP$15)))</f>
        <v>0</v>
      </c>
      <c r="AQ61" s="498" t="n">
        <f aca="false">(INDEX(FC_FLUJO_CAJA!$D$81:$BK$81,1,AQ$13)+INDEX(FC_FLUJO_CAJA!$D$23:$BK$23,1,AQ$13)+INDEX(FC_FLUJO_CAJA!$D$25:$BK$25,1,AQ$13))*IF(IFERROR(VALUE($D61&amp;""),0)&gt;0,IF(AQ$14=MIN(VALUE($D61&amp;""),AQ$15),1,0),IF($D61="Q",IF(AQ$14=MIN(2,AQ$15),0.5,0)+IF(AQ$14=AQ$15,0.5,0),IF($D61="U",IF(AQ$14=AQ$15,1,0),1/AQ$15)))</f>
        <v>0</v>
      </c>
      <c r="AR61" s="498" t="n">
        <f aca="false">(INDEX(FC_FLUJO_CAJA!$D$81:$BK$81,1,AR$13)+INDEX(FC_FLUJO_CAJA!$D$23:$BK$23,1,AR$13)+INDEX(FC_FLUJO_CAJA!$D$25:$BK$25,1,AR$13))*IF(IFERROR(VALUE($D61&amp;""),0)&gt;0,IF(AR$14=MIN(VALUE($D61&amp;""),AR$15),1,0),IF($D61="Q",IF(AR$14=MIN(2,AR$15),0.5,0)+IF(AR$14=AR$15,0.5,0),IF($D61="U",IF(AR$14=AR$15,1,0),1/AR$15)))</f>
        <v>0</v>
      </c>
      <c r="AS61" s="498" t="n">
        <f aca="false">(INDEX(FC_FLUJO_CAJA!$D$81:$BK$81,1,AS$13)+INDEX(FC_FLUJO_CAJA!$D$23:$BK$23,1,AS$13)+INDEX(FC_FLUJO_CAJA!$D$25:$BK$25,1,AS$13))*IF(IFERROR(VALUE($D61&amp;""),0)&gt;0,IF(AS$14=MIN(VALUE($D61&amp;""),AS$15),1,0),IF($D61="Q",IF(AS$14=MIN(2,AS$15),0.5,0)+IF(AS$14=AS$15,0.5,0),IF($D61="U",IF(AS$14=AS$15,1,0),1/AS$15)))</f>
        <v>0</v>
      </c>
      <c r="AT61" s="498" t="n">
        <f aca="false">(INDEX(FC_FLUJO_CAJA!$D$81:$BK$81,1,AT$13)+INDEX(FC_FLUJO_CAJA!$D$23:$BK$23,1,AT$13)+INDEX(FC_FLUJO_CAJA!$D$25:$BK$25,1,AT$13))*IF(IFERROR(VALUE($D61&amp;""),0)&gt;0,IF(AT$14=MIN(VALUE($D61&amp;""),AT$15),1,0),IF($D61="Q",IF(AT$14=MIN(2,AT$15),0.5,0)+IF(AT$14=AT$15,0.5,0),IF($D61="U",IF(AT$14=AT$15,1,0),1/AT$15)))</f>
        <v>0</v>
      </c>
      <c r="AU61" s="498" t="n">
        <f aca="false">(INDEX(FC_FLUJO_CAJA!$D$81:$BK$81,1,AU$13)+INDEX(FC_FLUJO_CAJA!$D$23:$BK$23,1,AU$13)+INDEX(FC_FLUJO_CAJA!$D$25:$BK$25,1,AU$13))*IF(IFERROR(VALUE($D61&amp;""),0)&gt;0,IF(AU$14=MIN(VALUE($D61&amp;""),AU$15),1,0),IF($D61="Q",IF(AU$14=MIN(2,AU$15),0.5,0)+IF(AU$14=AU$15,0.5,0),IF($D61="U",IF(AU$14=AU$15,1,0),1/AU$15)))</f>
        <v>0</v>
      </c>
      <c r="AV61" s="498" t="n">
        <f aca="false">(INDEX(FC_FLUJO_CAJA!$D$81:$BK$81,1,AV$13)+INDEX(FC_FLUJO_CAJA!$D$23:$BK$23,1,AV$13)+INDEX(FC_FLUJO_CAJA!$D$25:$BK$25,1,AV$13))*IF(IFERROR(VALUE($D61&amp;""),0)&gt;0,IF(AV$14=MIN(VALUE($D61&amp;""),AV$15),1,0),IF($D61="Q",IF(AV$14=MIN(2,AV$15),0.5,0)+IF(AV$14=AV$15,0.5,0),IF($D61="U",IF(AV$14=AV$15,1,0),1/AV$15)))</f>
        <v>0</v>
      </c>
      <c r="AW61" s="498" t="n">
        <f aca="false">(INDEX(FC_FLUJO_CAJA!$D$81:$BK$81,1,AW$13)+INDEX(FC_FLUJO_CAJA!$D$23:$BK$23,1,AW$13)+INDEX(FC_FLUJO_CAJA!$D$25:$BK$25,1,AW$13))*IF(IFERROR(VALUE($D61&amp;""),0)&gt;0,IF(AW$14=MIN(VALUE($D61&amp;""),AW$15),1,0),IF($D61="Q",IF(AW$14=MIN(2,AW$15),0.5,0)+IF(AW$14=AW$15,0.5,0),IF($D61="U",IF(AW$14=AW$15,1,0),1/AW$15)))</f>
        <v>0</v>
      </c>
      <c r="AX61" s="498" t="n">
        <f aca="false">(INDEX(FC_FLUJO_CAJA!$D$81:$BK$81,1,AX$13)+INDEX(FC_FLUJO_CAJA!$D$23:$BK$23,1,AX$13)+INDEX(FC_FLUJO_CAJA!$D$25:$BK$25,1,AX$13))*IF(IFERROR(VALUE($D61&amp;""),0)&gt;0,IF(AX$14=MIN(VALUE($D61&amp;""),AX$15),1,0),IF($D61="Q",IF(AX$14=MIN(2,AX$15),0.5,0)+IF(AX$14=AX$15,0.5,0),IF($D61="U",IF(AX$14=AX$15,1,0),1/AX$15)))</f>
        <v>0</v>
      </c>
      <c r="AY61" s="498" t="n">
        <f aca="false">(INDEX(FC_FLUJO_CAJA!$D$81:$BK$81,1,AY$13)+INDEX(FC_FLUJO_CAJA!$D$23:$BK$23,1,AY$13)+INDEX(FC_FLUJO_CAJA!$D$25:$BK$25,1,AY$13))*IF(IFERROR(VALUE($D61&amp;""),0)&gt;0,IF(AY$14=MIN(VALUE($D61&amp;""),AY$15),1,0),IF($D61="Q",IF(AY$14=MIN(2,AY$15),0.5,0)+IF(AY$14=AY$15,0.5,0),IF($D61="U",IF(AY$14=AY$15,1,0),1/AY$15)))</f>
        <v>0</v>
      </c>
      <c r="AZ61" s="498" t="n">
        <f aca="false">(INDEX(FC_FLUJO_CAJA!$D$81:$BK$81,1,AZ$13)+INDEX(FC_FLUJO_CAJA!$D$23:$BK$23,1,AZ$13)+INDEX(FC_FLUJO_CAJA!$D$25:$BK$25,1,AZ$13))*IF(IFERROR(VALUE($D61&amp;""),0)&gt;0,IF(AZ$14=MIN(VALUE($D61&amp;""),AZ$15),1,0),IF($D61="Q",IF(AZ$14=MIN(2,AZ$15),0.5,0)+IF(AZ$14=AZ$15,0.5,0),IF($D61="U",IF(AZ$14=AZ$15,1,0),1/AZ$15)))</f>
        <v>0</v>
      </c>
      <c r="BA61" s="498" t="n">
        <f aca="false">(INDEX(FC_FLUJO_CAJA!$D$81:$BK$81,1,BA$13)+INDEX(FC_FLUJO_CAJA!$D$23:$BK$23,1,BA$13)+INDEX(FC_FLUJO_CAJA!$D$25:$BK$25,1,BA$13))*IF(IFERROR(VALUE($D61&amp;""),0)&gt;0,IF(BA$14=MIN(VALUE($D61&amp;""),BA$15),1,0),IF($D61="Q",IF(BA$14=MIN(2,BA$15),0.5,0)+IF(BA$14=BA$15,0.5,0),IF($D61="U",IF(BA$14=BA$15,1,0),1/BA$15)))</f>
        <v>0</v>
      </c>
      <c r="BB61" s="498" t="n">
        <f aca="false">(INDEX(FC_FLUJO_CAJA!$D$81:$BK$81,1,BB$13)+INDEX(FC_FLUJO_CAJA!$D$23:$BK$23,1,BB$13)+INDEX(FC_FLUJO_CAJA!$D$25:$BK$25,1,BB$13))*IF(IFERROR(VALUE($D61&amp;""),0)&gt;0,IF(BB$14=MIN(VALUE($D61&amp;""),BB$15),1,0),IF($D61="Q",IF(BB$14=MIN(2,BB$15),0.5,0)+IF(BB$14=BB$15,0.5,0),IF($D61="U",IF(BB$14=BB$15,1,0),1/BB$15)))</f>
        <v>0</v>
      </c>
      <c r="BC61" s="498" t="n">
        <f aca="false">(INDEX(FC_FLUJO_CAJA!$D$81:$BK$81,1,BC$13)+INDEX(FC_FLUJO_CAJA!$D$23:$BK$23,1,BC$13)+INDEX(FC_FLUJO_CAJA!$D$25:$BK$25,1,BC$13))*IF(IFERROR(VALUE($D61&amp;""),0)&gt;0,IF(BC$14=MIN(VALUE($D61&amp;""),BC$15),1,0),IF($D61="Q",IF(BC$14=MIN(2,BC$15),0.5,0)+IF(BC$14=BC$15,0.5,0),IF($D61="U",IF(BC$14=BC$15,1,0),1/BC$15)))</f>
        <v>0</v>
      </c>
      <c r="BD61" s="498" t="n">
        <f aca="false">(INDEX(FC_FLUJO_CAJA!$D$81:$BK$81,1,BD$13)+INDEX(FC_FLUJO_CAJA!$D$23:$BK$23,1,BD$13)+INDEX(FC_FLUJO_CAJA!$D$25:$BK$25,1,BD$13))*IF(IFERROR(VALUE($D61&amp;""),0)&gt;0,IF(BD$14=MIN(VALUE($D61&amp;""),BD$15),1,0),IF($D61="Q",IF(BD$14=MIN(2,BD$15),0.5,0)+IF(BD$14=BD$15,0.5,0),IF($D61="U",IF(BD$14=BD$15,1,0),1/BD$15)))</f>
        <v>0</v>
      </c>
      <c r="BE61" s="498" t="n">
        <f aca="false">(INDEX(FC_FLUJO_CAJA!$D$81:$BK$81,1,BE$13)+INDEX(FC_FLUJO_CAJA!$D$23:$BK$23,1,BE$13)+INDEX(FC_FLUJO_CAJA!$D$25:$BK$25,1,BE$13))*IF(IFERROR(VALUE($D61&amp;""),0)&gt;0,IF(BE$14=MIN(VALUE($D61&amp;""),BE$15),1,0),IF($D61="Q",IF(BE$14=MIN(2,BE$15),0.5,0)+IF(BE$14=BE$15,0.5,0),IF($D61="U",IF(BE$14=BE$15,1,0),1/BE$15)))</f>
        <v>0</v>
      </c>
    </row>
    <row r="63" customFormat="false" ht="15" hidden="false" customHeight="true" outlineLevel="0" collapsed="false">
      <c r="A63" s="534" t="s">
        <v>3182</v>
      </c>
      <c r="B63" s="535"/>
      <c r="C63" s="535"/>
      <c r="D63" s="535"/>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5"/>
      <c r="AX63" s="535"/>
      <c r="AY63" s="535"/>
      <c r="AZ63" s="535"/>
      <c r="BA63" s="535"/>
      <c r="BB63" s="535"/>
      <c r="BC63" s="535"/>
      <c r="BD63" s="535"/>
      <c r="BE63" s="535"/>
    </row>
    <row r="64" customFormat="false" ht="15" hidden="false" customHeight="true" outlineLevel="0" collapsed="false">
      <c r="A64" s="536"/>
      <c r="B64" s="537" t="s">
        <v>3183</v>
      </c>
      <c r="C64" s="536"/>
      <c r="D64" s="536"/>
      <c r="E64" s="538" t="n">
        <f aca="false">SUM(F64:BE64)</f>
        <v>2450498.72860177</v>
      </c>
      <c r="F64" s="538" t="n">
        <f aca="false">F30+F32+F44+F59+F61</f>
        <v>157111.084787916</v>
      </c>
      <c r="G64" s="538" t="n">
        <f aca="false">G30+G32+G44+G59+G61</f>
        <v>5266.97767775405</v>
      </c>
      <c r="H64" s="538" t="n">
        <f aca="false">H30+H32+H44+H59+H61</f>
        <v>3831.97767775404</v>
      </c>
      <c r="I64" s="538" t="n">
        <f aca="false">I30+I32+I44+I59+I61</f>
        <v>5266.97767775405</v>
      </c>
      <c r="J64" s="538" t="n">
        <f aca="false">J30+J32+J44+J59+J61</f>
        <v>0</v>
      </c>
      <c r="K64" s="538" t="n">
        <f aca="false">K30+K32+K44+K59+K61</f>
        <v>7857.5</v>
      </c>
      <c r="L64" s="538" t="n">
        <f aca="false">L30+L32+L44+L59+L61</f>
        <v>0</v>
      </c>
      <c r="M64" s="538" t="n">
        <f aca="false">M30+M32+M44+M59+M61</f>
        <v>0</v>
      </c>
      <c r="N64" s="538" t="n">
        <f aca="false">N30+N32+N44+N59+N61</f>
        <v>7857.5</v>
      </c>
      <c r="O64" s="538" t="n">
        <f aca="false">O30+O32+O44+O59+O61</f>
        <v>0</v>
      </c>
      <c r="P64" s="538" t="n">
        <f aca="false">P30+P32+P44+P59+P61</f>
        <v>7857.5</v>
      </c>
      <c r="Q64" s="538" t="n">
        <f aca="false">Q30+Q32+Q44+Q59+Q61</f>
        <v>0</v>
      </c>
      <c r="R64" s="538" t="n">
        <f aca="false">R30+R32+R44+R59+R61</f>
        <v>7857.5</v>
      </c>
      <c r="S64" s="538" t="n">
        <f aca="false">S30+S32+S44+S59+S61</f>
        <v>137113.07125</v>
      </c>
      <c r="T64" s="538" t="n">
        <f aca="false">T30+T32+T44+T59+T61</f>
        <v>11201.72125</v>
      </c>
      <c r="U64" s="538" t="n">
        <f aca="false">U30+U32+U44+U59+U61</f>
        <v>3344.22125</v>
      </c>
      <c r="V64" s="538" t="n">
        <f aca="false">V30+V32+V44+V59+V61</f>
        <v>11201.72125</v>
      </c>
      <c r="W64" s="538" t="n">
        <f aca="false">W30+W32+W44+W59+W61</f>
        <v>151944.160550446</v>
      </c>
      <c r="X64" s="538" t="n">
        <f aca="false">X30+X32+X44+X59+X61</f>
        <v>107016.222574401</v>
      </c>
      <c r="Y64" s="538" t="n">
        <f aca="false">Y30+Y32+Y44+Y59+Y61</f>
        <v>5978.64007440113</v>
      </c>
      <c r="Z64" s="538" t="n">
        <f aca="false">Z30+Z32+Z44+Z59+Z61</f>
        <v>13836.1400744011</v>
      </c>
      <c r="AA64" s="538" t="n">
        <f aca="false">AA30+AA32+AA44+AA59+AA61</f>
        <v>0</v>
      </c>
      <c r="AB64" s="538" t="n">
        <f aca="false">AB30+AB32+AB44+AB59+AB61</f>
        <v>7857.5</v>
      </c>
      <c r="AC64" s="538" t="n">
        <f aca="false">AC30+AC32+AC44+AC59+AC61</f>
        <v>0</v>
      </c>
      <c r="AD64" s="538" t="n">
        <f aca="false">AD30+AD32+AD44+AD59+AD61</f>
        <v>0</v>
      </c>
      <c r="AE64" s="538" t="n">
        <f aca="false">AE30+AE32+AE44+AE59+AE61</f>
        <v>7857.5</v>
      </c>
      <c r="AF64" s="538" t="n">
        <f aca="false">AF30+AF32+AF44+AF59+AF61</f>
        <v>42986.8995603448</v>
      </c>
      <c r="AG64" s="538" t="n">
        <f aca="false">AG30+AG32+AG44+AG59+AG61</f>
        <v>115220.381974138</v>
      </c>
      <c r="AH64" s="538" t="n">
        <f aca="false">AH30+AH32+AH44+AH59+AH61</f>
        <v>5186.89956034483</v>
      </c>
      <c r="AI64" s="538" t="n">
        <f aca="false">AI30+AI32+AI44+AI59+AI61</f>
        <v>13544.3995603448</v>
      </c>
      <c r="AJ64" s="538" t="n">
        <f aca="false">AJ30+AJ32+AJ44+AJ59+AJ61</f>
        <v>51352.4638</v>
      </c>
      <c r="AK64" s="538" t="n">
        <f aca="false">AK30+AK32+AK44+AK59+AK61</f>
        <v>86825.2466125</v>
      </c>
      <c r="AL64" s="538" t="n">
        <f aca="false">AL30+AL32+AL44+AL59+AL61</f>
        <v>36052.4638</v>
      </c>
      <c r="AM64" s="538" t="n">
        <f aca="false">AM30+AM32+AM44+AM59+AM61</f>
        <v>13552.4638</v>
      </c>
      <c r="AN64" s="538" t="n">
        <f aca="false">AN30+AN32+AN44+AN59+AN61</f>
        <v>24025.2466125</v>
      </c>
      <c r="AO64" s="538" t="n">
        <f aca="false">AO30+AO32+AO44+AO59+AO61</f>
        <v>77584.10475</v>
      </c>
      <c r="AP64" s="538" t="n">
        <f aca="false">AP30+AP32+AP44+AP59+AP61</f>
        <v>75363.3875625</v>
      </c>
      <c r="AQ64" s="538" t="n">
        <f aca="false">AQ30+AQ32+AQ44+AQ59+AQ61</f>
        <v>217025.10475</v>
      </c>
      <c r="AR64" s="538" t="n">
        <f aca="false">AR30+AR32+AR44+AR59+AR61</f>
        <v>57563.3875625</v>
      </c>
      <c r="AS64" s="538" t="n">
        <f aca="false">AS30+AS32+AS44+AS59+AS61</f>
        <v>78158.2511353937</v>
      </c>
      <c r="AT64" s="538" t="n">
        <f aca="false">AT30+AT32+AT44+AT59+AT61</f>
        <v>67226.5339478937</v>
      </c>
      <c r="AU64" s="538" t="n">
        <f aca="false">AU30+AU32+AU44+AU59+AU61</f>
        <v>40808.2511353937</v>
      </c>
      <c r="AV64" s="538" t="n">
        <f aca="false">AV30+AV32+AV44+AV59+AV61</f>
        <v>49426.5339478937</v>
      </c>
      <c r="AW64" s="538" t="n">
        <f aca="false">AW30+AW32+AW44+AW59+AW61</f>
        <v>100703.075733011</v>
      </c>
      <c r="AX64" s="538" t="n">
        <f aca="false">AX30+AX32+AX44+AX59+AX61</f>
        <v>84210.3585455107</v>
      </c>
      <c r="AY64" s="538" t="n">
        <f aca="false">AY30+AY32+AY44+AY59+AY61</f>
        <v>50203.0757330107</v>
      </c>
      <c r="AZ64" s="538" t="n">
        <f aca="false">AZ30+AZ32+AZ44+AZ59+AZ61</f>
        <v>36603.0757330107</v>
      </c>
      <c r="BA64" s="538" t="n">
        <f aca="false">BA30+BA32+BA44+BA59+BA61</f>
        <v>63260.3585455107</v>
      </c>
      <c r="BB64" s="538" t="n">
        <f aca="false">BB30+BB32+BB44+BB59+BB61</f>
        <v>82249.6393097758</v>
      </c>
      <c r="BC64" s="538" t="n">
        <f aca="false">BC30+BC32+BC44+BC59+BC61</f>
        <v>129229.784762793</v>
      </c>
      <c r="BD64" s="538" t="n">
        <f aca="false">BD30+BD32+BD44+BD59+BD61</f>
        <v>86749.6393097758</v>
      </c>
      <c r="BE64" s="538" t="n">
        <f aca="false">BE30+BE32+BE44+BE59+BE61</f>
        <v>105129.784762793</v>
      </c>
    </row>
    <row r="65" customFormat="false" ht="15" hidden="false" customHeight="true" outlineLevel="0" collapsed="false">
      <c r="A65" s="539"/>
      <c r="B65" s="540" t="s">
        <v>3184</v>
      </c>
      <c r="C65" s="539"/>
      <c r="D65" s="539"/>
      <c r="E65" s="541" t="n">
        <f aca="false">SUM(F65:BE65)</f>
        <v>502643.81397642</v>
      </c>
      <c r="F65" s="541" t="n">
        <f aca="false">F18</f>
        <v>0</v>
      </c>
      <c r="G65" s="541" t="n">
        <f aca="false">G18</f>
        <v>0</v>
      </c>
      <c r="H65" s="541" t="n">
        <f aca="false">H18</f>
        <v>0</v>
      </c>
      <c r="I65" s="541" t="n">
        <f aca="false">I18</f>
        <v>0</v>
      </c>
      <c r="J65" s="541" t="n">
        <f aca="false">J18</f>
        <v>0</v>
      </c>
      <c r="K65" s="541" t="n">
        <f aca="false">K18</f>
        <v>0</v>
      </c>
      <c r="L65" s="541" t="n">
        <f aca="false">L18</f>
        <v>0</v>
      </c>
      <c r="M65" s="541" t="n">
        <f aca="false">M18</f>
        <v>0</v>
      </c>
      <c r="N65" s="541" t="n">
        <f aca="false">N18</f>
        <v>0</v>
      </c>
      <c r="O65" s="541" t="n">
        <f aca="false">O18</f>
        <v>0</v>
      </c>
      <c r="P65" s="541" t="n">
        <f aca="false">P18</f>
        <v>0</v>
      </c>
      <c r="Q65" s="541" t="n">
        <f aca="false">Q18</f>
        <v>0</v>
      </c>
      <c r="R65" s="541" t="n">
        <f aca="false">R18</f>
        <v>0</v>
      </c>
      <c r="S65" s="541" t="n">
        <f aca="false">S18</f>
        <v>0</v>
      </c>
      <c r="T65" s="541" t="n">
        <f aca="false">T18</f>
        <v>0</v>
      </c>
      <c r="U65" s="541" t="n">
        <f aca="false">U18</f>
        <v>0</v>
      </c>
      <c r="V65" s="541" t="n">
        <f aca="false">V18</f>
        <v>0</v>
      </c>
      <c r="W65" s="541" t="n">
        <f aca="false">W18</f>
        <v>0</v>
      </c>
      <c r="X65" s="541" t="n">
        <f aca="false">X18</f>
        <v>0</v>
      </c>
      <c r="Y65" s="541" t="n">
        <f aca="false">Y18</f>
        <v>0</v>
      </c>
      <c r="Z65" s="541" t="n">
        <f aca="false">Z18</f>
        <v>0</v>
      </c>
      <c r="AA65" s="541" t="n">
        <f aca="false">AA18</f>
        <v>0</v>
      </c>
      <c r="AB65" s="541" t="n">
        <f aca="false">AB18</f>
        <v>0</v>
      </c>
      <c r="AC65" s="541" t="n">
        <f aca="false">AC18</f>
        <v>0</v>
      </c>
      <c r="AD65" s="541" t="n">
        <f aca="false">AD18</f>
        <v>0</v>
      </c>
      <c r="AE65" s="541" t="n">
        <f aca="false">AE18</f>
        <v>0</v>
      </c>
      <c r="AF65" s="541" t="n">
        <f aca="false">AF18</f>
        <v>0</v>
      </c>
      <c r="AG65" s="541" t="n">
        <f aca="false">AG18</f>
        <v>0</v>
      </c>
      <c r="AH65" s="541" t="n">
        <f aca="false">AH18</f>
        <v>0</v>
      </c>
      <c r="AI65" s="541" t="n">
        <f aca="false">AI18</f>
        <v>0</v>
      </c>
      <c r="AJ65" s="541" t="n">
        <f aca="false">AJ18</f>
        <v>0</v>
      </c>
      <c r="AK65" s="541" t="n">
        <f aca="false">AK18</f>
        <v>0</v>
      </c>
      <c r="AL65" s="541" t="n">
        <f aca="false">AL18</f>
        <v>0</v>
      </c>
      <c r="AM65" s="541" t="n">
        <f aca="false">AM18</f>
        <v>0</v>
      </c>
      <c r="AN65" s="541" t="n">
        <f aca="false">AN18</f>
        <v>0</v>
      </c>
      <c r="AO65" s="541" t="n">
        <f aca="false">AO18</f>
        <v>0</v>
      </c>
      <c r="AP65" s="541" t="n">
        <f aca="false">AP18</f>
        <v>0</v>
      </c>
      <c r="AQ65" s="541" t="n">
        <f aca="false">AQ18</f>
        <v>0</v>
      </c>
      <c r="AR65" s="541" t="n">
        <f aca="false">AR18</f>
        <v>0</v>
      </c>
      <c r="AS65" s="541" t="n">
        <f aca="false">AS18</f>
        <v>17731.8552086714</v>
      </c>
      <c r="AT65" s="541" t="n">
        <f aca="false">AT18</f>
        <v>17731.8552086714</v>
      </c>
      <c r="AU65" s="541" t="n">
        <f aca="false">AU18</f>
        <v>17731.8552086714</v>
      </c>
      <c r="AV65" s="541" t="n">
        <f aca="false">AV18</f>
        <v>17731.8552086714</v>
      </c>
      <c r="AW65" s="541" t="n">
        <f aca="false">AW18</f>
        <v>32423.963810142</v>
      </c>
      <c r="AX65" s="541" t="n">
        <f aca="false">AX18</f>
        <v>32423.963810142</v>
      </c>
      <c r="AY65" s="541" t="n">
        <f aca="false">AY18</f>
        <v>32423.963810142</v>
      </c>
      <c r="AZ65" s="541" t="n">
        <f aca="false">AZ18</f>
        <v>32423.963810142</v>
      </c>
      <c r="BA65" s="541" t="n">
        <f aca="false">BA18</f>
        <v>32423.963810142</v>
      </c>
      <c r="BB65" s="541" t="n">
        <f aca="false">BB18</f>
        <v>67399.1435227561</v>
      </c>
      <c r="BC65" s="541" t="n">
        <f aca="false">BC18</f>
        <v>67399.1435227561</v>
      </c>
      <c r="BD65" s="541" t="n">
        <f aca="false">BD18</f>
        <v>67399.1435227561</v>
      </c>
      <c r="BE65" s="541" t="n">
        <f aca="false">BE18</f>
        <v>67399.1435227561</v>
      </c>
    </row>
    <row r="66" customFormat="false" ht="15" hidden="false" customHeight="true" outlineLevel="0" collapsed="false">
      <c r="A66" s="218"/>
      <c r="B66" s="499" t="s">
        <v>3185</v>
      </c>
      <c r="C66" s="218"/>
      <c r="D66" s="218"/>
      <c r="E66" s="533" t="n">
        <f aca="false">SUM(F66:BE66)</f>
        <v>-1947854.91462535</v>
      </c>
      <c r="F66" s="533" t="n">
        <f aca="false">F65-F64</f>
        <v>-157111.084787916</v>
      </c>
      <c r="G66" s="533" t="n">
        <f aca="false">G65-G64</f>
        <v>-5266.97767775405</v>
      </c>
      <c r="H66" s="533" t="n">
        <f aca="false">H65-H64</f>
        <v>-3831.97767775404</v>
      </c>
      <c r="I66" s="533" t="n">
        <f aca="false">I65-I64</f>
        <v>-5266.97767775405</v>
      </c>
      <c r="J66" s="533" t="n">
        <f aca="false">J65-J64</f>
        <v>0</v>
      </c>
      <c r="K66" s="533" t="n">
        <f aca="false">K65-K64</f>
        <v>-7857.5</v>
      </c>
      <c r="L66" s="533" t="n">
        <f aca="false">L65-L64</f>
        <v>0</v>
      </c>
      <c r="M66" s="533" t="n">
        <f aca="false">M65-M64</f>
        <v>0</v>
      </c>
      <c r="N66" s="533" t="n">
        <f aca="false">N65-N64</f>
        <v>-7857.5</v>
      </c>
      <c r="O66" s="533" t="n">
        <f aca="false">O65-O64</f>
        <v>0</v>
      </c>
      <c r="P66" s="533" t="n">
        <f aca="false">P65-P64</f>
        <v>-7857.5</v>
      </c>
      <c r="Q66" s="533" t="n">
        <f aca="false">Q65-Q64</f>
        <v>0</v>
      </c>
      <c r="R66" s="533" t="n">
        <f aca="false">R65-R64</f>
        <v>-7857.5</v>
      </c>
      <c r="S66" s="533" t="n">
        <f aca="false">S65-S64</f>
        <v>-137113.07125</v>
      </c>
      <c r="T66" s="533" t="n">
        <f aca="false">T65-T64</f>
        <v>-11201.72125</v>
      </c>
      <c r="U66" s="533" t="n">
        <f aca="false">U65-U64</f>
        <v>-3344.22125</v>
      </c>
      <c r="V66" s="533" t="n">
        <f aca="false">V65-V64</f>
        <v>-11201.72125</v>
      </c>
      <c r="W66" s="533" t="n">
        <f aca="false">W65-W64</f>
        <v>-151944.160550446</v>
      </c>
      <c r="X66" s="533" t="n">
        <f aca="false">X65-X64</f>
        <v>-107016.222574401</v>
      </c>
      <c r="Y66" s="533" t="n">
        <f aca="false">Y65-Y64</f>
        <v>-5978.64007440113</v>
      </c>
      <c r="Z66" s="533" t="n">
        <f aca="false">Z65-Z64</f>
        <v>-13836.1400744011</v>
      </c>
      <c r="AA66" s="533" t="n">
        <f aca="false">AA65-AA64</f>
        <v>0</v>
      </c>
      <c r="AB66" s="533" t="n">
        <f aca="false">AB65-AB64</f>
        <v>-7857.5</v>
      </c>
      <c r="AC66" s="533" t="n">
        <f aca="false">AC65-AC64</f>
        <v>0</v>
      </c>
      <c r="AD66" s="533" t="n">
        <f aca="false">AD65-AD64</f>
        <v>0</v>
      </c>
      <c r="AE66" s="533" t="n">
        <f aca="false">AE65-AE64</f>
        <v>-7857.5</v>
      </c>
      <c r="AF66" s="533" t="n">
        <f aca="false">AF65-AF64</f>
        <v>-42986.8995603448</v>
      </c>
      <c r="AG66" s="533" t="n">
        <f aca="false">AG65-AG64</f>
        <v>-115220.381974138</v>
      </c>
      <c r="AH66" s="533" t="n">
        <f aca="false">AH65-AH64</f>
        <v>-5186.89956034483</v>
      </c>
      <c r="AI66" s="533" t="n">
        <f aca="false">AI65-AI64</f>
        <v>-13544.3995603448</v>
      </c>
      <c r="AJ66" s="533" t="n">
        <f aca="false">AJ65-AJ64</f>
        <v>-51352.4638</v>
      </c>
      <c r="AK66" s="533" t="n">
        <f aca="false">AK65-AK64</f>
        <v>-86825.2466125</v>
      </c>
      <c r="AL66" s="533" t="n">
        <f aca="false">AL65-AL64</f>
        <v>-36052.4638</v>
      </c>
      <c r="AM66" s="533" t="n">
        <f aca="false">AM65-AM64</f>
        <v>-13552.4638</v>
      </c>
      <c r="AN66" s="533" t="n">
        <f aca="false">AN65-AN64</f>
        <v>-24025.2466125</v>
      </c>
      <c r="AO66" s="533" t="n">
        <f aca="false">AO65-AO64</f>
        <v>-77584.10475</v>
      </c>
      <c r="AP66" s="533" t="n">
        <f aca="false">AP65-AP64</f>
        <v>-75363.3875625</v>
      </c>
      <c r="AQ66" s="533" t="n">
        <f aca="false">AQ65-AQ64</f>
        <v>-217025.10475</v>
      </c>
      <c r="AR66" s="533" t="n">
        <f aca="false">AR65-AR64</f>
        <v>-57563.3875625</v>
      </c>
      <c r="AS66" s="533" t="n">
        <f aca="false">AS65-AS64</f>
        <v>-60426.3959267223</v>
      </c>
      <c r="AT66" s="533" t="n">
        <f aca="false">AT65-AT64</f>
        <v>-49494.6787392223</v>
      </c>
      <c r="AU66" s="533" t="n">
        <f aca="false">AU65-AU64</f>
        <v>-23076.3959267223</v>
      </c>
      <c r="AV66" s="533" t="n">
        <f aca="false">AV65-AV64</f>
        <v>-31694.6787392223</v>
      </c>
      <c r="AW66" s="533" t="n">
        <f aca="false">AW65-AW64</f>
        <v>-68279.1119228687</v>
      </c>
      <c r="AX66" s="533" t="n">
        <f aca="false">AX65-AX64</f>
        <v>-51786.3947353687</v>
      </c>
      <c r="AY66" s="533" t="n">
        <f aca="false">AY65-AY64</f>
        <v>-17779.1119228687</v>
      </c>
      <c r="AZ66" s="533" t="n">
        <f aca="false">AZ65-AZ64</f>
        <v>-4179.11192286873</v>
      </c>
      <c r="BA66" s="533" t="n">
        <f aca="false">BA65-BA64</f>
        <v>-30836.3947353687</v>
      </c>
      <c r="BB66" s="533" t="n">
        <f aca="false">BB65-BB64</f>
        <v>-14850.4957870197</v>
      </c>
      <c r="BC66" s="533" t="n">
        <f aca="false">BC65-BC64</f>
        <v>-61830.641240037</v>
      </c>
      <c r="BD66" s="533" t="n">
        <f aca="false">BD65-BD64</f>
        <v>-19350.4957870197</v>
      </c>
      <c r="BE66" s="533" t="n">
        <f aca="false">BE65-BE64</f>
        <v>-37730.641240037</v>
      </c>
    </row>
    <row r="67" customFormat="false" ht="15" hidden="false" customHeight="true" outlineLevel="0" collapsed="false">
      <c r="A67" s="542" t="s">
        <v>3186</v>
      </c>
      <c r="B67" s="543" t="s">
        <v>3187</v>
      </c>
      <c r="C67" s="544" t="s">
        <v>3188</v>
      </c>
      <c r="D67" s="545" t="n">
        <f aca="false">FC_SUPUESTOS!$C$159</f>
        <v>1</v>
      </c>
      <c r="E67" s="546" t="n">
        <f aca="false">SUM(F67:BE67)</f>
        <v>2050000</v>
      </c>
      <c r="F67" s="547" t="n">
        <f aca="false">INDEX(FC_FLUJO_CAJA!$D$92:$BK$92,1,F$13)*IF(IFERROR(VALUE($D67&amp;""),0)&gt;0,IF(F$14=MIN(VALUE($D67&amp;""),F$15),1,0),IF($D67="Q",IF(F$14=MIN(2,F$15),0.5,0)+IF(F$14=F$15,0.5,0),IF($D67="U",IF(F$14=F$15,1,0),1/F$15)))</f>
        <v>250000</v>
      </c>
      <c r="G67" s="547" t="n">
        <f aca="false">INDEX(FC_FLUJO_CAJA!$D$92:$BK$92,1,G$13)*IF(IFERROR(VALUE($D67&amp;""),0)&gt;0,IF(G$14=MIN(VALUE($D67&amp;""),G$15),1,0),IF($D67="Q",IF(G$14=MIN(2,G$15),0.5,0)+IF(G$14=G$15,0.5,0),IF($D67="U",IF(G$14=G$15,1,0),1/G$15)))</f>
        <v>0</v>
      </c>
      <c r="H67" s="547" t="n">
        <f aca="false">INDEX(FC_FLUJO_CAJA!$D$92:$BK$92,1,H$13)*IF(IFERROR(VALUE($D67&amp;""),0)&gt;0,IF(H$14=MIN(VALUE($D67&amp;""),H$15),1,0),IF($D67="Q",IF(H$14=MIN(2,H$15),0.5,0)+IF(H$14=H$15,0.5,0),IF($D67="U",IF(H$14=H$15,1,0),1/H$15)))</f>
        <v>0</v>
      </c>
      <c r="I67" s="547" t="n">
        <f aca="false">INDEX(FC_FLUJO_CAJA!$D$92:$BK$92,1,I$13)*IF(IFERROR(VALUE($D67&amp;""),0)&gt;0,IF(I$14=MIN(VALUE($D67&amp;""),I$15),1,0),IF($D67="Q",IF(I$14=MIN(2,I$15),0.5,0)+IF(I$14=I$15,0.5,0),IF($D67="U",IF(I$14=I$15,1,0),1/I$15)))</f>
        <v>0</v>
      </c>
      <c r="J67" s="547" t="n">
        <f aca="false">INDEX(FC_FLUJO_CAJA!$D$92:$BK$92,1,J$13)*IF(IFERROR(VALUE($D67&amp;""),0)&gt;0,IF(J$14=MIN(VALUE($D67&amp;""),J$15),1,0),IF($D67="Q",IF(J$14=MIN(2,J$15),0.5,0)+IF(J$14=J$15,0.5,0),IF($D67="U",IF(J$14=J$15,1,0),1/J$15)))</f>
        <v>0</v>
      </c>
      <c r="K67" s="547" t="n">
        <f aca="false">INDEX(FC_FLUJO_CAJA!$D$92:$BK$92,1,K$13)*IF(IFERROR(VALUE($D67&amp;""),0)&gt;0,IF(K$14=MIN(VALUE($D67&amp;""),K$15),1,0),IF($D67="Q",IF(K$14=MIN(2,K$15),0.5,0)+IF(K$14=K$15,0.5,0),IF($D67="U",IF(K$14=K$15,1,0),1/K$15)))</f>
        <v>0</v>
      </c>
      <c r="L67" s="547" t="n">
        <f aca="false">INDEX(FC_FLUJO_CAJA!$D$92:$BK$92,1,L$13)*IF(IFERROR(VALUE($D67&amp;""),0)&gt;0,IF(L$14=MIN(VALUE($D67&amp;""),L$15),1,0),IF($D67="Q",IF(L$14=MIN(2,L$15),0.5,0)+IF(L$14=L$15,0.5,0),IF($D67="U",IF(L$14=L$15,1,0),1/L$15)))</f>
        <v>0</v>
      </c>
      <c r="M67" s="547" t="n">
        <f aca="false">INDEX(FC_FLUJO_CAJA!$D$92:$BK$92,1,M$13)*IF(IFERROR(VALUE($D67&amp;""),0)&gt;0,IF(M$14=MIN(VALUE($D67&amp;""),M$15),1,0),IF($D67="Q",IF(M$14=MIN(2,M$15),0.5,0)+IF(M$14=M$15,0.5,0),IF($D67="U",IF(M$14=M$15,1,0),1/M$15)))</f>
        <v>0</v>
      </c>
      <c r="N67" s="547" t="n">
        <f aca="false">INDEX(FC_FLUJO_CAJA!$D$92:$BK$92,1,N$13)*IF(IFERROR(VALUE($D67&amp;""),0)&gt;0,IF(N$14=MIN(VALUE($D67&amp;""),N$15),1,0),IF($D67="Q",IF(N$14=MIN(2,N$15),0.5,0)+IF(N$14=N$15,0.5,0),IF($D67="U",IF(N$14=N$15,1,0),1/N$15)))</f>
        <v>0</v>
      </c>
      <c r="O67" s="547" t="n">
        <f aca="false">INDEX(FC_FLUJO_CAJA!$D$92:$BK$92,1,O$13)*IF(IFERROR(VALUE($D67&amp;""),0)&gt;0,IF(O$14=MIN(VALUE($D67&amp;""),O$15),1,0),IF($D67="Q",IF(O$14=MIN(2,O$15),0.5,0)+IF(O$14=O$15,0.5,0),IF($D67="U",IF(O$14=O$15,1,0),1/O$15)))</f>
        <v>50000</v>
      </c>
      <c r="P67" s="547" t="n">
        <f aca="false">INDEX(FC_FLUJO_CAJA!$D$92:$BK$92,1,P$13)*IF(IFERROR(VALUE($D67&amp;""),0)&gt;0,IF(P$14=MIN(VALUE($D67&amp;""),P$15),1,0),IF($D67="Q",IF(P$14=MIN(2,P$15),0.5,0)+IF(P$14=P$15,0.5,0),IF($D67="U",IF(P$14=P$15,1,0),1/P$15)))</f>
        <v>0</v>
      </c>
      <c r="Q67" s="547" t="n">
        <f aca="false">INDEX(FC_FLUJO_CAJA!$D$92:$BK$92,1,Q$13)*IF(IFERROR(VALUE($D67&amp;""),0)&gt;0,IF(Q$14=MIN(VALUE($D67&amp;""),Q$15),1,0),IF($D67="Q",IF(Q$14=MIN(2,Q$15),0.5,0)+IF(Q$14=Q$15,0.5,0),IF($D67="U",IF(Q$14=Q$15,1,0),1/Q$15)))</f>
        <v>0</v>
      </c>
      <c r="R67" s="547" t="n">
        <f aca="false">INDEX(FC_FLUJO_CAJA!$D$92:$BK$92,1,R$13)*IF(IFERROR(VALUE($D67&amp;""),0)&gt;0,IF(R$14=MIN(VALUE($D67&amp;""),R$15),1,0),IF($D67="Q",IF(R$14=MIN(2,R$15),0.5,0)+IF(R$14=R$15,0.5,0),IF($D67="U",IF(R$14=R$15,1,0),1/R$15)))</f>
        <v>0</v>
      </c>
      <c r="S67" s="547" t="n">
        <f aca="false">INDEX(FC_FLUJO_CAJA!$D$92:$BK$92,1,S$13)*IF(IFERROR(VALUE($D67&amp;""),0)&gt;0,IF(S$14=MIN(VALUE($D67&amp;""),S$15),1,0),IF($D67="Q",IF(S$14=MIN(2,S$15),0.5,0)+IF(S$14=S$15,0.5,0),IF($D67="U",IF(S$14=S$15,1,0),1/S$15)))</f>
        <v>150000</v>
      </c>
      <c r="T67" s="547" t="n">
        <f aca="false">INDEX(FC_FLUJO_CAJA!$D$92:$BK$92,1,T$13)*IF(IFERROR(VALUE($D67&amp;""),0)&gt;0,IF(T$14=MIN(VALUE($D67&amp;""),T$15),1,0),IF($D67="Q",IF(T$14=MIN(2,T$15),0.5,0)+IF(T$14=T$15,0.5,0),IF($D67="U",IF(T$14=T$15,1,0),1/T$15)))</f>
        <v>0</v>
      </c>
      <c r="U67" s="547" t="n">
        <f aca="false">INDEX(FC_FLUJO_CAJA!$D$92:$BK$92,1,U$13)*IF(IFERROR(VALUE($D67&amp;""),0)&gt;0,IF(U$14=MIN(VALUE($D67&amp;""),U$15),1,0),IF($D67="Q",IF(U$14=MIN(2,U$15),0.5,0)+IF(U$14=U$15,0.5,0),IF($D67="U",IF(U$14=U$15,1,0),1/U$15)))</f>
        <v>0</v>
      </c>
      <c r="V67" s="547" t="n">
        <f aca="false">INDEX(FC_FLUJO_CAJA!$D$92:$BK$92,1,V$13)*IF(IFERROR(VALUE($D67&amp;""),0)&gt;0,IF(V$14=MIN(VALUE($D67&amp;""),V$15),1,0),IF($D67="Q",IF(V$14=MIN(2,V$15),0.5,0)+IF(V$14=V$15,0.5,0),IF($D67="U",IF(V$14=V$15,1,0),1/V$15)))</f>
        <v>0</v>
      </c>
      <c r="W67" s="547" t="n">
        <f aca="false">INDEX(FC_FLUJO_CAJA!$D$92:$BK$92,1,W$13)*IF(IFERROR(VALUE($D67&amp;""),0)&gt;0,IF(W$14=MIN(VALUE($D67&amp;""),W$15),1,0),IF($D67="Q",IF(W$14=MIN(2,W$15),0.5,0)+IF(W$14=W$15,0.5,0),IF($D67="U",IF(W$14=W$15,1,0),1/W$15)))</f>
        <v>250000</v>
      </c>
      <c r="X67" s="547" t="n">
        <f aca="false">INDEX(FC_FLUJO_CAJA!$D$92:$BK$92,1,X$13)*IF(IFERROR(VALUE($D67&amp;""),0)&gt;0,IF(X$14=MIN(VALUE($D67&amp;""),X$15),1,0),IF($D67="Q",IF(X$14=MIN(2,X$15),0.5,0)+IF(X$14=X$15,0.5,0),IF($D67="U",IF(X$14=X$15,1,0),1/X$15)))</f>
        <v>0</v>
      </c>
      <c r="Y67" s="547" t="n">
        <f aca="false">INDEX(FC_FLUJO_CAJA!$D$92:$BK$92,1,Y$13)*IF(IFERROR(VALUE($D67&amp;""),0)&gt;0,IF(Y$14=MIN(VALUE($D67&amp;""),Y$15),1,0),IF($D67="Q",IF(Y$14=MIN(2,Y$15),0.5,0)+IF(Y$14=Y$15,0.5,0),IF($D67="U",IF(Y$14=Y$15,1,0),1/Y$15)))</f>
        <v>0</v>
      </c>
      <c r="Z67" s="547" t="n">
        <f aca="false">INDEX(FC_FLUJO_CAJA!$D$92:$BK$92,1,Z$13)*IF(IFERROR(VALUE($D67&amp;""),0)&gt;0,IF(Z$14=MIN(VALUE($D67&amp;""),Z$15),1,0),IF($D67="Q",IF(Z$14=MIN(2,Z$15),0.5,0)+IF(Z$14=Z$15,0.5,0),IF($D67="U",IF(Z$14=Z$15,1,0),1/Z$15)))</f>
        <v>0</v>
      </c>
      <c r="AA67" s="547" t="n">
        <f aca="false">INDEX(FC_FLUJO_CAJA!$D$92:$BK$92,1,AA$13)*IF(IFERROR(VALUE($D67&amp;""),0)&gt;0,IF(AA$14=MIN(VALUE($D67&amp;""),AA$15),1,0),IF($D67="Q",IF(AA$14=MIN(2,AA$15),0.5,0)+IF(AA$14=AA$15,0.5,0),IF($D67="U",IF(AA$14=AA$15,1,0),1/AA$15)))</f>
        <v>50000</v>
      </c>
      <c r="AB67" s="547" t="n">
        <f aca="false">INDEX(FC_FLUJO_CAJA!$D$92:$BK$92,1,AB$13)*IF(IFERROR(VALUE($D67&amp;""),0)&gt;0,IF(AB$14=MIN(VALUE($D67&amp;""),AB$15),1,0),IF($D67="Q",IF(AB$14=MIN(2,AB$15),0.5,0)+IF(AB$14=AB$15,0.5,0),IF($D67="U",IF(AB$14=AB$15,1,0),1/AB$15)))</f>
        <v>0</v>
      </c>
      <c r="AC67" s="547" t="n">
        <f aca="false">INDEX(FC_FLUJO_CAJA!$D$92:$BK$92,1,AC$13)*IF(IFERROR(VALUE($D67&amp;""),0)&gt;0,IF(AC$14=MIN(VALUE($D67&amp;""),AC$15),1,0),IF($D67="Q",IF(AC$14=MIN(2,AC$15),0.5,0)+IF(AC$14=AC$15,0.5,0),IF($D67="U",IF(AC$14=AC$15,1,0),1/AC$15)))</f>
        <v>0</v>
      </c>
      <c r="AD67" s="547" t="n">
        <f aca="false">INDEX(FC_FLUJO_CAJA!$D$92:$BK$92,1,AD$13)*IF(IFERROR(VALUE($D67&amp;""),0)&gt;0,IF(AD$14=MIN(VALUE($D67&amp;""),AD$15),1,0),IF($D67="Q",IF(AD$14=MIN(2,AD$15),0.5,0)+IF(AD$14=AD$15,0.5,0),IF($D67="U",IF(AD$14=AD$15,1,0),1/AD$15)))</f>
        <v>0</v>
      </c>
      <c r="AE67" s="547" t="n">
        <f aca="false">INDEX(FC_FLUJO_CAJA!$D$92:$BK$92,1,AE$13)*IF(IFERROR(VALUE($D67&amp;""),0)&gt;0,IF(AE$14=MIN(VALUE($D67&amp;""),AE$15),1,0),IF($D67="Q",IF(AE$14=MIN(2,AE$15),0.5,0)+IF(AE$14=AE$15,0.5,0),IF($D67="U",IF(AE$14=AE$15,1,0),1/AE$15)))</f>
        <v>0</v>
      </c>
      <c r="AF67" s="547" t="n">
        <f aca="false">INDEX(FC_FLUJO_CAJA!$D$92:$BK$92,1,AF$13)*IF(IFERROR(VALUE($D67&amp;""),0)&gt;0,IF(AF$14=MIN(VALUE($D67&amp;""),AF$15),1,0),IF($D67="Q",IF(AF$14=MIN(2,AF$15),0.5,0)+IF(AF$14=AF$15,0.5,0),IF($D67="U",IF(AF$14=AF$15,1,0),1/AF$15)))</f>
        <v>150000</v>
      </c>
      <c r="AG67" s="547" t="n">
        <f aca="false">INDEX(FC_FLUJO_CAJA!$D$92:$BK$92,1,AG$13)*IF(IFERROR(VALUE($D67&amp;""),0)&gt;0,IF(AG$14=MIN(VALUE($D67&amp;""),AG$15),1,0),IF($D67="Q",IF(AG$14=MIN(2,AG$15),0.5,0)+IF(AG$14=AG$15,0.5,0),IF($D67="U",IF(AG$14=AG$15,1,0),1/AG$15)))</f>
        <v>0</v>
      </c>
      <c r="AH67" s="547" t="n">
        <f aca="false">INDEX(FC_FLUJO_CAJA!$D$92:$BK$92,1,AH$13)*IF(IFERROR(VALUE($D67&amp;""),0)&gt;0,IF(AH$14=MIN(VALUE($D67&amp;""),AH$15),1,0),IF($D67="Q",IF(AH$14=MIN(2,AH$15),0.5,0)+IF(AH$14=AH$15,0.5,0),IF($D67="U",IF(AH$14=AH$15,1,0),1/AH$15)))</f>
        <v>0</v>
      </c>
      <c r="AI67" s="547" t="n">
        <f aca="false">INDEX(FC_FLUJO_CAJA!$D$92:$BK$92,1,AI$13)*IF(IFERROR(VALUE($D67&amp;""),0)&gt;0,IF(AI$14=MIN(VALUE($D67&amp;""),AI$15),1,0),IF($D67="Q",IF(AI$14=MIN(2,AI$15),0.5,0)+IF(AI$14=AI$15,0.5,0),IF($D67="U",IF(AI$14=AI$15,1,0),1/AI$15)))</f>
        <v>0</v>
      </c>
      <c r="AJ67" s="547" t="n">
        <f aca="false">INDEX(FC_FLUJO_CAJA!$D$92:$BK$92,1,AJ$13)*IF(IFERROR(VALUE($D67&amp;""),0)&gt;0,IF(AJ$14=MIN(VALUE($D67&amp;""),AJ$15),1,0),IF($D67="Q",IF(AJ$14=MIN(2,AJ$15),0.5,0)+IF(AJ$14=AJ$15,0.5,0),IF($D67="U",IF(AJ$14=AJ$15,1,0),1/AJ$15)))</f>
        <v>200000</v>
      </c>
      <c r="AK67" s="547" t="n">
        <f aca="false">INDEX(FC_FLUJO_CAJA!$D$92:$BK$92,1,AK$13)*IF(IFERROR(VALUE($D67&amp;""),0)&gt;0,IF(AK$14=MIN(VALUE($D67&amp;""),AK$15),1,0),IF($D67="Q",IF(AK$14=MIN(2,AK$15),0.5,0)+IF(AK$14=AK$15,0.5,0),IF($D67="U",IF(AK$14=AK$15,1,0),1/AK$15)))</f>
        <v>0</v>
      </c>
      <c r="AL67" s="547" t="n">
        <f aca="false">INDEX(FC_FLUJO_CAJA!$D$92:$BK$92,1,AL$13)*IF(IFERROR(VALUE($D67&amp;""),0)&gt;0,IF(AL$14=MIN(VALUE($D67&amp;""),AL$15),1,0),IF($D67="Q",IF(AL$14=MIN(2,AL$15),0.5,0)+IF(AL$14=AL$15,0.5,0),IF($D67="U",IF(AL$14=AL$15,1,0),1/AL$15)))</f>
        <v>0</v>
      </c>
      <c r="AM67" s="547" t="n">
        <f aca="false">INDEX(FC_FLUJO_CAJA!$D$92:$BK$92,1,AM$13)*IF(IFERROR(VALUE($D67&amp;""),0)&gt;0,IF(AM$14=MIN(VALUE($D67&amp;""),AM$15),1,0),IF($D67="Q",IF(AM$14=MIN(2,AM$15),0.5,0)+IF(AM$14=AM$15,0.5,0),IF($D67="U",IF(AM$14=AM$15,1,0),1/AM$15)))</f>
        <v>0</v>
      </c>
      <c r="AN67" s="547" t="n">
        <f aca="false">INDEX(FC_FLUJO_CAJA!$D$92:$BK$92,1,AN$13)*IF(IFERROR(VALUE($D67&amp;""),0)&gt;0,IF(AN$14=MIN(VALUE($D67&amp;""),AN$15),1,0),IF($D67="Q",IF(AN$14=MIN(2,AN$15),0.5,0)+IF(AN$14=AN$15,0.5,0),IF($D67="U",IF(AN$14=AN$15,1,0),1/AN$15)))</f>
        <v>0</v>
      </c>
      <c r="AO67" s="547" t="n">
        <f aca="false">INDEX(FC_FLUJO_CAJA!$D$92:$BK$92,1,AO$13)*IF(IFERROR(VALUE($D67&amp;""),0)&gt;0,IF(AO$14=MIN(VALUE($D67&amp;""),AO$15),1,0),IF($D67="Q",IF(AO$14=MIN(2,AO$15),0.5,0)+IF(AO$14=AO$15,0.5,0),IF($D67="U",IF(AO$14=AO$15,1,0),1/AO$15)))</f>
        <v>450000</v>
      </c>
      <c r="AP67" s="547" t="n">
        <f aca="false">INDEX(FC_FLUJO_CAJA!$D$92:$BK$92,1,AP$13)*IF(IFERROR(VALUE($D67&amp;""),0)&gt;0,IF(AP$14=MIN(VALUE($D67&amp;""),AP$15),1,0),IF($D67="Q",IF(AP$14=MIN(2,AP$15),0.5,0)+IF(AP$14=AP$15,0.5,0),IF($D67="U",IF(AP$14=AP$15,1,0),1/AP$15)))</f>
        <v>0</v>
      </c>
      <c r="AQ67" s="547" t="n">
        <f aca="false">INDEX(FC_FLUJO_CAJA!$D$92:$BK$92,1,AQ$13)*IF(IFERROR(VALUE($D67&amp;""),0)&gt;0,IF(AQ$14=MIN(VALUE($D67&amp;""),AQ$15),1,0),IF($D67="Q",IF(AQ$14=MIN(2,AQ$15),0.5,0)+IF(AQ$14=AQ$15,0.5,0),IF($D67="U",IF(AQ$14=AQ$15,1,0),1/AQ$15)))</f>
        <v>0</v>
      </c>
      <c r="AR67" s="547" t="n">
        <f aca="false">INDEX(FC_FLUJO_CAJA!$D$92:$BK$92,1,AR$13)*IF(IFERROR(VALUE($D67&amp;""),0)&gt;0,IF(AR$14=MIN(VALUE($D67&amp;""),AR$15),1,0),IF($D67="Q",IF(AR$14=MIN(2,AR$15),0.5,0)+IF(AR$14=AR$15,0.5,0),IF($D67="U",IF(AR$14=AR$15,1,0),1/AR$15)))</f>
        <v>0</v>
      </c>
      <c r="AS67" s="547" t="n">
        <f aca="false">INDEX(FC_FLUJO_CAJA!$D$92:$BK$92,1,AS$13)*IF(IFERROR(VALUE($D67&amp;""),0)&gt;0,IF(AS$14=MIN(VALUE($D67&amp;""),AS$15),1,0),IF($D67="Q",IF(AS$14=MIN(2,AS$15),0.5,0)+IF(AS$14=AS$15,0.5,0),IF($D67="U",IF(AS$14=AS$15,1,0),1/AS$15)))</f>
        <v>150000</v>
      </c>
      <c r="AT67" s="547" t="n">
        <f aca="false">INDEX(FC_FLUJO_CAJA!$D$92:$BK$92,1,AT$13)*IF(IFERROR(VALUE($D67&amp;""),0)&gt;0,IF(AT$14=MIN(VALUE($D67&amp;""),AT$15),1,0),IF($D67="Q",IF(AT$14=MIN(2,AT$15),0.5,0)+IF(AT$14=AT$15,0.5,0),IF($D67="U",IF(AT$14=AT$15,1,0),1/AT$15)))</f>
        <v>0</v>
      </c>
      <c r="AU67" s="547" t="n">
        <f aca="false">INDEX(FC_FLUJO_CAJA!$D$92:$BK$92,1,AU$13)*IF(IFERROR(VALUE($D67&amp;""),0)&gt;0,IF(AU$14=MIN(VALUE($D67&amp;""),AU$15),1,0),IF($D67="Q",IF(AU$14=MIN(2,AU$15),0.5,0)+IF(AU$14=AU$15,0.5,0),IF($D67="U",IF(AU$14=AU$15,1,0),1/AU$15)))</f>
        <v>0</v>
      </c>
      <c r="AV67" s="547" t="n">
        <f aca="false">INDEX(FC_FLUJO_CAJA!$D$92:$BK$92,1,AV$13)*IF(IFERROR(VALUE($D67&amp;""),0)&gt;0,IF(AV$14=MIN(VALUE($D67&amp;""),AV$15),1,0),IF($D67="Q",IF(AV$14=MIN(2,AV$15),0.5,0)+IF(AV$14=AV$15,0.5,0),IF($D67="U",IF(AV$14=AV$15,1,0),1/AV$15)))</f>
        <v>0</v>
      </c>
      <c r="AW67" s="547" t="n">
        <f aca="false">INDEX(FC_FLUJO_CAJA!$D$92:$BK$92,1,AW$13)*IF(IFERROR(VALUE($D67&amp;""),0)&gt;0,IF(AW$14=MIN(VALUE($D67&amp;""),AW$15),1,0),IF($D67="Q",IF(AW$14=MIN(2,AW$15),0.5,0)+IF(AW$14=AW$15,0.5,0),IF($D67="U",IF(AW$14=AW$15,1,0),1/AW$15)))</f>
        <v>200000</v>
      </c>
      <c r="AX67" s="547" t="n">
        <f aca="false">INDEX(FC_FLUJO_CAJA!$D$92:$BK$92,1,AX$13)*IF(IFERROR(VALUE($D67&amp;""),0)&gt;0,IF(AX$14=MIN(VALUE($D67&amp;""),AX$15),1,0),IF($D67="Q",IF(AX$14=MIN(2,AX$15),0.5,0)+IF(AX$14=AX$15,0.5,0),IF($D67="U",IF(AX$14=AX$15,1,0),1/AX$15)))</f>
        <v>0</v>
      </c>
      <c r="AY67" s="547" t="n">
        <f aca="false">INDEX(FC_FLUJO_CAJA!$D$92:$BK$92,1,AY$13)*IF(IFERROR(VALUE($D67&amp;""),0)&gt;0,IF(AY$14=MIN(VALUE($D67&amp;""),AY$15),1,0),IF($D67="Q",IF(AY$14=MIN(2,AY$15),0.5,0)+IF(AY$14=AY$15,0.5,0),IF($D67="U",IF(AY$14=AY$15,1,0),1/AY$15)))</f>
        <v>0</v>
      </c>
      <c r="AZ67" s="547" t="n">
        <f aca="false">INDEX(FC_FLUJO_CAJA!$D$92:$BK$92,1,AZ$13)*IF(IFERROR(VALUE($D67&amp;""),0)&gt;0,IF(AZ$14=MIN(VALUE($D67&amp;""),AZ$15),1,0),IF($D67="Q",IF(AZ$14=MIN(2,AZ$15),0.5,0)+IF(AZ$14=AZ$15,0.5,0),IF($D67="U",IF(AZ$14=AZ$15,1,0),1/AZ$15)))</f>
        <v>0</v>
      </c>
      <c r="BA67" s="547" t="n">
        <f aca="false">INDEX(FC_FLUJO_CAJA!$D$92:$BK$92,1,BA$13)*IF(IFERROR(VALUE($D67&amp;""),0)&gt;0,IF(BA$14=MIN(VALUE($D67&amp;""),BA$15),1,0),IF($D67="Q",IF(BA$14=MIN(2,BA$15),0.5,0)+IF(BA$14=BA$15,0.5,0),IF($D67="U",IF(BA$14=BA$15,1,0),1/BA$15)))</f>
        <v>0</v>
      </c>
      <c r="BB67" s="547" t="n">
        <f aca="false">INDEX(FC_FLUJO_CAJA!$D$92:$BK$92,1,BB$13)*IF(IFERROR(VALUE($D67&amp;""),0)&gt;0,IF(BB$14=MIN(VALUE($D67&amp;""),BB$15),1,0),IF($D67="Q",IF(BB$14=MIN(2,BB$15),0.5,0)+IF(BB$14=BB$15,0.5,0),IF($D67="U",IF(BB$14=BB$15,1,0),1/BB$15)))</f>
        <v>150000</v>
      </c>
      <c r="BC67" s="547" t="n">
        <f aca="false">INDEX(FC_FLUJO_CAJA!$D$92:$BK$92,1,BC$13)*IF(IFERROR(VALUE($D67&amp;""),0)&gt;0,IF(BC$14=MIN(VALUE($D67&amp;""),BC$15),1,0),IF($D67="Q",IF(BC$14=MIN(2,BC$15),0.5,0)+IF(BC$14=BC$15,0.5,0),IF($D67="U",IF(BC$14=BC$15,1,0),1/BC$15)))</f>
        <v>0</v>
      </c>
      <c r="BD67" s="547" t="n">
        <f aca="false">INDEX(FC_FLUJO_CAJA!$D$92:$BK$92,1,BD$13)*IF(IFERROR(VALUE($D67&amp;""),0)&gt;0,IF(BD$14=MIN(VALUE($D67&amp;""),BD$15),1,0),IF($D67="Q",IF(BD$14=MIN(2,BD$15),0.5,0)+IF(BD$14=BD$15,0.5,0),IF($D67="U",IF(BD$14=BD$15,1,0),1/BD$15)))</f>
        <v>0</v>
      </c>
      <c r="BE67" s="547" t="n">
        <f aca="false">INDEX(FC_FLUJO_CAJA!$D$92:$BK$92,1,BE$13)*IF(IFERROR(VALUE($D67&amp;""),0)&gt;0,IF(BE$14=MIN(VALUE($D67&amp;""),BE$15),1,0),IF($D67="Q",IF(BE$14=MIN(2,BE$15),0.5,0)+IF(BE$14=BE$15,0.5,0),IF($D67="U",IF(BE$14=BE$15,1,0),1/BE$15)))</f>
        <v>0</v>
      </c>
    </row>
    <row r="68" customFormat="false" ht="15" hidden="false" customHeight="true" outlineLevel="0" collapsed="false">
      <c r="B68" s="283" t="s">
        <v>3189</v>
      </c>
      <c r="F68" s="548" t="n">
        <f aca="false">FC_SUPUESTOS!$C$75</f>
        <v>0</v>
      </c>
      <c r="G68" s="548" t="n">
        <f aca="false">F69</f>
        <v>92888.9152120842</v>
      </c>
      <c r="H68" s="548" t="n">
        <f aca="false">G69</f>
        <v>87621.9375343302</v>
      </c>
      <c r="I68" s="548" t="n">
        <f aca="false">H69</f>
        <v>83789.9598565761</v>
      </c>
      <c r="J68" s="548" t="n">
        <f aca="false">I69</f>
        <v>78522.9821788221</v>
      </c>
      <c r="K68" s="548" t="n">
        <f aca="false">J69</f>
        <v>78522.9821788221</v>
      </c>
      <c r="L68" s="548" t="n">
        <f aca="false">K69</f>
        <v>70665.4821788221</v>
      </c>
      <c r="M68" s="548" t="n">
        <f aca="false">L69</f>
        <v>70665.4821788221</v>
      </c>
      <c r="N68" s="548" t="n">
        <f aca="false">M69</f>
        <v>70665.4821788221</v>
      </c>
      <c r="O68" s="548" t="n">
        <f aca="false">N69</f>
        <v>62807.9821788221</v>
      </c>
      <c r="P68" s="548" t="n">
        <f aca="false">O69</f>
        <v>112807.982178822</v>
      </c>
      <c r="Q68" s="548" t="n">
        <f aca="false">P69</f>
        <v>104950.482178822</v>
      </c>
      <c r="R68" s="548" t="n">
        <f aca="false">Q69</f>
        <v>104950.482178822</v>
      </c>
      <c r="S68" s="548" t="n">
        <f aca="false">R69</f>
        <v>97092.9821788221</v>
      </c>
      <c r="T68" s="548" t="n">
        <f aca="false">S69</f>
        <v>109979.910928822</v>
      </c>
      <c r="U68" s="548" t="n">
        <f aca="false">T69</f>
        <v>98778.189678822</v>
      </c>
      <c r="V68" s="548" t="n">
        <f aca="false">U69</f>
        <v>95433.968428822</v>
      </c>
      <c r="W68" s="548" t="n">
        <f aca="false">V69</f>
        <v>84232.247178822</v>
      </c>
      <c r="X68" s="548" t="n">
        <f aca="false">W69</f>
        <v>182288.086628376</v>
      </c>
      <c r="Y68" s="548" t="n">
        <f aca="false">X69</f>
        <v>75271.8640539747</v>
      </c>
      <c r="Z68" s="548" t="n">
        <f aca="false">Y69</f>
        <v>69293.2239795736</v>
      </c>
      <c r="AA68" s="548" t="n">
        <f aca="false">Z69</f>
        <v>55457.0839051724</v>
      </c>
      <c r="AB68" s="548" t="n">
        <f aca="false">AA69</f>
        <v>105457.083905172</v>
      </c>
      <c r="AC68" s="548" t="n">
        <f aca="false">AB69</f>
        <v>97599.5839051724</v>
      </c>
      <c r="AD68" s="548" t="n">
        <f aca="false">AC69</f>
        <v>97599.5839051724</v>
      </c>
      <c r="AE68" s="548" t="n">
        <f aca="false">AD69</f>
        <v>97599.5839051724</v>
      </c>
      <c r="AF68" s="548" t="n">
        <f aca="false">AE69</f>
        <v>89742.0839051724</v>
      </c>
      <c r="AG68" s="548" t="n">
        <f aca="false">AF69</f>
        <v>196755.184344828</v>
      </c>
      <c r="AH68" s="548" t="n">
        <f aca="false">AG69</f>
        <v>81534.8023706897</v>
      </c>
      <c r="AI68" s="548" t="n">
        <f aca="false">AH69</f>
        <v>76347.9028103449</v>
      </c>
      <c r="AJ68" s="548" t="n">
        <f aca="false">AI69</f>
        <v>62803.5032500001</v>
      </c>
      <c r="AK68" s="548" t="n">
        <f aca="false">AJ69</f>
        <v>211451.03945</v>
      </c>
      <c r="AL68" s="548" t="n">
        <f aca="false">AK69</f>
        <v>124625.7928375</v>
      </c>
      <c r="AM68" s="548" t="n">
        <f aca="false">AL69</f>
        <v>88573.3290375001</v>
      </c>
      <c r="AN68" s="548" t="n">
        <f aca="false">AM69</f>
        <v>75020.8652375001</v>
      </c>
      <c r="AO68" s="548" t="n">
        <f aca="false">AN69</f>
        <v>50995.6186250001</v>
      </c>
      <c r="AP68" s="548" t="n">
        <f aca="false">AO69</f>
        <v>423411.513875</v>
      </c>
      <c r="AQ68" s="548" t="n">
        <f aca="false">AP69</f>
        <v>348048.1263125</v>
      </c>
      <c r="AR68" s="548" t="n">
        <f aca="false">AQ69</f>
        <v>131023.0215625</v>
      </c>
      <c r="AS68" s="548" t="n">
        <f aca="false">AR69</f>
        <v>73459.6340000001</v>
      </c>
      <c r="AT68" s="548" t="n">
        <f aca="false">AS69</f>
        <v>163033.238073278</v>
      </c>
      <c r="AU68" s="548" t="n">
        <f aca="false">AT69</f>
        <v>113538.559334055</v>
      </c>
      <c r="AV68" s="548" t="n">
        <f aca="false">AU69</f>
        <v>90462.1634073331</v>
      </c>
      <c r="AW68" s="548" t="n">
        <f aca="false">AV69</f>
        <v>58767.4846681107</v>
      </c>
      <c r="AX68" s="548" t="n">
        <f aca="false">AW69</f>
        <v>190488.372745242</v>
      </c>
      <c r="AY68" s="548" t="n">
        <f aca="false">AX69</f>
        <v>138701.978009873</v>
      </c>
      <c r="AZ68" s="548" t="n">
        <f aca="false">AY69</f>
        <v>120922.866087005</v>
      </c>
      <c r="BA68" s="548" t="n">
        <f aca="false">AZ69</f>
        <v>116743.754164136</v>
      </c>
      <c r="BB68" s="548" t="n">
        <f aca="false">BA69</f>
        <v>85907.3594287671</v>
      </c>
      <c r="BC68" s="548" t="n">
        <f aca="false">BB69</f>
        <v>221056.863641747</v>
      </c>
      <c r="BD68" s="548" t="n">
        <f aca="false">BC69</f>
        <v>159226.22240171</v>
      </c>
      <c r="BE68" s="548" t="n">
        <f aca="false">BD69</f>
        <v>139875.726614691</v>
      </c>
    </row>
    <row r="69" customFormat="false" ht="15" hidden="false" customHeight="true" outlineLevel="0" collapsed="false">
      <c r="A69" s="218"/>
      <c r="B69" s="499" t="s">
        <v>3190</v>
      </c>
      <c r="C69" s="218"/>
      <c r="D69" s="218"/>
      <c r="E69" s="533" t="n">
        <f aca="false">BE69</f>
        <v>102145.085374654</v>
      </c>
      <c r="F69" s="533" t="n">
        <f aca="false">F68+F66+F67</f>
        <v>92888.9152120842</v>
      </c>
      <c r="G69" s="533" t="n">
        <f aca="false">G68+G66+G67</f>
        <v>87621.9375343302</v>
      </c>
      <c r="H69" s="533" t="n">
        <f aca="false">H68+H66+H67</f>
        <v>83789.9598565761</v>
      </c>
      <c r="I69" s="533" t="n">
        <f aca="false">I68+I66+I67</f>
        <v>78522.9821788221</v>
      </c>
      <c r="J69" s="533" t="n">
        <f aca="false">J68+J66+J67</f>
        <v>78522.9821788221</v>
      </c>
      <c r="K69" s="533" t="n">
        <f aca="false">K68+K66+K67</f>
        <v>70665.4821788221</v>
      </c>
      <c r="L69" s="533" t="n">
        <f aca="false">L68+L66+L67</f>
        <v>70665.4821788221</v>
      </c>
      <c r="M69" s="533" t="n">
        <f aca="false">M68+M66+M67</f>
        <v>70665.4821788221</v>
      </c>
      <c r="N69" s="533" t="n">
        <f aca="false">N68+N66+N67</f>
        <v>62807.9821788221</v>
      </c>
      <c r="O69" s="533" t="n">
        <f aca="false">O68+O66+O67</f>
        <v>112807.982178822</v>
      </c>
      <c r="P69" s="533" t="n">
        <f aca="false">P68+P66+P67</f>
        <v>104950.482178822</v>
      </c>
      <c r="Q69" s="533" t="n">
        <f aca="false">Q68+Q66+Q67</f>
        <v>104950.482178822</v>
      </c>
      <c r="R69" s="533" t="n">
        <f aca="false">R68+R66+R67</f>
        <v>97092.9821788221</v>
      </c>
      <c r="S69" s="533" t="n">
        <f aca="false">S68+S66+S67</f>
        <v>109979.910928822</v>
      </c>
      <c r="T69" s="533" t="n">
        <f aca="false">T68+T66+T67</f>
        <v>98778.189678822</v>
      </c>
      <c r="U69" s="533" t="n">
        <f aca="false">U68+U66+U67</f>
        <v>95433.968428822</v>
      </c>
      <c r="V69" s="533" t="n">
        <f aca="false">V68+V66+V67</f>
        <v>84232.247178822</v>
      </c>
      <c r="W69" s="533" t="n">
        <f aca="false">W68+W66+W67</f>
        <v>182288.086628376</v>
      </c>
      <c r="X69" s="533" t="n">
        <f aca="false">X68+X66+X67</f>
        <v>75271.8640539747</v>
      </c>
      <c r="Y69" s="533" t="n">
        <f aca="false">Y68+Y66+Y67</f>
        <v>69293.2239795736</v>
      </c>
      <c r="Z69" s="533" t="n">
        <f aca="false">Z68+Z66+Z67</f>
        <v>55457.0839051724</v>
      </c>
      <c r="AA69" s="533" t="n">
        <f aca="false">AA68+AA66+AA67</f>
        <v>105457.083905172</v>
      </c>
      <c r="AB69" s="533" t="n">
        <f aca="false">AB68+AB66+AB67</f>
        <v>97599.5839051724</v>
      </c>
      <c r="AC69" s="533" t="n">
        <f aca="false">AC68+AC66+AC67</f>
        <v>97599.5839051724</v>
      </c>
      <c r="AD69" s="533" t="n">
        <f aca="false">AD68+AD66+AD67</f>
        <v>97599.5839051724</v>
      </c>
      <c r="AE69" s="533" t="n">
        <f aca="false">AE68+AE66+AE67</f>
        <v>89742.0839051724</v>
      </c>
      <c r="AF69" s="533" t="n">
        <f aca="false">AF68+AF66+AF67</f>
        <v>196755.184344828</v>
      </c>
      <c r="AG69" s="533" t="n">
        <f aca="false">AG68+AG66+AG67</f>
        <v>81534.8023706897</v>
      </c>
      <c r="AH69" s="533" t="n">
        <f aca="false">AH68+AH66+AH67</f>
        <v>76347.9028103449</v>
      </c>
      <c r="AI69" s="533" t="n">
        <f aca="false">AI68+AI66+AI67</f>
        <v>62803.5032500001</v>
      </c>
      <c r="AJ69" s="533" t="n">
        <f aca="false">AJ68+AJ66+AJ67</f>
        <v>211451.03945</v>
      </c>
      <c r="AK69" s="533" t="n">
        <f aca="false">AK68+AK66+AK67</f>
        <v>124625.7928375</v>
      </c>
      <c r="AL69" s="533" t="n">
        <f aca="false">AL68+AL66+AL67</f>
        <v>88573.3290375001</v>
      </c>
      <c r="AM69" s="533" t="n">
        <f aca="false">AM68+AM66+AM67</f>
        <v>75020.8652375001</v>
      </c>
      <c r="AN69" s="533" t="n">
        <f aca="false">AN68+AN66+AN67</f>
        <v>50995.6186250001</v>
      </c>
      <c r="AO69" s="533" t="n">
        <f aca="false">AO68+AO66+AO67</f>
        <v>423411.513875</v>
      </c>
      <c r="AP69" s="533" t="n">
        <f aca="false">AP68+AP66+AP67</f>
        <v>348048.1263125</v>
      </c>
      <c r="AQ69" s="533" t="n">
        <f aca="false">AQ68+AQ66+AQ67</f>
        <v>131023.0215625</v>
      </c>
      <c r="AR69" s="533" t="n">
        <f aca="false">AR68+AR66+AR67</f>
        <v>73459.6340000001</v>
      </c>
      <c r="AS69" s="533" t="n">
        <f aca="false">AS68+AS66+AS67</f>
        <v>163033.238073278</v>
      </c>
      <c r="AT69" s="533" t="n">
        <f aca="false">AT68+AT66+AT67</f>
        <v>113538.559334055</v>
      </c>
      <c r="AU69" s="533" t="n">
        <f aca="false">AU68+AU66+AU67</f>
        <v>90462.1634073331</v>
      </c>
      <c r="AV69" s="533" t="n">
        <f aca="false">AV68+AV66+AV67</f>
        <v>58767.4846681107</v>
      </c>
      <c r="AW69" s="533" t="n">
        <f aca="false">AW68+AW66+AW67</f>
        <v>190488.372745242</v>
      </c>
      <c r="AX69" s="533" t="n">
        <f aca="false">AX68+AX66+AX67</f>
        <v>138701.978009873</v>
      </c>
      <c r="AY69" s="533" t="n">
        <f aca="false">AY68+AY66+AY67</f>
        <v>120922.866087005</v>
      </c>
      <c r="AZ69" s="533" t="n">
        <f aca="false">AZ68+AZ66+AZ67</f>
        <v>116743.754164136</v>
      </c>
      <c r="BA69" s="533" t="n">
        <f aca="false">BA68+BA66+BA67</f>
        <v>85907.3594287671</v>
      </c>
      <c r="BB69" s="533" t="n">
        <f aca="false">BB68+BB66+BB67</f>
        <v>221056.863641747</v>
      </c>
      <c r="BC69" s="533" t="n">
        <f aca="false">BC68+BC66+BC67</f>
        <v>159226.22240171</v>
      </c>
      <c r="BD69" s="533" t="n">
        <f aca="false">BD68+BD66+BD67</f>
        <v>139875.726614691</v>
      </c>
      <c r="BE69" s="533" t="n">
        <f aca="false">BE68+BE66+BE67</f>
        <v>102145.085374654</v>
      </c>
    </row>
    <row r="70" customFormat="false" ht="15" hidden="false" customHeight="true" outlineLevel="0" collapsed="false">
      <c r="B70" s="286" t="s">
        <v>3191</v>
      </c>
      <c r="F70" s="289" t="str">
        <f aca="false">IF(F69&gt;=-0.5,"✓","✗")</f>
        <v>✓</v>
      </c>
      <c r="G70" s="289" t="str">
        <f aca="false">IF(G69&gt;=-0.5,"✓","✗")</f>
        <v>✓</v>
      </c>
      <c r="H70" s="289" t="str">
        <f aca="false">IF(H69&gt;=-0.5,"✓","✗")</f>
        <v>✓</v>
      </c>
      <c r="I70" s="289" t="str">
        <f aca="false">IF(I69&gt;=-0.5,"✓","✗")</f>
        <v>✓</v>
      </c>
      <c r="J70" s="289" t="str">
        <f aca="false">IF(J69&gt;=-0.5,"✓","✗")</f>
        <v>✓</v>
      </c>
      <c r="K70" s="289" t="str">
        <f aca="false">IF(K69&gt;=-0.5,"✓","✗")</f>
        <v>✓</v>
      </c>
      <c r="L70" s="289" t="str">
        <f aca="false">IF(L69&gt;=-0.5,"✓","✗")</f>
        <v>✓</v>
      </c>
      <c r="M70" s="289" t="str">
        <f aca="false">IF(M69&gt;=-0.5,"✓","✗")</f>
        <v>✓</v>
      </c>
      <c r="N70" s="289" t="str">
        <f aca="false">IF(N69&gt;=-0.5,"✓","✗")</f>
        <v>✓</v>
      </c>
      <c r="O70" s="289" t="str">
        <f aca="false">IF(O69&gt;=-0.5,"✓","✗")</f>
        <v>✓</v>
      </c>
      <c r="P70" s="289" t="str">
        <f aca="false">IF(P69&gt;=-0.5,"✓","✗")</f>
        <v>✓</v>
      </c>
      <c r="Q70" s="289" t="str">
        <f aca="false">IF(Q69&gt;=-0.5,"✓","✗")</f>
        <v>✓</v>
      </c>
      <c r="R70" s="289" t="str">
        <f aca="false">IF(R69&gt;=-0.5,"✓","✗")</f>
        <v>✓</v>
      </c>
      <c r="S70" s="289" t="str">
        <f aca="false">IF(S69&gt;=-0.5,"✓","✗")</f>
        <v>✓</v>
      </c>
      <c r="T70" s="289" t="str">
        <f aca="false">IF(T69&gt;=-0.5,"✓","✗")</f>
        <v>✓</v>
      </c>
      <c r="U70" s="289" t="str">
        <f aca="false">IF(U69&gt;=-0.5,"✓","✗")</f>
        <v>✓</v>
      </c>
      <c r="V70" s="289" t="str">
        <f aca="false">IF(V69&gt;=-0.5,"✓","✗")</f>
        <v>✓</v>
      </c>
      <c r="W70" s="289" t="str">
        <f aca="false">IF(W69&gt;=-0.5,"✓","✗")</f>
        <v>✓</v>
      </c>
      <c r="X70" s="289" t="str">
        <f aca="false">IF(X69&gt;=-0.5,"✓","✗")</f>
        <v>✓</v>
      </c>
      <c r="Y70" s="289" t="str">
        <f aca="false">IF(Y69&gt;=-0.5,"✓","✗")</f>
        <v>✓</v>
      </c>
      <c r="Z70" s="289" t="str">
        <f aca="false">IF(Z69&gt;=-0.5,"✓","✗")</f>
        <v>✓</v>
      </c>
      <c r="AA70" s="289" t="str">
        <f aca="false">IF(AA69&gt;=-0.5,"✓","✗")</f>
        <v>✓</v>
      </c>
      <c r="AB70" s="289" t="str">
        <f aca="false">IF(AB69&gt;=-0.5,"✓","✗")</f>
        <v>✓</v>
      </c>
      <c r="AC70" s="289" t="str">
        <f aca="false">IF(AC69&gt;=-0.5,"✓","✗")</f>
        <v>✓</v>
      </c>
      <c r="AD70" s="289" t="str">
        <f aca="false">IF(AD69&gt;=-0.5,"✓","✗")</f>
        <v>✓</v>
      </c>
      <c r="AE70" s="289" t="str">
        <f aca="false">IF(AE69&gt;=-0.5,"✓","✗")</f>
        <v>✓</v>
      </c>
      <c r="AF70" s="289" t="str">
        <f aca="false">IF(AF69&gt;=-0.5,"✓","✗")</f>
        <v>✓</v>
      </c>
      <c r="AG70" s="289" t="str">
        <f aca="false">IF(AG69&gt;=-0.5,"✓","✗")</f>
        <v>✓</v>
      </c>
      <c r="AH70" s="289" t="str">
        <f aca="false">IF(AH69&gt;=-0.5,"✓","✗")</f>
        <v>✓</v>
      </c>
      <c r="AI70" s="289" t="str">
        <f aca="false">IF(AI69&gt;=-0.5,"✓","✗")</f>
        <v>✓</v>
      </c>
      <c r="AJ70" s="289" t="str">
        <f aca="false">IF(AJ69&gt;=-0.5,"✓","✗")</f>
        <v>✓</v>
      </c>
      <c r="AK70" s="289" t="str">
        <f aca="false">IF(AK69&gt;=-0.5,"✓","✗")</f>
        <v>✓</v>
      </c>
      <c r="AL70" s="289" t="str">
        <f aca="false">IF(AL69&gt;=-0.5,"✓","✗")</f>
        <v>✓</v>
      </c>
      <c r="AM70" s="289" t="str">
        <f aca="false">IF(AM69&gt;=-0.5,"✓","✗")</f>
        <v>✓</v>
      </c>
      <c r="AN70" s="289" t="str">
        <f aca="false">IF(AN69&gt;=-0.5,"✓","✗")</f>
        <v>✓</v>
      </c>
      <c r="AO70" s="289" t="str">
        <f aca="false">IF(AO69&gt;=-0.5,"✓","✗")</f>
        <v>✓</v>
      </c>
      <c r="AP70" s="289" t="str">
        <f aca="false">IF(AP69&gt;=-0.5,"✓","✗")</f>
        <v>✓</v>
      </c>
      <c r="AQ70" s="289" t="str">
        <f aca="false">IF(AQ69&gt;=-0.5,"✓","✗")</f>
        <v>✓</v>
      </c>
      <c r="AR70" s="289" t="str">
        <f aca="false">IF(AR69&gt;=-0.5,"✓","✗")</f>
        <v>✓</v>
      </c>
      <c r="AS70" s="289" t="str">
        <f aca="false">IF(AS69&gt;=-0.5,"✓","✗")</f>
        <v>✓</v>
      </c>
      <c r="AT70" s="289" t="str">
        <f aca="false">IF(AT69&gt;=-0.5,"✓","✗")</f>
        <v>✓</v>
      </c>
      <c r="AU70" s="289" t="str">
        <f aca="false">IF(AU69&gt;=-0.5,"✓","✗")</f>
        <v>✓</v>
      </c>
      <c r="AV70" s="289" t="str">
        <f aca="false">IF(AV69&gt;=-0.5,"✓","✗")</f>
        <v>✓</v>
      </c>
      <c r="AW70" s="289" t="str">
        <f aca="false">IF(AW69&gt;=-0.5,"✓","✗")</f>
        <v>✓</v>
      </c>
      <c r="AX70" s="289" t="str">
        <f aca="false">IF(AX69&gt;=-0.5,"✓","✗")</f>
        <v>✓</v>
      </c>
      <c r="AY70" s="289" t="str">
        <f aca="false">IF(AY69&gt;=-0.5,"✓","✗")</f>
        <v>✓</v>
      </c>
      <c r="AZ70" s="289" t="str">
        <f aca="false">IF(AZ69&gt;=-0.5,"✓","✗")</f>
        <v>✓</v>
      </c>
      <c r="BA70" s="289" t="str">
        <f aca="false">IF(BA69&gt;=-0.5,"✓","✗")</f>
        <v>✓</v>
      </c>
      <c r="BB70" s="289" t="str">
        <f aca="false">IF(BB69&gt;=-0.5,"✓","✗")</f>
        <v>✓</v>
      </c>
      <c r="BC70" s="289" t="str">
        <f aca="false">IF(BC69&gt;=-0.5,"✓","✗")</f>
        <v>✓</v>
      </c>
      <c r="BD70" s="289" t="str">
        <f aca="false">IF(BD69&gt;=-0.5,"✓","✗")</f>
        <v>✓</v>
      </c>
      <c r="BE70" s="289" t="str">
        <f aca="false">IF(BE69&gt;=-0.5,"✓","✗")</f>
        <v>✓</v>
      </c>
    </row>
    <row r="72" customFormat="false" ht="15" hidden="false" customHeight="true" outlineLevel="0" collapsed="false">
      <c r="A72" s="281" t="s">
        <v>3192</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row>
    <row r="73" customFormat="false" ht="15" hidden="false" customHeight="true" outlineLevel="0" collapsed="false">
      <c r="B73" s="287" t="s">
        <v>2794</v>
      </c>
      <c r="F73" s="288" t="n">
        <v>1</v>
      </c>
      <c r="G73" s="288" t="n">
        <v>2</v>
      </c>
      <c r="H73" s="288" t="n">
        <v>3</v>
      </c>
      <c r="I73" s="288" t="n">
        <v>4</v>
      </c>
      <c r="J73" s="288" t="n">
        <v>5</v>
      </c>
      <c r="K73" s="288" t="n">
        <v>6</v>
      </c>
      <c r="L73" s="288" t="n">
        <v>7</v>
      </c>
      <c r="M73" s="288" t="n">
        <v>8</v>
      </c>
      <c r="N73" s="288" t="n">
        <v>9</v>
      </c>
      <c r="O73" s="288" t="n">
        <v>10</v>
      </c>
      <c r="P73" s="288" t="n">
        <v>11</v>
      </c>
      <c r="Q73" s="288" t="n">
        <v>12</v>
      </c>
      <c r="R73" s="288" t="n">
        <v>13</v>
      </c>
      <c r="S73" s="549" t="s">
        <v>3193</v>
      </c>
    </row>
    <row r="74" customFormat="false" ht="15" hidden="false" customHeight="true" outlineLevel="0" collapsed="false">
      <c r="B74" s="287" t="s">
        <v>2349</v>
      </c>
      <c r="F74" s="550" t="n">
        <f aca="false">EDATE(DATE(YEAR(FC_SUPUESTOS!$D$14),MONTH(FC_SUPUESTOS!$D$14),1),F73-1)</f>
        <v>46296</v>
      </c>
      <c r="G74" s="550" t="n">
        <f aca="false">EDATE(DATE(YEAR(FC_SUPUESTOS!$D$14),MONTH(FC_SUPUESTOS!$D$14),1),G73-1)</f>
        <v>46327</v>
      </c>
      <c r="H74" s="550" t="n">
        <f aca="false">EDATE(DATE(YEAR(FC_SUPUESTOS!$D$14),MONTH(FC_SUPUESTOS!$D$14),1),H73-1)</f>
        <v>46357</v>
      </c>
      <c r="I74" s="550" t="n">
        <f aca="false">EDATE(DATE(YEAR(FC_SUPUESTOS!$D$14),MONTH(FC_SUPUESTOS!$D$14),1),I73-1)</f>
        <v>46388</v>
      </c>
      <c r="J74" s="550" t="n">
        <f aca="false">EDATE(DATE(YEAR(FC_SUPUESTOS!$D$14),MONTH(FC_SUPUESTOS!$D$14),1),J73-1)</f>
        <v>46419</v>
      </c>
      <c r="K74" s="550" t="n">
        <f aca="false">EDATE(DATE(YEAR(FC_SUPUESTOS!$D$14),MONTH(FC_SUPUESTOS!$D$14),1),K73-1)</f>
        <v>46447</v>
      </c>
      <c r="L74" s="550" t="n">
        <f aca="false">EDATE(DATE(YEAR(FC_SUPUESTOS!$D$14),MONTH(FC_SUPUESTOS!$D$14),1),L73-1)</f>
        <v>46478</v>
      </c>
      <c r="M74" s="550" t="n">
        <f aca="false">EDATE(DATE(YEAR(FC_SUPUESTOS!$D$14),MONTH(FC_SUPUESTOS!$D$14),1),M73-1)</f>
        <v>46508</v>
      </c>
      <c r="N74" s="550" t="n">
        <f aca="false">EDATE(DATE(YEAR(FC_SUPUESTOS!$D$14),MONTH(FC_SUPUESTOS!$D$14),1),N73-1)</f>
        <v>46539</v>
      </c>
      <c r="O74" s="550" t="n">
        <f aca="false">EDATE(DATE(YEAR(FC_SUPUESTOS!$D$14),MONTH(FC_SUPUESTOS!$D$14),1),O73-1)</f>
        <v>46569</v>
      </c>
      <c r="P74" s="550" t="n">
        <f aca="false">EDATE(DATE(YEAR(FC_SUPUESTOS!$D$14),MONTH(FC_SUPUESTOS!$D$14),1),P73-1)</f>
        <v>46600</v>
      </c>
      <c r="Q74" s="550" t="n">
        <f aca="false">EDATE(DATE(YEAR(FC_SUPUESTOS!$D$14),MONTH(FC_SUPUESTOS!$D$14),1),Q73-1)</f>
        <v>46631</v>
      </c>
      <c r="R74" s="550" t="n">
        <f aca="false">EDATE(DATE(YEAR(FC_SUPUESTOS!$D$14),MONTH(FC_SUPUESTOS!$D$14),1),R73-1)</f>
        <v>46661</v>
      </c>
    </row>
    <row r="75" customFormat="false" ht="15" hidden="false" customHeight="true" outlineLevel="0" collapsed="false">
      <c r="B75" s="283" t="s">
        <v>3194</v>
      </c>
      <c r="F75" s="374" t="n">
        <f aca="false">INT((EOMONTH(F74,0)-MAX(F74+MOD(8-WEEKDAY(F74,2),7),FC_SUPUESTOS!$D$14))/7)+1</f>
        <v>4</v>
      </c>
      <c r="G75" s="374" t="n">
        <f aca="false">INT((EOMONTH(G74,0)-MAX(G74+MOD(8-WEEKDAY(G74,2),7),FC_SUPUESTOS!$D$14))/7)+1</f>
        <v>5</v>
      </c>
      <c r="H75" s="374" t="n">
        <f aca="false">INT((EOMONTH(H74,0)-MAX(H74+MOD(8-WEEKDAY(H74,2),7),FC_SUPUESTOS!$D$14))/7)+1</f>
        <v>4</v>
      </c>
      <c r="I75" s="374" t="n">
        <f aca="false">INT((EOMONTH(I74,0)-MAX(I74+MOD(8-WEEKDAY(I74,2),7),FC_SUPUESTOS!$D$14))/7)+1</f>
        <v>4</v>
      </c>
      <c r="J75" s="374" t="n">
        <f aca="false">INT((EOMONTH(J74,0)-MAX(J74+MOD(8-WEEKDAY(J74,2),7),FC_SUPUESTOS!$D$14))/7)+1</f>
        <v>4</v>
      </c>
      <c r="K75" s="374" t="n">
        <f aca="false">INT((EOMONTH(K74,0)-MAX(K74+MOD(8-WEEKDAY(K74,2),7),FC_SUPUESTOS!$D$14))/7)+1</f>
        <v>5</v>
      </c>
      <c r="L75" s="374" t="n">
        <f aca="false">INT((EOMONTH(L74,0)-MAX(L74+MOD(8-WEEKDAY(L74,2),7),FC_SUPUESTOS!$D$14))/7)+1</f>
        <v>4</v>
      </c>
      <c r="M75" s="374" t="n">
        <f aca="false">INT((EOMONTH(M74,0)-MAX(M74+MOD(8-WEEKDAY(M74,2),7),FC_SUPUESTOS!$D$14))/7)+1</f>
        <v>5</v>
      </c>
      <c r="N75" s="374" t="n">
        <f aca="false">INT((EOMONTH(N74,0)-MAX(N74+MOD(8-WEEKDAY(N74,2),7),FC_SUPUESTOS!$D$14))/7)+1</f>
        <v>4</v>
      </c>
      <c r="O75" s="374" t="n">
        <f aca="false">INT((EOMONTH(O74,0)-MAX(O74+MOD(8-WEEKDAY(O74,2),7),FC_SUPUESTOS!$D$14))/7)+1</f>
        <v>4</v>
      </c>
      <c r="P75" s="374" t="n">
        <f aca="false">INT((EOMONTH(P74,0)-MAX(P74+MOD(8-WEEKDAY(P74,2),7),FC_SUPUESTOS!$D$14))/7)+1</f>
        <v>5</v>
      </c>
      <c r="Q75" s="374" t="n">
        <f aca="false">INT((EOMONTH(Q74,0)-MAX(Q74+MOD(8-WEEKDAY(Q74,2),7),FC_SUPUESTOS!$D$14))/7)+1</f>
        <v>4</v>
      </c>
      <c r="R75" s="374" t="n">
        <f aca="false">INT((EOMONTH(R74,0)-MAX(R74+MOD(8-WEEKDAY(R74,2),7),FC_SUPUESTOS!$D$14))/7)+1</f>
        <v>4</v>
      </c>
    </row>
    <row r="76" customFormat="false" ht="15" hidden="false" customHeight="true" outlineLevel="0" collapsed="false">
      <c r="B76" s="283" t="s">
        <v>3195</v>
      </c>
      <c r="F76" s="374" t="n">
        <f aca="false">COUNTIF($F$13:$BE$13,F73)</f>
        <v>4</v>
      </c>
      <c r="G76" s="374" t="n">
        <f aca="false">COUNTIF($F$13:$BE$13,G73)</f>
        <v>5</v>
      </c>
      <c r="H76" s="374" t="n">
        <f aca="false">COUNTIF($F$13:$BE$13,H73)</f>
        <v>4</v>
      </c>
      <c r="I76" s="374" t="n">
        <f aca="false">COUNTIF($F$13:$BE$13,I73)</f>
        <v>4</v>
      </c>
      <c r="J76" s="374" t="n">
        <f aca="false">COUNTIF($F$13:$BE$13,J73)</f>
        <v>4</v>
      </c>
      <c r="K76" s="374" t="n">
        <f aca="false">COUNTIF($F$13:$BE$13,K73)</f>
        <v>5</v>
      </c>
      <c r="L76" s="374" t="n">
        <f aca="false">COUNTIF($F$13:$BE$13,L73)</f>
        <v>4</v>
      </c>
      <c r="M76" s="374" t="n">
        <f aca="false">COUNTIF($F$13:$BE$13,M73)</f>
        <v>5</v>
      </c>
      <c r="N76" s="374" t="n">
        <f aca="false">COUNTIF($F$13:$BE$13,N73)</f>
        <v>4</v>
      </c>
      <c r="O76" s="374" t="n">
        <f aca="false">COUNTIF($F$13:$BE$13,O73)</f>
        <v>4</v>
      </c>
      <c r="P76" s="374" t="n">
        <f aca="false">COUNTIF($F$13:$BE$13,P73)</f>
        <v>5</v>
      </c>
      <c r="Q76" s="374" t="n">
        <f aca="false">COUNTIF($F$13:$BE$13,Q73)</f>
        <v>4</v>
      </c>
      <c r="R76" s="374" t="n">
        <f aca="false">COUNTIF($F$13:$BE$13,R73)</f>
        <v>0</v>
      </c>
    </row>
    <row r="77" customFormat="false" ht="15" hidden="false" customHeight="true" outlineLevel="0" collapsed="false">
      <c r="B77" s="551" t="s">
        <v>3196</v>
      </c>
      <c r="F77" s="401" t="n">
        <f aca="false">INDEX(FC_FLUJO_CAJA!$D$14:$BK$14,1,F73)</f>
        <v>0</v>
      </c>
      <c r="G77" s="401" t="n">
        <f aca="false">INDEX(FC_FLUJO_CAJA!$D$14:$BK$14,1,G73)</f>
        <v>0</v>
      </c>
      <c r="H77" s="401" t="n">
        <f aca="false">INDEX(FC_FLUJO_CAJA!$D$14:$BK$14,1,H73)</f>
        <v>0</v>
      </c>
      <c r="I77" s="401" t="n">
        <f aca="false">INDEX(FC_FLUJO_CAJA!$D$14:$BK$14,1,I73)</f>
        <v>0</v>
      </c>
      <c r="J77" s="401" t="n">
        <f aca="false">INDEX(FC_FLUJO_CAJA!$D$14:$BK$14,1,J73)</f>
        <v>0</v>
      </c>
      <c r="K77" s="401" t="n">
        <f aca="false">INDEX(FC_FLUJO_CAJA!$D$14:$BK$14,1,K73)</f>
        <v>0</v>
      </c>
      <c r="L77" s="401" t="n">
        <f aca="false">INDEX(FC_FLUJO_CAJA!$D$14:$BK$14,1,L73)</f>
        <v>0</v>
      </c>
      <c r="M77" s="401" t="n">
        <f aca="false">INDEX(FC_FLUJO_CAJA!$D$14:$BK$14,1,M73)</f>
        <v>0</v>
      </c>
      <c r="N77" s="401" t="n">
        <f aca="false">INDEX(FC_FLUJO_CAJA!$D$14:$BK$14,1,N73)</f>
        <v>0</v>
      </c>
      <c r="O77" s="401" t="n">
        <f aca="false">INDEX(FC_FLUJO_CAJA!$D$14:$BK$14,1,O73)</f>
        <v>70927.4208346856</v>
      </c>
      <c r="P77" s="401" t="n">
        <f aca="false">INDEX(FC_FLUJO_CAJA!$D$14:$BK$14,1,P73)</f>
        <v>162119.81905071</v>
      </c>
      <c r="Q77" s="401" t="n">
        <f aca="false">INDEX(FC_FLUJO_CAJA!$D$14:$BK$14,1,Q73)</f>
        <v>269596.574091024</v>
      </c>
      <c r="R77" s="401" t="n">
        <f aca="false">INDEX(FC_FLUJO_CAJA!$D$14:$BK$14,1,R73)</f>
        <v>388798.066044828</v>
      </c>
      <c r="S77" s="532" t="n">
        <f aca="false">SUMPRODUCT((F76:R76=F75:R75)*(F76:R76&gt;0)*F77:R77)</f>
        <v>502643.81397642</v>
      </c>
    </row>
    <row r="78" customFormat="false" ht="15" hidden="false" customHeight="true" outlineLevel="0" collapsed="false">
      <c r="B78" s="283" t="s">
        <v>3197</v>
      </c>
      <c r="F78" s="498" t="n">
        <f aca="false">SUMIF($F$13:$BE$13,F73,$F$18:$BE$18)</f>
        <v>0</v>
      </c>
      <c r="G78" s="498" t="n">
        <f aca="false">SUMIF($F$13:$BE$13,G73,$F$18:$BE$18)</f>
        <v>0</v>
      </c>
      <c r="H78" s="498" t="n">
        <f aca="false">SUMIF($F$13:$BE$13,H73,$F$18:$BE$18)</f>
        <v>0</v>
      </c>
      <c r="I78" s="498" t="n">
        <f aca="false">SUMIF($F$13:$BE$13,I73,$F$18:$BE$18)</f>
        <v>0</v>
      </c>
      <c r="J78" s="498" t="n">
        <f aca="false">SUMIF($F$13:$BE$13,J73,$F$18:$BE$18)</f>
        <v>0</v>
      </c>
      <c r="K78" s="498" t="n">
        <f aca="false">SUMIF($F$13:$BE$13,K73,$F$18:$BE$18)</f>
        <v>0</v>
      </c>
      <c r="L78" s="498" t="n">
        <f aca="false">SUMIF($F$13:$BE$13,L73,$F$18:$BE$18)</f>
        <v>0</v>
      </c>
      <c r="M78" s="498" t="n">
        <f aca="false">SUMIF($F$13:$BE$13,M73,$F$18:$BE$18)</f>
        <v>0</v>
      </c>
      <c r="N78" s="498" t="n">
        <f aca="false">SUMIF($F$13:$BE$13,N73,$F$18:$BE$18)</f>
        <v>0</v>
      </c>
      <c r="O78" s="498" t="n">
        <f aca="false">SUMIF($F$13:$BE$13,O73,$F$18:$BE$18)</f>
        <v>70927.4208346856</v>
      </c>
      <c r="P78" s="498" t="n">
        <f aca="false">SUMIF($F$13:$BE$13,P73,$F$18:$BE$18)</f>
        <v>162119.81905071</v>
      </c>
      <c r="Q78" s="498" t="n">
        <f aca="false">SUMIF($F$13:$BE$13,Q73,$F$18:$BE$18)</f>
        <v>269596.574091024</v>
      </c>
      <c r="R78" s="498" t="n">
        <f aca="false">SUMIF($F$13:$BE$13,R73,$F$18:$BE$18)</f>
        <v>0</v>
      </c>
      <c r="S78" s="532" t="n">
        <f aca="false">SUMPRODUCT((F76:R76=F75:R75)*(F76:R76&gt;0)*F78:R78)</f>
        <v>502643.81397642</v>
      </c>
    </row>
    <row r="79" customFormat="false" ht="15" hidden="false" customHeight="true" outlineLevel="0" collapsed="false">
      <c r="B79" s="551" t="s">
        <v>3198</v>
      </c>
      <c r="F79" s="401" t="n">
        <f aca="false">INDEX(FC_FLUJO_CAJA!$D$35:$BK$35,1,F73)+INDEX(FC_FLUJO_CAJA!$D$39:$BK$39,1,F73)+INDEX(FC_FLUJO_CAJA!$D$40:$BK$40,1,F73)+INDEX(FC_FLUJO_CAJA!$D$84:$BK$84,1,F73)</f>
        <v>171477.017821178</v>
      </c>
      <c r="G79" s="401" t="n">
        <f aca="false">INDEX(FC_FLUJO_CAJA!$D$35:$BK$35,1,G73)+INDEX(FC_FLUJO_CAJA!$D$39:$BK$39,1,G73)+INDEX(FC_FLUJO_CAJA!$D$40:$BK$40,1,G73)+INDEX(FC_FLUJO_CAJA!$D$84:$BK$84,1,G73)</f>
        <v>15715</v>
      </c>
      <c r="H79" s="401" t="n">
        <f aca="false">INDEX(FC_FLUJO_CAJA!$D$35:$BK$35,1,H73)+INDEX(FC_FLUJO_CAJA!$D$39:$BK$39,1,H73)+INDEX(FC_FLUJO_CAJA!$D$40:$BK$40,1,H73)+INDEX(FC_FLUJO_CAJA!$D$84:$BK$84,1,H73)</f>
        <v>15715</v>
      </c>
      <c r="I79" s="401" t="n">
        <f aca="false">INDEX(FC_FLUJO_CAJA!$D$35:$BK$35,1,I73)+INDEX(FC_FLUJO_CAJA!$D$39:$BK$39,1,I73)+INDEX(FC_FLUJO_CAJA!$D$40:$BK$40,1,I73)+INDEX(FC_FLUJO_CAJA!$D$84:$BK$84,1,I73)</f>
        <v>162860.735</v>
      </c>
      <c r="J79" s="401" t="n">
        <f aca="false">INDEX(FC_FLUJO_CAJA!$D$35:$BK$35,1,J73)+INDEX(FC_FLUJO_CAJA!$D$39:$BK$39,1,J73)+INDEX(FC_FLUJO_CAJA!$D$40:$BK$40,1,J73)+INDEX(FC_FLUJO_CAJA!$D$84:$BK$84,1,J73)</f>
        <v>278775.16327365</v>
      </c>
      <c r="K79" s="401" t="n">
        <f aca="false">INDEX(FC_FLUJO_CAJA!$D$35:$BK$35,1,K73)+INDEX(FC_FLUJO_CAJA!$D$39:$BK$39,1,K73)+INDEX(FC_FLUJO_CAJA!$D$40:$BK$40,1,K73)+INDEX(FC_FLUJO_CAJA!$D$84:$BK$84,1,K73)</f>
        <v>15715</v>
      </c>
      <c r="L79" s="401" t="n">
        <f aca="false">INDEX(FC_FLUJO_CAJA!$D$35:$BK$35,1,L73)+INDEX(FC_FLUJO_CAJA!$D$39:$BK$39,1,L73)+INDEX(FC_FLUJO_CAJA!$D$40:$BK$40,1,L73)+INDEX(FC_FLUJO_CAJA!$D$84:$BK$84,1,L73)</f>
        <v>176938.580655172</v>
      </c>
      <c r="M79" s="401" t="n">
        <f aca="false">INDEX(FC_FLUJO_CAJA!$D$35:$BK$35,1,M73)+INDEX(FC_FLUJO_CAJA!$D$39:$BK$39,1,M73)+INDEX(FC_FLUJO_CAJA!$D$40:$BK$40,1,M73)+INDEX(FC_FLUJO_CAJA!$D$84:$BK$84,1,M73)</f>
        <v>211807.884625</v>
      </c>
      <c r="N79" s="401" t="n">
        <f aca="false">INDEX(FC_FLUJO_CAJA!$D$35:$BK$35,1,N73)+INDEX(FC_FLUJO_CAJA!$D$39:$BK$39,1,N73)+INDEX(FC_FLUJO_CAJA!$D$40:$BK$40,1,N73)+INDEX(FC_FLUJO_CAJA!$D$84:$BK$84,1,N73)</f>
        <v>427535.984625</v>
      </c>
      <c r="O79" s="401" t="n">
        <f aca="false">INDEX(FC_FLUJO_CAJA!$D$35:$BK$35,1,O73)+INDEX(FC_FLUJO_CAJA!$D$39:$BK$39,1,O73)+INDEX(FC_FLUJO_CAJA!$D$40:$BK$40,1,O73)+INDEX(FC_FLUJO_CAJA!$D$84:$BK$84,1,O73)</f>
        <v>235619.570166575</v>
      </c>
      <c r="P79" s="401" t="n">
        <f aca="false">INDEX(FC_FLUJO_CAJA!$D$35:$BK$35,1,P73)+INDEX(FC_FLUJO_CAJA!$D$39:$BK$39,1,P73)+INDEX(FC_FLUJO_CAJA!$D$40:$BK$40,1,P73)+INDEX(FC_FLUJO_CAJA!$D$84:$BK$84,1,P73)</f>
        <v>334979.944290054</v>
      </c>
      <c r="Q79" s="401" t="n">
        <f aca="false">INDEX(FC_FLUJO_CAJA!$D$35:$BK$35,1,Q73)+INDEX(FC_FLUJO_CAJA!$D$39:$BK$39,1,Q73)+INDEX(FC_FLUJO_CAJA!$D$40:$BK$40,1,Q73)+INDEX(FC_FLUJO_CAJA!$D$84:$BK$84,1,Q73)</f>
        <v>403358.848145138</v>
      </c>
      <c r="R79" s="401" t="n">
        <f aca="false">INDEX(FC_FLUJO_CAJA!$D$35:$BK$35,1,R73)+INDEX(FC_FLUJO_CAJA!$D$39:$BK$39,1,R73)+INDEX(FC_FLUJO_CAJA!$D$40:$BK$40,1,R73)+INDEX(FC_FLUJO_CAJA!$D$84:$BK$84,1,R73)</f>
        <v>433366.204505777</v>
      </c>
      <c r="S79" s="532" t="n">
        <f aca="false">SUMPRODUCT((F76:R76=F75:R75)*(F76:R76&gt;0)*F79:R79)</f>
        <v>2450498.72860177</v>
      </c>
    </row>
    <row r="80" customFormat="false" ht="15" hidden="false" customHeight="true" outlineLevel="0" collapsed="false">
      <c r="B80" s="283" t="s">
        <v>3199</v>
      </c>
      <c r="F80" s="498" t="n">
        <f aca="false">SUMIF($F$13:$BE$13,F73,$F$64:$BE$64)</f>
        <v>171477.017821178</v>
      </c>
      <c r="G80" s="498" t="n">
        <f aca="false">SUMIF($F$13:$BE$13,G73,$F$64:$BE$64)</f>
        <v>15715</v>
      </c>
      <c r="H80" s="498" t="n">
        <f aca="false">SUMIF($F$13:$BE$13,H73,$F$64:$BE$64)</f>
        <v>15715</v>
      </c>
      <c r="I80" s="498" t="n">
        <f aca="false">SUMIF($F$13:$BE$13,I73,$F$64:$BE$64)</f>
        <v>162860.735</v>
      </c>
      <c r="J80" s="498" t="n">
        <f aca="false">SUMIF($F$13:$BE$13,J73,$F$64:$BE$64)</f>
        <v>278775.16327365</v>
      </c>
      <c r="K80" s="498" t="n">
        <f aca="false">SUMIF($F$13:$BE$13,K73,$F$64:$BE$64)</f>
        <v>15715</v>
      </c>
      <c r="L80" s="498" t="n">
        <f aca="false">SUMIF($F$13:$BE$13,L73,$F$64:$BE$64)</f>
        <v>176938.580655172</v>
      </c>
      <c r="M80" s="498" t="n">
        <f aca="false">SUMIF($F$13:$BE$13,M73,$F$64:$BE$64)</f>
        <v>211807.884625</v>
      </c>
      <c r="N80" s="498" t="n">
        <f aca="false">SUMIF($F$13:$BE$13,N73,$F$64:$BE$64)</f>
        <v>427535.984625</v>
      </c>
      <c r="O80" s="498" t="n">
        <f aca="false">SUMIF($F$13:$BE$13,O73,$F$64:$BE$64)</f>
        <v>235619.570166575</v>
      </c>
      <c r="P80" s="498" t="n">
        <f aca="false">SUMIF($F$13:$BE$13,P73,$F$64:$BE$64)</f>
        <v>334979.944290054</v>
      </c>
      <c r="Q80" s="498" t="n">
        <f aca="false">SUMIF($F$13:$BE$13,Q73,$F$64:$BE$64)</f>
        <v>403358.848145138</v>
      </c>
      <c r="R80" s="498" t="n">
        <f aca="false">SUMIF($F$13:$BE$13,R73,$F$64:$BE$64)</f>
        <v>0</v>
      </c>
      <c r="S80" s="532" t="n">
        <f aca="false">SUMPRODUCT((F76:R76=F75:R75)*(F76:R76&gt;0)*F80:R80)</f>
        <v>2450498.72860177</v>
      </c>
    </row>
    <row r="81" customFormat="false" ht="15" hidden="false" customHeight="true" outlineLevel="0" collapsed="false">
      <c r="B81" s="551" t="s">
        <v>3200</v>
      </c>
      <c r="F81" s="401" t="n">
        <f aca="false">INDEX(FC_FLUJO_CAJA!$D$92:$BK$92,1,F73)</f>
        <v>250000</v>
      </c>
      <c r="G81" s="401" t="n">
        <f aca="false">INDEX(FC_FLUJO_CAJA!$D$92:$BK$92,1,G73)</f>
        <v>0</v>
      </c>
      <c r="H81" s="401" t="n">
        <f aca="false">INDEX(FC_FLUJO_CAJA!$D$92:$BK$92,1,H73)</f>
        <v>50000</v>
      </c>
      <c r="I81" s="401" t="n">
        <f aca="false">INDEX(FC_FLUJO_CAJA!$D$92:$BK$92,1,I73)</f>
        <v>150000</v>
      </c>
      <c r="J81" s="401" t="n">
        <f aca="false">INDEX(FC_FLUJO_CAJA!$D$92:$BK$92,1,J73)</f>
        <v>250000</v>
      </c>
      <c r="K81" s="401" t="n">
        <f aca="false">INDEX(FC_FLUJO_CAJA!$D$92:$BK$92,1,K73)</f>
        <v>50000</v>
      </c>
      <c r="L81" s="401" t="n">
        <f aca="false">INDEX(FC_FLUJO_CAJA!$D$92:$BK$92,1,L73)</f>
        <v>150000</v>
      </c>
      <c r="M81" s="401" t="n">
        <f aca="false">INDEX(FC_FLUJO_CAJA!$D$92:$BK$92,1,M73)</f>
        <v>200000</v>
      </c>
      <c r="N81" s="401" t="n">
        <f aca="false">INDEX(FC_FLUJO_CAJA!$D$92:$BK$92,1,N73)</f>
        <v>450000</v>
      </c>
      <c r="O81" s="401" t="n">
        <f aca="false">INDEX(FC_FLUJO_CAJA!$D$92:$BK$92,1,O73)</f>
        <v>150000</v>
      </c>
      <c r="P81" s="401" t="n">
        <f aca="false">INDEX(FC_FLUJO_CAJA!$D$92:$BK$92,1,P73)</f>
        <v>200000</v>
      </c>
      <c r="Q81" s="401" t="n">
        <f aca="false">INDEX(FC_FLUJO_CAJA!$D$92:$BK$92,1,Q73)</f>
        <v>150000</v>
      </c>
      <c r="R81" s="401" t="n">
        <f aca="false">INDEX(FC_FLUJO_CAJA!$D$92:$BK$92,1,R73)</f>
        <v>50000</v>
      </c>
      <c r="S81" s="532" t="n">
        <f aca="false">SUMPRODUCT((F76:R76=F75:R75)*(F76:R76&gt;0)*F81:R81)</f>
        <v>2050000</v>
      </c>
    </row>
    <row r="82" customFormat="false" ht="15" hidden="false" customHeight="true" outlineLevel="0" collapsed="false">
      <c r="B82" s="283" t="s">
        <v>3201</v>
      </c>
      <c r="F82" s="498" t="n">
        <f aca="false">SUMIF($F$13:$BE$13,F73,$F$67:$BE$67)</f>
        <v>250000</v>
      </c>
      <c r="G82" s="498" t="n">
        <f aca="false">SUMIF($F$13:$BE$13,G73,$F$67:$BE$67)</f>
        <v>0</v>
      </c>
      <c r="H82" s="498" t="n">
        <f aca="false">SUMIF($F$13:$BE$13,H73,$F$67:$BE$67)</f>
        <v>50000</v>
      </c>
      <c r="I82" s="498" t="n">
        <f aca="false">SUMIF($F$13:$BE$13,I73,$F$67:$BE$67)</f>
        <v>150000</v>
      </c>
      <c r="J82" s="498" t="n">
        <f aca="false">SUMIF($F$13:$BE$13,J73,$F$67:$BE$67)</f>
        <v>250000</v>
      </c>
      <c r="K82" s="498" t="n">
        <f aca="false">SUMIF($F$13:$BE$13,K73,$F$67:$BE$67)</f>
        <v>50000</v>
      </c>
      <c r="L82" s="498" t="n">
        <f aca="false">SUMIF($F$13:$BE$13,L73,$F$67:$BE$67)</f>
        <v>150000</v>
      </c>
      <c r="M82" s="498" t="n">
        <f aca="false">SUMIF($F$13:$BE$13,M73,$F$67:$BE$67)</f>
        <v>200000</v>
      </c>
      <c r="N82" s="498" t="n">
        <f aca="false">SUMIF($F$13:$BE$13,N73,$F$67:$BE$67)</f>
        <v>450000</v>
      </c>
      <c r="O82" s="498" t="n">
        <f aca="false">SUMIF($F$13:$BE$13,O73,$F$67:$BE$67)</f>
        <v>150000</v>
      </c>
      <c r="P82" s="498" t="n">
        <f aca="false">SUMIF($F$13:$BE$13,P73,$F$67:$BE$67)</f>
        <v>200000</v>
      </c>
      <c r="Q82" s="498" t="n">
        <f aca="false">SUMIF($F$13:$BE$13,Q73,$F$67:$BE$67)</f>
        <v>150000</v>
      </c>
      <c r="R82" s="498" t="n">
        <f aca="false">SUMIF($F$13:$BE$13,R73,$F$67:$BE$67)</f>
        <v>0</v>
      </c>
      <c r="S82" s="532" t="n">
        <f aca="false">SUMPRODUCT((F76:R76=F75:R75)*(F76:R76&gt;0)*F82:R82)</f>
        <v>2050000</v>
      </c>
    </row>
    <row r="83" customFormat="false" ht="15" hidden="false" customHeight="true" outlineLevel="0" collapsed="false">
      <c r="B83" s="551" t="s">
        <v>3202</v>
      </c>
      <c r="F83" s="401" t="n">
        <f aca="false">INDEX(FC_FLUJO_CAJA!$D$94:$BK$94,1,F73)</f>
        <v>78522.982178822</v>
      </c>
      <c r="G83" s="401" t="n">
        <f aca="false">INDEX(FC_FLUJO_CAJA!$D$94:$BK$94,1,G73)</f>
        <v>62807.982178822</v>
      </c>
      <c r="H83" s="401" t="n">
        <f aca="false">INDEX(FC_FLUJO_CAJA!$D$94:$BK$94,1,H73)</f>
        <v>97092.982178822</v>
      </c>
      <c r="I83" s="401" t="n">
        <f aca="false">INDEX(FC_FLUJO_CAJA!$D$94:$BK$94,1,I73)</f>
        <v>84232.247178822</v>
      </c>
      <c r="J83" s="401" t="n">
        <f aca="false">INDEX(FC_FLUJO_CAJA!$D$94:$BK$94,1,J73)</f>
        <v>55457.0839051724</v>
      </c>
      <c r="K83" s="401" t="n">
        <f aca="false">INDEX(FC_FLUJO_CAJA!$D$94:$BK$94,1,K73)</f>
        <v>89742.0839051724</v>
      </c>
      <c r="L83" s="401" t="n">
        <f aca="false">INDEX(FC_FLUJO_CAJA!$D$94:$BK$94,1,L73)</f>
        <v>62803.50325</v>
      </c>
      <c r="M83" s="401" t="n">
        <f aca="false">INDEX(FC_FLUJO_CAJA!$D$94:$BK$94,1,M73)</f>
        <v>50995.618625</v>
      </c>
      <c r="N83" s="401" t="n">
        <f aca="false">INDEX(FC_FLUJO_CAJA!$D$94:$BK$94,1,N73)</f>
        <v>73459.6340000001</v>
      </c>
      <c r="O83" s="401" t="n">
        <f aca="false">INDEX(FC_FLUJO_CAJA!$D$94:$BK$94,1,O73)</f>
        <v>58767.4846681107</v>
      </c>
      <c r="P83" s="401" t="n">
        <f aca="false">INDEX(FC_FLUJO_CAJA!$D$94:$BK$94,1,P73)</f>
        <v>85907.3594287671</v>
      </c>
      <c r="Q83" s="401" t="n">
        <f aca="false">INDEX(FC_FLUJO_CAJA!$D$94:$BK$94,1,Q73)</f>
        <v>102145.085374654</v>
      </c>
      <c r="R83" s="401" t="n">
        <f aca="false">INDEX(FC_FLUJO_CAJA!$D$94:$BK$94,1,R73)</f>
        <v>107576.946913704</v>
      </c>
    </row>
    <row r="84" customFormat="false" ht="15" hidden="false" customHeight="true" outlineLevel="0" collapsed="false">
      <c r="B84" s="283" t="s">
        <v>3203</v>
      </c>
      <c r="F84" s="498" t="n">
        <f aca="false">IF(F76=0,"",INDEX($F$69:$BE$69,1,MATCH(F73,$F$13:$BE$13,1)))</f>
        <v>78522.9821788221</v>
      </c>
      <c r="G84" s="498" t="n">
        <f aca="false">IF(G76=0,"",INDEX($F$69:$BE$69,1,MATCH(G73,$F$13:$BE$13,1)))</f>
        <v>62807.9821788221</v>
      </c>
      <c r="H84" s="498" t="n">
        <f aca="false">IF(H76=0,"",INDEX($F$69:$BE$69,1,MATCH(H73,$F$13:$BE$13,1)))</f>
        <v>97092.9821788221</v>
      </c>
      <c r="I84" s="498" t="n">
        <f aca="false">IF(I76=0,"",INDEX($F$69:$BE$69,1,MATCH(I73,$F$13:$BE$13,1)))</f>
        <v>84232.247178822</v>
      </c>
      <c r="J84" s="498" t="n">
        <f aca="false">IF(J76=0,"",INDEX($F$69:$BE$69,1,MATCH(J73,$F$13:$BE$13,1)))</f>
        <v>55457.0839051724</v>
      </c>
      <c r="K84" s="498" t="n">
        <f aca="false">IF(K76=0,"",INDEX($F$69:$BE$69,1,MATCH(K73,$F$13:$BE$13,1)))</f>
        <v>89742.0839051724</v>
      </c>
      <c r="L84" s="498" t="n">
        <f aca="false">IF(L76=0,"",INDEX($F$69:$BE$69,1,MATCH(L73,$F$13:$BE$13,1)))</f>
        <v>62803.5032500001</v>
      </c>
      <c r="M84" s="498" t="n">
        <f aca="false">IF(M76=0,"",INDEX($F$69:$BE$69,1,MATCH(M73,$F$13:$BE$13,1)))</f>
        <v>50995.6186250001</v>
      </c>
      <c r="N84" s="498" t="n">
        <f aca="false">IF(N76=0,"",INDEX($F$69:$BE$69,1,MATCH(N73,$F$13:$BE$13,1)))</f>
        <v>73459.6340000001</v>
      </c>
      <c r="O84" s="498" t="n">
        <f aca="false">IF(O76=0,"",INDEX($F$69:$BE$69,1,MATCH(O73,$F$13:$BE$13,1)))</f>
        <v>58767.4846681107</v>
      </c>
      <c r="P84" s="498" t="n">
        <f aca="false">IF(P76=0,"",INDEX($F$69:$BE$69,1,MATCH(P73,$F$13:$BE$13,1)))</f>
        <v>85907.3594287671</v>
      </c>
      <c r="Q84" s="498" t="n">
        <f aca="false">IF(Q76=0,"",INDEX($F$69:$BE$69,1,MATCH(Q73,$F$13:$BE$13,1)))</f>
        <v>102145.085374654</v>
      </c>
      <c r="R84" s="498" t="str">
        <f aca="false">IF(R76=0,"",INDEX($F$69:$BE$69,1,MATCH(R73,$F$13:$BE$13,1)))</f>
        <v/>
      </c>
    </row>
    <row r="85" customFormat="false" ht="15" hidden="false" customHeight="true" outlineLevel="0" collapsed="false">
      <c r="B85" s="552" t="s">
        <v>3204</v>
      </c>
      <c r="F85" s="289" t="str">
        <f aca="false">IF(F76=0,"fuera de la ventana",IF(F76&lt;F75,"mes parcial",IF(AND(ABS(F77-F78)&lt;1,ABS(F79-F80)&lt;1,ABS(F81-F82)&lt;1,ABS(F83-F84)&lt;1),"✓","✗")))</f>
        <v>✓</v>
      </c>
      <c r="G85" s="289" t="str">
        <f aca="false">IF(G76=0,"fuera de la ventana",IF(G76&lt;G75,"mes parcial",IF(AND(ABS(G77-G78)&lt;1,ABS(G79-G80)&lt;1,ABS(G81-G82)&lt;1,ABS(G83-G84)&lt;1),"✓","✗")))</f>
        <v>✓</v>
      </c>
      <c r="H85" s="289" t="str">
        <f aca="false">IF(H76=0,"fuera de la ventana",IF(H76&lt;H75,"mes parcial",IF(AND(ABS(H77-H78)&lt;1,ABS(H79-H80)&lt;1,ABS(H81-H82)&lt;1,ABS(H83-H84)&lt;1),"✓","✗")))</f>
        <v>✓</v>
      </c>
      <c r="I85" s="289" t="str">
        <f aca="false">IF(I76=0,"fuera de la ventana",IF(I76&lt;I75,"mes parcial",IF(AND(ABS(I77-I78)&lt;1,ABS(I79-I80)&lt;1,ABS(I81-I82)&lt;1,ABS(I83-I84)&lt;1),"✓","✗")))</f>
        <v>✓</v>
      </c>
      <c r="J85" s="289" t="str">
        <f aca="false">IF(J76=0,"fuera de la ventana",IF(J76&lt;J75,"mes parcial",IF(AND(ABS(J77-J78)&lt;1,ABS(J79-J80)&lt;1,ABS(J81-J82)&lt;1,ABS(J83-J84)&lt;1),"✓","✗")))</f>
        <v>✓</v>
      </c>
      <c r="K85" s="289" t="str">
        <f aca="false">IF(K76=0,"fuera de la ventana",IF(K76&lt;K75,"mes parcial",IF(AND(ABS(K77-K78)&lt;1,ABS(K79-K80)&lt;1,ABS(K81-K82)&lt;1,ABS(K83-K84)&lt;1),"✓","✗")))</f>
        <v>✓</v>
      </c>
      <c r="L85" s="289" t="str">
        <f aca="false">IF(L76=0,"fuera de la ventana",IF(L76&lt;L75,"mes parcial",IF(AND(ABS(L77-L78)&lt;1,ABS(L79-L80)&lt;1,ABS(L81-L82)&lt;1,ABS(L83-L84)&lt;1),"✓","✗")))</f>
        <v>✓</v>
      </c>
      <c r="M85" s="289" t="str">
        <f aca="false">IF(M76=0,"fuera de la ventana",IF(M76&lt;M75,"mes parcial",IF(AND(ABS(M77-M78)&lt;1,ABS(M79-M80)&lt;1,ABS(M81-M82)&lt;1,ABS(M83-M84)&lt;1),"✓","✗")))</f>
        <v>✓</v>
      </c>
      <c r="N85" s="289" t="str">
        <f aca="false">IF(N76=0,"fuera de la ventana",IF(N76&lt;N75,"mes parcial",IF(AND(ABS(N77-N78)&lt;1,ABS(N79-N80)&lt;1,ABS(N81-N82)&lt;1,ABS(N83-N84)&lt;1),"✓","✗")))</f>
        <v>✓</v>
      </c>
      <c r="O85" s="289" t="str">
        <f aca="false">IF(O76=0,"fuera de la ventana",IF(O76&lt;O75,"mes parcial",IF(AND(ABS(O77-O78)&lt;1,ABS(O79-O80)&lt;1,ABS(O81-O82)&lt;1,ABS(O83-O84)&lt;1),"✓","✗")))</f>
        <v>✓</v>
      </c>
      <c r="P85" s="289" t="str">
        <f aca="false">IF(P76=0,"fuera de la ventana",IF(P76&lt;P75,"mes parcial",IF(AND(ABS(P77-P78)&lt;1,ABS(P79-P80)&lt;1,ABS(P81-P82)&lt;1,ABS(P83-P84)&lt;1),"✓","✗")))</f>
        <v>✓</v>
      </c>
      <c r="Q85" s="289" t="str">
        <f aca="false">IF(Q76=0,"fuera de la ventana",IF(Q76&lt;Q75,"mes parcial",IF(AND(ABS(Q77-Q78)&lt;1,ABS(Q79-Q80)&lt;1,ABS(Q81-Q82)&lt;1,ABS(Q83-Q84)&lt;1),"✓","✗")))</f>
        <v>✓</v>
      </c>
      <c r="R85" s="289" t="str">
        <f aca="false">IF(R76=0,"fuera de la ventana",IF(R76&lt;R75,"mes parcial",IF(AND(ABS(R77-R78)&lt;1,ABS(R79-R80)&lt;1,ABS(R81-R82)&lt;1,ABS(R83-R84)&lt;1),"✓","✗")))</f>
        <v>fuera de la ventana</v>
      </c>
      <c r="S85" s="289" t="str">
        <f aca="false">IF(COUNTIF(F85:R85,"✗")=0,"✓ cuadra","✗ revisar")</f>
        <v>✓ cuadra</v>
      </c>
    </row>
    <row r="87" customFormat="false" ht="15" hidden="false" customHeight="true" outlineLevel="0" collapsed="false">
      <c r="A87" s="183" t="s">
        <v>3205</v>
      </c>
    </row>
    <row r="88" customFormat="false" ht="15" hidden="false" customHeight="true" outlineLevel="0" collapsed="false">
      <c r="B88" s="184" t="s">
        <v>3206</v>
      </c>
    </row>
    <row r="89" customFormat="false" ht="15" hidden="false" customHeight="true" outlineLevel="0" collapsed="false">
      <c r="B89" s="184" t="s">
        <v>3207</v>
      </c>
    </row>
    <row r="90" customFormat="false" ht="15" hidden="false" customHeight="true" outlineLevel="0" collapsed="false">
      <c r="B90" s="184" t="s">
        <v>3208</v>
      </c>
    </row>
    <row r="91" customFormat="false" ht="15" hidden="false" customHeight="true" outlineLevel="0" collapsed="false">
      <c r="B91" s="184" t="s">
        <v>3209</v>
      </c>
    </row>
    <row r="92" customFormat="false" ht="15" hidden="false" customHeight="true" outlineLevel="0" collapsed="false">
      <c r="B92" s="184" t="s">
        <v>3210</v>
      </c>
    </row>
  </sheetData>
  <mergeCells count="10">
    <mergeCell ref="F3:K3"/>
    <mergeCell ref="L3:M3"/>
    <mergeCell ref="F4:K4"/>
    <mergeCell ref="L4:M4"/>
    <mergeCell ref="F5:K5"/>
    <mergeCell ref="L5:M5"/>
    <mergeCell ref="F6:K6"/>
    <mergeCell ref="L6:M6"/>
    <mergeCell ref="F7:K7"/>
    <mergeCell ref="L7:M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H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62"/>
    <col collapsed="false" customWidth="true" hidden="false" outlineLevel="0" max="3" min="3" style="1" width="40"/>
    <col collapsed="false" customWidth="true" hidden="false" outlineLevel="0" max="6" min="4" style="1" width="17"/>
    <col collapsed="false" customWidth="true" hidden="false" outlineLevel="0" max="7" min="7" style="1" width="10"/>
    <col collapsed="false" customWidth="true" hidden="false" outlineLevel="0" max="8" min="8" style="1" width="88"/>
  </cols>
  <sheetData>
    <row r="1" customFormat="false" ht="15.75" hidden="false" customHeight="true" outlineLevel="0" collapsed="false">
      <c r="A1" s="185" t="s">
        <v>3211</v>
      </c>
      <c r="B1" s="126"/>
      <c r="C1" s="126"/>
      <c r="D1" s="126"/>
      <c r="E1" s="126"/>
      <c r="F1" s="126"/>
      <c r="G1" s="126"/>
      <c r="H1" s="126"/>
    </row>
    <row r="2" customFormat="false" ht="15" hidden="false" customHeight="true" outlineLevel="0" collapsed="false">
      <c r="A2" s="350" t="s">
        <v>3212</v>
      </c>
    </row>
    <row r="3" customFormat="false" ht="15" hidden="false" customHeight="true" outlineLevel="0" collapsed="false">
      <c r="A3" s="94" t="s">
        <v>1958</v>
      </c>
    </row>
    <row r="6" customFormat="false" ht="15" hidden="false" customHeight="true" outlineLevel="0" collapsed="false">
      <c r="A6" s="351" t="s">
        <v>3213</v>
      </c>
      <c r="B6" s="25"/>
      <c r="C6" s="25"/>
      <c r="D6" s="25"/>
      <c r="E6" s="25"/>
      <c r="F6" s="25"/>
      <c r="G6" s="25"/>
      <c r="H6" s="25"/>
    </row>
    <row r="7" customFormat="false" ht="15" hidden="false" customHeight="true" outlineLevel="0" collapsed="false">
      <c r="B7" s="553" t="s">
        <v>3214</v>
      </c>
      <c r="C7" s="553" t="s">
        <v>3215</v>
      </c>
      <c r="D7" s="507" t="s">
        <v>3216</v>
      </c>
      <c r="E7" s="507" t="s">
        <v>3217</v>
      </c>
      <c r="F7" s="507" t="s">
        <v>3218</v>
      </c>
      <c r="G7" s="507" t="s">
        <v>307</v>
      </c>
    </row>
    <row r="8" customFormat="false" ht="21.75" hidden="false" customHeight="true" outlineLevel="0" collapsed="false">
      <c r="B8" s="297" t="s">
        <v>3219</v>
      </c>
      <c r="C8" s="430" t="s">
        <v>3220</v>
      </c>
      <c r="D8" s="384" t="n">
        <f aca="false">FC_SUPUESTOS!$C$87</f>
        <v>327622.61</v>
      </c>
      <c r="E8" s="380" t="n">
        <f aca="false">SUM(FC_FLUJO_CAJA!$D$44:$BK$44)+SUM(FC_FLUJO_CAJA!$D$45:$BK$45)+SUM(FC_FLUJO_CAJA!$D$46:$BK$46)+SUM(FC_FLUJO_CAJA!$D$47:$BK$47)</f>
        <v>327622.61</v>
      </c>
      <c r="F8" s="383" t="n">
        <f aca="false">ROUND(E8-D8,2)</f>
        <v>0</v>
      </c>
      <c r="G8" s="355" t="str">
        <f aca="false">IF(ABS(F8)&lt;=0.5,"✓","✗")</f>
        <v>✓</v>
      </c>
      <c r="H8" s="353" t="s">
        <v>3221</v>
      </c>
    </row>
    <row r="9" customFormat="false" ht="15" hidden="false" customHeight="true" outlineLevel="0" collapsed="false">
      <c r="B9" s="297" t="s">
        <v>3222</v>
      </c>
      <c r="C9" s="430" t="s">
        <v>3223</v>
      </c>
      <c r="D9" s="384" t="n">
        <f aca="false">FC_SUPUESTOS!$C$91</f>
        <v>45000</v>
      </c>
      <c r="E9" s="380" t="n">
        <f aca="false">SUM(FC_FLUJO_CAJA!$D$48:$BK$48)</f>
        <v>45000</v>
      </c>
      <c r="F9" s="383" t="n">
        <f aca="false">ROUND(E9-D9,2)</f>
        <v>0</v>
      </c>
      <c r="G9" s="355" t="str">
        <f aca="false">IF(ABS(F9)&lt;=0.5,"✓","✗")</f>
        <v>✓</v>
      </c>
    </row>
    <row r="10" customFormat="false" ht="15" hidden="false" customHeight="true" outlineLevel="0" collapsed="false">
      <c r="B10" s="297" t="s">
        <v>2086</v>
      </c>
      <c r="C10" s="430" t="s">
        <v>3224</v>
      </c>
      <c r="D10" s="384" t="n">
        <f aca="false">FC_SUPUESTOS!$C$92</f>
        <v>40640.58</v>
      </c>
      <c r="E10" s="380" t="n">
        <f aca="false">SUM(FC_FLUJO_CAJA!$D$49:$BK$49)</f>
        <v>40640.58</v>
      </c>
      <c r="F10" s="383" t="n">
        <f aca="false">ROUND(E10-D10,2)</f>
        <v>0</v>
      </c>
      <c r="G10" s="355" t="str">
        <f aca="false">IF(ABS(F10)&lt;=0.5,"✓","✗")</f>
        <v>✓</v>
      </c>
    </row>
    <row r="11" customFormat="false" ht="15" hidden="false" customHeight="true" outlineLevel="0" collapsed="false">
      <c r="B11" s="297" t="s">
        <v>3225</v>
      </c>
      <c r="C11" s="430" t="s">
        <v>3226</v>
      </c>
      <c r="D11" s="384" t="n">
        <f aca="false">FC_SUPUESTOS!$C$93</f>
        <v>24000</v>
      </c>
      <c r="E11" s="380" t="n">
        <f aca="false">SUM(FC_FLUJO_CAJA!$D$50:$BK$50)</f>
        <v>24000</v>
      </c>
      <c r="F11" s="383" t="n">
        <f aca="false">ROUND(E11-D11,2)</f>
        <v>0</v>
      </c>
      <c r="G11" s="355" t="str">
        <f aca="false">IF(ABS(F11)&lt;=0.5,"✓","✗")</f>
        <v>✓</v>
      </c>
    </row>
    <row r="12" customFormat="false" ht="15" hidden="false" customHeight="true" outlineLevel="0" collapsed="false">
      <c r="B12" s="297" t="s">
        <v>3227</v>
      </c>
      <c r="C12" s="430" t="s">
        <v>3228</v>
      </c>
      <c r="D12" s="384" t="n">
        <f aca="false">FC_SUPUESTOS!$C$94</f>
        <v>35000</v>
      </c>
      <c r="E12" s="380" t="n">
        <f aca="false">SUM(FC_FLUJO_CAJA!$D$51:$BK$51)</f>
        <v>35000</v>
      </c>
      <c r="F12" s="383" t="n">
        <f aca="false">ROUND(E12-D12,2)</f>
        <v>0</v>
      </c>
      <c r="G12" s="355" t="str">
        <f aca="false">IF(ABS(F12)&lt;=0.5,"✓","✗")</f>
        <v>✓</v>
      </c>
    </row>
    <row r="13" customFormat="false" ht="15" hidden="false" customHeight="true" outlineLevel="0" collapsed="false">
      <c r="B13" s="297" t="s">
        <v>3229</v>
      </c>
      <c r="C13" s="430" t="s">
        <v>3230</v>
      </c>
      <c r="D13" s="384" t="n">
        <f aca="false">FC_SUPUESTOS!$C$95</f>
        <v>141141</v>
      </c>
      <c r="E13" s="380" t="n">
        <f aca="false">SUM(FC_FLUJO_CAJA!$D$52:$BK$52)</f>
        <v>141141</v>
      </c>
      <c r="F13" s="383" t="n">
        <f aca="false">ROUND(E13-D13,2)</f>
        <v>0</v>
      </c>
      <c r="G13" s="355" t="str">
        <f aca="false">IF(ABS(F13)&lt;=0.5,"✓","✗")</f>
        <v>✓</v>
      </c>
    </row>
    <row r="14" customFormat="false" ht="15" hidden="false" customHeight="true" outlineLevel="0" collapsed="false">
      <c r="B14" s="297" t="s">
        <v>3142</v>
      </c>
      <c r="C14" s="430" t="s">
        <v>3231</v>
      </c>
      <c r="D14" s="384" t="n">
        <f aca="false">FC_SUPUESTOS!$C$97</f>
        <v>61340.419</v>
      </c>
      <c r="E14" s="380" t="n">
        <f aca="false">SUM(FC_FLUJO_CAJA!$D$53:$BK$53)</f>
        <v>61340.419</v>
      </c>
      <c r="F14" s="383" t="n">
        <f aca="false">ROUND(E14-D14,2)</f>
        <v>0</v>
      </c>
      <c r="G14" s="355" t="str">
        <f aca="false">IF(ABS(F14)&lt;=0.5,"✓","✗")</f>
        <v>✓</v>
      </c>
    </row>
    <row r="15" customFormat="false" ht="15" hidden="false" customHeight="true" outlineLevel="0" collapsed="false">
      <c r="B15" s="297" t="s">
        <v>3232</v>
      </c>
      <c r="C15" s="430" t="s">
        <v>3233</v>
      </c>
      <c r="D15" s="384" t="n">
        <f aca="false">SUP_CAPEX_PLANTA!$H$38</f>
        <v>674744.609</v>
      </c>
      <c r="E15" s="380" t="n">
        <f aca="false">SUM(FC_FLUJO_CAJA!$D$54:$BK$54)</f>
        <v>674744.609</v>
      </c>
      <c r="F15" s="383" t="n">
        <f aca="false">ROUND(E15-D15,2)</f>
        <v>0</v>
      </c>
      <c r="G15" s="355" t="str">
        <f aca="false">IF(ABS(F15)&lt;=0.5,"✓","✗")</f>
        <v>✓</v>
      </c>
    </row>
    <row r="16" customFormat="false" ht="15" hidden="false" customHeight="true" outlineLevel="0" collapsed="false">
      <c r="B16" s="297" t="s">
        <v>3234</v>
      </c>
      <c r="C16" s="430" t="s">
        <v>3235</v>
      </c>
      <c r="D16" s="384" t="n">
        <f aca="false">FC_SUPUESTOS!$C$9*FC_SUPUESTOS!$D$87+FC_SUPUESTOS!$C$10*FC_SUPUESTOS!$E$87</f>
        <v>300246.9325</v>
      </c>
      <c r="E16" s="380" t="n">
        <f aca="false">SUM(FC_FLUJO_CAJA!$D$57:$BK$57)+SUM(FC_FLUJO_CAJA!$D$58:$BK$58)+SUM(FC_FLUJO_CAJA!$D$59:$BK$59)+SUM(FC_FLUJO_CAJA!$D$60:$BK$60)</f>
        <v>300246.9325</v>
      </c>
      <c r="F16" s="383" t="n">
        <f aca="false">ROUND(E16-D16,2)</f>
        <v>0</v>
      </c>
      <c r="G16" s="355" t="str">
        <f aca="false">IF(ABS(F16)&lt;=0.5,"✓","✗")</f>
        <v>✓</v>
      </c>
    </row>
    <row r="17" customFormat="false" ht="15" hidden="false" customHeight="true" outlineLevel="0" collapsed="false">
      <c r="B17" s="297" t="s">
        <v>3236</v>
      </c>
      <c r="C17" s="430" t="s">
        <v>3235</v>
      </c>
      <c r="D17" s="384" t="n">
        <f aca="false">FC_SUPUESTOS!$C$9*FC_SUPUESTOS!$D$91+FC_SUPUESTOS!$C$10*FC_SUPUESTOS!$E$91</f>
        <v>273600</v>
      </c>
      <c r="E17" s="380" t="n">
        <f aca="false">SUM(FC_FLUJO_CAJA!$D$61:$BK$61)</f>
        <v>273600</v>
      </c>
      <c r="F17" s="383" t="n">
        <f aca="false">ROUND(E17-D17,2)</f>
        <v>0</v>
      </c>
      <c r="G17" s="355" t="str">
        <f aca="false">IF(ABS(F17)&lt;=0.5,"✓","✗")</f>
        <v>✓</v>
      </c>
    </row>
    <row r="18" customFormat="false" ht="15" hidden="false" customHeight="true" outlineLevel="0" collapsed="false">
      <c r="B18" s="297" t="s">
        <v>3237</v>
      </c>
      <c r="C18" s="430" t="s">
        <v>3238</v>
      </c>
      <c r="D18" s="384" t="n">
        <f aca="false">FC_SUPUESTOS!$C$9*FC_SUPUESTOS!$D$93+FC_SUPUESTOS!$C$10*FC_SUPUESTOS!$E$93</f>
        <v>364000</v>
      </c>
      <c r="E18" s="380" t="n">
        <f aca="false">SUM(FC_FLUJO_CAJA!$D$62:$BK$62)</f>
        <v>364000</v>
      </c>
      <c r="F18" s="383" t="n">
        <f aca="false">ROUND(E18-D18,2)</f>
        <v>0</v>
      </c>
      <c r="G18" s="355" t="str">
        <f aca="false">IF(ABS(F18)&lt;=0.5,"✓","✗")</f>
        <v>✓</v>
      </c>
    </row>
    <row r="19" customFormat="false" ht="15" hidden="false" customHeight="true" outlineLevel="0" collapsed="false">
      <c r="B19" s="297" t="s">
        <v>3239</v>
      </c>
      <c r="C19" s="430" t="s">
        <v>3240</v>
      </c>
      <c r="D19" s="384" t="n">
        <f aca="false">FC_SUPUESTOS!$C$9*FC_SUPUESTOS!$D$94+FC_SUPUESTOS!$C$10*FC_SUPUESTOS!$E$94</f>
        <v>30000</v>
      </c>
      <c r="E19" s="380" t="n">
        <f aca="false">SUM(FC_FLUJO_CAJA!$D$63:$BK$63)</f>
        <v>30000</v>
      </c>
      <c r="F19" s="383" t="n">
        <f aca="false">ROUND(E19-D19,2)</f>
        <v>0</v>
      </c>
      <c r="G19" s="355" t="str">
        <f aca="false">IF(ABS(F19)&lt;=0.5,"✓","✗")</f>
        <v>✓</v>
      </c>
    </row>
    <row r="20" customFormat="false" ht="15" hidden="false" customHeight="true" outlineLevel="0" collapsed="false">
      <c r="B20" s="297" t="s">
        <v>3241</v>
      </c>
      <c r="C20" s="430" t="s">
        <v>3242</v>
      </c>
      <c r="D20" s="384" t="n">
        <f aca="false">FC_SUPUESTOS!$C$9*FC_SUPUESTOS!$D$97+FC_SUPUESTOS!$C$10*FC_SUPUESTOS!$E$97</f>
        <v>96784.69325</v>
      </c>
      <c r="E20" s="380" t="n">
        <f aca="false">SUM(FC_FLUJO_CAJA!$D$64:$BK$64)</f>
        <v>96784.69325</v>
      </c>
      <c r="F20" s="383" t="n">
        <f aca="false">ROUND(E20-D20,2)</f>
        <v>0</v>
      </c>
      <c r="G20" s="355" t="str">
        <f aca="false">IF(ABS(F20)&lt;=0.5,"✓","✗")</f>
        <v>✓</v>
      </c>
    </row>
    <row r="21" customFormat="false" ht="15" hidden="false" customHeight="true" outlineLevel="0" collapsed="false">
      <c r="B21" s="297" t="s">
        <v>3243</v>
      </c>
      <c r="C21" s="430" t="s">
        <v>3244</v>
      </c>
      <c r="D21" s="384" t="n">
        <f aca="false">FC_SUPUESTOS!$C$9*SUP_CAPEX_VENTANA!$H$42+FC_SUPUESTOS!$C$10*SUP_CAPEX_DINEIN!$H$43</f>
        <v>1064631.62575</v>
      </c>
      <c r="E21" s="380" t="n">
        <f aca="false">SUM(FC_FLUJO_CAJA!$D$57:$BK$57)+SUM(FC_FLUJO_CAJA!$D$58:$BK$58)+SUM(FC_FLUJO_CAJA!$D$59:$BK$59)+SUM(FC_FLUJO_CAJA!$D$60:$BK$60)+SUM(FC_FLUJO_CAJA!$D$61:$BK$61)+SUM(FC_FLUJO_CAJA!$D$62:$BK$62)+SUM(FC_FLUJO_CAJA!$D$63:$BK$63)+SUM(FC_FLUJO_CAJA!$D$64:$BK$64)</f>
        <v>1064631.62575</v>
      </c>
      <c r="F21" s="383" t="n">
        <f aca="false">ROUND(E21-D21,2)</f>
        <v>0</v>
      </c>
      <c r="G21" s="355" t="str">
        <f aca="false">IF(ABS(F21)&lt;=0.5,"✓","✗")</f>
        <v>✓</v>
      </c>
    </row>
    <row r="22" customFormat="false" ht="15" hidden="false" customHeight="true" outlineLevel="0" collapsed="false">
      <c r="B22" s="297" t="s">
        <v>3172</v>
      </c>
      <c r="C22" s="430" t="s">
        <v>3245</v>
      </c>
      <c r="D22" s="384" t="n">
        <f aca="false">(FC_SUPUESTOS!$C$9*SUP_OPEX!$D$20+FC_SUPUESTOS!$C$10*SUP_OPEX!$E$20)*FC_SUPUESTOS!$C$65</f>
        <v>70800</v>
      </c>
      <c r="E22" s="380" t="n">
        <f aca="false">SUM(FC_FLUJO_CAJA!$D$65:$BK$65)</f>
        <v>70800</v>
      </c>
      <c r="F22" s="383" t="n">
        <f aca="false">ROUND(E22-D22,2)</f>
        <v>0</v>
      </c>
      <c r="G22" s="355" t="str">
        <f aca="false">IF(ABS(F22)&lt;=0.5,"✓","✗")</f>
        <v>✓</v>
      </c>
    </row>
    <row r="23" customFormat="false" ht="15" hidden="false" customHeight="true" outlineLevel="0" collapsed="false">
      <c r="B23" s="297" t="s">
        <v>3246</v>
      </c>
      <c r="C23" s="430" t="s">
        <v>3247</v>
      </c>
      <c r="D23" s="384" t="n">
        <f aca="false">(FC_SUPUESTOS!$C$9*SUP_OPEX!$D$20+FC_SUPUESTOS!$C$10*SUP_OPEX!$E$20)*FC_SUPUESTOS!$C$66</f>
        <v>47200</v>
      </c>
      <c r="E23" s="380" t="n">
        <f aca="false">SUM(FC_FLUJO_CAJA!$D$66:$BK$66)</f>
        <v>47200</v>
      </c>
      <c r="F23" s="383" t="n">
        <f aca="false">ROUND(E23-D23,2)</f>
        <v>0</v>
      </c>
      <c r="G23" s="355" t="str">
        <f aca="false">IF(ABS(F23)&lt;=0.5,"✓","✗")</f>
        <v>✓</v>
      </c>
    </row>
    <row r="24" customFormat="false" ht="15" hidden="false" customHeight="true" outlineLevel="0" collapsed="false">
      <c r="B24" s="297" t="s">
        <v>2229</v>
      </c>
      <c r="C24" s="430" t="s">
        <v>3248</v>
      </c>
      <c r="D24" s="384" t="n">
        <f aca="false">SUP_TECNOLOGIA!$C$18</f>
        <v>45000</v>
      </c>
      <c r="E24" s="380" t="n">
        <f aca="false">SUM(FC_FLUJO_CAJA!$D$67:$BK$67)</f>
        <v>45000</v>
      </c>
      <c r="F24" s="383" t="n">
        <f aca="false">ROUND(E24-D24,2)</f>
        <v>0</v>
      </c>
      <c r="G24" s="355" t="str">
        <f aca="false">IF(ABS(F24)&lt;=0.5,"✓","✗")</f>
        <v>✓</v>
      </c>
    </row>
    <row r="25" customFormat="false" ht="15" hidden="false" customHeight="true" outlineLevel="0" collapsed="false">
      <c r="B25" s="297" t="s">
        <v>3249</v>
      </c>
      <c r="C25" s="430" t="s">
        <v>3250</v>
      </c>
      <c r="D25" s="384" t="n">
        <f aca="false">FC_SUPUESTOS!$C$12*SUP_CAPEX_FLAGSHIP!$H$55</f>
        <v>0</v>
      </c>
      <c r="E25" s="380" t="n">
        <f aca="false">SUM(FC_FLUJO_CAJA!$D$71:$BK$71)+SUM(FC_FLUJO_CAJA!$D$72:$BK$72)+SUM(FC_FLUJO_CAJA!$D$73:$BK$73)+SUM(FC_FLUJO_CAJA!$D$74:$BK$74)+SUM(FC_FLUJO_CAJA!$D$75:$BK$75)+SUM(FC_FLUJO_CAJA!$D$76:$BK$76)+SUM(FC_FLUJO_CAJA!$D$77:$BK$77)+SUM(FC_FLUJO_CAJA!$D$78:$BK$78)</f>
        <v>0</v>
      </c>
      <c r="F25" s="383" t="n">
        <f aca="false">ROUND(E25-D25,2)</f>
        <v>0</v>
      </c>
      <c r="G25" s="355" t="str">
        <f aca="false">IF(ABS(F25)&lt;=0.5,"✓","✗")</f>
        <v>✓</v>
      </c>
    </row>
    <row r="26" customFormat="false" ht="15" hidden="false" customHeight="true" outlineLevel="0" collapsed="false">
      <c r="B26" s="297" t="s">
        <v>3251</v>
      </c>
      <c r="C26" s="430" t="s">
        <v>3252</v>
      </c>
      <c r="D26" s="384" t="n">
        <f aca="false">FC_SUPUESTOS!$C$12*SUP_OPEX!$F$20*(FC_SUPUESTOS!$C$65+FC_SUPUESTOS!$C$66)</f>
        <v>0</v>
      </c>
      <c r="E26" s="380" t="n">
        <f aca="false">SUM(FC_FLUJO_CAJA!$D$79:$BK$79)</f>
        <v>0</v>
      </c>
      <c r="F26" s="383" t="n">
        <f aca="false">ROUND(E26-D26,2)</f>
        <v>0</v>
      </c>
      <c r="G26" s="355" t="str">
        <f aca="false">IF(ABS(F26)&lt;=0.5,"✓","✗")</f>
        <v>✓</v>
      </c>
    </row>
    <row r="27" customFormat="false" ht="15" hidden="false" customHeight="true" outlineLevel="0" collapsed="false">
      <c r="B27" s="297" t="s">
        <v>3253</v>
      </c>
      <c r="C27" s="430" t="s">
        <v>3254</v>
      </c>
      <c r="D27" s="384" t="n">
        <f aca="false">FC_SUPUESTOS!$C$12*SUP_CONTROL!$C$19*SUP_OPEX!$F$23</f>
        <v>0</v>
      </c>
      <c r="E27" s="380" t="n">
        <f aca="false">SUM(FC_FLUJO_CAJA!$D$80:$BK$80)</f>
        <v>0</v>
      </c>
      <c r="F27" s="383" t="n">
        <f aca="false">ROUND(E27-D27,2)</f>
        <v>0</v>
      </c>
      <c r="G27" s="355" t="str">
        <f aca="false">IF(ABS(F27)&lt;=0.5,"✓","✗")</f>
        <v>✓</v>
      </c>
    </row>
    <row r="28" customFormat="false" ht="15" hidden="false" customHeight="true" outlineLevel="0" collapsed="false">
      <c r="B28" s="297" t="s">
        <v>3255</v>
      </c>
      <c r="C28" s="430" t="s">
        <v>3256</v>
      </c>
      <c r="D28" s="384" t="n">
        <f aca="false">SUM(FC_FLUJO_CAJA!$D$54:$BK$54)+SUM(FC_FLUJO_CAJA!$D$68:$BK$68)+SUM(FC_FLUJO_CAJA!$D$81:$BK$81)</f>
        <v>1902376.23475</v>
      </c>
      <c r="E28" s="380" t="n">
        <f aca="false">SUM(FC_FLUJO_CAJA!$D$84:$BK$84)</f>
        <v>1902376.23475</v>
      </c>
      <c r="F28" s="383" t="n">
        <f aca="false">ROUND(E28-D28,2)</f>
        <v>0</v>
      </c>
      <c r="G28" s="355" t="str">
        <f aca="false">IF(ABS(F28)&lt;=0.5,"✓","✗")</f>
        <v>✓</v>
      </c>
    </row>
    <row r="30" customFormat="false" ht="15" hidden="false" customHeight="true" outlineLevel="0" collapsed="false">
      <c r="A30" s="351" t="s">
        <v>3257</v>
      </c>
      <c r="B30" s="25"/>
      <c r="C30" s="25"/>
      <c r="D30" s="25"/>
      <c r="E30" s="25"/>
      <c r="F30" s="25"/>
      <c r="G30" s="25"/>
      <c r="H30" s="25"/>
    </row>
    <row r="31" customFormat="false" ht="15" hidden="false" customHeight="true" outlineLevel="0" collapsed="false">
      <c r="B31" s="553" t="s">
        <v>3214</v>
      </c>
      <c r="C31" s="553" t="s">
        <v>3215</v>
      </c>
      <c r="D31" s="507" t="s">
        <v>3216</v>
      </c>
      <c r="E31" s="507" t="s">
        <v>3217</v>
      </c>
      <c r="F31" s="507" t="s">
        <v>3218</v>
      </c>
      <c r="G31" s="507" t="s">
        <v>307</v>
      </c>
    </row>
    <row r="32" customFormat="false" ht="15" hidden="false" customHeight="true" outlineLevel="0" collapsed="false">
      <c r="B32" s="297" t="s">
        <v>3258</v>
      </c>
      <c r="C32" s="430" t="s">
        <v>3259</v>
      </c>
      <c r="D32" s="554" t="n">
        <f aca="false">SUP_CONTROL!$C$26</f>
        <v>12.9240927176905</v>
      </c>
      <c r="E32" s="555" t="n">
        <f aca="false">SUM(FC_FLUJO_CAJA!$D$8:$BK$8)/SUM(FC_CRONOGRAMA!$D$57:$BK$57)</f>
        <v>12.9240927176905</v>
      </c>
      <c r="F32" s="556" t="n">
        <f aca="false">ROUND(E32-D32,2)</f>
        <v>0</v>
      </c>
      <c r="G32" s="355" t="str">
        <f aca="false">IF(ABS(F32)&lt;=0.005,"✓","✗")</f>
        <v>✓</v>
      </c>
      <c r="H32" s="353" t="s">
        <v>3260</v>
      </c>
    </row>
    <row r="33" customFormat="false" ht="15" hidden="false" customHeight="true" outlineLevel="0" collapsed="false">
      <c r="B33" s="297" t="s">
        <v>3261</v>
      </c>
      <c r="C33" s="430" t="s">
        <v>3259</v>
      </c>
      <c r="D33" s="554" t="n">
        <f aca="false">SUP_CONTROL!$C$26</f>
        <v>12.9240927176905</v>
      </c>
      <c r="E33" s="555" t="n">
        <f aca="false">IFERROR(SUM(FC_FLUJO_CAJA!$D$9:$BK$9)/SUM(FC_CRONOGRAMA!$D$58:$BK$58),SUP_CONTROL!$C$26)</f>
        <v>12.9240927176905</v>
      </c>
      <c r="F33" s="556" t="n">
        <f aca="false">ROUND(E33-D33,2)</f>
        <v>0</v>
      </c>
      <c r="G33" s="355" t="str">
        <f aca="false">IF(ABS(F33)&lt;=0.005,"✓","✗")</f>
        <v>✓</v>
      </c>
    </row>
    <row r="34" customFormat="false" ht="15" hidden="false" customHeight="true" outlineLevel="0" collapsed="false">
      <c r="B34" s="297" t="s">
        <v>3262</v>
      </c>
      <c r="C34" s="430" t="s">
        <v>3263</v>
      </c>
      <c r="D34" s="384" t="n">
        <f aca="false">SUM(FC_CRONOGRAMA!$D$59:$BK$59)*(SUP_CONTROL!$C$26-SUP_CONTROL!$C$27)+SUM(FC_FLUJO_CAJA!$D$10:$BK$10)*(1-SUP_CONTROL!$C$38)</f>
        <v>16046273.6602556</v>
      </c>
      <c r="E34" s="380" t="n">
        <f aca="false">SUM(FC_FLUJO_CAJA!$D$17:$BK$17)</f>
        <v>16046273.6602556</v>
      </c>
      <c r="F34" s="383" t="n">
        <f aca="false">ROUND(E34-D34,2)</f>
        <v>0</v>
      </c>
      <c r="G34" s="355" t="str">
        <f aca="false">IF(ABS(F34)&lt;=0.5,"✓","✗")</f>
        <v>✓</v>
      </c>
    </row>
    <row r="35" customFormat="false" ht="15" hidden="false" customHeight="true" outlineLevel="0" collapsed="false">
      <c r="B35" s="297" t="s">
        <v>3264</v>
      </c>
      <c r="C35" s="430" t="s">
        <v>3265</v>
      </c>
      <c r="D35" s="384" t="n">
        <f aca="false">FC_SUPUESTOS!$E$218*MAX(0,61-MAX(1,FC_SUPUESTOS!$C$23-FC_SUPUESTOS!$F$218))+FC_SUPUESTOS!$E$219*MAX(0,61-MAX(1,FC_SUPUESTOS!$C$23-FC_SUPUESTOS!$F$219))+FC_SUPUESTOS!$E$220*MAX(0,61-MAX(1,FC_SUPUESTOS!$C$23-FC_SUPUESTOS!$F$220))+FC_SUPUESTOS!$E$221*MAX(0,61-MAX(1,FC_SUPUESTOS!$C$23-FC_SUPUESTOS!$F$221))+FC_SUPUESTOS!$E$222*MAX(0,61-MAX(1,FC_SUPUESTOS!$C$23-FC_SUPUESTOS!$F$222))+(FC_SUPUESTOS!$C$218+FC_SUPUESTOS!$C$219)*FC_SUPUESTOS!$C$232+FC_SUPUESTOS!$C$220*(FC_SUPUESTOS!$C$232+FC_SUPUESTOS!$C$233)</f>
        <v>576439.978125</v>
      </c>
      <c r="E35" s="380" t="n">
        <f aca="false">SUM(FC_FLUJO_CAJA!$D$18:$BK$18)</f>
        <v>576439.978125</v>
      </c>
      <c r="F35" s="383" t="n">
        <f aca="false">ROUND(E35-D35,2)</f>
        <v>0</v>
      </c>
      <c r="G35" s="355" t="str">
        <f aca="false">IF(ABS(F35)&lt;=0.5,"✓","✗")</f>
        <v>✓</v>
      </c>
    </row>
    <row r="36" customFormat="false" ht="15" hidden="false" customHeight="true" outlineLevel="0" collapsed="false">
      <c r="B36" s="297" t="s">
        <v>3266</v>
      </c>
      <c r="C36" s="430" t="s">
        <v>3267</v>
      </c>
      <c r="D36" s="384" t="n">
        <f aca="false">SUM(FC_CRONOGRAMA!$D$62:$BK$62)*SUP_PLANTA_OPEX!$C$30</f>
        <v>73138.527</v>
      </c>
      <c r="E36" s="380" t="n">
        <f aca="false">SUM(FC_FLUJO_CAJA!$D$19:$BK$19)</f>
        <v>73138.527</v>
      </c>
      <c r="F36" s="383" t="n">
        <f aca="false">ROUND(E36-D36,2)</f>
        <v>0</v>
      </c>
      <c r="G36" s="355" t="str">
        <f aca="false">IF(ABS(F36)&lt;=0.5,"✓","✗")</f>
        <v>✓</v>
      </c>
    </row>
    <row r="37" customFormat="false" ht="15" hidden="false" customHeight="true" outlineLevel="0" collapsed="false">
      <c r="B37" s="297" t="s">
        <v>3099</v>
      </c>
      <c r="C37" s="430" t="s">
        <v>3268</v>
      </c>
      <c r="D37" s="384" t="n">
        <f aca="false">SUM(FC_CRONOGRAMA!$D$62:$BK$62)*SUP_PRODUCCION!$C$79</f>
        <v>219415.581</v>
      </c>
      <c r="E37" s="380" t="n">
        <f aca="false">SUM(FC_FLUJO_CAJA!$D$20:$BK$20)</f>
        <v>219415.581</v>
      </c>
      <c r="F37" s="383" t="n">
        <f aca="false">ROUND(E37-D37,2)</f>
        <v>0</v>
      </c>
      <c r="G37" s="355" t="str">
        <f aca="false">IF(ABS(F37)&lt;=0.5,"✓","✗")</f>
        <v>✓</v>
      </c>
    </row>
    <row r="38" customFormat="false" ht="15" hidden="false" customHeight="true" outlineLevel="0" collapsed="false">
      <c r="B38" s="297" t="s">
        <v>3269</v>
      </c>
      <c r="C38" s="430" t="s">
        <v>3270</v>
      </c>
      <c r="D38" s="384" t="n">
        <f aca="false">SUM(FC_CRONOGRAMA!$D$20:$BK$20)*SUP_OPEX!$D$23+SUM(FC_CRONOGRAMA!$D$21:$BK$21)*SUP_OPEX!$E$23+FC_SUPUESTOS!$C$9*FC_SUPUESTOS!$C$226*(SUP_OPEX!$D$15+SUP_OPEX!$D$21)+FC_SUPUESTOS!$C$10*FC_SUPUESTOS!$C$226*(SUP_OPEX!$E$15+SUP_OPEX!$E$21)+(FC_SUPUESTOS!$C$9*FC_SUPUESTOS!$C$228+FC_SUPUESTOS!$C$10*FC_SUPUESTOS!$C$229)*(FC_SUPUESTOS!$C$232+FC_SUPUESTOS!$C$233)</f>
        <v>3534620</v>
      </c>
      <c r="E38" s="380" t="n">
        <f aca="false">SUM(FC_FLUJO_CAJA!$D$22:$BK$22)</f>
        <v>3534620</v>
      </c>
      <c r="F38" s="383" t="n">
        <f aca="false">ROUND(E38-D38,2)</f>
        <v>0</v>
      </c>
      <c r="G38" s="355" t="str">
        <f aca="false">IF(ABS(F38)&lt;=0.5,"✓","✗")</f>
        <v>✓</v>
      </c>
    </row>
    <row r="39" customFormat="false" ht="15" hidden="false" customHeight="true" outlineLevel="0" collapsed="false">
      <c r="B39" s="297" t="s">
        <v>3271</v>
      </c>
      <c r="C39" s="430" t="s">
        <v>3272</v>
      </c>
      <c r="D39" s="384" t="n">
        <f aca="false">SUM(FC_CRONOGRAMA!$D$44:$BK$44)*SUP_OPEX!$F$23</f>
        <v>0</v>
      </c>
      <c r="E39" s="380" t="n">
        <f aca="false">SUM(FC_FLUJO_CAJA!$D$23:$BK$23)</f>
        <v>0</v>
      </c>
      <c r="F39" s="383" t="n">
        <f aca="false">ROUND(E39-D39,2)</f>
        <v>0</v>
      </c>
      <c r="G39" s="355" t="str">
        <f aca="false">IF(ABS(F39)&lt;=0.5,"✓","✗")</f>
        <v>✓</v>
      </c>
    </row>
    <row r="40" customFormat="false" ht="15" hidden="false" customHeight="true" outlineLevel="0" collapsed="false">
      <c r="B40" s="297" t="s">
        <v>2189</v>
      </c>
      <c r="C40" s="430" t="s">
        <v>3273</v>
      </c>
      <c r="D40" s="384" t="n">
        <f aca="false">SUM(FC_FLUJO_CAJA!$D$11:$BK$11)*SUP_OPEX!$C$30</f>
        <v>2721171.66355802</v>
      </c>
      <c r="E40" s="380" t="n">
        <f aca="false">SUM(FC_FLUJO_CAJA!$D$24:$BK$24)</f>
        <v>2721171.66355802</v>
      </c>
      <c r="F40" s="383" t="n">
        <f aca="false">ROUND(E40-D40,2)</f>
        <v>0</v>
      </c>
      <c r="G40" s="355" t="str">
        <f aca="false">IF(ABS(F40)&lt;=0.5,"✓","✗")</f>
        <v>✓</v>
      </c>
    </row>
    <row r="41" customFormat="false" ht="15" hidden="false" customHeight="true" outlineLevel="0" collapsed="false">
      <c r="B41" s="297" t="s">
        <v>3274</v>
      </c>
      <c r="C41" s="430" t="s">
        <v>3275</v>
      </c>
      <c r="D41" s="384" t="n">
        <f aca="false">(SUM(FC_FLUJO_CAJA!$D$9:$BK$9)+SUM(FC_FLUJO_CAJA!$D$10:$BK$10))*SUP_OPEX!$C$31</f>
        <v>0</v>
      </c>
      <c r="E41" s="380" t="n">
        <f aca="false">SUM(FC_FLUJO_CAJA!$D$25:$BK$25)</f>
        <v>0</v>
      </c>
      <c r="F41" s="383" t="n">
        <f aca="false">ROUND(E41-D41,2)</f>
        <v>0</v>
      </c>
      <c r="G41" s="355" t="str">
        <f aca="false">IF(ABS(F41)&lt;=0.5,"✓","✗")</f>
        <v>✓</v>
      </c>
    </row>
    <row r="42" customFormat="false" ht="15" hidden="false" customHeight="true" outlineLevel="0" collapsed="false">
      <c r="B42" s="297" t="s">
        <v>3276</v>
      </c>
      <c r="C42" s="430" t="s">
        <v>3277</v>
      </c>
      <c r="D42" s="557" t="n">
        <f aca="false">SUM(FC_CRONOGRAMA!$D$59:$BK$59)*SUP_CONTROL!$C$28</f>
        <v>3656926.35</v>
      </c>
      <c r="E42" s="423" t="n">
        <f aca="false">SUM(FC_CRONOGRAMA!$D$62:$BK$62)</f>
        <v>3656926.35</v>
      </c>
      <c r="F42" s="424" t="n">
        <f aca="false">ROUND(E42-D42,2)</f>
        <v>0</v>
      </c>
      <c r="G42" s="355" t="str">
        <f aca="false">IF(ABS(F42)&lt;=0.5,"✓","✗")</f>
        <v>✓</v>
      </c>
    </row>
    <row r="43" customFormat="false" ht="15" hidden="false" customHeight="true" outlineLevel="0" collapsed="false">
      <c r="B43" s="297" t="s">
        <v>3278</v>
      </c>
      <c r="C43" s="430" t="s">
        <v>3279</v>
      </c>
      <c r="D43" s="557" t="n">
        <f aca="false">FC_SUPUESTOS!$C$9+FC_SUPUESTOS!$C$10</f>
        <v>10</v>
      </c>
      <c r="E43" s="423" t="n">
        <f aca="false">SUM(FC_CRONOGRAMA!$D$17:$BK$17)+SUM(FC_CRONOGRAMA!$D$18:$BK$18)</f>
        <v>10</v>
      </c>
      <c r="F43" s="424" t="n">
        <f aca="false">ROUND(E43-D43,2)</f>
        <v>0</v>
      </c>
      <c r="G43" s="355" t="str">
        <f aca="false">IF(ABS(F43)&lt;=0.01,"✓","✗")</f>
        <v>✓</v>
      </c>
      <c r="H43" s="353" t="s">
        <v>3280</v>
      </c>
    </row>
    <row r="45" customFormat="false" ht="15" hidden="false" customHeight="true" outlineLevel="0" collapsed="false">
      <c r="A45" s="351" t="s">
        <v>3281</v>
      </c>
      <c r="B45" s="25"/>
      <c r="C45" s="25"/>
      <c r="D45" s="25"/>
      <c r="E45" s="25"/>
      <c r="F45" s="25"/>
      <c r="G45" s="25"/>
      <c r="H45" s="25"/>
    </row>
    <row r="46" customFormat="false" ht="15" hidden="false" customHeight="true" outlineLevel="0" collapsed="false">
      <c r="B46" s="553" t="s">
        <v>3214</v>
      </c>
      <c r="C46" s="553" t="s">
        <v>3215</v>
      </c>
      <c r="D46" s="507" t="s">
        <v>3216</v>
      </c>
      <c r="E46" s="507" t="s">
        <v>3217</v>
      </c>
      <c r="F46" s="507" t="s">
        <v>3218</v>
      </c>
      <c r="G46" s="507" t="s">
        <v>307</v>
      </c>
    </row>
    <row r="47" customFormat="false" ht="15" hidden="false" customHeight="true" outlineLevel="0" collapsed="false">
      <c r="B47" s="297" t="s">
        <v>3282</v>
      </c>
      <c r="C47" s="430" t="s">
        <v>3283</v>
      </c>
      <c r="D47" s="384" t="n">
        <f aca="false">FC_SUPUESTOS!$C$75+SUM(FC_FLUJO_CAJA!$D$85:$BK$85)+SUM(FC_FLUJO_CAJA!$D$92:$BK$92)</f>
        <v>2918560.50968639</v>
      </c>
      <c r="E47" s="380" t="n">
        <f aca="false">INDEX(FC_FLUJO_CAJA!$D$94:$BK$94,1,60)</f>
        <v>2918560.50968639</v>
      </c>
      <c r="F47" s="383" t="n">
        <f aca="false">ROUND(E47-D47,2)</f>
        <v>0</v>
      </c>
      <c r="G47" s="355" t="str">
        <f aca="false">IF(ABS(F47)&lt;=0.5,"✓","✗")</f>
        <v>✓</v>
      </c>
    </row>
    <row r="48" customFormat="false" ht="15" hidden="false" customHeight="true" outlineLevel="0" collapsed="false">
      <c r="B48" s="297" t="s">
        <v>3284</v>
      </c>
      <c r="C48" s="430" t="s">
        <v>3285</v>
      </c>
      <c r="D48" s="384" t="n">
        <f aca="false">SUM(FC_FLUJO_CAJA!$D$11:$BK$11)-INDEX(FC_FLUJO_CAJA!$D$12:$BK$12,1,60)</f>
        <v>28604467.9170048</v>
      </c>
      <c r="E48" s="380" t="n">
        <f aca="false">SUM(FC_FLUJO_CAJA!$D$14:$BK$14)</f>
        <v>28604467.9170048</v>
      </c>
      <c r="F48" s="383" t="n">
        <f aca="false">ROUND(E48-D48,2)</f>
        <v>0</v>
      </c>
      <c r="G48" s="355" t="str">
        <f aca="false">IF(ABS(F48)&lt;=0.5,"✓","✗")</f>
        <v>✓</v>
      </c>
    </row>
    <row r="49" customFormat="false" ht="15" hidden="false" customHeight="true" outlineLevel="0" collapsed="false">
      <c r="B49" s="297" t="s">
        <v>3286</v>
      </c>
      <c r="C49" s="430" t="s">
        <v>3287</v>
      </c>
      <c r="D49" s="384" t="n">
        <f aca="false">SUM(FC_FLUJO_CAJA!$D$29:$BK$29)+INDEX(FC_FLUJO_CAJA!$D$31:$BK$31,1,60)-INDEX(FC_FLUJO_CAJA!$D$33:$BK$33,1,60)</f>
        <v>24884221.807007</v>
      </c>
      <c r="E49" s="380" t="n">
        <f aca="false">SUM(FC_FLUJO_CAJA!$D$35:$BK$35)</f>
        <v>24884221.807007</v>
      </c>
      <c r="F49" s="383" t="n">
        <f aca="false">ROUND(E49-D49,2)</f>
        <v>0</v>
      </c>
      <c r="G49" s="355" t="str">
        <f aca="false">IF(ABS(F49)&lt;=0.5,"✓","✗")</f>
        <v>✓</v>
      </c>
    </row>
    <row r="50" customFormat="false" ht="15" hidden="false" customHeight="true" outlineLevel="0" collapsed="false">
      <c r="B50" s="297" t="s">
        <v>3288</v>
      </c>
      <c r="C50" s="430" t="s">
        <v>3289</v>
      </c>
      <c r="D50" s="384" t="n">
        <f aca="false">SUM(FC_FLUJO_CAJA!$D$41:$BK$41)-SUM(FC_FLUJO_CAJA!$D$84:$BK$84)</f>
        <v>818560.50968639</v>
      </c>
      <c r="E50" s="380" t="n">
        <f aca="false">SUM(FC_FLUJO_CAJA!$D$85:$BK$85)</f>
        <v>818560.50968639</v>
      </c>
      <c r="F50" s="383" t="n">
        <f aca="false">ROUND(E50-D50,2)</f>
        <v>0</v>
      </c>
      <c r="G50" s="355" t="str">
        <f aca="false">IF(ABS(F50)&lt;=0.5,"✓","✗")</f>
        <v>✓</v>
      </c>
    </row>
    <row r="51" customFormat="false" ht="15" hidden="false" customHeight="true" outlineLevel="0" collapsed="false">
      <c r="B51" s="297" t="s">
        <v>3290</v>
      </c>
      <c r="C51" s="430" t="s">
        <v>3291</v>
      </c>
      <c r="D51" s="384" t="n">
        <f aca="false">SUM(FC_FLUJO_CAJA!$D$38:$BK$38)</f>
        <v>1073079.46690315</v>
      </c>
      <c r="E51" s="380" t="n">
        <f aca="false">SUM(FC_FLUJO_CAJA!$D$39:$BK$39)+SUMPRODUCT((FC_FLUJO_CAJA!$D$5:$BK$5&gt;60-FC_SUPUESTOS!$C$79)*FC_FLUJO_CAJA!$D$38:$BK$38)</f>
        <v>1073079.46690315</v>
      </c>
      <c r="F51" s="383" t="n">
        <f aca="false">ROUND(E51-D51,2)</f>
        <v>0</v>
      </c>
      <c r="G51" s="355" t="str">
        <f aca="false">IF(ABS(F51)&lt;=0.5,"✓","✗")</f>
        <v>✓</v>
      </c>
    </row>
    <row r="52" customFormat="false" ht="15" hidden="false" customHeight="true" outlineLevel="0" collapsed="false">
      <c r="B52" s="297" t="s">
        <v>3292</v>
      </c>
      <c r="E52" s="358" t="n">
        <f aca="false">COUNTIF(FC_FLUJO_CAJA!$D$95:$BK$95,"✗")</f>
        <v>0</v>
      </c>
      <c r="H52" s="353" t="s">
        <v>3293</v>
      </c>
    </row>
    <row r="53" customFormat="false" ht="25.5" hidden="false" customHeight="true" outlineLevel="0" collapsed="false">
      <c r="B53" s="297" t="s">
        <v>3294</v>
      </c>
      <c r="E53" s="358" t="n">
        <f aca="false">COUNTIF(FC_CRONOGRAMA!$D$65:$BK$65,"&gt;1")</f>
        <v>0</v>
      </c>
      <c r="H53" s="353" t="s">
        <v>3295</v>
      </c>
    </row>
    <row r="54" customFormat="false" ht="15" hidden="false" customHeight="true" outlineLevel="0" collapsed="false">
      <c r="B54" s="297" t="s">
        <v>3296</v>
      </c>
      <c r="E54" s="358" t="n">
        <f aca="false">COUNTIF($G$7:$G$51,"✗")</f>
        <v>0</v>
      </c>
      <c r="H54" s="353" t="s">
        <v>3297</v>
      </c>
    </row>
    <row r="56" customFormat="false" ht="15" hidden="false" customHeight="true" outlineLevel="0" collapsed="false">
      <c r="A56" s="351" t="s">
        <v>3298</v>
      </c>
      <c r="B56" s="25"/>
      <c r="C56" s="25"/>
      <c r="D56" s="25"/>
      <c r="E56" s="25"/>
      <c r="F56" s="25"/>
      <c r="G56" s="25"/>
      <c r="H56" s="25"/>
    </row>
    <row r="57" customFormat="false" ht="15" hidden="false" customHeight="true" outlineLevel="0" collapsed="false">
      <c r="B57" s="553" t="s">
        <v>3299</v>
      </c>
      <c r="C57" s="553" t="s">
        <v>3300</v>
      </c>
      <c r="D57" s="507"/>
      <c r="E57" s="507"/>
      <c r="F57" s="507"/>
      <c r="G57" s="507" t="s">
        <v>307</v>
      </c>
    </row>
    <row r="58" customFormat="false" ht="15" hidden="false" customHeight="true" outlineLevel="0" collapsed="false">
      <c r="B58" s="297" t="s">
        <v>3301</v>
      </c>
      <c r="C58" s="430" t="s">
        <v>3302</v>
      </c>
      <c r="G58" s="355" t="s">
        <v>3303</v>
      </c>
    </row>
    <row r="59" customFormat="false" ht="15" hidden="false" customHeight="true" outlineLevel="0" collapsed="false">
      <c r="B59" s="297" t="s">
        <v>3304</v>
      </c>
      <c r="C59" s="430" t="s">
        <v>3305</v>
      </c>
      <c r="G59" s="355" t="s">
        <v>3303</v>
      </c>
    </row>
    <row r="60" customFormat="false" ht="15" hidden="false" customHeight="true" outlineLevel="0" collapsed="false">
      <c r="B60" s="297" t="s">
        <v>3306</v>
      </c>
      <c r="C60" s="430" t="s">
        <v>3307</v>
      </c>
      <c r="G60" s="355" t="s">
        <v>3303</v>
      </c>
    </row>
    <row r="61" customFormat="false" ht="15" hidden="false" customHeight="true" outlineLevel="0" collapsed="false">
      <c r="B61" s="297" t="s">
        <v>3308</v>
      </c>
      <c r="C61" s="430" t="s">
        <v>3309</v>
      </c>
      <c r="G61" s="355" t="s">
        <v>3303</v>
      </c>
    </row>
    <row r="62" customFormat="false" ht="15" hidden="false" customHeight="true" outlineLevel="0" collapsed="false">
      <c r="B62" s="297" t="s">
        <v>3310</v>
      </c>
      <c r="C62" s="430" t="s">
        <v>3311</v>
      </c>
      <c r="G62" s="355" t="s">
        <v>3303</v>
      </c>
    </row>
    <row r="63" customFormat="false" ht="15" hidden="false" customHeight="true" outlineLevel="0" collapsed="false">
      <c r="B63" s="297" t="s">
        <v>3274</v>
      </c>
      <c r="C63" s="430" t="s">
        <v>3312</v>
      </c>
      <c r="G63" s="355" t="s">
        <v>3303</v>
      </c>
    </row>
    <row r="64" customFormat="false" ht="15" hidden="false" customHeight="true" outlineLevel="0" collapsed="false">
      <c r="B64" s="297" t="s">
        <v>3313</v>
      </c>
      <c r="C64" s="430" t="s">
        <v>3314</v>
      </c>
      <c r="G64" s="355" t="s">
        <v>3303</v>
      </c>
    </row>
    <row r="65" customFormat="false" ht="15" hidden="false" customHeight="true" outlineLevel="0" collapsed="false">
      <c r="B65" s="297" t="s">
        <v>3315</v>
      </c>
      <c r="C65" s="430" t="s">
        <v>3316</v>
      </c>
      <c r="G65" s="355" t="s">
        <v>3303</v>
      </c>
    </row>
    <row r="66" customFormat="false" ht="15" hidden="false" customHeight="true" outlineLevel="0" collapsed="false">
      <c r="B66" s="297" t="s">
        <v>3317</v>
      </c>
      <c r="C66" s="430" t="s">
        <v>3318</v>
      </c>
      <c r="G66" s="355" t="s">
        <v>3303</v>
      </c>
    </row>
    <row r="67" customFormat="false" ht="15" hidden="false" customHeight="true" outlineLevel="0" collapsed="false">
      <c r="B67" s="297" t="s">
        <v>3319</v>
      </c>
      <c r="C67" s="430" t="s">
        <v>3320</v>
      </c>
      <c r="G67" s="355" t="s">
        <v>3303</v>
      </c>
    </row>
    <row r="68" customFormat="false" ht="15" hidden="false" customHeight="true" outlineLevel="0" collapsed="false">
      <c r="B68" s="297" t="s">
        <v>3321</v>
      </c>
      <c r="C68" s="430" t="s">
        <v>3322</v>
      </c>
      <c r="G68" s="355" t="s">
        <v>3303</v>
      </c>
    </row>
    <row r="69" customFormat="false" ht="15" hidden="false" customHeight="true" outlineLevel="0" collapsed="false">
      <c r="B69" s="297" t="s">
        <v>3323</v>
      </c>
      <c r="C69" s="430" t="s">
        <v>3324</v>
      </c>
      <c r="G69" s="355" t="s">
        <v>3303</v>
      </c>
    </row>
    <row r="70" customFormat="false" ht="15" hidden="false" customHeight="true" outlineLevel="0" collapsed="false">
      <c r="B70" s="297" t="s">
        <v>3325</v>
      </c>
      <c r="C70" s="430" t="s">
        <v>3326</v>
      </c>
      <c r="G70" s="355" t="s">
        <v>3303</v>
      </c>
    </row>
    <row r="71" customFormat="false" ht="15" hidden="false" customHeight="true" outlineLevel="0" collapsed="false">
      <c r="B71" s="297" t="s">
        <v>3327</v>
      </c>
      <c r="C71" s="430" t="s">
        <v>3328</v>
      </c>
      <c r="G71" s="355" t="s">
        <v>3303</v>
      </c>
    </row>
    <row r="72" customFormat="false" ht="15" hidden="false" customHeight="true" outlineLevel="0" collapsed="false">
      <c r="B72" s="297" t="s">
        <v>3329</v>
      </c>
      <c r="C72" s="430" t="s">
        <v>3330</v>
      </c>
      <c r="G72" s="355" t="s">
        <v>3303</v>
      </c>
    </row>
    <row r="73" customFormat="false" ht="15" hidden="false" customHeight="true" outlineLevel="0" collapsed="false">
      <c r="B73" s="297" t="s">
        <v>3331</v>
      </c>
      <c r="C73" s="430" t="s">
        <v>3332</v>
      </c>
      <c r="G73" s="355" t="s">
        <v>3303</v>
      </c>
    </row>
    <row r="74" customFormat="false" ht="15" hidden="false" customHeight="true" outlineLevel="0" collapsed="false">
      <c r="B74" s="297" t="s">
        <v>3333</v>
      </c>
      <c r="C74" s="430" t="s">
        <v>3334</v>
      </c>
      <c r="G74" s="355" t="s">
        <v>3303</v>
      </c>
    </row>
    <row r="75" customFormat="false" ht="15" hidden="false" customHeight="true" outlineLevel="0" collapsed="false">
      <c r="B75" s="297" t="s">
        <v>3335</v>
      </c>
      <c r="C75" s="430" t="s">
        <v>3336</v>
      </c>
      <c r="G75" s="355" t="s">
        <v>3303</v>
      </c>
    </row>
    <row r="76" customFormat="false" ht="15" hidden="false" customHeight="true" outlineLevel="0" collapsed="false">
      <c r="B76" s="297" t="s">
        <v>3337</v>
      </c>
      <c r="C76" s="430" t="s">
        <v>3336</v>
      </c>
      <c r="G76" s="355" t="s">
        <v>3303</v>
      </c>
    </row>
    <row r="77" customFormat="false" ht="15" hidden="false" customHeight="true" outlineLevel="0" collapsed="false">
      <c r="B77" s="297" t="s">
        <v>3338</v>
      </c>
      <c r="C77" s="430" t="s">
        <v>3339</v>
      </c>
      <c r="G77" s="355" t="s">
        <v>3303</v>
      </c>
    </row>
    <row r="78" customFormat="false" ht="15" hidden="false" customHeight="true" outlineLevel="0" collapsed="false">
      <c r="B78" s="297" t="s">
        <v>3340</v>
      </c>
      <c r="C78" s="430" t="s">
        <v>3341</v>
      </c>
      <c r="G78" s="355" t="s">
        <v>3303</v>
      </c>
    </row>
    <row r="79" customFormat="false" ht="15" hidden="false" customHeight="true" outlineLevel="0" collapsed="false">
      <c r="B79" s="297" t="s">
        <v>3342</v>
      </c>
      <c r="C79" s="430" t="s">
        <v>3343</v>
      </c>
      <c r="G79" s="355" t="s">
        <v>3303</v>
      </c>
    </row>
    <row r="80" customFormat="false" ht="15" hidden="false" customHeight="true" outlineLevel="0" collapsed="false">
      <c r="B80" s="297" t="s">
        <v>3344</v>
      </c>
      <c r="C80" s="430" t="s">
        <v>3345</v>
      </c>
      <c r="G80" s="355" t="s">
        <v>3303</v>
      </c>
    </row>
    <row r="82" customFormat="false" ht="15" hidden="false" customHeight="true" outlineLevel="0" collapsed="false">
      <c r="A82" s="351" t="s">
        <v>3346</v>
      </c>
      <c r="B82" s="25"/>
      <c r="C82" s="25"/>
      <c r="D82" s="25"/>
      <c r="E82" s="25"/>
      <c r="F82" s="25"/>
      <c r="G82" s="25"/>
      <c r="H82" s="25"/>
    </row>
    <row r="83" customFormat="false" ht="15" hidden="false" customHeight="true" outlineLevel="0" collapsed="false">
      <c r="B83" s="558" t="s">
        <v>3218</v>
      </c>
      <c r="C83" s="558" t="s">
        <v>3347</v>
      </c>
      <c r="D83" s="559" t="s">
        <v>3348</v>
      </c>
      <c r="E83" s="559"/>
      <c r="F83" s="559"/>
      <c r="H83" s="558" t="s">
        <v>3349</v>
      </c>
    </row>
    <row r="84" customFormat="false" ht="31.5" hidden="false" customHeight="true" outlineLevel="0" collapsed="false">
      <c r="B84" s="357" t="s">
        <v>3350</v>
      </c>
      <c r="C84" s="560" t="s">
        <v>3351</v>
      </c>
      <c r="D84" s="561" t="s">
        <v>3352</v>
      </c>
      <c r="E84" s="561"/>
      <c r="F84" s="561"/>
      <c r="H84" s="353" t="s">
        <v>3353</v>
      </c>
    </row>
    <row r="85" customFormat="false" ht="31.5" hidden="false" customHeight="true" outlineLevel="0" collapsed="false">
      <c r="B85" s="357" t="s">
        <v>3354</v>
      </c>
      <c r="C85" s="560" t="s">
        <v>3355</v>
      </c>
      <c r="D85" s="561" t="s">
        <v>3356</v>
      </c>
      <c r="E85" s="561"/>
      <c r="F85" s="561"/>
      <c r="H85" s="353" t="s">
        <v>3357</v>
      </c>
    </row>
    <row r="86" customFormat="false" ht="31.5" hidden="false" customHeight="true" outlineLevel="0" collapsed="false">
      <c r="B86" s="357" t="s">
        <v>3358</v>
      </c>
      <c r="C86" s="560" t="s">
        <v>3359</v>
      </c>
      <c r="D86" s="561" t="s">
        <v>3360</v>
      </c>
      <c r="E86" s="561"/>
      <c r="F86" s="561"/>
      <c r="H86" s="353" t="s">
        <v>3361</v>
      </c>
    </row>
    <row r="87" customFormat="false" ht="31.5" hidden="false" customHeight="true" outlineLevel="0" collapsed="false">
      <c r="B87" s="357" t="s">
        <v>3362</v>
      </c>
      <c r="C87" s="560" t="s">
        <v>3363</v>
      </c>
      <c r="D87" s="561" t="s">
        <v>3364</v>
      </c>
      <c r="E87" s="561"/>
      <c r="F87" s="561"/>
      <c r="H87" s="353" t="s">
        <v>3365</v>
      </c>
    </row>
    <row r="88" customFormat="false" ht="31.5" hidden="false" customHeight="true" outlineLevel="0" collapsed="false">
      <c r="B88" s="357" t="s">
        <v>3366</v>
      </c>
      <c r="C88" s="560" t="s">
        <v>3367</v>
      </c>
      <c r="D88" s="561" t="s">
        <v>3368</v>
      </c>
      <c r="E88" s="561"/>
      <c r="F88" s="561"/>
      <c r="H88" s="353" t="s">
        <v>3369</v>
      </c>
    </row>
    <row r="89" customFormat="false" ht="31.5" hidden="false" customHeight="true" outlineLevel="0" collapsed="false">
      <c r="B89" s="357" t="s">
        <v>3370</v>
      </c>
      <c r="C89" s="560" t="s">
        <v>3371</v>
      </c>
      <c r="D89" s="561" t="s">
        <v>3372</v>
      </c>
      <c r="E89" s="561"/>
      <c r="F89" s="561"/>
      <c r="H89" s="353" t="s">
        <v>3373</v>
      </c>
    </row>
    <row r="90" customFormat="false" ht="31.5" hidden="false" customHeight="true" outlineLevel="0" collapsed="false">
      <c r="B90" s="357" t="s">
        <v>3374</v>
      </c>
      <c r="C90" s="560" t="s">
        <v>3375</v>
      </c>
      <c r="D90" s="561" t="s">
        <v>3376</v>
      </c>
      <c r="E90" s="561"/>
      <c r="F90" s="561"/>
      <c r="H90" s="353" t="s">
        <v>3377</v>
      </c>
    </row>
    <row r="92" customFormat="false" ht="15" hidden="false" customHeight="true" outlineLevel="0" collapsed="false">
      <c r="A92" s="281" t="s">
        <v>3378</v>
      </c>
      <c r="B92" s="25"/>
      <c r="C92" s="25"/>
      <c r="D92" s="25"/>
      <c r="E92" s="25"/>
      <c r="F92" s="25"/>
      <c r="G92" s="25"/>
      <c r="H92" s="25"/>
    </row>
    <row r="93" customFormat="false" ht="15" hidden="false" customHeight="true" outlineLevel="0" collapsed="false">
      <c r="B93" s="562" t="s">
        <v>3379</v>
      </c>
      <c r="C93" s="562" t="s">
        <v>1486</v>
      </c>
      <c r="D93" s="508" t="s">
        <v>3380</v>
      </c>
      <c r="E93" s="508" t="s">
        <v>3381</v>
      </c>
      <c r="F93" s="508" t="s">
        <v>3218</v>
      </c>
      <c r="G93" s="508" t="s">
        <v>307</v>
      </c>
    </row>
    <row r="94" customFormat="false" ht="15" hidden="false" customHeight="true" outlineLevel="0" collapsed="false">
      <c r="B94" s="283" t="s">
        <v>3382</v>
      </c>
      <c r="C94" s="286" t="s">
        <v>3383</v>
      </c>
      <c r="D94" s="401" t="n">
        <f aca="false">FC_PAGOS_SEMANALES!S77</f>
        <v>502643.81397642</v>
      </c>
      <c r="E94" s="498" t="n">
        <f aca="false">FC_PAGOS_SEMANALES!S78</f>
        <v>502643.81397642</v>
      </c>
      <c r="F94" s="532" t="n">
        <f aca="false">ROUND(E94-D94,2)</f>
        <v>0</v>
      </c>
      <c r="G94" s="289" t="str">
        <f aca="false">IF(ABS(F94)&lt;=0.5,"✓","✗")</f>
        <v>✓</v>
      </c>
    </row>
    <row r="95" customFormat="false" ht="15" hidden="false" customHeight="true" outlineLevel="0" collapsed="false">
      <c r="B95" s="283" t="s">
        <v>3384</v>
      </c>
      <c r="C95" s="286" t="s">
        <v>3383</v>
      </c>
      <c r="D95" s="401" t="n">
        <f aca="false">FC_PAGOS_SEMANALES!S79</f>
        <v>2450498.72860177</v>
      </c>
      <c r="E95" s="498" t="n">
        <f aca="false">FC_PAGOS_SEMANALES!S80</f>
        <v>2450498.72860177</v>
      </c>
      <c r="F95" s="532" t="n">
        <f aca="false">ROUND(E95-D95,2)</f>
        <v>0</v>
      </c>
      <c r="G95" s="289" t="str">
        <f aca="false">IF(ABS(F95)&lt;=0.5,"✓","✗")</f>
        <v>✓</v>
      </c>
    </row>
    <row r="96" customFormat="false" ht="15" hidden="false" customHeight="true" outlineLevel="0" collapsed="false">
      <c r="B96" s="283" t="s">
        <v>3385</v>
      </c>
      <c r="C96" s="286" t="s">
        <v>3383</v>
      </c>
      <c r="D96" s="401" t="n">
        <f aca="false">FC_PAGOS_SEMANALES!S81</f>
        <v>2050000</v>
      </c>
      <c r="E96" s="498" t="n">
        <f aca="false">FC_PAGOS_SEMANALES!S82</f>
        <v>2050000</v>
      </c>
      <c r="F96" s="532" t="n">
        <f aca="false">ROUND(E96-D96,2)</f>
        <v>0</v>
      </c>
      <c r="G96" s="289" t="str">
        <f aca="false">IF(ABS(F96)&lt;=0.5,"✓","✗")</f>
        <v>✓</v>
      </c>
    </row>
    <row r="97" customFormat="false" ht="15" hidden="false" customHeight="true" outlineLevel="0" collapsed="false">
      <c r="B97" s="283" t="s">
        <v>3386</v>
      </c>
      <c r="C97" s="286" t="s">
        <v>3387</v>
      </c>
      <c r="D97" s="244" t="n">
        <f aca="false">0</f>
        <v>0</v>
      </c>
      <c r="E97" s="563" t="n">
        <f aca="false">COUNTIF(FC_PAGOS_SEMANALES!F85:R85,"✗")</f>
        <v>0</v>
      </c>
      <c r="F97" s="564" t="n">
        <f aca="false">ROUND(E97-D97,2)</f>
        <v>0</v>
      </c>
      <c r="G97" s="289" t="str">
        <f aca="false">IF(ABS(F97)&lt;=0.5,"✓","✗")</f>
        <v>✓</v>
      </c>
      <c r="H97" s="360" t="s">
        <v>3388</v>
      </c>
    </row>
    <row r="98" customFormat="false" ht="15" hidden="false" customHeight="true" outlineLevel="0" collapsed="false">
      <c r="B98" s="283" t="s">
        <v>3389</v>
      </c>
      <c r="C98" s="286" t="s">
        <v>3390</v>
      </c>
      <c r="D98" s="244" t="n">
        <f aca="false">0</f>
        <v>0</v>
      </c>
      <c r="E98" s="563" t="n">
        <f aca="false">COUNTIF(FC_PAGOS_SEMANALES!F70:BE70,"✗")</f>
        <v>0</v>
      </c>
      <c r="F98" s="564" t="n">
        <f aca="false">ROUND(E98-D98,2)</f>
        <v>0</v>
      </c>
      <c r="G98" s="289" t="str">
        <f aca="false">IF(ABS(F98)&lt;=0.5,"✓","✗")</f>
        <v>✓</v>
      </c>
      <c r="H98" s="360" t="s">
        <v>3391</v>
      </c>
    </row>
    <row r="99" customFormat="false" ht="15" hidden="false" customHeight="true" outlineLevel="0" collapsed="false">
      <c r="B99" s="283" t="s">
        <v>3392</v>
      </c>
      <c r="C99" s="286" t="s">
        <v>3393</v>
      </c>
      <c r="D99" s="401" t="n">
        <f aca="false">FC_SUPUESTOS!$C$9*FC_SUPUESTOS!$D$91+FC_SUPUESTOS!$C$10*FC_SUPUESTOS!$E$91</f>
        <v>273600</v>
      </c>
      <c r="E99" s="498" t="n">
        <f aca="false">SUM(FC_FLUJO_CAJA!$D$99:$BK$101)</f>
        <v>273600</v>
      </c>
      <c r="F99" s="532" t="n">
        <f aca="false">ROUND(E99-D99,2)</f>
        <v>0</v>
      </c>
      <c r="G99" s="289" t="str">
        <f aca="false">IF(ABS(F99)&lt;=0.5,"✓","✗")</f>
        <v>✓</v>
      </c>
      <c r="H99" s="360" t="s">
        <v>3394</v>
      </c>
    </row>
    <row r="100" customFormat="false" ht="15" hidden="false" customHeight="true" outlineLevel="0" collapsed="false">
      <c r="B100" s="283" t="s">
        <v>3395</v>
      </c>
      <c r="C100" s="286" t="s">
        <v>3396</v>
      </c>
      <c r="D100" s="401" t="n">
        <f aca="false">FC_SUPUESTOS!$E$201*MAX(0,61-MAX(1,FC_SUPUESTOS!$F$201))+FC_SUPUESTOS!$E$202*MAX(0,61-MAX(1,FC_SUPUESTOS!$F$202))+FC_SUPUESTOS!$E$203*MAX(0,61-MAX(1,FC_SUPUESTOS!$F$203))+FC_SUPUESTOS!$E$204*MAX(0,61-MAX(1,FC_SUPUESTOS!$F$204))+FC_SUPUESTOS!$E$205*MAX(0,61-MAX(1,FC_SUPUESTOS!$F$205))+FC_SUPUESTOS!$E$206*MAX(0,61-MAX(1,FC_SUPUESTOS!$F$206))+FC_SUPUESTOS!$E$207*MAX(0,61-MAX(1,FC_SUPUESTOS!$F$207))+FC_SUPUESTOS!$E$208*MAX(0,61-MAX(1,FC_SUPUESTOS!$F$208))+SUM(FC_FLUJO_CAJA!$D$26:$BK$26)*(SUP_OVERHEAD!$C$15*(1+SUP_OVERHEAD!$C$11)+SUP_OVERHEAD!$C$19)+SUP_OVERHEAD!$C$25*MAX(0,61-MAX(1,FC_SUPUESTOS!$C$212))+FC_SUPUESTOS!$C$213*MAX(0,61-MAX(1,FC_SUPUESTOS!$C$214))+COUNTIF(FC_SUPUESTOS!$F$201:$F$208,"&lt;=60")*FC_SUPUESTOS!$C$232+FC_SUPUESTOS!$C$234*(FC_SUPUESTOS!$C$201+FC_SUPUESTOS!$C$202)</f>
        <v>1136935</v>
      </c>
      <c r="E100" s="565" t="n">
        <f aca="false">SUM(FC_FLUJO_CAJA!$D$27:$BK$27)</f>
        <v>1136935</v>
      </c>
      <c r="F100" s="532" t="n">
        <f aca="false">ROUND(E100-D100,2)</f>
        <v>0</v>
      </c>
      <c r="G100" s="289" t="str">
        <f aca="false">IF(ABS(F100)&lt;=0.5,"✓","✗")</f>
        <v>✓</v>
      </c>
      <c r="H100" s="360" t="s">
        <v>3397</v>
      </c>
    </row>
    <row r="101" customFormat="false" ht="15" hidden="false" customHeight="true" outlineLevel="0" collapsed="false">
      <c r="B101" s="283" t="s">
        <v>3398</v>
      </c>
      <c r="C101" s="286" t="s">
        <v>3399</v>
      </c>
      <c r="D101" s="401" t="n">
        <f aca="false">SUP_OVERHEAD!$C$12</f>
        <v>15040</v>
      </c>
      <c r="E101" s="498" t="n">
        <f aca="false">SUM(FC_SUPUESTOS!$E$201:$E$206)</f>
        <v>15040</v>
      </c>
      <c r="F101" s="532" t="n">
        <f aca="false">ROUND(E101-D101,2)</f>
        <v>0</v>
      </c>
      <c r="G101" s="289" t="str">
        <f aca="false">IF(ABS(F101)&lt;=0.5,"✓","✗")</f>
        <v>✓</v>
      </c>
    </row>
    <row r="102" customFormat="false" ht="15" hidden="false" customHeight="true" outlineLevel="0" collapsed="false">
      <c r="B102" s="283" t="s">
        <v>3400</v>
      </c>
      <c r="C102" s="286" t="s">
        <v>3401</v>
      </c>
      <c r="D102" s="401" t="n">
        <f aca="false">SUP_PLANTA_OPEX!$C$33</f>
        <v>10965.565625</v>
      </c>
      <c r="E102" s="498" t="n">
        <f aca="false">SUM(FC_SUPUESTOS!$E$218:$E$222)</f>
        <v>10965.565625</v>
      </c>
      <c r="F102" s="532" t="n">
        <f aca="false">ROUND(E102-D102,2)</f>
        <v>0</v>
      </c>
      <c r="G102" s="289" t="str">
        <f aca="false">IF(ABS(F102)&lt;=0.5,"✓","✗")</f>
        <v>✓</v>
      </c>
    </row>
    <row r="104" customFormat="false" ht="15" hidden="false" customHeight="true" outlineLevel="0" collapsed="false">
      <c r="A104" s="218"/>
      <c r="B104" s="499" t="s">
        <v>3402</v>
      </c>
      <c r="C104" s="218"/>
      <c r="D104" s="218"/>
      <c r="E104" s="566" t="n">
        <f aca="false">COUNTIF($G$1:$G$103,"✗")</f>
        <v>0</v>
      </c>
      <c r="F104" s="218"/>
      <c r="G104" s="567" t="str">
        <f aca="false">IF(E104=0,"✓","✗")</f>
        <v>✓</v>
      </c>
      <c r="H104" s="218"/>
    </row>
  </sheetData>
  <mergeCells count="8">
    <mergeCell ref="D83:F83"/>
    <mergeCell ref="D84:F84"/>
    <mergeCell ref="D85:F85"/>
    <mergeCell ref="D86:F86"/>
    <mergeCell ref="D87:F87"/>
    <mergeCell ref="D88:F88"/>
    <mergeCell ref="D89:F89"/>
    <mergeCell ref="D90:F9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false"/>
  </sheetPr>
  <dimension ref="A1:DS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1" activeCellId="0" sqref="G21"/>
    </sheetView>
  </sheetViews>
  <sheetFormatPr defaultColWidth="8.66796875" defaultRowHeight="15" zeroHeight="false" outlineLevelRow="0" outlineLevelCol="0"/>
  <cols>
    <col collapsed="false" customWidth="true" hidden="false" outlineLevel="0" max="1" min="1" style="1" width="64.16"/>
    <col collapsed="false" customWidth="true" hidden="false" outlineLevel="0" max="2" min="2" style="1" width="56"/>
    <col collapsed="false" customWidth="true" hidden="false" outlineLevel="0" max="123" min="4" style="1" width="10"/>
  </cols>
  <sheetData>
    <row r="1" customFormat="false" ht="15" hidden="false" customHeight="true" outlineLevel="0" collapsed="false">
      <c r="A1" s="185" t="s">
        <v>3403</v>
      </c>
      <c r="B1" s="126"/>
      <c r="C1" s="126"/>
      <c r="D1" s="126"/>
      <c r="E1" s="126"/>
      <c r="F1" s="126"/>
      <c r="G1" s="126"/>
      <c r="H1" s="126"/>
      <c r="I1" s="126"/>
    </row>
    <row r="2" customFormat="false" ht="15" hidden="false" customHeight="true" outlineLevel="0" collapsed="false">
      <c r="A2" s="23" t="s">
        <v>3404</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5" customFormat="false" ht="15" hidden="false" customHeight="true" outlineLevel="0" collapsed="false">
      <c r="A5" s="186" t="s">
        <v>3405</v>
      </c>
      <c r="B5" s="25"/>
      <c r="C5" s="25"/>
    </row>
    <row r="6" customFormat="false" ht="15" hidden="false" customHeight="true" outlineLevel="0" collapsed="false">
      <c r="B6" s="297" t="s">
        <v>3406</v>
      </c>
      <c r="D6" s="190" t="n">
        <v>0</v>
      </c>
      <c r="E6" s="190" t="n">
        <v>0</v>
      </c>
      <c r="F6" s="190" t="n">
        <v>0</v>
      </c>
      <c r="G6" s="190" t="n">
        <v>2</v>
      </c>
      <c r="H6" s="190" t="n">
        <v>2</v>
      </c>
      <c r="I6" s="190" t="n">
        <v>2</v>
      </c>
      <c r="J6" s="190" t="n">
        <v>1</v>
      </c>
      <c r="K6" s="190" t="n">
        <v>0</v>
      </c>
      <c r="L6" s="190" t="n">
        <v>0</v>
      </c>
      <c r="M6" s="190" t="n">
        <v>0</v>
      </c>
      <c r="N6" s="190" t="n">
        <v>0</v>
      </c>
      <c r="O6" s="190" t="n">
        <v>0</v>
      </c>
      <c r="P6" s="190" t="n">
        <v>0</v>
      </c>
      <c r="Q6" s="190" t="n">
        <v>0</v>
      </c>
      <c r="R6" s="190" t="n">
        <v>0</v>
      </c>
      <c r="S6" s="190" t="n">
        <v>0</v>
      </c>
      <c r="T6" s="190" t="n">
        <v>0</v>
      </c>
      <c r="U6" s="190" t="n">
        <v>0</v>
      </c>
      <c r="V6" s="190" t="n">
        <v>0</v>
      </c>
      <c r="W6" s="190" t="n">
        <v>0</v>
      </c>
      <c r="X6" s="190" t="n">
        <v>0</v>
      </c>
      <c r="Y6" s="190" t="n">
        <v>0</v>
      </c>
      <c r="Z6" s="190" t="n">
        <v>0</v>
      </c>
      <c r="AA6" s="190" t="n">
        <v>0</v>
      </c>
      <c r="AB6" s="190" t="n">
        <v>0</v>
      </c>
      <c r="AC6" s="190" t="n">
        <v>0</v>
      </c>
      <c r="AD6" s="190" t="n">
        <v>0</v>
      </c>
      <c r="AE6" s="190" t="n">
        <v>0</v>
      </c>
      <c r="AF6" s="190" t="n">
        <v>0</v>
      </c>
      <c r="AG6" s="190" t="n">
        <v>0</v>
      </c>
      <c r="AH6" s="190" t="n">
        <v>0</v>
      </c>
      <c r="AI6" s="190" t="n">
        <v>0</v>
      </c>
      <c r="AJ6" s="190" t="n">
        <v>0</v>
      </c>
      <c r="AK6" s="190" t="n">
        <v>0</v>
      </c>
      <c r="AL6" s="190" t="n">
        <v>0</v>
      </c>
      <c r="AM6" s="190" t="n">
        <v>0</v>
      </c>
      <c r="AN6" s="190" t="n">
        <v>0</v>
      </c>
      <c r="AO6" s="190" t="n">
        <v>0</v>
      </c>
      <c r="AP6" s="190" t="n">
        <v>0</v>
      </c>
      <c r="AQ6" s="190" t="n">
        <v>0</v>
      </c>
      <c r="AR6" s="190" t="n">
        <v>0</v>
      </c>
      <c r="AS6" s="190" t="n">
        <v>0</v>
      </c>
      <c r="AT6" s="190" t="n">
        <v>0</v>
      </c>
      <c r="AU6" s="190" t="n">
        <v>0</v>
      </c>
      <c r="AV6" s="190" t="n">
        <v>0</v>
      </c>
      <c r="AW6" s="190" t="n">
        <v>0</v>
      </c>
      <c r="AX6" s="190" t="n">
        <v>0</v>
      </c>
      <c r="AY6" s="190" t="n">
        <v>0</v>
      </c>
      <c r="AZ6" s="190" t="n">
        <v>0</v>
      </c>
      <c r="BA6" s="190" t="n">
        <v>0</v>
      </c>
      <c r="BB6" s="190" t="n">
        <v>0</v>
      </c>
      <c r="BC6" s="190" t="n">
        <v>0</v>
      </c>
      <c r="BD6" s="190" t="n">
        <v>0</v>
      </c>
      <c r="BE6" s="190" t="n">
        <v>0</v>
      </c>
      <c r="BF6" s="190" t="n">
        <v>0</v>
      </c>
      <c r="BG6" s="190" t="n">
        <v>0</v>
      </c>
      <c r="BH6" s="190" t="n">
        <v>0</v>
      </c>
      <c r="BI6" s="190" t="n">
        <v>0</v>
      </c>
      <c r="BJ6" s="190" t="n">
        <v>0</v>
      </c>
      <c r="BK6" s="190" t="n">
        <v>0</v>
      </c>
      <c r="BL6" s="190" t="n">
        <v>0</v>
      </c>
      <c r="BM6" s="190" t="n">
        <v>0</v>
      </c>
      <c r="BN6" s="190" t="n">
        <v>0</v>
      </c>
      <c r="BO6" s="190" t="n">
        <v>0</v>
      </c>
      <c r="BP6" s="190" t="n">
        <v>0</v>
      </c>
      <c r="BQ6" s="190" t="n">
        <v>0</v>
      </c>
      <c r="BR6" s="190" t="n">
        <v>0</v>
      </c>
      <c r="BS6" s="190" t="n">
        <v>0</v>
      </c>
      <c r="BT6" s="190" t="n">
        <v>0</v>
      </c>
      <c r="BU6" s="190" t="n">
        <v>0</v>
      </c>
      <c r="BV6" s="190" t="n">
        <v>0</v>
      </c>
      <c r="BW6" s="190" t="n">
        <v>0</v>
      </c>
      <c r="BX6" s="190" t="n">
        <v>0</v>
      </c>
      <c r="BY6" s="190" t="n">
        <v>0</v>
      </c>
      <c r="BZ6" s="190" t="n">
        <v>0</v>
      </c>
      <c r="CA6" s="190" t="n">
        <v>0</v>
      </c>
      <c r="CB6" s="190" t="n">
        <v>0</v>
      </c>
      <c r="CC6" s="190" t="n">
        <v>0</v>
      </c>
      <c r="CD6" s="190" t="n">
        <v>0</v>
      </c>
      <c r="CE6" s="190" t="n">
        <v>0</v>
      </c>
      <c r="CF6" s="190" t="n">
        <v>0</v>
      </c>
      <c r="CG6" s="190" t="n">
        <v>0</v>
      </c>
      <c r="CH6" s="190" t="n">
        <v>0</v>
      </c>
      <c r="CI6" s="190" t="n">
        <v>0</v>
      </c>
      <c r="CJ6" s="190" t="n">
        <v>0</v>
      </c>
      <c r="CK6" s="190" t="n">
        <v>0</v>
      </c>
      <c r="CL6" s="190" t="n">
        <v>0</v>
      </c>
      <c r="CM6" s="190" t="n">
        <v>0</v>
      </c>
      <c r="CN6" s="190" t="n">
        <v>0</v>
      </c>
      <c r="CO6" s="190" t="n">
        <v>0</v>
      </c>
      <c r="CP6" s="190" t="n">
        <v>0</v>
      </c>
      <c r="CQ6" s="190" t="n">
        <v>0</v>
      </c>
      <c r="CR6" s="190" t="n">
        <v>0</v>
      </c>
      <c r="CS6" s="190" t="n">
        <v>0</v>
      </c>
      <c r="CT6" s="190" t="n">
        <v>0</v>
      </c>
      <c r="CU6" s="190" t="n">
        <v>0</v>
      </c>
      <c r="CV6" s="190" t="n">
        <v>0</v>
      </c>
      <c r="CW6" s="190" t="n">
        <v>0</v>
      </c>
      <c r="CX6" s="190" t="n">
        <v>0</v>
      </c>
      <c r="CY6" s="190" t="n">
        <v>0</v>
      </c>
      <c r="CZ6" s="190" t="n">
        <v>0</v>
      </c>
      <c r="DA6" s="190" t="n">
        <v>0</v>
      </c>
      <c r="DB6" s="190" t="n">
        <v>0</v>
      </c>
      <c r="DC6" s="190" t="n">
        <v>0</v>
      </c>
      <c r="DD6" s="190" t="n">
        <v>0</v>
      </c>
      <c r="DE6" s="190" t="n">
        <v>0</v>
      </c>
      <c r="DF6" s="190" t="n">
        <v>0</v>
      </c>
      <c r="DG6" s="190" t="n">
        <v>0</v>
      </c>
      <c r="DH6" s="190" t="n">
        <v>0</v>
      </c>
      <c r="DI6" s="190" t="n">
        <v>0</v>
      </c>
      <c r="DJ6" s="190" t="n">
        <v>0</v>
      </c>
      <c r="DK6" s="190" t="n">
        <v>0</v>
      </c>
      <c r="DL6" s="190" t="n">
        <v>0</v>
      </c>
      <c r="DM6" s="190" t="n">
        <v>0</v>
      </c>
      <c r="DN6" s="190" t="n">
        <v>0</v>
      </c>
      <c r="DO6" s="190" t="n">
        <v>0</v>
      </c>
      <c r="DP6" s="190" t="n">
        <v>0</v>
      </c>
      <c r="DQ6" s="190" t="n">
        <v>0</v>
      </c>
      <c r="DR6" s="190" t="n">
        <v>0</v>
      </c>
      <c r="DS6" s="190" t="n">
        <v>0</v>
      </c>
    </row>
    <row r="7" customFormat="false" ht="15" hidden="false" customHeight="true" outlineLevel="0" collapsed="false">
      <c r="B7" s="297" t="s">
        <v>3407</v>
      </c>
      <c r="D7" s="190" t="n">
        <v>0</v>
      </c>
      <c r="E7" s="190" t="n">
        <v>0</v>
      </c>
      <c r="F7" s="190" t="n">
        <v>0</v>
      </c>
      <c r="G7" s="190" t="n">
        <v>0</v>
      </c>
      <c r="H7" s="190" t="n">
        <v>0</v>
      </c>
      <c r="I7" s="190" t="n">
        <v>0</v>
      </c>
      <c r="J7" s="190" t="n">
        <v>1</v>
      </c>
      <c r="K7" s="190" t="n">
        <v>2</v>
      </c>
      <c r="L7" s="190" t="n">
        <v>0</v>
      </c>
      <c r="M7" s="190" t="n">
        <v>0</v>
      </c>
      <c r="N7" s="190" t="n">
        <v>0</v>
      </c>
      <c r="O7" s="190" t="n">
        <v>0</v>
      </c>
      <c r="P7" s="190" t="n">
        <v>0</v>
      </c>
      <c r="Q7" s="190" t="n">
        <v>0</v>
      </c>
      <c r="R7" s="190" t="n">
        <v>0</v>
      </c>
      <c r="S7" s="190" t="n">
        <v>0</v>
      </c>
      <c r="T7" s="190" t="n">
        <v>0</v>
      </c>
      <c r="U7" s="190" t="n">
        <v>0</v>
      </c>
      <c r="V7" s="190" t="n">
        <v>0</v>
      </c>
      <c r="W7" s="190" t="n">
        <v>0</v>
      </c>
      <c r="X7" s="190" t="n">
        <v>0</v>
      </c>
      <c r="Y7" s="190" t="n">
        <v>0</v>
      </c>
      <c r="Z7" s="190" t="n">
        <v>0</v>
      </c>
      <c r="AA7" s="190" t="n">
        <v>0</v>
      </c>
      <c r="AB7" s="190" t="n">
        <v>0</v>
      </c>
      <c r="AC7" s="190" t="n">
        <v>0</v>
      </c>
      <c r="AD7" s="190" t="n">
        <v>0</v>
      </c>
      <c r="AE7" s="190" t="n">
        <v>0</v>
      </c>
      <c r="AF7" s="190" t="n">
        <v>0</v>
      </c>
      <c r="AG7" s="190" t="n">
        <v>0</v>
      </c>
      <c r="AH7" s="190" t="n">
        <v>0</v>
      </c>
      <c r="AI7" s="190" t="n">
        <v>0</v>
      </c>
      <c r="AJ7" s="190" t="n">
        <v>0</v>
      </c>
      <c r="AK7" s="190" t="n">
        <v>0</v>
      </c>
      <c r="AL7" s="190" t="n">
        <v>0</v>
      </c>
      <c r="AM7" s="190" t="n">
        <v>0</v>
      </c>
      <c r="AN7" s="190" t="n">
        <v>0</v>
      </c>
      <c r="AO7" s="190" t="n">
        <v>0</v>
      </c>
      <c r="AP7" s="190" t="n">
        <v>0</v>
      </c>
      <c r="AQ7" s="190" t="n">
        <v>0</v>
      </c>
      <c r="AR7" s="190" t="n">
        <v>0</v>
      </c>
      <c r="AS7" s="190" t="n">
        <v>0</v>
      </c>
      <c r="AT7" s="190" t="n">
        <v>0</v>
      </c>
      <c r="AU7" s="190" t="n">
        <v>0</v>
      </c>
      <c r="AV7" s="190" t="n">
        <v>0</v>
      </c>
      <c r="AW7" s="190" t="n">
        <v>0</v>
      </c>
      <c r="AX7" s="190" t="n">
        <v>0</v>
      </c>
      <c r="AY7" s="190" t="n">
        <v>0</v>
      </c>
      <c r="AZ7" s="190" t="n">
        <v>0</v>
      </c>
      <c r="BA7" s="190" t="n">
        <v>0</v>
      </c>
      <c r="BB7" s="190" t="n">
        <v>0</v>
      </c>
      <c r="BC7" s="190" t="n">
        <v>0</v>
      </c>
      <c r="BD7" s="190" t="n">
        <v>0</v>
      </c>
      <c r="BE7" s="190" t="n">
        <v>0</v>
      </c>
      <c r="BF7" s="190" t="n">
        <v>0</v>
      </c>
      <c r="BG7" s="190" t="n">
        <v>0</v>
      </c>
      <c r="BH7" s="190" t="n">
        <v>0</v>
      </c>
      <c r="BI7" s="190" t="n">
        <v>0</v>
      </c>
      <c r="BJ7" s="190" t="n">
        <v>0</v>
      </c>
      <c r="BK7" s="190" t="n">
        <v>0</v>
      </c>
      <c r="BL7" s="190" t="n">
        <v>0</v>
      </c>
      <c r="BM7" s="190" t="n">
        <v>0</v>
      </c>
      <c r="BN7" s="190" t="n">
        <v>0</v>
      </c>
      <c r="BO7" s="190" t="n">
        <v>0</v>
      </c>
      <c r="BP7" s="190" t="n">
        <v>0</v>
      </c>
      <c r="BQ7" s="190" t="n">
        <v>0</v>
      </c>
      <c r="BR7" s="190" t="n">
        <v>0</v>
      </c>
      <c r="BS7" s="190" t="n">
        <v>0</v>
      </c>
      <c r="BT7" s="190" t="n">
        <v>0</v>
      </c>
      <c r="BU7" s="190" t="n">
        <v>0</v>
      </c>
      <c r="BV7" s="190" t="n">
        <v>0</v>
      </c>
      <c r="BW7" s="190" t="n">
        <v>0</v>
      </c>
      <c r="BX7" s="190" t="n">
        <v>0</v>
      </c>
      <c r="BY7" s="190" t="n">
        <v>0</v>
      </c>
      <c r="BZ7" s="190" t="n">
        <v>0</v>
      </c>
      <c r="CA7" s="190" t="n">
        <v>0</v>
      </c>
      <c r="CB7" s="190" t="n">
        <v>0</v>
      </c>
      <c r="CC7" s="190" t="n">
        <v>0</v>
      </c>
      <c r="CD7" s="190" t="n">
        <v>0</v>
      </c>
      <c r="CE7" s="190" t="n">
        <v>0</v>
      </c>
      <c r="CF7" s="190" t="n">
        <v>0</v>
      </c>
      <c r="CG7" s="190" t="n">
        <v>0</v>
      </c>
      <c r="CH7" s="190" t="n">
        <v>0</v>
      </c>
      <c r="CI7" s="190" t="n">
        <v>0</v>
      </c>
      <c r="CJ7" s="190" t="n">
        <v>0</v>
      </c>
      <c r="CK7" s="190" t="n">
        <v>0</v>
      </c>
      <c r="CL7" s="190" t="n">
        <v>0</v>
      </c>
      <c r="CM7" s="190" t="n">
        <v>0</v>
      </c>
      <c r="CN7" s="190" t="n">
        <v>0</v>
      </c>
      <c r="CO7" s="190" t="n">
        <v>0</v>
      </c>
      <c r="CP7" s="190" t="n">
        <v>0</v>
      </c>
      <c r="CQ7" s="190" t="n">
        <v>0</v>
      </c>
      <c r="CR7" s="190" t="n">
        <v>0</v>
      </c>
      <c r="CS7" s="190" t="n">
        <v>0</v>
      </c>
      <c r="CT7" s="190" t="n">
        <v>0</v>
      </c>
      <c r="CU7" s="190" t="n">
        <v>0</v>
      </c>
      <c r="CV7" s="190" t="n">
        <v>0</v>
      </c>
      <c r="CW7" s="190" t="n">
        <v>0</v>
      </c>
      <c r="CX7" s="190" t="n">
        <v>0</v>
      </c>
      <c r="CY7" s="190" t="n">
        <v>0</v>
      </c>
      <c r="CZ7" s="190" t="n">
        <v>0</v>
      </c>
      <c r="DA7" s="190" t="n">
        <v>0</v>
      </c>
      <c r="DB7" s="190" t="n">
        <v>0</v>
      </c>
      <c r="DC7" s="190" t="n">
        <v>0</v>
      </c>
      <c r="DD7" s="190" t="n">
        <v>0</v>
      </c>
      <c r="DE7" s="190" t="n">
        <v>0</v>
      </c>
      <c r="DF7" s="190" t="n">
        <v>0</v>
      </c>
      <c r="DG7" s="190" t="n">
        <v>0</v>
      </c>
      <c r="DH7" s="190" t="n">
        <v>0</v>
      </c>
      <c r="DI7" s="190" t="n">
        <v>0</v>
      </c>
      <c r="DJ7" s="190" t="n">
        <v>0</v>
      </c>
      <c r="DK7" s="190" t="n">
        <v>0</v>
      </c>
      <c r="DL7" s="190" t="n">
        <v>0</v>
      </c>
      <c r="DM7" s="190" t="n">
        <v>0</v>
      </c>
      <c r="DN7" s="190" t="n">
        <v>0</v>
      </c>
      <c r="DO7" s="190" t="n">
        <v>0</v>
      </c>
      <c r="DP7" s="190" t="n">
        <v>0</v>
      </c>
      <c r="DQ7" s="190" t="n">
        <v>0</v>
      </c>
      <c r="DR7" s="190" t="n">
        <v>0</v>
      </c>
      <c r="DS7" s="190" t="n">
        <v>0</v>
      </c>
    </row>
    <row r="8" customFormat="false" ht="15" hidden="false" customHeight="true" outlineLevel="0" collapsed="false">
      <c r="B8" s="297" t="s">
        <v>3408</v>
      </c>
      <c r="D8" s="298" t="n">
        <f aca="false">D6</f>
        <v>0</v>
      </c>
      <c r="E8" s="298" t="n">
        <f aca="false">D8+E6</f>
        <v>0</v>
      </c>
      <c r="F8" s="298" t="n">
        <f aca="false">E8+F6</f>
        <v>0</v>
      </c>
      <c r="G8" s="298" t="n">
        <f aca="false">F8+G6</f>
        <v>2</v>
      </c>
      <c r="H8" s="298" t="n">
        <f aca="false">G8+H6</f>
        <v>4</v>
      </c>
      <c r="I8" s="298" t="n">
        <f aca="false">H8+I6</f>
        <v>6</v>
      </c>
      <c r="J8" s="298" t="n">
        <f aca="false">I8+J6</f>
        <v>7</v>
      </c>
      <c r="K8" s="298" t="n">
        <f aca="false">J8+K6</f>
        <v>7</v>
      </c>
      <c r="L8" s="298" t="n">
        <f aca="false">K8+L6</f>
        <v>7</v>
      </c>
      <c r="M8" s="298" t="n">
        <f aca="false">L8+M6</f>
        <v>7</v>
      </c>
      <c r="N8" s="298" t="n">
        <f aca="false">M8+N6</f>
        <v>7</v>
      </c>
      <c r="O8" s="298" t="n">
        <f aca="false">N8+O6</f>
        <v>7</v>
      </c>
      <c r="P8" s="298" t="n">
        <f aca="false">O8+P6</f>
        <v>7</v>
      </c>
      <c r="Q8" s="298" t="n">
        <f aca="false">P8+Q6</f>
        <v>7</v>
      </c>
      <c r="R8" s="298" t="n">
        <f aca="false">Q8+R6</f>
        <v>7</v>
      </c>
      <c r="S8" s="298" t="n">
        <f aca="false">R8+S6</f>
        <v>7</v>
      </c>
      <c r="T8" s="298" t="n">
        <f aca="false">S8+T6</f>
        <v>7</v>
      </c>
      <c r="U8" s="298" t="n">
        <f aca="false">T8+U6</f>
        <v>7</v>
      </c>
      <c r="V8" s="298" t="n">
        <f aca="false">U8+V6</f>
        <v>7</v>
      </c>
      <c r="W8" s="298" t="n">
        <f aca="false">V8+W6</f>
        <v>7</v>
      </c>
      <c r="X8" s="298" t="n">
        <f aca="false">W8+X6</f>
        <v>7</v>
      </c>
      <c r="Y8" s="298" t="n">
        <f aca="false">X8+Y6</f>
        <v>7</v>
      </c>
      <c r="Z8" s="298" t="n">
        <f aca="false">Y8+Z6</f>
        <v>7</v>
      </c>
      <c r="AA8" s="298" t="n">
        <f aca="false">Z8+AA6</f>
        <v>7</v>
      </c>
      <c r="AB8" s="298" t="n">
        <f aca="false">AA8+AB6</f>
        <v>7</v>
      </c>
      <c r="AC8" s="298" t="n">
        <f aca="false">AB8+AC6</f>
        <v>7</v>
      </c>
      <c r="AD8" s="298" t="n">
        <f aca="false">AC8+AD6</f>
        <v>7</v>
      </c>
      <c r="AE8" s="298" t="n">
        <f aca="false">AD8+AE6</f>
        <v>7</v>
      </c>
      <c r="AF8" s="298" t="n">
        <f aca="false">AE8+AF6</f>
        <v>7</v>
      </c>
      <c r="AG8" s="298" t="n">
        <f aca="false">AF8+AG6</f>
        <v>7</v>
      </c>
      <c r="AH8" s="298" t="n">
        <f aca="false">AG8+AH6</f>
        <v>7</v>
      </c>
      <c r="AI8" s="298" t="n">
        <f aca="false">AH8+AI6</f>
        <v>7</v>
      </c>
      <c r="AJ8" s="298" t="n">
        <f aca="false">AI8+AJ6</f>
        <v>7</v>
      </c>
      <c r="AK8" s="298" t="n">
        <f aca="false">AJ8+AK6</f>
        <v>7</v>
      </c>
      <c r="AL8" s="298" t="n">
        <f aca="false">AK8+AL6</f>
        <v>7</v>
      </c>
      <c r="AM8" s="298" t="n">
        <f aca="false">AL8+AM6</f>
        <v>7</v>
      </c>
      <c r="AN8" s="298" t="n">
        <f aca="false">AM8+AN6</f>
        <v>7</v>
      </c>
      <c r="AO8" s="298" t="n">
        <f aca="false">AN8+AO6</f>
        <v>7</v>
      </c>
      <c r="AP8" s="298" t="n">
        <f aca="false">AO8+AP6</f>
        <v>7</v>
      </c>
      <c r="AQ8" s="298" t="n">
        <f aca="false">AP8+AQ6</f>
        <v>7</v>
      </c>
      <c r="AR8" s="298" t="n">
        <f aca="false">AQ8+AR6</f>
        <v>7</v>
      </c>
      <c r="AS8" s="298" t="n">
        <f aca="false">AR8+AS6</f>
        <v>7</v>
      </c>
      <c r="AT8" s="298" t="n">
        <f aca="false">AS8+AT6</f>
        <v>7</v>
      </c>
      <c r="AU8" s="298" t="n">
        <f aca="false">AT8+AU6</f>
        <v>7</v>
      </c>
      <c r="AV8" s="298" t="n">
        <f aca="false">AU8+AV6</f>
        <v>7</v>
      </c>
      <c r="AW8" s="298" t="n">
        <f aca="false">AV8+AW6</f>
        <v>7</v>
      </c>
      <c r="AX8" s="298" t="n">
        <f aca="false">AW8+AX6</f>
        <v>7</v>
      </c>
      <c r="AY8" s="298" t="n">
        <f aca="false">AX8+AY6</f>
        <v>7</v>
      </c>
      <c r="AZ8" s="298" t="n">
        <f aca="false">AY8+AZ6</f>
        <v>7</v>
      </c>
      <c r="BA8" s="298" t="n">
        <f aca="false">AZ8+BA6</f>
        <v>7</v>
      </c>
      <c r="BB8" s="298" t="n">
        <f aca="false">BA8+BB6</f>
        <v>7</v>
      </c>
      <c r="BC8" s="298" t="n">
        <f aca="false">BB8+BC6</f>
        <v>7</v>
      </c>
      <c r="BD8" s="298" t="n">
        <f aca="false">BC8+BD6</f>
        <v>7</v>
      </c>
      <c r="BE8" s="298" t="n">
        <f aca="false">BD8+BE6</f>
        <v>7</v>
      </c>
      <c r="BF8" s="298" t="n">
        <f aca="false">BE8+BF6</f>
        <v>7</v>
      </c>
      <c r="BG8" s="298" t="n">
        <f aca="false">BF8+BG6</f>
        <v>7</v>
      </c>
      <c r="BH8" s="298" t="n">
        <f aca="false">BG8+BH6</f>
        <v>7</v>
      </c>
      <c r="BI8" s="298" t="n">
        <f aca="false">BH8+BI6</f>
        <v>7</v>
      </c>
      <c r="BJ8" s="298" t="n">
        <f aca="false">BI8+BJ6</f>
        <v>7</v>
      </c>
      <c r="BK8" s="298" t="n">
        <f aca="false">BJ8+BK6</f>
        <v>7</v>
      </c>
      <c r="BL8" s="298" t="n">
        <f aca="false">BK8+BL6</f>
        <v>7</v>
      </c>
      <c r="BM8" s="298" t="n">
        <f aca="false">BL8+BM6</f>
        <v>7</v>
      </c>
      <c r="BN8" s="298" t="n">
        <f aca="false">BM8+BN6</f>
        <v>7</v>
      </c>
      <c r="BO8" s="298" t="n">
        <f aca="false">BN8+BO6</f>
        <v>7</v>
      </c>
      <c r="BP8" s="298" t="n">
        <f aca="false">BO8+BP6</f>
        <v>7</v>
      </c>
      <c r="BQ8" s="298" t="n">
        <f aca="false">BP8+BQ6</f>
        <v>7</v>
      </c>
      <c r="BR8" s="298" t="n">
        <f aca="false">BQ8+BR6</f>
        <v>7</v>
      </c>
      <c r="BS8" s="298" t="n">
        <f aca="false">BR8+BS6</f>
        <v>7</v>
      </c>
      <c r="BT8" s="298" t="n">
        <f aca="false">BS8+BT6</f>
        <v>7</v>
      </c>
      <c r="BU8" s="298" t="n">
        <f aca="false">BT8+BU6</f>
        <v>7</v>
      </c>
      <c r="BV8" s="298" t="n">
        <f aca="false">BU8+BV6</f>
        <v>7</v>
      </c>
      <c r="BW8" s="298" t="n">
        <f aca="false">BV8+BW6</f>
        <v>7</v>
      </c>
      <c r="BX8" s="298" t="n">
        <f aca="false">BW8+BX6</f>
        <v>7</v>
      </c>
      <c r="BY8" s="298" t="n">
        <f aca="false">BX8+BY6</f>
        <v>7</v>
      </c>
      <c r="BZ8" s="298" t="n">
        <f aca="false">BY8+BZ6</f>
        <v>7</v>
      </c>
      <c r="CA8" s="298" t="n">
        <f aca="false">BZ8+CA6</f>
        <v>7</v>
      </c>
      <c r="CB8" s="298" t="n">
        <f aca="false">CA8+CB6</f>
        <v>7</v>
      </c>
      <c r="CC8" s="298" t="n">
        <f aca="false">CB8+CC6</f>
        <v>7</v>
      </c>
      <c r="CD8" s="298" t="n">
        <f aca="false">CC8+CD6</f>
        <v>7</v>
      </c>
      <c r="CE8" s="298" t="n">
        <f aca="false">CD8+CE6</f>
        <v>7</v>
      </c>
      <c r="CF8" s="298" t="n">
        <f aca="false">CE8+CF6</f>
        <v>7</v>
      </c>
      <c r="CG8" s="298" t="n">
        <f aca="false">CF8+CG6</f>
        <v>7</v>
      </c>
      <c r="CH8" s="298" t="n">
        <f aca="false">CG8+CH6</f>
        <v>7</v>
      </c>
      <c r="CI8" s="298" t="n">
        <f aca="false">CH8+CI6</f>
        <v>7</v>
      </c>
      <c r="CJ8" s="298" t="n">
        <f aca="false">CI8+CJ6</f>
        <v>7</v>
      </c>
      <c r="CK8" s="298" t="n">
        <f aca="false">CJ8+CK6</f>
        <v>7</v>
      </c>
      <c r="CL8" s="298" t="n">
        <f aca="false">CK8+CL6</f>
        <v>7</v>
      </c>
      <c r="CM8" s="298" t="n">
        <f aca="false">CL8+CM6</f>
        <v>7</v>
      </c>
      <c r="CN8" s="298" t="n">
        <f aca="false">CM8+CN6</f>
        <v>7</v>
      </c>
      <c r="CO8" s="298" t="n">
        <f aca="false">CN8+CO6</f>
        <v>7</v>
      </c>
      <c r="CP8" s="298" t="n">
        <f aca="false">CO8+CP6</f>
        <v>7</v>
      </c>
      <c r="CQ8" s="298" t="n">
        <f aca="false">CP8+CQ6</f>
        <v>7</v>
      </c>
      <c r="CR8" s="298" t="n">
        <f aca="false">CQ8+CR6</f>
        <v>7</v>
      </c>
      <c r="CS8" s="298" t="n">
        <f aca="false">CR8+CS6</f>
        <v>7</v>
      </c>
      <c r="CT8" s="298" t="n">
        <f aca="false">CS8+CT6</f>
        <v>7</v>
      </c>
      <c r="CU8" s="298" t="n">
        <f aca="false">CT8+CU6</f>
        <v>7</v>
      </c>
      <c r="CV8" s="298" t="n">
        <f aca="false">CU8+CV6</f>
        <v>7</v>
      </c>
      <c r="CW8" s="298" t="n">
        <f aca="false">CV8+CW6</f>
        <v>7</v>
      </c>
      <c r="CX8" s="298" t="n">
        <f aca="false">CW8+CX6</f>
        <v>7</v>
      </c>
      <c r="CY8" s="298" t="n">
        <f aca="false">CX8+CY6</f>
        <v>7</v>
      </c>
      <c r="CZ8" s="298" t="n">
        <f aca="false">CY8+CZ6</f>
        <v>7</v>
      </c>
      <c r="DA8" s="298" t="n">
        <f aca="false">CZ8+DA6</f>
        <v>7</v>
      </c>
      <c r="DB8" s="298" t="n">
        <f aca="false">DA8+DB6</f>
        <v>7</v>
      </c>
      <c r="DC8" s="298" t="n">
        <f aca="false">DB8+DC6</f>
        <v>7</v>
      </c>
      <c r="DD8" s="298" t="n">
        <f aca="false">DC8+DD6</f>
        <v>7</v>
      </c>
      <c r="DE8" s="298" t="n">
        <f aca="false">DD8+DE6</f>
        <v>7</v>
      </c>
      <c r="DF8" s="298" t="n">
        <f aca="false">DE8+DF6</f>
        <v>7</v>
      </c>
      <c r="DG8" s="298" t="n">
        <f aca="false">DF8+DG6</f>
        <v>7</v>
      </c>
      <c r="DH8" s="298" t="n">
        <f aca="false">DG8+DH6</f>
        <v>7</v>
      </c>
      <c r="DI8" s="298" t="n">
        <f aca="false">DH8+DI6</f>
        <v>7</v>
      </c>
      <c r="DJ8" s="298" t="n">
        <f aca="false">DI8+DJ6</f>
        <v>7</v>
      </c>
      <c r="DK8" s="298" t="n">
        <f aca="false">DJ8+DK6</f>
        <v>7</v>
      </c>
      <c r="DL8" s="298" t="n">
        <f aca="false">DK8+DL6</f>
        <v>7</v>
      </c>
      <c r="DM8" s="298" t="n">
        <f aca="false">DL8+DM6</f>
        <v>7</v>
      </c>
      <c r="DN8" s="298" t="n">
        <f aca="false">DM8+DN6</f>
        <v>7</v>
      </c>
      <c r="DO8" s="298" t="n">
        <f aca="false">DN8+DO6</f>
        <v>7</v>
      </c>
      <c r="DP8" s="298" t="n">
        <f aca="false">DO8+DP6</f>
        <v>7</v>
      </c>
      <c r="DQ8" s="298" t="n">
        <f aca="false">DP8+DQ6</f>
        <v>7</v>
      </c>
      <c r="DR8" s="298" t="n">
        <f aca="false">DQ8+DR6</f>
        <v>7</v>
      </c>
      <c r="DS8" s="298" t="n">
        <f aca="false">DR8+DS6</f>
        <v>7</v>
      </c>
    </row>
    <row r="9" customFormat="false" ht="15" hidden="false" customHeight="true" outlineLevel="0" collapsed="false">
      <c r="B9" s="297" t="s">
        <v>3409</v>
      </c>
      <c r="D9" s="298" t="n">
        <f aca="false">D7</f>
        <v>0</v>
      </c>
      <c r="E9" s="298" t="n">
        <f aca="false">D9+E7</f>
        <v>0</v>
      </c>
      <c r="F9" s="298" t="n">
        <f aca="false">E9+F7</f>
        <v>0</v>
      </c>
      <c r="G9" s="298" t="n">
        <f aca="false">F9+G7</f>
        <v>0</v>
      </c>
      <c r="H9" s="298" t="n">
        <f aca="false">G9+H7</f>
        <v>0</v>
      </c>
      <c r="I9" s="298" t="n">
        <f aca="false">H9+I7</f>
        <v>0</v>
      </c>
      <c r="J9" s="298" t="n">
        <f aca="false">I9+J7</f>
        <v>1</v>
      </c>
      <c r="K9" s="298" t="n">
        <f aca="false">J9+K7</f>
        <v>3</v>
      </c>
      <c r="L9" s="298" t="n">
        <f aca="false">K9+L7</f>
        <v>3</v>
      </c>
      <c r="M9" s="298" t="n">
        <f aca="false">L9+M7</f>
        <v>3</v>
      </c>
      <c r="N9" s="298" t="n">
        <f aca="false">M9+N7</f>
        <v>3</v>
      </c>
      <c r="O9" s="298" t="n">
        <f aca="false">N9+O7</f>
        <v>3</v>
      </c>
      <c r="P9" s="298" t="n">
        <f aca="false">O9+P7</f>
        <v>3</v>
      </c>
      <c r="Q9" s="298" t="n">
        <f aca="false">P9+Q7</f>
        <v>3</v>
      </c>
      <c r="R9" s="298" t="n">
        <f aca="false">Q9+R7</f>
        <v>3</v>
      </c>
      <c r="S9" s="298" t="n">
        <f aca="false">R9+S7</f>
        <v>3</v>
      </c>
      <c r="T9" s="298" t="n">
        <f aca="false">S9+T7</f>
        <v>3</v>
      </c>
      <c r="U9" s="298" t="n">
        <f aca="false">T9+U7</f>
        <v>3</v>
      </c>
      <c r="V9" s="298" t="n">
        <f aca="false">U9+V7</f>
        <v>3</v>
      </c>
      <c r="W9" s="298" t="n">
        <f aca="false">V9+W7</f>
        <v>3</v>
      </c>
      <c r="X9" s="298" t="n">
        <f aca="false">W9+X7</f>
        <v>3</v>
      </c>
      <c r="Y9" s="298" t="n">
        <f aca="false">X9+Y7</f>
        <v>3</v>
      </c>
      <c r="Z9" s="298" t="n">
        <f aca="false">Y9+Z7</f>
        <v>3</v>
      </c>
      <c r="AA9" s="298" t="n">
        <f aca="false">Z9+AA7</f>
        <v>3</v>
      </c>
      <c r="AB9" s="298" t="n">
        <f aca="false">AA9+AB7</f>
        <v>3</v>
      </c>
      <c r="AC9" s="298" t="n">
        <f aca="false">AB9+AC7</f>
        <v>3</v>
      </c>
      <c r="AD9" s="298" t="n">
        <f aca="false">AC9+AD7</f>
        <v>3</v>
      </c>
      <c r="AE9" s="298" t="n">
        <f aca="false">AD9+AE7</f>
        <v>3</v>
      </c>
      <c r="AF9" s="298" t="n">
        <f aca="false">AE9+AF7</f>
        <v>3</v>
      </c>
      <c r="AG9" s="298" t="n">
        <f aca="false">AF9+AG7</f>
        <v>3</v>
      </c>
      <c r="AH9" s="298" t="n">
        <f aca="false">AG9+AH7</f>
        <v>3</v>
      </c>
      <c r="AI9" s="298" t="n">
        <f aca="false">AH9+AI7</f>
        <v>3</v>
      </c>
      <c r="AJ9" s="298" t="n">
        <f aca="false">AI9+AJ7</f>
        <v>3</v>
      </c>
      <c r="AK9" s="298" t="n">
        <f aca="false">AJ9+AK7</f>
        <v>3</v>
      </c>
      <c r="AL9" s="298" t="n">
        <f aca="false">AK9+AL7</f>
        <v>3</v>
      </c>
      <c r="AM9" s="298" t="n">
        <f aca="false">AL9+AM7</f>
        <v>3</v>
      </c>
      <c r="AN9" s="298" t="n">
        <f aca="false">AM9+AN7</f>
        <v>3</v>
      </c>
      <c r="AO9" s="298" t="n">
        <f aca="false">AN9+AO7</f>
        <v>3</v>
      </c>
      <c r="AP9" s="298" t="n">
        <f aca="false">AO9+AP7</f>
        <v>3</v>
      </c>
      <c r="AQ9" s="298" t="n">
        <f aca="false">AP9+AQ7</f>
        <v>3</v>
      </c>
      <c r="AR9" s="298" t="n">
        <f aca="false">AQ9+AR7</f>
        <v>3</v>
      </c>
      <c r="AS9" s="298" t="n">
        <f aca="false">AR9+AS7</f>
        <v>3</v>
      </c>
      <c r="AT9" s="298" t="n">
        <f aca="false">AS9+AT7</f>
        <v>3</v>
      </c>
      <c r="AU9" s="298" t="n">
        <f aca="false">AT9+AU7</f>
        <v>3</v>
      </c>
      <c r="AV9" s="298" t="n">
        <f aca="false">AU9+AV7</f>
        <v>3</v>
      </c>
      <c r="AW9" s="298" t="n">
        <f aca="false">AV9+AW7</f>
        <v>3</v>
      </c>
      <c r="AX9" s="298" t="n">
        <f aca="false">AW9+AX7</f>
        <v>3</v>
      </c>
      <c r="AY9" s="298" t="n">
        <f aca="false">AX9+AY7</f>
        <v>3</v>
      </c>
      <c r="AZ9" s="298" t="n">
        <f aca="false">AY9+AZ7</f>
        <v>3</v>
      </c>
      <c r="BA9" s="298" t="n">
        <f aca="false">AZ9+BA7</f>
        <v>3</v>
      </c>
      <c r="BB9" s="298" t="n">
        <f aca="false">BA9+BB7</f>
        <v>3</v>
      </c>
      <c r="BC9" s="298" t="n">
        <f aca="false">BB9+BC7</f>
        <v>3</v>
      </c>
      <c r="BD9" s="298" t="n">
        <f aca="false">BC9+BD7</f>
        <v>3</v>
      </c>
      <c r="BE9" s="298" t="n">
        <f aca="false">BD9+BE7</f>
        <v>3</v>
      </c>
      <c r="BF9" s="298" t="n">
        <f aca="false">BE9+BF7</f>
        <v>3</v>
      </c>
      <c r="BG9" s="298" t="n">
        <f aca="false">BF9+BG7</f>
        <v>3</v>
      </c>
      <c r="BH9" s="298" t="n">
        <f aca="false">BG9+BH7</f>
        <v>3</v>
      </c>
      <c r="BI9" s="298" t="n">
        <f aca="false">BH9+BI7</f>
        <v>3</v>
      </c>
      <c r="BJ9" s="298" t="n">
        <f aca="false">BI9+BJ7</f>
        <v>3</v>
      </c>
      <c r="BK9" s="298" t="n">
        <f aca="false">BJ9+BK7</f>
        <v>3</v>
      </c>
      <c r="BL9" s="298" t="n">
        <f aca="false">BK9+BL7</f>
        <v>3</v>
      </c>
      <c r="BM9" s="298" t="n">
        <f aca="false">BL9+BM7</f>
        <v>3</v>
      </c>
      <c r="BN9" s="298" t="n">
        <f aca="false">BM9+BN7</f>
        <v>3</v>
      </c>
      <c r="BO9" s="298" t="n">
        <f aca="false">BN9+BO7</f>
        <v>3</v>
      </c>
      <c r="BP9" s="298" t="n">
        <f aca="false">BO9+BP7</f>
        <v>3</v>
      </c>
      <c r="BQ9" s="298" t="n">
        <f aca="false">BP9+BQ7</f>
        <v>3</v>
      </c>
      <c r="BR9" s="298" t="n">
        <f aca="false">BQ9+BR7</f>
        <v>3</v>
      </c>
      <c r="BS9" s="298" t="n">
        <f aca="false">BR9+BS7</f>
        <v>3</v>
      </c>
      <c r="BT9" s="298" t="n">
        <f aca="false">BS9+BT7</f>
        <v>3</v>
      </c>
      <c r="BU9" s="298" t="n">
        <f aca="false">BT9+BU7</f>
        <v>3</v>
      </c>
      <c r="BV9" s="298" t="n">
        <f aca="false">BU9+BV7</f>
        <v>3</v>
      </c>
      <c r="BW9" s="298" t="n">
        <f aca="false">BV9+BW7</f>
        <v>3</v>
      </c>
      <c r="BX9" s="298" t="n">
        <f aca="false">BW9+BX7</f>
        <v>3</v>
      </c>
      <c r="BY9" s="298" t="n">
        <f aca="false">BX9+BY7</f>
        <v>3</v>
      </c>
      <c r="BZ9" s="298" t="n">
        <f aca="false">BY9+BZ7</f>
        <v>3</v>
      </c>
      <c r="CA9" s="298" t="n">
        <f aca="false">BZ9+CA7</f>
        <v>3</v>
      </c>
      <c r="CB9" s="298" t="n">
        <f aca="false">CA9+CB7</f>
        <v>3</v>
      </c>
      <c r="CC9" s="298" t="n">
        <f aca="false">CB9+CC7</f>
        <v>3</v>
      </c>
      <c r="CD9" s="298" t="n">
        <f aca="false">CC9+CD7</f>
        <v>3</v>
      </c>
      <c r="CE9" s="298" t="n">
        <f aca="false">CD9+CE7</f>
        <v>3</v>
      </c>
      <c r="CF9" s="298" t="n">
        <f aca="false">CE9+CF7</f>
        <v>3</v>
      </c>
      <c r="CG9" s="298" t="n">
        <f aca="false">CF9+CG7</f>
        <v>3</v>
      </c>
      <c r="CH9" s="298" t="n">
        <f aca="false">CG9+CH7</f>
        <v>3</v>
      </c>
      <c r="CI9" s="298" t="n">
        <f aca="false">CH9+CI7</f>
        <v>3</v>
      </c>
      <c r="CJ9" s="298" t="n">
        <f aca="false">CI9+CJ7</f>
        <v>3</v>
      </c>
      <c r="CK9" s="298" t="n">
        <f aca="false">CJ9+CK7</f>
        <v>3</v>
      </c>
      <c r="CL9" s="298" t="n">
        <f aca="false">CK9+CL7</f>
        <v>3</v>
      </c>
      <c r="CM9" s="298" t="n">
        <f aca="false">CL9+CM7</f>
        <v>3</v>
      </c>
      <c r="CN9" s="298" t="n">
        <f aca="false">CM9+CN7</f>
        <v>3</v>
      </c>
      <c r="CO9" s="298" t="n">
        <f aca="false">CN9+CO7</f>
        <v>3</v>
      </c>
      <c r="CP9" s="298" t="n">
        <f aca="false">CO9+CP7</f>
        <v>3</v>
      </c>
      <c r="CQ9" s="298" t="n">
        <f aca="false">CP9+CQ7</f>
        <v>3</v>
      </c>
      <c r="CR9" s="298" t="n">
        <f aca="false">CQ9+CR7</f>
        <v>3</v>
      </c>
      <c r="CS9" s="298" t="n">
        <f aca="false">CR9+CS7</f>
        <v>3</v>
      </c>
      <c r="CT9" s="298" t="n">
        <f aca="false">CS9+CT7</f>
        <v>3</v>
      </c>
      <c r="CU9" s="298" t="n">
        <f aca="false">CT9+CU7</f>
        <v>3</v>
      </c>
      <c r="CV9" s="298" t="n">
        <f aca="false">CU9+CV7</f>
        <v>3</v>
      </c>
      <c r="CW9" s="298" t="n">
        <f aca="false">CV9+CW7</f>
        <v>3</v>
      </c>
      <c r="CX9" s="298" t="n">
        <f aca="false">CW9+CX7</f>
        <v>3</v>
      </c>
      <c r="CY9" s="298" t="n">
        <f aca="false">CX9+CY7</f>
        <v>3</v>
      </c>
      <c r="CZ9" s="298" t="n">
        <f aca="false">CY9+CZ7</f>
        <v>3</v>
      </c>
      <c r="DA9" s="298" t="n">
        <f aca="false">CZ9+DA7</f>
        <v>3</v>
      </c>
      <c r="DB9" s="298" t="n">
        <f aca="false">DA9+DB7</f>
        <v>3</v>
      </c>
      <c r="DC9" s="298" t="n">
        <f aca="false">DB9+DC7</f>
        <v>3</v>
      </c>
      <c r="DD9" s="298" t="n">
        <f aca="false">DC9+DD7</f>
        <v>3</v>
      </c>
      <c r="DE9" s="298" t="n">
        <f aca="false">DD9+DE7</f>
        <v>3</v>
      </c>
      <c r="DF9" s="298" t="n">
        <f aca="false">DE9+DF7</f>
        <v>3</v>
      </c>
      <c r="DG9" s="298" t="n">
        <f aca="false">DF9+DG7</f>
        <v>3</v>
      </c>
      <c r="DH9" s="298" t="n">
        <f aca="false">DG9+DH7</f>
        <v>3</v>
      </c>
      <c r="DI9" s="298" t="n">
        <f aca="false">DH9+DI7</f>
        <v>3</v>
      </c>
      <c r="DJ9" s="298" t="n">
        <f aca="false">DI9+DJ7</f>
        <v>3</v>
      </c>
      <c r="DK9" s="298" t="n">
        <f aca="false">DJ9+DK7</f>
        <v>3</v>
      </c>
      <c r="DL9" s="298" t="n">
        <f aca="false">DK9+DL7</f>
        <v>3</v>
      </c>
      <c r="DM9" s="298" t="n">
        <f aca="false">DL9+DM7</f>
        <v>3</v>
      </c>
      <c r="DN9" s="298" t="n">
        <f aca="false">DM9+DN7</f>
        <v>3</v>
      </c>
      <c r="DO9" s="298" t="n">
        <f aca="false">DN9+DO7</f>
        <v>3</v>
      </c>
      <c r="DP9" s="298" t="n">
        <f aca="false">DO9+DP7</f>
        <v>3</v>
      </c>
      <c r="DQ9" s="298" t="n">
        <f aca="false">DP9+DQ7</f>
        <v>3</v>
      </c>
      <c r="DR9" s="298" t="n">
        <f aca="false">DQ9+DR7</f>
        <v>3</v>
      </c>
      <c r="DS9" s="298" t="n">
        <f aca="false">DR9+DS7</f>
        <v>3</v>
      </c>
    </row>
    <row r="10" customFormat="false" ht="15" hidden="false" customHeight="true" outlineLevel="0" collapsed="false">
      <c r="B10" s="1" t="s">
        <v>3410</v>
      </c>
      <c r="C10" s="178" t="str">
        <f aca="false">IF(AND(SUM(D6:DS6)=SUP_VOLUMEN!$C$43,SUM(D7:DS7)=SUP_VOLUMEN!$C$44),"✓ mezcla OK","✗ ajustar calendario o SUP_VOLUMEN §6")</f>
        <v>✓ mezcla OK</v>
      </c>
    </row>
    <row r="11" customFormat="false" ht="15" hidden="false" customHeight="true" outlineLevel="0" collapsed="false">
      <c r="B11" s="297" t="s">
        <v>3411</v>
      </c>
      <c r="D11" s="316" t="n">
        <f aca="false">D8-(1-SUP_OPEX!$C$38)*D6-(1-SUP_OPEX!$C$39)*C6</f>
        <v>0</v>
      </c>
      <c r="E11" s="316" t="n">
        <f aca="false">E8-(1-SUP_OPEX!$C$38)*E6-(1-SUP_OPEX!$C$39)*D6</f>
        <v>0</v>
      </c>
      <c r="F11" s="316" t="n">
        <f aca="false">F8-(1-SUP_OPEX!$C$38)*F6-(1-SUP_OPEX!$C$39)*E6</f>
        <v>0</v>
      </c>
      <c r="G11" s="316" t="n">
        <f aca="false">G8-(1-SUP_OPEX!$C$38)*G6-(1-SUP_OPEX!$C$39)*F6</f>
        <v>1.4</v>
      </c>
      <c r="H11" s="316" t="n">
        <f aca="false">H8-(1-SUP_OPEX!$C$38)*H6-(1-SUP_OPEX!$C$39)*G6</f>
        <v>3.1</v>
      </c>
      <c r="I11" s="316" t="n">
        <f aca="false">I8-(1-SUP_OPEX!$C$38)*I6-(1-SUP_OPEX!$C$39)*H6</f>
        <v>5.1</v>
      </c>
      <c r="J11" s="316" t="n">
        <f aca="false">J8-(1-SUP_OPEX!$C$38)*J6-(1-SUP_OPEX!$C$39)*I6</f>
        <v>6.4</v>
      </c>
      <c r="K11" s="316" t="n">
        <f aca="false">K8-(1-SUP_OPEX!$C$38)*K6-(1-SUP_OPEX!$C$39)*J6</f>
        <v>6.85</v>
      </c>
      <c r="L11" s="316" t="n">
        <f aca="false">L8-(1-SUP_OPEX!$C$38)*L6-(1-SUP_OPEX!$C$39)*K6</f>
        <v>7</v>
      </c>
      <c r="M11" s="316" t="n">
        <f aca="false">M8-(1-SUP_OPEX!$C$38)*M6-(1-SUP_OPEX!$C$39)*L6</f>
        <v>7</v>
      </c>
      <c r="N11" s="316" t="n">
        <f aca="false">N8-(1-SUP_OPEX!$C$38)*N6-(1-SUP_OPEX!$C$39)*M6</f>
        <v>7</v>
      </c>
      <c r="O11" s="316" t="n">
        <f aca="false">O8-(1-SUP_OPEX!$C$38)*O6-(1-SUP_OPEX!$C$39)*N6</f>
        <v>7</v>
      </c>
      <c r="P11" s="316" t="n">
        <f aca="false">P8-(1-SUP_OPEX!$C$38)*P6-(1-SUP_OPEX!$C$39)*O6</f>
        <v>7</v>
      </c>
      <c r="Q11" s="316" t="n">
        <f aca="false">Q8-(1-SUP_OPEX!$C$38)*Q6-(1-SUP_OPEX!$C$39)*P6</f>
        <v>7</v>
      </c>
      <c r="R11" s="316" t="n">
        <f aca="false">R8-(1-SUP_OPEX!$C$38)*R6-(1-SUP_OPEX!$C$39)*Q6</f>
        <v>7</v>
      </c>
      <c r="S11" s="316" t="n">
        <f aca="false">S8-(1-SUP_OPEX!$C$38)*S6-(1-SUP_OPEX!$C$39)*R6</f>
        <v>7</v>
      </c>
      <c r="T11" s="316" t="n">
        <f aca="false">T8-(1-SUP_OPEX!$C$38)*T6-(1-SUP_OPEX!$C$39)*S6</f>
        <v>7</v>
      </c>
      <c r="U11" s="316" t="n">
        <f aca="false">U8-(1-SUP_OPEX!$C$38)*U6-(1-SUP_OPEX!$C$39)*T6</f>
        <v>7</v>
      </c>
      <c r="V11" s="316" t="n">
        <f aca="false">V8-(1-SUP_OPEX!$C$38)*V6-(1-SUP_OPEX!$C$39)*U6</f>
        <v>7</v>
      </c>
      <c r="W11" s="316" t="n">
        <f aca="false">W8-(1-SUP_OPEX!$C$38)*W6-(1-SUP_OPEX!$C$39)*V6</f>
        <v>7</v>
      </c>
      <c r="X11" s="316" t="n">
        <f aca="false">X8-(1-SUP_OPEX!$C$38)*X6-(1-SUP_OPEX!$C$39)*W6</f>
        <v>7</v>
      </c>
      <c r="Y11" s="316" t="n">
        <f aca="false">Y8-(1-SUP_OPEX!$C$38)*Y6-(1-SUP_OPEX!$C$39)*X6</f>
        <v>7</v>
      </c>
      <c r="Z11" s="316" t="n">
        <f aca="false">Z8-(1-SUP_OPEX!$C$38)*Z6-(1-SUP_OPEX!$C$39)*Y6</f>
        <v>7</v>
      </c>
      <c r="AA11" s="316" t="n">
        <f aca="false">AA8-(1-SUP_OPEX!$C$38)*AA6-(1-SUP_OPEX!$C$39)*Z6</f>
        <v>7</v>
      </c>
      <c r="AB11" s="316" t="n">
        <f aca="false">AB8-(1-SUP_OPEX!$C$38)*AB6-(1-SUP_OPEX!$C$39)*AA6</f>
        <v>7</v>
      </c>
      <c r="AC11" s="316" t="n">
        <f aca="false">AC8-(1-SUP_OPEX!$C$38)*AC6-(1-SUP_OPEX!$C$39)*AB6</f>
        <v>7</v>
      </c>
      <c r="AD11" s="316" t="n">
        <f aca="false">AD8-(1-SUP_OPEX!$C$38)*AD6-(1-SUP_OPEX!$C$39)*AC6</f>
        <v>7</v>
      </c>
      <c r="AE11" s="316" t="n">
        <f aca="false">AE8-(1-SUP_OPEX!$C$38)*AE6-(1-SUP_OPEX!$C$39)*AD6</f>
        <v>7</v>
      </c>
      <c r="AF11" s="316" t="n">
        <f aca="false">AF8-(1-SUP_OPEX!$C$38)*AF6-(1-SUP_OPEX!$C$39)*AE6</f>
        <v>7</v>
      </c>
      <c r="AG11" s="316" t="n">
        <f aca="false">AG8-(1-SUP_OPEX!$C$38)*AG6-(1-SUP_OPEX!$C$39)*AF6</f>
        <v>7</v>
      </c>
      <c r="AH11" s="316" t="n">
        <f aca="false">AH8-(1-SUP_OPEX!$C$38)*AH6-(1-SUP_OPEX!$C$39)*AG6</f>
        <v>7</v>
      </c>
      <c r="AI11" s="316" t="n">
        <f aca="false">AI8-(1-SUP_OPEX!$C$38)*AI6-(1-SUP_OPEX!$C$39)*AH6</f>
        <v>7</v>
      </c>
      <c r="AJ11" s="316" t="n">
        <f aca="false">AJ8-(1-SUP_OPEX!$C$38)*AJ6-(1-SUP_OPEX!$C$39)*AI6</f>
        <v>7</v>
      </c>
      <c r="AK11" s="316" t="n">
        <f aca="false">AK8-(1-SUP_OPEX!$C$38)*AK6-(1-SUP_OPEX!$C$39)*AJ6</f>
        <v>7</v>
      </c>
      <c r="AL11" s="316" t="n">
        <f aca="false">AL8-(1-SUP_OPEX!$C$38)*AL6-(1-SUP_OPEX!$C$39)*AK6</f>
        <v>7</v>
      </c>
      <c r="AM11" s="316" t="n">
        <f aca="false">AM8-(1-SUP_OPEX!$C$38)*AM6-(1-SUP_OPEX!$C$39)*AL6</f>
        <v>7</v>
      </c>
      <c r="AN11" s="316" t="n">
        <f aca="false">AN8-(1-SUP_OPEX!$C$38)*AN6-(1-SUP_OPEX!$C$39)*AM6</f>
        <v>7</v>
      </c>
      <c r="AO11" s="316" t="n">
        <f aca="false">AO8-(1-SUP_OPEX!$C$38)*AO6-(1-SUP_OPEX!$C$39)*AN6</f>
        <v>7</v>
      </c>
      <c r="AP11" s="316" t="n">
        <f aca="false">AP8-(1-SUP_OPEX!$C$38)*AP6-(1-SUP_OPEX!$C$39)*AO6</f>
        <v>7</v>
      </c>
      <c r="AQ11" s="316" t="n">
        <f aca="false">AQ8-(1-SUP_OPEX!$C$38)*AQ6-(1-SUP_OPEX!$C$39)*AP6</f>
        <v>7</v>
      </c>
      <c r="AR11" s="316" t="n">
        <f aca="false">AR8-(1-SUP_OPEX!$C$38)*AR6-(1-SUP_OPEX!$C$39)*AQ6</f>
        <v>7</v>
      </c>
      <c r="AS11" s="316" t="n">
        <f aca="false">AS8-(1-SUP_OPEX!$C$38)*AS6-(1-SUP_OPEX!$C$39)*AR6</f>
        <v>7</v>
      </c>
      <c r="AT11" s="316" t="n">
        <f aca="false">AT8-(1-SUP_OPEX!$C$38)*AT6-(1-SUP_OPEX!$C$39)*AS6</f>
        <v>7</v>
      </c>
      <c r="AU11" s="316" t="n">
        <f aca="false">AU8-(1-SUP_OPEX!$C$38)*AU6-(1-SUP_OPEX!$C$39)*AT6</f>
        <v>7</v>
      </c>
      <c r="AV11" s="316" t="n">
        <f aca="false">AV8-(1-SUP_OPEX!$C$38)*AV6-(1-SUP_OPEX!$C$39)*AU6</f>
        <v>7</v>
      </c>
      <c r="AW11" s="316" t="n">
        <f aca="false">AW8-(1-SUP_OPEX!$C$38)*AW6-(1-SUP_OPEX!$C$39)*AV6</f>
        <v>7</v>
      </c>
      <c r="AX11" s="316" t="n">
        <f aca="false">AX8-(1-SUP_OPEX!$C$38)*AX6-(1-SUP_OPEX!$C$39)*AW6</f>
        <v>7</v>
      </c>
      <c r="AY11" s="316" t="n">
        <f aca="false">AY8-(1-SUP_OPEX!$C$38)*AY6-(1-SUP_OPEX!$C$39)*AX6</f>
        <v>7</v>
      </c>
      <c r="AZ11" s="316" t="n">
        <f aca="false">AZ8-(1-SUP_OPEX!$C$38)*AZ6-(1-SUP_OPEX!$C$39)*AY6</f>
        <v>7</v>
      </c>
      <c r="BA11" s="316" t="n">
        <f aca="false">BA8-(1-SUP_OPEX!$C$38)*BA6-(1-SUP_OPEX!$C$39)*AZ6</f>
        <v>7</v>
      </c>
      <c r="BB11" s="316" t="n">
        <f aca="false">BB8-(1-SUP_OPEX!$C$38)*BB6-(1-SUP_OPEX!$C$39)*BA6</f>
        <v>7</v>
      </c>
      <c r="BC11" s="316" t="n">
        <f aca="false">BC8-(1-SUP_OPEX!$C$38)*BC6-(1-SUP_OPEX!$C$39)*BB6</f>
        <v>7</v>
      </c>
      <c r="BD11" s="316" t="n">
        <f aca="false">BD8-(1-SUP_OPEX!$C$38)*BD6-(1-SUP_OPEX!$C$39)*BC6</f>
        <v>7</v>
      </c>
      <c r="BE11" s="316" t="n">
        <f aca="false">BE8-(1-SUP_OPEX!$C$38)*BE6-(1-SUP_OPEX!$C$39)*BD6</f>
        <v>7</v>
      </c>
      <c r="BF11" s="316" t="n">
        <f aca="false">BF8-(1-SUP_OPEX!$C$38)*BF6-(1-SUP_OPEX!$C$39)*BE6</f>
        <v>7</v>
      </c>
      <c r="BG11" s="316" t="n">
        <f aca="false">BG8-(1-SUP_OPEX!$C$38)*BG6-(1-SUP_OPEX!$C$39)*BF6</f>
        <v>7</v>
      </c>
      <c r="BH11" s="316" t="n">
        <f aca="false">BH8-(1-SUP_OPEX!$C$38)*BH6-(1-SUP_OPEX!$C$39)*BG6</f>
        <v>7</v>
      </c>
      <c r="BI11" s="316" t="n">
        <f aca="false">BI8-(1-SUP_OPEX!$C$38)*BI6-(1-SUP_OPEX!$C$39)*BH6</f>
        <v>7</v>
      </c>
      <c r="BJ11" s="316" t="n">
        <f aca="false">BJ8-(1-SUP_OPEX!$C$38)*BJ6-(1-SUP_OPEX!$C$39)*BI6</f>
        <v>7</v>
      </c>
      <c r="BK11" s="316" t="n">
        <f aca="false">BK8-(1-SUP_OPEX!$C$38)*BK6-(1-SUP_OPEX!$C$39)*BJ6</f>
        <v>7</v>
      </c>
      <c r="BL11" s="316" t="n">
        <f aca="false">BL8-(1-SUP_OPEX!$C$38)*BL6-(1-SUP_OPEX!$C$39)*BK6</f>
        <v>7</v>
      </c>
      <c r="BM11" s="316" t="n">
        <f aca="false">BM8-(1-SUP_OPEX!$C$38)*BM6-(1-SUP_OPEX!$C$39)*BL6</f>
        <v>7</v>
      </c>
      <c r="BN11" s="316" t="n">
        <f aca="false">BN8-(1-SUP_OPEX!$C$38)*BN6-(1-SUP_OPEX!$C$39)*BM6</f>
        <v>7</v>
      </c>
      <c r="BO11" s="316" t="n">
        <f aca="false">BO8-(1-SUP_OPEX!$C$38)*BO6-(1-SUP_OPEX!$C$39)*BN6</f>
        <v>7</v>
      </c>
      <c r="BP11" s="316" t="n">
        <f aca="false">BP8-(1-SUP_OPEX!$C$38)*BP6-(1-SUP_OPEX!$C$39)*BO6</f>
        <v>7</v>
      </c>
      <c r="BQ11" s="316" t="n">
        <f aca="false">BQ8-(1-SUP_OPEX!$C$38)*BQ6-(1-SUP_OPEX!$C$39)*BP6</f>
        <v>7</v>
      </c>
      <c r="BR11" s="316" t="n">
        <f aca="false">BR8-(1-SUP_OPEX!$C$38)*BR6-(1-SUP_OPEX!$C$39)*BQ6</f>
        <v>7</v>
      </c>
      <c r="BS11" s="316" t="n">
        <f aca="false">BS8-(1-SUP_OPEX!$C$38)*BS6-(1-SUP_OPEX!$C$39)*BR6</f>
        <v>7</v>
      </c>
      <c r="BT11" s="316" t="n">
        <f aca="false">BT8-(1-SUP_OPEX!$C$38)*BT6-(1-SUP_OPEX!$C$39)*BS6</f>
        <v>7</v>
      </c>
      <c r="BU11" s="316" t="n">
        <f aca="false">BU8-(1-SUP_OPEX!$C$38)*BU6-(1-SUP_OPEX!$C$39)*BT6</f>
        <v>7</v>
      </c>
      <c r="BV11" s="316" t="n">
        <f aca="false">BV8-(1-SUP_OPEX!$C$38)*BV6-(1-SUP_OPEX!$C$39)*BU6</f>
        <v>7</v>
      </c>
      <c r="BW11" s="316" t="n">
        <f aca="false">BW8-(1-SUP_OPEX!$C$38)*BW6-(1-SUP_OPEX!$C$39)*BV6</f>
        <v>7</v>
      </c>
      <c r="BX11" s="316" t="n">
        <f aca="false">BX8-(1-SUP_OPEX!$C$38)*BX6-(1-SUP_OPEX!$C$39)*BW6</f>
        <v>7</v>
      </c>
      <c r="BY11" s="316" t="n">
        <f aca="false">BY8-(1-SUP_OPEX!$C$38)*BY6-(1-SUP_OPEX!$C$39)*BX6</f>
        <v>7</v>
      </c>
      <c r="BZ11" s="316" t="n">
        <f aca="false">BZ8-(1-SUP_OPEX!$C$38)*BZ6-(1-SUP_OPEX!$C$39)*BY6</f>
        <v>7</v>
      </c>
      <c r="CA11" s="316" t="n">
        <f aca="false">CA8-(1-SUP_OPEX!$C$38)*CA6-(1-SUP_OPEX!$C$39)*BZ6</f>
        <v>7</v>
      </c>
      <c r="CB11" s="316" t="n">
        <f aca="false">CB8-(1-SUP_OPEX!$C$38)*CB6-(1-SUP_OPEX!$C$39)*CA6</f>
        <v>7</v>
      </c>
      <c r="CC11" s="316" t="n">
        <f aca="false">CC8-(1-SUP_OPEX!$C$38)*CC6-(1-SUP_OPEX!$C$39)*CB6</f>
        <v>7</v>
      </c>
      <c r="CD11" s="316" t="n">
        <f aca="false">CD8-(1-SUP_OPEX!$C$38)*CD6-(1-SUP_OPEX!$C$39)*CC6</f>
        <v>7</v>
      </c>
      <c r="CE11" s="316" t="n">
        <f aca="false">CE8-(1-SUP_OPEX!$C$38)*CE6-(1-SUP_OPEX!$C$39)*CD6</f>
        <v>7</v>
      </c>
      <c r="CF11" s="316" t="n">
        <f aca="false">CF8-(1-SUP_OPEX!$C$38)*CF6-(1-SUP_OPEX!$C$39)*CE6</f>
        <v>7</v>
      </c>
      <c r="CG11" s="316" t="n">
        <f aca="false">CG8-(1-SUP_OPEX!$C$38)*CG6-(1-SUP_OPEX!$C$39)*CF6</f>
        <v>7</v>
      </c>
      <c r="CH11" s="316" t="n">
        <f aca="false">CH8-(1-SUP_OPEX!$C$38)*CH6-(1-SUP_OPEX!$C$39)*CG6</f>
        <v>7</v>
      </c>
      <c r="CI11" s="316" t="n">
        <f aca="false">CI8-(1-SUP_OPEX!$C$38)*CI6-(1-SUP_OPEX!$C$39)*CH6</f>
        <v>7</v>
      </c>
      <c r="CJ11" s="316" t="n">
        <f aca="false">CJ8-(1-SUP_OPEX!$C$38)*CJ6-(1-SUP_OPEX!$C$39)*CI6</f>
        <v>7</v>
      </c>
      <c r="CK11" s="316" t="n">
        <f aca="false">CK8-(1-SUP_OPEX!$C$38)*CK6-(1-SUP_OPEX!$C$39)*CJ6</f>
        <v>7</v>
      </c>
      <c r="CL11" s="316" t="n">
        <f aca="false">CL8-(1-SUP_OPEX!$C$38)*CL6-(1-SUP_OPEX!$C$39)*CK6</f>
        <v>7</v>
      </c>
      <c r="CM11" s="316" t="n">
        <f aca="false">CM8-(1-SUP_OPEX!$C$38)*CM6-(1-SUP_OPEX!$C$39)*CL6</f>
        <v>7</v>
      </c>
      <c r="CN11" s="316" t="n">
        <f aca="false">CN8-(1-SUP_OPEX!$C$38)*CN6-(1-SUP_OPEX!$C$39)*CM6</f>
        <v>7</v>
      </c>
      <c r="CO11" s="316" t="n">
        <f aca="false">CO8-(1-SUP_OPEX!$C$38)*CO6-(1-SUP_OPEX!$C$39)*CN6</f>
        <v>7</v>
      </c>
      <c r="CP11" s="316" t="n">
        <f aca="false">CP8-(1-SUP_OPEX!$C$38)*CP6-(1-SUP_OPEX!$C$39)*CO6</f>
        <v>7</v>
      </c>
      <c r="CQ11" s="316" t="n">
        <f aca="false">CQ8-(1-SUP_OPEX!$C$38)*CQ6-(1-SUP_OPEX!$C$39)*CP6</f>
        <v>7</v>
      </c>
      <c r="CR11" s="316" t="n">
        <f aca="false">CR8-(1-SUP_OPEX!$C$38)*CR6-(1-SUP_OPEX!$C$39)*CQ6</f>
        <v>7</v>
      </c>
      <c r="CS11" s="316" t="n">
        <f aca="false">CS8-(1-SUP_OPEX!$C$38)*CS6-(1-SUP_OPEX!$C$39)*CR6</f>
        <v>7</v>
      </c>
      <c r="CT11" s="316" t="n">
        <f aca="false">CT8-(1-SUP_OPEX!$C$38)*CT6-(1-SUP_OPEX!$C$39)*CS6</f>
        <v>7</v>
      </c>
      <c r="CU11" s="316" t="n">
        <f aca="false">CU8-(1-SUP_OPEX!$C$38)*CU6-(1-SUP_OPEX!$C$39)*CT6</f>
        <v>7</v>
      </c>
      <c r="CV11" s="316" t="n">
        <f aca="false">CV8-(1-SUP_OPEX!$C$38)*CV6-(1-SUP_OPEX!$C$39)*CU6</f>
        <v>7</v>
      </c>
      <c r="CW11" s="316" t="n">
        <f aca="false">CW8-(1-SUP_OPEX!$C$38)*CW6-(1-SUP_OPEX!$C$39)*CV6</f>
        <v>7</v>
      </c>
      <c r="CX11" s="316" t="n">
        <f aca="false">CX8-(1-SUP_OPEX!$C$38)*CX6-(1-SUP_OPEX!$C$39)*CW6</f>
        <v>7</v>
      </c>
      <c r="CY11" s="316" t="n">
        <f aca="false">CY8-(1-SUP_OPEX!$C$38)*CY6-(1-SUP_OPEX!$C$39)*CX6</f>
        <v>7</v>
      </c>
      <c r="CZ11" s="316" t="n">
        <f aca="false">CZ8-(1-SUP_OPEX!$C$38)*CZ6-(1-SUP_OPEX!$C$39)*CY6</f>
        <v>7</v>
      </c>
      <c r="DA11" s="316" t="n">
        <f aca="false">DA8-(1-SUP_OPEX!$C$38)*DA6-(1-SUP_OPEX!$C$39)*CZ6</f>
        <v>7</v>
      </c>
      <c r="DB11" s="316" t="n">
        <f aca="false">DB8-(1-SUP_OPEX!$C$38)*DB6-(1-SUP_OPEX!$C$39)*DA6</f>
        <v>7</v>
      </c>
      <c r="DC11" s="316" t="n">
        <f aca="false">DC8-(1-SUP_OPEX!$C$38)*DC6-(1-SUP_OPEX!$C$39)*DB6</f>
        <v>7</v>
      </c>
      <c r="DD11" s="316" t="n">
        <f aca="false">DD8-(1-SUP_OPEX!$C$38)*DD6-(1-SUP_OPEX!$C$39)*DC6</f>
        <v>7</v>
      </c>
      <c r="DE11" s="316" t="n">
        <f aca="false">DE8-(1-SUP_OPEX!$C$38)*DE6-(1-SUP_OPEX!$C$39)*DD6</f>
        <v>7</v>
      </c>
      <c r="DF11" s="316" t="n">
        <f aca="false">DF8-(1-SUP_OPEX!$C$38)*DF6-(1-SUP_OPEX!$C$39)*DE6</f>
        <v>7</v>
      </c>
      <c r="DG11" s="316" t="n">
        <f aca="false">DG8-(1-SUP_OPEX!$C$38)*DG6-(1-SUP_OPEX!$C$39)*DF6</f>
        <v>7</v>
      </c>
      <c r="DH11" s="316" t="n">
        <f aca="false">DH8-(1-SUP_OPEX!$C$38)*DH6-(1-SUP_OPEX!$C$39)*DG6</f>
        <v>7</v>
      </c>
      <c r="DI11" s="316" t="n">
        <f aca="false">DI8-(1-SUP_OPEX!$C$38)*DI6-(1-SUP_OPEX!$C$39)*DH6</f>
        <v>7</v>
      </c>
      <c r="DJ11" s="316" t="n">
        <f aca="false">DJ8-(1-SUP_OPEX!$C$38)*DJ6-(1-SUP_OPEX!$C$39)*DI6</f>
        <v>7</v>
      </c>
      <c r="DK11" s="316" t="n">
        <f aca="false">DK8-(1-SUP_OPEX!$C$38)*DK6-(1-SUP_OPEX!$C$39)*DJ6</f>
        <v>7</v>
      </c>
      <c r="DL11" s="316" t="n">
        <f aca="false">DL8-(1-SUP_OPEX!$C$38)*DL6-(1-SUP_OPEX!$C$39)*DK6</f>
        <v>7</v>
      </c>
      <c r="DM11" s="316" t="n">
        <f aca="false">DM8-(1-SUP_OPEX!$C$38)*DM6-(1-SUP_OPEX!$C$39)*DL6</f>
        <v>7</v>
      </c>
      <c r="DN11" s="316" t="n">
        <f aca="false">DN8-(1-SUP_OPEX!$C$38)*DN6-(1-SUP_OPEX!$C$39)*DM6</f>
        <v>7</v>
      </c>
      <c r="DO11" s="316" t="n">
        <f aca="false">DO8-(1-SUP_OPEX!$C$38)*DO6-(1-SUP_OPEX!$C$39)*DN6</f>
        <v>7</v>
      </c>
      <c r="DP11" s="316" t="n">
        <f aca="false">DP8-(1-SUP_OPEX!$C$38)*DP6-(1-SUP_OPEX!$C$39)*DO6</f>
        <v>7</v>
      </c>
      <c r="DQ11" s="316" t="n">
        <f aca="false">DQ8-(1-SUP_OPEX!$C$38)*DQ6-(1-SUP_OPEX!$C$39)*DP6</f>
        <v>7</v>
      </c>
      <c r="DR11" s="316" t="n">
        <f aca="false">DR8-(1-SUP_OPEX!$C$38)*DR6-(1-SUP_OPEX!$C$39)*DQ6</f>
        <v>7</v>
      </c>
      <c r="DS11" s="316" t="n">
        <f aca="false">DS8-(1-SUP_OPEX!$C$38)*DS6-(1-SUP_OPEX!$C$39)*DR6</f>
        <v>7</v>
      </c>
    </row>
    <row r="12" customFormat="false" ht="15" hidden="false" customHeight="true" outlineLevel="0" collapsed="false">
      <c r="B12" s="297" t="s">
        <v>3412</v>
      </c>
      <c r="D12" s="316" t="n">
        <f aca="false">D9-(1-SUP_OPEX!$C$38)*D7-(1-SUP_OPEX!$C$39)*C7</f>
        <v>0</v>
      </c>
      <c r="E12" s="316" t="n">
        <f aca="false">E9-(1-SUP_OPEX!$C$38)*E7-(1-SUP_OPEX!$C$39)*D7</f>
        <v>0</v>
      </c>
      <c r="F12" s="316" t="n">
        <f aca="false">F9-(1-SUP_OPEX!$C$38)*F7-(1-SUP_OPEX!$C$39)*E7</f>
        <v>0</v>
      </c>
      <c r="G12" s="316" t="n">
        <f aca="false">G9-(1-SUP_OPEX!$C$38)*G7-(1-SUP_OPEX!$C$39)*F7</f>
        <v>0</v>
      </c>
      <c r="H12" s="316" t="n">
        <f aca="false">H9-(1-SUP_OPEX!$C$38)*H7-(1-SUP_OPEX!$C$39)*G7</f>
        <v>0</v>
      </c>
      <c r="I12" s="316" t="n">
        <f aca="false">I9-(1-SUP_OPEX!$C$38)*I7-(1-SUP_OPEX!$C$39)*H7</f>
        <v>0</v>
      </c>
      <c r="J12" s="316" t="n">
        <f aca="false">J9-(1-SUP_OPEX!$C$38)*J7-(1-SUP_OPEX!$C$39)*I7</f>
        <v>0.7</v>
      </c>
      <c r="K12" s="316" t="n">
        <f aca="false">K9-(1-SUP_OPEX!$C$38)*K7-(1-SUP_OPEX!$C$39)*J7</f>
        <v>2.25</v>
      </c>
      <c r="L12" s="316" t="n">
        <f aca="false">L9-(1-SUP_OPEX!$C$38)*L7-(1-SUP_OPEX!$C$39)*K7</f>
        <v>2.7</v>
      </c>
      <c r="M12" s="316" t="n">
        <f aca="false">M9-(1-SUP_OPEX!$C$38)*M7-(1-SUP_OPEX!$C$39)*L7</f>
        <v>3</v>
      </c>
      <c r="N12" s="316" t="n">
        <f aca="false">N9-(1-SUP_OPEX!$C$38)*N7-(1-SUP_OPEX!$C$39)*M7</f>
        <v>3</v>
      </c>
      <c r="O12" s="316" t="n">
        <f aca="false">O9-(1-SUP_OPEX!$C$38)*O7-(1-SUP_OPEX!$C$39)*N7</f>
        <v>3</v>
      </c>
      <c r="P12" s="316" t="n">
        <f aca="false">P9-(1-SUP_OPEX!$C$38)*P7-(1-SUP_OPEX!$C$39)*O7</f>
        <v>3</v>
      </c>
      <c r="Q12" s="316" t="n">
        <f aca="false">Q9-(1-SUP_OPEX!$C$38)*Q7-(1-SUP_OPEX!$C$39)*P7</f>
        <v>3</v>
      </c>
      <c r="R12" s="316" t="n">
        <f aca="false">R9-(1-SUP_OPEX!$C$38)*R7-(1-SUP_OPEX!$C$39)*Q7</f>
        <v>3</v>
      </c>
      <c r="S12" s="316" t="n">
        <f aca="false">S9-(1-SUP_OPEX!$C$38)*S7-(1-SUP_OPEX!$C$39)*R7</f>
        <v>3</v>
      </c>
      <c r="T12" s="316" t="n">
        <f aca="false">T9-(1-SUP_OPEX!$C$38)*T7-(1-SUP_OPEX!$C$39)*S7</f>
        <v>3</v>
      </c>
      <c r="U12" s="316" t="n">
        <f aca="false">U9-(1-SUP_OPEX!$C$38)*U7-(1-SUP_OPEX!$C$39)*T7</f>
        <v>3</v>
      </c>
      <c r="V12" s="316" t="n">
        <f aca="false">V9-(1-SUP_OPEX!$C$38)*V7-(1-SUP_OPEX!$C$39)*U7</f>
        <v>3</v>
      </c>
      <c r="W12" s="316" t="n">
        <f aca="false">W9-(1-SUP_OPEX!$C$38)*W7-(1-SUP_OPEX!$C$39)*V7</f>
        <v>3</v>
      </c>
      <c r="X12" s="316" t="n">
        <f aca="false">X9-(1-SUP_OPEX!$C$38)*X7-(1-SUP_OPEX!$C$39)*W7</f>
        <v>3</v>
      </c>
      <c r="Y12" s="316" t="n">
        <f aca="false">Y9-(1-SUP_OPEX!$C$38)*Y7-(1-SUP_OPEX!$C$39)*X7</f>
        <v>3</v>
      </c>
      <c r="Z12" s="316" t="n">
        <f aca="false">Z9-(1-SUP_OPEX!$C$38)*Z7-(1-SUP_OPEX!$C$39)*Y7</f>
        <v>3</v>
      </c>
      <c r="AA12" s="316" t="n">
        <f aca="false">AA9-(1-SUP_OPEX!$C$38)*AA7-(1-SUP_OPEX!$C$39)*Z7</f>
        <v>3</v>
      </c>
      <c r="AB12" s="316" t="n">
        <f aca="false">AB9-(1-SUP_OPEX!$C$38)*AB7-(1-SUP_OPEX!$C$39)*AA7</f>
        <v>3</v>
      </c>
      <c r="AC12" s="316" t="n">
        <f aca="false">AC9-(1-SUP_OPEX!$C$38)*AC7-(1-SUP_OPEX!$C$39)*AB7</f>
        <v>3</v>
      </c>
      <c r="AD12" s="316" t="n">
        <f aca="false">AD9-(1-SUP_OPEX!$C$38)*AD7-(1-SUP_OPEX!$C$39)*AC7</f>
        <v>3</v>
      </c>
      <c r="AE12" s="316" t="n">
        <f aca="false">AE9-(1-SUP_OPEX!$C$38)*AE7-(1-SUP_OPEX!$C$39)*AD7</f>
        <v>3</v>
      </c>
      <c r="AF12" s="316" t="n">
        <f aca="false">AF9-(1-SUP_OPEX!$C$38)*AF7-(1-SUP_OPEX!$C$39)*AE7</f>
        <v>3</v>
      </c>
      <c r="AG12" s="316" t="n">
        <f aca="false">AG9-(1-SUP_OPEX!$C$38)*AG7-(1-SUP_OPEX!$C$39)*AF7</f>
        <v>3</v>
      </c>
      <c r="AH12" s="316" t="n">
        <f aca="false">AH9-(1-SUP_OPEX!$C$38)*AH7-(1-SUP_OPEX!$C$39)*AG7</f>
        <v>3</v>
      </c>
      <c r="AI12" s="316" t="n">
        <f aca="false">AI9-(1-SUP_OPEX!$C$38)*AI7-(1-SUP_OPEX!$C$39)*AH7</f>
        <v>3</v>
      </c>
      <c r="AJ12" s="316" t="n">
        <f aca="false">AJ9-(1-SUP_OPEX!$C$38)*AJ7-(1-SUP_OPEX!$C$39)*AI7</f>
        <v>3</v>
      </c>
      <c r="AK12" s="316" t="n">
        <f aca="false">AK9-(1-SUP_OPEX!$C$38)*AK7-(1-SUP_OPEX!$C$39)*AJ7</f>
        <v>3</v>
      </c>
      <c r="AL12" s="316" t="n">
        <f aca="false">AL9-(1-SUP_OPEX!$C$38)*AL7-(1-SUP_OPEX!$C$39)*AK7</f>
        <v>3</v>
      </c>
      <c r="AM12" s="316" t="n">
        <f aca="false">AM9-(1-SUP_OPEX!$C$38)*AM7-(1-SUP_OPEX!$C$39)*AL7</f>
        <v>3</v>
      </c>
      <c r="AN12" s="316" t="n">
        <f aca="false">AN9-(1-SUP_OPEX!$C$38)*AN7-(1-SUP_OPEX!$C$39)*AM7</f>
        <v>3</v>
      </c>
      <c r="AO12" s="316" t="n">
        <f aca="false">AO9-(1-SUP_OPEX!$C$38)*AO7-(1-SUP_OPEX!$C$39)*AN7</f>
        <v>3</v>
      </c>
      <c r="AP12" s="316" t="n">
        <f aca="false">AP9-(1-SUP_OPEX!$C$38)*AP7-(1-SUP_OPEX!$C$39)*AO7</f>
        <v>3</v>
      </c>
      <c r="AQ12" s="316" t="n">
        <f aca="false">AQ9-(1-SUP_OPEX!$C$38)*AQ7-(1-SUP_OPEX!$C$39)*AP7</f>
        <v>3</v>
      </c>
      <c r="AR12" s="316" t="n">
        <f aca="false">AR9-(1-SUP_OPEX!$C$38)*AR7-(1-SUP_OPEX!$C$39)*AQ7</f>
        <v>3</v>
      </c>
      <c r="AS12" s="316" t="n">
        <f aca="false">AS9-(1-SUP_OPEX!$C$38)*AS7-(1-SUP_OPEX!$C$39)*AR7</f>
        <v>3</v>
      </c>
      <c r="AT12" s="316" t="n">
        <f aca="false">AT9-(1-SUP_OPEX!$C$38)*AT7-(1-SUP_OPEX!$C$39)*AS7</f>
        <v>3</v>
      </c>
      <c r="AU12" s="316" t="n">
        <f aca="false">AU9-(1-SUP_OPEX!$C$38)*AU7-(1-SUP_OPEX!$C$39)*AT7</f>
        <v>3</v>
      </c>
      <c r="AV12" s="316" t="n">
        <f aca="false">AV9-(1-SUP_OPEX!$C$38)*AV7-(1-SUP_OPEX!$C$39)*AU7</f>
        <v>3</v>
      </c>
      <c r="AW12" s="316" t="n">
        <f aca="false">AW9-(1-SUP_OPEX!$C$38)*AW7-(1-SUP_OPEX!$C$39)*AV7</f>
        <v>3</v>
      </c>
      <c r="AX12" s="316" t="n">
        <f aca="false">AX9-(1-SUP_OPEX!$C$38)*AX7-(1-SUP_OPEX!$C$39)*AW7</f>
        <v>3</v>
      </c>
      <c r="AY12" s="316" t="n">
        <f aca="false">AY9-(1-SUP_OPEX!$C$38)*AY7-(1-SUP_OPEX!$C$39)*AX7</f>
        <v>3</v>
      </c>
      <c r="AZ12" s="316" t="n">
        <f aca="false">AZ9-(1-SUP_OPEX!$C$38)*AZ7-(1-SUP_OPEX!$C$39)*AY7</f>
        <v>3</v>
      </c>
      <c r="BA12" s="316" t="n">
        <f aca="false">BA9-(1-SUP_OPEX!$C$38)*BA7-(1-SUP_OPEX!$C$39)*AZ7</f>
        <v>3</v>
      </c>
      <c r="BB12" s="316" t="n">
        <f aca="false">BB9-(1-SUP_OPEX!$C$38)*BB7-(1-SUP_OPEX!$C$39)*BA7</f>
        <v>3</v>
      </c>
      <c r="BC12" s="316" t="n">
        <f aca="false">BC9-(1-SUP_OPEX!$C$38)*BC7-(1-SUP_OPEX!$C$39)*BB7</f>
        <v>3</v>
      </c>
      <c r="BD12" s="316" t="n">
        <f aca="false">BD9-(1-SUP_OPEX!$C$38)*BD7-(1-SUP_OPEX!$C$39)*BC7</f>
        <v>3</v>
      </c>
      <c r="BE12" s="316" t="n">
        <f aca="false">BE9-(1-SUP_OPEX!$C$38)*BE7-(1-SUP_OPEX!$C$39)*BD7</f>
        <v>3</v>
      </c>
      <c r="BF12" s="316" t="n">
        <f aca="false">BF9-(1-SUP_OPEX!$C$38)*BF7-(1-SUP_OPEX!$C$39)*BE7</f>
        <v>3</v>
      </c>
      <c r="BG12" s="316" t="n">
        <f aca="false">BG9-(1-SUP_OPEX!$C$38)*BG7-(1-SUP_OPEX!$C$39)*BF7</f>
        <v>3</v>
      </c>
      <c r="BH12" s="316" t="n">
        <f aca="false">BH9-(1-SUP_OPEX!$C$38)*BH7-(1-SUP_OPEX!$C$39)*BG7</f>
        <v>3</v>
      </c>
      <c r="BI12" s="316" t="n">
        <f aca="false">BI9-(1-SUP_OPEX!$C$38)*BI7-(1-SUP_OPEX!$C$39)*BH7</f>
        <v>3</v>
      </c>
      <c r="BJ12" s="316" t="n">
        <f aca="false">BJ9-(1-SUP_OPEX!$C$38)*BJ7-(1-SUP_OPEX!$C$39)*BI7</f>
        <v>3</v>
      </c>
      <c r="BK12" s="316" t="n">
        <f aca="false">BK9-(1-SUP_OPEX!$C$38)*BK7-(1-SUP_OPEX!$C$39)*BJ7</f>
        <v>3</v>
      </c>
      <c r="BL12" s="316" t="n">
        <f aca="false">BL9-(1-SUP_OPEX!$C$38)*BL7-(1-SUP_OPEX!$C$39)*BK7</f>
        <v>3</v>
      </c>
      <c r="BM12" s="316" t="n">
        <f aca="false">BM9-(1-SUP_OPEX!$C$38)*BM7-(1-SUP_OPEX!$C$39)*BL7</f>
        <v>3</v>
      </c>
      <c r="BN12" s="316" t="n">
        <f aca="false">BN9-(1-SUP_OPEX!$C$38)*BN7-(1-SUP_OPEX!$C$39)*BM7</f>
        <v>3</v>
      </c>
      <c r="BO12" s="316" t="n">
        <f aca="false">BO9-(1-SUP_OPEX!$C$38)*BO7-(1-SUP_OPEX!$C$39)*BN7</f>
        <v>3</v>
      </c>
      <c r="BP12" s="316" t="n">
        <f aca="false">BP9-(1-SUP_OPEX!$C$38)*BP7-(1-SUP_OPEX!$C$39)*BO7</f>
        <v>3</v>
      </c>
      <c r="BQ12" s="316" t="n">
        <f aca="false">BQ9-(1-SUP_OPEX!$C$38)*BQ7-(1-SUP_OPEX!$C$39)*BP7</f>
        <v>3</v>
      </c>
      <c r="BR12" s="316" t="n">
        <f aca="false">BR9-(1-SUP_OPEX!$C$38)*BR7-(1-SUP_OPEX!$C$39)*BQ7</f>
        <v>3</v>
      </c>
      <c r="BS12" s="316" t="n">
        <f aca="false">BS9-(1-SUP_OPEX!$C$38)*BS7-(1-SUP_OPEX!$C$39)*BR7</f>
        <v>3</v>
      </c>
      <c r="BT12" s="316" t="n">
        <f aca="false">BT9-(1-SUP_OPEX!$C$38)*BT7-(1-SUP_OPEX!$C$39)*BS7</f>
        <v>3</v>
      </c>
      <c r="BU12" s="316" t="n">
        <f aca="false">BU9-(1-SUP_OPEX!$C$38)*BU7-(1-SUP_OPEX!$C$39)*BT7</f>
        <v>3</v>
      </c>
      <c r="BV12" s="316" t="n">
        <f aca="false">BV9-(1-SUP_OPEX!$C$38)*BV7-(1-SUP_OPEX!$C$39)*BU7</f>
        <v>3</v>
      </c>
      <c r="BW12" s="316" t="n">
        <f aca="false">BW9-(1-SUP_OPEX!$C$38)*BW7-(1-SUP_OPEX!$C$39)*BV7</f>
        <v>3</v>
      </c>
      <c r="BX12" s="316" t="n">
        <f aca="false">BX9-(1-SUP_OPEX!$C$38)*BX7-(1-SUP_OPEX!$C$39)*BW7</f>
        <v>3</v>
      </c>
      <c r="BY12" s="316" t="n">
        <f aca="false">BY9-(1-SUP_OPEX!$C$38)*BY7-(1-SUP_OPEX!$C$39)*BX7</f>
        <v>3</v>
      </c>
      <c r="BZ12" s="316" t="n">
        <f aca="false">BZ9-(1-SUP_OPEX!$C$38)*BZ7-(1-SUP_OPEX!$C$39)*BY7</f>
        <v>3</v>
      </c>
      <c r="CA12" s="316" t="n">
        <f aca="false">CA9-(1-SUP_OPEX!$C$38)*CA7-(1-SUP_OPEX!$C$39)*BZ7</f>
        <v>3</v>
      </c>
      <c r="CB12" s="316" t="n">
        <f aca="false">CB9-(1-SUP_OPEX!$C$38)*CB7-(1-SUP_OPEX!$C$39)*CA7</f>
        <v>3</v>
      </c>
      <c r="CC12" s="316" t="n">
        <f aca="false">CC9-(1-SUP_OPEX!$C$38)*CC7-(1-SUP_OPEX!$C$39)*CB7</f>
        <v>3</v>
      </c>
      <c r="CD12" s="316" t="n">
        <f aca="false">CD9-(1-SUP_OPEX!$C$38)*CD7-(1-SUP_OPEX!$C$39)*CC7</f>
        <v>3</v>
      </c>
      <c r="CE12" s="316" t="n">
        <f aca="false">CE9-(1-SUP_OPEX!$C$38)*CE7-(1-SUP_OPEX!$C$39)*CD7</f>
        <v>3</v>
      </c>
      <c r="CF12" s="316" t="n">
        <f aca="false">CF9-(1-SUP_OPEX!$C$38)*CF7-(1-SUP_OPEX!$C$39)*CE7</f>
        <v>3</v>
      </c>
      <c r="CG12" s="316" t="n">
        <f aca="false">CG9-(1-SUP_OPEX!$C$38)*CG7-(1-SUP_OPEX!$C$39)*CF7</f>
        <v>3</v>
      </c>
      <c r="CH12" s="316" t="n">
        <f aca="false">CH9-(1-SUP_OPEX!$C$38)*CH7-(1-SUP_OPEX!$C$39)*CG7</f>
        <v>3</v>
      </c>
      <c r="CI12" s="316" t="n">
        <f aca="false">CI9-(1-SUP_OPEX!$C$38)*CI7-(1-SUP_OPEX!$C$39)*CH7</f>
        <v>3</v>
      </c>
      <c r="CJ12" s="316" t="n">
        <f aca="false">CJ9-(1-SUP_OPEX!$C$38)*CJ7-(1-SUP_OPEX!$C$39)*CI7</f>
        <v>3</v>
      </c>
      <c r="CK12" s="316" t="n">
        <f aca="false">CK9-(1-SUP_OPEX!$C$38)*CK7-(1-SUP_OPEX!$C$39)*CJ7</f>
        <v>3</v>
      </c>
      <c r="CL12" s="316" t="n">
        <f aca="false">CL9-(1-SUP_OPEX!$C$38)*CL7-(1-SUP_OPEX!$C$39)*CK7</f>
        <v>3</v>
      </c>
      <c r="CM12" s="316" t="n">
        <f aca="false">CM9-(1-SUP_OPEX!$C$38)*CM7-(1-SUP_OPEX!$C$39)*CL7</f>
        <v>3</v>
      </c>
      <c r="CN12" s="316" t="n">
        <f aca="false">CN9-(1-SUP_OPEX!$C$38)*CN7-(1-SUP_OPEX!$C$39)*CM7</f>
        <v>3</v>
      </c>
      <c r="CO12" s="316" t="n">
        <f aca="false">CO9-(1-SUP_OPEX!$C$38)*CO7-(1-SUP_OPEX!$C$39)*CN7</f>
        <v>3</v>
      </c>
      <c r="CP12" s="316" t="n">
        <f aca="false">CP9-(1-SUP_OPEX!$C$38)*CP7-(1-SUP_OPEX!$C$39)*CO7</f>
        <v>3</v>
      </c>
      <c r="CQ12" s="316" t="n">
        <f aca="false">CQ9-(1-SUP_OPEX!$C$38)*CQ7-(1-SUP_OPEX!$C$39)*CP7</f>
        <v>3</v>
      </c>
      <c r="CR12" s="316" t="n">
        <f aca="false">CR9-(1-SUP_OPEX!$C$38)*CR7-(1-SUP_OPEX!$C$39)*CQ7</f>
        <v>3</v>
      </c>
      <c r="CS12" s="316" t="n">
        <f aca="false">CS9-(1-SUP_OPEX!$C$38)*CS7-(1-SUP_OPEX!$C$39)*CR7</f>
        <v>3</v>
      </c>
      <c r="CT12" s="316" t="n">
        <f aca="false">CT9-(1-SUP_OPEX!$C$38)*CT7-(1-SUP_OPEX!$C$39)*CS7</f>
        <v>3</v>
      </c>
      <c r="CU12" s="316" t="n">
        <f aca="false">CU9-(1-SUP_OPEX!$C$38)*CU7-(1-SUP_OPEX!$C$39)*CT7</f>
        <v>3</v>
      </c>
      <c r="CV12" s="316" t="n">
        <f aca="false">CV9-(1-SUP_OPEX!$C$38)*CV7-(1-SUP_OPEX!$C$39)*CU7</f>
        <v>3</v>
      </c>
      <c r="CW12" s="316" t="n">
        <f aca="false">CW9-(1-SUP_OPEX!$C$38)*CW7-(1-SUP_OPEX!$C$39)*CV7</f>
        <v>3</v>
      </c>
      <c r="CX12" s="316" t="n">
        <f aca="false">CX9-(1-SUP_OPEX!$C$38)*CX7-(1-SUP_OPEX!$C$39)*CW7</f>
        <v>3</v>
      </c>
      <c r="CY12" s="316" t="n">
        <f aca="false">CY9-(1-SUP_OPEX!$C$38)*CY7-(1-SUP_OPEX!$C$39)*CX7</f>
        <v>3</v>
      </c>
      <c r="CZ12" s="316" t="n">
        <f aca="false">CZ9-(1-SUP_OPEX!$C$38)*CZ7-(1-SUP_OPEX!$C$39)*CY7</f>
        <v>3</v>
      </c>
      <c r="DA12" s="316" t="n">
        <f aca="false">DA9-(1-SUP_OPEX!$C$38)*DA7-(1-SUP_OPEX!$C$39)*CZ7</f>
        <v>3</v>
      </c>
      <c r="DB12" s="316" t="n">
        <f aca="false">DB9-(1-SUP_OPEX!$C$38)*DB7-(1-SUP_OPEX!$C$39)*DA7</f>
        <v>3</v>
      </c>
      <c r="DC12" s="316" t="n">
        <f aca="false">DC9-(1-SUP_OPEX!$C$38)*DC7-(1-SUP_OPEX!$C$39)*DB7</f>
        <v>3</v>
      </c>
      <c r="DD12" s="316" t="n">
        <f aca="false">DD9-(1-SUP_OPEX!$C$38)*DD7-(1-SUP_OPEX!$C$39)*DC7</f>
        <v>3</v>
      </c>
      <c r="DE12" s="316" t="n">
        <f aca="false">DE9-(1-SUP_OPEX!$C$38)*DE7-(1-SUP_OPEX!$C$39)*DD7</f>
        <v>3</v>
      </c>
      <c r="DF12" s="316" t="n">
        <f aca="false">DF9-(1-SUP_OPEX!$C$38)*DF7-(1-SUP_OPEX!$C$39)*DE7</f>
        <v>3</v>
      </c>
      <c r="DG12" s="316" t="n">
        <f aca="false">DG9-(1-SUP_OPEX!$C$38)*DG7-(1-SUP_OPEX!$C$39)*DF7</f>
        <v>3</v>
      </c>
      <c r="DH12" s="316" t="n">
        <f aca="false">DH9-(1-SUP_OPEX!$C$38)*DH7-(1-SUP_OPEX!$C$39)*DG7</f>
        <v>3</v>
      </c>
      <c r="DI12" s="316" t="n">
        <f aca="false">DI9-(1-SUP_OPEX!$C$38)*DI7-(1-SUP_OPEX!$C$39)*DH7</f>
        <v>3</v>
      </c>
      <c r="DJ12" s="316" t="n">
        <f aca="false">DJ9-(1-SUP_OPEX!$C$38)*DJ7-(1-SUP_OPEX!$C$39)*DI7</f>
        <v>3</v>
      </c>
      <c r="DK12" s="316" t="n">
        <f aca="false">DK9-(1-SUP_OPEX!$C$38)*DK7-(1-SUP_OPEX!$C$39)*DJ7</f>
        <v>3</v>
      </c>
      <c r="DL12" s="316" t="n">
        <f aca="false">DL9-(1-SUP_OPEX!$C$38)*DL7-(1-SUP_OPEX!$C$39)*DK7</f>
        <v>3</v>
      </c>
      <c r="DM12" s="316" t="n">
        <f aca="false">DM9-(1-SUP_OPEX!$C$38)*DM7-(1-SUP_OPEX!$C$39)*DL7</f>
        <v>3</v>
      </c>
      <c r="DN12" s="316" t="n">
        <f aca="false">DN9-(1-SUP_OPEX!$C$38)*DN7-(1-SUP_OPEX!$C$39)*DM7</f>
        <v>3</v>
      </c>
      <c r="DO12" s="316" t="n">
        <f aca="false">DO9-(1-SUP_OPEX!$C$38)*DO7-(1-SUP_OPEX!$C$39)*DN7</f>
        <v>3</v>
      </c>
      <c r="DP12" s="316" t="n">
        <f aca="false">DP9-(1-SUP_OPEX!$C$38)*DP7-(1-SUP_OPEX!$C$39)*DO7</f>
        <v>3</v>
      </c>
      <c r="DQ12" s="316" t="n">
        <f aca="false">DQ9-(1-SUP_OPEX!$C$38)*DQ7-(1-SUP_OPEX!$C$39)*DP7</f>
        <v>3</v>
      </c>
      <c r="DR12" s="316" t="n">
        <f aca="false">DR9-(1-SUP_OPEX!$C$38)*DR7-(1-SUP_OPEX!$C$39)*DQ7</f>
        <v>3</v>
      </c>
      <c r="DS12" s="316" t="n">
        <f aca="false">DS9-(1-SUP_OPEX!$C$38)*DS7-(1-SUP_OPEX!$C$39)*DR7</f>
        <v>3</v>
      </c>
    </row>
    <row r="13" customFormat="false" ht="15" hidden="false" customHeight="true" outlineLevel="0" collapsed="false">
      <c r="A13" s="186" t="s">
        <v>3413</v>
      </c>
      <c r="B13" s="25"/>
      <c r="C13" s="25"/>
    </row>
    <row r="14" customFormat="false" ht="15" hidden="false" customHeight="true" outlineLevel="0" collapsed="false">
      <c r="B14" s="297" t="s">
        <v>3414</v>
      </c>
      <c r="D14" s="298" t="n">
        <f aca="false">SUP_CONTROL!$C$8*(D11+D12*(1+SUP_VOLUMEN!$C$26))</f>
        <v>0</v>
      </c>
      <c r="E14" s="298" t="n">
        <f aca="false">SUP_CONTROL!$C$8*(E11+E12*(1+SUP_VOLUMEN!$C$26))</f>
        <v>0</v>
      </c>
      <c r="F14" s="298" t="n">
        <f aca="false">SUP_CONTROL!$C$8*(F11+F12*(1+SUP_VOLUMEN!$C$26))</f>
        <v>0</v>
      </c>
      <c r="G14" s="298" t="n">
        <f aca="false">SUP_CONTROL!$C$8*(G11+G12*(1+SUP_VOLUMEN!$C$26))</f>
        <v>5880</v>
      </c>
      <c r="H14" s="298" t="n">
        <f aca="false">SUP_CONTROL!$C$8*(H11+H12*(1+SUP_VOLUMEN!$C$26))</f>
        <v>13020</v>
      </c>
      <c r="I14" s="298" t="n">
        <f aca="false">SUP_CONTROL!$C$8*(I11+I12*(1+SUP_VOLUMEN!$C$26))</f>
        <v>21420</v>
      </c>
      <c r="J14" s="298" t="n">
        <f aca="false">SUP_CONTROL!$C$8*(J11+J12*(1+SUP_VOLUMEN!$C$26))</f>
        <v>30702</v>
      </c>
      <c r="K14" s="298" t="n">
        <f aca="false">SUP_CONTROL!$C$8*(K11+K12*(1+SUP_VOLUMEN!$C$26))</f>
        <v>41055</v>
      </c>
      <c r="L14" s="298" t="n">
        <f aca="false">SUP_CONTROL!$C$8*(L11+L12*(1+SUP_VOLUMEN!$C$26))</f>
        <v>44142</v>
      </c>
      <c r="M14" s="298" t="n">
        <f aca="false">SUP_CONTROL!$C$8*(M11+M12*(1+SUP_VOLUMEN!$C$26))</f>
        <v>45780</v>
      </c>
      <c r="N14" s="298" t="n">
        <f aca="false">SUP_CONTROL!$C$8*(N11+N12*(1+SUP_VOLUMEN!$C$26))</f>
        <v>45780</v>
      </c>
      <c r="O14" s="298" t="n">
        <f aca="false">SUP_CONTROL!$C$8*(O11+O12*(1+SUP_VOLUMEN!$C$26))</f>
        <v>45780</v>
      </c>
      <c r="P14" s="298" t="n">
        <f aca="false">SUP_CONTROL!$C$8*(P11+P12*(1+SUP_VOLUMEN!$C$26))</f>
        <v>45780</v>
      </c>
      <c r="Q14" s="298" t="n">
        <f aca="false">SUP_CONTROL!$C$8*(Q11+Q12*(1+SUP_VOLUMEN!$C$26))</f>
        <v>45780</v>
      </c>
      <c r="R14" s="298" t="n">
        <f aca="false">SUP_CONTROL!$C$8*(R11+R12*(1+SUP_VOLUMEN!$C$26))</f>
        <v>45780</v>
      </c>
      <c r="S14" s="298" t="n">
        <f aca="false">SUP_CONTROL!$C$8*(S11+S12*(1+SUP_VOLUMEN!$C$26))</f>
        <v>45780</v>
      </c>
      <c r="T14" s="298" t="n">
        <f aca="false">SUP_CONTROL!$C$8*(T11+T12*(1+SUP_VOLUMEN!$C$26))</f>
        <v>45780</v>
      </c>
      <c r="U14" s="298" t="n">
        <f aca="false">SUP_CONTROL!$C$8*(U11+U12*(1+SUP_VOLUMEN!$C$26))</f>
        <v>45780</v>
      </c>
      <c r="V14" s="298" t="n">
        <f aca="false">SUP_CONTROL!$C$8*(V11+V12*(1+SUP_VOLUMEN!$C$26))</f>
        <v>45780</v>
      </c>
      <c r="W14" s="298" t="n">
        <f aca="false">SUP_CONTROL!$C$8*(W11+W12*(1+SUP_VOLUMEN!$C$26))</f>
        <v>45780</v>
      </c>
      <c r="X14" s="298" t="n">
        <f aca="false">SUP_CONTROL!$C$8*(X11+X12*(1+SUP_VOLUMEN!$C$26))</f>
        <v>45780</v>
      </c>
      <c r="Y14" s="298" t="n">
        <f aca="false">SUP_CONTROL!$C$8*(Y11+Y12*(1+SUP_VOLUMEN!$C$26))</f>
        <v>45780</v>
      </c>
      <c r="Z14" s="298" t="n">
        <f aca="false">SUP_CONTROL!$C$8*(Z11+Z12*(1+SUP_VOLUMEN!$C$26))</f>
        <v>45780</v>
      </c>
      <c r="AA14" s="298" t="n">
        <f aca="false">SUP_CONTROL!$C$8*(AA11+AA12*(1+SUP_VOLUMEN!$C$26))</f>
        <v>45780</v>
      </c>
      <c r="AB14" s="298" t="n">
        <f aca="false">SUP_CONTROL!$C$8*(AB11+AB12*(1+SUP_VOLUMEN!$C$26))</f>
        <v>45780</v>
      </c>
      <c r="AC14" s="298" t="n">
        <f aca="false">SUP_CONTROL!$C$8*(AC11+AC12*(1+SUP_VOLUMEN!$C$26))</f>
        <v>45780</v>
      </c>
      <c r="AD14" s="298" t="n">
        <f aca="false">SUP_CONTROL!$C$8*(AD11+AD12*(1+SUP_VOLUMEN!$C$26))</f>
        <v>45780</v>
      </c>
      <c r="AE14" s="298" t="n">
        <f aca="false">SUP_CONTROL!$C$8*(AE11+AE12*(1+SUP_VOLUMEN!$C$26))</f>
        <v>45780</v>
      </c>
      <c r="AF14" s="298" t="n">
        <f aca="false">SUP_CONTROL!$C$8*(AF11+AF12*(1+SUP_VOLUMEN!$C$26))</f>
        <v>45780</v>
      </c>
      <c r="AG14" s="298" t="n">
        <f aca="false">SUP_CONTROL!$C$8*(AG11+AG12*(1+SUP_VOLUMEN!$C$26))</f>
        <v>45780</v>
      </c>
      <c r="AH14" s="298" t="n">
        <f aca="false">SUP_CONTROL!$C$8*(AH11+AH12*(1+SUP_VOLUMEN!$C$26))</f>
        <v>45780</v>
      </c>
      <c r="AI14" s="298" t="n">
        <f aca="false">SUP_CONTROL!$C$8*(AI11+AI12*(1+SUP_VOLUMEN!$C$26))</f>
        <v>45780</v>
      </c>
      <c r="AJ14" s="298" t="n">
        <f aca="false">SUP_CONTROL!$C$8*(AJ11+AJ12*(1+SUP_VOLUMEN!$C$26))</f>
        <v>45780</v>
      </c>
      <c r="AK14" s="298" t="n">
        <f aca="false">SUP_CONTROL!$C$8*(AK11+AK12*(1+SUP_VOLUMEN!$C$26))</f>
        <v>45780</v>
      </c>
      <c r="AL14" s="298" t="n">
        <f aca="false">SUP_CONTROL!$C$8*(AL11+AL12*(1+SUP_VOLUMEN!$C$26))</f>
        <v>45780</v>
      </c>
      <c r="AM14" s="298" t="n">
        <f aca="false">SUP_CONTROL!$C$8*(AM11+AM12*(1+SUP_VOLUMEN!$C$26))</f>
        <v>45780</v>
      </c>
      <c r="AN14" s="298" t="n">
        <f aca="false">SUP_CONTROL!$C$8*(AN11+AN12*(1+SUP_VOLUMEN!$C$26))</f>
        <v>45780</v>
      </c>
      <c r="AO14" s="298" t="n">
        <f aca="false">SUP_CONTROL!$C$8*(AO11+AO12*(1+SUP_VOLUMEN!$C$26))</f>
        <v>45780</v>
      </c>
      <c r="AP14" s="298" t="n">
        <f aca="false">SUP_CONTROL!$C$8*(AP11+AP12*(1+SUP_VOLUMEN!$C$26))</f>
        <v>45780</v>
      </c>
      <c r="AQ14" s="298" t="n">
        <f aca="false">SUP_CONTROL!$C$8*(AQ11+AQ12*(1+SUP_VOLUMEN!$C$26))</f>
        <v>45780</v>
      </c>
      <c r="AR14" s="298" t="n">
        <f aca="false">SUP_CONTROL!$C$8*(AR11+AR12*(1+SUP_VOLUMEN!$C$26))</f>
        <v>45780</v>
      </c>
      <c r="AS14" s="298" t="n">
        <f aca="false">SUP_CONTROL!$C$8*(AS11+AS12*(1+SUP_VOLUMEN!$C$26))</f>
        <v>45780</v>
      </c>
      <c r="AT14" s="298" t="n">
        <f aca="false">SUP_CONTROL!$C$8*(AT11+AT12*(1+SUP_VOLUMEN!$C$26))</f>
        <v>45780</v>
      </c>
      <c r="AU14" s="298" t="n">
        <f aca="false">SUP_CONTROL!$C$8*(AU11+AU12*(1+SUP_VOLUMEN!$C$26))</f>
        <v>45780</v>
      </c>
      <c r="AV14" s="298" t="n">
        <f aca="false">SUP_CONTROL!$C$8*(AV11+AV12*(1+SUP_VOLUMEN!$C$26))</f>
        <v>45780</v>
      </c>
      <c r="AW14" s="298" t="n">
        <f aca="false">SUP_CONTROL!$C$8*(AW11+AW12*(1+SUP_VOLUMEN!$C$26))</f>
        <v>45780</v>
      </c>
      <c r="AX14" s="298" t="n">
        <f aca="false">SUP_CONTROL!$C$8*(AX11+AX12*(1+SUP_VOLUMEN!$C$26))</f>
        <v>45780</v>
      </c>
      <c r="AY14" s="298" t="n">
        <f aca="false">SUP_CONTROL!$C$8*(AY11+AY12*(1+SUP_VOLUMEN!$C$26))</f>
        <v>45780</v>
      </c>
      <c r="AZ14" s="298" t="n">
        <f aca="false">SUP_CONTROL!$C$8*(AZ11+AZ12*(1+SUP_VOLUMEN!$C$26))</f>
        <v>45780</v>
      </c>
      <c r="BA14" s="298" t="n">
        <f aca="false">SUP_CONTROL!$C$8*(BA11+BA12*(1+SUP_VOLUMEN!$C$26))</f>
        <v>45780</v>
      </c>
      <c r="BB14" s="298" t="n">
        <f aca="false">SUP_CONTROL!$C$8*(BB11+BB12*(1+SUP_VOLUMEN!$C$26))</f>
        <v>45780</v>
      </c>
      <c r="BC14" s="298" t="n">
        <f aca="false">SUP_CONTROL!$C$8*(BC11+BC12*(1+SUP_VOLUMEN!$C$26))</f>
        <v>45780</v>
      </c>
      <c r="BD14" s="298" t="n">
        <f aca="false">SUP_CONTROL!$C$8*(BD11+BD12*(1+SUP_VOLUMEN!$C$26))</f>
        <v>45780</v>
      </c>
      <c r="BE14" s="298" t="n">
        <f aca="false">SUP_CONTROL!$C$8*(BE11+BE12*(1+SUP_VOLUMEN!$C$26))</f>
        <v>45780</v>
      </c>
      <c r="BF14" s="298" t="n">
        <f aca="false">SUP_CONTROL!$C$8*(BF11+BF12*(1+SUP_VOLUMEN!$C$26))</f>
        <v>45780</v>
      </c>
      <c r="BG14" s="298" t="n">
        <f aca="false">SUP_CONTROL!$C$8*(BG11+BG12*(1+SUP_VOLUMEN!$C$26))</f>
        <v>45780</v>
      </c>
      <c r="BH14" s="298" t="n">
        <f aca="false">SUP_CONTROL!$C$8*(BH11+BH12*(1+SUP_VOLUMEN!$C$26))</f>
        <v>45780</v>
      </c>
      <c r="BI14" s="298" t="n">
        <f aca="false">SUP_CONTROL!$C$8*(BI11+BI12*(1+SUP_VOLUMEN!$C$26))</f>
        <v>45780</v>
      </c>
      <c r="BJ14" s="298" t="n">
        <f aca="false">SUP_CONTROL!$C$8*(BJ11+BJ12*(1+SUP_VOLUMEN!$C$26))</f>
        <v>45780</v>
      </c>
      <c r="BK14" s="298" t="n">
        <f aca="false">SUP_CONTROL!$C$8*(BK11+BK12*(1+SUP_VOLUMEN!$C$26))</f>
        <v>45780</v>
      </c>
      <c r="BL14" s="298" t="n">
        <f aca="false">SUP_CONTROL!$C$8*(BL11+BL12*(1+SUP_VOLUMEN!$C$26))</f>
        <v>45780</v>
      </c>
      <c r="BM14" s="298" t="n">
        <f aca="false">SUP_CONTROL!$C$8*(BM11+BM12*(1+SUP_VOLUMEN!$C$26))</f>
        <v>45780</v>
      </c>
      <c r="BN14" s="298" t="n">
        <f aca="false">SUP_CONTROL!$C$8*(BN11+BN12*(1+SUP_VOLUMEN!$C$26))</f>
        <v>45780</v>
      </c>
      <c r="BO14" s="298" t="n">
        <f aca="false">SUP_CONTROL!$C$8*(BO11+BO12*(1+SUP_VOLUMEN!$C$26))</f>
        <v>45780</v>
      </c>
      <c r="BP14" s="298" t="n">
        <f aca="false">SUP_CONTROL!$C$8*(BP11+BP12*(1+SUP_VOLUMEN!$C$26))</f>
        <v>45780</v>
      </c>
      <c r="BQ14" s="298" t="n">
        <f aca="false">SUP_CONTROL!$C$8*(BQ11+BQ12*(1+SUP_VOLUMEN!$C$26))</f>
        <v>45780</v>
      </c>
      <c r="BR14" s="298" t="n">
        <f aca="false">SUP_CONTROL!$C$8*(BR11+BR12*(1+SUP_VOLUMEN!$C$26))</f>
        <v>45780</v>
      </c>
      <c r="BS14" s="298" t="n">
        <f aca="false">SUP_CONTROL!$C$8*(BS11+BS12*(1+SUP_VOLUMEN!$C$26))</f>
        <v>45780</v>
      </c>
      <c r="BT14" s="298" t="n">
        <f aca="false">SUP_CONTROL!$C$8*(BT11+BT12*(1+SUP_VOLUMEN!$C$26))</f>
        <v>45780</v>
      </c>
      <c r="BU14" s="298" t="n">
        <f aca="false">SUP_CONTROL!$C$8*(BU11+BU12*(1+SUP_VOLUMEN!$C$26))</f>
        <v>45780</v>
      </c>
      <c r="BV14" s="298" t="n">
        <f aca="false">SUP_CONTROL!$C$8*(BV11+BV12*(1+SUP_VOLUMEN!$C$26))</f>
        <v>45780</v>
      </c>
      <c r="BW14" s="298" t="n">
        <f aca="false">SUP_CONTROL!$C$8*(BW11+BW12*(1+SUP_VOLUMEN!$C$26))</f>
        <v>45780</v>
      </c>
      <c r="BX14" s="298" t="n">
        <f aca="false">SUP_CONTROL!$C$8*(BX11+BX12*(1+SUP_VOLUMEN!$C$26))</f>
        <v>45780</v>
      </c>
      <c r="BY14" s="298" t="n">
        <f aca="false">SUP_CONTROL!$C$8*(BY11+BY12*(1+SUP_VOLUMEN!$C$26))</f>
        <v>45780</v>
      </c>
      <c r="BZ14" s="298" t="n">
        <f aca="false">SUP_CONTROL!$C$8*(BZ11+BZ12*(1+SUP_VOLUMEN!$C$26))</f>
        <v>45780</v>
      </c>
      <c r="CA14" s="298" t="n">
        <f aca="false">SUP_CONTROL!$C$8*(CA11+CA12*(1+SUP_VOLUMEN!$C$26))</f>
        <v>45780</v>
      </c>
      <c r="CB14" s="298" t="n">
        <f aca="false">SUP_CONTROL!$C$8*(CB11+CB12*(1+SUP_VOLUMEN!$C$26))</f>
        <v>45780</v>
      </c>
      <c r="CC14" s="298" t="n">
        <f aca="false">SUP_CONTROL!$C$8*(CC11+CC12*(1+SUP_VOLUMEN!$C$26))</f>
        <v>45780</v>
      </c>
      <c r="CD14" s="298" t="n">
        <f aca="false">SUP_CONTROL!$C$8*(CD11+CD12*(1+SUP_VOLUMEN!$C$26))</f>
        <v>45780</v>
      </c>
      <c r="CE14" s="298" t="n">
        <f aca="false">SUP_CONTROL!$C$8*(CE11+CE12*(1+SUP_VOLUMEN!$C$26))</f>
        <v>45780</v>
      </c>
      <c r="CF14" s="298" t="n">
        <f aca="false">SUP_CONTROL!$C$8*(CF11+CF12*(1+SUP_VOLUMEN!$C$26))</f>
        <v>45780</v>
      </c>
      <c r="CG14" s="298" t="n">
        <f aca="false">SUP_CONTROL!$C$8*(CG11+CG12*(1+SUP_VOLUMEN!$C$26))</f>
        <v>45780</v>
      </c>
      <c r="CH14" s="298" t="n">
        <f aca="false">SUP_CONTROL!$C$8*(CH11+CH12*(1+SUP_VOLUMEN!$C$26))</f>
        <v>45780</v>
      </c>
      <c r="CI14" s="298" t="n">
        <f aca="false">SUP_CONTROL!$C$8*(CI11+CI12*(1+SUP_VOLUMEN!$C$26))</f>
        <v>45780</v>
      </c>
      <c r="CJ14" s="298" t="n">
        <f aca="false">SUP_CONTROL!$C$8*(CJ11+CJ12*(1+SUP_VOLUMEN!$C$26))</f>
        <v>45780</v>
      </c>
      <c r="CK14" s="298" t="n">
        <f aca="false">SUP_CONTROL!$C$8*(CK11+CK12*(1+SUP_VOLUMEN!$C$26))</f>
        <v>45780</v>
      </c>
      <c r="CL14" s="298" t="n">
        <f aca="false">SUP_CONTROL!$C$8*(CL11+CL12*(1+SUP_VOLUMEN!$C$26))</f>
        <v>45780</v>
      </c>
      <c r="CM14" s="298" t="n">
        <f aca="false">SUP_CONTROL!$C$8*(CM11+CM12*(1+SUP_VOLUMEN!$C$26))</f>
        <v>45780</v>
      </c>
      <c r="CN14" s="298" t="n">
        <f aca="false">SUP_CONTROL!$C$8*(CN11+CN12*(1+SUP_VOLUMEN!$C$26))</f>
        <v>45780</v>
      </c>
      <c r="CO14" s="298" t="n">
        <f aca="false">SUP_CONTROL!$C$8*(CO11+CO12*(1+SUP_VOLUMEN!$C$26))</f>
        <v>45780</v>
      </c>
      <c r="CP14" s="298" t="n">
        <f aca="false">SUP_CONTROL!$C$8*(CP11+CP12*(1+SUP_VOLUMEN!$C$26))</f>
        <v>45780</v>
      </c>
      <c r="CQ14" s="298" t="n">
        <f aca="false">SUP_CONTROL!$C$8*(CQ11+CQ12*(1+SUP_VOLUMEN!$C$26))</f>
        <v>45780</v>
      </c>
      <c r="CR14" s="298" t="n">
        <f aca="false">SUP_CONTROL!$C$8*(CR11+CR12*(1+SUP_VOLUMEN!$C$26))</f>
        <v>45780</v>
      </c>
      <c r="CS14" s="298" t="n">
        <f aca="false">SUP_CONTROL!$C$8*(CS11+CS12*(1+SUP_VOLUMEN!$C$26))</f>
        <v>45780</v>
      </c>
      <c r="CT14" s="298" t="n">
        <f aca="false">SUP_CONTROL!$C$8*(CT11+CT12*(1+SUP_VOLUMEN!$C$26))</f>
        <v>45780</v>
      </c>
      <c r="CU14" s="298" t="n">
        <f aca="false">SUP_CONTROL!$C$8*(CU11+CU12*(1+SUP_VOLUMEN!$C$26))</f>
        <v>45780</v>
      </c>
      <c r="CV14" s="298" t="n">
        <f aca="false">SUP_CONTROL!$C$8*(CV11+CV12*(1+SUP_VOLUMEN!$C$26))</f>
        <v>45780</v>
      </c>
      <c r="CW14" s="298" t="n">
        <f aca="false">SUP_CONTROL!$C$8*(CW11+CW12*(1+SUP_VOLUMEN!$C$26))</f>
        <v>45780</v>
      </c>
      <c r="CX14" s="298" t="n">
        <f aca="false">SUP_CONTROL!$C$8*(CX11+CX12*(1+SUP_VOLUMEN!$C$26))</f>
        <v>45780</v>
      </c>
      <c r="CY14" s="298" t="n">
        <f aca="false">SUP_CONTROL!$C$8*(CY11+CY12*(1+SUP_VOLUMEN!$C$26))</f>
        <v>45780</v>
      </c>
      <c r="CZ14" s="298" t="n">
        <f aca="false">SUP_CONTROL!$C$8*(CZ11+CZ12*(1+SUP_VOLUMEN!$C$26))</f>
        <v>45780</v>
      </c>
      <c r="DA14" s="298" t="n">
        <f aca="false">SUP_CONTROL!$C$8*(DA11+DA12*(1+SUP_VOLUMEN!$C$26))</f>
        <v>45780</v>
      </c>
      <c r="DB14" s="298" t="n">
        <f aca="false">SUP_CONTROL!$C$8*(DB11+DB12*(1+SUP_VOLUMEN!$C$26))</f>
        <v>45780</v>
      </c>
      <c r="DC14" s="298" t="n">
        <f aca="false">SUP_CONTROL!$C$8*(DC11+DC12*(1+SUP_VOLUMEN!$C$26))</f>
        <v>45780</v>
      </c>
      <c r="DD14" s="298" t="n">
        <f aca="false">SUP_CONTROL!$C$8*(DD11+DD12*(1+SUP_VOLUMEN!$C$26))</f>
        <v>45780</v>
      </c>
      <c r="DE14" s="298" t="n">
        <f aca="false">SUP_CONTROL!$C$8*(DE11+DE12*(1+SUP_VOLUMEN!$C$26))</f>
        <v>45780</v>
      </c>
      <c r="DF14" s="298" t="n">
        <f aca="false">SUP_CONTROL!$C$8*(DF11+DF12*(1+SUP_VOLUMEN!$C$26))</f>
        <v>45780</v>
      </c>
      <c r="DG14" s="298" t="n">
        <f aca="false">SUP_CONTROL!$C$8*(DG11+DG12*(1+SUP_VOLUMEN!$C$26))</f>
        <v>45780</v>
      </c>
      <c r="DH14" s="298" t="n">
        <f aca="false">SUP_CONTROL!$C$8*(DH11+DH12*(1+SUP_VOLUMEN!$C$26))</f>
        <v>45780</v>
      </c>
      <c r="DI14" s="298" t="n">
        <f aca="false">SUP_CONTROL!$C$8*(DI11+DI12*(1+SUP_VOLUMEN!$C$26))</f>
        <v>45780</v>
      </c>
      <c r="DJ14" s="298" t="n">
        <f aca="false">SUP_CONTROL!$C$8*(DJ11+DJ12*(1+SUP_VOLUMEN!$C$26))</f>
        <v>45780</v>
      </c>
      <c r="DK14" s="298" t="n">
        <f aca="false">SUP_CONTROL!$C$8*(DK11+DK12*(1+SUP_VOLUMEN!$C$26))</f>
        <v>45780</v>
      </c>
      <c r="DL14" s="298" t="n">
        <f aca="false">SUP_CONTROL!$C$8*(DL11+DL12*(1+SUP_VOLUMEN!$C$26))</f>
        <v>45780</v>
      </c>
      <c r="DM14" s="298" t="n">
        <f aca="false">SUP_CONTROL!$C$8*(DM11+DM12*(1+SUP_VOLUMEN!$C$26))</f>
        <v>45780</v>
      </c>
      <c r="DN14" s="298" t="n">
        <f aca="false">SUP_CONTROL!$C$8*(DN11+DN12*(1+SUP_VOLUMEN!$C$26))</f>
        <v>45780</v>
      </c>
      <c r="DO14" s="298" t="n">
        <f aca="false">SUP_CONTROL!$C$8*(DO11+DO12*(1+SUP_VOLUMEN!$C$26))</f>
        <v>45780</v>
      </c>
      <c r="DP14" s="298" t="n">
        <f aca="false">SUP_CONTROL!$C$8*(DP11+DP12*(1+SUP_VOLUMEN!$C$26))</f>
        <v>45780</v>
      </c>
      <c r="DQ14" s="298" t="n">
        <f aca="false">SUP_CONTROL!$C$8*(DQ11+DQ12*(1+SUP_VOLUMEN!$C$26))</f>
        <v>45780</v>
      </c>
      <c r="DR14" s="298" t="n">
        <f aca="false">SUP_CONTROL!$C$8*(DR11+DR12*(1+SUP_VOLUMEN!$C$26))</f>
        <v>45780</v>
      </c>
      <c r="DS14" s="298" t="n">
        <f aca="false">SUP_CONTROL!$C$8*(DS11+DS12*(1+SUP_VOLUMEN!$C$26))</f>
        <v>45780</v>
      </c>
    </row>
    <row r="15" customFormat="false" ht="15" hidden="false" customHeight="true" outlineLevel="0" collapsed="false">
      <c r="B15" s="297" t="s">
        <v>3415</v>
      </c>
      <c r="D15" s="273" t="n">
        <f aca="false">D14*SUP_CONTROL!$C$26</f>
        <v>0</v>
      </c>
      <c r="E15" s="273" t="n">
        <f aca="false">E14*SUP_CONTROL!$C$26</f>
        <v>0</v>
      </c>
      <c r="F15" s="273" t="n">
        <f aca="false">F14*SUP_CONTROL!$C$26</f>
        <v>0</v>
      </c>
      <c r="G15" s="273" t="n">
        <f aca="false">G14*SUP_CONTROL!$C$26</f>
        <v>75993.6651800203</v>
      </c>
      <c r="H15" s="273" t="n">
        <f aca="false">H14*SUP_CONTROL!$C$26</f>
        <v>168271.687184331</v>
      </c>
      <c r="I15" s="273" t="n">
        <f aca="false">I14*SUP_CONTROL!$C$26</f>
        <v>276834.066012931</v>
      </c>
      <c r="J15" s="273" t="n">
        <f aca="false">J14*SUP_CONTROL!$C$26</f>
        <v>396795.494618535</v>
      </c>
      <c r="K15" s="273" t="n">
        <f aca="false">K14*SUP_CONTROL!$C$26</f>
        <v>530598.626524785</v>
      </c>
      <c r="L15" s="273" t="n">
        <f aca="false">L14*SUP_CONTROL!$C$26</f>
        <v>570495.300744295</v>
      </c>
      <c r="M15" s="273" t="n">
        <f aca="false">M14*SUP_CONTROL!$C$26</f>
        <v>591664.964615872</v>
      </c>
      <c r="N15" s="273" t="n">
        <f aca="false">N14*SUP_CONTROL!$C$26</f>
        <v>591664.964615872</v>
      </c>
      <c r="O15" s="273" t="n">
        <f aca="false">O14*SUP_CONTROL!$C$26</f>
        <v>591664.964615872</v>
      </c>
      <c r="P15" s="273" t="n">
        <f aca="false">P14*SUP_CONTROL!$C$26</f>
        <v>591664.964615872</v>
      </c>
      <c r="Q15" s="273" t="n">
        <f aca="false">Q14*SUP_CONTROL!$C$26</f>
        <v>591664.964615872</v>
      </c>
      <c r="R15" s="273" t="n">
        <f aca="false">R14*SUP_CONTROL!$C$26</f>
        <v>591664.964615872</v>
      </c>
      <c r="S15" s="273" t="n">
        <f aca="false">S14*SUP_CONTROL!$C$26</f>
        <v>591664.964615872</v>
      </c>
      <c r="T15" s="273" t="n">
        <f aca="false">T14*SUP_CONTROL!$C$26</f>
        <v>591664.964615872</v>
      </c>
      <c r="U15" s="273" t="n">
        <f aca="false">U14*SUP_CONTROL!$C$26</f>
        <v>591664.964615872</v>
      </c>
      <c r="V15" s="273" t="n">
        <f aca="false">V14*SUP_CONTROL!$C$26</f>
        <v>591664.964615872</v>
      </c>
      <c r="W15" s="273" t="n">
        <f aca="false">W14*SUP_CONTROL!$C$26</f>
        <v>591664.964615872</v>
      </c>
      <c r="X15" s="273" t="n">
        <f aca="false">X14*SUP_CONTROL!$C$26</f>
        <v>591664.964615872</v>
      </c>
      <c r="Y15" s="273" t="n">
        <f aca="false">Y14*SUP_CONTROL!$C$26</f>
        <v>591664.964615872</v>
      </c>
      <c r="Z15" s="273" t="n">
        <f aca="false">Z14*SUP_CONTROL!$C$26</f>
        <v>591664.964615872</v>
      </c>
      <c r="AA15" s="273" t="n">
        <f aca="false">AA14*SUP_CONTROL!$C$26</f>
        <v>591664.964615872</v>
      </c>
      <c r="AB15" s="273" t="n">
        <f aca="false">AB14*SUP_CONTROL!$C$26</f>
        <v>591664.964615872</v>
      </c>
      <c r="AC15" s="273" t="n">
        <f aca="false">AC14*SUP_CONTROL!$C$26</f>
        <v>591664.964615872</v>
      </c>
      <c r="AD15" s="273" t="n">
        <f aca="false">AD14*SUP_CONTROL!$C$26</f>
        <v>591664.964615872</v>
      </c>
      <c r="AE15" s="273" t="n">
        <f aca="false">AE14*SUP_CONTROL!$C$26</f>
        <v>591664.964615872</v>
      </c>
      <c r="AF15" s="273" t="n">
        <f aca="false">AF14*SUP_CONTROL!$C$26</f>
        <v>591664.964615872</v>
      </c>
      <c r="AG15" s="273" t="n">
        <f aca="false">AG14*SUP_CONTROL!$C$26</f>
        <v>591664.964615872</v>
      </c>
      <c r="AH15" s="273" t="n">
        <f aca="false">AH14*SUP_CONTROL!$C$26</f>
        <v>591664.964615872</v>
      </c>
      <c r="AI15" s="273" t="n">
        <f aca="false">AI14*SUP_CONTROL!$C$26</f>
        <v>591664.964615872</v>
      </c>
      <c r="AJ15" s="273" t="n">
        <f aca="false">AJ14*SUP_CONTROL!$C$26</f>
        <v>591664.964615872</v>
      </c>
      <c r="AK15" s="273" t="n">
        <f aca="false">AK14*SUP_CONTROL!$C$26</f>
        <v>591664.964615872</v>
      </c>
      <c r="AL15" s="273" t="n">
        <f aca="false">AL14*SUP_CONTROL!$C$26</f>
        <v>591664.964615872</v>
      </c>
      <c r="AM15" s="273" t="n">
        <f aca="false">AM14*SUP_CONTROL!$C$26</f>
        <v>591664.964615872</v>
      </c>
      <c r="AN15" s="273" t="n">
        <f aca="false">AN14*SUP_CONTROL!$C$26</f>
        <v>591664.964615872</v>
      </c>
      <c r="AO15" s="273" t="n">
        <f aca="false">AO14*SUP_CONTROL!$C$26</f>
        <v>591664.964615872</v>
      </c>
      <c r="AP15" s="273" t="n">
        <f aca="false">AP14*SUP_CONTROL!$C$26</f>
        <v>591664.964615872</v>
      </c>
      <c r="AQ15" s="273" t="n">
        <f aca="false">AQ14*SUP_CONTROL!$C$26</f>
        <v>591664.964615872</v>
      </c>
      <c r="AR15" s="273" t="n">
        <f aca="false">AR14*SUP_CONTROL!$C$26</f>
        <v>591664.964615872</v>
      </c>
      <c r="AS15" s="273" t="n">
        <f aca="false">AS14*SUP_CONTROL!$C$26</f>
        <v>591664.964615872</v>
      </c>
      <c r="AT15" s="273" t="n">
        <f aca="false">AT14*SUP_CONTROL!$C$26</f>
        <v>591664.964615872</v>
      </c>
      <c r="AU15" s="273" t="n">
        <f aca="false">AU14*SUP_CONTROL!$C$26</f>
        <v>591664.964615872</v>
      </c>
      <c r="AV15" s="273" t="n">
        <f aca="false">AV14*SUP_CONTROL!$C$26</f>
        <v>591664.964615872</v>
      </c>
      <c r="AW15" s="273" t="n">
        <f aca="false">AW14*SUP_CONTROL!$C$26</f>
        <v>591664.964615872</v>
      </c>
      <c r="AX15" s="273" t="n">
        <f aca="false">AX14*SUP_CONTROL!$C$26</f>
        <v>591664.964615872</v>
      </c>
      <c r="AY15" s="273" t="n">
        <f aca="false">AY14*SUP_CONTROL!$C$26</f>
        <v>591664.964615872</v>
      </c>
      <c r="AZ15" s="273" t="n">
        <f aca="false">AZ14*SUP_CONTROL!$C$26</f>
        <v>591664.964615872</v>
      </c>
      <c r="BA15" s="273" t="n">
        <f aca="false">BA14*SUP_CONTROL!$C$26</f>
        <v>591664.964615872</v>
      </c>
      <c r="BB15" s="273" t="n">
        <f aca="false">BB14*SUP_CONTROL!$C$26</f>
        <v>591664.964615872</v>
      </c>
      <c r="BC15" s="273" t="n">
        <f aca="false">BC14*SUP_CONTROL!$C$26</f>
        <v>591664.964615872</v>
      </c>
      <c r="BD15" s="273" t="n">
        <f aca="false">BD14*SUP_CONTROL!$C$26</f>
        <v>591664.964615872</v>
      </c>
      <c r="BE15" s="273" t="n">
        <f aca="false">BE14*SUP_CONTROL!$C$26</f>
        <v>591664.964615872</v>
      </c>
      <c r="BF15" s="273" t="n">
        <f aca="false">BF14*SUP_CONTROL!$C$26</f>
        <v>591664.964615872</v>
      </c>
      <c r="BG15" s="273" t="n">
        <f aca="false">BG14*SUP_CONTROL!$C$26</f>
        <v>591664.964615872</v>
      </c>
      <c r="BH15" s="273" t="n">
        <f aca="false">BH14*SUP_CONTROL!$C$26</f>
        <v>591664.964615872</v>
      </c>
      <c r="BI15" s="273" t="n">
        <f aca="false">BI14*SUP_CONTROL!$C$26</f>
        <v>591664.964615872</v>
      </c>
      <c r="BJ15" s="273" t="n">
        <f aca="false">BJ14*SUP_CONTROL!$C$26</f>
        <v>591664.964615872</v>
      </c>
      <c r="BK15" s="273" t="n">
        <f aca="false">BK14*SUP_CONTROL!$C$26</f>
        <v>591664.964615872</v>
      </c>
      <c r="BL15" s="273" t="n">
        <f aca="false">BL14*SUP_CONTROL!$C$26</f>
        <v>591664.964615872</v>
      </c>
      <c r="BM15" s="273" t="n">
        <f aca="false">BM14*SUP_CONTROL!$C$26</f>
        <v>591664.964615872</v>
      </c>
      <c r="BN15" s="273" t="n">
        <f aca="false">BN14*SUP_CONTROL!$C$26</f>
        <v>591664.964615872</v>
      </c>
      <c r="BO15" s="273" t="n">
        <f aca="false">BO14*SUP_CONTROL!$C$26</f>
        <v>591664.964615872</v>
      </c>
      <c r="BP15" s="273" t="n">
        <f aca="false">BP14*SUP_CONTROL!$C$26</f>
        <v>591664.964615872</v>
      </c>
      <c r="BQ15" s="273" t="n">
        <f aca="false">BQ14*SUP_CONTROL!$C$26</f>
        <v>591664.964615872</v>
      </c>
      <c r="BR15" s="273" t="n">
        <f aca="false">BR14*SUP_CONTROL!$C$26</f>
        <v>591664.964615872</v>
      </c>
      <c r="BS15" s="273" t="n">
        <f aca="false">BS14*SUP_CONTROL!$C$26</f>
        <v>591664.964615872</v>
      </c>
      <c r="BT15" s="273" t="n">
        <f aca="false">BT14*SUP_CONTROL!$C$26</f>
        <v>591664.964615872</v>
      </c>
      <c r="BU15" s="273" t="n">
        <f aca="false">BU14*SUP_CONTROL!$C$26</f>
        <v>591664.964615872</v>
      </c>
      <c r="BV15" s="273" t="n">
        <f aca="false">BV14*SUP_CONTROL!$C$26</f>
        <v>591664.964615872</v>
      </c>
      <c r="BW15" s="273" t="n">
        <f aca="false">BW14*SUP_CONTROL!$C$26</f>
        <v>591664.964615872</v>
      </c>
      <c r="BX15" s="273" t="n">
        <f aca="false">BX14*SUP_CONTROL!$C$26</f>
        <v>591664.964615872</v>
      </c>
      <c r="BY15" s="273" t="n">
        <f aca="false">BY14*SUP_CONTROL!$C$26</f>
        <v>591664.964615872</v>
      </c>
      <c r="BZ15" s="273" t="n">
        <f aca="false">BZ14*SUP_CONTROL!$C$26</f>
        <v>591664.964615872</v>
      </c>
      <c r="CA15" s="273" t="n">
        <f aca="false">CA14*SUP_CONTROL!$C$26</f>
        <v>591664.964615872</v>
      </c>
      <c r="CB15" s="273" t="n">
        <f aca="false">CB14*SUP_CONTROL!$C$26</f>
        <v>591664.964615872</v>
      </c>
      <c r="CC15" s="273" t="n">
        <f aca="false">CC14*SUP_CONTROL!$C$26</f>
        <v>591664.964615872</v>
      </c>
      <c r="CD15" s="273" t="n">
        <f aca="false">CD14*SUP_CONTROL!$C$26</f>
        <v>591664.964615872</v>
      </c>
      <c r="CE15" s="273" t="n">
        <f aca="false">CE14*SUP_CONTROL!$C$26</f>
        <v>591664.964615872</v>
      </c>
      <c r="CF15" s="273" t="n">
        <f aca="false">CF14*SUP_CONTROL!$C$26</f>
        <v>591664.964615872</v>
      </c>
      <c r="CG15" s="273" t="n">
        <f aca="false">CG14*SUP_CONTROL!$C$26</f>
        <v>591664.964615872</v>
      </c>
      <c r="CH15" s="273" t="n">
        <f aca="false">CH14*SUP_CONTROL!$C$26</f>
        <v>591664.964615872</v>
      </c>
      <c r="CI15" s="273" t="n">
        <f aca="false">CI14*SUP_CONTROL!$C$26</f>
        <v>591664.964615872</v>
      </c>
      <c r="CJ15" s="273" t="n">
        <f aca="false">CJ14*SUP_CONTROL!$C$26</f>
        <v>591664.964615872</v>
      </c>
      <c r="CK15" s="273" t="n">
        <f aca="false">CK14*SUP_CONTROL!$C$26</f>
        <v>591664.964615872</v>
      </c>
      <c r="CL15" s="273" t="n">
        <f aca="false">CL14*SUP_CONTROL!$C$26</f>
        <v>591664.964615872</v>
      </c>
      <c r="CM15" s="273" t="n">
        <f aca="false">CM14*SUP_CONTROL!$C$26</f>
        <v>591664.964615872</v>
      </c>
      <c r="CN15" s="273" t="n">
        <f aca="false">CN14*SUP_CONTROL!$C$26</f>
        <v>591664.964615872</v>
      </c>
      <c r="CO15" s="273" t="n">
        <f aca="false">CO14*SUP_CONTROL!$C$26</f>
        <v>591664.964615872</v>
      </c>
      <c r="CP15" s="273" t="n">
        <f aca="false">CP14*SUP_CONTROL!$C$26</f>
        <v>591664.964615872</v>
      </c>
      <c r="CQ15" s="273" t="n">
        <f aca="false">CQ14*SUP_CONTROL!$C$26</f>
        <v>591664.964615872</v>
      </c>
      <c r="CR15" s="273" t="n">
        <f aca="false">CR14*SUP_CONTROL!$C$26</f>
        <v>591664.964615872</v>
      </c>
      <c r="CS15" s="273" t="n">
        <f aca="false">CS14*SUP_CONTROL!$C$26</f>
        <v>591664.964615872</v>
      </c>
      <c r="CT15" s="273" t="n">
        <f aca="false">CT14*SUP_CONTROL!$C$26</f>
        <v>591664.964615872</v>
      </c>
      <c r="CU15" s="273" t="n">
        <f aca="false">CU14*SUP_CONTROL!$C$26</f>
        <v>591664.964615872</v>
      </c>
      <c r="CV15" s="273" t="n">
        <f aca="false">CV14*SUP_CONTROL!$C$26</f>
        <v>591664.964615872</v>
      </c>
      <c r="CW15" s="273" t="n">
        <f aca="false">CW14*SUP_CONTROL!$C$26</f>
        <v>591664.964615872</v>
      </c>
      <c r="CX15" s="273" t="n">
        <f aca="false">CX14*SUP_CONTROL!$C$26</f>
        <v>591664.964615872</v>
      </c>
      <c r="CY15" s="273" t="n">
        <f aca="false">CY14*SUP_CONTROL!$C$26</f>
        <v>591664.964615872</v>
      </c>
      <c r="CZ15" s="273" t="n">
        <f aca="false">CZ14*SUP_CONTROL!$C$26</f>
        <v>591664.964615872</v>
      </c>
      <c r="DA15" s="273" t="n">
        <f aca="false">DA14*SUP_CONTROL!$C$26</f>
        <v>591664.964615872</v>
      </c>
      <c r="DB15" s="273" t="n">
        <f aca="false">DB14*SUP_CONTROL!$C$26</f>
        <v>591664.964615872</v>
      </c>
      <c r="DC15" s="273" t="n">
        <f aca="false">DC14*SUP_CONTROL!$C$26</f>
        <v>591664.964615872</v>
      </c>
      <c r="DD15" s="273" t="n">
        <f aca="false">DD14*SUP_CONTROL!$C$26</f>
        <v>591664.964615872</v>
      </c>
      <c r="DE15" s="273" t="n">
        <f aca="false">DE14*SUP_CONTROL!$C$26</f>
        <v>591664.964615872</v>
      </c>
      <c r="DF15" s="273" t="n">
        <f aca="false">DF14*SUP_CONTROL!$C$26</f>
        <v>591664.964615872</v>
      </c>
      <c r="DG15" s="273" t="n">
        <f aca="false">DG14*SUP_CONTROL!$C$26</f>
        <v>591664.964615872</v>
      </c>
      <c r="DH15" s="273" t="n">
        <f aca="false">DH14*SUP_CONTROL!$C$26</f>
        <v>591664.964615872</v>
      </c>
      <c r="DI15" s="273" t="n">
        <f aca="false">DI14*SUP_CONTROL!$C$26</f>
        <v>591664.964615872</v>
      </c>
      <c r="DJ15" s="273" t="n">
        <f aca="false">DJ14*SUP_CONTROL!$C$26</f>
        <v>591664.964615872</v>
      </c>
      <c r="DK15" s="273" t="n">
        <f aca="false">DK14*SUP_CONTROL!$C$26</f>
        <v>591664.964615872</v>
      </c>
      <c r="DL15" s="273" t="n">
        <f aca="false">DL14*SUP_CONTROL!$C$26</f>
        <v>591664.964615872</v>
      </c>
      <c r="DM15" s="273" t="n">
        <f aca="false">DM14*SUP_CONTROL!$C$26</f>
        <v>591664.964615872</v>
      </c>
      <c r="DN15" s="273" t="n">
        <f aca="false">DN14*SUP_CONTROL!$C$26</f>
        <v>591664.964615872</v>
      </c>
      <c r="DO15" s="273" t="n">
        <f aca="false">DO14*SUP_CONTROL!$C$26</f>
        <v>591664.964615872</v>
      </c>
      <c r="DP15" s="273" t="n">
        <f aca="false">DP14*SUP_CONTROL!$C$26</f>
        <v>591664.964615872</v>
      </c>
      <c r="DQ15" s="273" t="n">
        <f aca="false">DQ14*SUP_CONTROL!$C$26</f>
        <v>591664.964615872</v>
      </c>
      <c r="DR15" s="273" t="n">
        <f aca="false">DR14*SUP_CONTROL!$C$26</f>
        <v>591664.964615872</v>
      </c>
      <c r="DS15" s="273" t="n">
        <f aca="false">DS14*SUP_CONTROL!$C$26</f>
        <v>591664.964615872</v>
      </c>
    </row>
    <row r="16" customFormat="false" ht="15" hidden="false" customHeight="true" outlineLevel="0" collapsed="false">
      <c r="B16" s="297" t="s">
        <v>3416</v>
      </c>
      <c r="D16" s="298" t="n">
        <f aca="false">D14*SUP_CONTROL!$C$28</f>
        <v>0</v>
      </c>
      <c r="E16" s="298" t="n">
        <f aca="false">E14*SUP_CONTROL!$C$28</f>
        <v>0</v>
      </c>
      <c r="F16" s="298" t="n">
        <f aca="false">F14*SUP_CONTROL!$C$28</f>
        <v>0</v>
      </c>
      <c r="G16" s="298" t="n">
        <f aca="false">G14*SUP_CONTROL!$C$28</f>
        <v>9702</v>
      </c>
      <c r="H16" s="298" t="n">
        <f aca="false">H14*SUP_CONTROL!$C$28</f>
        <v>21483</v>
      </c>
      <c r="I16" s="298" t="n">
        <f aca="false">I14*SUP_CONTROL!$C$28</f>
        <v>35343</v>
      </c>
      <c r="J16" s="298" t="n">
        <f aca="false">J14*SUP_CONTROL!$C$28</f>
        <v>50658.3</v>
      </c>
      <c r="K16" s="298" t="n">
        <f aca="false">K14*SUP_CONTROL!$C$28</f>
        <v>67740.75</v>
      </c>
      <c r="L16" s="298" t="n">
        <f aca="false">L14*SUP_CONTROL!$C$28</f>
        <v>72834.3</v>
      </c>
      <c r="M16" s="298" t="n">
        <f aca="false">M14*SUP_CONTROL!$C$28</f>
        <v>75537</v>
      </c>
      <c r="N16" s="298" t="n">
        <f aca="false">N14*SUP_CONTROL!$C$28</f>
        <v>75537</v>
      </c>
      <c r="O16" s="298" t="n">
        <f aca="false">O14*SUP_CONTROL!$C$28</f>
        <v>75537</v>
      </c>
      <c r="P16" s="298" t="n">
        <f aca="false">P14*SUP_CONTROL!$C$28</f>
        <v>75537</v>
      </c>
      <c r="Q16" s="298" t="n">
        <f aca="false">Q14*SUP_CONTROL!$C$28</f>
        <v>75537</v>
      </c>
      <c r="R16" s="298" t="n">
        <f aca="false">R14*SUP_CONTROL!$C$28</f>
        <v>75537</v>
      </c>
      <c r="S16" s="298" t="n">
        <f aca="false">S14*SUP_CONTROL!$C$28</f>
        <v>75537</v>
      </c>
      <c r="T16" s="298" t="n">
        <f aca="false">T14*SUP_CONTROL!$C$28</f>
        <v>75537</v>
      </c>
      <c r="U16" s="298" t="n">
        <f aca="false">U14*SUP_CONTROL!$C$28</f>
        <v>75537</v>
      </c>
      <c r="V16" s="298" t="n">
        <f aca="false">V14*SUP_CONTROL!$C$28</f>
        <v>75537</v>
      </c>
      <c r="W16" s="298" t="n">
        <f aca="false">W14*SUP_CONTROL!$C$28</f>
        <v>75537</v>
      </c>
      <c r="X16" s="298" t="n">
        <f aca="false">X14*SUP_CONTROL!$C$28</f>
        <v>75537</v>
      </c>
      <c r="Y16" s="298" t="n">
        <f aca="false">Y14*SUP_CONTROL!$C$28</f>
        <v>75537</v>
      </c>
      <c r="Z16" s="298" t="n">
        <f aca="false">Z14*SUP_CONTROL!$C$28</f>
        <v>75537</v>
      </c>
      <c r="AA16" s="298" t="n">
        <f aca="false">AA14*SUP_CONTROL!$C$28</f>
        <v>75537</v>
      </c>
      <c r="AB16" s="298" t="n">
        <f aca="false">AB14*SUP_CONTROL!$C$28</f>
        <v>75537</v>
      </c>
      <c r="AC16" s="298" t="n">
        <f aca="false">AC14*SUP_CONTROL!$C$28</f>
        <v>75537</v>
      </c>
      <c r="AD16" s="298" t="n">
        <f aca="false">AD14*SUP_CONTROL!$C$28</f>
        <v>75537</v>
      </c>
      <c r="AE16" s="298" t="n">
        <f aca="false">AE14*SUP_CONTROL!$C$28</f>
        <v>75537</v>
      </c>
      <c r="AF16" s="298" t="n">
        <f aca="false">AF14*SUP_CONTROL!$C$28</f>
        <v>75537</v>
      </c>
      <c r="AG16" s="298" t="n">
        <f aca="false">AG14*SUP_CONTROL!$C$28</f>
        <v>75537</v>
      </c>
      <c r="AH16" s="298" t="n">
        <f aca="false">AH14*SUP_CONTROL!$C$28</f>
        <v>75537</v>
      </c>
      <c r="AI16" s="298" t="n">
        <f aca="false">AI14*SUP_CONTROL!$C$28</f>
        <v>75537</v>
      </c>
      <c r="AJ16" s="298" t="n">
        <f aca="false">AJ14*SUP_CONTROL!$C$28</f>
        <v>75537</v>
      </c>
      <c r="AK16" s="298" t="n">
        <f aca="false">AK14*SUP_CONTROL!$C$28</f>
        <v>75537</v>
      </c>
      <c r="AL16" s="298" t="n">
        <f aca="false">AL14*SUP_CONTROL!$C$28</f>
        <v>75537</v>
      </c>
      <c r="AM16" s="298" t="n">
        <f aca="false">AM14*SUP_CONTROL!$C$28</f>
        <v>75537</v>
      </c>
      <c r="AN16" s="298" t="n">
        <f aca="false">AN14*SUP_CONTROL!$C$28</f>
        <v>75537</v>
      </c>
      <c r="AO16" s="298" t="n">
        <f aca="false">AO14*SUP_CONTROL!$C$28</f>
        <v>75537</v>
      </c>
      <c r="AP16" s="298" t="n">
        <f aca="false">AP14*SUP_CONTROL!$C$28</f>
        <v>75537</v>
      </c>
      <c r="AQ16" s="298" t="n">
        <f aca="false">AQ14*SUP_CONTROL!$C$28</f>
        <v>75537</v>
      </c>
      <c r="AR16" s="298" t="n">
        <f aca="false">AR14*SUP_CONTROL!$C$28</f>
        <v>75537</v>
      </c>
      <c r="AS16" s="298" t="n">
        <f aca="false">AS14*SUP_CONTROL!$C$28</f>
        <v>75537</v>
      </c>
      <c r="AT16" s="298" t="n">
        <f aca="false">AT14*SUP_CONTROL!$C$28</f>
        <v>75537</v>
      </c>
      <c r="AU16" s="298" t="n">
        <f aca="false">AU14*SUP_CONTROL!$C$28</f>
        <v>75537</v>
      </c>
      <c r="AV16" s="298" t="n">
        <f aca="false">AV14*SUP_CONTROL!$C$28</f>
        <v>75537</v>
      </c>
      <c r="AW16" s="298" t="n">
        <f aca="false">AW14*SUP_CONTROL!$C$28</f>
        <v>75537</v>
      </c>
      <c r="AX16" s="298" t="n">
        <f aca="false">AX14*SUP_CONTROL!$C$28</f>
        <v>75537</v>
      </c>
      <c r="AY16" s="298" t="n">
        <f aca="false">AY14*SUP_CONTROL!$C$28</f>
        <v>75537</v>
      </c>
      <c r="AZ16" s="298" t="n">
        <f aca="false">AZ14*SUP_CONTROL!$C$28</f>
        <v>75537</v>
      </c>
      <c r="BA16" s="298" t="n">
        <f aca="false">BA14*SUP_CONTROL!$C$28</f>
        <v>75537</v>
      </c>
      <c r="BB16" s="298" t="n">
        <f aca="false">BB14*SUP_CONTROL!$C$28</f>
        <v>75537</v>
      </c>
      <c r="BC16" s="298" t="n">
        <f aca="false">BC14*SUP_CONTROL!$C$28</f>
        <v>75537</v>
      </c>
      <c r="BD16" s="298" t="n">
        <f aca="false">BD14*SUP_CONTROL!$C$28</f>
        <v>75537</v>
      </c>
      <c r="BE16" s="298" t="n">
        <f aca="false">BE14*SUP_CONTROL!$C$28</f>
        <v>75537</v>
      </c>
      <c r="BF16" s="298" t="n">
        <f aca="false">BF14*SUP_CONTROL!$C$28</f>
        <v>75537</v>
      </c>
      <c r="BG16" s="298" t="n">
        <f aca="false">BG14*SUP_CONTROL!$C$28</f>
        <v>75537</v>
      </c>
      <c r="BH16" s="298" t="n">
        <f aca="false">BH14*SUP_CONTROL!$C$28</f>
        <v>75537</v>
      </c>
      <c r="BI16" s="298" t="n">
        <f aca="false">BI14*SUP_CONTROL!$C$28</f>
        <v>75537</v>
      </c>
      <c r="BJ16" s="298" t="n">
        <f aca="false">BJ14*SUP_CONTROL!$C$28</f>
        <v>75537</v>
      </c>
      <c r="BK16" s="298" t="n">
        <f aca="false">BK14*SUP_CONTROL!$C$28</f>
        <v>75537</v>
      </c>
      <c r="BL16" s="298" t="n">
        <f aca="false">BL14*SUP_CONTROL!$C$28</f>
        <v>75537</v>
      </c>
      <c r="BM16" s="298" t="n">
        <f aca="false">BM14*SUP_CONTROL!$C$28</f>
        <v>75537</v>
      </c>
      <c r="BN16" s="298" t="n">
        <f aca="false">BN14*SUP_CONTROL!$C$28</f>
        <v>75537</v>
      </c>
      <c r="BO16" s="298" t="n">
        <f aca="false">BO14*SUP_CONTROL!$C$28</f>
        <v>75537</v>
      </c>
      <c r="BP16" s="298" t="n">
        <f aca="false">BP14*SUP_CONTROL!$C$28</f>
        <v>75537</v>
      </c>
      <c r="BQ16" s="298" t="n">
        <f aca="false">BQ14*SUP_CONTROL!$C$28</f>
        <v>75537</v>
      </c>
      <c r="BR16" s="298" t="n">
        <f aca="false">BR14*SUP_CONTROL!$C$28</f>
        <v>75537</v>
      </c>
      <c r="BS16" s="298" t="n">
        <f aca="false">BS14*SUP_CONTROL!$C$28</f>
        <v>75537</v>
      </c>
      <c r="BT16" s="298" t="n">
        <f aca="false">BT14*SUP_CONTROL!$C$28</f>
        <v>75537</v>
      </c>
      <c r="BU16" s="298" t="n">
        <f aca="false">BU14*SUP_CONTROL!$C$28</f>
        <v>75537</v>
      </c>
      <c r="BV16" s="298" t="n">
        <f aca="false">BV14*SUP_CONTROL!$C$28</f>
        <v>75537</v>
      </c>
      <c r="BW16" s="298" t="n">
        <f aca="false">BW14*SUP_CONTROL!$C$28</f>
        <v>75537</v>
      </c>
      <c r="BX16" s="298" t="n">
        <f aca="false">BX14*SUP_CONTROL!$C$28</f>
        <v>75537</v>
      </c>
      <c r="BY16" s="298" t="n">
        <f aca="false">BY14*SUP_CONTROL!$C$28</f>
        <v>75537</v>
      </c>
      <c r="BZ16" s="298" t="n">
        <f aca="false">BZ14*SUP_CONTROL!$C$28</f>
        <v>75537</v>
      </c>
      <c r="CA16" s="298" t="n">
        <f aca="false">CA14*SUP_CONTROL!$C$28</f>
        <v>75537</v>
      </c>
      <c r="CB16" s="298" t="n">
        <f aca="false">CB14*SUP_CONTROL!$C$28</f>
        <v>75537</v>
      </c>
      <c r="CC16" s="298" t="n">
        <f aca="false">CC14*SUP_CONTROL!$C$28</f>
        <v>75537</v>
      </c>
      <c r="CD16" s="298" t="n">
        <f aca="false">CD14*SUP_CONTROL!$C$28</f>
        <v>75537</v>
      </c>
      <c r="CE16" s="298" t="n">
        <f aca="false">CE14*SUP_CONTROL!$C$28</f>
        <v>75537</v>
      </c>
      <c r="CF16" s="298" t="n">
        <f aca="false">CF14*SUP_CONTROL!$C$28</f>
        <v>75537</v>
      </c>
      <c r="CG16" s="298" t="n">
        <f aca="false">CG14*SUP_CONTROL!$C$28</f>
        <v>75537</v>
      </c>
      <c r="CH16" s="298" t="n">
        <f aca="false">CH14*SUP_CONTROL!$C$28</f>
        <v>75537</v>
      </c>
      <c r="CI16" s="298" t="n">
        <f aca="false">CI14*SUP_CONTROL!$C$28</f>
        <v>75537</v>
      </c>
      <c r="CJ16" s="298" t="n">
        <f aca="false">CJ14*SUP_CONTROL!$C$28</f>
        <v>75537</v>
      </c>
      <c r="CK16" s="298" t="n">
        <f aca="false">CK14*SUP_CONTROL!$C$28</f>
        <v>75537</v>
      </c>
      <c r="CL16" s="298" t="n">
        <f aca="false">CL14*SUP_CONTROL!$C$28</f>
        <v>75537</v>
      </c>
      <c r="CM16" s="298" t="n">
        <f aca="false">CM14*SUP_CONTROL!$C$28</f>
        <v>75537</v>
      </c>
      <c r="CN16" s="298" t="n">
        <f aca="false">CN14*SUP_CONTROL!$C$28</f>
        <v>75537</v>
      </c>
      <c r="CO16" s="298" t="n">
        <f aca="false">CO14*SUP_CONTROL!$C$28</f>
        <v>75537</v>
      </c>
      <c r="CP16" s="298" t="n">
        <f aca="false">CP14*SUP_CONTROL!$C$28</f>
        <v>75537</v>
      </c>
      <c r="CQ16" s="298" t="n">
        <f aca="false">CQ14*SUP_CONTROL!$C$28</f>
        <v>75537</v>
      </c>
      <c r="CR16" s="298" t="n">
        <f aca="false">CR14*SUP_CONTROL!$C$28</f>
        <v>75537</v>
      </c>
      <c r="CS16" s="298" t="n">
        <f aca="false">CS14*SUP_CONTROL!$C$28</f>
        <v>75537</v>
      </c>
      <c r="CT16" s="298" t="n">
        <f aca="false">CT14*SUP_CONTROL!$C$28</f>
        <v>75537</v>
      </c>
      <c r="CU16" s="298" t="n">
        <f aca="false">CU14*SUP_CONTROL!$C$28</f>
        <v>75537</v>
      </c>
      <c r="CV16" s="298" t="n">
        <f aca="false">CV14*SUP_CONTROL!$C$28</f>
        <v>75537</v>
      </c>
      <c r="CW16" s="298" t="n">
        <f aca="false">CW14*SUP_CONTROL!$C$28</f>
        <v>75537</v>
      </c>
      <c r="CX16" s="298" t="n">
        <f aca="false">CX14*SUP_CONTROL!$C$28</f>
        <v>75537</v>
      </c>
      <c r="CY16" s="298" t="n">
        <f aca="false">CY14*SUP_CONTROL!$C$28</f>
        <v>75537</v>
      </c>
      <c r="CZ16" s="298" t="n">
        <f aca="false">CZ14*SUP_CONTROL!$C$28</f>
        <v>75537</v>
      </c>
      <c r="DA16" s="298" t="n">
        <f aca="false">DA14*SUP_CONTROL!$C$28</f>
        <v>75537</v>
      </c>
      <c r="DB16" s="298" t="n">
        <f aca="false">DB14*SUP_CONTROL!$C$28</f>
        <v>75537</v>
      </c>
      <c r="DC16" s="298" t="n">
        <f aca="false">DC14*SUP_CONTROL!$C$28</f>
        <v>75537</v>
      </c>
      <c r="DD16" s="298" t="n">
        <f aca="false">DD14*SUP_CONTROL!$C$28</f>
        <v>75537</v>
      </c>
      <c r="DE16" s="298" t="n">
        <f aca="false">DE14*SUP_CONTROL!$C$28</f>
        <v>75537</v>
      </c>
      <c r="DF16" s="298" t="n">
        <f aca="false">DF14*SUP_CONTROL!$C$28</f>
        <v>75537</v>
      </c>
      <c r="DG16" s="298" t="n">
        <f aca="false">DG14*SUP_CONTROL!$C$28</f>
        <v>75537</v>
      </c>
      <c r="DH16" s="298" t="n">
        <f aca="false">DH14*SUP_CONTROL!$C$28</f>
        <v>75537</v>
      </c>
      <c r="DI16" s="298" t="n">
        <f aca="false">DI14*SUP_CONTROL!$C$28</f>
        <v>75537</v>
      </c>
      <c r="DJ16" s="298" t="n">
        <f aca="false">DJ14*SUP_CONTROL!$C$28</f>
        <v>75537</v>
      </c>
      <c r="DK16" s="298" t="n">
        <f aca="false">DK14*SUP_CONTROL!$C$28</f>
        <v>75537</v>
      </c>
      <c r="DL16" s="298" t="n">
        <f aca="false">DL14*SUP_CONTROL!$C$28</f>
        <v>75537</v>
      </c>
      <c r="DM16" s="298" t="n">
        <f aca="false">DM14*SUP_CONTROL!$C$28</f>
        <v>75537</v>
      </c>
      <c r="DN16" s="298" t="n">
        <f aca="false">DN14*SUP_CONTROL!$C$28</f>
        <v>75537</v>
      </c>
      <c r="DO16" s="298" t="n">
        <f aca="false">DO14*SUP_CONTROL!$C$28</f>
        <v>75537</v>
      </c>
      <c r="DP16" s="298" t="n">
        <f aca="false">DP14*SUP_CONTROL!$C$28</f>
        <v>75537</v>
      </c>
      <c r="DQ16" s="298" t="n">
        <f aca="false">DQ14*SUP_CONTROL!$C$28</f>
        <v>75537</v>
      </c>
      <c r="DR16" s="298" t="n">
        <f aca="false">DR14*SUP_CONTROL!$C$28</f>
        <v>75537</v>
      </c>
      <c r="DS16" s="298" t="n">
        <f aca="false">DS14*SUP_CONTROL!$C$28</f>
        <v>75537</v>
      </c>
    </row>
    <row r="17" customFormat="false" ht="15" hidden="false" customHeight="true" outlineLevel="0" collapsed="false">
      <c r="B17" s="297" t="s">
        <v>3417</v>
      </c>
      <c r="D17" s="273" t="n">
        <f aca="false">D14*SUP_CONTROL!$C$27</f>
        <v>0</v>
      </c>
      <c r="E17" s="273" t="n">
        <f aca="false">E14*SUP_CONTROL!$C$27</f>
        <v>0</v>
      </c>
      <c r="F17" s="273" t="n">
        <f aca="false">F14*SUP_CONTROL!$C$27</f>
        <v>0</v>
      </c>
      <c r="G17" s="273" t="n">
        <f aca="false">G14*SUP_CONTROL!$C$27</f>
        <v>33422.1359361239</v>
      </c>
      <c r="H17" s="273" t="n">
        <f aca="false">H14*SUP_CONTROL!$C$27</f>
        <v>74006.1581442744</v>
      </c>
      <c r="I17" s="273" t="n">
        <f aca="false">I14*SUP_CONTROL!$C$27</f>
        <v>121752.066624451</v>
      </c>
      <c r="J17" s="273" t="n">
        <f aca="false">J14*SUP_CONTROL!$C$27</f>
        <v>174511.295495047</v>
      </c>
      <c r="K17" s="273" t="n">
        <f aca="false">K14*SUP_CONTROL!$C$27</f>
        <v>233358.127696865</v>
      </c>
      <c r="L17" s="273" t="n">
        <f aca="false">L14*SUP_CONTROL!$C$27</f>
        <v>250904.74906333</v>
      </c>
      <c r="M17" s="273" t="n">
        <f aca="false">M14*SUP_CONTROL!$C$27</f>
        <v>260215.201216965</v>
      </c>
      <c r="N17" s="273" t="n">
        <f aca="false">N14*SUP_CONTROL!$C$27</f>
        <v>260215.201216965</v>
      </c>
      <c r="O17" s="273" t="n">
        <f aca="false">O14*SUP_CONTROL!$C$27</f>
        <v>260215.201216965</v>
      </c>
      <c r="P17" s="273" t="n">
        <f aca="false">P14*SUP_CONTROL!$C$27</f>
        <v>260215.201216965</v>
      </c>
      <c r="Q17" s="273" t="n">
        <f aca="false">Q14*SUP_CONTROL!$C$27</f>
        <v>260215.201216965</v>
      </c>
      <c r="R17" s="273" t="n">
        <f aca="false">R14*SUP_CONTROL!$C$27</f>
        <v>260215.201216965</v>
      </c>
      <c r="S17" s="273" t="n">
        <f aca="false">S14*SUP_CONTROL!$C$27</f>
        <v>260215.201216965</v>
      </c>
      <c r="T17" s="273" t="n">
        <f aca="false">T14*SUP_CONTROL!$C$27</f>
        <v>260215.201216965</v>
      </c>
      <c r="U17" s="273" t="n">
        <f aca="false">U14*SUP_CONTROL!$C$27</f>
        <v>260215.201216965</v>
      </c>
      <c r="V17" s="273" t="n">
        <f aca="false">V14*SUP_CONTROL!$C$27</f>
        <v>260215.201216965</v>
      </c>
      <c r="W17" s="273" t="n">
        <f aca="false">W14*SUP_CONTROL!$C$27</f>
        <v>260215.201216965</v>
      </c>
      <c r="X17" s="273" t="n">
        <f aca="false">X14*SUP_CONTROL!$C$27</f>
        <v>260215.201216965</v>
      </c>
      <c r="Y17" s="273" t="n">
        <f aca="false">Y14*SUP_CONTROL!$C$27</f>
        <v>260215.201216965</v>
      </c>
      <c r="Z17" s="273" t="n">
        <f aca="false">Z14*SUP_CONTROL!$C$27</f>
        <v>260215.201216965</v>
      </c>
      <c r="AA17" s="273" t="n">
        <f aca="false">AA14*SUP_CONTROL!$C$27</f>
        <v>260215.201216965</v>
      </c>
      <c r="AB17" s="273" t="n">
        <f aca="false">AB14*SUP_CONTROL!$C$27</f>
        <v>260215.201216965</v>
      </c>
      <c r="AC17" s="273" t="n">
        <f aca="false">AC14*SUP_CONTROL!$C$27</f>
        <v>260215.201216965</v>
      </c>
      <c r="AD17" s="273" t="n">
        <f aca="false">AD14*SUP_CONTROL!$C$27</f>
        <v>260215.201216965</v>
      </c>
      <c r="AE17" s="273" t="n">
        <f aca="false">AE14*SUP_CONTROL!$C$27</f>
        <v>260215.201216965</v>
      </c>
      <c r="AF17" s="273" t="n">
        <f aca="false">AF14*SUP_CONTROL!$C$27</f>
        <v>260215.201216965</v>
      </c>
      <c r="AG17" s="273" t="n">
        <f aca="false">AG14*SUP_CONTROL!$C$27</f>
        <v>260215.201216965</v>
      </c>
      <c r="AH17" s="273" t="n">
        <f aca="false">AH14*SUP_CONTROL!$C$27</f>
        <v>260215.201216965</v>
      </c>
      <c r="AI17" s="273" t="n">
        <f aca="false">AI14*SUP_CONTROL!$C$27</f>
        <v>260215.201216965</v>
      </c>
      <c r="AJ17" s="273" t="n">
        <f aca="false">AJ14*SUP_CONTROL!$C$27</f>
        <v>260215.201216965</v>
      </c>
      <c r="AK17" s="273" t="n">
        <f aca="false">AK14*SUP_CONTROL!$C$27</f>
        <v>260215.201216965</v>
      </c>
      <c r="AL17" s="273" t="n">
        <f aca="false">AL14*SUP_CONTROL!$C$27</f>
        <v>260215.201216965</v>
      </c>
      <c r="AM17" s="273" t="n">
        <f aca="false">AM14*SUP_CONTROL!$C$27</f>
        <v>260215.201216965</v>
      </c>
      <c r="AN17" s="273" t="n">
        <f aca="false">AN14*SUP_CONTROL!$C$27</f>
        <v>260215.201216965</v>
      </c>
      <c r="AO17" s="273" t="n">
        <f aca="false">AO14*SUP_CONTROL!$C$27</f>
        <v>260215.201216965</v>
      </c>
      <c r="AP17" s="273" t="n">
        <f aca="false">AP14*SUP_CONTROL!$C$27</f>
        <v>260215.201216965</v>
      </c>
      <c r="AQ17" s="273" t="n">
        <f aca="false">AQ14*SUP_CONTROL!$C$27</f>
        <v>260215.201216965</v>
      </c>
      <c r="AR17" s="273" t="n">
        <f aca="false">AR14*SUP_CONTROL!$C$27</f>
        <v>260215.201216965</v>
      </c>
      <c r="AS17" s="273" t="n">
        <f aca="false">AS14*SUP_CONTROL!$C$27</f>
        <v>260215.201216965</v>
      </c>
      <c r="AT17" s="273" t="n">
        <f aca="false">AT14*SUP_CONTROL!$C$27</f>
        <v>260215.201216965</v>
      </c>
      <c r="AU17" s="273" t="n">
        <f aca="false">AU14*SUP_CONTROL!$C$27</f>
        <v>260215.201216965</v>
      </c>
      <c r="AV17" s="273" t="n">
        <f aca="false">AV14*SUP_CONTROL!$C$27</f>
        <v>260215.201216965</v>
      </c>
      <c r="AW17" s="273" t="n">
        <f aca="false">AW14*SUP_CONTROL!$C$27</f>
        <v>260215.201216965</v>
      </c>
      <c r="AX17" s="273" t="n">
        <f aca="false">AX14*SUP_CONTROL!$C$27</f>
        <v>260215.201216965</v>
      </c>
      <c r="AY17" s="273" t="n">
        <f aca="false">AY14*SUP_CONTROL!$C$27</f>
        <v>260215.201216965</v>
      </c>
      <c r="AZ17" s="273" t="n">
        <f aca="false">AZ14*SUP_CONTROL!$C$27</f>
        <v>260215.201216965</v>
      </c>
      <c r="BA17" s="273" t="n">
        <f aca="false">BA14*SUP_CONTROL!$C$27</f>
        <v>260215.201216965</v>
      </c>
      <c r="BB17" s="273" t="n">
        <f aca="false">BB14*SUP_CONTROL!$C$27</f>
        <v>260215.201216965</v>
      </c>
      <c r="BC17" s="273" t="n">
        <f aca="false">BC14*SUP_CONTROL!$C$27</f>
        <v>260215.201216965</v>
      </c>
      <c r="BD17" s="273" t="n">
        <f aca="false">BD14*SUP_CONTROL!$C$27</f>
        <v>260215.201216965</v>
      </c>
      <c r="BE17" s="273" t="n">
        <f aca="false">BE14*SUP_CONTROL!$C$27</f>
        <v>260215.201216965</v>
      </c>
      <c r="BF17" s="273" t="n">
        <f aca="false">BF14*SUP_CONTROL!$C$27</f>
        <v>260215.201216965</v>
      </c>
      <c r="BG17" s="273" t="n">
        <f aca="false">BG14*SUP_CONTROL!$C$27</f>
        <v>260215.201216965</v>
      </c>
      <c r="BH17" s="273" t="n">
        <f aca="false">BH14*SUP_CONTROL!$C$27</f>
        <v>260215.201216965</v>
      </c>
      <c r="BI17" s="273" t="n">
        <f aca="false">BI14*SUP_CONTROL!$C$27</f>
        <v>260215.201216965</v>
      </c>
      <c r="BJ17" s="273" t="n">
        <f aca="false">BJ14*SUP_CONTROL!$C$27</f>
        <v>260215.201216965</v>
      </c>
      <c r="BK17" s="273" t="n">
        <f aca="false">BK14*SUP_CONTROL!$C$27</f>
        <v>260215.201216965</v>
      </c>
      <c r="BL17" s="273" t="n">
        <f aca="false">BL14*SUP_CONTROL!$C$27</f>
        <v>260215.201216965</v>
      </c>
      <c r="BM17" s="273" t="n">
        <f aca="false">BM14*SUP_CONTROL!$C$27</f>
        <v>260215.201216965</v>
      </c>
      <c r="BN17" s="273" t="n">
        <f aca="false">BN14*SUP_CONTROL!$C$27</f>
        <v>260215.201216965</v>
      </c>
      <c r="BO17" s="273" t="n">
        <f aca="false">BO14*SUP_CONTROL!$C$27</f>
        <v>260215.201216965</v>
      </c>
      <c r="BP17" s="273" t="n">
        <f aca="false">BP14*SUP_CONTROL!$C$27</f>
        <v>260215.201216965</v>
      </c>
      <c r="BQ17" s="273" t="n">
        <f aca="false">BQ14*SUP_CONTROL!$C$27</f>
        <v>260215.201216965</v>
      </c>
      <c r="BR17" s="273" t="n">
        <f aca="false">BR14*SUP_CONTROL!$C$27</f>
        <v>260215.201216965</v>
      </c>
      <c r="BS17" s="273" t="n">
        <f aca="false">BS14*SUP_CONTROL!$C$27</f>
        <v>260215.201216965</v>
      </c>
      <c r="BT17" s="273" t="n">
        <f aca="false">BT14*SUP_CONTROL!$C$27</f>
        <v>260215.201216965</v>
      </c>
      <c r="BU17" s="273" t="n">
        <f aca="false">BU14*SUP_CONTROL!$C$27</f>
        <v>260215.201216965</v>
      </c>
      <c r="BV17" s="273" t="n">
        <f aca="false">BV14*SUP_CONTROL!$C$27</f>
        <v>260215.201216965</v>
      </c>
      <c r="BW17" s="273" t="n">
        <f aca="false">BW14*SUP_CONTROL!$C$27</f>
        <v>260215.201216965</v>
      </c>
      <c r="BX17" s="273" t="n">
        <f aca="false">BX14*SUP_CONTROL!$C$27</f>
        <v>260215.201216965</v>
      </c>
      <c r="BY17" s="273" t="n">
        <f aca="false">BY14*SUP_CONTROL!$C$27</f>
        <v>260215.201216965</v>
      </c>
      <c r="BZ17" s="273" t="n">
        <f aca="false">BZ14*SUP_CONTROL!$C$27</f>
        <v>260215.201216965</v>
      </c>
      <c r="CA17" s="273" t="n">
        <f aca="false">CA14*SUP_CONTROL!$C$27</f>
        <v>260215.201216965</v>
      </c>
      <c r="CB17" s="273" t="n">
        <f aca="false">CB14*SUP_CONTROL!$C$27</f>
        <v>260215.201216965</v>
      </c>
      <c r="CC17" s="273" t="n">
        <f aca="false">CC14*SUP_CONTROL!$C$27</f>
        <v>260215.201216965</v>
      </c>
      <c r="CD17" s="273" t="n">
        <f aca="false">CD14*SUP_CONTROL!$C$27</f>
        <v>260215.201216965</v>
      </c>
      <c r="CE17" s="273" t="n">
        <f aca="false">CE14*SUP_CONTROL!$C$27</f>
        <v>260215.201216965</v>
      </c>
      <c r="CF17" s="273" t="n">
        <f aca="false">CF14*SUP_CONTROL!$C$27</f>
        <v>260215.201216965</v>
      </c>
      <c r="CG17" s="273" t="n">
        <f aca="false">CG14*SUP_CONTROL!$C$27</f>
        <v>260215.201216965</v>
      </c>
      <c r="CH17" s="273" t="n">
        <f aca="false">CH14*SUP_CONTROL!$C$27</f>
        <v>260215.201216965</v>
      </c>
      <c r="CI17" s="273" t="n">
        <f aca="false">CI14*SUP_CONTROL!$C$27</f>
        <v>260215.201216965</v>
      </c>
      <c r="CJ17" s="273" t="n">
        <f aca="false">CJ14*SUP_CONTROL!$C$27</f>
        <v>260215.201216965</v>
      </c>
      <c r="CK17" s="273" t="n">
        <f aca="false">CK14*SUP_CONTROL!$C$27</f>
        <v>260215.201216965</v>
      </c>
      <c r="CL17" s="273" t="n">
        <f aca="false">CL14*SUP_CONTROL!$C$27</f>
        <v>260215.201216965</v>
      </c>
      <c r="CM17" s="273" t="n">
        <f aca="false">CM14*SUP_CONTROL!$C$27</f>
        <v>260215.201216965</v>
      </c>
      <c r="CN17" s="273" t="n">
        <f aca="false">CN14*SUP_CONTROL!$C$27</f>
        <v>260215.201216965</v>
      </c>
      <c r="CO17" s="273" t="n">
        <f aca="false">CO14*SUP_CONTROL!$C$27</f>
        <v>260215.201216965</v>
      </c>
      <c r="CP17" s="273" t="n">
        <f aca="false">CP14*SUP_CONTROL!$C$27</f>
        <v>260215.201216965</v>
      </c>
      <c r="CQ17" s="273" t="n">
        <f aca="false">CQ14*SUP_CONTROL!$C$27</f>
        <v>260215.201216965</v>
      </c>
      <c r="CR17" s="273" t="n">
        <f aca="false">CR14*SUP_CONTROL!$C$27</f>
        <v>260215.201216965</v>
      </c>
      <c r="CS17" s="273" t="n">
        <f aca="false">CS14*SUP_CONTROL!$C$27</f>
        <v>260215.201216965</v>
      </c>
      <c r="CT17" s="273" t="n">
        <f aca="false">CT14*SUP_CONTROL!$C$27</f>
        <v>260215.201216965</v>
      </c>
      <c r="CU17" s="273" t="n">
        <f aca="false">CU14*SUP_CONTROL!$C$27</f>
        <v>260215.201216965</v>
      </c>
      <c r="CV17" s="273" t="n">
        <f aca="false">CV14*SUP_CONTROL!$C$27</f>
        <v>260215.201216965</v>
      </c>
      <c r="CW17" s="273" t="n">
        <f aca="false">CW14*SUP_CONTROL!$C$27</f>
        <v>260215.201216965</v>
      </c>
      <c r="CX17" s="273" t="n">
        <f aca="false">CX14*SUP_CONTROL!$C$27</f>
        <v>260215.201216965</v>
      </c>
      <c r="CY17" s="273" t="n">
        <f aca="false">CY14*SUP_CONTROL!$C$27</f>
        <v>260215.201216965</v>
      </c>
      <c r="CZ17" s="273" t="n">
        <f aca="false">CZ14*SUP_CONTROL!$C$27</f>
        <v>260215.201216965</v>
      </c>
      <c r="DA17" s="273" t="n">
        <f aca="false">DA14*SUP_CONTROL!$C$27</f>
        <v>260215.201216965</v>
      </c>
      <c r="DB17" s="273" t="n">
        <f aca="false">DB14*SUP_CONTROL!$C$27</f>
        <v>260215.201216965</v>
      </c>
      <c r="DC17" s="273" t="n">
        <f aca="false">DC14*SUP_CONTROL!$C$27</f>
        <v>260215.201216965</v>
      </c>
      <c r="DD17" s="273" t="n">
        <f aca="false">DD14*SUP_CONTROL!$C$27</f>
        <v>260215.201216965</v>
      </c>
      <c r="DE17" s="273" t="n">
        <f aca="false">DE14*SUP_CONTROL!$C$27</f>
        <v>260215.201216965</v>
      </c>
      <c r="DF17" s="273" t="n">
        <f aca="false">DF14*SUP_CONTROL!$C$27</f>
        <v>260215.201216965</v>
      </c>
      <c r="DG17" s="273" t="n">
        <f aca="false">DG14*SUP_CONTROL!$C$27</f>
        <v>260215.201216965</v>
      </c>
      <c r="DH17" s="273" t="n">
        <f aca="false">DH14*SUP_CONTROL!$C$27</f>
        <v>260215.201216965</v>
      </c>
      <c r="DI17" s="273" t="n">
        <f aca="false">DI14*SUP_CONTROL!$C$27</f>
        <v>260215.201216965</v>
      </c>
      <c r="DJ17" s="273" t="n">
        <f aca="false">DJ14*SUP_CONTROL!$C$27</f>
        <v>260215.201216965</v>
      </c>
      <c r="DK17" s="273" t="n">
        <f aca="false">DK14*SUP_CONTROL!$C$27</f>
        <v>260215.201216965</v>
      </c>
      <c r="DL17" s="273" t="n">
        <f aca="false">DL14*SUP_CONTROL!$C$27</f>
        <v>260215.201216965</v>
      </c>
      <c r="DM17" s="273" t="n">
        <f aca="false">DM14*SUP_CONTROL!$C$27</f>
        <v>260215.201216965</v>
      </c>
      <c r="DN17" s="273" t="n">
        <f aca="false">DN14*SUP_CONTROL!$C$27</f>
        <v>260215.201216965</v>
      </c>
      <c r="DO17" s="273" t="n">
        <f aca="false">DO14*SUP_CONTROL!$C$27</f>
        <v>260215.201216965</v>
      </c>
      <c r="DP17" s="273" t="n">
        <f aca="false">DP14*SUP_CONTROL!$C$27</f>
        <v>260215.201216965</v>
      </c>
      <c r="DQ17" s="273" t="n">
        <f aca="false">DQ14*SUP_CONTROL!$C$27</f>
        <v>260215.201216965</v>
      </c>
      <c r="DR17" s="273" t="n">
        <f aca="false">DR14*SUP_CONTROL!$C$27</f>
        <v>260215.201216965</v>
      </c>
      <c r="DS17" s="273" t="n">
        <f aca="false">DS14*SUP_CONTROL!$C$27</f>
        <v>260215.201216965</v>
      </c>
    </row>
    <row r="18" customFormat="false" ht="15" hidden="false" customHeight="true" outlineLevel="0" collapsed="false">
      <c r="B18" s="297" t="s">
        <v>3310</v>
      </c>
      <c r="D18" s="273" t="n">
        <f aca="false">D15*SUP_OPEX!$C$30</f>
        <v>0</v>
      </c>
      <c r="E18" s="273" t="n">
        <f aca="false">E15*SUP_OPEX!$C$30</f>
        <v>0</v>
      </c>
      <c r="F18" s="273" t="n">
        <f aca="false">F15*SUP_OPEX!$C$30</f>
        <v>0</v>
      </c>
      <c r="G18" s="273" t="n">
        <f aca="false">G15*SUP_OPEX!$C$30</f>
        <v>7219.39819210193</v>
      </c>
      <c r="H18" s="273" t="n">
        <f aca="false">H15*SUP_OPEX!$C$30</f>
        <v>15985.8102825114</v>
      </c>
      <c r="I18" s="273" t="n">
        <f aca="false">I15*SUP_OPEX!$C$30</f>
        <v>26299.2362712285</v>
      </c>
      <c r="J18" s="273" t="n">
        <f aca="false">J15*SUP_OPEX!$C$30</f>
        <v>37695.5719887608</v>
      </c>
      <c r="K18" s="273" t="n">
        <f aca="false">K15*SUP_OPEX!$C$30</f>
        <v>50406.8695198545</v>
      </c>
      <c r="L18" s="273" t="n">
        <f aca="false">L15*SUP_OPEX!$C$30</f>
        <v>54197.0535707081</v>
      </c>
      <c r="M18" s="273" t="n">
        <f aca="false">M15*SUP_OPEX!$C$30</f>
        <v>56208.1716385079</v>
      </c>
      <c r="N18" s="273" t="n">
        <f aca="false">N15*SUP_OPEX!$C$30</f>
        <v>56208.1716385079</v>
      </c>
      <c r="O18" s="273" t="n">
        <f aca="false">O15*SUP_OPEX!$C$30</f>
        <v>56208.1716385079</v>
      </c>
      <c r="P18" s="273" t="n">
        <f aca="false">P15*SUP_OPEX!$C$30</f>
        <v>56208.1716385079</v>
      </c>
      <c r="Q18" s="273" t="n">
        <f aca="false">Q15*SUP_OPEX!$C$30</f>
        <v>56208.1716385079</v>
      </c>
      <c r="R18" s="273" t="n">
        <f aca="false">R15*SUP_OPEX!$C$30</f>
        <v>56208.1716385079</v>
      </c>
      <c r="S18" s="273" t="n">
        <f aca="false">S15*SUP_OPEX!$C$30</f>
        <v>56208.1716385079</v>
      </c>
      <c r="T18" s="273" t="n">
        <f aca="false">T15*SUP_OPEX!$C$30</f>
        <v>56208.1716385079</v>
      </c>
      <c r="U18" s="273" t="n">
        <f aca="false">U15*SUP_OPEX!$C$30</f>
        <v>56208.1716385079</v>
      </c>
      <c r="V18" s="273" t="n">
        <f aca="false">V15*SUP_OPEX!$C$30</f>
        <v>56208.1716385079</v>
      </c>
      <c r="W18" s="273" t="n">
        <f aca="false">W15*SUP_OPEX!$C$30</f>
        <v>56208.1716385079</v>
      </c>
      <c r="X18" s="273" t="n">
        <f aca="false">X15*SUP_OPEX!$C$30</f>
        <v>56208.1716385079</v>
      </c>
      <c r="Y18" s="273" t="n">
        <f aca="false">Y15*SUP_OPEX!$C$30</f>
        <v>56208.1716385079</v>
      </c>
      <c r="Z18" s="273" t="n">
        <f aca="false">Z15*SUP_OPEX!$C$30</f>
        <v>56208.1716385079</v>
      </c>
      <c r="AA18" s="273" t="n">
        <f aca="false">AA15*SUP_OPEX!$C$30</f>
        <v>56208.1716385079</v>
      </c>
      <c r="AB18" s="273" t="n">
        <f aca="false">AB15*SUP_OPEX!$C$30</f>
        <v>56208.1716385079</v>
      </c>
      <c r="AC18" s="273" t="n">
        <f aca="false">AC15*SUP_OPEX!$C$30</f>
        <v>56208.1716385079</v>
      </c>
      <c r="AD18" s="273" t="n">
        <f aca="false">AD15*SUP_OPEX!$C$30</f>
        <v>56208.1716385079</v>
      </c>
      <c r="AE18" s="273" t="n">
        <f aca="false">AE15*SUP_OPEX!$C$30</f>
        <v>56208.1716385079</v>
      </c>
      <c r="AF18" s="273" t="n">
        <f aca="false">AF15*SUP_OPEX!$C$30</f>
        <v>56208.1716385079</v>
      </c>
      <c r="AG18" s="273" t="n">
        <f aca="false">AG15*SUP_OPEX!$C$30</f>
        <v>56208.1716385079</v>
      </c>
      <c r="AH18" s="273" t="n">
        <f aca="false">AH15*SUP_OPEX!$C$30</f>
        <v>56208.1716385079</v>
      </c>
      <c r="AI18" s="273" t="n">
        <f aca="false">AI15*SUP_OPEX!$C$30</f>
        <v>56208.1716385079</v>
      </c>
      <c r="AJ18" s="273" t="n">
        <f aca="false">AJ15*SUP_OPEX!$C$30</f>
        <v>56208.1716385079</v>
      </c>
      <c r="AK18" s="273" t="n">
        <f aca="false">AK15*SUP_OPEX!$C$30</f>
        <v>56208.1716385079</v>
      </c>
      <c r="AL18" s="273" t="n">
        <f aca="false">AL15*SUP_OPEX!$C$30</f>
        <v>56208.1716385079</v>
      </c>
      <c r="AM18" s="273" t="n">
        <f aca="false">AM15*SUP_OPEX!$C$30</f>
        <v>56208.1716385079</v>
      </c>
      <c r="AN18" s="273" t="n">
        <f aca="false">AN15*SUP_OPEX!$C$30</f>
        <v>56208.1716385079</v>
      </c>
      <c r="AO18" s="273" t="n">
        <f aca="false">AO15*SUP_OPEX!$C$30</f>
        <v>56208.1716385079</v>
      </c>
      <c r="AP18" s="273" t="n">
        <f aca="false">AP15*SUP_OPEX!$C$30</f>
        <v>56208.1716385079</v>
      </c>
      <c r="AQ18" s="273" t="n">
        <f aca="false">AQ15*SUP_OPEX!$C$30</f>
        <v>56208.1716385079</v>
      </c>
      <c r="AR18" s="273" t="n">
        <f aca="false">AR15*SUP_OPEX!$C$30</f>
        <v>56208.1716385079</v>
      </c>
      <c r="AS18" s="273" t="n">
        <f aca="false">AS15*SUP_OPEX!$C$30</f>
        <v>56208.1716385079</v>
      </c>
      <c r="AT18" s="273" t="n">
        <f aca="false">AT15*SUP_OPEX!$C$30</f>
        <v>56208.1716385079</v>
      </c>
      <c r="AU18" s="273" t="n">
        <f aca="false">AU15*SUP_OPEX!$C$30</f>
        <v>56208.1716385079</v>
      </c>
      <c r="AV18" s="273" t="n">
        <f aca="false">AV15*SUP_OPEX!$C$30</f>
        <v>56208.1716385079</v>
      </c>
      <c r="AW18" s="273" t="n">
        <f aca="false">AW15*SUP_OPEX!$C$30</f>
        <v>56208.1716385079</v>
      </c>
      <c r="AX18" s="273" t="n">
        <f aca="false">AX15*SUP_OPEX!$C$30</f>
        <v>56208.1716385079</v>
      </c>
      <c r="AY18" s="273" t="n">
        <f aca="false">AY15*SUP_OPEX!$C$30</f>
        <v>56208.1716385079</v>
      </c>
      <c r="AZ18" s="273" t="n">
        <f aca="false">AZ15*SUP_OPEX!$C$30</f>
        <v>56208.1716385079</v>
      </c>
      <c r="BA18" s="273" t="n">
        <f aca="false">BA15*SUP_OPEX!$C$30</f>
        <v>56208.1716385079</v>
      </c>
      <c r="BB18" s="273" t="n">
        <f aca="false">BB15*SUP_OPEX!$C$30</f>
        <v>56208.1716385079</v>
      </c>
      <c r="BC18" s="273" t="n">
        <f aca="false">BC15*SUP_OPEX!$C$30</f>
        <v>56208.1716385079</v>
      </c>
      <c r="BD18" s="273" t="n">
        <f aca="false">BD15*SUP_OPEX!$C$30</f>
        <v>56208.1716385079</v>
      </c>
      <c r="BE18" s="273" t="n">
        <f aca="false">BE15*SUP_OPEX!$C$30</f>
        <v>56208.1716385079</v>
      </c>
      <c r="BF18" s="273" t="n">
        <f aca="false">BF15*SUP_OPEX!$C$30</f>
        <v>56208.1716385079</v>
      </c>
      <c r="BG18" s="273" t="n">
        <f aca="false">BG15*SUP_OPEX!$C$30</f>
        <v>56208.1716385079</v>
      </c>
      <c r="BH18" s="273" t="n">
        <f aca="false">BH15*SUP_OPEX!$C$30</f>
        <v>56208.1716385079</v>
      </c>
      <c r="BI18" s="273" t="n">
        <f aca="false">BI15*SUP_OPEX!$C$30</f>
        <v>56208.1716385079</v>
      </c>
      <c r="BJ18" s="273" t="n">
        <f aca="false">BJ15*SUP_OPEX!$C$30</f>
        <v>56208.1716385079</v>
      </c>
      <c r="BK18" s="273" t="n">
        <f aca="false">BK15*SUP_OPEX!$C$30</f>
        <v>56208.1716385079</v>
      </c>
      <c r="BL18" s="273" t="n">
        <f aca="false">BL15*SUP_OPEX!$C$30</f>
        <v>56208.1716385079</v>
      </c>
      <c r="BM18" s="273" t="n">
        <f aca="false">BM15*SUP_OPEX!$C$30</f>
        <v>56208.1716385079</v>
      </c>
      <c r="BN18" s="273" t="n">
        <f aca="false">BN15*SUP_OPEX!$C$30</f>
        <v>56208.1716385079</v>
      </c>
      <c r="BO18" s="273" t="n">
        <f aca="false">BO15*SUP_OPEX!$C$30</f>
        <v>56208.1716385079</v>
      </c>
      <c r="BP18" s="273" t="n">
        <f aca="false">BP15*SUP_OPEX!$C$30</f>
        <v>56208.1716385079</v>
      </c>
      <c r="BQ18" s="273" t="n">
        <f aca="false">BQ15*SUP_OPEX!$C$30</f>
        <v>56208.1716385079</v>
      </c>
      <c r="BR18" s="273" t="n">
        <f aca="false">BR15*SUP_OPEX!$C$30</f>
        <v>56208.1716385079</v>
      </c>
      <c r="BS18" s="273" t="n">
        <f aca="false">BS15*SUP_OPEX!$C$30</f>
        <v>56208.1716385079</v>
      </c>
      <c r="BT18" s="273" t="n">
        <f aca="false">BT15*SUP_OPEX!$C$30</f>
        <v>56208.1716385079</v>
      </c>
      <c r="BU18" s="273" t="n">
        <f aca="false">BU15*SUP_OPEX!$C$30</f>
        <v>56208.1716385079</v>
      </c>
      <c r="BV18" s="273" t="n">
        <f aca="false">BV15*SUP_OPEX!$C$30</f>
        <v>56208.1716385079</v>
      </c>
      <c r="BW18" s="273" t="n">
        <f aca="false">BW15*SUP_OPEX!$C$30</f>
        <v>56208.1716385079</v>
      </c>
      <c r="BX18" s="273" t="n">
        <f aca="false">BX15*SUP_OPEX!$C$30</f>
        <v>56208.1716385079</v>
      </c>
      <c r="BY18" s="273" t="n">
        <f aca="false">BY15*SUP_OPEX!$C$30</f>
        <v>56208.1716385079</v>
      </c>
      <c r="BZ18" s="273" t="n">
        <f aca="false">BZ15*SUP_OPEX!$C$30</f>
        <v>56208.1716385079</v>
      </c>
      <c r="CA18" s="273" t="n">
        <f aca="false">CA15*SUP_OPEX!$C$30</f>
        <v>56208.1716385079</v>
      </c>
      <c r="CB18" s="273" t="n">
        <f aca="false">CB15*SUP_OPEX!$C$30</f>
        <v>56208.1716385079</v>
      </c>
      <c r="CC18" s="273" t="n">
        <f aca="false">CC15*SUP_OPEX!$C$30</f>
        <v>56208.1716385079</v>
      </c>
      <c r="CD18" s="273" t="n">
        <f aca="false">CD15*SUP_OPEX!$C$30</f>
        <v>56208.1716385079</v>
      </c>
      <c r="CE18" s="273" t="n">
        <f aca="false">CE15*SUP_OPEX!$C$30</f>
        <v>56208.1716385079</v>
      </c>
      <c r="CF18" s="273" t="n">
        <f aca="false">CF15*SUP_OPEX!$C$30</f>
        <v>56208.1716385079</v>
      </c>
      <c r="CG18" s="273" t="n">
        <f aca="false">CG15*SUP_OPEX!$C$30</f>
        <v>56208.1716385079</v>
      </c>
      <c r="CH18" s="273" t="n">
        <f aca="false">CH15*SUP_OPEX!$C$30</f>
        <v>56208.1716385079</v>
      </c>
      <c r="CI18" s="273" t="n">
        <f aca="false">CI15*SUP_OPEX!$C$30</f>
        <v>56208.1716385079</v>
      </c>
      <c r="CJ18" s="273" t="n">
        <f aca="false">CJ15*SUP_OPEX!$C$30</f>
        <v>56208.1716385079</v>
      </c>
      <c r="CK18" s="273" t="n">
        <f aca="false">CK15*SUP_OPEX!$C$30</f>
        <v>56208.1716385079</v>
      </c>
      <c r="CL18" s="273" t="n">
        <f aca="false">CL15*SUP_OPEX!$C$30</f>
        <v>56208.1716385079</v>
      </c>
      <c r="CM18" s="273" t="n">
        <f aca="false">CM15*SUP_OPEX!$C$30</f>
        <v>56208.1716385079</v>
      </c>
      <c r="CN18" s="273" t="n">
        <f aca="false">CN15*SUP_OPEX!$C$30</f>
        <v>56208.1716385079</v>
      </c>
      <c r="CO18" s="273" t="n">
        <f aca="false">CO15*SUP_OPEX!$C$30</f>
        <v>56208.1716385079</v>
      </c>
      <c r="CP18" s="273" t="n">
        <f aca="false">CP15*SUP_OPEX!$C$30</f>
        <v>56208.1716385079</v>
      </c>
      <c r="CQ18" s="273" t="n">
        <f aca="false">CQ15*SUP_OPEX!$C$30</f>
        <v>56208.1716385079</v>
      </c>
      <c r="CR18" s="273" t="n">
        <f aca="false">CR15*SUP_OPEX!$C$30</f>
        <v>56208.1716385079</v>
      </c>
      <c r="CS18" s="273" t="n">
        <f aca="false">CS15*SUP_OPEX!$C$30</f>
        <v>56208.1716385079</v>
      </c>
      <c r="CT18" s="273" t="n">
        <f aca="false">CT15*SUP_OPEX!$C$30</f>
        <v>56208.1716385079</v>
      </c>
      <c r="CU18" s="273" t="n">
        <f aca="false">CU15*SUP_OPEX!$C$30</f>
        <v>56208.1716385079</v>
      </c>
      <c r="CV18" s="273" t="n">
        <f aca="false">CV15*SUP_OPEX!$C$30</f>
        <v>56208.1716385079</v>
      </c>
      <c r="CW18" s="273" t="n">
        <f aca="false">CW15*SUP_OPEX!$C$30</f>
        <v>56208.1716385079</v>
      </c>
      <c r="CX18" s="273" t="n">
        <f aca="false">CX15*SUP_OPEX!$C$30</f>
        <v>56208.1716385079</v>
      </c>
      <c r="CY18" s="273" t="n">
        <f aca="false">CY15*SUP_OPEX!$C$30</f>
        <v>56208.1716385079</v>
      </c>
      <c r="CZ18" s="273" t="n">
        <f aca="false">CZ15*SUP_OPEX!$C$30</f>
        <v>56208.1716385079</v>
      </c>
      <c r="DA18" s="273" t="n">
        <f aca="false">DA15*SUP_OPEX!$C$30</f>
        <v>56208.1716385079</v>
      </c>
      <c r="DB18" s="273" t="n">
        <f aca="false">DB15*SUP_OPEX!$C$30</f>
        <v>56208.1716385079</v>
      </c>
      <c r="DC18" s="273" t="n">
        <f aca="false">DC15*SUP_OPEX!$C$30</f>
        <v>56208.1716385079</v>
      </c>
      <c r="DD18" s="273" t="n">
        <f aca="false">DD15*SUP_OPEX!$C$30</f>
        <v>56208.1716385079</v>
      </c>
      <c r="DE18" s="273" t="n">
        <f aca="false">DE15*SUP_OPEX!$C$30</f>
        <v>56208.1716385079</v>
      </c>
      <c r="DF18" s="273" t="n">
        <f aca="false">DF15*SUP_OPEX!$C$30</f>
        <v>56208.1716385079</v>
      </c>
      <c r="DG18" s="273" t="n">
        <f aca="false">DG15*SUP_OPEX!$C$30</f>
        <v>56208.1716385079</v>
      </c>
      <c r="DH18" s="273" t="n">
        <f aca="false">DH15*SUP_OPEX!$C$30</f>
        <v>56208.1716385079</v>
      </c>
      <c r="DI18" s="273" t="n">
        <f aca="false">DI15*SUP_OPEX!$C$30</f>
        <v>56208.1716385079</v>
      </c>
      <c r="DJ18" s="273" t="n">
        <f aca="false">DJ15*SUP_OPEX!$C$30</f>
        <v>56208.1716385079</v>
      </c>
      <c r="DK18" s="273" t="n">
        <f aca="false">DK15*SUP_OPEX!$C$30</f>
        <v>56208.1716385079</v>
      </c>
      <c r="DL18" s="273" t="n">
        <f aca="false">DL15*SUP_OPEX!$C$30</f>
        <v>56208.1716385079</v>
      </c>
      <c r="DM18" s="273" t="n">
        <f aca="false">DM15*SUP_OPEX!$C$30</f>
        <v>56208.1716385079</v>
      </c>
      <c r="DN18" s="273" t="n">
        <f aca="false">DN15*SUP_OPEX!$C$30</f>
        <v>56208.1716385079</v>
      </c>
      <c r="DO18" s="273" t="n">
        <f aca="false">DO15*SUP_OPEX!$C$30</f>
        <v>56208.1716385079</v>
      </c>
      <c r="DP18" s="273" t="n">
        <f aca="false">DP15*SUP_OPEX!$C$30</f>
        <v>56208.1716385079</v>
      </c>
      <c r="DQ18" s="273" t="n">
        <f aca="false">DQ15*SUP_OPEX!$C$30</f>
        <v>56208.1716385079</v>
      </c>
      <c r="DR18" s="273" t="n">
        <f aca="false">DR15*SUP_OPEX!$C$30</f>
        <v>56208.1716385079</v>
      </c>
      <c r="DS18" s="273" t="n">
        <f aca="false">DS15*SUP_OPEX!$C$30</f>
        <v>56208.1716385079</v>
      </c>
    </row>
    <row r="19" customFormat="false" ht="15" hidden="false" customHeight="true" outlineLevel="0" collapsed="false">
      <c r="B19" s="297" t="s">
        <v>3418</v>
      </c>
      <c r="D19" s="273" t="n">
        <f aca="false">D8*SUP_OPEX!$D$23+D9*SUP_OPEX!$E$23</f>
        <v>0</v>
      </c>
      <c r="E19" s="273" t="n">
        <f aca="false">E8*SUP_OPEX!$D$23+E9*SUP_OPEX!$E$23</f>
        <v>0</v>
      </c>
      <c r="F19" s="273" t="n">
        <f aca="false">F8*SUP_OPEX!$D$23+F9*SUP_OPEX!$E$23</f>
        <v>0</v>
      </c>
      <c r="G19" s="273" t="n">
        <f aca="false">G8*SUP_OPEX!$D$23+G9*SUP_OPEX!$E$23</f>
        <v>12878</v>
      </c>
      <c r="H19" s="273" t="n">
        <f aca="false">H8*SUP_OPEX!$D$23+H9*SUP_OPEX!$E$23</f>
        <v>25756</v>
      </c>
      <c r="I19" s="273" t="n">
        <f aca="false">I8*SUP_OPEX!$D$23+I9*SUP_OPEX!$E$23</f>
        <v>38634</v>
      </c>
      <c r="J19" s="273" t="n">
        <f aca="false">J8*SUP_OPEX!$D$23+J9*SUP_OPEX!$E$23</f>
        <v>53848</v>
      </c>
      <c r="K19" s="273" t="n">
        <f aca="false">K8*SUP_OPEX!$D$23+K9*SUP_OPEX!$E$23</f>
        <v>71398</v>
      </c>
      <c r="L19" s="273" t="n">
        <f aca="false">L8*SUP_OPEX!$D$23+L9*SUP_OPEX!$E$23</f>
        <v>71398</v>
      </c>
      <c r="M19" s="273" t="n">
        <f aca="false">M8*SUP_OPEX!$D$23+M9*SUP_OPEX!$E$23</f>
        <v>71398</v>
      </c>
      <c r="N19" s="273" t="n">
        <f aca="false">N8*SUP_OPEX!$D$23+N9*SUP_OPEX!$E$23</f>
        <v>71398</v>
      </c>
      <c r="O19" s="273" t="n">
        <f aca="false">O8*SUP_OPEX!$D$23+O9*SUP_OPEX!$E$23</f>
        <v>71398</v>
      </c>
      <c r="P19" s="273" t="n">
        <f aca="false">P8*SUP_OPEX!$D$23+P9*SUP_OPEX!$E$23</f>
        <v>71398</v>
      </c>
      <c r="Q19" s="273" t="n">
        <f aca="false">Q8*SUP_OPEX!$D$23+Q9*SUP_OPEX!$E$23</f>
        <v>71398</v>
      </c>
      <c r="R19" s="273" t="n">
        <f aca="false">R8*SUP_OPEX!$D$23+R9*SUP_OPEX!$E$23</f>
        <v>71398</v>
      </c>
      <c r="S19" s="273" t="n">
        <f aca="false">S8*SUP_OPEX!$D$23+S9*SUP_OPEX!$E$23</f>
        <v>71398</v>
      </c>
      <c r="T19" s="273" t="n">
        <f aca="false">T8*SUP_OPEX!$D$23+T9*SUP_OPEX!$E$23</f>
        <v>71398</v>
      </c>
      <c r="U19" s="273" t="n">
        <f aca="false">U8*SUP_OPEX!$D$23+U9*SUP_OPEX!$E$23</f>
        <v>71398</v>
      </c>
      <c r="V19" s="273" t="n">
        <f aca="false">V8*SUP_OPEX!$D$23+V9*SUP_OPEX!$E$23</f>
        <v>71398</v>
      </c>
      <c r="W19" s="273" t="n">
        <f aca="false">W8*SUP_OPEX!$D$23+W9*SUP_OPEX!$E$23</f>
        <v>71398</v>
      </c>
      <c r="X19" s="273" t="n">
        <f aca="false">X8*SUP_OPEX!$D$23+X9*SUP_OPEX!$E$23</f>
        <v>71398</v>
      </c>
      <c r="Y19" s="273" t="n">
        <f aca="false">Y8*SUP_OPEX!$D$23+Y9*SUP_OPEX!$E$23</f>
        <v>71398</v>
      </c>
      <c r="Z19" s="273" t="n">
        <f aca="false">Z8*SUP_OPEX!$D$23+Z9*SUP_OPEX!$E$23</f>
        <v>71398</v>
      </c>
      <c r="AA19" s="273" t="n">
        <f aca="false">AA8*SUP_OPEX!$D$23+AA9*SUP_OPEX!$E$23</f>
        <v>71398</v>
      </c>
      <c r="AB19" s="273" t="n">
        <f aca="false">AB8*SUP_OPEX!$D$23+AB9*SUP_OPEX!$E$23</f>
        <v>71398</v>
      </c>
      <c r="AC19" s="273" t="n">
        <f aca="false">AC8*SUP_OPEX!$D$23+AC9*SUP_OPEX!$E$23</f>
        <v>71398</v>
      </c>
      <c r="AD19" s="273" t="n">
        <f aca="false">AD8*SUP_OPEX!$D$23+AD9*SUP_OPEX!$E$23</f>
        <v>71398</v>
      </c>
      <c r="AE19" s="273" t="n">
        <f aca="false">AE8*SUP_OPEX!$D$23+AE9*SUP_OPEX!$E$23</f>
        <v>71398</v>
      </c>
      <c r="AF19" s="273" t="n">
        <f aca="false">AF8*SUP_OPEX!$D$23+AF9*SUP_OPEX!$E$23</f>
        <v>71398</v>
      </c>
      <c r="AG19" s="273" t="n">
        <f aca="false">AG8*SUP_OPEX!$D$23+AG9*SUP_OPEX!$E$23</f>
        <v>71398</v>
      </c>
      <c r="AH19" s="273" t="n">
        <f aca="false">AH8*SUP_OPEX!$D$23+AH9*SUP_OPEX!$E$23</f>
        <v>71398</v>
      </c>
      <c r="AI19" s="273" t="n">
        <f aca="false">AI8*SUP_OPEX!$D$23+AI9*SUP_OPEX!$E$23</f>
        <v>71398</v>
      </c>
      <c r="AJ19" s="273" t="n">
        <f aca="false">AJ8*SUP_OPEX!$D$23+AJ9*SUP_OPEX!$E$23</f>
        <v>71398</v>
      </c>
      <c r="AK19" s="273" t="n">
        <f aca="false">AK8*SUP_OPEX!$D$23+AK9*SUP_OPEX!$E$23</f>
        <v>71398</v>
      </c>
      <c r="AL19" s="273" t="n">
        <f aca="false">AL8*SUP_OPEX!$D$23+AL9*SUP_OPEX!$E$23</f>
        <v>71398</v>
      </c>
      <c r="AM19" s="273" t="n">
        <f aca="false">AM8*SUP_OPEX!$D$23+AM9*SUP_OPEX!$E$23</f>
        <v>71398</v>
      </c>
      <c r="AN19" s="273" t="n">
        <f aca="false">AN8*SUP_OPEX!$D$23+AN9*SUP_OPEX!$E$23</f>
        <v>71398</v>
      </c>
      <c r="AO19" s="273" t="n">
        <f aca="false">AO8*SUP_OPEX!$D$23+AO9*SUP_OPEX!$E$23</f>
        <v>71398</v>
      </c>
      <c r="AP19" s="273" t="n">
        <f aca="false">AP8*SUP_OPEX!$D$23+AP9*SUP_OPEX!$E$23</f>
        <v>71398</v>
      </c>
      <c r="AQ19" s="273" t="n">
        <f aca="false">AQ8*SUP_OPEX!$D$23+AQ9*SUP_OPEX!$E$23</f>
        <v>71398</v>
      </c>
      <c r="AR19" s="273" t="n">
        <f aca="false">AR8*SUP_OPEX!$D$23+AR9*SUP_OPEX!$E$23</f>
        <v>71398</v>
      </c>
      <c r="AS19" s="273" t="n">
        <f aca="false">AS8*SUP_OPEX!$D$23+AS9*SUP_OPEX!$E$23</f>
        <v>71398</v>
      </c>
      <c r="AT19" s="273" t="n">
        <f aca="false">AT8*SUP_OPEX!$D$23+AT9*SUP_OPEX!$E$23</f>
        <v>71398</v>
      </c>
      <c r="AU19" s="273" t="n">
        <f aca="false">AU8*SUP_OPEX!$D$23+AU9*SUP_OPEX!$E$23</f>
        <v>71398</v>
      </c>
      <c r="AV19" s="273" t="n">
        <f aca="false">AV8*SUP_OPEX!$D$23+AV9*SUP_OPEX!$E$23</f>
        <v>71398</v>
      </c>
      <c r="AW19" s="273" t="n">
        <f aca="false">AW8*SUP_OPEX!$D$23+AW9*SUP_OPEX!$E$23</f>
        <v>71398</v>
      </c>
      <c r="AX19" s="273" t="n">
        <f aca="false">AX8*SUP_OPEX!$D$23+AX9*SUP_OPEX!$E$23</f>
        <v>71398</v>
      </c>
      <c r="AY19" s="273" t="n">
        <f aca="false">AY8*SUP_OPEX!$D$23+AY9*SUP_OPEX!$E$23</f>
        <v>71398</v>
      </c>
      <c r="AZ19" s="273" t="n">
        <f aca="false">AZ8*SUP_OPEX!$D$23+AZ9*SUP_OPEX!$E$23</f>
        <v>71398</v>
      </c>
      <c r="BA19" s="273" t="n">
        <f aca="false">BA8*SUP_OPEX!$D$23+BA9*SUP_OPEX!$E$23</f>
        <v>71398</v>
      </c>
      <c r="BB19" s="273" t="n">
        <f aca="false">BB8*SUP_OPEX!$D$23+BB9*SUP_OPEX!$E$23</f>
        <v>71398</v>
      </c>
      <c r="BC19" s="273" t="n">
        <f aca="false">BC8*SUP_OPEX!$D$23+BC9*SUP_OPEX!$E$23</f>
        <v>71398</v>
      </c>
      <c r="BD19" s="273" t="n">
        <f aca="false">BD8*SUP_OPEX!$D$23+BD9*SUP_OPEX!$E$23</f>
        <v>71398</v>
      </c>
      <c r="BE19" s="273" t="n">
        <f aca="false">BE8*SUP_OPEX!$D$23+BE9*SUP_OPEX!$E$23</f>
        <v>71398</v>
      </c>
      <c r="BF19" s="273" t="n">
        <f aca="false">BF8*SUP_OPEX!$D$23+BF9*SUP_OPEX!$E$23</f>
        <v>71398</v>
      </c>
      <c r="BG19" s="273" t="n">
        <f aca="false">BG8*SUP_OPEX!$D$23+BG9*SUP_OPEX!$E$23</f>
        <v>71398</v>
      </c>
      <c r="BH19" s="273" t="n">
        <f aca="false">BH8*SUP_OPEX!$D$23+BH9*SUP_OPEX!$E$23</f>
        <v>71398</v>
      </c>
      <c r="BI19" s="273" t="n">
        <f aca="false">BI8*SUP_OPEX!$D$23+BI9*SUP_OPEX!$E$23</f>
        <v>71398</v>
      </c>
      <c r="BJ19" s="273" t="n">
        <f aca="false">BJ8*SUP_OPEX!$D$23+BJ9*SUP_OPEX!$E$23</f>
        <v>71398</v>
      </c>
      <c r="BK19" s="273" t="n">
        <f aca="false">BK8*SUP_OPEX!$D$23+BK9*SUP_OPEX!$E$23</f>
        <v>71398</v>
      </c>
      <c r="BL19" s="273" t="n">
        <f aca="false">BL8*SUP_OPEX!$D$23+BL9*SUP_OPEX!$E$23</f>
        <v>71398</v>
      </c>
      <c r="BM19" s="273" t="n">
        <f aca="false">BM8*SUP_OPEX!$D$23+BM9*SUP_OPEX!$E$23</f>
        <v>71398</v>
      </c>
      <c r="BN19" s="273" t="n">
        <f aca="false">BN8*SUP_OPEX!$D$23+BN9*SUP_OPEX!$E$23</f>
        <v>71398</v>
      </c>
      <c r="BO19" s="273" t="n">
        <f aca="false">BO8*SUP_OPEX!$D$23+BO9*SUP_OPEX!$E$23</f>
        <v>71398</v>
      </c>
      <c r="BP19" s="273" t="n">
        <f aca="false">BP8*SUP_OPEX!$D$23+BP9*SUP_OPEX!$E$23</f>
        <v>71398</v>
      </c>
      <c r="BQ19" s="273" t="n">
        <f aca="false">BQ8*SUP_OPEX!$D$23+BQ9*SUP_OPEX!$E$23</f>
        <v>71398</v>
      </c>
      <c r="BR19" s="273" t="n">
        <f aca="false">BR8*SUP_OPEX!$D$23+BR9*SUP_OPEX!$E$23</f>
        <v>71398</v>
      </c>
      <c r="BS19" s="273" t="n">
        <f aca="false">BS8*SUP_OPEX!$D$23+BS9*SUP_OPEX!$E$23</f>
        <v>71398</v>
      </c>
      <c r="BT19" s="273" t="n">
        <f aca="false">BT8*SUP_OPEX!$D$23+BT9*SUP_OPEX!$E$23</f>
        <v>71398</v>
      </c>
      <c r="BU19" s="273" t="n">
        <f aca="false">BU8*SUP_OPEX!$D$23+BU9*SUP_OPEX!$E$23</f>
        <v>71398</v>
      </c>
      <c r="BV19" s="273" t="n">
        <f aca="false">BV8*SUP_OPEX!$D$23+BV9*SUP_OPEX!$E$23</f>
        <v>71398</v>
      </c>
      <c r="BW19" s="273" t="n">
        <f aca="false">BW8*SUP_OPEX!$D$23+BW9*SUP_OPEX!$E$23</f>
        <v>71398</v>
      </c>
      <c r="BX19" s="273" t="n">
        <f aca="false">BX8*SUP_OPEX!$D$23+BX9*SUP_OPEX!$E$23</f>
        <v>71398</v>
      </c>
      <c r="BY19" s="273" t="n">
        <f aca="false">BY8*SUP_OPEX!$D$23+BY9*SUP_OPEX!$E$23</f>
        <v>71398</v>
      </c>
      <c r="BZ19" s="273" t="n">
        <f aca="false">BZ8*SUP_OPEX!$D$23+BZ9*SUP_OPEX!$E$23</f>
        <v>71398</v>
      </c>
      <c r="CA19" s="273" t="n">
        <f aca="false">CA8*SUP_OPEX!$D$23+CA9*SUP_OPEX!$E$23</f>
        <v>71398</v>
      </c>
      <c r="CB19" s="273" t="n">
        <f aca="false">CB8*SUP_OPEX!$D$23+CB9*SUP_OPEX!$E$23</f>
        <v>71398</v>
      </c>
      <c r="CC19" s="273" t="n">
        <f aca="false">CC8*SUP_OPEX!$D$23+CC9*SUP_OPEX!$E$23</f>
        <v>71398</v>
      </c>
      <c r="CD19" s="273" t="n">
        <f aca="false">CD8*SUP_OPEX!$D$23+CD9*SUP_OPEX!$E$23</f>
        <v>71398</v>
      </c>
      <c r="CE19" s="273" t="n">
        <f aca="false">CE8*SUP_OPEX!$D$23+CE9*SUP_OPEX!$E$23</f>
        <v>71398</v>
      </c>
      <c r="CF19" s="273" t="n">
        <f aca="false">CF8*SUP_OPEX!$D$23+CF9*SUP_OPEX!$E$23</f>
        <v>71398</v>
      </c>
      <c r="CG19" s="273" t="n">
        <f aca="false">CG8*SUP_OPEX!$D$23+CG9*SUP_OPEX!$E$23</f>
        <v>71398</v>
      </c>
      <c r="CH19" s="273" t="n">
        <f aca="false">CH8*SUP_OPEX!$D$23+CH9*SUP_OPEX!$E$23</f>
        <v>71398</v>
      </c>
      <c r="CI19" s="273" t="n">
        <f aca="false">CI8*SUP_OPEX!$D$23+CI9*SUP_OPEX!$E$23</f>
        <v>71398</v>
      </c>
      <c r="CJ19" s="273" t="n">
        <f aca="false">CJ8*SUP_OPEX!$D$23+CJ9*SUP_OPEX!$E$23</f>
        <v>71398</v>
      </c>
      <c r="CK19" s="273" t="n">
        <f aca="false">CK8*SUP_OPEX!$D$23+CK9*SUP_OPEX!$E$23</f>
        <v>71398</v>
      </c>
      <c r="CL19" s="273" t="n">
        <f aca="false">CL8*SUP_OPEX!$D$23+CL9*SUP_OPEX!$E$23</f>
        <v>71398</v>
      </c>
      <c r="CM19" s="273" t="n">
        <f aca="false">CM8*SUP_OPEX!$D$23+CM9*SUP_OPEX!$E$23</f>
        <v>71398</v>
      </c>
      <c r="CN19" s="273" t="n">
        <f aca="false">CN8*SUP_OPEX!$D$23+CN9*SUP_OPEX!$E$23</f>
        <v>71398</v>
      </c>
      <c r="CO19" s="273" t="n">
        <f aca="false">CO8*SUP_OPEX!$D$23+CO9*SUP_OPEX!$E$23</f>
        <v>71398</v>
      </c>
      <c r="CP19" s="273" t="n">
        <f aca="false">CP8*SUP_OPEX!$D$23+CP9*SUP_OPEX!$E$23</f>
        <v>71398</v>
      </c>
      <c r="CQ19" s="273" t="n">
        <f aca="false">CQ8*SUP_OPEX!$D$23+CQ9*SUP_OPEX!$E$23</f>
        <v>71398</v>
      </c>
      <c r="CR19" s="273" t="n">
        <f aca="false">CR8*SUP_OPEX!$D$23+CR9*SUP_OPEX!$E$23</f>
        <v>71398</v>
      </c>
      <c r="CS19" s="273" t="n">
        <f aca="false">CS8*SUP_OPEX!$D$23+CS9*SUP_OPEX!$E$23</f>
        <v>71398</v>
      </c>
      <c r="CT19" s="273" t="n">
        <f aca="false">CT8*SUP_OPEX!$D$23+CT9*SUP_OPEX!$E$23</f>
        <v>71398</v>
      </c>
      <c r="CU19" s="273" t="n">
        <f aca="false">CU8*SUP_OPEX!$D$23+CU9*SUP_OPEX!$E$23</f>
        <v>71398</v>
      </c>
      <c r="CV19" s="273" t="n">
        <f aca="false">CV8*SUP_OPEX!$D$23+CV9*SUP_OPEX!$E$23</f>
        <v>71398</v>
      </c>
      <c r="CW19" s="273" t="n">
        <f aca="false">CW8*SUP_OPEX!$D$23+CW9*SUP_OPEX!$E$23</f>
        <v>71398</v>
      </c>
      <c r="CX19" s="273" t="n">
        <f aca="false">CX8*SUP_OPEX!$D$23+CX9*SUP_OPEX!$E$23</f>
        <v>71398</v>
      </c>
      <c r="CY19" s="273" t="n">
        <f aca="false">CY8*SUP_OPEX!$D$23+CY9*SUP_OPEX!$E$23</f>
        <v>71398</v>
      </c>
      <c r="CZ19" s="273" t="n">
        <f aca="false">CZ8*SUP_OPEX!$D$23+CZ9*SUP_OPEX!$E$23</f>
        <v>71398</v>
      </c>
      <c r="DA19" s="273" t="n">
        <f aca="false">DA8*SUP_OPEX!$D$23+DA9*SUP_OPEX!$E$23</f>
        <v>71398</v>
      </c>
      <c r="DB19" s="273" t="n">
        <f aca="false">DB8*SUP_OPEX!$D$23+DB9*SUP_OPEX!$E$23</f>
        <v>71398</v>
      </c>
      <c r="DC19" s="273" t="n">
        <f aca="false">DC8*SUP_OPEX!$D$23+DC9*SUP_OPEX!$E$23</f>
        <v>71398</v>
      </c>
      <c r="DD19" s="273" t="n">
        <f aca="false">DD8*SUP_OPEX!$D$23+DD9*SUP_OPEX!$E$23</f>
        <v>71398</v>
      </c>
      <c r="DE19" s="273" t="n">
        <f aca="false">DE8*SUP_OPEX!$D$23+DE9*SUP_OPEX!$E$23</f>
        <v>71398</v>
      </c>
      <c r="DF19" s="273" t="n">
        <f aca="false">DF8*SUP_OPEX!$D$23+DF9*SUP_OPEX!$E$23</f>
        <v>71398</v>
      </c>
      <c r="DG19" s="273" t="n">
        <f aca="false">DG8*SUP_OPEX!$D$23+DG9*SUP_OPEX!$E$23</f>
        <v>71398</v>
      </c>
      <c r="DH19" s="273" t="n">
        <f aca="false">DH8*SUP_OPEX!$D$23+DH9*SUP_OPEX!$E$23</f>
        <v>71398</v>
      </c>
      <c r="DI19" s="273" t="n">
        <f aca="false">DI8*SUP_OPEX!$D$23+DI9*SUP_OPEX!$E$23</f>
        <v>71398</v>
      </c>
      <c r="DJ19" s="273" t="n">
        <f aca="false">DJ8*SUP_OPEX!$D$23+DJ9*SUP_OPEX!$E$23</f>
        <v>71398</v>
      </c>
      <c r="DK19" s="273" t="n">
        <f aca="false">DK8*SUP_OPEX!$D$23+DK9*SUP_OPEX!$E$23</f>
        <v>71398</v>
      </c>
      <c r="DL19" s="273" t="n">
        <f aca="false">DL8*SUP_OPEX!$D$23+DL9*SUP_OPEX!$E$23</f>
        <v>71398</v>
      </c>
      <c r="DM19" s="273" t="n">
        <f aca="false">DM8*SUP_OPEX!$D$23+DM9*SUP_OPEX!$E$23</f>
        <v>71398</v>
      </c>
      <c r="DN19" s="273" t="n">
        <f aca="false">DN8*SUP_OPEX!$D$23+DN9*SUP_OPEX!$E$23</f>
        <v>71398</v>
      </c>
      <c r="DO19" s="273" t="n">
        <f aca="false">DO8*SUP_OPEX!$D$23+DO9*SUP_OPEX!$E$23</f>
        <v>71398</v>
      </c>
      <c r="DP19" s="273" t="n">
        <f aca="false">DP8*SUP_OPEX!$D$23+DP9*SUP_OPEX!$E$23</f>
        <v>71398</v>
      </c>
      <c r="DQ19" s="273" t="n">
        <f aca="false">DQ8*SUP_OPEX!$D$23+DQ9*SUP_OPEX!$E$23</f>
        <v>71398</v>
      </c>
      <c r="DR19" s="273" t="n">
        <f aca="false">DR8*SUP_OPEX!$D$23+DR9*SUP_OPEX!$E$23</f>
        <v>71398</v>
      </c>
      <c r="DS19" s="273" t="n">
        <f aca="false">DS8*SUP_OPEX!$D$23+DS9*SUP_OPEX!$E$23</f>
        <v>71398</v>
      </c>
    </row>
    <row r="20" customFormat="false" ht="15" hidden="false" customHeight="true" outlineLevel="0" collapsed="false">
      <c r="B20" s="297" t="s">
        <v>3419</v>
      </c>
      <c r="D20" s="273" t="n">
        <f aca="false">SUP_OVERHEAD!D38</f>
        <v>0</v>
      </c>
      <c r="E20" s="273" t="n">
        <f aca="false">SUP_OVERHEAD!E38</f>
        <v>15715</v>
      </c>
      <c r="F20" s="273" t="n">
        <f aca="false">SUP_OVERHEAD!F38</f>
        <v>15715</v>
      </c>
      <c r="G20" s="273" t="n">
        <f aca="false">SUP_OVERHEAD!G38</f>
        <v>15715</v>
      </c>
      <c r="H20" s="273" t="n">
        <f aca="false">SUP_OVERHEAD!H38</f>
        <v>15715</v>
      </c>
      <c r="I20" s="273" t="n">
        <f aca="false">SUP_OVERHEAD!I38</f>
        <v>22146.7252810345</v>
      </c>
      <c r="J20" s="273" t="n">
        <f aca="false">SUP_OVERHEAD!J38</f>
        <v>31743.6395694828</v>
      </c>
      <c r="K20" s="273" t="n">
        <f aca="false">SUP_OVERHEAD!K38</f>
        <v>42447.8901219828</v>
      </c>
      <c r="L20" s="273" t="n">
        <f aca="false">SUP_OVERHEAD!L38</f>
        <v>45639.6240595436</v>
      </c>
      <c r="M20" s="273" t="n">
        <f aca="false">SUP_OVERHEAD!M38</f>
        <v>47333.1971692698</v>
      </c>
      <c r="N20" s="273" t="n">
        <f aca="false">SUP_OVERHEAD!N38</f>
        <v>47333.1971692698</v>
      </c>
      <c r="O20" s="273" t="n">
        <f aca="false">SUP_OVERHEAD!O38</f>
        <v>47333.1971692698</v>
      </c>
      <c r="P20" s="273" t="n">
        <f aca="false">SUP_OVERHEAD!P38</f>
        <v>41416.5475231111</v>
      </c>
      <c r="Q20" s="273" t="n">
        <f aca="false">SUP_OVERHEAD!Q38</f>
        <v>41416.5475231111</v>
      </c>
      <c r="R20" s="273" t="n">
        <f aca="false">SUP_OVERHEAD!R38</f>
        <v>41416.5475231111</v>
      </c>
      <c r="S20" s="273" t="n">
        <f aca="false">SUP_OVERHEAD!S38</f>
        <v>41416.5475231111</v>
      </c>
      <c r="T20" s="273" t="n">
        <f aca="false">SUP_OVERHEAD!T38</f>
        <v>41416.5475231111</v>
      </c>
      <c r="U20" s="273" t="n">
        <f aca="false">SUP_OVERHEAD!U38</f>
        <v>41416.5475231111</v>
      </c>
      <c r="V20" s="273" t="n">
        <f aca="false">SUP_OVERHEAD!V38</f>
        <v>41416.5475231111</v>
      </c>
      <c r="W20" s="273" t="n">
        <f aca="false">SUP_OVERHEAD!W38</f>
        <v>41416.5475231111</v>
      </c>
      <c r="X20" s="273" t="n">
        <f aca="false">SUP_OVERHEAD!X38</f>
        <v>41416.5475231111</v>
      </c>
      <c r="Y20" s="273" t="n">
        <f aca="false">SUP_OVERHEAD!Y38</f>
        <v>41416.5475231111</v>
      </c>
      <c r="Z20" s="273" t="n">
        <f aca="false">SUP_OVERHEAD!Z38</f>
        <v>41416.5475231111</v>
      </c>
      <c r="AA20" s="273" t="n">
        <f aca="false">SUP_OVERHEAD!AA38</f>
        <v>41416.5475231111</v>
      </c>
      <c r="AB20" s="273" t="n">
        <f aca="false">SUP_OVERHEAD!AB38</f>
        <v>35499.8978769523</v>
      </c>
      <c r="AC20" s="273" t="n">
        <f aca="false">SUP_OVERHEAD!AC38</f>
        <v>35499.8978769523</v>
      </c>
      <c r="AD20" s="273" t="n">
        <f aca="false">SUP_OVERHEAD!AD38</f>
        <v>35499.8978769523</v>
      </c>
      <c r="AE20" s="273" t="n">
        <f aca="false">SUP_OVERHEAD!AE38</f>
        <v>35499.8978769523</v>
      </c>
      <c r="AF20" s="273" t="n">
        <f aca="false">SUP_OVERHEAD!AF38</f>
        <v>35499.8978769523</v>
      </c>
      <c r="AG20" s="273" t="n">
        <f aca="false">SUP_OVERHEAD!AG38</f>
        <v>35499.8978769523</v>
      </c>
      <c r="AH20" s="273" t="n">
        <f aca="false">SUP_OVERHEAD!AH38</f>
        <v>35499.8978769523</v>
      </c>
      <c r="AI20" s="273" t="n">
        <f aca="false">SUP_OVERHEAD!AI38</f>
        <v>35499.8978769523</v>
      </c>
      <c r="AJ20" s="273" t="n">
        <f aca="false">SUP_OVERHEAD!AJ38</f>
        <v>35499.8978769523</v>
      </c>
      <c r="AK20" s="273" t="n">
        <f aca="false">SUP_OVERHEAD!AK38</f>
        <v>35499.8978769523</v>
      </c>
      <c r="AL20" s="273" t="n">
        <f aca="false">SUP_OVERHEAD!AL38</f>
        <v>35499.8978769523</v>
      </c>
      <c r="AM20" s="273" t="n">
        <f aca="false">SUP_OVERHEAD!AM38</f>
        <v>35499.8978769523</v>
      </c>
      <c r="AN20" s="273" t="n">
        <f aca="false">SUP_OVERHEAD!AN38</f>
        <v>32541.573053873</v>
      </c>
      <c r="AO20" s="273" t="n">
        <f aca="false">SUP_OVERHEAD!AO38</f>
        <v>32541.573053873</v>
      </c>
      <c r="AP20" s="273" t="n">
        <f aca="false">SUP_OVERHEAD!AP38</f>
        <v>32541.573053873</v>
      </c>
      <c r="AQ20" s="273" t="n">
        <f aca="false">SUP_OVERHEAD!AQ38</f>
        <v>32541.573053873</v>
      </c>
      <c r="AR20" s="273" t="n">
        <f aca="false">SUP_OVERHEAD!AR38</f>
        <v>32541.573053873</v>
      </c>
      <c r="AS20" s="273" t="n">
        <f aca="false">SUP_OVERHEAD!AS38</f>
        <v>32541.573053873</v>
      </c>
      <c r="AT20" s="273" t="n">
        <f aca="false">SUP_OVERHEAD!AT38</f>
        <v>32541.573053873</v>
      </c>
      <c r="AU20" s="273" t="n">
        <f aca="false">SUP_OVERHEAD!AU38</f>
        <v>32541.573053873</v>
      </c>
      <c r="AV20" s="273" t="n">
        <f aca="false">SUP_OVERHEAD!AV38</f>
        <v>32541.573053873</v>
      </c>
      <c r="AW20" s="273" t="n">
        <f aca="false">SUP_OVERHEAD!AW38</f>
        <v>32541.573053873</v>
      </c>
      <c r="AX20" s="273" t="n">
        <f aca="false">SUP_OVERHEAD!AX38</f>
        <v>32541.573053873</v>
      </c>
      <c r="AY20" s="273" t="n">
        <f aca="false">SUP_OVERHEAD!AY38</f>
        <v>32541.573053873</v>
      </c>
      <c r="AZ20" s="273" t="n">
        <f aca="false">SUP_OVERHEAD!AZ38</f>
        <v>29583.2482307936</v>
      </c>
      <c r="BA20" s="273" t="n">
        <f aca="false">SUP_OVERHEAD!BA38</f>
        <v>29583.2482307936</v>
      </c>
      <c r="BB20" s="273" t="n">
        <f aca="false">SUP_OVERHEAD!BB38</f>
        <v>29583.2482307936</v>
      </c>
      <c r="BC20" s="273" t="n">
        <f aca="false">SUP_OVERHEAD!BC38</f>
        <v>29583.2482307936</v>
      </c>
      <c r="BD20" s="273" t="n">
        <f aca="false">SUP_OVERHEAD!BD38</f>
        <v>29583.2482307936</v>
      </c>
      <c r="BE20" s="273" t="n">
        <f aca="false">SUP_OVERHEAD!BE38</f>
        <v>29583.2482307936</v>
      </c>
      <c r="BF20" s="273" t="n">
        <f aca="false">SUP_OVERHEAD!BF38</f>
        <v>29583.2482307936</v>
      </c>
      <c r="BG20" s="273" t="n">
        <f aca="false">SUP_OVERHEAD!BG38</f>
        <v>29583.2482307936</v>
      </c>
      <c r="BH20" s="273" t="n">
        <f aca="false">SUP_OVERHEAD!BH38</f>
        <v>29583.2482307936</v>
      </c>
      <c r="BI20" s="273" t="n">
        <f aca="false">SUP_OVERHEAD!BI38</f>
        <v>29583.2482307936</v>
      </c>
      <c r="BJ20" s="273" t="n">
        <f aca="false">SUP_OVERHEAD!BJ38</f>
        <v>29583.2482307936</v>
      </c>
      <c r="BK20" s="273" t="n">
        <f aca="false">SUP_OVERHEAD!BK38</f>
        <v>29583.2482307936</v>
      </c>
      <c r="BL20" s="273" t="n">
        <f aca="false">SUP_OVERHEAD!BL38</f>
        <v>26624.9234077143</v>
      </c>
      <c r="BM20" s="273" t="n">
        <f aca="false">SUP_OVERHEAD!BM38</f>
        <v>26624.9234077142</v>
      </c>
      <c r="BN20" s="273" t="n">
        <f aca="false">SUP_OVERHEAD!BN38</f>
        <v>26624.9234077143</v>
      </c>
      <c r="BO20" s="273" t="n">
        <f aca="false">SUP_OVERHEAD!BO38</f>
        <v>26624.9234077143</v>
      </c>
      <c r="BP20" s="273" t="n">
        <f aca="false">SUP_OVERHEAD!BP38</f>
        <v>26624.9234077143</v>
      </c>
      <c r="BQ20" s="273" t="n">
        <f aca="false">SUP_OVERHEAD!BQ38</f>
        <v>26624.9234077143</v>
      </c>
      <c r="BR20" s="273" t="n">
        <f aca="false">SUP_OVERHEAD!BR38</f>
        <v>26624.9234077143</v>
      </c>
      <c r="BS20" s="273" t="n">
        <f aca="false">SUP_OVERHEAD!BS38</f>
        <v>26624.9234077143</v>
      </c>
      <c r="BT20" s="273" t="n">
        <f aca="false">SUP_OVERHEAD!BT38</f>
        <v>26624.9234077143</v>
      </c>
      <c r="BU20" s="273" t="n">
        <f aca="false">SUP_OVERHEAD!BU38</f>
        <v>26624.9234077143</v>
      </c>
      <c r="BV20" s="273" t="n">
        <f aca="false">SUP_OVERHEAD!BV38</f>
        <v>26624.9234077143</v>
      </c>
      <c r="BW20" s="273" t="n">
        <f aca="false">SUP_OVERHEAD!BW38</f>
        <v>26624.9234077143</v>
      </c>
      <c r="BX20" s="273" t="n">
        <f aca="false">SUP_OVERHEAD!BX38</f>
        <v>23666.5985846349</v>
      </c>
      <c r="BY20" s="273" t="n">
        <f aca="false">SUP_OVERHEAD!BY38</f>
        <v>23666.5985846349</v>
      </c>
      <c r="BZ20" s="273" t="n">
        <f aca="false">SUP_OVERHEAD!BZ38</f>
        <v>23666.5985846349</v>
      </c>
      <c r="CA20" s="273" t="n">
        <f aca="false">SUP_OVERHEAD!CA38</f>
        <v>23666.5985846349</v>
      </c>
      <c r="CB20" s="273" t="n">
        <f aca="false">SUP_OVERHEAD!CB38</f>
        <v>23666.5985846349</v>
      </c>
      <c r="CC20" s="273" t="n">
        <f aca="false">SUP_OVERHEAD!CC38</f>
        <v>23666.5985846349</v>
      </c>
      <c r="CD20" s="273" t="n">
        <f aca="false">SUP_OVERHEAD!CD38</f>
        <v>23666.5985846349</v>
      </c>
      <c r="CE20" s="273" t="n">
        <f aca="false">SUP_OVERHEAD!CE38</f>
        <v>23666.5985846349</v>
      </c>
      <c r="CF20" s="273" t="n">
        <f aca="false">SUP_OVERHEAD!CF38</f>
        <v>23666.5985846349</v>
      </c>
      <c r="CG20" s="273" t="n">
        <f aca="false">SUP_OVERHEAD!CG38</f>
        <v>23666.5985846349</v>
      </c>
      <c r="CH20" s="273" t="n">
        <f aca="false">SUP_OVERHEAD!CH38</f>
        <v>23666.5985846349</v>
      </c>
      <c r="CI20" s="273" t="n">
        <f aca="false">SUP_OVERHEAD!CI38</f>
        <v>23666.5985846349</v>
      </c>
      <c r="CJ20" s="273" t="n">
        <f aca="false">SUP_OVERHEAD!CJ38</f>
        <v>23666.5985846349</v>
      </c>
      <c r="CK20" s="273" t="n">
        <f aca="false">SUP_OVERHEAD!CK38</f>
        <v>23666.5985846349</v>
      </c>
      <c r="CL20" s="273" t="n">
        <f aca="false">SUP_OVERHEAD!CL38</f>
        <v>23666.5985846349</v>
      </c>
      <c r="CM20" s="273" t="n">
        <f aca="false">SUP_OVERHEAD!CM38</f>
        <v>23666.5985846349</v>
      </c>
      <c r="CN20" s="273" t="n">
        <f aca="false">SUP_OVERHEAD!CN38</f>
        <v>23666.5985846349</v>
      </c>
      <c r="CO20" s="273" t="n">
        <f aca="false">SUP_OVERHEAD!CO38</f>
        <v>23666.5985846349</v>
      </c>
      <c r="CP20" s="273" t="n">
        <f aca="false">SUP_OVERHEAD!CP38</f>
        <v>23666.5985846349</v>
      </c>
      <c r="CQ20" s="273" t="n">
        <f aca="false">SUP_OVERHEAD!CQ38</f>
        <v>23666.5985846349</v>
      </c>
      <c r="CR20" s="273" t="n">
        <f aca="false">SUP_OVERHEAD!CR38</f>
        <v>23666.5985846349</v>
      </c>
      <c r="CS20" s="273" t="n">
        <f aca="false">SUP_OVERHEAD!CS38</f>
        <v>23666.5985846349</v>
      </c>
      <c r="CT20" s="273" t="n">
        <f aca="false">SUP_OVERHEAD!CT38</f>
        <v>23666.5985846349</v>
      </c>
      <c r="CU20" s="273" t="n">
        <f aca="false">SUP_OVERHEAD!CU38</f>
        <v>23666.5985846349</v>
      </c>
      <c r="CV20" s="273" t="n">
        <f aca="false">SUP_OVERHEAD!CV38</f>
        <v>23666.5985846349</v>
      </c>
      <c r="CW20" s="273" t="n">
        <f aca="false">SUP_OVERHEAD!CW38</f>
        <v>23666.5985846349</v>
      </c>
      <c r="CX20" s="273" t="n">
        <f aca="false">SUP_OVERHEAD!CX38</f>
        <v>23666.5985846349</v>
      </c>
      <c r="CY20" s="273" t="n">
        <f aca="false">SUP_OVERHEAD!CY38</f>
        <v>23666.5985846349</v>
      </c>
      <c r="CZ20" s="273" t="n">
        <f aca="false">SUP_OVERHEAD!CZ38</f>
        <v>23666.5985846349</v>
      </c>
      <c r="DA20" s="273" t="n">
        <f aca="false">SUP_OVERHEAD!DA38</f>
        <v>23666.5985846349</v>
      </c>
      <c r="DB20" s="273" t="n">
        <f aca="false">SUP_OVERHEAD!DB38</f>
        <v>23666.5985846349</v>
      </c>
      <c r="DC20" s="273" t="n">
        <f aca="false">SUP_OVERHEAD!DC38</f>
        <v>23666.5985846349</v>
      </c>
      <c r="DD20" s="273" t="n">
        <f aca="false">SUP_OVERHEAD!DD38</f>
        <v>23666.5985846349</v>
      </c>
      <c r="DE20" s="273" t="n">
        <f aca="false">SUP_OVERHEAD!DE38</f>
        <v>23666.5985846349</v>
      </c>
      <c r="DF20" s="273" t="n">
        <f aca="false">SUP_OVERHEAD!DF38</f>
        <v>23666.5985846349</v>
      </c>
      <c r="DG20" s="273" t="n">
        <f aca="false">SUP_OVERHEAD!DG38</f>
        <v>23666.5985846349</v>
      </c>
      <c r="DH20" s="273" t="n">
        <f aca="false">SUP_OVERHEAD!DH38</f>
        <v>23666.5985846349</v>
      </c>
      <c r="DI20" s="273" t="n">
        <f aca="false">SUP_OVERHEAD!DI38</f>
        <v>23666.5985846349</v>
      </c>
      <c r="DJ20" s="273" t="n">
        <f aca="false">SUP_OVERHEAD!DJ38</f>
        <v>23666.5985846349</v>
      </c>
      <c r="DK20" s="273" t="n">
        <f aca="false">SUP_OVERHEAD!DK38</f>
        <v>23666.5985846349</v>
      </c>
      <c r="DL20" s="273" t="n">
        <f aca="false">SUP_OVERHEAD!DL38</f>
        <v>23666.5985846349</v>
      </c>
      <c r="DM20" s="273" t="n">
        <f aca="false">SUP_OVERHEAD!DM38</f>
        <v>23666.5985846349</v>
      </c>
      <c r="DN20" s="273" t="n">
        <f aca="false">SUP_OVERHEAD!DN38</f>
        <v>23666.5985846349</v>
      </c>
      <c r="DO20" s="273" t="n">
        <f aca="false">SUP_OVERHEAD!DO38</f>
        <v>23666.5985846349</v>
      </c>
      <c r="DP20" s="273" t="n">
        <f aca="false">SUP_OVERHEAD!DP38</f>
        <v>23666.5985846349</v>
      </c>
      <c r="DQ20" s="273" t="n">
        <f aca="false">SUP_OVERHEAD!DQ38</f>
        <v>23666.5985846349</v>
      </c>
      <c r="DR20" s="273" t="n">
        <f aca="false">SUP_OVERHEAD!DR38</f>
        <v>23666.5985846349</v>
      </c>
      <c r="DS20" s="273" t="n">
        <f aca="false">SUP_OVERHEAD!DS38</f>
        <v>23666.5985846349</v>
      </c>
    </row>
    <row r="21" customFormat="false" ht="15" hidden="false" customHeight="true" outlineLevel="0" collapsed="false">
      <c r="B21" s="297" t="s">
        <v>3420</v>
      </c>
      <c r="D21" s="273" t="n">
        <f aca="false">D16*PROD_DEMANDA!D16</f>
        <v>0</v>
      </c>
      <c r="E21" s="273" t="n">
        <f aca="false">E16*PROD_DEMANDA!E16</f>
        <v>0</v>
      </c>
      <c r="F21" s="273" t="n">
        <f aca="false">F16*PROD_DEMANDA!F16</f>
        <v>0</v>
      </c>
      <c r="G21" s="273" t="n">
        <f aca="false">G16*PROD_DEMANDA!G16</f>
        <v>582.12</v>
      </c>
      <c r="H21" s="273" t="n">
        <f aca="false">H16*PROD_DEMANDA!H16</f>
        <v>1288.98</v>
      </c>
      <c r="I21" s="273" t="n">
        <f aca="false">I16*PROD_DEMANDA!I16</f>
        <v>2120.58</v>
      </c>
      <c r="J21" s="273" t="n">
        <f aca="false">J16*PROD_DEMANDA!J16</f>
        <v>3039.498</v>
      </c>
      <c r="K21" s="273" t="n">
        <f aca="false">K16*PROD_DEMANDA!K16</f>
        <v>4064.445</v>
      </c>
      <c r="L21" s="273" t="n">
        <f aca="false">L16*PROD_DEMANDA!L16</f>
        <v>4370.058</v>
      </c>
      <c r="M21" s="273" t="n">
        <f aca="false">M16*PROD_DEMANDA!M16</f>
        <v>4532.22</v>
      </c>
      <c r="N21" s="273" t="n">
        <f aca="false">N16*PROD_DEMANDA!N16</f>
        <v>4532.22</v>
      </c>
      <c r="O21" s="273" t="n">
        <f aca="false">O16*PROD_DEMANDA!O16</f>
        <v>4532.22</v>
      </c>
      <c r="P21" s="273" t="n">
        <f aca="false">P16*PROD_DEMANDA!P16</f>
        <v>4532.22</v>
      </c>
      <c r="Q21" s="273" t="n">
        <f aca="false">Q16*PROD_DEMANDA!Q16</f>
        <v>4532.22</v>
      </c>
      <c r="R21" s="273" t="n">
        <f aca="false">R16*PROD_DEMANDA!R16</f>
        <v>4532.22</v>
      </c>
      <c r="S21" s="273" t="n">
        <f aca="false">S16*PROD_DEMANDA!S16</f>
        <v>4532.22</v>
      </c>
      <c r="T21" s="273" t="n">
        <f aca="false">T16*PROD_DEMANDA!T16</f>
        <v>4532.22</v>
      </c>
      <c r="U21" s="273" t="n">
        <f aca="false">U16*PROD_DEMANDA!U16</f>
        <v>4532.22</v>
      </c>
      <c r="V21" s="273" t="n">
        <f aca="false">V16*PROD_DEMANDA!V16</f>
        <v>4532.22</v>
      </c>
      <c r="W21" s="273" t="n">
        <f aca="false">W16*PROD_DEMANDA!W16</f>
        <v>4532.22</v>
      </c>
      <c r="X21" s="273" t="n">
        <f aca="false">X16*PROD_DEMANDA!X16</f>
        <v>4532.22</v>
      </c>
      <c r="Y21" s="273" t="n">
        <f aca="false">Y16*PROD_DEMANDA!Y16</f>
        <v>4532.22</v>
      </c>
      <c r="Z21" s="273" t="n">
        <f aca="false">Z16*PROD_DEMANDA!Z16</f>
        <v>4532.22</v>
      </c>
      <c r="AA21" s="273" t="n">
        <f aca="false">AA16*PROD_DEMANDA!AA16</f>
        <v>4532.22</v>
      </c>
      <c r="AB21" s="273" t="n">
        <f aca="false">AB16*PROD_DEMANDA!AB16</f>
        <v>4532.22</v>
      </c>
      <c r="AC21" s="273" t="n">
        <f aca="false">AC16*PROD_DEMANDA!AC16</f>
        <v>4532.22</v>
      </c>
      <c r="AD21" s="273" t="n">
        <f aca="false">AD16*PROD_DEMANDA!AD16</f>
        <v>5930.90956834532</v>
      </c>
      <c r="AE21" s="273" t="n">
        <f aca="false">AE16*PROD_DEMANDA!AE16</f>
        <v>5930.90956834532</v>
      </c>
      <c r="AF21" s="273" t="n">
        <f aca="false">AF16*PROD_DEMANDA!AF16</f>
        <v>5930.90956834532</v>
      </c>
      <c r="AG21" s="273" t="n">
        <f aca="false">AG16*PROD_DEMANDA!AG16</f>
        <v>5964.63864590876</v>
      </c>
      <c r="AH21" s="273" t="n">
        <f aca="false">AH16*PROD_DEMANDA!AH16</f>
        <v>5964.63864590876</v>
      </c>
      <c r="AI21" s="273" t="n">
        <f aca="false">AI16*PROD_DEMANDA!AI16</f>
        <v>5672.78087449119</v>
      </c>
      <c r="AJ21" s="273" t="n">
        <f aca="false">AJ16*PROD_DEMANDA!AJ16</f>
        <v>5411.8916547028</v>
      </c>
      <c r="AK21" s="273" t="n">
        <f aca="false">AK16*PROD_DEMANDA!AK16</f>
        <v>5331.44388889949</v>
      </c>
      <c r="AL21" s="273" t="n">
        <f aca="false">AL16*PROD_DEMANDA!AL16</f>
        <v>5095.77242541253</v>
      </c>
      <c r="AM21" s="273" t="n">
        <f aca="false">AM16*PROD_DEMANDA!AM16</f>
        <v>5033.18411666766</v>
      </c>
      <c r="AN21" s="273" t="n">
        <f aca="false">AN16*PROD_DEMANDA!AN16</f>
        <v>4855.8003342928</v>
      </c>
      <c r="AO21" s="273" t="n">
        <f aca="false">AO16*PROD_DEMANDA!AO16</f>
        <v>4799.89690166976</v>
      </c>
      <c r="AP21" s="273" t="n">
        <f aca="false">AP16*PROD_DEMANDA!AP16</f>
        <v>4818.8584771803</v>
      </c>
      <c r="AQ21" s="273" t="n">
        <f aca="false">AQ16*PROD_DEMANDA!AQ16</f>
        <v>4623.73066521393</v>
      </c>
      <c r="AR21" s="273" t="n">
        <f aca="false">AR16*PROD_DEMANDA!AR16</f>
        <v>4464.46822098368</v>
      </c>
      <c r="AS21" s="273" t="n">
        <f aca="false">AS16*PROD_DEMANDA!AS16</f>
        <v>4303.68708953163</v>
      </c>
      <c r="AT21" s="273" t="n">
        <f aca="false">AT16*PROD_DEMANDA!AT16</f>
        <v>4141.14025802732</v>
      </c>
      <c r="AU21" s="273" t="n">
        <f aca="false">AU16*PROD_DEMANDA!AU16</f>
        <v>4089.24399494868</v>
      </c>
      <c r="AV21" s="273" t="n">
        <f aca="false">AV16*PROD_DEMANDA!AV16</f>
        <v>4060.29707017342</v>
      </c>
      <c r="AW21" s="273" t="n">
        <f aca="false">AW16*PROD_DEMANDA!AW16</f>
        <v>3930.05372864265</v>
      </c>
      <c r="AX21" s="273" t="n">
        <f aca="false">AX16*PROD_DEMANDA!AX16</f>
        <v>3904.44550077042</v>
      </c>
      <c r="AY21" s="273" t="n">
        <f aca="false">AY16*PROD_DEMANDA!AY16</f>
        <v>3806.01477417002</v>
      </c>
      <c r="AZ21" s="273" t="n">
        <f aca="false">AZ16*PROD_DEMANDA!AZ16</f>
        <v>3696.40819384115</v>
      </c>
      <c r="BA21" s="273" t="n">
        <f aca="false">BA16*PROD_DEMANDA!BA16</f>
        <v>3668.27440134429</v>
      </c>
      <c r="BB21" s="273" t="n">
        <f aca="false">BB16*PROD_DEMANDA!BB16</f>
        <v>5573.33994293981</v>
      </c>
      <c r="BC21" s="273" t="n">
        <f aca="false">BC16*PROD_DEMANDA!BC16</f>
        <v>5555.11380016413</v>
      </c>
      <c r="BD21" s="273" t="n">
        <f aca="false">BD16*PROD_DEMANDA!BD16</f>
        <v>5555.11380016413</v>
      </c>
      <c r="BE21" s="273" t="n">
        <f aca="false">BE16*PROD_DEMANDA!BE16</f>
        <v>5555.11380016413</v>
      </c>
      <c r="BF21" s="273" t="n">
        <f aca="false">BF16*PROD_DEMANDA!BF16</f>
        <v>5627.76921976593</v>
      </c>
      <c r="BG21" s="273" t="n">
        <f aca="false">BG16*PROD_DEMANDA!BG16</f>
        <v>5627.76921976593</v>
      </c>
      <c r="BH21" s="273" t="n">
        <f aca="false">BH16*PROD_DEMANDA!BH16</f>
        <v>5627.76921976593</v>
      </c>
      <c r="BI21" s="273" t="n">
        <f aca="false">BI16*PROD_DEMANDA!BI16</f>
        <v>5401.93642381026</v>
      </c>
      <c r="BJ21" s="273" t="n">
        <f aca="false">BJ16*PROD_DEMANDA!BJ16</f>
        <v>5249.70990554015</v>
      </c>
      <c r="BK21" s="273" t="n">
        <f aca="false">BK16*PROD_DEMANDA!BK16</f>
        <v>5129.60615038033</v>
      </c>
      <c r="BL21" s="273" t="n">
        <f aca="false">BL16*PROD_DEMANDA!BL16</f>
        <v>4971.114875356</v>
      </c>
      <c r="BM21" s="273" t="n">
        <f aca="false">BM16*PROD_DEMANDA!BM16</f>
        <v>4838.0450204304</v>
      </c>
      <c r="BN21" s="273" t="n">
        <f aca="false">BN16*PROD_DEMANDA!BN16</f>
        <v>4713.11880343291</v>
      </c>
      <c r="BO21" s="273" t="n">
        <f aca="false">BO16*PROD_DEMANDA!BO16</f>
        <v>4672.39058150931</v>
      </c>
      <c r="BP21" s="273" t="n">
        <f aca="false">BP16*PROD_DEMANDA!BP16</f>
        <v>4555.62673127209</v>
      </c>
      <c r="BQ21" s="273" t="n">
        <f aca="false">BQ16*PROD_DEMANDA!BQ16</f>
        <v>4511.25913392141</v>
      </c>
      <c r="BR21" s="273" t="n">
        <f aca="false">BR16*PROD_DEMANDA!BR16</f>
        <v>4417.37796540181</v>
      </c>
      <c r="BS21" s="273" t="n">
        <f aca="false">BS16*PROD_DEMANDA!BS16</f>
        <v>4318.73186400381</v>
      </c>
      <c r="BT21" s="273" t="n">
        <f aca="false">BT16*PROD_DEMANDA!BT16</f>
        <v>4210.74124347255</v>
      </c>
      <c r="BU21" s="273" t="n">
        <f aca="false">BU16*PROD_DEMANDA!BU16</f>
        <v>4121.53206989489</v>
      </c>
      <c r="BV21" s="273" t="n">
        <f aca="false">BV16*PROD_DEMANDA!BV16</f>
        <v>4037.99916967825</v>
      </c>
      <c r="BW21" s="273" t="n">
        <f aca="false">BW16*PROD_DEMANDA!BW16</f>
        <v>3997.68505080483</v>
      </c>
      <c r="BX21" s="273" t="n">
        <f aca="false">BX16*PROD_DEMANDA!BX16</f>
        <v>3909.51883031455</v>
      </c>
      <c r="BY21" s="273" t="n">
        <f aca="false">BY16*PROD_DEMANDA!BY16</f>
        <v>3881.42103363047</v>
      </c>
      <c r="BZ21" s="273" t="n">
        <f aca="false">BZ16*PROD_DEMANDA!BZ16</f>
        <v>3777.15381014427</v>
      </c>
      <c r="CA21" s="273" t="n">
        <f aca="false">CA16*PROD_DEMANDA!CA16</f>
        <v>3707.64483979785</v>
      </c>
      <c r="CB21" s="273" t="n">
        <f aca="false">CB16*PROD_DEMANDA!CB16</f>
        <v>3683.50969106783</v>
      </c>
      <c r="CC21" s="273" t="n">
        <f aca="false">CC16*PROD_DEMANDA!CC16</f>
        <v>3618.14084701248</v>
      </c>
      <c r="CD21" s="273" t="n">
        <f aca="false">CD16*PROD_DEMANDA!CD16</f>
        <v>3550.35580944444</v>
      </c>
      <c r="CE21" s="273" t="n">
        <f aca="false">CE16*PROD_DEMANDA!CE16</f>
        <v>3493.6569149167</v>
      </c>
      <c r="CF21" s="273" t="n">
        <f aca="false">CF16*PROD_DEMANDA!CF16</f>
        <v>3439.97883972952</v>
      </c>
      <c r="CG21" s="273" t="n">
        <f aca="false">CG16*PROD_DEMANDA!CG16</f>
        <v>3380.38094666783</v>
      </c>
      <c r="CH21" s="273" t="n">
        <f aca="false">CH16*PROD_DEMANDA!CH16</f>
        <v>3829.34801127211</v>
      </c>
      <c r="CI21" s="273" t="n">
        <f aca="false">CI16*PROD_DEMANDA!CI16</f>
        <v>3767.45350429999</v>
      </c>
      <c r="CJ21" s="273" t="n">
        <f aca="false">CJ16*PROD_DEMANDA!CJ16</f>
        <v>3742.24171481478</v>
      </c>
      <c r="CK21" s="273" t="n">
        <f aca="false">CK16*PROD_DEMANDA!CK16</f>
        <v>3730.31003804483</v>
      </c>
      <c r="CL21" s="273" t="n">
        <f aca="false">CL16*PROD_DEMANDA!CL16</f>
        <v>3725.1520343461</v>
      </c>
      <c r="CM21" s="273" t="n">
        <f aca="false">CM16*PROD_DEMANDA!CM16</f>
        <v>3725.1520343461</v>
      </c>
      <c r="CN21" s="273" t="n">
        <f aca="false">CN16*PROD_DEMANDA!CN16</f>
        <v>3725.1520343461</v>
      </c>
      <c r="CO21" s="273" t="n">
        <f aca="false">CO16*PROD_DEMANDA!CO16</f>
        <v>3725.1520343461</v>
      </c>
      <c r="CP21" s="273" t="n">
        <f aca="false">CP16*PROD_DEMANDA!CP16</f>
        <v>3725.1520343461</v>
      </c>
      <c r="CQ21" s="273" t="n">
        <f aca="false">CQ16*PROD_DEMANDA!CQ16</f>
        <v>3725.1520343461</v>
      </c>
      <c r="CR21" s="273" t="n">
        <f aca="false">CR16*PROD_DEMANDA!CR16</f>
        <v>3725.1520343461</v>
      </c>
      <c r="CS21" s="273" t="n">
        <f aca="false">CS16*PROD_DEMANDA!CS16</f>
        <v>3725.1520343461</v>
      </c>
      <c r="CT21" s="273" t="n">
        <f aca="false">CT16*PROD_DEMANDA!CT16</f>
        <v>3725.1520343461</v>
      </c>
      <c r="CU21" s="273" t="n">
        <f aca="false">CU16*PROD_DEMANDA!CU16</f>
        <v>3725.1520343461</v>
      </c>
      <c r="CV21" s="273" t="n">
        <f aca="false">CV16*PROD_DEMANDA!CV16</f>
        <v>3725.1520343461</v>
      </c>
      <c r="CW21" s="273" t="n">
        <f aca="false">CW16*PROD_DEMANDA!CW16</f>
        <v>3725.1520343461</v>
      </c>
      <c r="CX21" s="273" t="n">
        <f aca="false">CX16*PROD_DEMANDA!CX16</f>
        <v>3725.1520343461</v>
      </c>
      <c r="CY21" s="273" t="n">
        <f aca="false">CY16*PROD_DEMANDA!CY16</f>
        <v>3725.1520343461</v>
      </c>
      <c r="CZ21" s="273" t="n">
        <f aca="false">CZ16*PROD_DEMANDA!CZ16</f>
        <v>3725.1520343461</v>
      </c>
      <c r="DA21" s="273" t="n">
        <f aca="false">DA16*PROD_DEMANDA!DA16</f>
        <v>3725.1520343461</v>
      </c>
      <c r="DB21" s="273" t="n">
        <f aca="false">DB16*PROD_DEMANDA!DB16</f>
        <v>3725.1520343461</v>
      </c>
      <c r="DC21" s="273" t="n">
        <f aca="false">DC16*PROD_DEMANDA!DC16</f>
        <v>3725.1520343461</v>
      </c>
      <c r="DD21" s="273" t="n">
        <f aca="false">DD16*PROD_DEMANDA!DD16</f>
        <v>3725.1520343461</v>
      </c>
      <c r="DE21" s="273" t="n">
        <f aca="false">DE16*PROD_DEMANDA!DE16</f>
        <v>3725.1520343461</v>
      </c>
      <c r="DF21" s="273" t="n">
        <f aca="false">DF16*PROD_DEMANDA!DF16</f>
        <v>3725.1520343461</v>
      </c>
      <c r="DG21" s="273" t="n">
        <f aca="false">DG16*PROD_DEMANDA!DG16</f>
        <v>3725.1520343461</v>
      </c>
      <c r="DH21" s="273" t="n">
        <f aca="false">DH16*PROD_DEMANDA!DH16</f>
        <v>3725.1520343461</v>
      </c>
      <c r="DI21" s="273" t="n">
        <f aca="false">DI16*PROD_DEMANDA!DI16</f>
        <v>3725.1520343461</v>
      </c>
      <c r="DJ21" s="273" t="n">
        <f aca="false">DJ16*PROD_DEMANDA!DJ16</f>
        <v>3725.1520343461</v>
      </c>
      <c r="DK21" s="273" t="n">
        <f aca="false">DK16*PROD_DEMANDA!DK16</f>
        <v>3725.1520343461</v>
      </c>
      <c r="DL21" s="273" t="n">
        <f aca="false">DL16*PROD_DEMANDA!DL16</f>
        <v>3725.1520343461</v>
      </c>
      <c r="DM21" s="273" t="n">
        <f aca="false">DM16*PROD_DEMANDA!DM16</f>
        <v>3725.1520343461</v>
      </c>
      <c r="DN21" s="273" t="n">
        <f aca="false">DN16*PROD_DEMANDA!DN16</f>
        <v>3725.1520343461</v>
      </c>
      <c r="DO21" s="273" t="n">
        <f aca="false">DO16*PROD_DEMANDA!DO16</f>
        <v>3725.1520343461</v>
      </c>
      <c r="DP21" s="273" t="n">
        <f aca="false">DP16*PROD_DEMANDA!DP16</f>
        <v>3725.1520343461</v>
      </c>
      <c r="DQ21" s="273" t="n">
        <f aca="false">DQ16*PROD_DEMANDA!DQ16</f>
        <v>3725.1520343461</v>
      </c>
      <c r="DR21" s="273" t="n">
        <f aca="false">DR16*PROD_DEMANDA!DR16</f>
        <v>3725.1520343461</v>
      </c>
      <c r="DS21" s="273" t="n">
        <f aca="false">DS16*PROD_DEMANDA!DS16</f>
        <v>3725.1520343461</v>
      </c>
    </row>
    <row r="22" customFormat="false" ht="15" hidden="false" customHeight="true" outlineLevel="0" collapsed="false">
      <c r="B22" s="297" t="s">
        <v>3421</v>
      </c>
      <c r="D22" s="273" t="n">
        <f aca="false">D16*PROD_DEMANDA!D18</f>
        <v>0</v>
      </c>
      <c r="E22" s="273" t="n">
        <f aca="false">E16*PROD_DEMANDA!E18</f>
        <v>0</v>
      </c>
      <c r="F22" s="273" t="n">
        <f aca="false">F16*PROD_DEMANDA!F18</f>
        <v>0</v>
      </c>
      <c r="G22" s="273" t="n">
        <f aca="false">G16*PROD_DEMANDA!G18</f>
        <v>11159.605625</v>
      </c>
      <c r="H22" s="273" t="n">
        <f aca="false">H16*PROD_DEMANDA!H18</f>
        <v>11395.225625</v>
      </c>
      <c r="I22" s="273" t="n">
        <f aca="false">I16*PROD_DEMANDA!I18</f>
        <v>11672.425625</v>
      </c>
      <c r="J22" s="273" t="n">
        <f aca="false">J16*PROD_DEMANDA!J18</f>
        <v>11978.731625</v>
      </c>
      <c r="K22" s="273" t="n">
        <f aca="false">K16*PROD_DEMANDA!K18</f>
        <v>12320.380625</v>
      </c>
      <c r="L22" s="273" t="n">
        <f aca="false">L16*PROD_DEMANDA!L18</f>
        <v>12422.251625</v>
      </c>
      <c r="M22" s="273" t="n">
        <f aca="false">M16*PROD_DEMANDA!M18</f>
        <v>12476.305625</v>
      </c>
      <c r="N22" s="273" t="n">
        <f aca="false">N16*PROD_DEMANDA!N18</f>
        <v>12476.305625</v>
      </c>
      <c r="O22" s="273" t="n">
        <f aca="false">O16*PROD_DEMANDA!O18</f>
        <v>12476.305625</v>
      </c>
      <c r="P22" s="273" t="n">
        <f aca="false">P16*PROD_DEMANDA!P18</f>
        <v>12476.305625</v>
      </c>
      <c r="Q22" s="273" t="n">
        <f aca="false">Q16*PROD_DEMANDA!Q18</f>
        <v>12476.305625</v>
      </c>
      <c r="R22" s="273" t="n">
        <f aca="false">R16*PROD_DEMANDA!R18</f>
        <v>12476.305625</v>
      </c>
      <c r="S22" s="273" t="n">
        <f aca="false">S16*PROD_DEMANDA!S18</f>
        <v>12476.305625</v>
      </c>
      <c r="T22" s="273" t="n">
        <f aca="false">T16*PROD_DEMANDA!T18</f>
        <v>12476.305625</v>
      </c>
      <c r="U22" s="273" t="n">
        <f aca="false">U16*PROD_DEMANDA!U18</f>
        <v>12476.305625</v>
      </c>
      <c r="V22" s="273" t="n">
        <f aca="false">V16*PROD_DEMANDA!V18</f>
        <v>11859.1958712121</v>
      </c>
      <c r="W22" s="273" t="n">
        <f aca="false">W16*PROD_DEMANDA!W18</f>
        <v>11188.8505516194</v>
      </c>
      <c r="X22" s="273" t="n">
        <f aca="false">X16*PROD_DEMANDA!X18</f>
        <v>10996.8245486111</v>
      </c>
      <c r="Y22" s="273" t="n">
        <f aca="false">Y16*PROD_DEMANDA!Y18</f>
        <v>10397.3322165428</v>
      </c>
      <c r="Z22" s="273" t="n">
        <f aca="false">Z16*PROD_DEMANDA!Z18</f>
        <v>10235.168125</v>
      </c>
      <c r="AA22" s="273" t="n">
        <f aca="false">AA16*PROD_DEMANDA!AA18</f>
        <v>10171.9476313406</v>
      </c>
      <c r="AB22" s="273" t="n">
        <f aca="false">AB16*PROD_DEMANDA!AB18</f>
        <v>10109.6367850719</v>
      </c>
      <c r="AC22" s="273" t="n">
        <f aca="false">AC16*PROD_DEMANDA!AC18</f>
        <v>10109.6367850719</v>
      </c>
      <c r="AD22" s="273" t="n">
        <f aca="false">AD16*PROD_DEMANDA!AD18</f>
        <v>13254.1691591727</v>
      </c>
      <c r="AE22" s="273" t="n">
        <f aca="false">AE16*PROD_DEMANDA!AE18</f>
        <v>13254.1691591727</v>
      </c>
      <c r="AF22" s="273" t="n">
        <f aca="false">AF16*PROD_DEMANDA!AF18</f>
        <v>13254.1691591727</v>
      </c>
      <c r="AG22" s="273" t="n">
        <f aca="false">AG16*PROD_DEMANDA!AG18</f>
        <v>13330.7012825851</v>
      </c>
      <c r="AH22" s="273" t="n">
        <f aca="false">AH16*PROD_DEMANDA!AH18</f>
        <v>13330.7012825851</v>
      </c>
      <c r="AI22" s="273" t="n">
        <f aca="false">AI16*PROD_DEMANDA!AI18</f>
        <v>12668.4686751563</v>
      </c>
      <c r="AJ22" s="273" t="n">
        <f aca="false">AJ16*PROD_DEMANDA!AJ18</f>
        <v>12076.5044885205</v>
      </c>
      <c r="AK22" s="273" t="n">
        <f aca="false">AK16*PROD_DEMANDA!AK18</f>
        <v>11893.9664891005</v>
      </c>
      <c r="AL22" s="273" t="n">
        <f aca="false">AL16*PROD_DEMANDA!AL18</f>
        <v>11359.2220243446</v>
      </c>
      <c r="AM22" s="273" t="n">
        <f aca="false">AM16*PROD_DEMANDA!AM18</f>
        <v>11217.2075811679</v>
      </c>
      <c r="AN22" s="273" t="n">
        <f aca="false">AN16*PROD_DEMANDA!AN18</f>
        <v>10814.719327567</v>
      </c>
      <c r="AO22" s="273" t="n">
        <f aca="false">AO16*PROD_DEMANDA!AO18</f>
        <v>10687.8730360657</v>
      </c>
      <c r="AP22" s="273" t="n">
        <f aca="false">AP16*PROD_DEMANDA!AP18</f>
        <v>10730.8973267341</v>
      </c>
      <c r="AQ22" s="273" t="n">
        <f aca="false">AQ16*PROD_DEMANDA!AQ18</f>
        <v>10288.1474247091</v>
      </c>
      <c r="AR22" s="273" t="n">
        <f aca="false">AR16*PROD_DEMANDA!AR18</f>
        <v>9926.77694210785</v>
      </c>
      <c r="AS22" s="273" t="n">
        <f aca="false">AS16*PROD_DEMANDA!AS18</f>
        <v>9561.96052008937</v>
      </c>
      <c r="AT22" s="273" t="n">
        <f aca="false">AT16*PROD_DEMANDA!AT18</f>
        <v>9193.13768034263</v>
      </c>
      <c r="AU22" s="273" t="n">
        <f aca="false">AU16*PROD_DEMANDA!AU18</f>
        <v>9075.38375709618</v>
      </c>
      <c r="AV22" s="273" t="n">
        <f aca="false">AV16*PROD_DEMANDA!AV18</f>
        <v>9009.70245836683</v>
      </c>
      <c r="AW22" s="273" t="n">
        <f aca="false">AW16*PROD_DEMANDA!AW18</f>
        <v>8714.17704801632</v>
      </c>
      <c r="AX22" s="273" t="n">
        <f aca="false">AX16*PROD_DEMANDA!AX18</f>
        <v>8656.0713363435</v>
      </c>
      <c r="AY22" s="273" t="n">
        <f aca="false">AY16*PROD_DEMANDA!AY18</f>
        <v>8432.72954759795</v>
      </c>
      <c r="AZ22" s="273" t="n">
        <f aca="false">AZ16*PROD_DEMANDA!AZ18</f>
        <v>8184.02946628783</v>
      </c>
      <c r="BA22" s="273" t="n">
        <f aca="false">BA16*PROD_DEMANDA!BA18</f>
        <v>8120.19318510345</v>
      </c>
      <c r="BB22" s="273" t="n">
        <f aca="false">BB16*PROD_DEMANDA!BB18</f>
        <v>11238.9070542675</v>
      </c>
      <c r="BC22" s="273" t="n">
        <f aca="false">BC16*PROD_DEMANDA!BC18</f>
        <v>11202.1058778848</v>
      </c>
      <c r="BD22" s="273" t="n">
        <f aca="false">BD16*PROD_DEMANDA!BD18</f>
        <v>11202.1058778848</v>
      </c>
      <c r="BE22" s="273" t="n">
        <f aca="false">BE16*PROD_DEMANDA!BE18</f>
        <v>11202.1058778848</v>
      </c>
      <c r="BF22" s="273" t="n">
        <f aca="false">BF16*PROD_DEMANDA!BF18</f>
        <v>11348.8075110736</v>
      </c>
      <c r="BG22" s="273" t="n">
        <f aca="false">BG16*PROD_DEMANDA!BG18</f>
        <v>11348.8075110736</v>
      </c>
      <c r="BH22" s="273" t="n">
        <f aca="false">BH16*PROD_DEMANDA!BH18</f>
        <v>11348.8075110736</v>
      </c>
      <c r="BI22" s="273" t="n">
        <f aca="false">BI16*PROD_DEMANDA!BI18</f>
        <v>10892.8189533599</v>
      </c>
      <c r="BJ22" s="273" t="n">
        <f aca="false">BJ16*PROD_DEMANDA!BJ18</f>
        <v>10585.4519466414</v>
      </c>
      <c r="BK22" s="273" t="n">
        <f aca="false">BK16*PROD_DEMANDA!BK18</f>
        <v>10342.9453706609</v>
      </c>
      <c r="BL22" s="273" t="n">
        <f aca="false">BL16*PROD_DEMANDA!BL18</f>
        <v>10022.9289283956</v>
      </c>
      <c r="BM22" s="273" t="n">
        <f aca="false">BM16*PROD_DEMANDA!BM18</f>
        <v>9754.24195152888</v>
      </c>
      <c r="BN22" s="273" t="n">
        <f aca="false">BN16*PROD_DEMANDA!BN18</f>
        <v>9501.99813871926</v>
      </c>
      <c r="BO22" s="273" t="n">
        <f aca="false">BO16*PROD_DEMANDA!BO18</f>
        <v>9419.7620618262</v>
      </c>
      <c r="BP22" s="273" t="n">
        <f aca="false">BP16*PROD_DEMANDA!BP18</f>
        <v>9183.99922925152</v>
      </c>
      <c r="BQ22" s="273" t="n">
        <f aca="false">BQ16*PROD_DEMANDA!BQ18</f>
        <v>9094.41473538054</v>
      </c>
      <c r="BR22" s="273" t="n">
        <f aca="false">BR16*PROD_DEMANDA!BR18</f>
        <v>8904.85529407543</v>
      </c>
      <c r="BS22" s="273" t="n">
        <f aca="false">BS16*PROD_DEMANDA!BS18</f>
        <v>8705.67477509808</v>
      </c>
      <c r="BT22" s="273" t="n">
        <f aca="false">BT16*PROD_DEMANDA!BT18</f>
        <v>8487.62634198953</v>
      </c>
      <c r="BU22" s="273" t="n">
        <f aca="false">BU16*PROD_DEMANDA!BU18</f>
        <v>8307.50032343511</v>
      </c>
      <c r="BV22" s="273" t="n">
        <f aca="false">BV16*PROD_DEMANDA!BV18</f>
        <v>8138.83550869801</v>
      </c>
      <c r="BW22" s="273" t="n">
        <f aca="false">BW16*PROD_DEMANDA!BW18</f>
        <v>8057.43556480236</v>
      </c>
      <c r="BX22" s="273" t="n">
        <f aca="false">BX16*PROD_DEMANDA!BX18</f>
        <v>7879.4154169744</v>
      </c>
      <c r="BY22" s="273" t="n">
        <f aca="false">BY16*PROD_DEMANDA!BY18</f>
        <v>7822.6819663226</v>
      </c>
      <c r="BZ22" s="273" t="n">
        <f aca="false">BZ16*PROD_DEMANDA!BZ18</f>
        <v>7612.15160179744</v>
      </c>
      <c r="CA22" s="273" t="n">
        <f aca="false">CA16*PROD_DEMANDA!CA18</f>
        <v>7471.80309748786</v>
      </c>
      <c r="CB22" s="273" t="n">
        <f aca="false">CB16*PROD_DEMANDA!CB18</f>
        <v>7423.07079705721</v>
      </c>
      <c r="CC22" s="273" t="n">
        <f aca="false">CC16*PROD_DEMANDA!CC18</f>
        <v>7291.08179699158</v>
      </c>
      <c r="CD22" s="273" t="n">
        <f aca="false">CD16*PROD_DEMANDA!CD18</f>
        <v>7154.21415832814</v>
      </c>
      <c r="CE22" s="273" t="n">
        <f aca="false">CE16*PROD_DEMANDA!CE18</f>
        <v>7039.73102034874</v>
      </c>
      <c r="CF22" s="273" t="n">
        <f aca="false">CF16*PROD_DEMANDA!CF18</f>
        <v>6931.34734656979</v>
      </c>
      <c r="CG22" s="273" t="n">
        <f aca="false">CG16*PROD_DEMANDA!CG18</f>
        <v>6811.01071793721</v>
      </c>
      <c r="CH22" s="273" t="n">
        <f aca="false">CH16*PROD_DEMANDA!CH18</f>
        <v>7640.1975739011</v>
      </c>
      <c r="CI22" s="273" t="n">
        <f aca="false">CI16*PROD_DEMANDA!CI18</f>
        <v>7516.78102597786</v>
      </c>
      <c r="CJ22" s="273" t="n">
        <f aca="false">CJ16*PROD_DEMANDA!CJ18</f>
        <v>7466.50916539688</v>
      </c>
      <c r="CK22" s="273" t="n">
        <f aca="false">CK16*PROD_DEMANDA!CK18</f>
        <v>7442.71761377264</v>
      </c>
      <c r="CL22" s="273" t="n">
        <f aca="false">CL16*PROD_DEMANDA!CL18</f>
        <v>7432.43264598126</v>
      </c>
      <c r="CM22" s="273" t="n">
        <f aca="false">CM16*PROD_DEMANDA!CM18</f>
        <v>7432.43264598126</v>
      </c>
      <c r="CN22" s="273" t="n">
        <f aca="false">CN16*PROD_DEMANDA!CN18</f>
        <v>7432.43264598126</v>
      </c>
      <c r="CO22" s="273" t="n">
        <f aca="false">CO16*PROD_DEMANDA!CO18</f>
        <v>7432.43264598126</v>
      </c>
      <c r="CP22" s="273" t="n">
        <f aca="false">CP16*PROD_DEMANDA!CP18</f>
        <v>7432.43264598126</v>
      </c>
      <c r="CQ22" s="273" t="n">
        <f aca="false">CQ16*PROD_DEMANDA!CQ18</f>
        <v>7432.43264598126</v>
      </c>
      <c r="CR22" s="273" t="n">
        <f aca="false">CR16*PROD_DEMANDA!CR18</f>
        <v>7432.43264598126</v>
      </c>
      <c r="CS22" s="273" t="n">
        <f aca="false">CS16*PROD_DEMANDA!CS18</f>
        <v>7432.43264598126</v>
      </c>
      <c r="CT22" s="273" t="n">
        <f aca="false">CT16*PROD_DEMANDA!CT18</f>
        <v>7432.43264598126</v>
      </c>
      <c r="CU22" s="273" t="n">
        <f aca="false">CU16*PROD_DEMANDA!CU18</f>
        <v>7432.43264598126</v>
      </c>
      <c r="CV22" s="273" t="n">
        <f aca="false">CV16*PROD_DEMANDA!CV18</f>
        <v>7432.43264598126</v>
      </c>
      <c r="CW22" s="273" t="n">
        <f aca="false">CW16*PROD_DEMANDA!CW18</f>
        <v>7432.43264598126</v>
      </c>
      <c r="CX22" s="273" t="n">
        <f aca="false">CX16*PROD_DEMANDA!CX18</f>
        <v>7432.43264598126</v>
      </c>
      <c r="CY22" s="273" t="n">
        <f aca="false">CY16*PROD_DEMANDA!CY18</f>
        <v>7432.43264598126</v>
      </c>
      <c r="CZ22" s="273" t="n">
        <f aca="false">CZ16*PROD_DEMANDA!CZ18</f>
        <v>7432.43264598126</v>
      </c>
      <c r="DA22" s="273" t="n">
        <f aca="false">DA16*PROD_DEMANDA!DA18</f>
        <v>7432.43264598126</v>
      </c>
      <c r="DB22" s="273" t="n">
        <f aca="false">DB16*PROD_DEMANDA!DB18</f>
        <v>7432.43264598126</v>
      </c>
      <c r="DC22" s="273" t="n">
        <f aca="false">DC16*PROD_DEMANDA!DC18</f>
        <v>7432.43264598126</v>
      </c>
      <c r="DD22" s="273" t="n">
        <f aca="false">DD16*PROD_DEMANDA!DD18</f>
        <v>7432.43264598126</v>
      </c>
      <c r="DE22" s="273" t="n">
        <f aca="false">DE16*PROD_DEMANDA!DE18</f>
        <v>7432.43264598126</v>
      </c>
      <c r="DF22" s="273" t="n">
        <f aca="false">DF16*PROD_DEMANDA!DF18</f>
        <v>7432.43264598126</v>
      </c>
      <c r="DG22" s="273" t="n">
        <f aca="false">DG16*PROD_DEMANDA!DG18</f>
        <v>7432.43264598126</v>
      </c>
      <c r="DH22" s="273" t="n">
        <f aca="false">DH16*PROD_DEMANDA!DH18</f>
        <v>7432.43264598126</v>
      </c>
      <c r="DI22" s="273" t="n">
        <f aca="false">DI16*PROD_DEMANDA!DI18</f>
        <v>7432.43264598126</v>
      </c>
      <c r="DJ22" s="273" t="n">
        <f aca="false">DJ16*PROD_DEMANDA!DJ18</f>
        <v>7432.43264598126</v>
      </c>
      <c r="DK22" s="273" t="n">
        <f aca="false">DK16*PROD_DEMANDA!DK18</f>
        <v>7432.43264598126</v>
      </c>
      <c r="DL22" s="273" t="n">
        <f aca="false">DL16*PROD_DEMANDA!DL18</f>
        <v>7432.43264598126</v>
      </c>
      <c r="DM22" s="273" t="n">
        <f aca="false">DM16*PROD_DEMANDA!DM18</f>
        <v>7432.43264598126</v>
      </c>
      <c r="DN22" s="273" t="n">
        <f aca="false">DN16*PROD_DEMANDA!DN18</f>
        <v>7432.43264598126</v>
      </c>
      <c r="DO22" s="273" t="n">
        <f aca="false">DO16*PROD_DEMANDA!DO18</f>
        <v>7432.43264598126</v>
      </c>
      <c r="DP22" s="273" t="n">
        <f aca="false">DP16*PROD_DEMANDA!DP18</f>
        <v>7432.43264598126</v>
      </c>
      <c r="DQ22" s="273" t="n">
        <f aca="false">DQ16*PROD_DEMANDA!DQ18</f>
        <v>7432.43264598126</v>
      </c>
      <c r="DR22" s="273" t="n">
        <f aca="false">DR16*PROD_DEMANDA!DR18</f>
        <v>7432.43264598126</v>
      </c>
      <c r="DS22" s="273" t="n">
        <f aca="false">DS16*PROD_DEMANDA!DS18</f>
        <v>7432.43264598126</v>
      </c>
    </row>
    <row r="23" customFormat="false" ht="15" hidden="false" customHeight="true" outlineLevel="0" collapsed="false">
      <c r="B23" s="178" t="s">
        <v>3321</v>
      </c>
      <c r="D23" s="268" t="n">
        <f aca="false">D17-D18-D19-D20-D21-D22</f>
        <v>0</v>
      </c>
      <c r="E23" s="268" t="n">
        <f aca="false">E17-E18-E19-E20-E21-E22</f>
        <v>-15715</v>
      </c>
      <c r="F23" s="268" t="n">
        <f aca="false">F17-F18-F19-F20-F21-F22</f>
        <v>-15715</v>
      </c>
      <c r="G23" s="268" t="n">
        <f aca="false">G17-G18-G19-G20-G21-G22</f>
        <v>-14131.987880978</v>
      </c>
      <c r="H23" s="268" t="n">
        <f aca="false">H17-H18-H19-H20-H21-H22</f>
        <v>3865.14223676298</v>
      </c>
      <c r="I23" s="268" t="n">
        <f aca="false">I17-I18-I19-I20-I21-I22</f>
        <v>20879.0994471885</v>
      </c>
      <c r="J23" s="268" t="n">
        <f aca="false">J17-J18-J19-J20-J21-J22</f>
        <v>36205.8543118035</v>
      </c>
      <c r="K23" s="268" t="n">
        <f aca="false">K17-K18-K19-K20-K21-K22</f>
        <v>52720.542430028</v>
      </c>
      <c r="L23" s="268" t="n">
        <f aca="false">L17-L18-L19-L20-L21-L22</f>
        <v>62877.7618080786</v>
      </c>
      <c r="M23" s="268" t="n">
        <f aca="false">M17-M18-M19-M20-M21-M22</f>
        <v>68267.3067841872</v>
      </c>
      <c r="N23" s="268" t="n">
        <f aca="false">N17-N18-N19-N20-N21-N22</f>
        <v>68267.3067841872</v>
      </c>
      <c r="O23" s="268" t="n">
        <f aca="false">O17-O18-O19-O20-O21-O22</f>
        <v>68267.3067841872</v>
      </c>
      <c r="P23" s="268" t="n">
        <f aca="false">P17-P18-P19-P20-P21-P22</f>
        <v>74183.9564303459</v>
      </c>
      <c r="Q23" s="268" t="n">
        <f aca="false">Q17-Q18-Q19-Q20-Q21-Q22</f>
        <v>74183.9564303459</v>
      </c>
      <c r="R23" s="268" t="n">
        <f aca="false">R17-R18-R19-R20-R21-R22</f>
        <v>74183.9564303459</v>
      </c>
      <c r="S23" s="268" t="n">
        <f aca="false">S17-S18-S19-S20-S21-S22</f>
        <v>74183.9564303459</v>
      </c>
      <c r="T23" s="268" t="n">
        <f aca="false">T17-T18-T19-T20-T21-T22</f>
        <v>74183.9564303459</v>
      </c>
      <c r="U23" s="268" t="n">
        <f aca="false">U17-U18-U19-U20-U21-U22</f>
        <v>74183.9564303459</v>
      </c>
      <c r="V23" s="268" t="n">
        <f aca="false">V17-V18-V19-V20-V21-V22</f>
        <v>74801.0661841338</v>
      </c>
      <c r="W23" s="268" t="n">
        <f aca="false">W17-W18-W19-W20-W21-W22</f>
        <v>75471.4115037265</v>
      </c>
      <c r="X23" s="268" t="n">
        <f aca="false">X17-X18-X19-X20-X21-X22</f>
        <v>75663.4375067348</v>
      </c>
      <c r="Y23" s="268" t="n">
        <f aca="false">Y17-Y18-Y19-Y20-Y21-Y22</f>
        <v>76262.9298388031</v>
      </c>
      <c r="Z23" s="268" t="n">
        <f aca="false">Z17-Z18-Z19-Z20-Z21-Z22</f>
        <v>76425.0939303459</v>
      </c>
      <c r="AA23" s="268" t="n">
        <f aca="false">AA17-AA18-AA19-AA20-AA21-AA22</f>
        <v>76488.3144240053</v>
      </c>
      <c r="AB23" s="268" t="n">
        <f aca="false">AB17-AB18-AB19-AB20-AB21-AB22</f>
        <v>82467.2749164327</v>
      </c>
      <c r="AC23" s="268" t="n">
        <f aca="false">AC17-AC18-AC19-AC20-AC21-AC22</f>
        <v>82467.2749164327</v>
      </c>
      <c r="AD23" s="268" t="n">
        <f aca="false">AD17-AD18-AD19-AD20-AD21-AD22</f>
        <v>77924.0529739866</v>
      </c>
      <c r="AE23" s="268" t="n">
        <f aca="false">AE17-AE18-AE19-AE20-AE21-AE22</f>
        <v>77924.0529739866</v>
      </c>
      <c r="AF23" s="268" t="n">
        <f aca="false">AF17-AF18-AF19-AF20-AF21-AF22</f>
        <v>77924.0529739866</v>
      </c>
      <c r="AG23" s="268" t="n">
        <f aca="false">AG17-AG18-AG19-AG20-AG21-AG22</f>
        <v>77813.7917730108</v>
      </c>
      <c r="AH23" s="268" t="n">
        <f aca="false">AH17-AH18-AH19-AH20-AH21-AH22</f>
        <v>77813.7917730108</v>
      </c>
      <c r="AI23" s="268" t="n">
        <f aca="false">AI17-AI18-AI19-AI20-AI21-AI22</f>
        <v>78767.8821518572</v>
      </c>
      <c r="AJ23" s="268" t="n">
        <f aca="false">AJ17-AJ18-AJ19-AJ20-AJ21-AJ22</f>
        <v>79620.7355582813</v>
      </c>
      <c r="AK23" s="268" t="n">
        <f aca="false">AK17-AK18-AK19-AK20-AK21-AK22</f>
        <v>79883.7213235046</v>
      </c>
      <c r="AL23" s="268" t="n">
        <f aca="false">AL17-AL18-AL19-AL20-AL21-AL22</f>
        <v>80654.1372517475</v>
      </c>
      <c r="AM23" s="268" t="n">
        <f aca="false">AM17-AM18-AM19-AM20-AM21-AM22</f>
        <v>80858.7400036691</v>
      </c>
      <c r="AN23" s="268" t="n">
        <f aca="false">AN17-AN18-AN19-AN20-AN21-AN22</f>
        <v>84396.9368627241</v>
      </c>
      <c r="AO23" s="268" t="n">
        <f aca="false">AO17-AO18-AO19-AO20-AO21-AO22</f>
        <v>84579.6865868486</v>
      </c>
      <c r="AP23" s="268" t="n">
        <f aca="false">AP17-AP18-AP19-AP20-AP21-AP22</f>
        <v>84517.7007206696</v>
      </c>
      <c r="AQ23" s="268" t="n">
        <f aca="false">AQ17-AQ18-AQ19-AQ20-AQ21-AQ22</f>
        <v>85155.578434661</v>
      </c>
      <c r="AR23" s="268" t="n">
        <f aca="false">AR17-AR18-AR19-AR20-AR21-AR22</f>
        <v>85676.2113614925</v>
      </c>
      <c r="AS23" s="268" t="n">
        <f aca="false">AS17-AS18-AS19-AS20-AS21-AS22</f>
        <v>86201.808914963</v>
      </c>
      <c r="AT23" s="268" t="n">
        <f aca="false">AT17-AT18-AT19-AT20-AT21-AT22</f>
        <v>86733.178586214</v>
      </c>
      <c r="AU23" s="268" t="n">
        <f aca="false">AU17-AU18-AU19-AU20-AU21-AU22</f>
        <v>86902.8287725391</v>
      </c>
      <c r="AV23" s="268" t="n">
        <f aca="false">AV17-AV18-AV19-AV20-AV21-AV22</f>
        <v>86997.4569960437</v>
      </c>
      <c r="AW23" s="268" t="n">
        <f aca="false">AW17-AW18-AW19-AW20-AW21-AW22</f>
        <v>87423.225747925</v>
      </c>
      <c r="AX23" s="268" t="n">
        <f aca="false">AX17-AX18-AX19-AX20-AX21-AX22</f>
        <v>87506.9396874701</v>
      </c>
      <c r="AY23" s="268" t="n">
        <f aca="false">AY17-AY18-AY19-AY20-AY21-AY22</f>
        <v>87828.712202816</v>
      </c>
      <c r="AZ23" s="268" t="n">
        <f aca="false">AZ17-AZ18-AZ19-AZ20-AZ21-AZ22</f>
        <v>91145.3436875344</v>
      </c>
      <c r="BA23" s="268" t="n">
        <f aca="false">BA17-BA18-BA19-BA20-BA21-BA22</f>
        <v>91237.3137612156</v>
      </c>
      <c r="BB23" s="268" t="n">
        <f aca="false">BB17-BB18-BB19-BB20-BB21-BB22</f>
        <v>86213.5343504561</v>
      </c>
      <c r="BC23" s="268" t="n">
        <f aca="false">BC17-BC18-BC19-BC20-BC21-BC22</f>
        <v>86268.5616696145</v>
      </c>
      <c r="BD23" s="268" t="n">
        <f aca="false">BD17-BD18-BD19-BD20-BD21-BD22</f>
        <v>86268.5616696145</v>
      </c>
      <c r="BE23" s="268" t="n">
        <f aca="false">BE17-BE18-BE19-BE20-BE21-BE22</f>
        <v>86268.5616696145</v>
      </c>
      <c r="BF23" s="268" t="n">
        <f aca="false">BF17-BF18-BF19-BF20-BF21-BF22</f>
        <v>86049.2046168238</v>
      </c>
      <c r="BG23" s="268" t="n">
        <f aca="false">BG17-BG18-BG19-BG20-BG21-BG22</f>
        <v>86049.2046168238</v>
      </c>
      <c r="BH23" s="268" t="n">
        <f aca="false">BH17-BH18-BH19-BH20-BH21-BH22</f>
        <v>86049.2046168238</v>
      </c>
      <c r="BI23" s="268" t="n">
        <f aca="false">BI17-BI18-BI19-BI20-BI21-BI22</f>
        <v>86731.0259704931</v>
      </c>
      <c r="BJ23" s="268" t="n">
        <f aca="false">BJ17-BJ18-BJ19-BJ20-BJ21-BJ22</f>
        <v>87190.6194954818</v>
      </c>
      <c r="BK23" s="268" t="n">
        <f aca="false">BK17-BK18-BK19-BK20-BK21-BK22</f>
        <v>87553.2298266221</v>
      </c>
      <c r="BL23" s="268" t="n">
        <f aca="false">BL17-BL18-BL19-BL20-BL21-BL22</f>
        <v>90990.0623669911</v>
      </c>
      <c r="BM23" s="268" t="n">
        <f aca="false">BM17-BM18-BM19-BM20-BM21-BM22</f>
        <v>91391.8191987834</v>
      </c>
      <c r="BN23" s="268" t="n">
        <f aca="false">BN17-BN18-BN19-BN20-BN21-BN22</f>
        <v>91768.9892285905</v>
      </c>
      <c r="BO23" s="268" t="n">
        <f aca="false">BO17-BO18-BO19-BO20-BO21-BO22</f>
        <v>91891.9535274072</v>
      </c>
      <c r="BP23" s="268" t="n">
        <f aca="false">BP17-BP18-BP19-BP20-BP21-BP22</f>
        <v>92244.4802102191</v>
      </c>
      <c r="BQ23" s="268" t="n">
        <f aca="false">BQ17-BQ18-BQ19-BQ20-BQ21-BQ22</f>
        <v>92378.4323014407</v>
      </c>
      <c r="BR23" s="268" t="n">
        <f aca="false">BR17-BR18-BR19-BR20-BR21-BR22</f>
        <v>92661.8729112655</v>
      </c>
      <c r="BS23" s="268" t="n">
        <f aca="false">BS17-BS18-BS19-BS20-BS21-BS22</f>
        <v>92959.6995316408</v>
      </c>
      <c r="BT23" s="268" t="n">
        <f aca="false">BT17-BT18-BT19-BT20-BT21-BT22</f>
        <v>93285.7385852806</v>
      </c>
      <c r="BU23" s="268" t="n">
        <f aca="false">BU17-BU18-BU19-BU20-BU21-BU22</f>
        <v>93555.0737774127</v>
      </c>
      <c r="BV23" s="268" t="n">
        <f aca="false">BV17-BV18-BV19-BV20-BV21-BV22</f>
        <v>93807.2714923664</v>
      </c>
      <c r="BW23" s="268" t="n">
        <f aca="false">BW17-BW18-BW19-BW20-BW21-BW22</f>
        <v>93928.9855551355</v>
      </c>
      <c r="BX23" s="268" t="n">
        <f aca="false">BX17-BX18-BX19-BX20-BX21-BX22</f>
        <v>97153.4967465331</v>
      </c>
      <c r="BY23" s="268" t="n">
        <f aca="false">BY17-BY18-BY19-BY20-BY21-BY22</f>
        <v>97238.327993869</v>
      </c>
      <c r="BZ23" s="268" t="n">
        <f aca="false">BZ17-BZ18-BZ19-BZ20-BZ21-BZ22</f>
        <v>97553.1255818803</v>
      </c>
      <c r="CA23" s="268" t="n">
        <f aca="false">CA17-CA18-CA19-CA20-CA21-CA22</f>
        <v>97762.9830565363</v>
      </c>
      <c r="CB23" s="268" t="n">
        <f aca="false">CB17-CB18-CB19-CB20-CB21-CB22</f>
        <v>97835.850505697</v>
      </c>
      <c r="CC23" s="268" t="n">
        <f aca="false">CC17-CC18-CC19-CC20-CC21-CC22</f>
        <v>98033.208349818</v>
      </c>
      <c r="CD23" s="268" t="n">
        <f aca="false">CD17-CD18-CD19-CD20-CD21-CD22</f>
        <v>98237.8610260495</v>
      </c>
      <c r="CE23" s="268" t="n">
        <f aca="false">CE17-CE18-CE19-CE20-CE21-CE22</f>
        <v>98409.0430585566</v>
      </c>
      <c r="CF23" s="268" t="n">
        <f aca="false">CF17-CF18-CF19-CF20-CF21-CF22</f>
        <v>98571.1048075227</v>
      </c>
      <c r="CG23" s="268" t="n">
        <f aca="false">CG17-CG18-CG19-CG20-CG21-CG22</f>
        <v>98751.039329217</v>
      </c>
      <c r="CH23" s="268" t="n">
        <f aca="false">CH17-CH18-CH19-CH20-CH21-CH22</f>
        <v>97472.8854086489</v>
      </c>
      <c r="CI23" s="268" t="n">
        <f aca="false">CI17-CI18-CI19-CI20-CI21-CI22</f>
        <v>97658.1964635442</v>
      </c>
      <c r="CJ23" s="268" t="n">
        <f aca="false">CJ17-CJ18-CJ19-CJ20-CJ21-CJ22</f>
        <v>97733.6801136104</v>
      </c>
      <c r="CK23" s="268" t="n">
        <f aca="false">CK17-CK18-CK19-CK20-CK21-CK22</f>
        <v>97769.4033420046</v>
      </c>
      <c r="CL23" s="268" t="n">
        <f aca="false">CL17-CL18-CL19-CL20-CL21-CL22</f>
        <v>97784.8463134947</v>
      </c>
      <c r="CM23" s="268" t="n">
        <f aca="false">CM17-CM18-CM19-CM20-CM21-CM22</f>
        <v>97784.8463134947</v>
      </c>
      <c r="CN23" s="268" t="n">
        <f aca="false">CN17-CN18-CN19-CN20-CN21-CN22</f>
        <v>97784.8463134947</v>
      </c>
      <c r="CO23" s="268" t="n">
        <f aca="false">CO17-CO18-CO19-CO20-CO21-CO22</f>
        <v>97784.8463134947</v>
      </c>
      <c r="CP23" s="268" t="n">
        <f aca="false">CP17-CP18-CP19-CP20-CP21-CP22</f>
        <v>97784.8463134947</v>
      </c>
      <c r="CQ23" s="268" t="n">
        <f aca="false">CQ17-CQ18-CQ19-CQ20-CQ21-CQ22</f>
        <v>97784.8463134947</v>
      </c>
      <c r="CR23" s="268" t="n">
        <f aca="false">CR17-CR18-CR19-CR20-CR21-CR22</f>
        <v>97784.8463134947</v>
      </c>
      <c r="CS23" s="268" t="n">
        <f aca="false">CS17-CS18-CS19-CS20-CS21-CS22</f>
        <v>97784.8463134947</v>
      </c>
      <c r="CT23" s="268" t="n">
        <f aca="false">CT17-CT18-CT19-CT20-CT21-CT22</f>
        <v>97784.8463134947</v>
      </c>
      <c r="CU23" s="268" t="n">
        <f aca="false">CU17-CU18-CU19-CU20-CU21-CU22</f>
        <v>97784.8463134947</v>
      </c>
      <c r="CV23" s="268" t="n">
        <f aca="false">CV17-CV18-CV19-CV20-CV21-CV22</f>
        <v>97784.8463134947</v>
      </c>
      <c r="CW23" s="268" t="n">
        <f aca="false">CW17-CW18-CW19-CW20-CW21-CW22</f>
        <v>97784.8463134947</v>
      </c>
      <c r="CX23" s="268" t="n">
        <f aca="false">CX17-CX18-CX19-CX20-CX21-CX22</f>
        <v>97784.8463134947</v>
      </c>
      <c r="CY23" s="268" t="n">
        <f aca="false">CY17-CY18-CY19-CY20-CY21-CY22</f>
        <v>97784.8463134947</v>
      </c>
      <c r="CZ23" s="268" t="n">
        <f aca="false">CZ17-CZ18-CZ19-CZ20-CZ21-CZ22</f>
        <v>97784.8463134947</v>
      </c>
      <c r="DA23" s="268" t="n">
        <f aca="false">DA17-DA18-DA19-DA20-DA21-DA22</f>
        <v>97784.8463134947</v>
      </c>
      <c r="DB23" s="268" t="n">
        <f aca="false">DB17-DB18-DB19-DB20-DB21-DB22</f>
        <v>97784.8463134947</v>
      </c>
      <c r="DC23" s="268" t="n">
        <f aca="false">DC17-DC18-DC19-DC20-DC21-DC22</f>
        <v>97784.8463134947</v>
      </c>
      <c r="DD23" s="268" t="n">
        <f aca="false">DD17-DD18-DD19-DD20-DD21-DD22</f>
        <v>97784.8463134947</v>
      </c>
      <c r="DE23" s="268" t="n">
        <f aca="false">DE17-DE18-DE19-DE20-DE21-DE22</f>
        <v>97784.8463134947</v>
      </c>
      <c r="DF23" s="268" t="n">
        <f aca="false">DF17-DF18-DF19-DF20-DF21-DF22</f>
        <v>97784.8463134947</v>
      </c>
      <c r="DG23" s="268" t="n">
        <f aca="false">DG17-DG18-DG19-DG20-DG21-DG22</f>
        <v>97784.8463134947</v>
      </c>
      <c r="DH23" s="268" t="n">
        <f aca="false">DH17-DH18-DH19-DH20-DH21-DH22</f>
        <v>97784.8463134947</v>
      </c>
      <c r="DI23" s="268" t="n">
        <f aca="false">DI17-DI18-DI19-DI20-DI21-DI22</f>
        <v>97784.8463134947</v>
      </c>
      <c r="DJ23" s="268" t="n">
        <f aca="false">DJ17-DJ18-DJ19-DJ20-DJ21-DJ22</f>
        <v>97784.8463134947</v>
      </c>
      <c r="DK23" s="268" t="n">
        <f aca="false">DK17-DK18-DK19-DK20-DK21-DK22</f>
        <v>97784.8463134947</v>
      </c>
      <c r="DL23" s="268" t="n">
        <f aca="false">DL17-DL18-DL19-DL20-DL21-DL22</f>
        <v>97784.8463134947</v>
      </c>
      <c r="DM23" s="268" t="n">
        <f aca="false">DM17-DM18-DM19-DM20-DM21-DM22</f>
        <v>97784.8463134947</v>
      </c>
      <c r="DN23" s="268" t="n">
        <f aca="false">DN17-DN18-DN19-DN20-DN21-DN22</f>
        <v>97784.8463134947</v>
      </c>
      <c r="DO23" s="268" t="n">
        <f aca="false">DO17-DO18-DO19-DO20-DO21-DO22</f>
        <v>97784.8463134947</v>
      </c>
      <c r="DP23" s="268" t="n">
        <f aca="false">DP17-DP18-DP19-DP20-DP21-DP22</f>
        <v>97784.8463134947</v>
      </c>
      <c r="DQ23" s="268" t="n">
        <f aca="false">DQ17-DQ18-DQ19-DQ20-DQ21-DQ22</f>
        <v>97784.8463134947</v>
      </c>
      <c r="DR23" s="268" t="n">
        <f aca="false">DR17-DR18-DR19-DR20-DR21-DR22</f>
        <v>97784.8463134947</v>
      </c>
      <c r="DS23" s="268" t="n">
        <f aca="false">DS17-DS18-DS19-DS20-DS21-DS22</f>
        <v>97784.8463134947</v>
      </c>
    </row>
    <row r="24" customFormat="false" ht="15" hidden="false" customHeight="true" outlineLevel="0" collapsed="false">
      <c r="A24" s="186" t="s">
        <v>3422</v>
      </c>
      <c r="B24" s="25"/>
      <c r="C24" s="25"/>
    </row>
    <row r="25" customFormat="false" ht="15" hidden="false" customHeight="true" outlineLevel="0" collapsed="false">
      <c r="B25" s="297" t="s">
        <v>3423</v>
      </c>
      <c r="D25" s="273" t="n">
        <f aca="false">IF(D4&lt;=3,SUP_CAPEX_PLANTA!$H$38/3,0)+IF(D4=SUP_TECNOLOGIA!$C$19,SUP_TECNOLOGIA!$C$18,0)</f>
        <v>224914.869666667</v>
      </c>
      <c r="E25" s="273" t="n">
        <f aca="false">IF(E4&lt;=3,SUP_CAPEX_PLANTA!$H$38/3,0)+IF(E4=SUP_TECNOLOGIA!$C$19,SUP_TECNOLOGIA!$C$18,0)</f>
        <v>269914.869666667</v>
      </c>
      <c r="F25" s="273" t="n">
        <f aca="false">IF(F4&lt;=3,SUP_CAPEX_PLANTA!$H$38/3,0)+IF(F4=SUP_TECNOLOGIA!$C$19,SUP_TECNOLOGIA!$C$18,0)</f>
        <v>224914.869666667</v>
      </c>
      <c r="G25" s="273" t="n">
        <f aca="false">IF(G4&lt;=3,SUP_CAPEX_PLANTA!$H$38/3,0)+IF(G4=SUP_TECNOLOGIA!$C$19,SUP_TECNOLOGIA!$C$18,0)</f>
        <v>0</v>
      </c>
      <c r="H25" s="273" t="n">
        <f aca="false">IF(H4&lt;=3,SUP_CAPEX_PLANTA!$H$38/3,0)+IF(H4=SUP_TECNOLOGIA!$C$19,SUP_TECNOLOGIA!$C$18,0)</f>
        <v>0</v>
      </c>
      <c r="I25" s="273" t="n">
        <f aca="false">IF(I4&lt;=3,SUP_CAPEX_PLANTA!$H$38/3,0)+IF(I4=SUP_TECNOLOGIA!$C$19,SUP_TECNOLOGIA!$C$18,0)</f>
        <v>0</v>
      </c>
      <c r="J25" s="273" t="n">
        <f aca="false">IF(J4&lt;=3,SUP_CAPEX_PLANTA!$H$38/3,0)+IF(J4=SUP_TECNOLOGIA!$C$19,SUP_TECNOLOGIA!$C$18,0)</f>
        <v>0</v>
      </c>
      <c r="K25" s="273" t="n">
        <f aca="false">IF(K4&lt;=3,SUP_CAPEX_PLANTA!$H$38/3,0)+IF(K4=SUP_TECNOLOGIA!$C$19,SUP_TECNOLOGIA!$C$18,0)</f>
        <v>0</v>
      </c>
      <c r="L25" s="273" t="n">
        <f aca="false">IF(L4&lt;=3,SUP_CAPEX_PLANTA!$H$38/3,0)+IF(L4=SUP_TECNOLOGIA!$C$19,SUP_TECNOLOGIA!$C$18,0)</f>
        <v>0</v>
      </c>
      <c r="M25" s="273" t="n">
        <f aca="false">IF(M4&lt;=3,SUP_CAPEX_PLANTA!$H$38/3,0)+IF(M4=SUP_TECNOLOGIA!$C$19,SUP_TECNOLOGIA!$C$18,0)</f>
        <v>0</v>
      </c>
      <c r="N25" s="273" t="n">
        <f aca="false">IF(N4&lt;=3,SUP_CAPEX_PLANTA!$H$38/3,0)+IF(N4=SUP_TECNOLOGIA!$C$19,SUP_TECNOLOGIA!$C$18,0)</f>
        <v>0</v>
      </c>
      <c r="O25" s="273" t="n">
        <f aca="false">IF(O4&lt;=3,SUP_CAPEX_PLANTA!$H$38/3,0)+IF(O4=SUP_TECNOLOGIA!$C$19,SUP_TECNOLOGIA!$C$18,0)</f>
        <v>0</v>
      </c>
      <c r="P25" s="273" t="n">
        <f aca="false">IF(P4&lt;=3,SUP_CAPEX_PLANTA!$H$38/3,0)+IF(P4=SUP_TECNOLOGIA!$C$19,SUP_TECNOLOGIA!$C$18,0)</f>
        <v>0</v>
      </c>
      <c r="Q25" s="273" t="n">
        <f aca="false">IF(Q4&lt;=3,SUP_CAPEX_PLANTA!$H$38/3,0)+IF(Q4=SUP_TECNOLOGIA!$C$19,SUP_TECNOLOGIA!$C$18,0)</f>
        <v>0</v>
      </c>
      <c r="R25" s="273" t="n">
        <f aca="false">IF(R4&lt;=3,SUP_CAPEX_PLANTA!$H$38/3,0)+IF(R4=SUP_TECNOLOGIA!$C$19,SUP_TECNOLOGIA!$C$18,0)</f>
        <v>0</v>
      </c>
      <c r="S25" s="273" t="n">
        <f aca="false">IF(S4&lt;=3,SUP_CAPEX_PLANTA!$H$38/3,0)+IF(S4=SUP_TECNOLOGIA!$C$19,SUP_TECNOLOGIA!$C$18,0)</f>
        <v>0</v>
      </c>
      <c r="T25" s="273" t="n">
        <f aca="false">IF(T4&lt;=3,SUP_CAPEX_PLANTA!$H$38/3,0)+IF(T4=SUP_TECNOLOGIA!$C$19,SUP_TECNOLOGIA!$C$18,0)</f>
        <v>0</v>
      </c>
      <c r="U25" s="273" t="n">
        <f aca="false">IF(U4&lt;=3,SUP_CAPEX_PLANTA!$H$38/3,0)+IF(U4=SUP_TECNOLOGIA!$C$19,SUP_TECNOLOGIA!$C$18,0)</f>
        <v>0</v>
      </c>
      <c r="V25" s="273" t="n">
        <f aca="false">IF(V4&lt;=3,SUP_CAPEX_PLANTA!$H$38/3,0)+IF(V4=SUP_TECNOLOGIA!$C$19,SUP_TECNOLOGIA!$C$18,0)</f>
        <v>0</v>
      </c>
      <c r="W25" s="273" t="n">
        <f aca="false">IF(W4&lt;=3,SUP_CAPEX_PLANTA!$H$38/3,0)+IF(W4=SUP_TECNOLOGIA!$C$19,SUP_TECNOLOGIA!$C$18,0)</f>
        <v>0</v>
      </c>
      <c r="X25" s="273" t="n">
        <f aca="false">IF(X4&lt;=3,SUP_CAPEX_PLANTA!$H$38/3,0)+IF(X4=SUP_TECNOLOGIA!$C$19,SUP_TECNOLOGIA!$C$18,0)</f>
        <v>0</v>
      </c>
      <c r="Y25" s="273" t="n">
        <f aca="false">IF(Y4&lt;=3,SUP_CAPEX_PLANTA!$H$38/3,0)+IF(Y4=SUP_TECNOLOGIA!$C$19,SUP_TECNOLOGIA!$C$18,0)</f>
        <v>0</v>
      </c>
      <c r="Z25" s="273" t="n">
        <f aca="false">IF(Z4&lt;=3,SUP_CAPEX_PLANTA!$H$38/3,0)+IF(Z4=SUP_TECNOLOGIA!$C$19,SUP_TECNOLOGIA!$C$18,0)</f>
        <v>0</v>
      </c>
      <c r="AA25" s="273" t="n">
        <f aca="false">IF(AA4&lt;=3,SUP_CAPEX_PLANTA!$H$38/3,0)+IF(AA4=SUP_TECNOLOGIA!$C$19,SUP_TECNOLOGIA!$C$18,0)</f>
        <v>0</v>
      </c>
      <c r="AB25" s="273" t="n">
        <f aca="false">IF(AB4&lt;=3,SUP_CAPEX_PLANTA!$H$38/3,0)+IF(AB4=SUP_TECNOLOGIA!$C$19,SUP_TECNOLOGIA!$C$18,0)</f>
        <v>0</v>
      </c>
      <c r="AC25" s="273" t="n">
        <f aca="false">IF(AC4&lt;=3,SUP_CAPEX_PLANTA!$H$38/3,0)+IF(AC4=SUP_TECNOLOGIA!$C$19,SUP_TECNOLOGIA!$C$18,0)</f>
        <v>0</v>
      </c>
      <c r="AD25" s="273" t="n">
        <f aca="false">IF(AD4&lt;=3,SUP_CAPEX_PLANTA!$H$38/3,0)+IF(AD4=SUP_TECNOLOGIA!$C$19,SUP_TECNOLOGIA!$C$18,0)</f>
        <v>0</v>
      </c>
      <c r="AE25" s="273" t="n">
        <f aca="false">IF(AE4&lt;=3,SUP_CAPEX_PLANTA!$H$38/3,0)+IF(AE4=SUP_TECNOLOGIA!$C$19,SUP_TECNOLOGIA!$C$18,0)</f>
        <v>0</v>
      </c>
      <c r="AF25" s="273" t="n">
        <f aca="false">IF(AF4&lt;=3,SUP_CAPEX_PLANTA!$H$38/3,0)+IF(AF4=SUP_TECNOLOGIA!$C$19,SUP_TECNOLOGIA!$C$18,0)</f>
        <v>0</v>
      </c>
      <c r="AG25" s="273" t="n">
        <f aca="false">IF(AG4&lt;=3,SUP_CAPEX_PLANTA!$H$38/3,0)+IF(AG4=SUP_TECNOLOGIA!$C$19,SUP_TECNOLOGIA!$C$18,0)</f>
        <v>0</v>
      </c>
      <c r="AH25" s="273" t="n">
        <f aca="false">IF(AH4&lt;=3,SUP_CAPEX_PLANTA!$H$38/3,0)+IF(AH4=SUP_TECNOLOGIA!$C$19,SUP_TECNOLOGIA!$C$18,0)</f>
        <v>0</v>
      </c>
      <c r="AI25" s="273" t="n">
        <f aca="false">IF(AI4&lt;=3,SUP_CAPEX_PLANTA!$H$38/3,0)+IF(AI4=SUP_TECNOLOGIA!$C$19,SUP_TECNOLOGIA!$C$18,0)</f>
        <v>0</v>
      </c>
      <c r="AJ25" s="273" t="n">
        <f aca="false">IF(AJ4&lt;=3,SUP_CAPEX_PLANTA!$H$38/3,0)+IF(AJ4=SUP_TECNOLOGIA!$C$19,SUP_TECNOLOGIA!$C$18,0)</f>
        <v>0</v>
      </c>
      <c r="AK25" s="273" t="n">
        <f aca="false">IF(AK4&lt;=3,SUP_CAPEX_PLANTA!$H$38/3,0)+IF(AK4=SUP_TECNOLOGIA!$C$19,SUP_TECNOLOGIA!$C$18,0)</f>
        <v>0</v>
      </c>
      <c r="AL25" s="273" t="n">
        <f aca="false">IF(AL4&lt;=3,SUP_CAPEX_PLANTA!$H$38/3,0)+IF(AL4=SUP_TECNOLOGIA!$C$19,SUP_TECNOLOGIA!$C$18,0)</f>
        <v>0</v>
      </c>
      <c r="AM25" s="273" t="n">
        <f aca="false">IF(AM4&lt;=3,SUP_CAPEX_PLANTA!$H$38/3,0)+IF(AM4=SUP_TECNOLOGIA!$C$19,SUP_TECNOLOGIA!$C$18,0)</f>
        <v>0</v>
      </c>
      <c r="AN25" s="273" t="n">
        <f aca="false">IF(AN4&lt;=3,SUP_CAPEX_PLANTA!$H$38/3,0)+IF(AN4=SUP_TECNOLOGIA!$C$19,SUP_TECNOLOGIA!$C$18,0)</f>
        <v>0</v>
      </c>
      <c r="AO25" s="273" t="n">
        <f aca="false">IF(AO4&lt;=3,SUP_CAPEX_PLANTA!$H$38/3,0)+IF(AO4=SUP_TECNOLOGIA!$C$19,SUP_TECNOLOGIA!$C$18,0)</f>
        <v>0</v>
      </c>
      <c r="AP25" s="273" t="n">
        <f aca="false">IF(AP4&lt;=3,SUP_CAPEX_PLANTA!$H$38/3,0)+IF(AP4=SUP_TECNOLOGIA!$C$19,SUP_TECNOLOGIA!$C$18,0)</f>
        <v>0</v>
      </c>
      <c r="AQ25" s="273" t="n">
        <f aca="false">IF(AQ4&lt;=3,SUP_CAPEX_PLANTA!$H$38/3,0)+IF(AQ4=SUP_TECNOLOGIA!$C$19,SUP_TECNOLOGIA!$C$18,0)</f>
        <v>0</v>
      </c>
      <c r="AR25" s="273" t="n">
        <f aca="false">IF(AR4&lt;=3,SUP_CAPEX_PLANTA!$H$38/3,0)+IF(AR4=SUP_TECNOLOGIA!$C$19,SUP_TECNOLOGIA!$C$18,0)</f>
        <v>0</v>
      </c>
      <c r="AS25" s="273" t="n">
        <f aca="false">IF(AS4&lt;=3,SUP_CAPEX_PLANTA!$H$38/3,0)+IF(AS4=SUP_TECNOLOGIA!$C$19,SUP_TECNOLOGIA!$C$18,0)</f>
        <v>0</v>
      </c>
      <c r="AT25" s="273" t="n">
        <f aca="false">IF(AT4&lt;=3,SUP_CAPEX_PLANTA!$H$38/3,0)+IF(AT4=SUP_TECNOLOGIA!$C$19,SUP_TECNOLOGIA!$C$18,0)</f>
        <v>0</v>
      </c>
      <c r="AU25" s="273" t="n">
        <f aca="false">IF(AU4&lt;=3,SUP_CAPEX_PLANTA!$H$38/3,0)+IF(AU4=SUP_TECNOLOGIA!$C$19,SUP_TECNOLOGIA!$C$18,0)</f>
        <v>0</v>
      </c>
      <c r="AV25" s="273" t="n">
        <f aca="false">IF(AV4&lt;=3,SUP_CAPEX_PLANTA!$H$38/3,0)+IF(AV4=SUP_TECNOLOGIA!$C$19,SUP_TECNOLOGIA!$C$18,0)</f>
        <v>0</v>
      </c>
      <c r="AW25" s="273" t="n">
        <f aca="false">IF(AW4&lt;=3,SUP_CAPEX_PLANTA!$H$38/3,0)+IF(AW4=SUP_TECNOLOGIA!$C$19,SUP_TECNOLOGIA!$C$18,0)</f>
        <v>0</v>
      </c>
      <c r="AX25" s="273" t="n">
        <f aca="false">IF(AX4&lt;=3,SUP_CAPEX_PLANTA!$H$38/3,0)+IF(AX4=SUP_TECNOLOGIA!$C$19,SUP_TECNOLOGIA!$C$18,0)</f>
        <v>0</v>
      </c>
      <c r="AY25" s="273" t="n">
        <f aca="false">IF(AY4&lt;=3,SUP_CAPEX_PLANTA!$H$38/3,0)+IF(AY4=SUP_TECNOLOGIA!$C$19,SUP_TECNOLOGIA!$C$18,0)</f>
        <v>0</v>
      </c>
      <c r="AZ25" s="273" t="n">
        <f aca="false">IF(AZ4&lt;=3,SUP_CAPEX_PLANTA!$H$38/3,0)+IF(AZ4=SUP_TECNOLOGIA!$C$19,SUP_TECNOLOGIA!$C$18,0)</f>
        <v>0</v>
      </c>
      <c r="BA25" s="273" t="n">
        <f aca="false">IF(BA4&lt;=3,SUP_CAPEX_PLANTA!$H$38/3,0)+IF(BA4=SUP_TECNOLOGIA!$C$19,SUP_TECNOLOGIA!$C$18,0)</f>
        <v>0</v>
      </c>
      <c r="BB25" s="273" t="n">
        <f aca="false">IF(BB4&lt;=3,SUP_CAPEX_PLANTA!$H$38/3,0)+IF(BB4=SUP_TECNOLOGIA!$C$19,SUP_TECNOLOGIA!$C$18,0)</f>
        <v>0</v>
      </c>
      <c r="BC25" s="273" t="n">
        <f aca="false">IF(BC4&lt;=3,SUP_CAPEX_PLANTA!$H$38/3,0)+IF(BC4=SUP_TECNOLOGIA!$C$19,SUP_TECNOLOGIA!$C$18,0)</f>
        <v>0</v>
      </c>
      <c r="BD25" s="273" t="n">
        <f aca="false">IF(BD4&lt;=3,SUP_CAPEX_PLANTA!$H$38/3,0)+IF(BD4=SUP_TECNOLOGIA!$C$19,SUP_TECNOLOGIA!$C$18,0)</f>
        <v>0</v>
      </c>
      <c r="BE25" s="273" t="n">
        <f aca="false">IF(BE4&lt;=3,SUP_CAPEX_PLANTA!$H$38/3,0)+IF(BE4=SUP_TECNOLOGIA!$C$19,SUP_TECNOLOGIA!$C$18,0)</f>
        <v>0</v>
      </c>
      <c r="BF25" s="273" t="n">
        <f aca="false">IF(BF4&lt;=3,SUP_CAPEX_PLANTA!$H$38/3,0)+IF(BF4=SUP_TECNOLOGIA!$C$19,SUP_TECNOLOGIA!$C$18,0)</f>
        <v>0</v>
      </c>
      <c r="BG25" s="273" t="n">
        <f aca="false">IF(BG4&lt;=3,SUP_CAPEX_PLANTA!$H$38/3,0)+IF(BG4=SUP_TECNOLOGIA!$C$19,SUP_TECNOLOGIA!$C$18,0)</f>
        <v>0</v>
      </c>
      <c r="BH25" s="273" t="n">
        <f aca="false">IF(BH4&lt;=3,SUP_CAPEX_PLANTA!$H$38/3,0)+IF(BH4=SUP_TECNOLOGIA!$C$19,SUP_TECNOLOGIA!$C$18,0)</f>
        <v>0</v>
      </c>
      <c r="BI25" s="273" t="n">
        <f aca="false">IF(BI4&lt;=3,SUP_CAPEX_PLANTA!$H$38/3,0)+IF(BI4=SUP_TECNOLOGIA!$C$19,SUP_TECNOLOGIA!$C$18,0)</f>
        <v>0</v>
      </c>
      <c r="BJ25" s="273" t="n">
        <f aca="false">IF(BJ4&lt;=3,SUP_CAPEX_PLANTA!$H$38/3,0)+IF(BJ4=SUP_TECNOLOGIA!$C$19,SUP_TECNOLOGIA!$C$18,0)</f>
        <v>0</v>
      </c>
      <c r="BK25" s="273" t="n">
        <f aca="false">IF(BK4&lt;=3,SUP_CAPEX_PLANTA!$H$38/3,0)+IF(BK4=SUP_TECNOLOGIA!$C$19,SUP_TECNOLOGIA!$C$18,0)</f>
        <v>0</v>
      </c>
      <c r="BL25" s="273" t="n">
        <f aca="false">IF(BL4&lt;=3,SUP_CAPEX_PLANTA!$H$38/3,0)+IF(BL4=SUP_TECNOLOGIA!$C$19,SUP_TECNOLOGIA!$C$18,0)</f>
        <v>0</v>
      </c>
      <c r="BM25" s="273" t="n">
        <f aca="false">IF(BM4&lt;=3,SUP_CAPEX_PLANTA!$H$38/3,0)+IF(BM4=SUP_TECNOLOGIA!$C$19,SUP_TECNOLOGIA!$C$18,0)</f>
        <v>0</v>
      </c>
      <c r="BN25" s="273" t="n">
        <f aca="false">IF(BN4&lt;=3,SUP_CAPEX_PLANTA!$H$38/3,0)+IF(BN4=SUP_TECNOLOGIA!$C$19,SUP_TECNOLOGIA!$C$18,0)</f>
        <v>0</v>
      </c>
      <c r="BO25" s="273" t="n">
        <f aca="false">IF(BO4&lt;=3,SUP_CAPEX_PLANTA!$H$38/3,0)+IF(BO4=SUP_TECNOLOGIA!$C$19,SUP_TECNOLOGIA!$C$18,0)</f>
        <v>0</v>
      </c>
      <c r="BP25" s="273" t="n">
        <f aca="false">IF(BP4&lt;=3,SUP_CAPEX_PLANTA!$H$38/3,0)+IF(BP4=SUP_TECNOLOGIA!$C$19,SUP_TECNOLOGIA!$C$18,0)</f>
        <v>0</v>
      </c>
      <c r="BQ25" s="273" t="n">
        <f aca="false">IF(BQ4&lt;=3,SUP_CAPEX_PLANTA!$H$38/3,0)+IF(BQ4=SUP_TECNOLOGIA!$C$19,SUP_TECNOLOGIA!$C$18,0)</f>
        <v>0</v>
      </c>
      <c r="BR25" s="273" t="n">
        <f aca="false">IF(BR4&lt;=3,SUP_CAPEX_PLANTA!$H$38/3,0)+IF(BR4=SUP_TECNOLOGIA!$C$19,SUP_TECNOLOGIA!$C$18,0)</f>
        <v>0</v>
      </c>
      <c r="BS25" s="273" t="n">
        <f aca="false">IF(BS4&lt;=3,SUP_CAPEX_PLANTA!$H$38/3,0)+IF(BS4=SUP_TECNOLOGIA!$C$19,SUP_TECNOLOGIA!$C$18,0)</f>
        <v>0</v>
      </c>
      <c r="BT25" s="273" t="n">
        <f aca="false">IF(BT4&lt;=3,SUP_CAPEX_PLANTA!$H$38/3,0)+IF(BT4=SUP_TECNOLOGIA!$C$19,SUP_TECNOLOGIA!$C$18,0)</f>
        <v>0</v>
      </c>
      <c r="BU25" s="273" t="n">
        <f aca="false">IF(BU4&lt;=3,SUP_CAPEX_PLANTA!$H$38/3,0)+IF(BU4=SUP_TECNOLOGIA!$C$19,SUP_TECNOLOGIA!$C$18,0)</f>
        <v>0</v>
      </c>
      <c r="BV25" s="273" t="n">
        <f aca="false">IF(BV4&lt;=3,SUP_CAPEX_PLANTA!$H$38/3,0)+IF(BV4=SUP_TECNOLOGIA!$C$19,SUP_TECNOLOGIA!$C$18,0)</f>
        <v>0</v>
      </c>
      <c r="BW25" s="273" t="n">
        <f aca="false">IF(BW4&lt;=3,SUP_CAPEX_PLANTA!$H$38/3,0)+IF(BW4=SUP_TECNOLOGIA!$C$19,SUP_TECNOLOGIA!$C$18,0)</f>
        <v>0</v>
      </c>
      <c r="BX25" s="273" t="n">
        <f aca="false">IF(BX4&lt;=3,SUP_CAPEX_PLANTA!$H$38/3,0)+IF(BX4=SUP_TECNOLOGIA!$C$19,SUP_TECNOLOGIA!$C$18,0)</f>
        <v>0</v>
      </c>
      <c r="BY25" s="273" t="n">
        <f aca="false">IF(BY4&lt;=3,SUP_CAPEX_PLANTA!$H$38/3,0)+IF(BY4=SUP_TECNOLOGIA!$C$19,SUP_TECNOLOGIA!$C$18,0)</f>
        <v>0</v>
      </c>
      <c r="BZ25" s="273" t="n">
        <f aca="false">IF(BZ4&lt;=3,SUP_CAPEX_PLANTA!$H$38/3,0)+IF(BZ4=SUP_TECNOLOGIA!$C$19,SUP_TECNOLOGIA!$C$18,0)</f>
        <v>0</v>
      </c>
      <c r="CA25" s="273" t="n">
        <f aca="false">IF(CA4&lt;=3,SUP_CAPEX_PLANTA!$H$38/3,0)+IF(CA4=SUP_TECNOLOGIA!$C$19,SUP_TECNOLOGIA!$C$18,0)</f>
        <v>0</v>
      </c>
      <c r="CB25" s="273" t="n">
        <f aca="false">IF(CB4&lt;=3,SUP_CAPEX_PLANTA!$H$38/3,0)+IF(CB4=SUP_TECNOLOGIA!$C$19,SUP_TECNOLOGIA!$C$18,0)</f>
        <v>0</v>
      </c>
      <c r="CC25" s="273" t="n">
        <f aca="false">IF(CC4&lt;=3,SUP_CAPEX_PLANTA!$H$38/3,0)+IF(CC4=SUP_TECNOLOGIA!$C$19,SUP_TECNOLOGIA!$C$18,0)</f>
        <v>0</v>
      </c>
      <c r="CD25" s="273" t="n">
        <f aca="false">IF(CD4&lt;=3,SUP_CAPEX_PLANTA!$H$38/3,0)+IF(CD4=SUP_TECNOLOGIA!$C$19,SUP_TECNOLOGIA!$C$18,0)</f>
        <v>0</v>
      </c>
      <c r="CE25" s="273" t="n">
        <f aca="false">IF(CE4&lt;=3,SUP_CAPEX_PLANTA!$H$38/3,0)+IF(CE4=SUP_TECNOLOGIA!$C$19,SUP_TECNOLOGIA!$C$18,0)</f>
        <v>0</v>
      </c>
      <c r="CF25" s="273" t="n">
        <f aca="false">IF(CF4&lt;=3,SUP_CAPEX_PLANTA!$H$38/3,0)+IF(CF4=SUP_TECNOLOGIA!$C$19,SUP_TECNOLOGIA!$C$18,0)</f>
        <v>0</v>
      </c>
      <c r="CG25" s="273" t="n">
        <f aca="false">IF(CG4&lt;=3,SUP_CAPEX_PLANTA!$H$38/3,0)+IF(CG4=SUP_TECNOLOGIA!$C$19,SUP_TECNOLOGIA!$C$18,0)</f>
        <v>0</v>
      </c>
      <c r="CH25" s="273" t="n">
        <f aca="false">IF(CH4&lt;=3,SUP_CAPEX_PLANTA!$H$38/3,0)+IF(CH4=SUP_TECNOLOGIA!$C$19,SUP_TECNOLOGIA!$C$18,0)</f>
        <v>0</v>
      </c>
      <c r="CI25" s="273" t="n">
        <f aca="false">IF(CI4&lt;=3,SUP_CAPEX_PLANTA!$H$38/3,0)+IF(CI4=SUP_TECNOLOGIA!$C$19,SUP_TECNOLOGIA!$C$18,0)</f>
        <v>0</v>
      </c>
      <c r="CJ25" s="273" t="n">
        <f aca="false">IF(CJ4&lt;=3,SUP_CAPEX_PLANTA!$H$38/3,0)+IF(CJ4=SUP_TECNOLOGIA!$C$19,SUP_TECNOLOGIA!$C$18,0)</f>
        <v>0</v>
      </c>
      <c r="CK25" s="273" t="n">
        <f aca="false">IF(CK4&lt;=3,SUP_CAPEX_PLANTA!$H$38/3,0)+IF(CK4=SUP_TECNOLOGIA!$C$19,SUP_TECNOLOGIA!$C$18,0)</f>
        <v>0</v>
      </c>
      <c r="CL25" s="273" t="n">
        <f aca="false">IF(CL4&lt;=3,SUP_CAPEX_PLANTA!$H$38/3,0)+IF(CL4=SUP_TECNOLOGIA!$C$19,SUP_TECNOLOGIA!$C$18,0)</f>
        <v>0</v>
      </c>
      <c r="CM25" s="273" t="n">
        <f aca="false">IF(CM4&lt;=3,SUP_CAPEX_PLANTA!$H$38/3,0)+IF(CM4=SUP_TECNOLOGIA!$C$19,SUP_TECNOLOGIA!$C$18,0)</f>
        <v>0</v>
      </c>
      <c r="CN25" s="273" t="n">
        <f aca="false">IF(CN4&lt;=3,SUP_CAPEX_PLANTA!$H$38/3,0)+IF(CN4=SUP_TECNOLOGIA!$C$19,SUP_TECNOLOGIA!$C$18,0)</f>
        <v>0</v>
      </c>
      <c r="CO25" s="273" t="n">
        <f aca="false">IF(CO4&lt;=3,SUP_CAPEX_PLANTA!$H$38/3,0)+IF(CO4=SUP_TECNOLOGIA!$C$19,SUP_TECNOLOGIA!$C$18,0)</f>
        <v>0</v>
      </c>
      <c r="CP25" s="273" t="n">
        <f aca="false">IF(CP4&lt;=3,SUP_CAPEX_PLANTA!$H$38/3,0)+IF(CP4=SUP_TECNOLOGIA!$C$19,SUP_TECNOLOGIA!$C$18,0)</f>
        <v>0</v>
      </c>
      <c r="CQ25" s="273" t="n">
        <f aca="false">IF(CQ4&lt;=3,SUP_CAPEX_PLANTA!$H$38/3,0)+IF(CQ4=SUP_TECNOLOGIA!$C$19,SUP_TECNOLOGIA!$C$18,0)</f>
        <v>0</v>
      </c>
      <c r="CR25" s="273" t="n">
        <f aca="false">IF(CR4&lt;=3,SUP_CAPEX_PLANTA!$H$38/3,0)+IF(CR4=SUP_TECNOLOGIA!$C$19,SUP_TECNOLOGIA!$C$18,0)</f>
        <v>0</v>
      </c>
      <c r="CS25" s="273" t="n">
        <f aca="false">IF(CS4&lt;=3,SUP_CAPEX_PLANTA!$H$38/3,0)+IF(CS4=SUP_TECNOLOGIA!$C$19,SUP_TECNOLOGIA!$C$18,0)</f>
        <v>0</v>
      </c>
      <c r="CT25" s="273" t="n">
        <f aca="false">IF(CT4&lt;=3,SUP_CAPEX_PLANTA!$H$38/3,0)+IF(CT4=SUP_TECNOLOGIA!$C$19,SUP_TECNOLOGIA!$C$18,0)</f>
        <v>0</v>
      </c>
      <c r="CU25" s="273" t="n">
        <f aca="false">IF(CU4&lt;=3,SUP_CAPEX_PLANTA!$H$38/3,0)+IF(CU4=SUP_TECNOLOGIA!$C$19,SUP_TECNOLOGIA!$C$18,0)</f>
        <v>0</v>
      </c>
      <c r="CV25" s="273" t="n">
        <f aca="false">IF(CV4&lt;=3,SUP_CAPEX_PLANTA!$H$38/3,0)+IF(CV4=SUP_TECNOLOGIA!$C$19,SUP_TECNOLOGIA!$C$18,0)</f>
        <v>0</v>
      </c>
      <c r="CW25" s="273" t="n">
        <f aca="false">IF(CW4&lt;=3,SUP_CAPEX_PLANTA!$H$38/3,0)+IF(CW4=SUP_TECNOLOGIA!$C$19,SUP_TECNOLOGIA!$C$18,0)</f>
        <v>0</v>
      </c>
      <c r="CX25" s="273" t="n">
        <f aca="false">IF(CX4&lt;=3,SUP_CAPEX_PLANTA!$H$38/3,0)+IF(CX4=SUP_TECNOLOGIA!$C$19,SUP_TECNOLOGIA!$C$18,0)</f>
        <v>0</v>
      </c>
      <c r="CY25" s="273" t="n">
        <f aca="false">IF(CY4&lt;=3,SUP_CAPEX_PLANTA!$H$38/3,0)+IF(CY4=SUP_TECNOLOGIA!$C$19,SUP_TECNOLOGIA!$C$18,0)</f>
        <v>0</v>
      </c>
      <c r="CZ25" s="273" t="n">
        <f aca="false">IF(CZ4&lt;=3,SUP_CAPEX_PLANTA!$H$38/3,0)+IF(CZ4=SUP_TECNOLOGIA!$C$19,SUP_TECNOLOGIA!$C$18,0)</f>
        <v>0</v>
      </c>
      <c r="DA25" s="273" t="n">
        <f aca="false">IF(DA4&lt;=3,SUP_CAPEX_PLANTA!$H$38/3,0)+IF(DA4=SUP_TECNOLOGIA!$C$19,SUP_TECNOLOGIA!$C$18,0)</f>
        <v>0</v>
      </c>
      <c r="DB25" s="273" t="n">
        <f aca="false">IF(DB4&lt;=3,SUP_CAPEX_PLANTA!$H$38/3,0)+IF(DB4=SUP_TECNOLOGIA!$C$19,SUP_TECNOLOGIA!$C$18,0)</f>
        <v>0</v>
      </c>
      <c r="DC25" s="273" t="n">
        <f aca="false">IF(DC4&lt;=3,SUP_CAPEX_PLANTA!$H$38/3,0)+IF(DC4=SUP_TECNOLOGIA!$C$19,SUP_TECNOLOGIA!$C$18,0)</f>
        <v>0</v>
      </c>
      <c r="DD25" s="273" t="n">
        <f aca="false">IF(DD4&lt;=3,SUP_CAPEX_PLANTA!$H$38/3,0)+IF(DD4=SUP_TECNOLOGIA!$C$19,SUP_TECNOLOGIA!$C$18,0)</f>
        <v>0</v>
      </c>
      <c r="DE25" s="273" t="n">
        <f aca="false">IF(DE4&lt;=3,SUP_CAPEX_PLANTA!$H$38/3,0)+IF(DE4=SUP_TECNOLOGIA!$C$19,SUP_TECNOLOGIA!$C$18,0)</f>
        <v>0</v>
      </c>
      <c r="DF25" s="273" t="n">
        <f aca="false">IF(DF4&lt;=3,SUP_CAPEX_PLANTA!$H$38/3,0)+IF(DF4=SUP_TECNOLOGIA!$C$19,SUP_TECNOLOGIA!$C$18,0)</f>
        <v>0</v>
      </c>
      <c r="DG25" s="273" t="n">
        <f aca="false">IF(DG4&lt;=3,SUP_CAPEX_PLANTA!$H$38/3,0)+IF(DG4=SUP_TECNOLOGIA!$C$19,SUP_TECNOLOGIA!$C$18,0)</f>
        <v>0</v>
      </c>
      <c r="DH25" s="273" t="n">
        <f aca="false">IF(DH4&lt;=3,SUP_CAPEX_PLANTA!$H$38/3,0)+IF(DH4=SUP_TECNOLOGIA!$C$19,SUP_TECNOLOGIA!$C$18,0)</f>
        <v>0</v>
      </c>
      <c r="DI25" s="273" t="n">
        <f aca="false">IF(DI4&lt;=3,SUP_CAPEX_PLANTA!$H$38/3,0)+IF(DI4=SUP_TECNOLOGIA!$C$19,SUP_TECNOLOGIA!$C$18,0)</f>
        <v>0</v>
      </c>
      <c r="DJ25" s="273" t="n">
        <f aca="false">IF(DJ4&lt;=3,SUP_CAPEX_PLANTA!$H$38/3,0)+IF(DJ4=SUP_TECNOLOGIA!$C$19,SUP_TECNOLOGIA!$C$18,0)</f>
        <v>0</v>
      </c>
      <c r="DK25" s="273" t="n">
        <f aca="false">IF(DK4&lt;=3,SUP_CAPEX_PLANTA!$H$38/3,0)+IF(DK4=SUP_TECNOLOGIA!$C$19,SUP_TECNOLOGIA!$C$18,0)</f>
        <v>0</v>
      </c>
      <c r="DL25" s="273" t="n">
        <f aca="false">IF(DL4&lt;=3,SUP_CAPEX_PLANTA!$H$38/3,0)+IF(DL4=SUP_TECNOLOGIA!$C$19,SUP_TECNOLOGIA!$C$18,0)</f>
        <v>0</v>
      </c>
      <c r="DM25" s="273" t="n">
        <f aca="false">IF(DM4&lt;=3,SUP_CAPEX_PLANTA!$H$38/3,0)+IF(DM4=SUP_TECNOLOGIA!$C$19,SUP_TECNOLOGIA!$C$18,0)</f>
        <v>0</v>
      </c>
      <c r="DN25" s="273" t="n">
        <f aca="false">IF(DN4&lt;=3,SUP_CAPEX_PLANTA!$H$38/3,0)+IF(DN4=SUP_TECNOLOGIA!$C$19,SUP_TECNOLOGIA!$C$18,0)</f>
        <v>0</v>
      </c>
      <c r="DO25" s="273" t="n">
        <f aca="false">IF(DO4&lt;=3,SUP_CAPEX_PLANTA!$H$38/3,0)+IF(DO4=SUP_TECNOLOGIA!$C$19,SUP_TECNOLOGIA!$C$18,0)</f>
        <v>0</v>
      </c>
      <c r="DP25" s="273" t="n">
        <f aca="false">IF(DP4&lt;=3,SUP_CAPEX_PLANTA!$H$38/3,0)+IF(DP4=SUP_TECNOLOGIA!$C$19,SUP_TECNOLOGIA!$C$18,0)</f>
        <v>0</v>
      </c>
      <c r="DQ25" s="273" t="n">
        <f aca="false">IF(DQ4&lt;=3,SUP_CAPEX_PLANTA!$H$38/3,0)+IF(DQ4=SUP_TECNOLOGIA!$C$19,SUP_TECNOLOGIA!$C$18,0)</f>
        <v>0</v>
      </c>
      <c r="DR25" s="273" t="n">
        <f aca="false">IF(DR4&lt;=3,SUP_CAPEX_PLANTA!$H$38/3,0)+IF(DR4=SUP_TECNOLOGIA!$C$19,SUP_TECNOLOGIA!$C$18,0)</f>
        <v>0</v>
      </c>
      <c r="DS25" s="273" t="n">
        <f aca="false">IF(DS4&lt;=3,SUP_CAPEX_PLANTA!$H$38/3,0)+IF(DS4=SUP_TECNOLOGIA!$C$19,SUP_TECNOLOGIA!$C$18,0)</f>
        <v>0</v>
      </c>
    </row>
    <row r="26" customFormat="false" ht="15" hidden="false" customHeight="true" outlineLevel="0" collapsed="false">
      <c r="B26" s="297" t="s">
        <v>3424</v>
      </c>
      <c r="D26" s="273" t="n">
        <f aca="false">G6*SUP_CAPEX_VENTANA!$H$42+G7*SUP_CAPEX_DINEIN!$H$43</f>
        <v>185113.874</v>
      </c>
      <c r="E26" s="273" t="n">
        <f aca="false">H6*SUP_CAPEX_VENTANA!$H$42+H7*SUP_CAPEX_DINEIN!$H$43</f>
        <v>185113.874</v>
      </c>
      <c r="F26" s="273" t="n">
        <f aca="false">I6*SUP_CAPEX_VENTANA!$H$42+I7*SUP_CAPEX_DINEIN!$H$43</f>
        <v>185113.874</v>
      </c>
      <c r="G26" s="273" t="n">
        <f aca="false">J6*SUP_CAPEX_VENTANA!$H$42+J7*SUP_CAPEX_DINEIN!$H$43</f>
        <v>231467.95925</v>
      </c>
      <c r="H26" s="273" t="n">
        <f aca="false">K6*SUP_CAPEX_VENTANA!$H$42+K7*SUP_CAPEX_DINEIN!$H$43</f>
        <v>277822.0445</v>
      </c>
      <c r="I26" s="273" t="n">
        <f aca="false">L6*SUP_CAPEX_VENTANA!$H$42+L7*SUP_CAPEX_DINEIN!$H$43</f>
        <v>0</v>
      </c>
      <c r="J26" s="273" t="n">
        <f aca="false">M6*SUP_CAPEX_VENTANA!$H$42+M7*SUP_CAPEX_DINEIN!$H$43</f>
        <v>0</v>
      </c>
      <c r="K26" s="273" t="n">
        <f aca="false">N6*SUP_CAPEX_VENTANA!$H$42+N7*SUP_CAPEX_DINEIN!$H$43</f>
        <v>0</v>
      </c>
      <c r="L26" s="273" t="n">
        <f aca="false">O6*SUP_CAPEX_VENTANA!$H$42+O7*SUP_CAPEX_DINEIN!$H$43</f>
        <v>0</v>
      </c>
      <c r="M26" s="273" t="n">
        <f aca="false">P6*SUP_CAPEX_VENTANA!$H$42+P7*SUP_CAPEX_DINEIN!$H$43</f>
        <v>0</v>
      </c>
      <c r="N26" s="273" t="n">
        <f aca="false">Q6*SUP_CAPEX_VENTANA!$H$42+Q7*SUP_CAPEX_DINEIN!$H$43</f>
        <v>0</v>
      </c>
      <c r="O26" s="273" t="n">
        <f aca="false">R6*SUP_CAPEX_VENTANA!$H$42+R7*SUP_CAPEX_DINEIN!$H$43</f>
        <v>0</v>
      </c>
      <c r="P26" s="273" t="n">
        <f aca="false">S6*SUP_CAPEX_VENTANA!$H$42+S7*SUP_CAPEX_DINEIN!$H$43</f>
        <v>0</v>
      </c>
      <c r="Q26" s="273" t="n">
        <f aca="false">T6*SUP_CAPEX_VENTANA!$H$42+T7*SUP_CAPEX_DINEIN!$H$43</f>
        <v>0</v>
      </c>
      <c r="R26" s="273" t="n">
        <f aca="false">U6*SUP_CAPEX_VENTANA!$H$42+U7*SUP_CAPEX_DINEIN!$H$43</f>
        <v>0</v>
      </c>
      <c r="S26" s="273" t="n">
        <f aca="false">V6*SUP_CAPEX_VENTANA!$H$42+V7*SUP_CAPEX_DINEIN!$H$43</f>
        <v>0</v>
      </c>
      <c r="T26" s="273" t="n">
        <f aca="false">W6*SUP_CAPEX_VENTANA!$H$42+W7*SUP_CAPEX_DINEIN!$H$43</f>
        <v>0</v>
      </c>
      <c r="U26" s="273" t="n">
        <f aca="false">X6*SUP_CAPEX_VENTANA!$H$42+X7*SUP_CAPEX_DINEIN!$H$43</f>
        <v>0</v>
      </c>
      <c r="V26" s="273" t="n">
        <f aca="false">Y6*SUP_CAPEX_VENTANA!$H$42+Y7*SUP_CAPEX_DINEIN!$H$43</f>
        <v>0</v>
      </c>
      <c r="W26" s="273" t="n">
        <f aca="false">Z6*SUP_CAPEX_VENTANA!$H$42+Z7*SUP_CAPEX_DINEIN!$H$43</f>
        <v>0</v>
      </c>
      <c r="X26" s="273" t="n">
        <f aca="false">AA6*SUP_CAPEX_VENTANA!$H$42+AA7*SUP_CAPEX_DINEIN!$H$43</f>
        <v>0</v>
      </c>
      <c r="Y26" s="273" t="n">
        <f aca="false">AB6*SUP_CAPEX_VENTANA!$H$42+AB7*SUP_CAPEX_DINEIN!$H$43</f>
        <v>0</v>
      </c>
      <c r="Z26" s="273" t="n">
        <f aca="false">AC6*SUP_CAPEX_VENTANA!$H$42+AC7*SUP_CAPEX_DINEIN!$H$43</f>
        <v>0</v>
      </c>
      <c r="AA26" s="273" t="n">
        <f aca="false">AD6*SUP_CAPEX_VENTANA!$H$42+AD7*SUP_CAPEX_DINEIN!$H$43</f>
        <v>0</v>
      </c>
      <c r="AB26" s="273" t="n">
        <f aca="false">AE6*SUP_CAPEX_VENTANA!$H$42+AE7*SUP_CAPEX_DINEIN!$H$43</f>
        <v>0</v>
      </c>
      <c r="AC26" s="273" t="n">
        <f aca="false">AF6*SUP_CAPEX_VENTANA!$H$42+AF7*SUP_CAPEX_DINEIN!$H$43</f>
        <v>0</v>
      </c>
      <c r="AD26" s="273" t="n">
        <f aca="false">AG6*SUP_CAPEX_VENTANA!$H$42+AG7*SUP_CAPEX_DINEIN!$H$43</f>
        <v>0</v>
      </c>
      <c r="AE26" s="273" t="n">
        <f aca="false">AH6*SUP_CAPEX_VENTANA!$H$42+AH7*SUP_CAPEX_DINEIN!$H$43</f>
        <v>0</v>
      </c>
      <c r="AF26" s="273" t="n">
        <f aca="false">AI6*SUP_CAPEX_VENTANA!$H$42+AI7*SUP_CAPEX_DINEIN!$H$43</f>
        <v>0</v>
      </c>
      <c r="AG26" s="273" t="n">
        <f aca="false">AJ6*SUP_CAPEX_VENTANA!$H$42+AJ7*SUP_CAPEX_DINEIN!$H$43</f>
        <v>0</v>
      </c>
      <c r="AH26" s="273" t="n">
        <f aca="false">AK6*SUP_CAPEX_VENTANA!$H$42+AK7*SUP_CAPEX_DINEIN!$H$43</f>
        <v>0</v>
      </c>
      <c r="AI26" s="273" t="n">
        <f aca="false">AL6*SUP_CAPEX_VENTANA!$H$42+AL7*SUP_CAPEX_DINEIN!$H$43</f>
        <v>0</v>
      </c>
      <c r="AJ26" s="273" t="n">
        <f aca="false">AM6*SUP_CAPEX_VENTANA!$H$42+AM7*SUP_CAPEX_DINEIN!$H$43</f>
        <v>0</v>
      </c>
      <c r="AK26" s="273" t="n">
        <f aca="false">AN6*SUP_CAPEX_VENTANA!$H$42+AN7*SUP_CAPEX_DINEIN!$H$43</f>
        <v>0</v>
      </c>
      <c r="AL26" s="273" t="n">
        <f aca="false">AO6*SUP_CAPEX_VENTANA!$H$42+AO7*SUP_CAPEX_DINEIN!$H$43</f>
        <v>0</v>
      </c>
      <c r="AM26" s="273" t="n">
        <f aca="false">AP6*SUP_CAPEX_VENTANA!$H$42+AP7*SUP_CAPEX_DINEIN!$H$43</f>
        <v>0</v>
      </c>
      <c r="AN26" s="273" t="n">
        <f aca="false">AQ6*SUP_CAPEX_VENTANA!$H$42+AQ7*SUP_CAPEX_DINEIN!$H$43</f>
        <v>0</v>
      </c>
      <c r="AO26" s="273" t="n">
        <f aca="false">AR6*SUP_CAPEX_VENTANA!$H$42+AR7*SUP_CAPEX_DINEIN!$H$43</f>
        <v>0</v>
      </c>
      <c r="AP26" s="273" t="n">
        <f aca="false">AS6*SUP_CAPEX_VENTANA!$H$42+AS7*SUP_CAPEX_DINEIN!$H$43</f>
        <v>0</v>
      </c>
      <c r="AQ26" s="273" t="n">
        <f aca="false">AT6*SUP_CAPEX_VENTANA!$H$42+AT7*SUP_CAPEX_DINEIN!$H$43</f>
        <v>0</v>
      </c>
      <c r="AR26" s="273" t="n">
        <f aca="false">AU6*SUP_CAPEX_VENTANA!$H$42+AU7*SUP_CAPEX_DINEIN!$H$43</f>
        <v>0</v>
      </c>
      <c r="AS26" s="273" t="n">
        <f aca="false">AV6*SUP_CAPEX_VENTANA!$H$42+AV7*SUP_CAPEX_DINEIN!$H$43</f>
        <v>0</v>
      </c>
      <c r="AT26" s="273" t="n">
        <f aca="false">AW6*SUP_CAPEX_VENTANA!$H$42+AW7*SUP_CAPEX_DINEIN!$H$43</f>
        <v>0</v>
      </c>
      <c r="AU26" s="273" t="n">
        <f aca="false">AX6*SUP_CAPEX_VENTANA!$H$42+AX7*SUP_CAPEX_DINEIN!$H$43</f>
        <v>0</v>
      </c>
      <c r="AV26" s="273" t="n">
        <f aca="false">AY6*SUP_CAPEX_VENTANA!$H$42+AY7*SUP_CAPEX_DINEIN!$H$43</f>
        <v>0</v>
      </c>
      <c r="AW26" s="273" t="n">
        <f aca="false">AZ6*SUP_CAPEX_VENTANA!$H$42+AZ7*SUP_CAPEX_DINEIN!$H$43</f>
        <v>0</v>
      </c>
      <c r="AX26" s="273" t="n">
        <f aca="false">BA6*SUP_CAPEX_VENTANA!$H$42+BA7*SUP_CAPEX_DINEIN!$H$43</f>
        <v>0</v>
      </c>
      <c r="AY26" s="273" t="n">
        <f aca="false">BB6*SUP_CAPEX_VENTANA!$H$42+BB7*SUP_CAPEX_DINEIN!$H$43</f>
        <v>0</v>
      </c>
      <c r="AZ26" s="273" t="n">
        <f aca="false">BC6*SUP_CAPEX_VENTANA!$H$42+BC7*SUP_CAPEX_DINEIN!$H$43</f>
        <v>0</v>
      </c>
      <c r="BA26" s="273" t="n">
        <f aca="false">BD6*SUP_CAPEX_VENTANA!$H$42+BD7*SUP_CAPEX_DINEIN!$H$43</f>
        <v>0</v>
      </c>
      <c r="BB26" s="273" t="n">
        <f aca="false">BE6*SUP_CAPEX_VENTANA!$H$42+BE7*SUP_CAPEX_DINEIN!$H$43</f>
        <v>0</v>
      </c>
      <c r="BC26" s="273" t="n">
        <f aca="false">BF6*SUP_CAPEX_VENTANA!$H$42+BF7*SUP_CAPEX_DINEIN!$H$43</f>
        <v>0</v>
      </c>
      <c r="BD26" s="273" t="n">
        <f aca="false">BG6*SUP_CAPEX_VENTANA!$H$42+BG7*SUP_CAPEX_DINEIN!$H$43</f>
        <v>0</v>
      </c>
      <c r="BE26" s="273" t="n">
        <f aca="false">BH6*SUP_CAPEX_VENTANA!$H$42+BH7*SUP_CAPEX_DINEIN!$H$43</f>
        <v>0</v>
      </c>
      <c r="BF26" s="273" t="n">
        <f aca="false">BI6*SUP_CAPEX_VENTANA!$H$42+BI7*SUP_CAPEX_DINEIN!$H$43</f>
        <v>0</v>
      </c>
      <c r="BG26" s="273" t="n">
        <f aca="false">BJ6*SUP_CAPEX_VENTANA!$H$42+BJ7*SUP_CAPEX_DINEIN!$H$43</f>
        <v>0</v>
      </c>
      <c r="BH26" s="273" t="n">
        <f aca="false">BK6*SUP_CAPEX_VENTANA!$H$42+BK7*SUP_CAPEX_DINEIN!$H$43</f>
        <v>0</v>
      </c>
      <c r="BI26" s="273" t="n">
        <f aca="false">BL6*SUP_CAPEX_VENTANA!$H$42+BL7*SUP_CAPEX_DINEIN!$H$43</f>
        <v>0</v>
      </c>
      <c r="BJ26" s="273" t="n">
        <f aca="false">BM6*SUP_CAPEX_VENTANA!$H$42+BM7*SUP_CAPEX_DINEIN!$H$43</f>
        <v>0</v>
      </c>
      <c r="BK26" s="273" t="n">
        <f aca="false">BN6*SUP_CAPEX_VENTANA!$H$42+BN7*SUP_CAPEX_DINEIN!$H$43</f>
        <v>0</v>
      </c>
      <c r="BL26" s="273" t="n">
        <f aca="false">BO6*SUP_CAPEX_VENTANA!$H$42+BO7*SUP_CAPEX_DINEIN!$H$43</f>
        <v>0</v>
      </c>
      <c r="BM26" s="273" t="n">
        <f aca="false">BP6*SUP_CAPEX_VENTANA!$H$42+BP7*SUP_CAPEX_DINEIN!$H$43</f>
        <v>0</v>
      </c>
      <c r="BN26" s="273" t="n">
        <f aca="false">BQ6*SUP_CAPEX_VENTANA!$H$42+BQ7*SUP_CAPEX_DINEIN!$H$43</f>
        <v>0</v>
      </c>
      <c r="BO26" s="273" t="n">
        <f aca="false">BR6*SUP_CAPEX_VENTANA!$H$42+BR7*SUP_CAPEX_DINEIN!$H$43</f>
        <v>0</v>
      </c>
      <c r="BP26" s="273" t="n">
        <f aca="false">BS6*SUP_CAPEX_VENTANA!$H$42+BS7*SUP_CAPEX_DINEIN!$H$43</f>
        <v>0</v>
      </c>
      <c r="BQ26" s="273" t="n">
        <f aca="false">BT6*SUP_CAPEX_VENTANA!$H$42+BT7*SUP_CAPEX_DINEIN!$H$43</f>
        <v>0</v>
      </c>
      <c r="BR26" s="273" t="n">
        <f aca="false">BU6*SUP_CAPEX_VENTANA!$H$42+BU7*SUP_CAPEX_DINEIN!$H$43</f>
        <v>0</v>
      </c>
      <c r="BS26" s="273" t="n">
        <f aca="false">BV6*SUP_CAPEX_VENTANA!$H$42+BV7*SUP_CAPEX_DINEIN!$H$43</f>
        <v>0</v>
      </c>
      <c r="BT26" s="273" t="n">
        <f aca="false">BW6*SUP_CAPEX_VENTANA!$H$42+BW7*SUP_CAPEX_DINEIN!$H$43</f>
        <v>0</v>
      </c>
      <c r="BU26" s="273" t="n">
        <f aca="false">BX6*SUP_CAPEX_VENTANA!$H$42+BX7*SUP_CAPEX_DINEIN!$H$43</f>
        <v>0</v>
      </c>
      <c r="BV26" s="273" t="n">
        <f aca="false">BY6*SUP_CAPEX_VENTANA!$H$42+BY7*SUP_CAPEX_DINEIN!$H$43</f>
        <v>0</v>
      </c>
      <c r="BW26" s="273" t="n">
        <f aca="false">BZ6*SUP_CAPEX_VENTANA!$H$42+BZ7*SUP_CAPEX_DINEIN!$H$43</f>
        <v>0</v>
      </c>
      <c r="BX26" s="273" t="n">
        <f aca="false">CA6*SUP_CAPEX_VENTANA!$H$42+CA7*SUP_CAPEX_DINEIN!$H$43</f>
        <v>0</v>
      </c>
      <c r="BY26" s="273" t="n">
        <f aca="false">CB6*SUP_CAPEX_VENTANA!$H$42+CB7*SUP_CAPEX_DINEIN!$H$43</f>
        <v>0</v>
      </c>
      <c r="BZ26" s="273" t="n">
        <f aca="false">CC6*SUP_CAPEX_VENTANA!$H$42+CC7*SUP_CAPEX_DINEIN!$H$43</f>
        <v>0</v>
      </c>
      <c r="CA26" s="273" t="n">
        <f aca="false">CD6*SUP_CAPEX_VENTANA!$H$42+CD7*SUP_CAPEX_DINEIN!$H$43</f>
        <v>0</v>
      </c>
      <c r="CB26" s="273" t="n">
        <f aca="false">CE6*SUP_CAPEX_VENTANA!$H$42+CE7*SUP_CAPEX_DINEIN!$H$43</f>
        <v>0</v>
      </c>
      <c r="CC26" s="273" t="n">
        <f aca="false">CF6*SUP_CAPEX_VENTANA!$H$42+CF7*SUP_CAPEX_DINEIN!$H$43</f>
        <v>0</v>
      </c>
      <c r="CD26" s="273" t="n">
        <f aca="false">CG6*SUP_CAPEX_VENTANA!$H$42+CG7*SUP_CAPEX_DINEIN!$H$43</f>
        <v>0</v>
      </c>
      <c r="CE26" s="273" t="n">
        <f aca="false">CH6*SUP_CAPEX_VENTANA!$H$42+CH7*SUP_CAPEX_DINEIN!$H$43</f>
        <v>0</v>
      </c>
      <c r="CF26" s="273" t="n">
        <f aca="false">CI6*SUP_CAPEX_VENTANA!$H$42+CI7*SUP_CAPEX_DINEIN!$H$43</f>
        <v>0</v>
      </c>
      <c r="CG26" s="273" t="n">
        <f aca="false">CJ6*SUP_CAPEX_VENTANA!$H$42+CJ7*SUP_CAPEX_DINEIN!$H$43</f>
        <v>0</v>
      </c>
      <c r="CH26" s="273" t="n">
        <f aca="false">CK6*SUP_CAPEX_VENTANA!$H$42+CK7*SUP_CAPEX_DINEIN!$H$43</f>
        <v>0</v>
      </c>
      <c r="CI26" s="273" t="n">
        <f aca="false">CL6*SUP_CAPEX_VENTANA!$H$42+CL7*SUP_CAPEX_DINEIN!$H$43</f>
        <v>0</v>
      </c>
      <c r="CJ26" s="273" t="n">
        <f aca="false">CM6*SUP_CAPEX_VENTANA!$H$42+CM7*SUP_CAPEX_DINEIN!$H$43</f>
        <v>0</v>
      </c>
      <c r="CK26" s="273" t="n">
        <f aca="false">CN6*SUP_CAPEX_VENTANA!$H$42+CN7*SUP_CAPEX_DINEIN!$H$43</f>
        <v>0</v>
      </c>
      <c r="CL26" s="273" t="n">
        <f aca="false">CO6*SUP_CAPEX_VENTANA!$H$42+CO7*SUP_CAPEX_DINEIN!$H$43</f>
        <v>0</v>
      </c>
      <c r="CM26" s="273" t="n">
        <f aca="false">CP6*SUP_CAPEX_VENTANA!$H$42+CP7*SUP_CAPEX_DINEIN!$H$43</f>
        <v>0</v>
      </c>
      <c r="CN26" s="273" t="n">
        <f aca="false">CQ6*SUP_CAPEX_VENTANA!$H$42+CQ7*SUP_CAPEX_DINEIN!$H$43</f>
        <v>0</v>
      </c>
      <c r="CO26" s="273" t="n">
        <f aca="false">CR6*SUP_CAPEX_VENTANA!$H$42+CR7*SUP_CAPEX_DINEIN!$H$43</f>
        <v>0</v>
      </c>
      <c r="CP26" s="273" t="n">
        <f aca="false">CS6*SUP_CAPEX_VENTANA!$H$42+CS7*SUP_CAPEX_DINEIN!$H$43</f>
        <v>0</v>
      </c>
      <c r="CQ26" s="273" t="n">
        <f aca="false">CT6*SUP_CAPEX_VENTANA!$H$42+CT7*SUP_CAPEX_DINEIN!$H$43</f>
        <v>0</v>
      </c>
      <c r="CR26" s="273" t="n">
        <f aca="false">CU6*SUP_CAPEX_VENTANA!$H$42+CU7*SUP_CAPEX_DINEIN!$H$43</f>
        <v>0</v>
      </c>
      <c r="CS26" s="273" t="n">
        <f aca="false">CV6*SUP_CAPEX_VENTANA!$H$42+CV7*SUP_CAPEX_DINEIN!$H$43</f>
        <v>0</v>
      </c>
      <c r="CT26" s="273" t="n">
        <f aca="false">CW6*SUP_CAPEX_VENTANA!$H$42+CW7*SUP_CAPEX_DINEIN!$H$43</f>
        <v>0</v>
      </c>
      <c r="CU26" s="273" t="n">
        <f aca="false">CX6*SUP_CAPEX_VENTANA!$H$42+CX7*SUP_CAPEX_DINEIN!$H$43</f>
        <v>0</v>
      </c>
      <c r="CV26" s="273" t="n">
        <f aca="false">CY6*SUP_CAPEX_VENTANA!$H$42+CY7*SUP_CAPEX_DINEIN!$H$43</f>
        <v>0</v>
      </c>
      <c r="CW26" s="273" t="n">
        <f aca="false">CZ6*SUP_CAPEX_VENTANA!$H$42+CZ7*SUP_CAPEX_DINEIN!$H$43</f>
        <v>0</v>
      </c>
      <c r="CX26" s="273" t="n">
        <f aca="false">DA6*SUP_CAPEX_VENTANA!$H$42+DA7*SUP_CAPEX_DINEIN!$H$43</f>
        <v>0</v>
      </c>
      <c r="CY26" s="273" t="n">
        <f aca="false">DB6*SUP_CAPEX_VENTANA!$H$42+DB7*SUP_CAPEX_DINEIN!$H$43</f>
        <v>0</v>
      </c>
      <c r="CZ26" s="273" t="n">
        <f aca="false">DC6*SUP_CAPEX_VENTANA!$H$42+DC7*SUP_CAPEX_DINEIN!$H$43</f>
        <v>0</v>
      </c>
      <c r="DA26" s="273" t="n">
        <f aca="false">DD6*SUP_CAPEX_VENTANA!$H$42+DD7*SUP_CAPEX_DINEIN!$H$43</f>
        <v>0</v>
      </c>
      <c r="DB26" s="273" t="n">
        <f aca="false">DE6*SUP_CAPEX_VENTANA!$H$42+DE7*SUP_CAPEX_DINEIN!$H$43</f>
        <v>0</v>
      </c>
      <c r="DC26" s="273" t="n">
        <f aca="false">DF6*SUP_CAPEX_VENTANA!$H$42+DF7*SUP_CAPEX_DINEIN!$H$43</f>
        <v>0</v>
      </c>
      <c r="DD26" s="273" t="n">
        <f aca="false">DG6*SUP_CAPEX_VENTANA!$H$42+DG7*SUP_CAPEX_DINEIN!$H$43</f>
        <v>0</v>
      </c>
      <c r="DE26" s="273" t="n">
        <f aca="false">DH6*SUP_CAPEX_VENTANA!$H$42+DH7*SUP_CAPEX_DINEIN!$H$43</f>
        <v>0</v>
      </c>
      <c r="DF26" s="273" t="n">
        <f aca="false">DI6*SUP_CAPEX_VENTANA!$H$42+DI7*SUP_CAPEX_DINEIN!$H$43</f>
        <v>0</v>
      </c>
      <c r="DG26" s="273" t="n">
        <f aca="false">DJ6*SUP_CAPEX_VENTANA!$H$42+DJ7*SUP_CAPEX_DINEIN!$H$43</f>
        <v>0</v>
      </c>
      <c r="DH26" s="273" t="n">
        <f aca="false">DK6*SUP_CAPEX_VENTANA!$H$42+DK7*SUP_CAPEX_DINEIN!$H$43</f>
        <v>0</v>
      </c>
      <c r="DI26" s="273" t="n">
        <f aca="false">DL6*SUP_CAPEX_VENTANA!$H$42+DL7*SUP_CAPEX_DINEIN!$H$43</f>
        <v>0</v>
      </c>
      <c r="DJ26" s="273" t="n">
        <f aca="false">DM6*SUP_CAPEX_VENTANA!$H$42+DM7*SUP_CAPEX_DINEIN!$H$43</f>
        <v>0</v>
      </c>
      <c r="DK26" s="273" t="n">
        <f aca="false">DN6*SUP_CAPEX_VENTANA!$H$42+DN7*SUP_CAPEX_DINEIN!$H$43</f>
        <v>0</v>
      </c>
      <c r="DL26" s="273" t="n">
        <f aca="false">DO6*SUP_CAPEX_VENTANA!$H$42+DO7*SUP_CAPEX_DINEIN!$H$43</f>
        <v>0</v>
      </c>
      <c r="DM26" s="273" t="n">
        <f aca="false">DP6*SUP_CAPEX_VENTANA!$H$42+DP7*SUP_CAPEX_DINEIN!$H$43</f>
        <v>0</v>
      </c>
      <c r="DN26" s="273" t="n">
        <f aca="false">DQ6*SUP_CAPEX_VENTANA!$H$42+DQ7*SUP_CAPEX_DINEIN!$H$43</f>
        <v>0</v>
      </c>
      <c r="DO26" s="273" t="n">
        <f aca="false">DR6*SUP_CAPEX_VENTANA!$H$42+DR7*SUP_CAPEX_DINEIN!$H$43</f>
        <v>0</v>
      </c>
      <c r="DP26" s="273" t="n">
        <f aca="false">DS6*SUP_CAPEX_VENTANA!$H$42+DS7*SUP_CAPEX_DINEIN!$H$43</f>
        <v>0</v>
      </c>
      <c r="DQ26" s="273" t="n">
        <v>0</v>
      </c>
      <c r="DR26" s="273" t="n">
        <v>0</v>
      </c>
      <c r="DS26" s="273" t="n">
        <v>0</v>
      </c>
    </row>
    <row r="27" customFormat="false" ht="15" hidden="false" customHeight="true" outlineLevel="0" collapsed="false">
      <c r="B27" s="297" t="s">
        <v>3425</v>
      </c>
      <c r="D27" s="273" t="n">
        <f aca="false">IF(D4=1,SUP_CONTROL!$C$18*(SUP_VOLUMEN!$C$43*SUP_OPEX!$D$23+SUP_VOLUMEN!$C$44*SUP_OPEX!$E$23+SUP_OVERHEAD!$C$12),0)</f>
        <v>259314</v>
      </c>
      <c r="E27" s="273" t="n">
        <f aca="false">IF(E4=1,SUP_CONTROL!$C$18*(SUP_VOLUMEN!$C$43*SUP_OPEX!$D$23+SUP_VOLUMEN!$C$44*SUP_OPEX!$E$23+SUP_OVERHEAD!$C$12),0)</f>
        <v>0</v>
      </c>
      <c r="F27" s="273" t="n">
        <f aca="false">IF(F4=1,SUP_CONTROL!$C$18*(SUP_VOLUMEN!$C$43*SUP_OPEX!$D$23+SUP_VOLUMEN!$C$44*SUP_OPEX!$E$23+SUP_OVERHEAD!$C$12),0)</f>
        <v>0</v>
      </c>
      <c r="G27" s="273" t="n">
        <f aca="false">IF(G4=1,SUP_CONTROL!$C$18*(SUP_VOLUMEN!$C$43*SUP_OPEX!$D$23+SUP_VOLUMEN!$C$44*SUP_OPEX!$E$23+SUP_OVERHEAD!$C$12),0)</f>
        <v>0</v>
      </c>
      <c r="H27" s="273" t="n">
        <f aca="false">IF(H4=1,SUP_CONTROL!$C$18*(SUP_VOLUMEN!$C$43*SUP_OPEX!$D$23+SUP_VOLUMEN!$C$44*SUP_OPEX!$E$23+SUP_OVERHEAD!$C$12),0)</f>
        <v>0</v>
      </c>
      <c r="I27" s="273" t="n">
        <f aca="false">IF(I4=1,SUP_CONTROL!$C$18*(SUP_VOLUMEN!$C$43*SUP_OPEX!$D$23+SUP_VOLUMEN!$C$44*SUP_OPEX!$E$23+SUP_OVERHEAD!$C$12),0)</f>
        <v>0</v>
      </c>
      <c r="J27" s="273" t="n">
        <f aca="false">IF(J4=1,SUP_CONTROL!$C$18*(SUP_VOLUMEN!$C$43*SUP_OPEX!$D$23+SUP_VOLUMEN!$C$44*SUP_OPEX!$E$23+SUP_OVERHEAD!$C$12),0)</f>
        <v>0</v>
      </c>
      <c r="K27" s="273" t="n">
        <f aca="false">IF(K4=1,SUP_CONTROL!$C$18*(SUP_VOLUMEN!$C$43*SUP_OPEX!$D$23+SUP_VOLUMEN!$C$44*SUP_OPEX!$E$23+SUP_OVERHEAD!$C$12),0)</f>
        <v>0</v>
      </c>
      <c r="L27" s="273" t="n">
        <f aca="false">IF(L4=1,SUP_CONTROL!$C$18*(SUP_VOLUMEN!$C$43*SUP_OPEX!$D$23+SUP_VOLUMEN!$C$44*SUP_OPEX!$E$23+SUP_OVERHEAD!$C$12),0)</f>
        <v>0</v>
      </c>
      <c r="M27" s="273" t="n">
        <f aca="false">IF(M4=1,SUP_CONTROL!$C$18*(SUP_VOLUMEN!$C$43*SUP_OPEX!$D$23+SUP_VOLUMEN!$C$44*SUP_OPEX!$E$23+SUP_OVERHEAD!$C$12),0)</f>
        <v>0</v>
      </c>
      <c r="N27" s="273" t="n">
        <f aca="false">IF(N4=1,SUP_CONTROL!$C$18*(SUP_VOLUMEN!$C$43*SUP_OPEX!$D$23+SUP_VOLUMEN!$C$44*SUP_OPEX!$E$23+SUP_OVERHEAD!$C$12),0)</f>
        <v>0</v>
      </c>
      <c r="O27" s="273" t="n">
        <f aca="false">IF(O4=1,SUP_CONTROL!$C$18*(SUP_VOLUMEN!$C$43*SUP_OPEX!$D$23+SUP_VOLUMEN!$C$44*SUP_OPEX!$E$23+SUP_OVERHEAD!$C$12),0)</f>
        <v>0</v>
      </c>
      <c r="P27" s="273" t="n">
        <f aca="false">IF(P4=1,SUP_CONTROL!$C$18*(SUP_VOLUMEN!$C$43*SUP_OPEX!$D$23+SUP_VOLUMEN!$C$44*SUP_OPEX!$E$23+SUP_OVERHEAD!$C$12),0)</f>
        <v>0</v>
      </c>
      <c r="Q27" s="273" t="n">
        <f aca="false">IF(Q4=1,SUP_CONTROL!$C$18*(SUP_VOLUMEN!$C$43*SUP_OPEX!$D$23+SUP_VOLUMEN!$C$44*SUP_OPEX!$E$23+SUP_OVERHEAD!$C$12),0)</f>
        <v>0</v>
      </c>
      <c r="R27" s="273" t="n">
        <f aca="false">IF(R4=1,SUP_CONTROL!$C$18*(SUP_VOLUMEN!$C$43*SUP_OPEX!$D$23+SUP_VOLUMEN!$C$44*SUP_OPEX!$E$23+SUP_OVERHEAD!$C$12),0)</f>
        <v>0</v>
      </c>
      <c r="S27" s="273" t="n">
        <f aca="false">IF(S4=1,SUP_CONTROL!$C$18*(SUP_VOLUMEN!$C$43*SUP_OPEX!$D$23+SUP_VOLUMEN!$C$44*SUP_OPEX!$E$23+SUP_OVERHEAD!$C$12),0)</f>
        <v>0</v>
      </c>
      <c r="T27" s="273" t="n">
        <f aca="false">IF(T4=1,SUP_CONTROL!$C$18*(SUP_VOLUMEN!$C$43*SUP_OPEX!$D$23+SUP_VOLUMEN!$C$44*SUP_OPEX!$E$23+SUP_OVERHEAD!$C$12),0)</f>
        <v>0</v>
      </c>
      <c r="U27" s="273" t="n">
        <f aca="false">IF(U4=1,SUP_CONTROL!$C$18*(SUP_VOLUMEN!$C$43*SUP_OPEX!$D$23+SUP_VOLUMEN!$C$44*SUP_OPEX!$E$23+SUP_OVERHEAD!$C$12),0)</f>
        <v>0</v>
      </c>
      <c r="V27" s="273" t="n">
        <f aca="false">IF(V4=1,SUP_CONTROL!$C$18*(SUP_VOLUMEN!$C$43*SUP_OPEX!$D$23+SUP_VOLUMEN!$C$44*SUP_OPEX!$E$23+SUP_OVERHEAD!$C$12),0)</f>
        <v>0</v>
      </c>
      <c r="W27" s="273" t="n">
        <f aca="false">IF(W4=1,SUP_CONTROL!$C$18*(SUP_VOLUMEN!$C$43*SUP_OPEX!$D$23+SUP_VOLUMEN!$C$44*SUP_OPEX!$E$23+SUP_OVERHEAD!$C$12),0)</f>
        <v>0</v>
      </c>
      <c r="X27" s="273" t="n">
        <f aca="false">IF(X4=1,SUP_CONTROL!$C$18*(SUP_VOLUMEN!$C$43*SUP_OPEX!$D$23+SUP_VOLUMEN!$C$44*SUP_OPEX!$E$23+SUP_OVERHEAD!$C$12),0)</f>
        <v>0</v>
      </c>
      <c r="Y27" s="273" t="n">
        <f aca="false">IF(Y4=1,SUP_CONTROL!$C$18*(SUP_VOLUMEN!$C$43*SUP_OPEX!$D$23+SUP_VOLUMEN!$C$44*SUP_OPEX!$E$23+SUP_OVERHEAD!$C$12),0)</f>
        <v>0</v>
      </c>
      <c r="Z27" s="273" t="n">
        <f aca="false">IF(Z4=1,SUP_CONTROL!$C$18*(SUP_VOLUMEN!$C$43*SUP_OPEX!$D$23+SUP_VOLUMEN!$C$44*SUP_OPEX!$E$23+SUP_OVERHEAD!$C$12),0)</f>
        <v>0</v>
      </c>
      <c r="AA27" s="273" t="n">
        <f aca="false">IF(AA4=1,SUP_CONTROL!$C$18*(SUP_VOLUMEN!$C$43*SUP_OPEX!$D$23+SUP_VOLUMEN!$C$44*SUP_OPEX!$E$23+SUP_OVERHEAD!$C$12),0)</f>
        <v>0</v>
      </c>
      <c r="AB27" s="273" t="n">
        <f aca="false">IF(AB4=1,SUP_CONTROL!$C$18*(SUP_VOLUMEN!$C$43*SUP_OPEX!$D$23+SUP_VOLUMEN!$C$44*SUP_OPEX!$E$23+SUP_OVERHEAD!$C$12),0)</f>
        <v>0</v>
      </c>
      <c r="AC27" s="273" t="n">
        <f aca="false">IF(AC4=1,SUP_CONTROL!$C$18*(SUP_VOLUMEN!$C$43*SUP_OPEX!$D$23+SUP_VOLUMEN!$C$44*SUP_OPEX!$E$23+SUP_OVERHEAD!$C$12),0)</f>
        <v>0</v>
      </c>
      <c r="AD27" s="273" t="n">
        <f aca="false">IF(AD4=1,SUP_CONTROL!$C$18*(SUP_VOLUMEN!$C$43*SUP_OPEX!$D$23+SUP_VOLUMEN!$C$44*SUP_OPEX!$E$23+SUP_OVERHEAD!$C$12),0)</f>
        <v>0</v>
      </c>
      <c r="AE27" s="273" t="n">
        <f aca="false">IF(AE4=1,SUP_CONTROL!$C$18*(SUP_VOLUMEN!$C$43*SUP_OPEX!$D$23+SUP_VOLUMEN!$C$44*SUP_OPEX!$E$23+SUP_OVERHEAD!$C$12),0)</f>
        <v>0</v>
      </c>
      <c r="AF27" s="273" t="n">
        <f aca="false">IF(AF4=1,SUP_CONTROL!$C$18*(SUP_VOLUMEN!$C$43*SUP_OPEX!$D$23+SUP_VOLUMEN!$C$44*SUP_OPEX!$E$23+SUP_OVERHEAD!$C$12),0)</f>
        <v>0</v>
      </c>
      <c r="AG27" s="273" t="n">
        <f aca="false">IF(AG4=1,SUP_CONTROL!$C$18*(SUP_VOLUMEN!$C$43*SUP_OPEX!$D$23+SUP_VOLUMEN!$C$44*SUP_OPEX!$E$23+SUP_OVERHEAD!$C$12),0)</f>
        <v>0</v>
      </c>
      <c r="AH27" s="273" t="n">
        <f aca="false">IF(AH4=1,SUP_CONTROL!$C$18*(SUP_VOLUMEN!$C$43*SUP_OPEX!$D$23+SUP_VOLUMEN!$C$44*SUP_OPEX!$E$23+SUP_OVERHEAD!$C$12),0)</f>
        <v>0</v>
      </c>
      <c r="AI27" s="273" t="n">
        <f aca="false">IF(AI4=1,SUP_CONTROL!$C$18*(SUP_VOLUMEN!$C$43*SUP_OPEX!$D$23+SUP_VOLUMEN!$C$44*SUP_OPEX!$E$23+SUP_OVERHEAD!$C$12),0)</f>
        <v>0</v>
      </c>
      <c r="AJ27" s="273" t="n">
        <f aca="false">IF(AJ4=1,SUP_CONTROL!$C$18*(SUP_VOLUMEN!$C$43*SUP_OPEX!$D$23+SUP_VOLUMEN!$C$44*SUP_OPEX!$E$23+SUP_OVERHEAD!$C$12),0)</f>
        <v>0</v>
      </c>
      <c r="AK27" s="273" t="n">
        <f aca="false">IF(AK4=1,SUP_CONTROL!$C$18*(SUP_VOLUMEN!$C$43*SUP_OPEX!$D$23+SUP_VOLUMEN!$C$44*SUP_OPEX!$E$23+SUP_OVERHEAD!$C$12),0)</f>
        <v>0</v>
      </c>
      <c r="AL27" s="273" t="n">
        <f aca="false">IF(AL4=1,SUP_CONTROL!$C$18*(SUP_VOLUMEN!$C$43*SUP_OPEX!$D$23+SUP_VOLUMEN!$C$44*SUP_OPEX!$E$23+SUP_OVERHEAD!$C$12),0)</f>
        <v>0</v>
      </c>
      <c r="AM27" s="273" t="n">
        <f aca="false">IF(AM4=1,SUP_CONTROL!$C$18*(SUP_VOLUMEN!$C$43*SUP_OPEX!$D$23+SUP_VOLUMEN!$C$44*SUP_OPEX!$E$23+SUP_OVERHEAD!$C$12),0)</f>
        <v>0</v>
      </c>
      <c r="AN27" s="273" t="n">
        <f aca="false">IF(AN4=1,SUP_CONTROL!$C$18*(SUP_VOLUMEN!$C$43*SUP_OPEX!$D$23+SUP_VOLUMEN!$C$44*SUP_OPEX!$E$23+SUP_OVERHEAD!$C$12),0)</f>
        <v>0</v>
      </c>
      <c r="AO27" s="273" t="n">
        <f aca="false">IF(AO4=1,SUP_CONTROL!$C$18*(SUP_VOLUMEN!$C$43*SUP_OPEX!$D$23+SUP_VOLUMEN!$C$44*SUP_OPEX!$E$23+SUP_OVERHEAD!$C$12),0)</f>
        <v>0</v>
      </c>
      <c r="AP27" s="273" t="n">
        <f aca="false">IF(AP4=1,SUP_CONTROL!$C$18*(SUP_VOLUMEN!$C$43*SUP_OPEX!$D$23+SUP_VOLUMEN!$C$44*SUP_OPEX!$E$23+SUP_OVERHEAD!$C$12),0)</f>
        <v>0</v>
      </c>
      <c r="AQ27" s="273" t="n">
        <f aca="false">IF(AQ4=1,SUP_CONTROL!$C$18*(SUP_VOLUMEN!$C$43*SUP_OPEX!$D$23+SUP_VOLUMEN!$C$44*SUP_OPEX!$E$23+SUP_OVERHEAD!$C$12),0)</f>
        <v>0</v>
      </c>
      <c r="AR27" s="273" t="n">
        <f aca="false">IF(AR4=1,SUP_CONTROL!$C$18*(SUP_VOLUMEN!$C$43*SUP_OPEX!$D$23+SUP_VOLUMEN!$C$44*SUP_OPEX!$E$23+SUP_OVERHEAD!$C$12),0)</f>
        <v>0</v>
      </c>
      <c r="AS27" s="273" t="n">
        <f aca="false">IF(AS4=1,SUP_CONTROL!$C$18*(SUP_VOLUMEN!$C$43*SUP_OPEX!$D$23+SUP_VOLUMEN!$C$44*SUP_OPEX!$E$23+SUP_OVERHEAD!$C$12),0)</f>
        <v>0</v>
      </c>
      <c r="AT27" s="273" t="n">
        <f aca="false">IF(AT4=1,SUP_CONTROL!$C$18*(SUP_VOLUMEN!$C$43*SUP_OPEX!$D$23+SUP_VOLUMEN!$C$44*SUP_OPEX!$E$23+SUP_OVERHEAD!$C$12),0)</f>
        <v>0</v>
      </c>
      <c r="AU27" s="273" t="n">
        <f aca="false">IF(AU4=1,SUP_CONTROL!$C$18*(SUP_VOLUMEN!$C$43*SUP_OPEX!$D$23+SUP_VOLUMEN!$C$44*SUP_OPEX!$E$23+SUP_OVERHEAD!$C$12),0)</f>
        <v>0</v>
      </c>
      <c r="AV27" s="273" t="n">
        <f aca="false">IF(AV4=1,SUP_CONTROL!$C$18*(SUP_VOLUMEN!$C$43*SUP_OPEX!$D$23+SUP_VOLUMEN!$C$44*SUP_OPEX!$E$23+SUP_OVERHEAD!$C$12),0)</f>
        <v>0</v>
      </c>
      <c r="AW27" s="273" t="n">
        <f aca="false">IF(AW4=1,SUP_CONTROL!$C$18*(SUP_VOLUMEN!$C$43*SUP_OPEX!$D$23+SUP_VOLUMEN!$C$44*SUP_OPEX!$E$23+SUP_OVERHEAD!$C$12),0)</f>
        <v>0</v>
      </c>
      <c r="AX27" s="273" t="n">
        <f aca="false">IF(AX4=1,SUP_CONTROL!$C$18*(SUP_VOLUMEN!$C$43*SUP_OPEX!$D$23+SUP_VOLUMEN!$C$44*SUP_OPEX!$E$23+SUP_OVERHEAD!$C$12),0)</f>
        <v>0</v>
      </c>
      <c r="AY27" s="273" t="n">
        <f aca="false">IF(AY4=1,SUP_CONTROL!$C$18*(SUP_VOLUMEN!$C$43*SUP_OPEX!$D$23+SUP_VOLUMEN!$C$44*SUP_OPEX!$E$23+SUP_OVERHEAD!$C$12),0)</f>
        <v>0</v>
      </c>
      <c r="AZ27" s="273" t="n">
        <f aca="false">IF(AZ4=1,SUP_CONTROL!$C$18*(SUP_VOLUMEN!$C$43*SUP_OPEX!$D$23+SUP_VOLUMEN!$C$44*SUP_OPEX!$E$23+SUP_OVERHEAD!$C$12),0)</f>
        <v>0</v>
      </c>
      <c r="BA27" s="273" t="n">
        <f aca="false">IF(BA4=1,SUP_CONTROL!$C$18*(SUP_VOLUMEN!$C$43*SUP_OPEX!$D$23+SUP_VOLUMEN!$C$44*SUP_OPEX!$E$23+SUP_OVERHEAD!$C$12),0)</f>
        <v>0</v>
      </c>
      <c r="BB27" s="273" t="n">
        <f aca="false">IF(BB4=1,SUP_CONTROL!$C$18*(SUP_VOLUMEN!$C$43*SUP_OPEX!$D$23+SUP_VOLUMEN!$C$44*SUP_OPEX!$E$23+SUP_OVERHEAD!$C$12),0)</f>
        <v>0</v>
      </c>
      <c r="BC27" s="273" t="n">
        <f aca="false">IF(BC4=1,SUP_CONTROL!$C$18*(SUP_VOLUMEN!$C$43*SUP_OPEX!$D$23+SUP_VOLUMEN!$C$44*SUP_OPEX!$E$23+SUP_OVERHEAD!$C$12),0)</f>
        <v>0</v>
      </c>
      <c r="BD27" s="273" t="n">
        <f aca="false">IF(BD4=1,SUP_CONTROL!$C$18*(SUP_VOLUMEN!$C$43*SUP_OPEX!$D$23+SUP_VOLUMEN!$C$44*SUP_OPEX!$E$23+SUP_OVERHEAD!$C$12),0)</f>
        <v>0</v>
      </c>
      <c r="BE27" s="273" t="n">
        <f aca="false">IF(BE4=1,SUP_CONTROL!$C$18*(SUP_VOLUMEN!$C$43*SUP_OPEX!$D$23+SUP_VOLUMEN!$C$44*SUP_OPEX!$E$23+SUP_OVERHEAD!$C$12),0)</f>
        <v>0</v>
      </c>
      <c r="BF27" s="273" t="n">
        <f aca="false">IF(BF4=1,SUP_CONTROL!$C$18*(SUP_VOLUMEN!$C$43*SUP_OPEX!$D$23+SUP_VOLUMEN!$C$44*SUP_OPEX!$E$23+SUP_OVERHEAD!$C$12),0)</f>
        <v>0</v>
      </c>
      <c r="BG27" s="273" t="n">
        <f aca="false">IF(BG4=1,SUP_CONTROL!$C$18*(SUP_VOLUMEN!$C$43*SUP_OPEX!$D$23+SUP_VOLUMEN!$C$44*SUP_OPEX!$E$23+SUP_OVERHEAD!$C$12),0)</f>
        <v>0</v>
      </c>
      <c r="BH27" s="273" t="n">
        <f aca="false">IF(BH4=1,SUP_CONTROL!$C$18*(SUP_VOLUMEN!$C$43*SUP_OPEX!$D$23+SUP_VOLUMEN!$C$44*SUP_OPEX!$E$23+SUP_OVERHEAD!$C$12),0)</f>
        <v>0</v>
      </c>
      <c r="BI27" s="273" t="n">
        <f aca="false">IF(BI4=1,SUP_CONTROL!$C$18*(SUP_VOLUMEN!$C$43*SUP_OPEX!$D$23+SUP_VOLUMEN!$C$44*SUP_OPEX!$E$23+SUP_OVERHEAD!$C$12),0)</f>
        <v>0</v>
      </c>
      <c r="BJ27" s="273" t="n">
        <f aca="false">IF(BJ4=1,SUP_CONTROL!$C$18*(SUP_VOLUMEN!$C$43*SUP_OPEX!$D$23+SUP_VOLUMEN!$C$44*SUP_OPEX!$E$23+SUP_OVERHEAD!$C$12),0)</f>
        <v>0</v>
      </c>
      <c r="BK27" s="273" t="n">
        <f aca="false">IF(BK4=1,SUP_CONTROL!$C$18*(SUP_VOLUMEN!$C$43*SUP_OPEX!$D$23+SUP_VOLUMEN!$C$44*SUP_OPEX!$E$23+SUP_OVERHEAD!$C$12),0)</f>
        <v>0</v>
      </c>
      <c r="BL27" s="273" t="n">
        <f aca="false">IF(BL4=1,SUP_CONTROL!$C$18*(SUP_VOLUMEN!$C$43*SUP_OPEX!$D$23+SUP_VOLUMEN!$C$44*SUP_OPEX!$E$23+SUP_OVERHEAD!$C$12),0)</f>
        <v>0</v>
      </c>
      <c r="BM27" s="273" t="n">
        <f aca="false">IF(BM4=1,SUP_CONTROL!$C$18*(SUP_VOLUMEN!$C$43*SUP_OPEX!$D$23+SUP_VOLUMEN!$C$44*SUP_OPEX!$E$23+SUP_OVERHEAD!$C$12),0)</f>
        <v>0</v>
      </c>
      <c r="BN27" s="273" t="n">
        <f aca="false">IF(BN4=1,SUP_CONTROL!$C$18*(SUP_VOLUMEN!$C$43*SUP_OPEX!$D$23+SUP_VOLUMEN!$C$44*SUP_OPEX!$E$23+SUP_OVERHEAD!$C$12),0)</f>
        <v>0</v>
      </c>
      <c r="BO27" s="273" t="n">
        <f aca="false">IF(BO4=1,SUP_CONTROL!$C$18*(SUP_VOLUMEN!$C$43*SUP_OPEX!$D$23+SUP_VOLUMEN!$C$44*SUP_OPEX!$E$23+SUP_OVERHEAD!$C$12),0)</f>
        <v>0</v>
      </c>
      <c r="BP27" s="273" t="n">
        <f aca="false">IF(BP4=1,SUP_CONTROL!$C$18*(SUP_VOLUMEN!$C$43*SUP_OPEX!$D$23+SUP_VOLUMEN!$C$44*SUP_OPEX!$E$23+SUP_OVERHEAD!$C$12),0)</f>
        <v>0</v>
      </c>
      <c r="BQ27" s="273" t="n">
        <f aca="false">IF(BQ4=1,SUP_CONTROL!$C$18*(SUP_VOLUMEN!$C$43*SUP_OPEX!$D$23+SUP_VOLUMEN!$C$44*SUP_OPEX!$E$23+SUP_OVERHEAD!$C$12),0)</f>
        <v>0</v>
      </c>
      <c r="BR27" s="273" t="n">
        <f aca="false">IF(BR4=1,SUP_CONTROL!$C$18*(SUP_VOLUMEN!$C$43*SUP_OPEX!$D$23+SUP_VOLUMEN!$C$44*SUP_OPEX!$E$23+SUP_OVERHEAD!$C$12),0)</f>
        <v>0</v>
      </c>
      <c r="BS27" s="273" t="n">
        <f aca="false">IF(BS4=1,SUP_CONTROL!$C$18*(SUP_VOLUMEN!$C$43*SUP_OPEX!$D$23+SUP_VOLUMEN!$C$44*SUP_OPEX!$E$23+SUP_OVERHEAD!$C$12),0)</f>
        <v>0</v>
      </c>
      <c r="BT27" s="273" t="n">
        <f aca="false">IF(BT4=1,SUP_CONTROL!$C$18*(SUP_VOLUMEN!$C$43*SUP_OPEX!$D$23+SUP_VOLUMEN!$C$44*SUP_OPEX!$E$23+SUP_OVERHEAD!$C$12),0)</f>
        <v>0</v>
      </c>
      <c r="BU27" s="273" t="n">
        <f aca="false">IF(BU4=1,SUP_CONTROL!$C$18*(SUP_VOLUMEN!$C$43*SUP_OPEX!$D$23+SUP_VOLUMEN!$C$44*SUP_OPEX!$E$23+SUP_OVERHEAD!$C$12),0)</f>
        <v>0</v>
      </c>
      <c r="BV27" s="273" t="n">
        <f aca="false">IF(BV4=1,SUP_CONTROL!$C$18*(SUP_VOLUMEN!$C$43*SUP_OPEX!$D$23+SUP_VOLUMEN!$C$44*SUP_OPEX!$E$23+SUP_OVERHEAD!$C$12),0)</f>
        <v>0</v>
      </c>
      <c r="BW27" s="273" t="n">
        <f aca="false">IF(BW4=1,SUP_CONTROL!$C$18*(SUP_VOLUMEN!$C$43*SUP_OPEX!$D$23+SUP_VOLUMEN!$C$44*SUP_OPEX!$E$23+SUP_OVERHEAD!$C$12),0)</f>
        <v>0</v>
      </c>
      <c r="BX27" s="273" t="n">
        <f aca="false">IF(BX4=1,SUP_CONTROL!$C$18*(SUP_VOLUMEN!$C$43*SUP_OPEX!$D$23+SUP_VOLUMEN!$C$44*SUP_OPEX!$E$23+SUP_OVERHEAD!$C$12),0)</f>
        <v>0</v>
      </c>
      <c r="BY27" s="273" t="n">
        <f aca="false">IF(BY4=1,SUP_CONTROL!$C$18*(SUP_VOLUMEN!$C$43*SUP_OPEX!$D$23+SUP_VOLUMEN!$C$44*SUP_OPEX!$E$23+SUP_OVERHEAD!$C$12),0)</f>
        <v>0</v>
      </c>
      <c r="BZ27" s="273" t="n">
        <f aca="false">IF(BZ4=1,SUP_CONTROL!$C$18*(SUP_VOLUMEN!$C$43*SUP_OPEX!$D$23+SUP_VOLUMEN!$C$44*SUP_OPEX!$E$23+SUP_OVERHEAD!$C$12),0)</f>
        <v>0</v>
      </c>
      <c r="CA27" s="273" t="n">
        <f aca="false">IF(CA4=1,SUP_CONTROL!$C$18*(SUP_VOLUMEN!$C$43*SUP_OPEX!$D$23+SUP_VOLUMEN!$C$44*SUP_OPEX!$E$23+SUP_OVERHEAD!$C$12),0)</f>
        <v>0</v>
      </c>
      <c r="CB27" s="273" t="n">
        <f aca="false">IF(CB4=1,SUP_CONTROL!$C$18*(SUP_VOLUMEN!$C$43*SUP_OPEX!$D$23+SUP_VOLUMEN!$C$44*SUP_OPEX!$E$23+SUP_OVERHEAD!$C$12),0)</f>
        <v>0</v>
      </c>
      <c r="CC27" s="273" t="n">
        <f aca="false">IF(CC4=1,SUP_CONTROL!$C$18*(SUP_VOLUMEN!$C$43*SUP_OPEX!$D$23+SUP_VOLUMEN!$C$44*SUP_OPEX!$E$23+SUP_OVERHEAD!$C$12),0)</f>
        <v>0</v>
      </c>
      <c r="CD27" s="273" t="n">
        <f aca="false">IF(CD4=1,SUP_CONTROL!$C$18*(SUP_VOLUMEN!$C$43*SUP_OPEX!$D$23+SUP_VOLUMEN!$C$44*SUP_OPEX!$E$23+SUP_OVERHEAD!$C$12),0)</f>
        <v>0</v>
      </c>
      <c r="CE27" s="273" t="n">
        <f aca="false">IF(CE4=1,SUP_CONTROL!$C$18*(SUP_VOLUMEN!$C$43*SUP_OPEX!$D$23+SUP_VOLUMEN!$C$44*SUP_OPEX!$E$23+SUP_OVERHEAD!$C$12),0)</f>
        <v>0</v>
      </c>
      <c r="CF27" s="273" t="n">
        <f aca="false">IF(CF4=1,SUP_CONTROL!$C$18*(SUP_VOLUMEN!$C$43*SUP_OPEX!$D$23+SUP_VOLUMEN!$C$44*SUP_OPEX!$E$23+SUP_OVERHEAD!$C$12),0)</f>
        <v>0</v>
      </c>
      <c r="CG27" s="273" t="n">
        <f aca="false">IF(CG4=1,SUP_CONTROL!$C$18*(SUP_VOLUMEN!$C$43*SUP_OPEX!$D$23+SUP_VOLUMEN!$C$44*SUP_OPEX!$E$23+SUP_OVERHEAD!$C$12),0)</f>
        <v>0</v>
      </c>
      <c r="CH27" s="273" t="n">
        <f aca="false">IF(CH4=1,SUP_CONTROL!$C$18*(SUP_VOLUMEN!$C$43*SUP_OPEX!$D$23+SUP_VOLUMEN!$C$44*SUP_OPEX!$E$23+SUP_OVERHEAD!$C$12),0)</f>
        <v>0</v>
      </c>
      <c r="CI27" s="273" t="n">
        <f aca="false">IF(CI4=1,SUP_CONTROL!$C$18*(SUP_VOLUMEN!$C$43*SUP_OPEX!$D$23+SUP_VOLUMEN!$C$44*SUP_OPEX!$E$23+SUP_OVERHEAD!$C$12),0)</f>
        <v>0</v>
      </c>
      <c r="CJ27" s="273" t="n">
        <f aca="false">IF(CJ4=1,SUP_CONTROL!$C$18*(SUP_VOLUMEN!$C$43*SUP_OPEX!$D$23+SUP_VOLUMEN!$C$44*SUP_OPEX!$E$23+SUP_OVERHEAD!$C$12),0)</f>
        <v>0</v>
      </c>
      <c r="CK27" s="273" t="n">
        <f aca="false">IF(CK4=1,SUP_CONTROL!$C$18*(SUP_VOLUMEN!$C$43*SUP_OPEX!$D$23+SUP_VOLUMEN!$C$44*SUP_OPEX!$E$23+SUP_OVERHEAD!$C$12),0)</f>
        <v>0</v>
      </c>
      <c r="CL27" s="273" t="n">
        <f aca="false">IF(CL4=1,SUP_CONTROL!$C$18*(SUP_VOLUMEN!$C$43*SUP_OPEX!$D$23+SUP_VOLUMEN!$C$44*SUP_OPEX!$E$23+SUP_OVERHEAD!$C$12),0)</f>
        <v>0</v>
      </c>
      <c r="CM27" s="273" t="n">
        <f aca="false">IF(CM4=1,SUP_CONTROL!$C$18*(SUP_VOLUMEN!$C$43*SUP_OPEX!$D$23+SUP_VOLUMEN!$C$44*SUP_OPEX!$E$23+SUP_OVERHEAD!$C$12),0)</f>
        <v>0</v>
      </c>
      <c r="CN27" s="273" t="n">
        <f aca="false">IF(CN4=1,SUP_CONTROL!$C$18*(SUP_VOLUMEN!$C$43*SUP_OPEX!$D$23+SUP_VOLUMEN!$C$44*SUP_OPEX!$E$23+SUP_OVERHEAD!$C$12),0)</f>
        <v>0</v>
      </c>
      <c r="CO27" s="273" t="n">
        <f aca="false">IF(CO4=1,SUP_CONTROL!$C$18*(SUP_VOLUMEN!$C$43*SUP_OPEX!$D$23+SUP_VOLUMEN!$C$44*SUP_OPEX!$E$23+SUP_OVERHEAD!$C$12),0)</f>
        <v>0</v>
      </c>
      <c r="CP27" s="273" t="n">
        <f aca="false">IF(CP4=1,SUP_CONTROL!$C$18*(SUP_VOLUMEN!$C$43*SUP_OPEX!$D$23+SUP_VOLUMEN!$C$44*SUP_OPEX!$E$23+SUP_OVERHEAD!$C$12),0)</f>
        <v>0</v>
      </c>
      <c r="CQ27" s="273" t="n">
        <f aca="false">IF(CQ4=1,SUP_CONTROL!$C$18*(SUP_VOLUMEN!$C$43*SUP_OPEX!$D$23+SUP_VOLUMEN!$C$44*SUP_OPEX!$E$23+SUP_OVERHEAD!$C$12),0)</f>
        <v>0</v>
      </c>
      <c r="CR27" s="273" t="n">
        <f aca="false">IF(CR4=1,SUP_CONTROL!$C$18*(SUP_VOLUMEN!$C$43*SUP_OPEX!$D$23+SUP_VOLUMEN!$C$44*SUP_OPEX!$E$23+SUP_OVERHEAD!$C$12),0)</f>
        <v>0</v>
      </c>
      <c r="CS27" s="273" t="n">
        <f aca="false">IF(CS4=1,SUP_CONTROL!$C$18*(SUP_VOLUMEN!$C$43*SUP_OPEX!$D$23+SUP_VOLUMEN!$C$44*SUP_OPEX!$E$23+SUP_OVERHEAD!$C$12),0)</f>
        <v>0</v>
      </c>
      <c r="CT27" s="273" t="n">
        <f aca="false">IF(CT4=1,SUP_CONTROL!$C$18*(SUP_VOLUMEN!$C$43*SUP_OPEX!$D$23+SUP_VOLUMEN!$C$44*SUP_OPEX!$E$23+SUP_OVERHEAD!$C$12),0)</f>
        <v>0</v>
      </c>
      <c r="CU27" s="273" t="n">
        <f aca="false">IF(CU4=1,SUP_CONTROL!$C$18*(SUP_VOLUMEN!$C$43*SUP_OPEX!$D$23+SUP_VOLUMEN!$C$44*SUP_OPEX!$E$23+SUP_OVERHEAD!$C$12),0)</f>
        <v>0</v>
      </c>
      <c r="CV27" s="273" t="n">
        <f aca="false">IF(CV4=1,SUP_CONTROL!$C$18*(SUP_VOLUMEN!$C$43*SUP_OPEX!$D$23+SUP_VOLUMEN!$C$44*SUP_OPEX!$E$23+SUP_OVERHEAD!$C$12),0)</f>
        <v>0</v>
      </c>
      <c r="CW27" s="273" t="n">
        <f aca="false">IF(CW4=1,SUP_CONTROL!$C$18*(SUP_VOLUMEN!$C$43*SUP_OPEX!$D$23+SUP_VOLUMEN!$C$44*SUP_OPEX!$E$23+SUP_OVERHEAD!$C$12),0)</f>
        <v>0</v>
      </c>
      <c r="CX27" s="273" t="n">
        <f aca="false">IF(CX4=1,SUP_CONTROL!$C$18*(SUP_VOLUMEN!$C$43*SUP_OPEX!$D$23+SUP_VOLUMEN!$C$44*SUP_OPEX!$E$23+SUP_OVERHEAD!$C$12),0)</f>
        <v>0</v>
      </c>
      <c r="CY27" s="273" t="n">
        <f aca="false">IF(CY4=1,SUP_CONTROL!$C$18*(SUP_VOLUMEN!$C$43*SUP_OPEX!$D$23+SUP_VOLUMEN!$C$44*SUP_OPEX!$E$23+SUP_OVERHEAD!$C$12),0)</f>
        <v>0</v>
      </c>
      <c r="CZ27" s="273" t="n">
        <f aca="false">IF(CZ4=1,SUP_CONTROL!$C$18*(SUP_VOLUMEN!$C$43*SUP_OPEX!$D$23+SUP_VOLUMEN!$C$44*SUP_OPEX!$E$23+SUP_OVERHEAD!$C$12),0)</f>
        <v>0</v>
      </c>
      <c r="DA27" s="273" t="n">
        <f aca="false">IF(DA4=1,SUP_CONTROL!$C$18*(SUP_VOLUMEN!$C$43*SUP_OPEX!$D$23+SUP_VOLUMEN!$C$44*SUP_OPEX!$E$23+SUP_OVERHEAD!$C$12),0)</f>
        <v>0</v>
      </c>
      <c r="DB27" s="273" t="n">
        <f aca="false">IF(DB4=1,SUP_CONTROL!$C$18*(SUP_VOLUMEN!$C$43*SUP_OPEX!$D$23+SUP_VOLUMEN!$C$44*SUP_OPEX!$E$23+SUP_OVERHEAD!$C$12),0)</f>
        <v>0</v>
      </c>
      <c r="DC27" s="273" t="n">
        <f aca="false">IF(DC4=1,SUP_CONTROL!$C$18*(SUP_VOLUMEN!$C$43*SUP_OPEX!$D$23+SUP_VOLUMEN!$C$44*SUP_OPEX!$E$23+SUP_OVERHEAD!$C$12),0)</f>
        <v>0</v>
      </c>
      <c r="DD27" s="273" t="n">
        <f aca="false">IF(DD4=1,SUP_CONTROL!$C$18*(SUP_VOLUMEN!$C$43*SUP_OPEX!$D$23+SUP_VOLUMEN!$C$44*SUP_OPEX!$E$23+SUP_OVERHEAD!$C$12),0)</f>
        <v>0</v>
      </c>
      <c r="DE27" s="273" t="n">
        <f aca="false">IF(DE4=1,SUP_CONTROL!$C$18*(SUP_VOLUMEN!$C$43*SUP_OPEX!$D$23+SUP_VOLUMEN!$C$44*SUP_OPEX!$E$23+SUP_OVERHEAD!$C$12),0)</f>
        <v>0</v>
      </c>
      <c r="DF27" s="273" t="n">
        <f aca="false">IF(DF4=1,SUP_CONTROL!$C$18*(SUP_VOLUMEN!$C$43*SUP_OPEX!$D$23+SUP_VOLUMEN!$C$44*SUP_OPEX!$E$23+SUP_OVERHEAD!$C$12),0)</f>
        <v>0</v>
      </c>
      <c r="DG27" s="273" t="n">
        <f aca="false">IF(DG4=1,SUP_CONTROL!$C$18*(SUP_VOLUMEN!$C$43*SUP_OPEX!$D$23+SUP_VOLUMEN!$C$44*SUP_OPEX!$E$23+SUP_OVERHEAD!$C$12),0)</f>
        <v>0</v>
      </c>
      <c r="DH27" s="273" t="n">
        <f aca="false">IF(DH4=1,SUP_CONTROL!$C$18*(SUP_VOLUMEN!$C$43*SUP_OPEX!$D$23+SUP_VOLUMEN!$C$44*SUP_OPEX!$E$23+SUP_OVERHEAD!$C$12),0)</f>
        <v>0</v>
      </c>
      <c r="DI27" s="273" t="n">
        <f aca="false">IF(DI4=1,SUP_CONTROL!$C$18*(SUP_VOLUMEN!$C$43*SUP_OPEX!$D$23+SUP_VOLUMEN!$C$44*SUP_OPEX!$E$23+SUP_OVERHEAD!$C$12),0)</f>
        <v>0</v>
      </c>
      <c r="DJ27" s="273" t="n">
        <f aca="false">IF(DJ4=1,SUP_CONTROL!$C$18*(SUP_VOLUMEN!$C$43*SUP_OPEX!$D$23+SUP_VOLUMEN!$C$44*SUP_OPEX!$E$23+SUP_OVERHEAD!$C$12),0)</f>
        <v>0</v>
      </c>
      <c r="DK27" s="273" t="n">
        <f aca="false">IF(DK4=1,SUP_CONTROL!$C$18*(SUP_VOLUMEN!$C$43*SUP_OPEX!$D$23+SUP_VOLUMEN!$C$44*SUP_OPEX!$E$23+SUP_OVERHEAD!$C$12),0)</f>
        <v>0</v>
      </c>
      <c r="DL27" s="273" t="n">
        <f aca="false">IF(DL4=1,SUP_CONTROL!$C$18*(SUP_VOLUMEN!$C$43*SUP_OPEX!$D$23+SUP_VOLUMEN!$C$44*SUP_OPEX!$E$23+SUP_OVERHEAD!$C$12),0)</f>
        <v>0</v>
      </c>
      <c r="DM27" s="273" t="n">
        <f aca="false">IF(DM4=1,SUP_CONTROL!$C$18*(SUP_VOLUMEN!$C$43*SUP_OPEX!$D$23+SUP_VOLUMEN!$C$44*SUP_OPEX!$E$23+SUP_OVERHEAD!$C$12),0)</f>
        <v>0</v>
      </c>
      <c r="DN27" s="273" t="n">
        <f aca="false">IF(DN4=1,SUP_CONTROL!$C$18*(SUP_VOLUMEN!$C$43*SUP_OPEX!$D$23+SUP_VOLUMEN!$C$44*SUP_OPEX!$E$23+SUP_OVERHEAD!$C$12),0)</f>
        <v>0</v>
      </c>
      <c r="DO27" s="273" t="n">
        <f aca="false">IF(DO4=1,SUP_CONTROL!$C$18*(SUP_VOLUMEN!$C$43*SUP_OPEX!$D$23+SUP_VOLUMEN!$C$44*SUP_OPEX!$E$23+SUP_OVERHEAD!$C$12),0)</f>
        <v>0</v>
      </c>
      <c r="DP27" s="273" t="n">
        <f aca="false">IF(DP4=1,SUP_CONTROL!$C$18*(SUP_VOLUMEN!$C$43*SUP_OPEX!$D$23+SUP_VOLUMEN!$C$44*SUP_OPEX!$E$23+SUP_OVERHEAD!$C$12),0)</f>
        <v>0</v>
      </c>
      <c r="DQ27" s="273" t="n">
        <f aca="false">IF(DQ4=1,SUP_CONTROL!$C$18*(SUP_VOLUMEN!$C$43*SUP_OPEX!$D$23+SUP_VOLUMEN!$C$44*SUP_OPEX!$E$23+SUP_OVERHEAD!$C$12),0)</f>
        <v>0</v>
      </c>
      <c r="DR27" s="273" t="n">
        <f aca="false">IF(DR4=1,SUP_CONTROL!$C$18*(SUP_VOLUMEN!$C$43*SUP_OPEX!$D$23+SUP_VOLUMEN!$C$44*SUP_OPEX!$E$23+SUP_OVERHEAD!$C$12),0)</f>
        <v>0</v>
      </c>
      <c r="DS27" s="273" t="n">
        <f aca="false">IF(DS4=1,SUP_CONTROL!$C$18*(SUP_VOLUMEN!$C$43*SUP_OPEX!$D$23+SUP_VOLUMEN!$C$44*SUP_OPEX!$E$23+SUP_OVERHEAD!$C$12),0)</f>
        <v>0</v>
      </c>
    </row>
    <row r="28" customFormat="false" ht="15" hidden="false" customHeight="true" outlineLevel="0" collapsed="false">
      <c r="B28" s="297" t="s">
        <v>3426</v>
      </c>
      <c r="D28" s="273" t="n">
        <f aca="false">D25+D26</f>
        <v>410028.743666667</v>
      </c>
      <c r="E28" s="273" t="n">
        <f aca="false">D28+E25+E26</f>
        <v>865057.487333333</v>
      </c>
      <c r="F28" s="273" t="n">
        <f aca="false">E28+F25+F26</f>
        <v>1275086.231</v>
      </c>
      <c r="G28" s="273" t="n">
        <f aca="false">F28+G25+G26</f>
        <v>1506554.19025</v>
      </c>
      <c r="H28" s="273" t="n">
        <f aca="false">G28+H25+H26</f>
        <v>1784376.23475</v>
      </c>
      <c r="I28" s="273" t="n">
        <f aca="false">H28+I25+I26</f>
        <v>1784376.23475</v>
      </c>
      <c r="J28" s="273" t="n">
        <f aca="false">I28+J25+J26</f>
        <v>1784376.23475</v>
      </c>
      <c r="K28" s="273" t="n">
        <f aca="false">J28+K25+K26</f>
        <v>1784376.23475</v>
      </c>
      <c r="L28" s="273" t="n">
        <f aca="false">K28+L25+L26</f>
        <v>1784376.23475</v>
      </c>
      <c r="M28" s="273" t="n">
        <f aca="false">L28+M25+M26</f>
        <v>1784376.23475</v>
      </c>
      <c r="N28" s="273" t="n">
        <f aca="false">M28+N25+N26</f>
        <v>1784376.23475</v>
      </c>
      <c r="O28" s="273" t="n">
        <f aca="false">N28+O25+O26</f>
        <v>1784376.23475</v>
      </c>
      <c r="P28" s="273" t="n">
        <f aca="false">O28+P25+P26</f>
        <v>1784376.23475</v>
      </c>
      <c r="Q28" s="273" t="n">
        <f aca="false">P28+Q25+Q26</f>
        <v>1784376.23475</v>
      </c>
      <c r="R28" s="273" t="n">
        <f aca="false">Q28+R25+R26</f>
        <v>1784376.23475</v>
      </c>
      <c r="S28" s="273" t="n">
        <f aca="false">R28+S25+S26</f>
        <v>1784376.23475</v>
      </c>
      <c r="T28" s="273" t="n">
        <f aca="false">S28+T25+T26</f>
        <v>1784376.23475</v>
      </c>
      <c r="U28" s="273" t="n">
        <f aca="false">T28+U25+U26</f>
        <v>1784376.23475</v>
      </c>
      <c r="V28" s="273" t="n">
        <f aca="false">U28+V25+V26</f>
        <v>1784376.23475</v>
      </c>
      <c r="W28" s="273" t="n">
        <f aca="false">V28+W25+W26</f>
        <v>1784376.23475</v>
      </c>
      <c r="X28" s="273" t="n">
        <f aca="false">W28+X25+X26</f>
        <v>1784376.23475</v>
      </c>
      <c r="Y28" s="273" t="n">
        <f aca="false">X28+Y25+Y26</f>
        <v>1784376.23475</v>
      </c>
      <c r="Z28" s="273" t="n">
        <f aca="false">Y28+Z25+Z26</f>
        <v>1784376.23475</v>
      </c>
      <c r="AA28" s="273" t="n">
        <f aca="false">Z28+AA25+AA26</f>
        <v>1784376.23475</v>
      </c>
      <c r="AB28" s="273" t="n">
        <f aca="false">AA28+AB25+AB26</f>
        <v>1784376.23475</v>
      </c>
      <c r="AC28" s="273" t="n">
        <f aca="false">AB28+AC25+AC26</f>
        <v>1784376.23475</v>
      </c>
      <c r="AD28" s="273" t="n">
        <f aca="false">AC28+AD25+AD26</f>
        <v>1784376.23475</v>
      </c>
      <c r="AE28" s="273" t="n">
        <f aca="false">AD28+AE25+AE26</f>
        <v>1784376.23475</v>
      </c>
      <c r="AF28" s="273" t="n">
        <f aca="false">AE28+AF25+AF26</f>
        <v>1784376.23475</v>
      </c>
      <c r="AG28" s="273" t="n">
        <f aca="false">AF28+AG25+AG26</f>
        <v>1784376.23475</v>
      </c>
      <c r="AH28" s="273" t="n">
        <f aca="false">AG28+AH25+AH26</f>
        <v>1784376.23475</v>
      </c>
      <c r="AI28" s="273" t="n">
        <f aca="false">AH28+AI25+AI26</f>
        <v>1784376.23475</v>
      </c>
      <c r="AJ28" s="273" t="n">
        <f aca="false">AI28+AJ25+AJ26</f>
        <v>1784376.23475</v>
      </c>
      <c r="AK28" s="273" t="n">
        <f aca="false">AJ28+AK25+AK26</f>
        <v>1784376.23475</v>
      </c>
      <c r="AL28" s="273" t="n">
        <f aca="false">AK28+AL25+AL26</f>
        <v>1784376.23475</v>
      </c>
      <c r="AM28" s="273" t="n">
        <f aca="false">AL28+AM25+AM26</f>
        <v>1784376.23475</v>
      </c>
      <c r="AN28" s="273" t="n">
        <f aca="false">AM28+AN25+AN26</f>
        <v>1784376.23475</v>
      </c>
      <c r="AO28" s="273" t="n">
        <f aca="false">AN28+AO25+AO26</f>
        <v>1784376.23475</v>
      </c>
      <c r="AP28" s="273" t="n">
        <f aca="false">AO28+AP25+AP26</f>
        <v>1784376.23475</v>
      </c>
      <c r="AQ28" s="273" t="n">
        <f aca="false">AP28+AQ25+AQ26</f>
        <v>1784376.23475</v>
      </c>
      <c r="AR28" s="273" t="n">
        <f aca="false">AQ28+AR25+AR26</f>
        <v>1784376.23475</v>
      </c>
      <c r="AS28" s="273" t="n">
        <f aca="false">AR28+AS25+AS26</f>
        <v>1784376.23475</v>
      </c>
      <c r="AT28" s="273" t="n">
        <f aca="false">AS28+AT25+AT26</f>
        <v>1784376.23475</v>
      </c>
      <c r="AU28" s="273" t="n">
        <f aca="false">AT28+AU25+AU26</f>
        <v>1784376.23475</v>
      </c>
      <c r="AV28" s="273" t="n">
        <f aca="false">AU28+AV25+AV26</f>
        <v>1784376.23475</v>
      </c>
      <c r="AW28" s="273" t="n">
        <f aca="false">AV28+AW25+AW26</f>
        <v>1784376.23475</v>
      </c>
      <c r="AX28" s="273" t="n">
        <f aca="false">AW28+AX25+AX26</f>
        <v>1784376.23475</v>
      </c>
      <c r="AY28" s="273" t="n">
        <f aca="false">AX28+AY25+AY26</f>
        <v>1784376.23475</v>
      </c>
      <c r="AZ28" s="273" t="n">
        <f aca="false">AY28+AZ25+AZ26</f>
        <v>1784376.23475</v>
      </c>
      <c r="BA28" s="273" t="n">
        <f aca="false">AZ28+BA25+BA26</f>
        <v>1784376.23475</v>
      </c>
      <c r="BB28" s="273" t="n">
        <f aca="false">BA28+BB25+BB26</f>
        <v>1784376.23475</v>
      </c>
      <c r="BC28" s="273" t="n">
        <f aca="false">BB28+BC25+BC26</f>
        <v>1784376.23475</v>
      </c>
      <c r="BD28" s="273" t="n">
        <f aca="false">BC28+BD25+BD26</f>
        <v>1784376.23475</v>
      </c>
      <c r="BE28" s="273" t="n">
        <f aca="false">BD28+BE25+BE26</f>
        <v>1784376.23475</v>
      </c>
      <c r="BF28" s="273" t="n">
        <f aca="false">BE28+BF25+BF26</f>
        <v>1784376.23475</v>
      </c>
      <c r="BG28" s="273" t="n">
        <f aca="false">BF28+BG25+BG26</f>
        <v>1784376.23475</v>
      </c>
      <c r="BH28" s="273" t="n">
        <f aca="false">BG28+BH25+BH26</f>
        <v>1784376.23475</v>
      </c>
      <c r="BI28" s="273" t="n">
        <f aca="false">BH28+BI25+BI26</f>
        <v>1784376.23475</v>
      </c>
      <c r="BJ28" s="273" t="n">
        <f aca="false">BI28+BJ25+BJ26</f>
        <v>1784376.23475</v>
      </c>
      <c r="BK28" s="273" t="n">
        <f aca="false">BJ28+BK25+BK26</f>
        <v>1784376.23475</v>
      </c>
      <c r="BL28" s="273" t="n">
        <f aca="false">BK28+BL25+BL26</f>
        <v>1784376.23475</v>
      </c>
      <c r="BM28" s="273" t="n">
        <f aca="false">BL28+BM25+BM26</f>
        <v>1784376.23475</v>
      </c>
      <c r="BN28" s="273" t="n">
        <f aca="false">BM28+BN25+BN26</f>
        <v>1784376.23475</v>
      </c>
      <c r="BO28" s="273" t="n">
        <f aca="false">BN28+BO25+BO26</f>
        <v>1784376.23475</v>
      </c>
      <c r="BP28" s="273" t="n">
        <f aca="false">BO28+BP25+BP26</f>
        <v>1784376.23475</v>
      </c>
      <c r="BQ28" s="273" t="n">
        <f aca="false">BP28+BQ25+BQ26</f>
        <v>1784376.23475</v>
      </c>
      <c r="BR28" s="273" t="n">
        <f aca="false">BQ28+BR25+BR26</f>
        <v>1784376.23475</v>
      </c>
      <c r="BS28" s="273" t="n">
        <f aca="false">BR28+BS25+BS26</f>
        <v>1784376.23475</v>
      </c>
      <c r="BT28" s="273" t="n">
        <f aca="false">BS28+BT25+BT26</f>
        <v>1784376.23475</v>
      </c>
      <c r="BU28" s="273" t="n">
        <f aca="false">BT28+BU25+BU26</f>
        <v>1784376.23475</v>
      </c>
      <c r="BV28" s="273" t="n">
        <f aca="false">BU28+BV25+BV26</f>
        <v>1784376.23475</v>
      </c>
      <c r="BW28" s="273" t="n">
        <f aca="false">BV28+BW25+BW26</f>
        <v>1784376.23475</v>
      </c>
      <c r="BX28" s="273" t="n">
        <f aca="false">BW28+BX25+BX26</f>
        <v>1784376.23475</v>
      </c>
      <c r="BY28" s="273" t="n">
        <f aca="false">BX28+BY25+BY26</f>
        <v>1784376.23475</v>
      </c>
      <c r="BZ28" s="273" t="n">
        <f aca="false">BY28+BZ25+BZ26</f>
        <v>1784376.23475</v>
      </c>
      <c r="CA28" s="273" t="n">
        <f aca="false">BZ28+CA25+CA26</f>
        <v>1784376.23475</v>
      </c>
      <c r="CB28" s="273" t="n">
        <f aca="false">CA28+CB25+CB26</f>
        <v>1784376.23475</v>
      </c>
      <c r="CC28" s="273" t="n">
        <f aca="false">CB28+CC25+CC26</f>
        <v>1784376.23475</v>
      </c>
      <c r="CD28" s="273" t="n">
        <f aca="false">CC28+CD25+CD26</f>
        <v>1784376.23475</v>
      </c>
      <c r="CE28" s="273" t="n">
        <f aca="false">CD28+CE25+CE26</f>
        <v>1784376.23475</v>
      </c>
      <c r="CF28" s="273" t="n">
        <f aca="false">CE28+CF25+CF26</f>
        <v>1784376.23475</v>
      </c>
      <c r="CG28" s="273" t="n">
        <f aca="false">CF28+CG25+CG26</f>
        <v>1784376.23475</v>
      </c>
      <c r="CH28" s="273" t="n">
        <f aca="false">CG28+CH25+CH26</f>
        <v>1784376.23475</v>
      </c>
      <c r="CI28" s="273" t="n">
        <f aca="false">CH28+CI25+CI26</f>
        <v>1784376.23475</v>
      </c>
      <c r="CJ28" s="273" t="n">
        <f aca="false">CI28+CJ25+CJ26</f>
        <v>1784376.23475</v>
      </c>
      <c r="CK28" s="273" t="n">
        <f aca="false">CJ28+CK25+CK26</f>
        <v>1784376.23475</v>
      </c>
      <c r="CL28" s="273" t="n">
        <f aca="false">CK28+CL25+CL26</f>
        <v>1784376.23475</v>
      </c>
      <c r="CM28" s="273" t="n">
        <f aca="false">CL28+CM25+CM26</f>
        <v>1784376.23475</v>
      </c>
      <c r="CN28" s="273" t="n">
        <f aca="false">CM28+CN25+CN26</f>
        <v>1784376.23475</v>
      </c>
      <c r="CO28" s="273" t="n">
        <f aca="false">CN28+CO25+CO26</f>
        <v>1784376.23475</v>
      </c>
      <c r="CP28" s="273" t="n">
        <f aca="false">CO28+CP25+CP26</f>
        <v>1784376.23475</v>
      </c>
      <c r="CQ28" s="273" t="n">
        <f aca="false">CP28+CQ25+CQ26</f>
        <v>1784376.23475</v>
      </c>
      <c r="CR28" s="273" t="n">
        <f aca="false">CQ28+CR25+CR26</f>
        <v>1784376.23475</v>
      </c>
      <c r="CS28" s="273" t="n">
        <f aca="false">CR28+CS25+CS26</f>
        <v>1784376.23475</v>
      </c>
      <c r="CT28" s="273" t="n">
        <f aca="false">CS28+CT25+CT26</f>
        <v>1784376.23475</v>
      </c>
      <c r="CU28" s="273" t="n">
        <f aca="false">CT28+CU25+CU26</f>
        <v>1784376.23475</v>
      </c>
      <c r="CV28" s="273" t="n">
        <f aca="false">CU28+CV25+CV26</f>
        <v>1784376.23475</v>
      </c>
      <c r="CW28" s="273" t="n">
        <f aca="false">CV28+CW25+CW26</f>
        <v>1784376.23475</v>
      </c>
      <c r="CX28" s="273" t="n">
        <f aca="false">CW28+CX25+CX26</f>
        <v>1784376.23475</v>
      </c>
      <c r="CY28" s="273" t="n">
        <f aca="false">CX28+CY25+CY26</f>
        <v>1784376.23475</v>
      </c>
      <c r="CZ28" s="273" t="n">
        <f aca="false">CY28+CZ25+CZ26</f>
        <v>1784376.23475</v>
      </c>
      <c r="DA28" s="273" t="n">
        <f aca="false">CZ28+DA25+DA26</f>
        <v>1784376.23475</v>
      </c>
      <c r="DB28" s="273" t="n">
        <f aca="false">DA28+DB25+DB26</f>
        <v>1784376.23475</v>
      </c>
      <c r="DC28" s="273" t="n">
        <f aca="false">DB28+DC25+DC26</f>
        <v>1784376.23475</v>
      </c>
      <c r="DD28" s="273" t="n">
        <f aca="false">DC28+DD25+DD26</f>
        <v>1784376.23475</v>
      </c>
      <c r="DE28" s="273" t="n">
        <f aca="false">DD28+DE25+DE26</f>
        <v>1784376.23475</v>
      </c>
      <c r="DF28" s="273" t="n">
        <f aca="false">DE28+DF25+DF26</f>
        <v>1784376.23475</v>
      </c>
      <c r="DG28" s="273" t="n">
        <f aca="false">DF28+DG25+DG26</f>
        <v>1784376.23475</v>
      </c>
      <c r="DH28" s="273" t="n">
        <f aca="false">DG28+DH25+DH26</f>
        <v>1784376.23475</v>
      </c>
      <c r="DI28" s="273" t="n">
        <f aca="false">DH28+DI25+DI26</f>
        <v>1784376.23475</v>
      </c>
      <c r="DJ28" s="273" t="n">
        <f aca="false">DI28+DJ25+DJ26</f>
        <v>1784376.23475</v>
      </c>
      <c r="DK28" s="273" t="n">
        <f aca="false">DJ28+DK25+DK26</f>
        <v>1784376.23475</v>
      </c>
      <c r="DL28" s="273" t="n">
        <f aca="false">DK28+DL25+DL26</f>
        <v>1784376.23475</v>
      </c>
      <c r="DM28" s="273" t="n">
        <f aca="false">DL28+DM25+DM26</f>
        <v>1784376.23475</v>
      </c>
      <c r="DN28" s="273" t="n">
        <f aca="false">DM28+DN25+DN26</f>
        <v>1784376.23475</v>
      </c>
      <c r="DO28" s="273" t="n">
        <f aca="false">DN28+DO25+DO26</f>
        <v>1784376.23475</v>
      </c>
      <c r="DP28" s="273" t="n">
        <f aca="false">DO28+DP25+DP26</f>
        <v>1784376.23475</v>
      </c>
      <c r="DQ28" s="273" t="n">
        <f aca="false">DP28+DQ25+DQ26</f>
        <v>1784376.23475</v>
      </c>
      <c r="DR28" s="273" t="n">
        <f aca="false">DQ28+DR25+DR26</f>
        <v>1784376.23475</v>
      </c>
      <c r="DS28" s="273" t="n">
        <f aca="false">DR28+DS25+DS26</f>
        <v>1784376.23475</v>
      </c>
    </row>
    <row r="29" customFormat="false" ht="15" hidden="false" customHeight="true" outlineLevel="0" collapsed="false">
      <c r="B29" s="297" t="s">
        <v>3427</v>
      </c>
      <c r="D29" s="273" t="n">
        <f aca="false">D28/(SUP_OPEX!$C$43*12)</f>
        <v>3416.90619722222</v>
      </c>
      <c r="E29" s="273" t="n">
        <f aca="false">E28/(SUP_OPEX!$C$43*12)</f>
        <v>7208.81239444444</v>
      </c>
      <c r="F29" s="273" t="n">
        <f aca="false">F28/(SUP_OPEX!$C$43*12)</f>
        <v>10625.7185916667</v>
      </c>
      <c r="G29" s="273" t="n">
        <f aca="false">G28/(SUP_OPEX!$C$43*12)</f>
        <v>12554.6182520833</v>
      </c>
      <c r="H29" s="273" t="n">
        <f aca="false">H28/(SUP_OPEX!$C$43*12)</f>
        <v>14869.80195625</v>
      </c>
      <c r="I29" s="273" t="n">
        <f aca="false">I28/(SUP_OPEX!$C$43*12)</f>
        <v>14869.80195625</v>
      </c>
      <c r="J29" s="273" t="n">
        <f aca="false">J28/(SUP_OPEX!$C$43*12)</f>
        <v>14869.80195625</v>
      </c>
      <c r="K29" s="273" t="n">
        <f aca="false">K28/(SUP_OPEX!$C$43*12)</f>
        <v>14869.80195625</v>
      </c>
      <c r="L29" s="273" t="n">
        <f aca="false">L28/(SUP_OPEX!$C$43*12)</f>
        <v>14869.80195625</v>
      </c>
      <c r="M29" s="273" t="n">
        <f aca="false">M28/(SUP_OPEX!$C$43*12)</f>
        <v>14869.80195625</v>
      </c>
      <c r="N29" s="273" t="n">
        <f aca="false">N28/(SUP_OPEX!$C$43*12)</f>
        <v>14869.80195625</v>
      </c>
      <c r="O29" s="273" t="n">
        <f aca="false">O28/(SUP_OPEX!$C$43*12)</f>
        <v>14869.80195625</v>
      </c>
      <c r="P29" s="273" t="n">
        <f aca="false">P28/(SUP_OPEX!$C$43*12)</f>
        <v>14869.80195625</v>
      </c>
      <c r="Q29" s="273" t="n">
        <f aca="false">Q28/(SUP_OPEX!$C$43*12)</f>
        <v>14869.80195625</v>
      </c>
      <c r="R29" s="273" t="n">
        <f aca="false">R28/(SUP_OPEX!$C$43*12)</f>
        <v>14869.80195625</v>
      </c>
      <c r="S29" s="273" t="n">
        <f aca="false">S28/(SUP_OPEX!$C$43*12)</f>
        <v>14869.80195625</v>
      </c>
      <c r="T29" s="273" t="n">
        <f aca="false">T28/(SUP_OPEX!$C$43*12)</f>
        <v>14869.80195625</v>
      </c>
      <c r="U29" s="273" t="n">
        <f aca="false">U28/(SUP_OPEX!$C$43*12)</f>
        <v>14869.80195625</v>
      </c>
      <c r="V29" s="273" t="n">
        <f aca="false">V28/(SUP_OPEX!$C$43*12)</f>
        <v>14869.80195625</v>
      </c>
      <c r="W29" s="273" t="n">
        <f aca="false">W28/(SUP_OPEX!$C$43*12)</f>
        <v>14869.80195625</v>
      </c>
      <c r="X29" s="273" t="n">
        <f aca="false">X28/(SUP_OPEX!$C$43*12)</f>
        <v>14869.80195625</v>
      </c>
      <c r="Y29" s="273" t="n">
        <f aca="false">Y28/(SUP_OPEX!$C$43*12)</f>
        <v>14869.80195625</v>
      </c>
      <c r="Z29" s="273" t="n">
        <f aca="false">Z28/(SUP_OPEX!$C$43*12)</f>
        <v>14869.80195625</v>
      </c>
      <c r="AA29" s="273" t="n">
        <f aca="false">AA28/(SUP_OPEX!$C$43*12)</f>
        <v>14869.80195625</v>
      </c>
      <c r="AB29" s="273" t="n">
        <f aca="false">AB28/(SUP_OPEX!$C$43*12)</f>
        <v>14869.80195625</v>
      </c>
      <c r="AC29" s="273" t="n">
        <f aca="false">AC28/(SUP_OPEX!$C$43*12)</f>
        <v>14869.80195625</v>
      </c>
      <c r="AD29" s="273" t="n">
        <f aca="false">AD28/(SUP_OPEX!$C$43*12)</f>
        <v>14869.80195625</v>
      </c>
      <c r="AE29" s="273" t="n">
        <f aca="false">AE28/(SUP_OPEX!$C$43*12)</f>
        <v>14869.80195625</v>
      </c>
      <c r="AF29" s="273" t="n">
        <f aca="false">AF28/(SUP_OPEX!$C$43*12)</f>
        <v>14869.80195625</v>
      </c>
      <c r="AG29" s="273" t="n">
        <f aca="false">AG28/(SUP_OPEX!$C$43*12)</f>
        <v>14869.80195625</v>
      </c>
      <c r="AH29" s="273" t="n">
        <f aca="false">AH28/(SUP_OPEX!$C$43*12)</f>
        <v>14869.80195625</v>
      </c>
      <c r="AI29" s="273" t="n">
        <f aca="false">AI28/(SUP_OPEX!$C$43*12)</f>
        <v>14869.80195625</v>
      </c>
      <c r="AJ29" s="273" t="n">
        <f aca="false">AJ28/(SUP_OPEX!$C$43*12)</f>
        <v>14869.80195625</v>
      </c>
      <c r="AK29" s="273" t="n">
        <f aca="false">AK28/(SUP_OPEX!$C$43*12)</f>
        <v>14869.80195625</v>
      </c>
      <c r="AL29" s="273" t="n">
        <f aca="false">AL28/(SUP_OPEX!$C$43*12)</f>
        <v>14869.80195625</v>
      </c>
      <c r="AM29" s="273" t="n">
        <f aca="false">AM28/(SUP_OPEX!$C$43*12)</f>
        <v>14869.80195625</v>
      </c>
      <c r="AN29" s="273" t="n">
        <f aca="false">AN28/(SUP_OPEX!$C$43*12)</f>
        <v>14869.80195625</v>
      </c>
      <c r="AO29" s="273" t="n">
        <f aca="false">AO28/(SUP_OPEX!$C$43*12)</f>
        <v>14869.80195625</v>
      </c>
      <c r="AP29" s="273" t="n">
        <f aca="false">AP28/(SUP_OPEX!$C$43*12)</f>
        <v>14869.80195625</v>
      </c>
      <c r="AQ29" s="273" t="n">
        <f aca="false">AQ28/(SUP_OPEX!$C$43*12)</f>
        <v>14869.80195625</v>
      </c>
      <c r="AR29" s="273" t="n">
        <f aca="false">AR28/(SUP_OPEX!$C$43*12)</f>
        <v>14869.80195625</v>
      </c>
      <c r="AS29" s="273" t="n">
        <f aca="false">AS28/(SUP_OPEX!$C$43*12)</f>
        <v>14869.80195625</v>
      </c>
      <c r="AT29" s="273" t="n">
        <f aca="false">AT28/(SUP_OPEX!$C$43*12)</f>
        <v>14869.80195625</v>
      </c>
      <c r="AU29" s="273" t="n">
        <f aca="false">AU28/(SUP_OPEX!$C$43*12)</f>
        <v>14869.80195625</v>
      </c>
      <c r="AV29" s="273" t="n">
        <f aca="false">AV28/(SUP_OPEX!$C$43*12)</f>
        <v>14869.80195625</v>
      </c>
      <c r="AW29" s="273" t="n">
        <f aca="false">AW28/(SUP_OPEX!$C$43*12)</f>
        <v>14869.80195625</v>
      </c>
      <c r="AX29" s="273" t="n">
        <f aca="false">AX28/(SUP_OPEX!$C$43*12)</f>
        <v>14869.80195625</v>
      </c>
      <c r="AY29" s="273" t="n">
        <f aca="false">AY28/(SUP_OPEX!$C$43*12)</f>
        <v>14869.80195625</v>
      </c>
      <c r="AZ29" s="273" t="n">
        <f aca="false">AZ28/(SUP_OPEX!$C$43*12)</f>
        <v>14869.80195625</v>
      </c>
      <c r="BA29" s="273" t="n">
        <f aca="false">BA28/(SUP_OPEX!$C$43*12)</f>
        <v>14869.80195625</v>
      </c>
      <c r="BB29" s="273" t="n">
        <f aca="false">BB28/(SUP_OPEX!$C$43*12)</f>
        <v>14869.80195625</v>
      </c>
      <c r="BC29" s="273" t="n">
        <f aca="false">BC28/(SUP_OPEX!$C$43*12)</f>
        <v>14869.80195625</v>
      </c>
      <c r="BD29" s="273" t="n">
        <f aca="false">BD28/(SUP_OPEX!$C$43*12)</f>
        <v>14869.80195625</v>
      </c>
      <c r="BE29" s="273" t="n">
        <f aca="false">BE28/(SUP_OPEX!$C$43*12)</f>
        <v>14869.80195625</v>
      </c>
      <c r="BF29" s="273" t="n">
        <f aca="false">BF28/(SUP_OPEX!$C$43*12)</f>
        <v>14869.80195625</v>
      </c>
      <c r="BG29" s="273" t="n">
        <f aca="false">BG28/(SUP_OPEX!$C$43*12)</f>
        <v>14869.80195625</v>
      </c>
      <c r="BH29" s="273" t="n">
        <f aca="false">BH28/(SUP_OPEX!$C$43*12)</f>
        <v>14869.80195625</v>
      </c>
      <c r="BI29" s="273" t="n">
        <f aca="false">BI28/(SUP_OPEX!$C$43*12)</f>
        <v>14869.80195625</v>
      </c>
      <c r="BJ29" s="273" t="n">
        <f aca="false">BJ28/(SUP_OPEX!$C$43*12)</f>
        <v>14869.80195625</v>
      </c>
      <c r="BK29" s="273" t="n">
        <f aca="false">BK28/(SUP_OPEX!$C$43*12)</f>
        <v>14869.80195625</v>
      </c>
      <c r="BL29" s="273" t="n">
        <f aca="false">BL28/(SUP_OPEX!$C$43*12)</f>
        <v>14869.80195625</v>
      </c>
      <c r="BM29" s="273" t="n">
        <f aca="false">BM28/(SUP_OPEX!$C$43*12)</f>
        <v>14869.80195625</v>
      </c>
      <c r="BN29" s="273" t="n">
        <f aca="false">BN28/(SUP_OPEX!$C$43*12)</f>
        <v>14869.80195625</v>
      </c>
      <c r="BO29" s="273" t="n">
        <f aca="false">BO28/(SUP_OPEX!$C$43*12)</f>
        <v>14869.80195625</v>
      </c>
      <c r="BP29" s="273" t="n">
        <f aca="false">BP28/(SUP_OPEX!$C$43*12)</f>
        <v>14869.80195625</v>
      </c>
      <c r="BQ29" s="273" t="n">
        <f aca="false">BQ28/(SUP_OPEX!$C$43*12)</f>
        <v>14869.80195625</v>
      </c>
      <c r="BR29" s="273" t="n">
        <f aca="false">BR28/(SUP_OPEX!$C$43*12)</f>
        <v>14869.80195625</v>
      </c>
      <c r="BS29" s="273" t="n">
        <f aca="false">BS28/(SUP_OPEX!$C$43*12)</f>
        <v>14869.80195625</v>
      </c>
      <c r="BT29" s="273" t="n">
        <f aca="false">BT28/(SUP_OPEX!$C$43*12)</f>
        <v>14869.80195625</v>
      </c>
      <c r="BU29" s="273" t="n">
        <f aca="false">BU28/(SUP_OPEX!$C$43*12)</f>
        <v>14869.80195625</v>
      </c>
      <c r="BV29" s="273" t="n">
        <f aca="false">BV28/(SUP_OPEX!$C$43*12)</f>
        <v>14869.80195625</v>
      </c>
      <c r="BW29" s="273" t="n">
        <f aca="false">BW28/(SUP_OPEX!$C$43*12)</f>
        <v>14869.80195625</v>
      </c>
      <c r="BX29" s="273" t="n">
        <f aca="false">BX28/(SUP_OPEX!$C$43*12)</f>
        <v>14869.80195625</v>
      </c>
      <c r="BY29" s="273" t="n">
        <f aca="false">BY28/(SUP_OPEX!$C$43*12)</f>
        <v>14869.80195625</v>
      </c>
      <c r="BZ29" s="273" t="n">
        <f aca="false">BZ28/(SUP_OPEX!$C$43*12)</f>
        <v>14869.80195625</v>
      </c>
      <c r="CA29" s="273" t="n">
        <f aca="false">CA28/(SUP_OPEX!$C$43*12)</f>
        <v>14869.80195625</v>
      </c>
      <c r="CB29" s="273" t="n">
        <f aca="false">CB28/(SUP_OPEX!$C$43*12)</f>
        <v>14869.80195625</v>
      </c>
      <c r="CC29" s="273" t="n">
        <f aca="false">CC28/(SUP_OPEX!$C$43*12)</f>
        <v>14869.80195625</v>
      </c>
      <c r="CD29" s="273" t="n">
        <f aca="false">CD28/(SUP_OPEX!$C$43*12)</f>
        <v>14869.80195625</v>
      </c>
      <c r="CE29" s="273" t="n">
        <f aca="false">CE28/(SUP_OPEX!$C$43*12)</f>
        <v>14869.80195625</v>
      </c>
      <c r="CF29" s="273" t="n">
        <f aca="false">CF28/(SUP_OPEX!$C$43*12)</f>
        <v>14869.80195625</v>
      </c>
      <c r="CG29" s="273" t="n">
        <f aca="false">CG28/(SUP_OPEX!$C$43*12)</f>
        <v>14869.80195625</v>
      </c>
      <c r="CH29" s="273" t="n">
        <f aca="false">CH28/(SUP_OPEX!$C$43*12)</f>
        <v>14869.80195625</v>
      </c>
      <c r="CI29" s="273" t="n">
        <f aca="false">CI28/(SUP_OPEX!$C$43*12)</f>
        <v>14869.80195625</v>
      </c>
      <c r="CJ29" s="273" t="n">
        <f aca="false">CJ28/(SUP_OPEX!$C$43*12)</f>
        <v>14869.80195625</v>
      </c>
      <c r="CK29" s="273" t="n">
        <f aca="false">CK28/(SUP_OPEX!$C$43*12)</f>
        <v>14869.80195625</v>
      </c>
      <c r="CL29" s="273" t="n">
        <f aca="false">CL28/(SUP_OPEX!$C$43*12)</f>
        <v>14869.80195625</v>
      </c>
      <c r="CM29" s="273" t="n">
        <f aca="false">CM28/(SUP_OPEX!$C$43*12)</f>
        <v>14869.80195625</v>
      </c>
      <c r="CN29" s="273" t="n">
        <f aca="false">CN28/(SUP_OPEX!$C$43*12)</f>
        <v>14869.80195625</v>
      </c>
      <c r="CO29" s="273" t="n">
        <f aca="false">CO28/(SUP_OPEX!$C$43*12)</f>
        <v>14869.80195625</v>
      </c>
      <c r="CP29" s="273" t="n">
        <f aca="false">CP28/(SUP_OPEX!$C$43*12)</f>
        <v>14869.80195625</v>
      </c>
      <c r="CQ29" s="273" t="n">
        <f aca="false">CQ28/(SUP_OPEX!$C$43*12)</f>
        <v>14869.80195625</v>
      </c>
      <c r="CR29" s="273" t="n">
        <f aca="false">CR28/(SUP_OPEX!$C$43*12)</f>
        <v>14869.80195625</v>
      </c>
      <c r="CS29" s="273" t="n">
        <f aca="false">CS28/(SUP_OPEX!$C$43*12)</f>
        <v>14869.80195625</v>
      </c>
      <c r="CT29" s="273" t="n">
        <f aca="false">CT28/(SUP_OPEX!$C$43*12)</f>
        <v>14869.80195625</v>
      </c>
      <c r="CU29" s="273" t="n">
        <f aca="false">CU28/(SUP_OPEX!$C$43*12)</f>
        <v>14869.80195625</v>
      </c>
      <c r="CV29" s="273" t="n">
        <f aca="false">CV28/(SUP_OPEX!$C$43*12)</f>
        <v>14869.80195625</v>
      </c>
      <c r="CW29" s="273" t="n">
        <f aca="false">CW28/(SUP_OPEX!$C$43*12)</f>
        <v>14869.80195625</v>
      </c>
      <c r="CX29" s="273" t="n">
        <f aca="false">CX28/(SUP_OPEX!$C$43*12)</f>
        <v>14869.80195625</v>
      </c>
      <c r="CY29" s="273" t="n">
        <f aca="false">CY28/(SUP_OPEX!$C$43*12)</f>
        <v>14869.80195625</v>
      </c>
      <c r="CZ29" s="273" t="n">
        <f aca="false">CZ28/(SUP_OPEX!$C$43*12)</f>
        <v>14869.80195625</v>
      </c>
      <c r="DA29" s="273" t="n">
        <f aca="false">DA28/(SUP_OPEX!$C$43*12)</f>
        <v>14869.80195625</v>
      </c>
      <c r="DB29" s="273" t="n">
        <f aca="false">DB28/(SUP_OPEX!$C$43*12)</f>
        <v>14869.80195625</v>
      </c>
      <c r="DC29" s="273" t="n">
        <f aca="false">DC28/(SUP_OPEX!$C$43*12)</f>
        <v>14869.80195625</v>
      </c>
      <c r="DD29" s="273" t="n">
        <f aca="false">DD28/(SUP_OPEX!$C$43*12)</f>
        <v>14869.80195625</v>
      </c>
      <c r="DE29" s="273" t="n">
        <f aca="false">DE28/(SUP_OPEX!$C$43*12)</f>
        <v>14869.80195625</v>
      </c>
      <c r="DF29" s="273" t="n">
        <f aca="false">DF28/(SUP_OPEX!$C$43*12)</f>
        <v>14869.80195625</v>
      </c>
      <c r="DG29" s="273" t="n">
        <f aca="false">DG28/(SUP_OPEX!$C$43*12)</f>
        <v>14869.80195625</v>
      </c>
      <c r="DH29" s="273" t="n">
        <f aca="false">DH28/(SUP_OPEX!$C$43*12)</f>
        <v>14869.80195625</v>
      </c>
      <c r="DI29" s="273" t="n">
        <f aca="false">DI28/(SUP_OPEX!$C$43*12)</f>
        <v>14869.80195625</v>
      </c>
      <c r="DJ29" s="273" t="n">
        <f aca="false">DJ28/(SUP_OPEX!$C$43*12)</f>
        <v>14869.80195625</v>
      </c>
      <c r="DK29" s="273" t="n">
        <f aca="false">DK28/(SUP_OPEX!$C$43*12)</f>
        <v>14869.80195625</v>
      </c>
      <c r="DL29" s="273" t="n">
        <f aca="false">DL28/(SUP_OPEX!$C$43*12)</f>
        <v>14869.80195625</v>
      </c>
      <c r="DM29" s="273" t="n">
        <f aca="false">DM28/(SUP_OPEX!$C$43*12)</f>
        <v>14869.80195625</v>
      </c>
      <c r="DN29" s="273" t="n">
        <f aca="false">DN28/(SUP_OPEX!$C$43*12)</f>
        <v>14869.80195625</v>
      </c>
      <c r="DO29" s="273" t="n">
        <f aca="false">DO28/(SUP_OPEX!$C$43*12)</f>
        <v>14869.80195625</v>
      </c>
      <c r="DP29" s="273" t="n">
        <f aca="false">DP28/(SUP_OPEX!$C$43*12)</f>
        <v>14869.80195625</v>
      </c>
      <c r="DQ29" s="273" t="n">
        <f aca="false">DQ28/(SUP_OPEX!$C$43*12)</f>
        <v>14869.80195625</v>
      </c>
      <c r="DR29" s="273" t="n">
        <f aca="false">DR28/(SUP_OPEX!$C$43*12)</f>
        <v>14869.80195625</v>
      </c>
      <c r="DS29" s="273" t="n">
        <f aca="false">DS28/(SUP_OPEX!$C$43*12)</f>
        <v>14869.80195625</v>
      </c>
    </row>
    <row r="30" customFormat="false" ht="15" hidden="false" customHeight="true" outlineLevel="0" collapsed="false">
      <c r="B30" s="297" t="s">
        <v>3428</v>
      </c>
      <c r="D30" s="273" t="n">
        <f aca="false">D23-D29</f>
        <v>-3416.90619722222</v>
      </c>
      <c r="E30" s="273" t="n">
        <f aca="false">E23-E29</f>
        <v>-22923.8123944444</v>
      </c>
      <c r="F30" s="273" t="n">
        <f aca="false">F23-F29</f>
        <v>-26340.7185916667</v>
      </c>
      <c r="G30" s="273" t="n">
        <f aca="false">G23-G29</f>
        <v>-26686.6061330613</v>
      </c>
      <c r="H30" s="273" t="n">
        <f aca="false">H23-H29</f>
        <v>-11004.659719487</v>
      </c>
      <c r="I30" s="273" t="n">
        <f aca="false">I23-I29</f>
        <v>6009.29749093849</v>
      </c>
      <c r="J30" s="273" t="n">
        <f aca="false">J23-J29</f>
        <v>21336.0523555535</v>
      </c>
      <c r="K30" s="273" t="n">
        <f aca="false">K23-K29</f>
        <v>37850.740473778</v>
      </c>
      <c r="L30" s="273" t="n">
        <f aca="false">L23-L29</f>
        <v>48007.9598518286</v>
      </c>
      <c r="M30" s="273" t="n">
        <f aca="false">M23-M29</f>
        <v>53397.5048279372</v>
      </c>
      <c r="N30" s="273" t="n">
        <f aca="false">N23-N29</f>
        <v>53397.5048279372</v>
      </c>
      <c r="O30" s="273" t="n">
        <f aca="false">O23-O29</f>
        <v>53397.5048279372</v>
      </c>
      <c r="P30" s="273" t="n">
        <f aca="false">P23-P29</f>
        <v>59314.1544740959</v>
      </c>
      <c r="Q30" s="273" t="n">
        <f aca="false">Q23-Q29</f>
        <v>59314.1544740959</v>
      </c>
      <c r="R30" s="273" t="n">
        <f aca="false">R23-R29</f>
        <v>59314.1544740959</v>
      </c>
      <c r="S30" s="273" t="n">
        <f aca="false">S23-S29</f>
        <v>59314.1544740959</v>
      </c>
      <c r="T30" s="273" t="n">
        <f aca="false">T23-T29</f>
        <v>59314.1544740959</v>
      </c>
      <c r="U30" s="273" t="n">
        <f aca="false">U23-U29</f>
        <v>59314.1544740959</v>
      </c>
      <c r="V30" s="273" t="n">
        <f aca="false">V23-V29</f>
        <v>59931.2642278838</v>
      </c>
      <c r="W30" s="273" t="n">
        <f aca="false">W23-W29</f>
        <v>60601.6095474765</v>
      </c>
      <c r="X30" s="273" t="n">
        <f aca="false">X23-X29</f>
        <v>60793.6355504848</v>
      </c>
      <c r="Y30" s="273" t="n">
        <f aca="false">Y23-Y29</f>
        <v>61393.1278825531</v>
      </c>
      <c r="Z30" s="273" t="n">
        <f aca="false">Z23-Z29</f>
        <v>61555.2919740959</v>
      </c>
      <c r="AA30" s="273" t="n">
        <f aca="false">AA23-AA29</f>
        <v>61618.5124677553</v>
      </c>
      <c r="AB30" s="273" t="n">
        <f aca="false">AB23-AB29</f>
        <v>67597.4729601827</v>
      </c>
      <c r="AC30" s="273" t="n">
        <f aca="false">AC23-AC29</f>
        <v>67597.4729601827</v>
      </c>
      <c r="AD30" s="273" t="n">
        <f aca="false">AD23-AD29</f>
        <v>63054.2510177366</v>
      </c>
      <c r="AE30" s="273" t="n">
        <f aca="false">AE23-AE29</f>
        <v>63054.2510177366</v>
      </c>
      <c r="AF30" s="273" t="n">
        <f aca="false">AF23-AF29</f>
        <v>63054.2510177366</v>
      </c>
      <c r="AG30" s="273" t="n">
        <f aca="false">AG23-AG29</f>
        <v>62943.9898167608</v>
      </c>
      <c r="AH30" s="273" t="n">
        <f aca="false">AH23-AH29</f>
        <v>62943.9898167608</v>
      </c>
      <c r="AI30" s="273" t="n">
        <f aca="false">AI23-AI29</f>
        <v>63898.0801956071</v>
      </c>
      <c r="AJ30" s="273" t="n">
        <f aca="false">AJ23-AJ29</f>
        <v>64750.9336020313</v>
      </c>
      <c r="AK30" s="273" t="n">
        <f aca="false">AK23-AK29</f>
        <v>65013.9193672546</v>
      </c>
      <c r="AL30" s="273" t="n">
        <f aca="false">AL23-AL29</f>
        <v>65784.3352954975</v>
      </c>
      <c r="AM30" s="273" t="n">
        <f aca="false">AM23-AM29</f>
        <v>65988.9380474191</v>
      </c>
      <c r="AN30" s="273" t="n">
        <f aca="false">AN23-AN29</f>
        <v>69527.1349064741</v>
      </c>
      <c r="AO30" s="273" t="n">
        <f aca="false">AO23-AO29</f>
        <v>69709.8846305986</v>
      </c>
      <c r="AP30" s="273" t="n">
        <f aca="false">AP23-AP29</f>
        <v>69647.8987644196</v>
      </c>
      <c r="AQ30" s="273" t="n">
        <f aca="false">AQ23-AQ29</f>
        <v>70285.776478411</v>
      </c>
      <c r="AR30" s="273" t="n">
        <f aca="false">AR23-AR29</f>
        <v>70806.4094052425</v>
      </c>
      <c r="AS30" s="273" t="n">
        <f aca="false">AS23-AS29</f>
        <v>71332.006958713</v>
      </c>
      <c r="AT30" s="273" t="n">
        <f aca="false">AT23-AT29</f>
        <v>71863.376629964</v>
      </c>
      <c r="AU30" s="273" t="n">
        <f aca="false">AU23-AU29</f>
        <v>72033.0268162891</v>
      </c>
      <c r="AV30" s="273" t="n">
        <f aca="false">AV23-AV29</f>
        <v>72127.6550397937</v>
      </c>
      <c r="AW30" s="273" t="n">
        <f aca="false">AW23-AW29</f>
        <v>72553.423791675</v>
      </c>
      <c r="AX30" s="273" t="n">
        <f aca="false">AX23-AX29</f>
        <v>72637.1377312201</v>
      </c>
      <c r="AY30" s="273" t="n">
        <f aca="false">AY23-AY29</f>
        <v>72958.910246566</v>
      </c>
      <c r="AZ30" s="273" t="n">
        <f aca="false">AZ23-AZ29</f>
        <v>76275.5417312844</v>
      </c>
      <c r="BA30" s="273" t="n">
        <f aca="false">BA23-BA29</f>
        <v>76367.5118049656</v>
      </c>
      <c r="BB30" s="273" t="n">
        <f aca="false">BB23-BB29</f>
        <v>71343.7323942061</v>
      </c>
      <c r="BC30" s="273" t="n">
        <f aca="false">BC23-BC29</f>
        <v>71398.7597133645</v>
      </c>
      <c r="BD30" s="273" t="n">
        <f aca="false">BD23-BD29</f>
        <v>71398.7597133645</v>
      </c>
      <c r="BE30" s="273" t="n">
        <f aca="false">BE23-BE29</f>
        <v>71398.7597133645</v>
      </c>
      <c r="BF30" s="273" t="n">
        <f aca="false">BF23-BF29</f>
        <v>71179.4026605738</v>
      </c>
      <c r="BG30" s="273" t="n">
        <f aca="false">BG23-BG29</f>
        <v>71179.4026605738</v>
      </c>
      <c r="BH30" s="273" t="n">
        <f aca="false">BH23-BH29</f>
        <v>71179.4026605738</v>
      </c>
      <c r="BI30" s="273" t="n">
        <f aca="false">BI23-BI29</f>
        <v>71861.2240142431</v>
      </c>
      <c r="BJ30" s="273" t="n">
        <f aca="false">BJ23-BJ29</f>
        <v>72320.8175392318</v>
      </c>
      <c r="BK30" s="273" t="n">
        <f aca="false">BK23-BK29</f>
        <v>72683.4278703721</v>
      </c>
      <c r="BL30" s="273" t="n">
        <f aca="false">BL23-BL29</f>
        <v>76120.2604107411</v>
      </c>
      <c r="BM30" s="273" t="n">
        <f aca="false">BM23-BM29</f>
        <v>76522.0172425334</v>
      </c>
      <c r="BN30" s="273" t="n">
        <f aca="false">BN23-BN29</f>
        <v>76899.1872723405</v>
      </c>
      <c r="BO30" s="273" t="n">
        <f aca="false">BO23-BO29</f>
        <v>77022.1515711572</v>
      </c>
      <c r="BP30" s="273" t="n">
        <f aca="false">BP23-BP29</f>
        <v>77374.6782539691</v>
      </c>
      <c r="BQ30" s="273" t="n">
        <f aca="false">BQ23-BQ29</f>
        <v>77508.6303451907</v>
      </c>
      <c r="BR30" s="273" t="n">
        <f aca="false">BR23-BR29</f>
        <v>77792.0709550155</v>
      </c>
      <c r="BS30" s="273" t="n">
        <f aca="false">BS23-BS29</f>
        <v>78089.8975753908</v>
      </c>
      <c r="BT30" s="273" t="n">
        <f aca="false">BT23-BT29</f>
        <v>78415.9366290306</v>
      </c>
      <c r="BU30" s="273" t="n">
        <f aca="false">BU23-BU29</f>
        <v>78685.2718211627</v>
      </c>
      <c r="BV30" s="273" t="n">
        <f aca="false">BV23-BV29</f>
        <v>78937.4695361164</v>
      </c>
      <c r="BW30" s="273" t="n">
        <f aca="false">BW23-BW29</f>
        <v>79059.1835988855</v>
      </c>
      <c r="BX30" s="273" t="n">
        <f aca="false">BX23-BX29</f>
        <v>82283.6947902831</v>
      </c>
      <c r="BY30" s="273" t="n">
        <f aca="false">BY23-BY29</f>
        <v>82368.526037619</v>
      </c>
      <c r="BZ30" s="273" t="n">
        <f aca="false">BZ23-BZ29</f>
        <v>82683.3236256303</v>
      </c>
      <c r="CA30" s="273" t="n">
        <f aca="false">CA23-CA29</f>
        <v>82893.1811002863</v>
      </c>
      <c r="CB30" s="273" t="n">
        <f aca="false">CB23-CB29</f>
        <v>82966.048549447</v>
      </c>
      <c r="CC30" s="273" t="n">
        <f aca="false">CC23-CC29</f>
        <v>83163.406393568</v>
      </c>
      <c r="CD30" s="273" t="n">
        <f aca="false">CD23-CD29</f>
        <v>83368.0590697995</v>
      </c>
      <c r="CE30" s="273" t="n">
        <f aca="false">CE23-CE29</f>
        <v>83539.2411023066</v>
      </c>
      <c r="CF30" s="273" t="n">
        <f aca="false">CF23-CF29</f>
        <v>83701.3028512728</v>
      </c>
      <c r="CG30" s="273" t="n">
        <f aca="false">CG23-CG29</f>
        <v>83881.237372967</v>
      </c>
      <c r="CH30" s="273" t="n">
        <f aca="false">CH23-CH29</f>
        <v>82603.0834523989</v>
      </c>
      <c r="CI30" s="273" t="n">
        <f aca="false">CI23-CI29</f>
        <v>82788.3945072942</v>
      </c>
      <c r="CJ30" s="273" t="n">
        <f aca="false">CJ23-CJ29</f>
        <v>82863.8781573604</v>
      </c>
      <c r="CK30" s="273" t="n">
        <f aca="false">CK23-CK29</f>
        <v>82899.6013857546</v>
      </c>
      <c r="CL30" s="273" t="n">
        <f aca="false">CL23-CL29</f>
        <v>82915.0443572447</v>
      </c>
      <c r="CM30" s="273" t="n">
        <f aca="false">CM23-CM29</f>
        <v>82915.0443572447</v>
      </c>
      <c r="CN30" s="273" t="n">
        <f aca="false">CN23-CN29</f>
        <v>82915.0443572447</v>
      </c>
      <c r="CO30" s="273" t="n">
        <f aca="false">CO23-CO29</f>
        <v>82915.0443572447</v>
      </c>
      <c r="CP30" s="273" t="n">
        <f aca="false">CP23-CP29</f>
        <v>82915.0443572447</v>
      </c>
      <c r="CQ30" s="273" t="n">
        <f aca="false">CQ23-CQ29</f>
        <v>82915.0443572447</v>
      </c>
      <c r="CR30" s="273" t="n">
        <f aca="false">CR23-CR29</f>
        <v>82915.0443572447</v>
      </c>
      <c r="CS30" s="273" t="n">
        <f aca="false">CS23-CS29</f>
        <v>82915.0443572447</v>
      </c>
      <c r="CT30" s="273" t="n">
        <f aca="false">CT23-CT29</f>
        <v>82915.0443572447</v>
      </c>
      <c r="CU30" s="273" t="n">
        <f aca="false">CU23-CU29</f>
        <v>82915.0443572447</v>
      </c>
      <c r="CV30" s="273" t="n">
        <f aca="false">CV23-CV29</f>
        <v>82915.0443572447</v>
      </c>
      <c r="CW30" s="273" t="n">
        <f aca="false">CW23-CW29</f>
        <v>82915.0443572447</v>
      </c>
      <c r="CX30" s="273" t="n">
        <f aca="false">CX23-CX29</f>
        <v>82915.0443572447</v>
      </c>
      <c r="CY30" s="273" t="n">
        <f aca="false">CY23-CY29</f>
        <v>82915.0443572447</v>
      </c>
      <c r="CZ30" s="273" t="n">
        <f aca="false">CZ23-CZ29</f>
        <v>82915.0443572447</v>
      </c>
      <c r="DA30" s="273" t="n">
        <f aca="false">DA23-DA29</f>
        <v>82915.0443572447</v>
      </c>
      <c r="DB30" s="273" t="n">
        <f aca="false">DB23-DB29</f>
        <v>82915.0443572447</v>
      </c>
      <c r="DC30" s="273" t="n">
        <f aca="false">DC23-DC29</f>
        <v>82915.0443572447</v>
      </c>
      <c r="DD30" s="273" t="n">
        <f aca="false">DD23-DD29</f>
        <v>82915.0443572447</v>
      </c>
      <c r="DE30" s="273" t="n">
        <f aca="false">DE23-DE29</f>
        <v>82915.0443572447</v>
      </c>
      <c r="DF30" s="273" t="n">
        <f aca="false">DF23-DF29</f>
        <v>82915.0443572447</v>
      </c>
      <c r="DG30" s="273" t="n">
        <f aca="false">DG23-DG29</f>
        <v>82915.0443572447</v>
      </c>
      <c r="DH30" s="273" t="n">
        <f aca="false">DH23-DH29</f>
        <v>82915.0443572447</v>
      </c>
      <c r="DI30" s="273" t="n">
        <f aca="false">DI23-DI29</f>
        <v>82915.0443572447</v>
      </c>
      <c r="DJ30" s="273" t="n">
        <f aca="false">DJ23-DJ29</f>
        <v>82915.0443572447</v>
      </c>
      <c r="DK30" s="273" t="n">
        <f aca="false">DK23-DK29</f>
        <v>82915.0443572447</v>
      </c>
      <c r="DL30" s="273" t="n">
        <f aca="false">DL23-DL29</f>
        <v>82915.0443572447</v>
      </c>
      <c r="DM30" s="273" t="n">
        <f aca="false">DM23-DM29</f>
        <v>82915.0443572447</v>
      </c>
      <c r="DN30" s="273" t="n">
        <f aca="false">DN23-DN29</f>
        <v>82915.0443572447</v>
      </c>
      <c r="DO30" s="273" t="n">
        <f aca="false">DO23-DO29</f>
        <v>82915.0443572447</v>
      </c>
      <c r="DP30" s="273" t="n">
        <f aca="false">DP23-DP29</f>
        <v>82915.0443572447</v>
      </c>
      <c r="DQ30" s="273" t="n">
        <f aca="false">DQ23-DQ29</f>
        <v>82915.0443572447</v>
      </c>
      <c r="DR30" s="273" t="n">
        <f aca="false">DR23-DR29</f>
        <v>82915.0443572447</v>
      </c>
      <c r="DS30" s="273" t="n">
        <f aca="false">DS23-DS29</f>
        <v>82915.0443572447</v>
      </c>
    </row>
    <row r="31" customFormat="false" ht="15" hidden="false" customHeight="true" outlineLevel="0" collapsed="false">
      <c r="B31" s="297" t="s">
        <v>3429</v>
      </c>
      <c r="D31" s="273" t="n">
        <f aca="false">MAX(0,D30)*SUP_CONTROL!$C$33</f>
        <v>0</v>
      </c>
      <c r="E31" s="273" t="n">
        <f aca="false">MAX(0,E30)*SUP_CONTROL!$C$33</f>
        <v>0</v>
      </c>
      <c r="F31" s="273" t="n">
        <f aca="false">MAX(0,F30)*SUP_CONTROL!$C$33</f>
        <v>0</v>
      </c>
      <c r="G31" s="273" t="n">
        <f aca="false">MAX(0,G30)*SUP_CONTROL!$C$33</f>
        <v>0</v>
      </c>
      <c r="H31" s="273" t="n">
        <f aca="false">MAX(0,H30)*SUP_CONTROL!$C$33</f>
        <v>0</v>
      </c>
      <c r="I31" s="273" t="n">
        <f aca="false">MAX(0,I30)*SUP_CONTROL!$C$33</f>
        <v>2043.16114691909</v>
      </c>
      <c r="J31" s="273" t="n">
        <f aca="false">MAX(0,J30)*SUP_CONTROL!$C$33</f>
        <v>7254.25780088819</v>
      </c>
      <c r="K31" s="273" t="n">
        <f aca="false">MAX(0,K30)*SUP_CONTROL!$C$33</f>
        <v>12869.2517610845</v>
      </c>
      <c r="L31" s="273" t="n">
        <f aca="false">MAX(0,L30)*SUP_CONTROL!$C$33</f>
        <v>16322.7063496217</v>
      </c>
      <c r="M31" s="273" t="n">
        <f aca="false">MAX(0,M30)*SUP_CONTROL!$C$33</f>
        <v>18155.1516414986</v>
      </c>
      <c r="N31" s="273" t="n">
        <f aca="false">MAX(0,N30)*SUP_CONTROL!$C$33</f>
        <v>18155.1516414986</v>
      </c>
      <c r="O31" s="273" t="n">
        <f aca="false">MAX(0,O30)*SUP_CONTROL!$C$33</f>
        <v>18155.1516414986</v>
      </c>
      <c r="P31" s="273" t="n">
        <f aca="false">MAX(0,P30)*SUP_CONTROL!$C$33</f>
        <v>20166.8125211926</v>
      </c>
      <c r="Q31" s="273" t="n">
        <f aca="false">MAX(0,Q30)*SUP_CONTROL!$C$33</f>
        <v>20166.8125211926</v>
      </c>
      <c r="R31" s="273" t="n">
        <f aca="false">MAX(0,R30)*SUP_CONTROL!$C$33</f>
        <v>20166.8125211926</v>
      </c>
      <c r="S31" s="273" t="n">
        <f aca="false">MAX(0,S30)*SUP_CONTROL!$C$33</f>
        <v>20166.8125211926</v>
      </c>
      <c r="T31" s="273" t="n">
        <f aca="false">MAX(0,T30)*SUP_CONTROL!$C$33</f>
        <v>20166.8125211926</v>
      </c>
      <c r="U31" s="273" t="n">
        <f aca="false">MAX(0,U30)*SUP_CONTROL!$C$33</f>
        <v>20166.8125211926</v>
      </c>
      <c r="V31" s="273" t="n">
        <f aca="false">MAX(0,V30)*SUP_CONTROL!$C$33</f>
        <v>20376.6298374805</v>
      </c>
      <c r="W31" s="273" t="n">
        <f aca="false">MAX(0,W30)*SUP_CONTROL!$C$33</f>
        <v>20604.547246142</v>
      </c>
      <c r="X31" s="273" t="n">
        <f aca="false">MAX(0,X30)*SUP_CONTROL!$C$33</f>
        <v>20669.8360871648</v>
      </c>
      <c r="Y31" s="273" t="n">
        <f aca="false">MAX(0,Y30)*SUP_CONTROL!$C$33</f>
        <v>20873.6634800681</v>
      </c>
      <c r="Z31" s="273" t="n">
        <f aca="false">MAX(0,Z30)*SUP_CONTROL!$C$33</f>
        <v>20928.7992711926</v>
      </c>
      <c r="AA31" s="273" t="n">
        <f aca="false">MAX(0,AA30)*SUP_CONTROL!$C$33</f>
        <v>20950.2942390368</v>
      </c>
      <c r="AB31" s="273" t="n">
        <f aca="false">MAX(0,AB30)*SUP_CONTROL!$C$33</f>
        <v>22983.1408064621</v>
      </c>
      <c r="AC31" s="273" t="n">
        <f aca="false">MAX(0,AC30)*SUP_CONTROL!$C$33</f>
        <v>22983.1408064621</v>
      </c>
      <c r="AD31" s="273" t="n">
        <f aca="false">MAX(0,AD30)*SUP_CONTROL!$C$33</f>
        <v>21438.4453460305</v>
      </c>
      <c r="AE31" s="273" t="n">
        <f aca="false">MAX(0,AE30)*SUP_CONTROL!$C$33</f>
        <v>21438.4453460305</v>
      </c>
      <c r="AF31" s="273" t="n">
        <f aca="false">MAX(0,AF30)*SUP_CONTROL!$C$33</f>
        <v>21438.4453460305</v>
      </c>
      <c r="AG31" s="273" t="n">
        <f aca="false">MAX(0,AG30)*SUP_CONTROL!$C$33</f>
        <v>21400.9565376987</v>
      </c>
      <c r="AH31" s="273" t="n">
        <f aca="false">MAX(0,AH30)*SUP_CONTROL!$C$33</f>
        <v>21400.9565376987</v>
      </c>
      <c r="AI31" s="273" t="n">
        <f aca="false">MAX(0,AI30)*SUP_CONTROL!$C$33</f>
        <v>21725.3472665064</v>
      </c>
      <c r="AJ31" s="273" t="n">
        <f aca="false">MAX(0,AJ30)*SUP_CONTROL!$C$33</f>
        <v>22015.3174246906</v>
      </c>
      <c r="AK31" s="273" t="n">
        <f aca="false">MAX(0,AK30)*SUP_CONTROL!$C$33</f>
        <v>22104.7325848666</v>
      </c>
      <c r="AL31" s="273" t="n">
        <f aca="false">MAX(0,AL30)*SUP_CONTROL!$C$33</f>
        <v>22366.6740004691</v>
      </c>
      <c r="AM31" s="273" t="n">
        <f aca="false">MAX(0,AM30)*SUP_CONTROL!$C$33</f>
        <v>22436.2389361225</v>
      </c>
      <c r="AN31" s="273" t="n">
        <f aca="false">MAX(0,AN30)*SUP_CONTROL!$C$33</f>
        <v>23639.2258682012</v>
      </c>
      <c r="AO31" s="273" t="n">
        <f aca="false">MAX(0,AO30)*SUP_CONTROL!$C$33</f>
        <v>23701.3607744035</v>
      </c>
      <c r="AP31" s="273" t="n">
        <f aca="false">MAX(0,AP30)*SUP_CONTROL!$C$33</f>
        <v>23680.2855799027</v>
      </c>
      <c r="AQ31" s="273" t="n">
        <f aca="false">MAX(0,AQ30)*SUP_CONTROL!$C$33</f>
        <v>23897.1640026597</v>
      </c>
      <c r="AR31" s="273" t="n">
        <f aca="false">MAX(0,AR30)*SUP_CONTROL!$C$33</f>
        <v>24074.1791977824</v>
      </c>
      <c r="AS31" s="273" t="n">
        <f aca="false">MAX(0,AS30)*SUP_CONTROL!$C$33</f>
        <v>24252.8823659624</v>
      </c>
      <c r="AT31" s="273" t="n">
        <f aca="false">MAX(0,AT30)*SUP_CONTROL!$C$33</f>
        <v>24433.5480541878</v>
      </c>
      <c r="AU31" s="273" t="n">
        <f aca="false">MAX(0,AU30)*SUP_CONTROL!$C$33</f>
        <v>24491.2291175383</v>
      </c>
      <c r="AV31" s="273" t="n">
        <f aca="false">MAX(0,AV30)*SUP_CONTROL!$C$33</f>
        <v>24523.4027135299</v>
      </c>
      <c r="AW31" s="273" t="n">
        <f aca="false">MAX(0,AW30)*SUP_CONTROL!$C$33</f>
        <v>24668.1640891695</v>
      </c>
      <c r="AX31" s="273" t="n">
        <f aca="false">MAX(0,AX30)*SUP_CONTROL!$C$33</f>
        <v>24696.6268286148</v>
      </c>
      <c r="AY31" s="273" t="n">
        <f aca="false">MAX(0,AY30)*SUP_CONTROL!$C$33</f>
        <v>24806.0294838324</v>
      </c>
      <c r="AZ31" s="273" t="n">
        <f aca="false">MAX(0,AZ30)*SUP_CONTROL!$C$33</f>
        <v>25933.6841886367</v>
      </c>
      <c r="BA31" s="273" t="n">
        <f aca="false">MAX(0,BA30)*SUP_CONTROL!$C$33</f>
        <v>25964.9540136883</v>
      </c>
      <c r="BB31" s="273" t="n">
        <f aca="false">MAX(0,BB30)*SUP_CONTROL!$C$33</f>
        <v>24256.8690140301</v>
      </c>
      <c r="BC31" s="273" t="n">
        <f aca="false">MAX(0,BC30)*SUP_CONTROL!$C$33</f>
        <v>24275.5783025439</v>
      </c>
      <c r="BD31" s="273" t="n">
        <f aca="false">MAX(0,BD30)*SUP_CONTROL!$C$33</f>
        <v>24275.5783025439</v>
      </c>
      <c r="BE31" s="273" t="n">
        <f aca="false">MAX(0,BE30)*SUP_CONTROL!$C$33</f>
        <v>24275.5783025439</v>
      </c>
      <c r="BF31" s="273" t="n">
        <f aca="false">MAX(0,BF30)*SUP_CONTROL!$C$33</f>
        <v>24200.9969045951</v>
      </c>
      <c r="BG31" s="273" t="n">
        <f aca="false">MAX(0,BG30)*SUP_CONTROL!$C$33</f>
        <v>24200.9969045951</v>
      </c>
      <c r="BH31" s="273" t="n">
        <f aca="false">MAX(0,BH30)*SUP_CONTROL!$C$33</f>
        <v>24200.9969045951</v>
      </c>
      <c r="BI31" s="273" t="n">
        <f aca="false">MAX(0,BI30)*SUP_CONTROL!$C$33</f>
        <v>24432.8161648427</v>
      </c>
      <c r="BJ31" s="273" t="n">
        <f aca="false">MAX(0,BJ30)*SUP_CONTROL!$C$33</f>
        <v>24589.0779633388</v>
      </c>
      <c r="BK31" s="273" t="n">
        <f aca="false">MAX(0,BK30)*SUP_CONTROL!$C$33</f>
        <v>24712.3654759265</v>
      </c>
      <c r="BL31" s="273" t="n">
        <f aca="false">MAX(0,BL30)*SUP_CONTROL!$C$33</f>
        <v>25880.888539652</v>
      </c>
      <c r="BM31" s="273" t="n">
        <f aca="false">MAX(0,BM30)*SUP_CONTROL!$C$33</f>
        <v>26017.4858624614</v>
      </c>
      <c r="BN31" s="273" t="n">
        <f aca="false">MAX(0,BN30)*SUP_CONTROL!$C$33</f>
        <v>26145.7236725958</v>
      </c>
      <c r="BO31" s="273" t="n">
        <f aca="false">MAX(0,BO30)*SUP_CONTROL!$C$33</f>
        <v>26187.5315341934</v>
      </c>
      <c r="BP31" s="273" t="n">
        <f aca="false">MAX(0,BP30)*SUP_CONTROL!$C$33</f>
        <v>26307.3906063495</v>
      </c>
      <c r="BQ31" s="273" t="n">
        <f aca="false">MAX(0,BQ30)*SUP_CONTROL!$C$33</f>
        <v>26352.9343173649</v>
      </c>
      <c r="BR31" s="273" t="n">
        <f aca="false">MAX(0,BR30)*SUP_CONTROL!$C$33</f>
        <v>26449.3041247053</v>
      </c>
      <c r="BS31" s="273" t="n">
        <f aca="false">MAX(0,BS30)*SUP_CONTROL!$C$33</f>
        <v>26550.5651756329</v>
      </c>
      <c r="BT31" s="273" t="n">
        <f aca="false">MAX(0,BT30)*SUP_CONTROL!$C$33</f>
        <v>26661.4184538704</v>
      </c>
      <c r="BU31" s="273" t="n">
        <f aca="false">MAX(0,BU30)*SUP_CONTROL!$C$33</f>
        <v>26752.9924191953</v>
      </c>
      <c r="BV31" s="273" t="n">
        <f aca="false">MAX(0,BV30)*SUP_CONTROL!$C$33</f>
        <v>26838.7396422796</v>
      </c>
      <c r="BW31" s="273" t="n">
        <f aca="false">MAX(0,BW30)*SUP_CONTROL!$C$33</f>
        <v>26880.1224236211</v>
      </c>
      <c r="BX31" s="273" t="n">
        <f aca="false">MAX(0,BX30)*SUP_CONTROL!$C$33</f>
        <v>27976.4562286963</v>
      </c>
      <c r="BY31" s="273" t="n">
        <f aca="false">MAX(0,BY30)*SUP_CONTROL!$C$33</f>
        <v>28005.2988527905</v>
      </c>
      <c r="BZ31" s="273" t="n">
        <f aca="false">MAX(0,BZ30)*SUP_CONTROL!$C$33</f>
        <v>28112.3300327143</v>
      </c>
      <c r="CA31" s="273" t="n">
        <f aca="false">MAX(0,CA30)*SUP_CONTROL!$C$33</f>
        <v>28183.6815740974</v>
      </c>
      <c r="CB31" s="273" t="n">
        <f aca="false">MAX(0,CB30)*SUP_CONTROL!$C$33</f>
        <v>28208.456506812</v>
      </c>
      <c r="CC31" s="273" t="n">
        <f aca="false">MAX(0,CC30)*SUP_CONTROL!$C$33</f>
        <v>28275.5581738131</v>
      </c>
      <c r="CD31" s="273" t="n">
        <f aca="false">MAX(0,CD30)*SUP_CONTROL!$C$33</f>
        <v>28345.1400837318</v>
      </c>
      <c r="CE31" s="273" t="n">
        <f aca="false">MAX(0,CE30)*SUP_CONTROL!$C$33</f>
        <v>28403.3419747843</v>
      </c>
      <c r="CF31" s="273" t="n">
        <f aca="false">MAX(0,CF30)*SUP_CONTROL!$C$33</f>
        <v>28458.4429694327</v>
      </c>
      <c r="CG31" s="273" t="n">
        <f aca="false">MAX(0,CG30)*SUP_CONTROL!$C$33</f>
        <v>28519.6207068088</v>
      </c>
      <c r="CH31" s="273" t="n">
        <f aca="false">MAX(0,CH30)*SUP_CONTROL!$C$33</f>
        <v>28085.0483738156</v>
      </c>
      <c r="CI31" s="273" t="n">
        <f aca="false">MAX(0,CI30)*SUP_CONTROL!$C$33</f>
        <v>28148.05413248</v>
      </c>
      <c r="CJ31" s="273" t="n">
        <f aca="false">MAX(0,CJ30)*SUP_CONTROL!$C$33</f>
        <v>28173.7185735025</v>
      </c>
      <c r="CK31" s="273" t="n">
        <f aca="false">MAX(0,CK30)*SUP_CONTROL!$C$33</f>
        <v>28185.8644711566</v>
      </c>
      <c r="CL31" s="273" t="n">
        <f aca="false">MAX(0,CL30)*SUP_CONTROL!$C$33</f>
        <v>28191.1150814632</v>
      </c>
      <c r="CM31" s="273" t="n">
        <f aca="false">MAX(0,CM30)*SUP_CONTROL!$C$33</f>
        <v>28191.1150814632</v>
      </c>
      <c r="CN31" s="273" t="n">
        <f aca="false">MAX(0,CN30)*SUP_CONTROL!$C$33</f>
        <v>28191.1150814632</v>
      </c>
      <c r="CO31" s="273" t="n">
        <f aca="false">MAX(0,CO30)*SUP_CONTROL!$C$33</f>
        <v>28191.1150814632</v>
      </c>
      <c r="CP31" s="273" t="n">
        <f aca="false">MAX(0,CP30)*SUP_CONTROL!$C$33</f>
        <v>28191.1150814632</v>
      </c>
      <c r="CQ31" s="273" t="n">
        <f aca="false">MAX(0,CQ30)*SUP_CONTROL!$C$33</f>
        <v>28191.1150814632</v>
      </c>
      <c r="CR31" s="273" t="n">
        <f aca="false">MAX(0,CR30)*SUP_CONTROL!$C$33</f>
        <v>28191.1150814632</v>
      </c>
      <c r="CS31" s="273" t="n">
        <f aca="false">MAX(0,CS30)*SUP_CONTROL!$C$33</f>
        <v>28191.1150814632</v>
      </c>
      <c r="CT31" s="273" t="n">
        <f aca="false">MAX(0,CT30)*SUP_CONTROL!$C$33</f>
        <v>28191.1150814632</v>
      </c>
      <c r="CU31" s="273" t="n">
        <f aca="false">MAX(0,CU30)*SUP_CONTROL!$C$33</f>
        <v>28191.1150814632</v>
      </c>
      <c r="CV31" s="273" t="n">
        <f aca="false">MAX(0,CV30)*SUP_CONTROL!$C$33</f>
        <v>28191.1150814632</v>
      </c>
      <c r="CW31" s="273" t="n">
        <f aca="false">MAX(0,CW30)*SUP_CONTROL!$C$33</f>
        <v>28191.1150814632</v>
      </c>
      <c r="CX31" s="273" t="n">
        <f aca="false">MAX(0,CX30)*SUP_CONTROL!$C$33</f>
        <v>28191.1150814632</v>
      </c>
      <c r="CY31" s="273" t="n">
        <f aca="false">MAX(0,CY30)*SUP_CONTROL!$C$33</f>
        <v>28191.1150814632</v>
      </c>
      <c r="CZ31" s="273" t="n">
        <f aca="false">MAX(0,CZ30)*SUP_CONTROL!$C$33</f>
        <v>28191.1150814632</v>
      </c>
      <c r="DA31" s="273" t="n">
        <f aca="false">MAX(0,DA30)*SUP_CONTROL!$C$33</f>
        <v>28191.1150814632</v>
      </c>
      <c r="DB31" s="273" t="n">
        <f aca="false">MAX(0,DB30)*SUP_CONTROL!$C$33</f>
        <v>28191.1150814632</v>
      </c>
      <c r="DC31" s="273" t="n">
        <f aca="false">MAX(0,DC30)*SUP_CONTROL!$C$33</f>
        <v>28191.1150814632</v>
      </c>
      <c r="DD31" s="273" t="n">
        <f aca="false">MAX(0,DD30)*SUP_CONTROL!$C$33</f>
        <v>28191.1150814632</v>
      </c>
      <c r="DE31" s="273" t="n">
        <f aca="false">MAX(0,DE30)*SUP_CONTROL!$C$33</f>
        <v>28191.1150814632</v>
      </c>
      <c r="DF31" s="273" t="n">
        <f aca="false">MAX(0,DF30)*SUP_CONTROL!$C$33</f>
        <v>28191.1150814632</v>
      </c>
      <c r="DG31" s="273" t="n">
        <f aca="false">MAX(0,DG30)*SUP_CONTROL!$C$33</f>
        <v>28191.1150814632</v>
      </c>
      <c r="DH31" s="273" t="n">
        <f aca="false">MAX(0,DH30)*SUP_CONTROL!$C$33</f>
        <v>28191.1150814632</v>
      </c>
      <c r="DI31" s="273" t="n">
        <f aca="false">MAX(0,DI30)*SUP_CONTROL!$C$33</f>
        <v>28191.1150814632</v>
      </c>
      <c r="DJ31" s="273" t="n">
        <f aca="false">MAX(0,DJ30)*SUP_CONTROL!$C$33</f>
        <v>28191.1150814632</v>
      </c>
      <c r="DK31" s="273" t="n">
        <f aca="false">MAX(0,DK30)*SUP_CONTROL!$C$33</f>
        <v>28191.1150814632</v>
      </c>
      <c r="DL31" s="273" t="n">
        <f aca="false">MAX(0,DL30)*SUP_CONTROL!$C$33</f>
        <v>28191.1150814632</v>
      </c>
      <c r="DM31" s="273" t="n">
        <f aca="false">MAX(0,DM30)*SUP_CONTROL!$C$33</f>
        <v>28191.1150814632</v>
      </c>
      <c r="DN31" s="273" t="n">
        <f aca="false">MAX(0,DN30)*SUP_CONTROL!$C$33</f>
        <v>28191.1150814632</v>
      </c>
      <c r="DO31" s="273" t="n">
        <f aca="false">MAX(0,DO30)*SUP_CONTROL!$C$33</f>
        <v>28191.1150814632</v>
      </c>
      <c r="DP31" s="273" t="n">
        <f aca="false">MAX(0,DP30)*SUP_CONTROL!$C$33</f>
        <v>28191.1150814632</v>
      </c>
      <c r="DQ31" s="273" t="n">
        <f aca="false">MAX(0,DQ30)*SUP_CONTROL!$C$33</f>
        <v>28191.1150814632</v>
      </c>
      <c r="DR31" s="273" t="n">
        <f aca="false">MAX(0,DR30)*SUP_CONTROL!$C$33</f>
        <v>28191.1150814632</v>
      </c>
      <c r="DS31" s="273" t="n">
        <f aca="false">MAX(0,DS30)*SUP_CONTROL!$C$33</f>
        <v>28191.1150814632</v>
      </c>
    </row>
    <row r="32" customFormat="false" ht="15" hidden="false" customHeight="true" outlineLevel="0" collapsed="false">
      <c r="B32" s="178" t="s">
        <v>3430</v>
      </c>
      <c r="D32" s="268" t="n">
        <f aca="false">D23-D31</f>
        <v>0</v>
      </c>
      <c r="E32" s="268" t="n">
        <f aca="false">E23-E31</f>
        <v>-15715</v>
      </c>
      <c r="F32" s="268" t="n">
        <f aca="false">F23-F31</f>
        <v>-15715</v>
      </c>
      <c r="G32" s="268" t="n">
        <f aca="false">G23-G31</f>
        <v>-14131.987880978</v>
      </c>
      <c r="H32" s="268" t="n">
        <f aca="false">H23-H31</f>
        <v>3865.14223676298</v>
      </c>
      <c r="I32" s="268" t="n">
        <f aca="false">I23-I31</f>
        <v>18835.9383002694</v>
      </c>
      <c r="J32" s="268" t="n">
        <f aca="false">J23-J31</f>
        <v>28951.5965109153</v>
      </c>
      <c r="K32" s="268" t="n">
        <f aca="false">K23-K31</f>
        <v>39851.2906689435</v>
      </c>
      <c r="L32" s="268" t="n">
        <f aca="false">L23-L31</f>
        <v>46555.0554584569</v>
      </c>
      <c r="M32" s="268" t="n">
        <f aca="false">M23-M31</f>
        <v>50112.1551426885</v>
      </c>
      <c r="N32" s="268" t="n">
        <f aca="false">N23-N31</f>
        <v>50112.1551426885</v>
      </c>
      <c r="O32" s="268" t="n">
        <f aca="false">O23-O31</f>
        <v>50112.1551426885</v>
      </c>
      <c r="P32" s="268" t="n">
        <f aca="false">P23-P31</f>
        <v>54017.1439091533</v>
      </c>
      <c r="Q32" s="268" t="n">
        <f aca="false">Q23-Q31</f>
        <v>54017.1439091533</v>
      </c>
      <c r="R32" s="268" t="n">
        <f aca="false">R23-R31</f>
        <v>54017.1439091533</v>
      </c>
      <c r="S32" s="268" t="n">
        <f aca="false">S23-S31</f>
        <v>54017.1439091533</v>
      </c>
      <c r="T32" s="268" t="n">
        <f aca="false">T23-T31</f>
        <v>54017.1439091533</v>
      </c>
      <c r="U32" s="268" t="n">
        <f aca="false">U23-U31</f>
        <v>54017.1439091533</v>
      </c>
      <c r="V32" s="268" t="n">
        <f aca="false">V23-V31</f>
        <v>54424.4363466533</v>
      </c>
      <c r="W32" s="268" t="n">
        <f aca="false">W23-W31</f>
        <v>54866.8642575845</v>
      </c>
      <c r="X32" s="268" t="n">
        <f aca="false">X23-X31</f>
        <v>54993.60141957</v>
      </c>
      <c r="Y32" s="268" t="n">
        <f aca="false">Y23-Y31</f>
        <v>55389.2663587351</v>
      </c>
      <c r="Z32" s="268" t="n">
        <f aca="false">Z23-Z31</f>
        <v>55496.2946591533</v>
      </c>
      <c r="AA32" s="268" t="n">
        <f aca="false">AA23-AA31</f>
        <v>55538.0201849685</v>
      </c>
      <c r="AB32" s="268" t="n">
        <f aca="false">AB23-AB31</f>
        <v>59484.1341099706</v>
      </c>
      <c r="AC32" s="268" t="n">
        <f aca="false">AC23-AC31</f>
        <v>59484.1341099706</v>
      </c>
      <c r="AD32" s="268" t="n">
        <f aca="false">AD23-AD31</f>
        <v>56485.6076279562</v>
      </c>
      <c r="AE32" s="268" t="n">
        <f aca="false">AE23-AE31</f>
        <v>56485.6076279562</v>
      </c>
      <c r="AF32" s="268" t="n">
        <f aca="false">AF23-AF31</f>
        <v>56485.6076279562</v>
      </c>
      <c r="AG32" s="268" t="n">
        <f aca="false">AG23-AG31</f>
        <v>56412.8352353121</v>
      </c>
      <c r="AH32" s="268" t="n">
        <f aca="false">AH23-AH31</f>
        <v>56412.8352353121</v>
      </c>
      <c r="AI32" s="268" t="n">
        <f aca="false">AI23-AI31</f>
        <v>57042.5348853507</v>
      </c>
      <c r="AJ32" s="268" t="n">
        <f aca="false">AJ23-AJ31</f>
        <v>57605.4181335907</v>
      </c>
      <c r="AK32" s="268" t="n">
        <f aca="false">AK23-AK31</f>
        <v>57778.9887386381</v>
      </c>
      <c r="AL32" s="268" t="n">
        <f aca="false">AL23-AL31</f>
        <v>58287.4632512783</v>
      </c>
      <c r="AM32" s="268" t="n">
        <f aca="false">AM23-AM31</f>
        <v>58422.5010675466</v>
      </c>
      <c r="AN32" s="268" t="n">
        <f aca="false">AN23-AN31</f>
        <v>60757.7109945229</v>
      </c>
      <c r="AO32" s="268" t="n">
        <f aca="false">AO23-AO31</f>
        <v>60878.3258124451</v>
      </c>
      <c r="AP32" s="268" t="n">
        <f aca="false">AP23-AP31</f>
        <v>60837.4151407669</v>
      </c>
      <c r="AQ32" s="268" t="n">
        <f aca="false">AQ23-AQ31</f>
        <v>61258.4144320013</v>
      </c>
      <c r="AR32" s="268" t="n">
        <f aca="false">AR23-AR31</f>
        <v>61602.03216371</v>
      </c>
      <c r="AS32" s="268" t="n">
        <f aca="false">AS23-AS31</f>
        <v>61948.9265490006</v>
      </c>
      <c r="AT32" s="268" t="n">
        <f aca="false">AT23-AT31</f>
        <v>62299.6305320263</v>
      </c>
      <c r="AU32" s="268" t="n">
        <f aca="false">AU23-AU31</f>
        <v>62411.5996550008</v>
      </c>
      <c r="AV32" s="268" t="n">
        <f aca="false">AV23-AV31</f>
        <v>62474.0542825138</v>
      </c>
      <c r="AW32" s="268" t="n">
        <f aca="false">AW23-AW31</f>
        <v>62755.0616587555</v>
      </c>
      <c r="AX32" s="268" t="n">
        <f aca="false">AX23-AX31</f>
        <v>62810.3128588552</v>
      </c>
      <c r="AY32" s="268" t="n">
        <f aca="false">AY23-AY31</f>
        <v>63022.6827189836</v>
      </c>
      <c r="AZ32" s="268" t="n">
        <f aca="false">AZ23-AZ31</f>
        <v>65211.6594988977</v>
      </c>
      <c r="BA32" s="268" t="n">
        <f aca="false">BA23-BA31</f>
        <v>65272.3597475273</v>
      </c>
      <c r="BB32" s="268" t="n">
        <f aca="false">BB23-BB31</f>
        <v>61956.665336426</v>
      </c>
      <c r="BC32" s="268" t="n">
        <f aca="false">BC23-BC31</f>
        <v>61992.9833670705</v>
      </c>
      <c r="BD32" s="268" t="n">
        <f aca="false">BD23-BD31</f>
        <v>61992.9833670705</v>
      </c>
      <c r="BE32" s="268" t="n">
        <f aca="false">BE23-BE31</f>
        <v>61992.9833670705</v>
      </c>
      <c r="BF32" s="268" t="n">
        <f aca="false">BF23-BF31</f>
        <v>61848.2077122287</v>
      </c>
      <c r="BG32" s="268" t="n">
        <f aca="false">BG23-BG31</f>
        <v>61848.2077122287</v>
      </c>
      <c r="BH32" s="268" t="n">
        <f aca="false">BH23-BH31</f>
        <v>61848.2077122287</v>
      </c>
      <c r="BI32" s="268" t="n">
        <f aca="false">BI23-BI31</f>
        <v>62298.2098056505</v>
      </c>
      <c r="BJ32" s="268" t="n">
        <f aca="false">BJ23-BJ31</f>
        <v>62601.541532143</v>
      </c>
      <c r="BK32" s="268" t="n">
        <f aca="false">BK23-BK31</f>
        <v>62840.8643506956</v>
      </c>
      <c r="BL32" s="268" t="n">
        <f aca="false">BL23-BL31</f>
        <v>65109.1738273391</v>
      </c>
      <c r="BM32" s="268" t="n">
        <f aca="false">BM23-BM31</f>
        <v>65374.3333363221</v>
      </c>
      <c r="BN32" s="268" t="n">
        <f aca="false">BN23-BN31</f>
        <v>65623.2655559947</v>
      </c>
      <c r="BO32" s="268" t="n">
        <f aca="false">BO23-BO31</f>
        <v>65704.4219932137</v>
      </c>
      <c r="BP32" s="268" t="n">
        <f aca="false">BP23-BP31</f>
        <v>65937.0896038696</v>
      </c>
      <c r="BQ32" s="268" t="n">
        <f aca="false">BQ23-BQ31</f>
        <v>66025.4979840759</v>
      </c>
      <c r="BR32" s="268" t="n">
        <f aca="false">BR23-BR31</f>
        <v>66212.5687865602</v>
      </c>
      <c r="BS32" s="268" t="n">
        <f aca="false">BS23-BS31</f>
        <v>66409.1343560079</v>
      </c>
      <c r="BT32" s="268" t="n">
        <f aca="false">BT23-BT31</f>
        <v>66624.3201314102</v>
      </c>
      <c r="BU32" s="268" t="n">
        <f aca="false">BU23-BU31</f>
        <v>66802.0813582174</v>
      </c>
      <c r="BV32" s="268" t="n">
        <f aca="false">BV23-BV31</f>
        <v>66968.5318500869</v>
      </c>
      <c r="BW32" s="268" t="n">
        <f aca="false">BW23-BW31</f>
        <v>67048.8631315144</v>
      </c>
      <c r="BX32" s="268" t="n">
        <f aca="false">BX23-BX31</f>
        <v>69177.0405178368</v>
      </c>
      <c r="BY32" s="268" t="n">
        <f aca="false">BY23-BY31</f>
        <v>69233.0291410785</v>
      </c>
      <c r="BZ32" s="268" t="n">
        <f aca="false">BZ23-BZ31</f>
        <v>69440.795549166</v>
      </c>
      <c r="CA32" s="268" t="n">
        <f aca="false">CA23-CA31</f>
        <v>69579.301482439</v>
      </c>
      <c r="CB32" s="268" t="n">
        <f aca="false">CB23-CB31</f>
        <v>69627.393998885</v>
      </c>
      <c r="CC32" s="268" t="n">
        <f aca="false">CC23-CC31</f>
        <v>69757.6501760049</v>
      </c>
      <c r="CD32" s="268" t="n">
        <f aca="false">CD23-CD31</f>
        <v>69892.7209423177</v>
      </c>
      <c r="CE32" s="268" t="n">
        <f aca="false">CE23-CE31</f>
        <v>70005.7010837724</v>
      </c>
      <c r="CF32" s="268" t="n">
        <f aca="false">CF23-CF31</f>
        <v>70112.66183809</v>
      </c>
      <c r="CG32" s="268" t="n">
        <f aca="false">CG23-CG31</f>
        <v>70231.4186224082</v>
      </c>
      <c r="CH32" s="268" t="n">
        <f aca="false">CH23-CH31</f>
        <v>69387.8370348332</v>
      </c>
      <c r="CI32" s="268" t="n">
        <f aca="false">CI23-CI31</f>
        <v>69510.1423310642</v>
      </c>
      <c r="CJ32" s="268" t="n">
        <f aca="false">CJ23-CJ31</f>
        <v>69559.9615401079</v>
      </c>
      <c r="CK32" s="268" t="n">
        <f aca="false">CK23-CK31</f>
        <v>69583.538870848</v>
      </c>
      <c r="CL32" s="268" t="n">
        <f aca="false">CL23-CL31</f>
        <v>69593.7312320315</v>
      </c>
      <c r="CM32" s="268" t="n">
        <f aca="false">CM23-CM31</f>
        <v>69593.7312320315</v>
      </c>
      <c r="CN32" s="268" t="n">
        <f aca="false">CN23-CN31</f>
        <v>69593.7312320315</v>
      </c>
      <c r="CO32" s="268" t="n">
        <f aca="false">CO23-CO31</f>
        <v>69593.7312320315</v>
      </c>
      <c r="CP32" s="268" t="n">
        <f aca="false">CP23-CP31</f>
        <v>69593.7312320315</v>
      </c>
      <c r="CQ32" s="268" t="n">
        <f aca="false">CQ23-CQ31</f>
        <v>69593.7312320315</v>
      </c>
      <c r="CR32" s="268" t="n">
        <f aca="false">CR23-CR31</f>
        <v>69593.7312320315</v>
      </c>
      <c r="CS32" s="268" t="n">
        <f aca="false">CS23-CS31</f>
        <v>69593.7312320315</v>
      </c>
      <c r="CT32" s="268" t="n">
        <f aca="false">CT23-CT31</f>
        <v>69593.7312320315</v>
      </c>
      <c r="CU32" s="268" t="n">
        <f aca="false">CU23-CU31</f>
        <v>69593.7312320315</v>
      </c>
      <c r="CV32" s="268" t="n">
        <f aca="false">CV23-CV31</f>
        <v>69593.7312320315</v>
      </c>
      <c r="CW32" s="268" t="n">
        <f aca="false">CW23-CW31</f>
        <v>69593.7312320315</v>
      </c>
      <c r="CX32" s="268" t="n">
        <f aca="false">CX23-CX31</f>
        <v>69593.7312320315</v>
      </c>
      <c r="CY32" s="268" t="n">
        <f aca="false">CY23-CY31</f>
        <v>69593.7312320315</v>
      </c>
      <c r="CZ32" s="268" t="n">
        <f aca="false">CZ23-CZ31</f>
        <v>69593.7312320315</v>
      </c>
      <c r="DA32" s="268" t="n">
        <f aca="false">DA23-DA31</f>
        <v>69593.7312320315</v>
      </c>
      <c r="DB32" s="268" t="n">
        <f aca="false">DB23-DB31</f>
        <v>69593.7312320315</v>
      </c>
      <c r="DC32" s="268" t="n">
        <f aca="false">DC23-DC31</f>
        <v>69593.7312320315</v>
      </c>
      <c r="DD32" s="268" t="n">
        <f aca="false">DD23-DD31</f>
        <v>69593.7312320315</v>
      </c>
      <c r="DE32" s="268" t="n">
        <f aca="false">DE23-DE31</f>
        <v>69593.7312320315</v>
      </c>
      <c r="DF32" s="268" t="n">
        <f aca="false">DF23-DF31</f>
        <v>69593.7312320315</v>
      </c>
      <c r="DG32" s="268" t="n">
        <f aca="false">DG23-DG31</f>
        <v>69593.7312320315</v>
      </c>
      <c r="DH32" s="268" t="n">
        <f aca="false">DH23-DH31</f>
        <v>69593.7312320315</v>
      </c>
      <c r="DI32" s="268" t="n">
        <f aca="false">DI23-DI31</f>
        <v>69593.7312320315</v>
      </c>
      <c r="DJ32" s="268" t="n">
        <f aca="false">DJ23-DJ31</f>
        <v>69593.7312320315</v>
      </c>
      <c r="DK32" s="268" t="n">
        <f aca="false">DK23-DK31</f>
        <v>69593.7312320315</v>
      </c>
      <c r="DL32" s="268" t="n">
        <f aca="false">DL23-DL31</f>
        <v>69593.7312320315</v>
      </c>
      <c r="DM32" s="268" t="n">
        <f aca="false">DM23-DM31</f>
        <v>69593.7312320315</v>
      </c>
      <c r="DN32" s="268" t="n">
        <f aca="false">DN23-DN31</f>
        <v>69593.7312320315</v>
      </c>
      <c r="DO32" s="268" t="n">
        <f aca="false">DO23-DO31</f>
        <v>69593.7312320315</v>
      </c>
      <c r="DP32" s="268" t="n">
        <f aca="false">DP23-DP31</f>
        <v>69593.7312320315</v>
      </c>
      <c r="DQ32" s="268" t="n">
        <f aca="false">DQ23-DQ31</f>
        <v>69593.7312320315</v>
      </c>
      <c r="DR32" s="268" t="n">
        <f aca="false">DR23-DR31</f>
        <v>69593.7312320315</v>
      </c>
      <c r="DS32" s="268" t="n">
        <f aca="false">DS23-DS31</f>
        <v>69593.7312320315</v>
      </c>
    </row>
    <row r="33" customFormat="false" ht="15" hidden="false" customHeight="true" outlineLevel="0" collapsed="false">
      <c r="B33" s="178" t="s">
        <v>3431</v>
      </c>
      <c r="D33" s="268" t="n">
        <f aca="false">D32-D25-D26-D27-D37</f>
        <v>-669342.743666667</v>
      </c>
      <c r="E33" s="268" t="n">
        <f aca="false">E32-E25-E26-E27-E37</f>
        <v>-470743.743666667</v>
      </c>
      <c r="F33" s="268" t="n">
        <f aca="false">F32-F25-F26-F27-F37</f>
        <v>-425743.743666667</v>
      </c>
      <c r="G33" s="268" t="n">
        <f aca="false">G32-G25-G26-G27-G37</f>
        <v>-265599.947130978</v>
      </c>
      <c r="H33" s="268" t="n">
        <f aca="false">H32-H25-H26-H27-H37</f>
        <v>-289956.902263237</v>
      </c>
      <c r="I33" s="268" t="n">
        <f aca="false">I32-I25-I26-I27-I37</f>
        <v>6835.93830026941</v>
      </c>
      <c r="J33" s="268" t="n">
        <f aca="false">J32-J25-J26-J27-J37</f>
        <v>10951.5965109153</v>
      </c>
      <c r="K33" s="268" t="n">
        <f aca="false">K32-K25-K26-K27-K37</f>
        <v>17051.2906689435</v>
      </c>
      <c r="L33" s="268" t="n">
        <f aca="false">L32-L25-L26-L27-L37</f>
        <v>58155.0554584569</v>
      </c>
      <c r="M33" s="268" t="n">
        <f aca="false">M32-M25-M26-M27-M37</f>
        <v>56512.1551426885</v>
      </c>
      <c r="N33" s="268" t="n">
        <f aca="false">N32-N25-N26-N27-N37</f>
        <v>50112.1551426885</v>
      </c>
      <c r="O33" s="268" t="n">
        <f aca="false">O32-O25-O26-O27-O37</f>
        <v>50112.1551426885</v>
      </c>
      <c r="P33" s="268" t="n">
        <f aca="false">P32-P25-P26-P27-P37</f>
        <v>54017.1439091533</v>
      </c>
      <c r="Q33" s="268" t="n">
        <f aca="false">Q32-Q25-Q26-Q27-Q37</f>
        <v>54017.1439091533</v>
      </c>
      <c r="R33" s="268" t="n">
        <f aca="false">R32-R25-R26-R27-R37</f>
        <v>54017.1439091533</v>
      </c>
      <c r="S33" s="268" t="n">
        <f aca="false">S32-S25-S26-S27-S37</f>
        <v>54017.1439091533</v>
      </c>
      <c r="T33" s="268" t="n">
        <f aca="false">T32-T25-T26-T27-T37</f>
        <v>54017.1439091533</v>
      </c>
      <c r="U33" s="268" t="n">
        <f aca="false">U32-U25-U26-U27-U37</f>
        <v>54017.1439091533</v>
      </c>
      <c r="V33" s="268" t="n">
        <f aca="false">V32-V25-V26-V27-V37</f>
        <v>54424.4363466533</v>
      </c>
      <c r="W33" s="268" t="n">
        <f aca="false">W32-W25-W26-W27-W37</f>
        <v>54866.8642575845</v>
      </c>
      <c r="X33" s="268" t="n">
        <f aca="false">X32-X25-X26-X27-X37</f>
        <v>54993.60141957</v>
      </c>
      <c r="Y33" s="268" t="n">
        <f aca="false">Y32-Y25-Y26-Y27-Y37</f>
        <v>55389.2663587351</v>
      </c>
      <c r="Z33" s="268" t="n">
        <f aca="false">Z32-Z25-Z26-Z27-Z37</f>
        <v>55496.2946591533</v>
      </c>
      <c r="AA33" s="268" t="n">
        <f aca="false">AA32-AA25-AA26-AA27-AA37</f>
        <v>55538.0201849685</v>
      </c>
      <c r="AB33" s="268" t="n">
        <f aca="false">AB32-AB25-AB26-AB27-AB37</f>
        <v>59484.1341099706</v>
      </c>
      <c r="AC33" s="268" t="n">
        <f aca="false">AC32-AC25-AC26-AC27-AC37</f>
        <v>59484.1341099706</v>
      </c>
      <c r="AD33" s="268" t="n">
        <f aca="false">AD32-AD25-AD26-AD27-AD37</f>
        <v>56485.6076279562</v>
      </c>
      <c r="AE33" s="268" t="n">
        <f aca="false">AE32-AE25-AE26-AE27-AE37</f>
        <v>56485.6076279562</v>
      </c>
      <c r="AF33" s="268" t="n">
        <f aca="false">AF32-AF25-AF26-AF27-AF37</f>
        <v>56485.6076279562</v>
      </c>
      <c r="AG33" s="268" t="n">
        <f aca="false">AG32-AG25-AG26-AG27-AG37</f>
        <v>56412.8352353121</v>
      </c>
      <c r="AH33" s="268" t="n">
        <f aca="false">AH32-AH25-AH26-AH27-AH37</f>
        <v>56412.8352353121</v>
      </c>
      <c r="AI33" s="268" t="n">
        <f aca="false">AI32-AI25-AI26-AI27-AI37</f>
        <v>57042.5348853507</v>
      </c>
      <c r="AJ33" s="268" t="n">
        <f aca="false">AJ32-AJ25-AJ26-AJ27-AJ37</f>
        <v>57605.4181335907</v>
      </c>
      <c r="AK33" s="268" t="n">
        <f aca="false">AK32-AK25-AK26-AK27-AK37</f>
        <v>57778.9887386381</v>
      </c>
      <c r="AL33" s="268" t="n">
        <f aca="false">AL32-AL25-AL26-AL27-AL37</f>
        <v>58287.4632512783</v>
      </c>
      <c r="AM33" s="268" t="n">
        <f aca="false">AM32-AM25-AM26-AM27-AM37</f>
        <v>58422.5010675466</v>
      </c>
      <c r="AN33" s="268" t="n">
        <f aca="false">AN32-AN25-AN26-AN27-AN37</f>
        <v>60757.7109945229</v>
      </c>
      <c r="AO33" s="268" t="n">
        <f aca="false">AO32-AO25-AO26-AO27-AO37</f>
        <v>60878.3258124451</v>
      </c>
      <c r="AP33" s="268" t="n">
        <f aca="false">AP32-AP25-AP26-AP27-AP37</f>
        <v>60837.4151407669</v>
      </c>
      <c r="AQ33" s="268" t="n">
        <f aca="false">AQ32-AQ25-AQ26-AQ27-AQ37</f>
        <v>61258.4144320013</v>
      </c>
      <c r="AR33" s="268" t="n">
        <f aca="false">AR32-AR25-AR26-AR27-AR37</f>
        <v>61602.03216371</v>
      </c>
      <c r="AS33" s="268" t="n">
        <f aca="false">AS32-AS25-AS26-AS27-AS37</f>
        <v>61948.9265490006</v>
      </c>
      <c r="AT33" s="268" t="n">
        <f aca="false">AT32-AT25-AT26-AT27-AT37</f>
        <v>62299.6305320263</v>
      </c>
      <c r="AU33" s="268" t="n">
        <f aca="false">AU32-AU25-AU26-AU27-AU37</f>
        <v>62411.5996550008</v>
      </c>
      <c r="AV33" s="268" t="n">
        <f aca="false">AV32-AV25-AV26-AV27-AV37</f>
        <v>62474.0542825138</v>
      </c>
      <c r="AW33" s="268" t="n">
        <f aca="false">AW32-AW25-AW26-AW27-AW37</f>
        <v>62755.0616587555</v>
      </c>
      <c r="AX33" s="268" t="n">
        <f aca="false">AX32-AX25-AX26-AX27-AX37</f>
        <v>62810.3128588552</v>
      </c>
      <c r="AY33" s="268" t="n">
        <f aca="false">AY32-AY25-AY26-AY27-AY37</f>
        <v>63022.6827189836</v>
      </c>
      <c r="AZ33" s="268" t="n">
        <f aca="false">AZ32-AZ25-AZ26-AZ27-AZ37</f>
        <v>65211.6594988977</v>
      </c>
      <c r="BA33" s="268" t="n">
        <f aca="false">BA32-BA25-BA26-BA27-BA37</f>
        <v>65272.3597475273</v>
      </c>
      <c r="BB33" s="268" t="n">
        <f aca="false">BB32-BB25-BB26-BB27-BB37</f>
        <v>61956.665336426</v>
      </c>
      <c r="BC33" s="268" t="n">
        <f aca="false">BC32-BC25-BC26-BC27-BC37</f>
        <v>61992.9833670705</v>
      </c>
      <c r="BD33" s="268" t="n">
        <f aca="false">BD32-BD25-BD26-BD27-BD37</f>
        <v>61992.9833670705</v>
      </c>
      <c r="BE33" s="268" t="n">
        <f aca="false">BE32-BE25-BE26-BE27-BE37</f>
        <v>61992.9833670705</v>
      </c>
      <c r="BF33" s="268" t="n">
        <f aca="false">BF32-BF25-BF26-BF27-BF37</f>
        <v>61848.2077122287</v>
      </c>
      <c r="BG33" s="268" t="n">
        <f aca="false">BG32-BG25-BG26-BG27-BG37</f>
        <v>61848.2077122287</v>
      </c>
      <c r="BH33" s="268" t="n">
        <f aca="false">BH32-BH25-BH26-BH27-BH37</f>
        <v>61848.2077122287</v>
      </c>
      <c r="BI33" s="268" t="n">
        <f aca="false">BI32-BI25-BI26-BI27-BI37</f>
        <v>62298.2098056505</v>
      </c>
      <c r="BJ33" s="268" t="n">
        <f aca="false">BJ32-BJ25-BJ26-BJ27-BJ37</f>
        <v>62601.541532143</v>
      </c>
      <c r="BK33" s="268" t="n">
        <f aca="false">BK32-BK25-BK26-BK27-BK37</f>
        <v>62840.8643506956</v>
      </c>
      <c r="BL33" s="268" t="n">
        <f aca="false">BL32-BL25-BL26-BL27-BL37</f>
        <v>65109.1738273391</v>
      </c>
      <c r="BM33" s="268" t="n">
        <f aca="false">BM32-BM25-BM26-BM27-BM37</f>
        <v>65374.3333363221</v>
      </c>
      <c r="BN33" s="268" t="n">
        <f aca="false">BN32-BN25-BN26-BN27-BN37</f>
        <v>65623.2655559947</v>
      </c>
      <c r="BO33" s="268" t="n">
        <f aca="false">BO32-BO25-BO26-BO27-BO37</f>
        <v>65704.4219932137</v>
      </c>
      <c r="BP33" s="268" t="n">
        <f aca="false">BP32-BP25-BP26-BP27-BP37</f>
        <v>65937.0896038696</v>
      </c>
      <c r="BQ33" s="268" t="n">
        <f aca="false">BQ32-BQ25-BQ26-BQ27-BQ37</f>
        <v>66025.4979840759</v>
      </c>
      <c r="BR33" s="268" t="n">
        <f aca="false">BR32-BR25-BR26-BR27-BR37</f>
        <v>66212.5687865602</v>
      </c>
      <c r="BS33" s="268" t="n">
        <f aca="false">BS32-BS25-BS26-BS27-BS37</f>
        <v>66409.1343560079</v>
      </c>
      <c r="BT33" s="268" t="n">
        <f aca="false">BT32-BT25-BT26-BT27-BT37</f>
        <v>66624.3201314102</v>
      </c>
      <c r="BU33" s="268" t="n">
        <f aca="false">BU32-BU25-BU26-BU27-BU37</f>
        <v>66802.0813582174</v>
      </c>
      <c r="BV33" s="268" t="n">
        <f aca="false">BV32-BV25-BV26-BV27-BV37</f>
        <v>66968.5318500869</v>
      </c>
      <c r="BW33" s="268" t="n">
        <f aca="false">BW32-BW25-BW26-BW27-BW37</f>
        <v>67048.8631315144</v>
      </c>
      <c r="BX33" s="268" t="n">
        <f aca="false">BX32-BX25-BX26-BX27-BX37</f>
        <v>69177.0405178368</v>
      </c>
      <c r="BY33" s="268" t="n">
        <f aca="false">BY32-BY25-BY26-BY27-BY37</f>
        <v>69233.0291410785</v>
      </c>
      <c r="BZ33" s="268" t="n">
        <f aca="false">BZ32-BZ25-BZ26-BZ27-BZ37</f>
        <v>69440.795549166</v>
      </c>
      <c r="CA33" s="268" t="n">
        <f aca="false">CA32-CA25-CA26-CA27-CA37</f>
        <v>69579.301482439</v>
      </c>
      <c r="CB33" s="268" t="n">
        <f aca="false">CB32-CB25-CB26-CB27-CB37</f>
        <v>69627.393998885</v>
      </c>
      <c r="CC33" s="268" t="n">
        <f aca="false">CC32-CC25-CC26-CC27-CC37</f>
        <v>69757.6501760049</v>
      </c>
      <c r="CD33" s="268" t="n">
        <f aca="false">CD32-CD25-CD26-CD27-CD37</f>
        <v>69892.7209423177</v>
      </c>
      <c r="CE33" s="268" t="n">
        <f aca="false">CE32-CE25-CE26-CE27-CE37</f>
        <v>70005.7010837724</v>
      </c>
      <c r="CF33" s="268" t="n">
        <f aca="false">CF32-CF25-CF26-CF27-CF37</f>
        <v>70112.66183809</v>
      </c>
      <c r="CG33" s="268" t="n">
        <f aca="false">CG32-CG25-CG26-CG27-CG37</f>
        <v>70231.4186224082</v>
      </c>
      <c r="CH33" s="268" t="n">
        <f aca="false">CH32-CH25-CH26-CH27-CH37</f>
        <v>69387.8370348332</v>
      </c>
      <c r="CI33" s="268" t="n">
        <f aca="false">CI32-CI25-CI26-CI27-CI37</f>
        <v>69510.1423310642</v>
      </c>
      <c r="CJ33" s="268" t="n">
        <f aca="false">CJ32-CJ25-CJ26-CJ27-CJ37</f>
        <v>69559.9615401079</v>
      </c>
      <c r="CK33" s="268" t="n">
        <f aca="false">CK32-CK25-CK26-CK27-CK37</f>
        <v>69583.538870848</v>
      </c>
      <c r="CL33" s="268" t="n">
        <f aca="false">CL32-CL25-CL26-CL27-CL37</f>
        <v>69593.7312320315</v>
      </c>
      <c r="CM33" s="268" t="n">
        <f aca="false">CM32-CM25-CM26-CM27-CM37</f>
        <v>69593.7312320315</v>
      </c>
      <c r="CN33" s="268" t="n">
        <f aca="false">CN32-CN25-CN26-CN27-CN37</f>
        <v>69593.7312320315</v>
      </c>
      <c r="CO33" s="268" t="n">
        <f aca="false">CO32-CO25-CO26-CO27-CO37</f>
        <v>69593.7312320315</v>
      </c>
      <c r="CP33" s="268" t="n">
        <f aca="false">CP32-CP25-CP26-CP27-CP37</f>
        <v>69593.7312320315</v>
      </c>
      <c r="CQ33" s="268" t="n">
        <f aca="false">CQ32-CQ25-CQ26-CQ27-CQ37</f>
        <v>69593.7312320315</v>
      </c>
      <c r="CR33" s="268" t="n">
        <f aca="false">CR32-CR25-CR26-CR27-CR37</f>
        <v>69593.7312320315</v>
      </c>
      <c r="CS33" s="268" t="n">
        <f aca="false">CS32-CS25-CS26-CS27-CS37</f>
        <v>69593.7312320315</v>
      </c>
      <c r="CT33" s="268" t="n">
        <f aca="false">CT32-CT25-CT26-CT27-CT37</f>
        <v>69593.7312320315</v>
      </c>
      <c r="CU33" s="268" t="n">
        <f aca="false">CU32-CU25-CU26-CU27-CU37</f>
        <v>69593.7312320315</v>
      </c>
      <c r="CV33" s="268" t="n">
        <f aca="false">CV32-CV25-CV26-CV27-CV37</f>
        <v>69593.7312320315</v>
      </c>
      <c r="CW33" s="268" t="n">
        <f aca="false">CW32-CW25-CW26-CW27-CW37</f>
        <v>69593.7312320315</v>
      </c>
      <c r="CX33" s="268" t="n">
        <f aca="false">CX32-CX25-CX26-CX27-CX37</f>
        <v>69593.7312320315</v>
      </c>
      <c r="CY33" s="268" t="n">
        <f aca="false">CY32-CY25-CY26-CY27-CY37</f>
        <v>69593.7312320315</v>
      </c>
      <c r="CZ33" s="268" t="n">
        <f aca="false">CZ32-CZ25-CZ26-CZ27-CZ37</f>
        <v>69593.7312320315</v>
      </c>
      <c r="DA33" s="268" t="n">
        <f aca="false">DA32-DA25-DA26-DA27-DA37</f>
        <v>69593.7312320315</v>
      </c>
      <c r="DB33" s="268" t="n">
        <f aca="false">DB32-DB25-DB26-DB27-DB37</f>
        <v>69593.7312320315</v>
      </c>
      <c r="DC33" s="268" t="n">
        <f aca="false">DC32-DC25-DC26-DC27-DC37</f>
        <v>69593.7312320315</v>
      </c>
      <c r="DD33" s="268" t="n">
        <f aca="false">DD32-DD25-DD26-DD27-DD37</f>
        <v>69593.7312320315</v>
      </c>
      <c r="DE33" s="268" t="n">
        <f aca="false">DE32-DE25-DE26-DE27-DE37</f>
        <v>69593.7312320315</v>
      </c>
      <c r="DF33" s="268" t="n">
        <f aca="false">DF32-DF25-DF26-DF27-DF37</f>
        <v>69593.7312320315</v>
      </c>
      <c r="DG33" s="268" t="n">
        <f aca="false">DG32-DG25-DG26-DG27-DG37</f>
        <v>69593.7312320315</v>
      </c>
      <c r="DH33" s="268" t="n">
        <f aca="false">DH32-DH25-DH26-DH27-DH37</f>
        <v>69593.7312320315</v>
      </c>
      <c r="DI33" s="268" t="n">
        <f aca="false">DI32-DI25-DI26-DI27-DI37</f>
        <v>69593.7312320315</v>
      </c>
      <c r="DJ33" s="268" t="n">
        <f aca="false">DJ32-DJ25-DJ26-DJ27-DJ37</f>
        <v>69593.7312320315</v>
      </c>
      <c r="DK33" s="268" t="n">
        <f aca="false">DK32-DK25-DK26-DK27-DK37</f>
        <v>69593.7312320315</v>
      </c>
      <c r="DL33" s="268" t="n">
        <f aca="false">DL32-DL25-DL26-DL27-DL37</f>
        <v>69593.7312320315</v>
      </c>
      <c r="DM33" s="268" t="n">
        <f aca="false">DM32-DM25-DM26-DM27-DM37</f>
        <v>69593.7312320315</v>
      </c>
      <c r="DN33" s="268" t="n">
        <f aca="false">DN32-DN25-DN26-DN27-DN37</f>
        <v>69593.7312320315</v>
      </c>
      <c r="DO33" s="268" t="n">
        <f aca="false">DO32-DO25-DO26-DO27-DO37</f>
        <v>69593.7312320315</v>
      </c>
      <c r="DP33" s="268" t="n">
        <f aca="false">DP32-DP25-DP26-DP27-DP37</f>
        <v>69593.7312320315</v>
      </c>
      <c r="DQ33" s="268" t="n">
        <f aca="false">DQ32-DQ25-DQ26-DQ27-DQ37</f>
        <v>69593.7312320315</v>
      </c>
      <c r="DR33" s="268" t="n">
        <f aca="false">DR32-DR25-DR26-DR27-DR37</f>
        <v>69593.7312320315</v>
      </c>
      <c r="DS33" s="268" t="n">
        <f aca="false">DS32-DS25-DS26-DS27-DS37</f>
        <v>69593.7312320315</v>
      </c>
    </row>
    <row r="34" customFormat="false" ht="15" hidden="false" customHeight="true" outlineLevel="0" collapsed="false">
      <c r="B34" s="297" t="s">
        <v>300</v>
      </c>
      <c r="D34" s="273" t="n">
        <f aca="false">D33</f>
        <v>-669342.743666667</v>
      </c>
      <c r="E34" s="273" t="n">
        <f aca="false">D34+E33</f>
        <v>-1140086.48733333</v>
      </c>
      <c r="F34" s="273" t="n">
        <f aca="false">E34+F33</f>
        <v>-1565830.231</v>
      </c>
      <c r="G34" s="273" t="n">
        <f aca="false">F34+G33</f>
        <v>-1831430.17813098</v>
      </c>
      <c r="H34" s="273" t="n">
        <f aca="false">G34+H33</f>
        <v>-2121387.08039422</v>
      </c>
      <c r="I34" s="273" t="n">
        <f aca="false">H34+I33</f>
        <v>-2114551.14209395</v>
      </c>
      <c r="J34" s="273" t="n">
        <f aca="false">I34+J33</f>
        <v>-2103599.54558303</v>
      </c>
      <c r="K34" s="273" t="n">
        <f aca="false">J34+K33</f>
        <v>-2086548.25491409</v>
      </c>
      <c r="L34" s="273" t="n">
        <f aca="false">K34+L33</f>
        <v>-2028393.19945563</v>
      </c>
      <c r="M34" s="273" t="n">
        <f aca="false">L34+M33</f>
        <v>-1971881.04431294</v>
      </c>
      <c r="N34" s="273" t="n">
        <f aca="false">M34+N33</f>
        <v>-1921768.88917025</v>
      </c>
      <c r="O34" s="273" t="n">
        <f aca="false">N34+O33</f>
        <v>-1871656.73402757</v>
      </c>
      <c r="P34" s="273" t="n">
        <f aca="false">O34+P33</f>
        <v>-1817639.59011841</v>
      </c>
      <c r="Q34" s="273" t="n">
        <f aca="false">P34+Q33</f>
        <v>-1763622.44620926</v>
      </c>
      <c r="R34" s="273" t="n">
        <f aca="false">Q34+R33</f>
        <v>-1709605.30230011</v>
      </c>
      <c r="S34" s="273" t="n">
        <f aca="false">R34+S33</f>
        <v>-1655588.15839095</v>
      </c>
      <c r="T34" s="273" t="n">
        <f aca="false">S34+T33</f>
        <v>-1601571.0144818</v>
      </c>
      <c r="U34" s="273" t="n">
        <f aca="false">T34+U33</f>
        <v>-1547553.87057265</v>
      </c>
      <c r="V34" s="273" t="n">
        <f aca="false">U34+V33</f>
        <v>-1493129.43422599</v>
      </c>
      <c r="W34" s="273" t="n">
        <f aca="false">V34+W33</f>
        <v>-1438262.56996841</v>
      </c>
      <c r="X34" s="273" t="n">
        <f aca="false">W34+X33</f>
        <v>-1383268.96854884</v>
      </c>
      <c r="Y34" s="273" t="n">
        <f aca="false">X34+Y33</f>
        <v>-1327879.7021901</v>
      </c>
      <c r="Z34" s="273" t="n">
        <f aca="false">Y34+Z33</f>
        <v>-1272383.40753095</v>
      </c>
      <c r="AA34" s="273" t="n">
        <f aca="false">Z34+AA33</f>
        <v>-1216845.38734598</v>
      </c>
      <c r="AB34" s="273" t="n">
        <f aca="false">AA34+AB33</f>
        <v>-1157361.25323601</v>
      </c>
      <c r="AC34" s="273" t="n">
        <f aca="false">AB34+AC33</f>
        <v>-1097877.11912604</v>
      </c>
      <c r="AD34" s="273" t="n">
        <f aca="false">AC34+AD33</f>
        <v>-1041391.51149808</v>
      </c>
      <c r="AE34" s="273" t="n">
        <f aca="false">AD34+AE33</f>
        <v>-984905.903870127</v>
      </c>
      <c r="AF34" s="273" t="n">
        <f aca="false">AE34+AF33</f>
        <v>-928420.296242171</v>
      </c>
      <c r="AG34" s="273" t="n">
        <f aca="false">AF34+AG33</f>
        <v>-872007.461006859</v>
      </c>
      <c r="AH34" s="273" t="n">
        <f aca="false">AG34+AH33</f>
        <v>-815594.625771547</v>
      </c>
      <c r="AI34" s="273" t="n">
        <f aca="false">AH34+AI33</f>
        <v>-758552.090886196</v>
      </c>
      <c r="AJ34" s="273" t="n">
        <f aca="false">AI34+AJ33</f>
        <v>-700946.672752605</v>
      </c>
      <c r="AK34" s="273" t="n">
        <f aca="false">AJ34+AK33</f>
        <v>-643167.684013967</v>
      </c>
      <c r="AL34" s="273" t="n">
        <f aca="false">AK34+AL33</f>
        <v>-584880.220762689</v>
      </c>
      <c r="AM34" s="273" t="n">
        <f aca="false">AL34+AM33</f>
        <v>-526457.719695143</v>
      </c>
      <c r="AN34" s="273" t="n">
        <f aca="false">AM34+AN33</f>
        <v>-465700.00870062</v>
      </c>
      <c r="AO34" s="273" t="n">
        <f aca="false">AN34+AO33</f>
        <v>-404821.682888175</v>
      </c>
      <c r="AP34" s="273" t="n">
        <f aca="false">AO34+AP33</f>
        <v>-343984.267747408</v>
      </c>
      <c r="AQ34" s="273" t="n">
        <f aca="false">AP34+AQ33</f>
        <v>-282725.853315407</v>
      </c>
      <c r="AR34" s="273" t="n">
        <f aca="false">AQ34+AR33</f>
        <v>-221123.821151696</v>
      </c>
      <c r="AS34" s="273" t="n">
        <f aca="false">AR34+AS33</f>
        <v>-159174.894602696</v>
      </c>
      <c r="AT34" s="273" t="n">
        <f aca="false">AS34+AT33</f>
        <v>-96875.2640706696</v>
      </c>
      <c r="AU34" s="273" t="n">
        <f aca="false">AT34+AU33</f>
        <v>-34463.6644156688</v>
      </c>
      <c r="AV34" s="273" t="n">
        <f aca="false">AU34+AV33</f>
        <v>28010.389866845</v>
      </c>
      <c r="AW34" s="273" t="n">
        <f aca="false">AV34+AW33</f>
        <v>90765.4515256005</v>
      </c>
      <c r="AX34" s="273" t="n">
        <f aca="false">AW34+AX33</f>
        <v>153575.764384456</v>
      </c>
      <c r="AY34" s="273" t="n">
        <f aca="false">AX34+AY33</f>
        <v>216598.447103439</v>
      </c>
      <c r="AZ34" s="273" t="n">
        <f aca="false">AY34+AZ33</f>
        <v>281810.106602337</v>
      </c>
      <c r="BA34" s="273" t="n">
        <f aca="false">AZ34+BA33</f>
        <v>347082.466349864</v>
      </c>
      <c r="BB34" s="273" t="n">
        <f aca="false">BA34+BB33</f>
        <v>409039.13168629</v>
      </c>
      <c r="BC34" s="273" t="n">
        <f aca="false">BB34+BC33</f>
        <v>471032.115053361</v>
      </c>
      <c r="BD34" s="273" t="n">
        <f aca="false">BC34+BD33</f>
        <v>533025.098420431</v>
      </c>
      <c r="BE34" s="273" t="n">
        <f aca="false">BD34+BE33</f>
        <v>595018.081787502</v>
      </c>
      <c r="BF34" s="273" t="n">
        <f aca="false">BE34+BF33</f>
        <v>656866.289499731</v>
      </c>
      <c r="BG34" s="273" t="n">
        <f aca="false">BF34+BG33</f>
        <v>718714.497211959</v>
      </c>
      <c r="BH34" s="273" t="n">
        <f aca="false">BG34+BH33</f>
        <v>780562.704924188</v>
      </c>
      <c r="BI34" s="273" t="n">
        <f aca="false">BH34+BI33</f>
        <v>842860.914729838</v>
      </c>
      <c r="BJ34" s="273" t="n">
        <f aca="false">BI34+BJ33</f>
        <v>905462.456261981</v>
      </c>
      <c r="BK34" s="273" t="n">
        <f aca="false">BJ34+BK33</f>
        <v>968303.320612677</v>
      </c>
      <c r="BL34" s="273" t="n">
        <f aca="false">BK34+BL33</f>
        <v>1033412.49444002</v>
      </c>
      <c r="BM34" s="273" t="n">
        <f aca="false">BL34+BM33</f>
        <v>1098786.82777634</v>
      </c>
      <c r="BN34" s="273" t="n">
        <f aca="false">BM34+BN33</f>
        <v>1164410.09333233</v>
      </c>
      <c r="BO34" s="273" t="n">
        <f aca="false">BN34+BO33</f>
        <v>1230114.51532555</v>
      </c>
      <c r="BP34" s="273" t="n">
        <f aca="false">BO34+BP33</f>
        <v>1296051.60492942</v>
      </c>
      <c r="BQ34" s="273" t="n">
        <f aca="false">BP34+BQ33</f>
        <v>1362077.10291349</v>
      </c>
      <c r="BR34" s="273" t="n">
        <f aca="false">BQ34+BR33</f>
        <v>1428289.67170005</v>
      </c>
      <c r="BS34" s="273" t="n">
        <f aca="false">BR34+BS33</f>
        <v>1494698.80605606</v>
      </c>
      <c r="BT34" s="273" t="n">
        <f aca="false">BS34+BT33</f>
        <v>1561323.12618747</v>
      </c>
      <c r="BU34" s="273" t="n">
        <f aca="false">BT34+BU33</f>
        <v>1628125.20754569</v>
      </c>
      <c r="BV34" s="273" t="n">
        <f aca="false">BU34+BV33</f>
        <v>1695093.73939577</v>
      </c>
      <c r="BW34" s="273" t="n">
        <f aca="false">BV34+BW33</f>
        <v>1762142.60252729</v>
      </c>
      <c r="BX34" s="273" t="n">
        <f aca="false">BW34+BX33</f>
        <v>1831319.64304513</v>
      </c>
      <c r="BY34" s="273" t="n">
        <f aca="false">BX34+BY33</f>
        <v>1900552.6721862</v>
      </c>
      <c r="BZ34" s="273" t="n">
        <f aca="false">BY34+BZ33</f>
        <v>1969993.46773537</v>
      </c>
      <c r="CA34" s="273" t="n">
        <f aca="false">BZ34+CA33</f>
        <v>2039572.76921781</v>
      </c>
      <c r="CB34" s="273" t="n">
        <f aca="false">CA34+CB33</f>
        <v>2109200.16321669</v>
      </c>
      <c r="CC34" s="273" t="n">
        <f aca="false">CB34+CC33</f>
        <v>2178957.8133927</v>
      </c>
      <c r="CD34" s="273" t="n">
        <f aca="false">CC34+CD33</f>
        <v>2248850.53433502</v>
      </c>
      <c r="CE34" s="273" t="n">
        <f aca="false">CD34+CE33</f>
        <v>2318856.23541879</v>
      </c>
      <c r="CF34" s="273" t="n">
        <f aca="false">CE34+CF33</f>
        <v>2388968.89725688</v>
      </c>
      <c r="CG34" s="273" t="n">
        <f aca="false">CF34+CG33</f>
        <v>2459200.31587929</v>
      </c>
      <c r="CH34" s="273" t="n">
        <f aca="false">CG34+CH33</f>
        <v>2528588.15291412</v>
      </c>
      <c r="CI34" s="273" t="n">
        <f aca="false">CH34+CI33</f>
        <v>2598098.29524518</v>
      </c>
      <c r="CJ34" s="273" t="n">
        <f aca="false">CI34+CJ33</f>
        <v>2667658.25678529</v>
      </c>
      <c r="CK34" s="273" t="n">
        <f aca="false">CJ34+CK33</f>
        <v>2737241.79565614</v>
      </c>
      <c r="CL34" s="273" t="n">
        <f aca="false">CK34+CL33</f>
        <v>2806835.52688817</v>
      </c>
      <c r="CM34" s="273" t="n">
        <f aca="false">CL34+CM33</f>
        <v>2876429.2581202</v>
      </c>
      <c r="CN34" s="273" t="n">
        <f aca="false">CM34+CN33</f>
        <v>2946022.98935224</v>
      </c>
      <c r="CO34" s="273" t="n">
        <f aca="false">CN34+CO33</f>
        <v>3015616.72058427</v>
      </c>
      <c r="CP34" s="273" t="n">
        <f aca="false">CO34+CP33</f>
        <v>3085210.4518163</v>
      </c>
      <c r="CQ34" s="273" t="n">
        <f aca="false">CP34+CQ33</f>
        <v>3154804.18304833</v>
      </c>
      <c r="CR34" s="273" t="n">
        <f aca="false">CQ34+CR33</f>
        <v>3224397.91428036</v>
      </c>
      <c r="CS34" s="273" t="n">
        <f aca="false">CR34+CS33</f>
        <v>3293991.64551239</v>
      </c>
      <c r="CT34" s="273" t="n">
        <f aca="false">CS34+CT33</f>
        <v>3363585.37674443</v>
      </c>
      <c r="CU34" s="273" t="n">
        <f aca="false">CT34+CU33</f>
        <v>3433179.10797646</v>
      </c>
      <c r="CV34" s="273" t="n">
        <f aca="false">CU34+CV33</f>
        <v>3502772.83920849</v>
      </c>
      <c r="CW34" s="273" t="n">
        <f aca="false">CV34+CW33</f>
        <v>3572366.57044052</v>
      </c>
      <c r="CX34" s="273" t="n">
        <f aca="false">CW34+CX33</f>
        <v>3641960.30167255</v>
      </c>
      <c r="CY34" s="273" t="n">
        <f aca="false">CX34+CY33</f>
        <v>3711554.03290458</v>
      </c>
      <c r="CZ34" s="273" t="n">
        <f aca="false">CY34+CZ33</f>
        <v>3781147.76413662</v>
      </c>
      <c r="DA34" s="273" t="n">
        <f aca="false">CZ34+DA33</f>
        <v>3850741.49536865</v>
      </c>
      <c r="DB34" s="273" t="n">
        <f aca="false">DA34+DB33</f>
        <v>3920335.22660068</v>
      </c>
      <c r="DC34" s="273" t="n">
        <f aca="false">DB34+DC33</f>
        <v>3989928.95783271</v>
      </c>
      <c r="DD34" s="273" t="n">
        <f aca="false">DC34+DD33</f>
        <v>4059522.68906474</v>
      </c>
      <c r="DE34" s="273" t="n">
        <f aca="false">DD34+DE33</f>
        <v>4129116.42029677</v>
      </c>
      <c r="DF34" s="273" t="n">
        <f aca="false">DE34+DF33</f>
        <v>4198710.15152881</v>
      </c>
      <c r="DG34" s="273" t="n">
        <f aca="false">DF34+DG33</f>
        <v>4268303.88276084</v>
      </c>
      <c r="DH34" s="273" t="n">
        <f aca="false">DG34+DH33</f>
        <v>4337897.61399287</v>
      </c>
      <c r="DI34" s="273" t="n">
        <f aca="false">DH34+DI33</f>
        <v>4407491.3452249</v>
      </c>
      <c r="DJ34" s="273" t="n">
        <f aca="false">DI34+DJ33</f>
        <v>4477085.07645693</v>
      </c>
      <c r="DK34" s="273" t="n">
        <f aca="false">DJ34+DK33</f>
        <v>4546678.80768896</v>
      </c>
      <c r="DL34" s="273" t="n">
        <f aca="false">DK34+DL33</f>
        <v>4616272.53892099</v>
      </c>
      <c r="DM34" s="273" t="n">
        <f aca="false">DL34+DM33</f>
        <v>4685866.27015302</v>
      </c>
      <c r="DN34" s="273" t="n">
        <f aca="false">DM34+DN33</f>
        <v>4755460.00138506</v>
      </c>
      <c r="DO34" s="273" t="n">
        <f aca="false">DN34+DO33</f>
        <v>4825053.73261709</v>
      </c>
      <c r="DP34" s="273" t="n">
        <f aca="false">DO34+DP33</f>
        <v>4894647.46384912</v>
      </c>
      <c r="DQ34" s="273" t="n">
        <f aca="false">DP34+DQ33</f>
        <v>4964241.19508115</v>
      </c>
      <c r="DR34" s="273" t="n">
        <f aca="false">DQ34+DR33</f>
        <v>5033834.92631318</v>
      </c>
      <c r="DS34" s="273" t="n">
        <f aca="false">DR34+DS33</f>
        <v>5103428.65754521</v>
      </c>
    </row>
    <row r="35" customFormat="false" ht="15" hidden="false" customHeight="true" outlineLevel="0" collapsed="false">
      <c r="B35" s="297" t="s">
        <v>3432</v>
      </c>
      <c r="D35" s="273" t="n">
        <f aca="false">D33/(1+SUP_CONTROL!$C$32)^D4</f>
        <v>-659249.97561307</v>
      </c>
      <c r="E35" s="273" t="n">
        <f aca="false">E33/(1+SUP_CONTROL!$C$32)^E4</f>
        <v>-456654.437764112</v>
      </c>
      <c r="F35" s="273" t="n">
        <f aca="false">F33/(1+SUP_CONTROL!$C$32)^F4</f>
        <v>-406773.79121242</v>
      </c>
      <c r="G35" s="273" t="n">
        <f aca="false">G33/(1+SUP_CONTROL!$C$32)^G4</f>
        <v>-249939.119519147</v>
      </c>
      <c r="H35" s="273" t="n">
        <f aca="false">H33/(1+SUP_CONTROL!$C$32)^H4</f>
        <v>-268745.539936844</v>
      </c>
      <c r="I35" s="273" t="n">
        <f aca="false">I33/(1+SUP_CONTROL!$C$32)^I4</f>
        <v>6240.3293479518</v>
      </c>
      <c r="J35" s="273" t="n">
        <f aca="false">J33/(1+SUP_CONTROL!$C$32)^J4</f>
        <v>9846.64712912735</v>
      </c>
      <c r="K35" s="273" t="n">
        <f aca="false">K33/(1+SUP_CONTROL!$C$32)^K4</f>
        <v>15099.7501208136</v>
      </c>
      <c r="L35" s="273" t="n">
        <f aca="false">L33/(1+SUP_CONTROL!$C$32)^L4</f>
        <v>50722.6038134314</v>
      </c>
      <c r="M35" s="273" t="n">
        <f aca="false">M33/(1+SUP_CONTROL!$C$32)^M4</f>
        <v>48546.452332742</v>
      </c>
      <c r="N35" s="273" t="n">
        <f aca="false">N33/(1+SUP_CONTROL!$C$32)^N4</f>
        <v>42399.4547529362</v>
      </c>
      <c r="O35" s="273" t="n">
        <f aca="false">O33/(1+SUP_CONTROL!$C$32)^O4</f>
        <v>41760.1292855738</v>
      </c>
      <c r="P35" s="273" t="n">
        <f aca="false">P33/(1+SUP_CONTROL!$C$32)^P4</f>
        <v>44335.5330555572</v>
      </c>
      <c r="Q35" s="273" t="n">
        <f aca="false">Q33/(1+SUP_CONTROL!$C$32)^Q4</f>
        <v>43667.014190004</v>
      </c>
      <c r="R35" s="273" t="n">
        <f aca="false">R33/(1+SUP_CONTROL!$C$32)^R4</f>
        <v>43008.5756695555</v>
      </c>
      <c r="S35" s="273" t="n">
        <f aca="false">S33/(1+SUP_CONTROL!$C$32)^S4</f>
        <v>42360.0654964706</v>
      </c>
      <c r="T35" s="273" t="n">
        <f aca="false">T33/(1+SUP_CONTROL!$C$32)^T4</f>
        <v>41721.3339649251</v>
      </c>
      <c r="U35" s="273" t="n">
        <f aca="false">U33/(1+SUP_CONTROL!$C$32)^U4</f>
        <v>41092.2336264529</v>
      </c>
      <c r="V35" s="273" t="n">
        <f aca="false">V33/(1+SUP_CONTROL!$C$32)^V4</f>
        <v>40777.7851820528</v>
      </c>
      <c r="W35" s="273" t="n">
        <f aca="false">W33/(1+SUP_CONTROL!$C$32)^W4</f>
        <v>40489.4051857648</v>
      </c>
      <c r="X35" s="273" t="n">
        <f aca="false">X33/(1+SUP_CONTROL!$C$32)^X4</f>
        <v>39970.9970051705</v>
      </c>
      <c r="Y35" s="273" t="n">
        <f aca="false">Y33/(1+SUP_CONTROL!$C$32)^Y4</f>
        <v>39651.5341440041</v>
      </c>
      <c r="Z35" s="273" t="n">
        <f aca="false">Z33/(1+SUP_CONTROL!$C$32)^Z4</f>
        <v>39129.1066285292</v>
      </c>
      <c r="AA35" s="273" t="n">
        <f aca="false">AA33/(1+SUP_CONTROL!$C$32)^AA4</f>
        <v>38568.0695728948</v>
      </c>
      <c r="AB35" s="273" t="n">
        <f aca="false">AB33/(1+SUP_CONTROL!$C$32)^AB4</f>
        <v>40685.5522040246</v>
      </c>
      <c r="AC35" s="273" t="n">
        <f aca="false">AC33/(1+SUP_CONTROL!$C$32)^AC4</f>
        <v>40072.0700300366</v>
      </c>
      <c r="AD35" s="273" t="n">
        <f aca="false">AD33/(1+SUP_CONTROL!$C$32)^AD4</f>
        <v>37478.3101884825</v>
      </c>
      <c r="AE35" s="273" t="n">
        <f aca="false">AE33/(1+SUP_CONTROL!$C$32)^AE4</f>
        <v>36913.1888132943</v>
      </c>
      <c r="AF35" s="273" t="n">
        <f aca="false">AF33/(1+SUP_CONTROL!$C$32)^AF4</f>
        <v>36356.5886912547</v>
      </c>
      <c r="AG35" s="273" t="n">
        <f aca="false">AG33/(1+SUP_CONTROL!$C$32)^AG4</f>
        <v>35762.2481379661</v>
      </c>
      <c r="AH35" s="273" t="n">
        <f aca="false">AH33/(1+SUP_CONTROL!$C$32)^AH4</f>
        <v>35223.0026184667</v>
      </c>
      <c r="AI35" s="273" t="n">
        <f aca="false">AI33/(1+SUP_CONTROL!$C$32)^AI4</f>
        <v>35079.1310785972</v>
      </c>
      <c r="AJ35" s="273" t="n">
        <f aca="false">AJ33/(1+SUP_CONTROL!$C$32)^AJ4</f>
        <v>34891.1196979116</v>
      </c>
      <c r="AK35" s="273" t="n">
        <f aca="false">AK33/(1+SUP_CONTROL!$C$32)^AK4</f>
        <v>34468.554640443</v>
      </c>
      <c r="AL35" s="273" t="n">
        <f aca="false">AL33/(1+SUP_CONTROL!$C$32)^AL4</f>
        <v>34247.5772282569</v>
      </c>
      <c r="AM35" s="273" t="n">
        <f aca="false">AM33/(1+SUP_CONTROL!$C$32)^AM4</f>
        <v>33809.3177474228</v>
      </c>
      <c r="AN35" s="273" t="n">
        <f aca="false">AN33/(1+SUP_CONTROL!$C$32)^AN4</f>
        <v>34630.5371935354</v>
      </c>
      <c r="AO35" s="273" t="n">
        <f aca="false">AO33/(1+SUP_CONTROL!$C$32)^AO4</f>
        <v>34176.0674473528</v>
      </c>
      <c r="AP35" s="273" t="n">
        <f aca="false">AP33/(1+SUP_CONTROL!$C$32)^AP4</f>
        <v>33638.1190929344</v>
      </c>
      <c r="AQ35" s="273" t="n">
        <f aca="false">AQ33/(1+SUP_CONTROL!$C$32)^AQ4</f>
        <v>33360.1707480549</v>
      </c>
      <c r="AR35" s="273" t="n">
        <f aca="false">AR33/(1+SUP_CONTROL!$C$32)^AR4</f>
        <v>33041.4513238029</v>
      </c>
      <c r="AS35" s="273" t="n">
        <f aca="false">AS33/(1+SUP_CONTROL!$C$32)^AS4</f>
        <v>32726.489664466</v>
      </c>
      <c r="AT35" s="273" t="n">
        <f aca="false">AT33/(1+SUP_CONTROL!$C$32)^AT4</f>
        <v>32415.4961101459</v>
      </c>
      <c r="AU35" s="273" t="n">
        <f aca="false">AU33/(1+SUP_CONTROL!$C$32)^AU4</f>
        <v>31984.0958669855</v>
      </c>
      <c r="AV35" s="273" t="n">
        <f aca="false">AV33/(1+SUP_CONTROL!$C$32)^AV4</f>
        <v>31533.3432254866</v>
      </c>
      <c r="AW35" s="273" t="n">
        <f aca="false">AW33/(1+SUP_CONTROL!$C$32)^AW4</f>
        <v>31197.5615901629</v>
      </c>
      <c r="AX35" s="273" t="n">
        <f aca="false">AX33/(1+SUP_CONTROL!$C$32)^AX4</f>
        <v>30754.1982497332</v>
      </c>
      <c r="AY35" s="273" t="n">
        <f aca="false">AY33/(1+SUP_CONTROL!$C$32)^AY4</f>
        <v>30392.8832556827</v>
      </c>
      <c r="AZ35" s="273" t="n">
        <f aca="false">AZ33/(1+SUP_CONTROL!$C$32)^AZ4</f>
        <v>30974.323570939</v>
      </c>
      <c r="BA35" s="273" t="n">
        <f aca="false">BA33/(1+SUP_CONTROL!$C$32)^BA4</f>
        <v>30535.6701175269</v>
      </c>
      <c r="BB35" s="273" t="n">
        <f aca="false">BB33/(1+SUP_CONTROL!$C$32)^BB4</f>
        <v>28547.4774906956</v>
      </c>
      <c r="BC35" s="273" t="n">
        <f aca="false">BC33/(1+SUP_CONTROL!$C$32)^BC4</f>
        <v>28133.5025493035</v>
      </c>
      <c r="BD35" s="273" t="n">
        <f aca="false">BD33/(1+SUP_CONTROL!$C$32)^BD4</f>
        <v>27709.2880217657</v>
      </c>
      <c r="BE35" s="273" t="n">
        <f aca="false">BE33/(1+SUP_CONTROL!$C$32)^BE4</f>
        <v>27291.4700658976</v>
      </c>
      <c r="BF35" s="273" t="n">
        <f aca="false">BF33/(1+SUP_CONTROL!$C$32)^BF4</f>
        <v>26817.1779858392</v>
      </c>
      <c r="BG35" s="273" t="n">
        <f aca="false">BG33/(1+SUP_CONTROL!$C$32)^BG4</f>
        <v>26412.8118224288</v>
      </c>
      <c r="BH35" s="273" t="n">
        <f aca="false">BH33/(1+SUP_CONTROL!$C$32)^BH4</f>
        <v>26014.5429446536</v>
      </c>
      <c r="BI35" s="273" t="n">
        <f aca="false">BI33/(1+SUP_CONTROL!$C$32)^BI4</f>
        <v>25808.7048544541</v>
      </c>
      <c r="BJ35" s="273" t="n">
        <f aca="false">BJ33/(1+SUP_CONTROL!$C$32)^BJ4</f>
        <v>25543.3135551163</v>
      </c>
      <c r="BK35" s="273" t="n">
        <f aca="false">BK33/(1+SUP_CONTROL!$C$32)^BK4</f>
        <v>25254.3339886734</v>
      </c>
      <c r="BL35" s="273" t="n">
        <f aca="false">BL33/(1+SUP_CONTROL!$C$32)^BL4</f>
        <v>25771.3706549492</v>
      </c>
      <c r="BM35" s="273" t="n">
        <f aca="false">BM33/(1+SUP_CONTROL!$C$32)^BM4</f>
        <v>25486.1461093261</v>
      </c>
      <c r="BN35" s="273" t="n">
        <f aca="false">BN33/(1+SUP_CONTROL!$C$32)^BN4</f>
        <v>25197.4328367687</v>
      </c>
      <c r="BO35" s="273" t="n">
        <f aca="false">BO33/(1+SUP_CONTROL!$C$32)^BO4</f>
        <v>24848.1820474928</v>
      </c>
      <c r="BP35" s="273" t="n">
        <f aca="false">BP33/(1+SUP_CONTROL!$C$32)^BP4</f>
        <v>24560.1693922389</v>
      </c>
      <c r="BQ35" s="273" t="n">
        <f aca="false">BQ33/(1+SUP_CONTROL!$C$32)^BQ4</f>
        <v>24222.2695207947</v>
      </c>
      <c r="BR35" s="273" t="n">
        <f aca="false">BR33/(1+SUP_CONTROL!$C$32)^BR4</f>
        <v>23924.6254085835</v>
      </c>
      <c r="BS35" s="273" t="n">
        <f aca="false">BS33/(1+SUP_CONTROL!$C$32)^BS4</f>
        <v>23633.8291482511</v>
      </c>
      <c r="BT35" s="273" t="n">
        <f aca="false">BT33/(1+SUP_CONTROL!$C$32)^BT4</f>
        <v>23352.889562584</v>
      </c>
      <c r="BU35" s="273" t="n">
        <f aca="false">BU33/(1+SUP_CONTROL!$C$32)^BU4</f>
        <v>23062.1287355341</v>
      </c>
      <c r="BV35" s="273" t="n">
        <f aca="false">BV33/(1+SUP_CONTROL!$C$32)^BV4</f>
        <v>22770.9808936874</v>
      </c>
      <c r="BW35" s="273" t="n">
        <f aca="false">BW33/(1+SUP_CONTROL!$C$32)^BW4</f>
        <v>22454.5286014642</v>
      </c>
      <c r="BX35" s="273" t="n">
        <f aca="false">BX33/(1+SUP_CONTROL!$C$32)^BX4</f>
        <v>22817.92061957</v>
      </c>
      <c r="BY35" s="273" t="n">
        <f aca="false">BY33/(1+SUP_CONTROL!$C$32)^BY4</f>
        <v>22492.0470342603</v>
      </c>
      <c r="BZ35" s="273" t="n">
        <f aca="false">BZ33/(1+SUP_CONTROL!$C$32)^BZ4</f>
        <v>22219.3781320958</v>
      </c>
      <c r="CA35" s="273" t="n">
        <f aca="false">CA33/(1+SUP_CONTROL!$C$32)^CA4</f>
        <v>21927.9907592775</v>
      </c>
      <c r="CB35" s="273" t="n">
        <f aca="false">CB33/(1+SUP_CONTROL!$C$32)^CB4</f>
        <v>21612.2746851874</v>
      </c>
      <c r="CC35" s="273" t="n">
        <f aca="false">CC33/(1+SUP_CONTROL!$C$32)^CC4</f>
        <v>21326.2130450979</v>
      </c>
      <c r="CD35" s="273" t="n">
        <f aca="false">CD33/(1+SUP_CONTROL!$C$32)^CD4</f>
        <v>21045.3140792888</v>
      </c>
      <c r="CE35" s="273" t="n">
        <f aca="false">CE33/(1+SUP_CONTROL!$C$32)^CE4</f>
        <v>20761.486037296</v>
      </c>
      <c r="CF35" s="273" t="n">
        <f aca="false">CF33/(1+SUP_CONTROL!$C$32)^CF4</f>
        <v>20479.6742592674</v>
      </c>
      <c r="CG35" s="273" t="n">
        <f aca="false">CG33/(1+SUP_CONTROL!$C$32)^CG4</f>
        <v>20205.0343419667</v>
      </c>
      <c r="CH35" s="273" t="n">
        <f aca="false">CH33/(1+SUP_CONTROL!$C$32)^CH4</f>
        <v>19661.3377920975</v>
      </c>
      <c r="CI35" s="273" t="n">
        <f aca="false">CI33/(1+SUP_CONTROL!$C$32)^CI4</f>
        <v>19399.0050211991</v>
      </c>
      <c r="CJ35" s="273" t="n">
        <f aca="false">CJ33/(1+SUP_CONTROL!$C$32)^CJ4</f>
        <v>19120.1886835232</v>
      </c>
      <c r="CK35" s="273" t="n">
        <f aca="false">CK33/(1+SUP_CONTROL!$C$32)^CK4</f>
        <v>18838.2655950744</v>
      </c>
      <c r="CL35" s="273" t="n">
        <f aca="false">CL33/(1+SUP_CONTROL!$C$32)^CL4</f>
        <v>18556.928215359</v>
      </c>
      <c r="CM35" s="273" t="n">
        <f aca="false">CM33/(1+SUP_CONTROL!$C$32)^CM4</f>
        <v>18277.115258489</v>
      </c>
      <c r="CN35" s="273" t="n">
        <f aca="false">CN33/(1+SUP_CONTROL!$C$32)^CN4</f>
        <v>18001.5214961927</v>
      </c>
      <c r="CO35" s="273" t="n">
        <f aca="false">CO33/(1+SUP_CONTROL!$C$32)^CO4</f>
        <v>17730.0833088186</v>
      </c>
      <c r="CP35" s="273" t="n">
        <f aca="false">CP33/(1+SUP_CONTROL!$C$32)^CP4</f>
        <v>17462.7380360117</v>
      </c>
      <c r="CQ35" s="273" t="n">
        <f aca="false">CQ33/(1+SUP_CONTROL!$C$32)^CQ4</f>
        <v>17199.4239622493</v>
      </c>
      <c r="CR35" s="273" t="n">
        <f aca="false">CR33/(1+SUP_CONTROL!$C$32)^CR4</f>
        <v>16940.0803025937</v>
      </c>
      <c r="CS35" s="273" t="n">
        <f aca="false">CS33/(1+SUP_CONTROL!$C$32)^CS4</f>
        <v>16684.6471886604</v>
      </c>
      <c r="CT35" s="273" t="n">
        <f aca="false">CT33/(1+SUP_CONTROL!$C$32)^CT4</f>
        <v>16433.0656547982</v>
      </c>
      <c r="CU35" s="273" t="n">
        <f aca="false">CU33/(1+SUP_CONTROL!$C$32)^CU4</f>
        <v>16185.2776244763</v>
      </c>
      <c r="CV35" s="273" t="n">
        <f aca="false">CV33/(1+SUP_CONTROL!$C$32)^CV4</f>
        <v>15941.2258968785</v>
      </c>
      <c r="CW35" s="273" t="n">
        <f aca="false">CW33/(1+SUP_CONTROL!$C$32)^CW4</f>
        <v>15700.854133698</v>
      </c>
      <c r="CX35" s="273" t="n">
        <f aca="false">CX33/(1+SUP_CONTROL!$C$32)^CX4</f>
        <v>15464.1068461325</v>
      </c>
      <c r="CY35" s="273" t="n">
        <f aca="false">CY33/(1+SUP_CONTROL!$C$32)^CY4</f>
        <v>15230.9293820741</v>
      </c>
      <c r="CZ35" s="273" t="n">
        <f aca="false">CZ33/(1+SUP_CONTROL!$C$32)^CZ4</f>
        <v>15001.2679134939</v>
      </c>
      <c r="DA35" s="273" t="n">
        <f aca="false">DA33/(1+SUP_CONTROL!$C$32)^DA4</f>
        <v>14775.0694240155</v>
      </c>
      <c r="DB35" s="273" t="n">
        <f aca="false">DB33/(1+SUP_CONTROL!$C$32)^DB4</f>
        <v>14552.2816966764</v>
      </c>
      <c r="DC35" s="273" t="n">
        <f aca="false">DC33/(1+SUP_CONTROL!$C$32)^DC4</f>
        <v>14332.8533018744</v>
      </c>
      <c r="DD35" s="273" t="n">
        <f aca="false">DD33/(1+SUP_CONTROL!$C$32)^DD4</f>
        <v>14116.7335854947</v>
      </c>
      <c r="DE35" s="273" t="n">
        <f aca="false">DE33/(1+SUP_CONTROL!$C$32)^DE4</f>
        <v>13903.872657217</v>
      </c>
      <c r="DF35" s="273" t="n">
        <f aca="false">DF33/(1+SUP_CONTROL!$C$32)^DF4</f>
        <v>13694.2213789985</v>
      </c>
      <c r="DG35" s="273" t="n">
        <f aca="false">DG33/(1+SUP_CONTROL!$C$32)^DG4</f>
        <v>13487.7313537302</v>
      </c>
      <c r="DH35" s="273" t="n">
        <f aca="false">DH33/(1+SUP_CONTROL!$C$32)^DH4</f>
        <v>13284.3549140654</v>
      </c>
      <c r="DI35" s="273" t="n">
        <f aca="false">DI33/(1+SUP_CONTROL!$C$32)^DI4</f>
        <v>13084.045111415</v>
      </c>
      <c r="DJ35" s="273" t="n">
        <f aca="false">DJ33/(1+SUP_CONTROL!$C$32)^DJ4</f>
        <v>12886.7557051104</v>
      </c>
      <c r="DK35" s="273" t="n">
        <f aca="false">DK33/(1+SUP_CONTROL!$C$32)^DK4</f>
        <v>12692.4411517285</v>
      </c>
      <c r="DL35" s="273" t="n">
        <f aca="false">DL33/(1+SUP_CONTROL!$C$32)^DL4</f>
        <v>12501.0565945783</v>
      </c>
      <c r="DM35" s="273" t="n">
        <f aca="false">DM33/(1+SUP_CONTROL!$C$32)^DM4</f>
        <v>12312.5578533462</v>
      </c>
      <c r="DN35" s="273" t="n">
        <f aca="false">DN33/(1+SUP_CONTROL!$C$32)^DN4</f>
        <v>12126.901413897</v>
      </c>
      <c r="DO35" s="273" t="n">
        <f aca="false">DO33/(1+SUP_CONTROL!$C$32)^DO4</f>
        <v>11944.0444182287</v>
      </c>
      <c r="DP35" s="273" t="n">
        <f aca="false">DP33/(1+SUP_CONTROL!$C$32)^DP4</f>
        <v>11763.9446545789</v>
      </c>
      <c r="DQ35" s="273" t="n">
        <f aca="false">DQ33/(1+SUP_CONTROL!$C$32)^DQ4</f>
        <v>11586.5605476809</v>
      </c>
      <c r="DR35" s="273" t="n">
        <f aca="false">DR33/(1+SUP_CONTROL!$C$32)^DR4</f>
        <v>11411.8511491654</v>
      </c>
      <c r="DS35" s="273" t="n">
        <f aca="false">DS33/(1+SUP_CONTROL!$C$32)^DS4</f>
        <v>11239.7761281085</v>
      </c>
    </row>
    <row r="36" customFormat="false" ht="15" hidden="false" customHeight="true" outlineLevel="0" collapsed="false">
      <c r="B36" s="297" t="s">
        <v>3433</v>
      </c>
      <c r="D36" s="273" t="n">
        <f aca="false">D35</f>
        <v>-659249.97561307</v>
      </c>
      <c r="E36" s="273" t="n">
        <f aca="false">D36+E35</f>
        <v>-1115904.41337718</v>
      </c>
      <c r="F36" s="273" t="n">
        <f aca="false">E36+F35</f>
        <v>-1522678.2045896</v>
      </c>
      <c r="G36" s="273" t="n">
        <f aca="false">F36+G35</f>
        <v>-1772617.32410875</v>
      </c>
      <c r="H36" s="273" t="n">
        <f aca="false">G36+H35</f>
        <v>-2041362.86404559</v>
      </c>
      <c r="I36" s="273" t="n">
        <f aca="false">H36+I35</f>
        <v>-2035122.53469764</v>
      </c>
      <c r="J36" s="273" t="n">
        <f aca="false">I36+J35</f>
        <v>-2025275.88756851</v>
      </c>
      <c r="K36" s="273" t="n">
        <f aca="false">J36+K35</f>
        <v>-2010176.1374477</v>
      </c>
      <c r="L36" s="273" t="n">
        <f aca="false">K36+L35</f>
        <v>-1959453.53363427</v>
      </c>
      <c r="M36" s="273" t="n">
        <f aca="false">L36+M35</f>
        <v>-1910907.08130153</v>
      </c>
      <c r="N36" s="273" t="n">
        <f aca="false">M36+N35</f>
        <v>-1868507.62654859</v>
      </c>
      <c r="O36" s="273" t="n">
        <f aca="false">N36+O35</f>
        <v>-1826747.49726302</v>
      </c>
      <c r="P36" s="273" t="n">
        <f aca="false">O36+P35</f>
        <v>-1782411.96420746</v>
      </c>
      <c r="Q36" s="273" t="n">
        <f aca="false">P36+Q35</f>
        <v>-1738744.95001745</v>
      </c>
      <c r="R36" s="273" t="n">
        <f aca="false">Q36+R35</f>
        <v>-1695736.3743479</v>
      </c>
      <c r="S36" s="273" t="n">
        <f aca="false">R36+S35</f>
        <v>-1653376.30885143</v>
      </c>
      <c r="T36" s="273" t="n">
        <f aca="false">S36+T35</f>
        <v>-1611654.9748865</v>
      </c>
      <c r="U36" s="273" t="n">
        <f aca="false">T36+U35</f>
        <v>-1570562.74126005</v>
      </c>
      <c r="V36" s="273" t="n">
        <f aca="false">U36+V35</f>
        <v>-1529784.956078</v>
      </c>
      <c r="W36" s="273" t="n">
        <f aca="false">V36+W35</f>
        <v>-1489295.55089223</v>
      </c>
      <c r="X36" s="273" t="n">
        <f aca="false">W36+X35</f>
        <v>-1449324.55388706</v>
      </c>
      <c r="Y36" s="273" t="n">
        <f aca="false">X36+Y35</f>
        <v>-1409673.01974306</v>
      </c>
      <c r="Z36" s="273" t="n">
        <f aca="false">Y36+Z35</f>
        <v>-1370543.91311453</v>
      </c>
      <c r="AA36" s="273" t="n">
        <f aca="false">Z36+AA35</f>
        <v>-1331975.84354163</v>
      </c>
      <c r="AB36" s="273" t="n">
        <f aca="false">AA36+AB35</f>
        <v>-1291290.29133761</v>
      </c>
      <c r="AC36" s="273" t="n">
        <f aca="false">AB36+AC35</f>
        <v>-1251218.22130757</v>
      </c>
      <c r="AD36" s="273" t="n">
        <f aca="false">AC36+AD35</f>
        <v>-1213739.91111909</v>
      </c>
      <c r="AE36" s="273" t="n">
        <f aca="false">AD36+AE35</f>
        <v>-1176826.7223058</v>
      </c>
      <c r="AF36" s="273" t="n">
        <f aca="false">AE36+AF35</f>
        <v>-1140470.13361454</v>
      </c>
      <c r="AG36" s="273" t="n">
        <f aca="false">AF36+AG35</f>
        <v>-1104707.88547658</v>
      </c>
      <c r="AH36" s="273" t="n">
        <f aca="false">AG36+AH35</f>
        <v>-1069484.88285811</v>
      </c>
      <c r="AI36" s="273" t="n">
        <f aca="false">AH36+AI35</f>
        <v>-1034405.75177951</v>
      </c>
      <c r="AJ36" s="273" t="n">
        <f aca="false">AI36+AJ35</f>
        <v>-999514.6320816</v>
      </c>
      <c r="AK36" s="273" t="n">
        <f aca="false">AJ36+AK35</f>
        <v>-965046.077441157</v>
      </c>
      <c r="AL36" s="273" t="n">
        <f aca="false">AK36+AL35</f>
        <v>-930798.5002129</v>
      </c>
      <c r="AM36" s="273" t="n">
        <f aca="false">AL36+AM35</f>
        <v>-896989.182465478</v>
      </c>
      <c r="AN36" s="273" t="n">
        <f aca="false">AM36+AN35</f>
        <v>-862358.645271942</v>
      </c>
      <c r="AO36" s="273" t="n">
        <f aca="false">AN36+AO35</f>
        <v>-828182.577824589</v>
      </c>
      <c r="AP36" s="273" t="n">
        <f aca="false">AO36+AP35</f>
        <v>-794544.458731655</v>
      </c>
      <c r="AQ36" s="273" t="n">
        <f aca="false">AP36+AQ35</f>
        <v>-761184.2879836</v>
      </c>
      <c r="AR36" s="273" t="n">
        <f aca="false">AQ36+AR35</f>
        <v>-728142.836659797</v>
      </c>
      <c r="AS36" s="273" t="n">
        <f aca="false">AR36+AS35</f>
        <v>-695416.346995331</v>
      </c>
      <c r="AT36" s="273" t="n">
        <f aca="false">AS36+AT35</f>
        <v>-663000.850885185</v>
      </c>
      <c r="AU36" s="273" t="n">
        <f aca="false">AT36+AU35</f>
        <v>-631016.7550182</v>
      </c>
      <c r="AV36" s="273" t="n">
        <f aca="false">AU36+AV35</f>
        <v>-599483.411792713</v>
      </c>
      <c r="AW36" s="273" t="n">
        <f aca="false">AV36+AW35</f>
        <v>-568285.85020255</v>
      </c>
      <c r="AX36" s="273" t="n">
        <f aca="false">AW36+AX35</f>
        <v>-537531.651952817</v>
      </c>
      <c r="AY36" s="273" t="n">
        <f aca="false">AX36+AY35</f>
        <v>-507138.768697134</v>
      </c>
      <c r="AZ36" s="273" t="n">
        <f aca="false">AY36+AZ35</f>
        <v>-476164.445126195</v>
      </c>
      <c r="BA36" s="273" t="n">
        <f aca="false">AZ36+BA35</f>
        <v>-445628.775008669</v>
      </c>
      <c r="BB36" s="273" t="n">
        <f aca="false">BA36+BB35</f>
        <v>-417081.297517973</v>
      </c>
      <c r="BC36" s="273" t="n">
        <f aca="false">BB36+BC35</f>
        <v>-388947.794968669</v>
      </c>
      <c r="BD36" s="273" t="n">
        <f aca="false">BC36+BD35</f>
        <v>-361238.506946904</v>
      </c>
      <c r="BE36" s="273" t="n">
        <f aca="false">BD36+BE35</f>
        <v>-333947.036881006</v>
      </c>
      <c r="BF36" s="273" t="n">
        <f aca="false">BE36+BF35</f>
        <v>-307129.858895167</v>
      </c>
      <c r="BG36" s="273" t="n">
        <f aca="false">BF36+BG35</f>
        <v>-280717.047072738</v>
      </c>
      <c r="BH36" s="273" t="n">
        <f aca="false">BG36+BH35</f>
        <v>-254702.504128085</v>
      </c>
      <c r="BI36" s="273" t="n">
        <f aca="false">BH36+BI35</f>
        <v>-228893.79927363</v>
      </c>
      <c r="BJ36" s="273" t="n">
        <f aca="false">BI36+BJ35</f>
        <v>-203350.485718514</v>
      </c>
      <c r="BK36" s="273" t="n">
        <f aca="false">BJ36+BK35</f>
        <v>-178096.151729841</v>
      </c>
      <c r="BL36" s="273" t="n">
        <f aca="false">BK36+BL35</f>
        <v>-152324.781074891</v>
      </c>
      <c r="BM36" s="273" t="n">
        <f aca="false">BL36+BM35</f>
        <v>-126838.634965565</v>
      </c>
      <c r="BN36" s="273" t="n">
        <f aca="false">BM36+BN35</f>
        <v>-101641.202128797</v>
      </c>
      <c r="BO36" s="273" t="n">
        <f aca="false">BN36+BO35</f>
        <v>-76793.0200813039</v>
      </c>
      <c r="BP36" s="273" t="n">
        <f aca="false">BO36+BP35</f>
        <v>-52232.850689065</v>
      </c>
      <c r="BQ36" s="273" t="n">
        <f aca="false">BP36+BQ35</f>
        <v>-28010.5811682703</v>
      </c>
      <c r="BR36" s="273" t="n">
        <f aca="false">BQ36+BR35</f>
        <v>-4085.9557596868</v>
      </c>
      <c r="BS36" s="273" t="n">
        <f aca="false">BR36+BS35</f>
        <v>19547.8733885643</v>
      </c>
      <c r="BT36" s="273" t="n">
        <f aca="false">BS36+BT35</f>
        <v>42900.7629511483</v>
      </c>
      <c r="BU36" s="273" t="n">
        <f aca="false">BT36+BU35</f>
        <v>65962.8916866823</v>
      </c>
      <c r="BV36" s="273" t="n">
        <f aca="false">BU36+BV35</f>
        <v>88733.8725803697</v>
      </c>
      <c r="BW36" s="273" t="n">
        <f aca="false">BV36+BW35</f>
        <v>111188.401181834</v>
      </c>
      <c r="BX36" s="273" t="n">
        <f aca="false">BW36+BX35</f>
        <v>134006.321801404</v>
      </c>
      <c r="BY36" s="273" t="n">
        <f aca="false">BX36+BY35</f>
        <v>156498.368835664</v>
      </c>
      <c r="BZ36" s="273" t="n">
        <f aca="false">BY36+BZ35</f>
        <v>178717.74696776</v>
      </c>
      <c r="CA36" s="273" t="n">
        <f aca="false">BZ36+CA35</f>
        <v>200645.737727037</v>
      </c>
      <c r="CB36" s="273" t="n">
        <f aca="false">CA36+CB35</f>
        <v>222258.012412225</v>
      </c>
      <c r="CC36" s="273" t="n">
        <f aca="false">CB36+CC35</f>
        <v>243584.225457323</v>
      </c>
      <c r="CD36" s="273" t="n">
        <f aca="false">CC36+CD35</f>
        <v>264629.539536612</v>
      </c>
      <c r="CE36" s="273" t="n">
        <f aca="false">CD36+CE35</f>
        <v>285391.025573908</v>
      </c>
      <c r="CF36" s="273" t="n">
        <f aca="false">CE36+CF35</f>
        <v>305870.699833175</v>
      </c>
      <c r="CG36" s="273" t="n">
        <f aca="false">CF36+CG35</f>
        <v>326075.734175142</v>
      </c>
      <c r="CH36" s="273" t="n">
        <f aca="false">CG36+CH35</f>
        <v>345737.071967239</v>
      </c>
      <c r="CI36" s="273" t="n">
        <f aca="false">CH36+CI35</f>
        <v>365136.076988438</v>
      </c>
      <c r="CJ36" s="273" t="n">
        <f aca="false">CI36+CJ35</f>
        <v>384256.265671962</v>
      </c>
      <c r="CK36" s="273" t="n">
        <f aca="false">CJ36+CK35</f>
        <v>403094.531267036</v>
      </c>
      <c r="CL36" s="273" t="n">
        <f aca="false">CK36+CL35</f>
        <v>421651.459482395</v>
      </c>
      <c r="CM36" s="273" t="n">
        <f aca="false">CL36+CM35</f>
        <v>439928.574740884</v>
      </c>
      <c r="CN36" s="273" t="n">
        <f aca="false">CM36+CN35</f>
        <v>457930.096237077</v>
      </c>
      <c r="CO36" s="273" t="n">
        <f aca="false">CN36+CO35</f>
        <v>475660.179545895</v>
      </c>
      <c r="CP36" s="273" t="n">
        <f aca="false">CO36+CP35</f>
        <v>493122.917581907</v>
      </c>
      <c r="CQ36" s="273" t="n">
        <f aca="false">CP36+CQ35</f>
        <v>510322.341544156</v>
      </c>
      <c r="CR36" s="273" t="n">
        <f aca="false">CQ36+CR35</f>
        <v>527262.42184675</v>
      </c>
      <c r="CS36" s="273" t="n">
        <f aca="false">CR36+CS35</f>
        <v>543947.06903541</v>
      </c>
      <c r="CT36" s="273" t="n">
        <f aca="false">CS36+CT35</f>
        <v>560380.134690209</v>
      </c>
      <c r="CU36" s="273" t="n">
        <f aca="false">CT36+CU35</f>
        <v>576565.412314685</v>
      </c>
      <c r="CV36" s="273" t="n">
        <f aca="false">CU36+CV35</f>
        <v>592506.638211563</v>
      </c>
      <c r="CW36" s="273" t="n">
        <f aca="false">CV36+CW35</f>
        <v>608207.492345261</v>
      </c>
      <c r="CX36" s="273" t="n">
        <f aca="false">CW36+CX35</f>
        <v>623671.599191394</v>
      </c>
      <c r="CY36" s="273" t="n">
        <f aca="false">CX36+CY35</f>
        <v>638902.528573468</v>
      </c>
      <c r="CZ36" s="273" t="n">
        <f aca="false">CY36+CZ35</f>
        <v>653903.796486962</v>
      </c>
      <c r="DA36" s="273" t="n">
        <f aca="false">CZ36+DA35</f>
        <v>668678.865910977</v>
      </c>
      <c r="DB36" s="273" t="n">
        <f aca="false">DA36+DB35</f>
        <v>683231.147607654</v>
      </c>
      <c r="DC36" s="273" t="n">
        <f aca="false">DB36+DC35</f>
        <v>697564.000909528</v>
      </c>
      <c r="DD36" s="273" t="n">
        <f aca="false">DC36+DD35</f>
        <v>711680.734495023</v>
      </c>
      <c r="DE36" s="273" t="n">
        <f aca="false">DD36+DE35</f>
        <v>725584.60715224</v>
      </c>
      <c r="DF36" s="273" t="n">
        <f aca="false">DE36+DF35</f>
        <v>739278.828531238</v>
      </c>
      <c r="DG36" s="273" t="n">
        <f aca="false">DF36+DG35</f>
        <v>752766.559884969</v>
      </c>
      <c r="DH36" s="273" t="n">
        <f aca="false">DG36+DH35</f>
        <v>766050.914799034</v>
      </c>
      <c r="DI36" s="273" t="n">
        <f aca="false">DH36+DI35</f>
        <v>779134.959910449</v>
      </c>
      <c r="DJ36" s="273" t="n">
        <f aca="false">DI36+DJ35</f>
        <v>792021.71561556</v>
      </c>
      <c r="DK36" s="273" t="n">
        <f aca="false">DJ36+DK35</f>
        <v>804714.156767288</v>
      </c>
      <c r="DL36" s="273" t="n">
        <f aca="false">DK36+DL35</f>
        <v>817215.213361866</v>
      </c>
      <c r="DM36" s="273" t="n">
        <f aca="false">DL36+DM35</f>
        <v>829527.771215213</v>
      </c>
      <c r="DN36" s="273" t="n">
        <f aca="false">DM36+DN35</f>
        <v>841654.67262911</v>
      </c>
      <c r="DO36" s="273" t="n">
        <f aca="false">DN36+DO35</f>
        <v>853598.717047338</v>
      </c>
      <c r="DP36" s="273" t="n">
        <f aca="false">DO36+DP35</f>
        <v>865362.661701917</v>
      </c>
      <c r="DQ36" s="273" t="n">
        <f aca="false">DP36+DQ35</f>
        <v>876949.222249598</v>
      </c>
      <c r="DR36" s="273" t="n">
        <f aca="false">DQ36+DR35</f>
        <v>888361.073398763</v>
      </c>
      <c r="DS36" s="273" t="n">
        <f aca="false">DR36+DS35</f>
        <v>899600.849526872</v>
      </c>
    </row>
    <row r="37" customFormat="false" ht="15" hidden="false" customHeight="true" outlineLevel="0" collapsed="false">
      <c r="A37" s="186" t="s">
        <v>3434</v>
      </c>
      <c r="B37" s="568" t="s">
        <v>3435</v>
      </c>
      <c r="C37" s="25"/>
      <c r="D37" s="1" t="n">
        <f aca="false">D49+D50</f>
        <v>0</v>
      </c>
      <c r="E37" s="1" t="n">
        <f aca="false">E49+E50</f>
        <v>0</v>
      </c>
      <c r="F37" s="1" t="n">
        <f aca="false">F49+F50</f>
        <v>0</v>
      </c>
      <c r="G37" s="1" t="n">
        <f aca="false">G49+G50</f>
        <v>20000</v>
      </c>
      <c r="H37" s="1" t="n">
        <f aca="false">H49+H50</f>
        <v>16000</v>
      </c>
      <c r="I37" s="1" t="n">
        <f aca="false">I49+I50</f>
        <v>12000</v>
      </c>
      <c r="J37" s="1" t="n">
        <f aca="false">J49+J50</f>
        <v>18000</v>
      </c>
      <c r="K37" s="1" t="n">
        <f aca="false">K49+K50</f>
        <v>22800</v>
      </c>
      <c r="L37" s="1" t="n">
        <f aca="false">L49+L50</f>
        <v>-11600</v>
      </c>
      <c r="M37" s="1" t="n">
        <f aca="false">M49+M50</f>
        <v>-6400</v>
      </c>
      <c r="N37" s="1" t="n">
        <f aca="false">N49+N50</f>
        <v>0</v>
      </c>
      <c r="O37" s="1" t="n">
        <f aca="false">O49+O50</f>
        <v>0</v>
      </c>
      <c r="P37" s="1" t="n">
        <f aca="false">P49+P50</f>
        <v>0</v>
      </c>
      <c r="Q37" s="1" t="n">
        <f aca="false">Q49+Q50</f>
        <v>0</v>
      </c>
      <c r="R37" s="1" t="n">
        <f aca="false">R49+R50</f>
        <v>0</v>
      </c>
      <c r="S37" s="1" t="n">
        <f aca="false">S49+S50</f>
        <v>0</v>
      </c>
      <c r="T37" s="1" t="n">
        <f aca="false">T49+T50</f>
        <v>0</v>
      </c>
      <c r="U37" s="1" t="n">
        <f aca="false">U49+U50</f>
        <v>0</v>
      </c>
      <c r="V37" s="1" t="n">
        <f aca="false">V49+V50</f>
        <v>0</v>
      </c>
      <c r="W37" s="1" t="n">
        <f aca="false">W49+W50</f>
        <v>0</v>
      </c>
      <c r="X37" s="1" t="n">
        <f aca="false">X49+X50</f>
        <v>0</v>
      </c>
      <c r="Y37" s="1" t="n">
        <f aca="false">Y49+Y50</f>
        <v>0</v>
      </c>
      <c r="Z37" s="1" t="n">
        <f aca="false">Z49+Z50</f>
        <v>0</v>
      </c>
      <c r="AA37" s="1" t="n">
        <f aca="false">AA49+AA50</f>
        <v>0</v>
      </c>
      <c r="AB37" s="1" t="n">
        <f aca="false">AB49+AB50</f>
        <v>0</v>
      </c>
      <c r="AC37" s="1" t="n">
        <f aca="false">AC49+AC50</f>
        <v>0</v>
      </c>
      <c r="AD37" s="1" t="n">
        <f aca="false">AD49+AD50</f>
        <v>0</v>
      </c>
      <c r="AE37" s="1" t="n">
        <f aca="false">AE49+AE50</f>
        <v>0</v>
      </c>
      <c r="AF37" s="1" t="n">
        <f aca="false">AF49+AF50</f>
        <v>0</v>
      </c>
      <c r="AG37" s="1" t="n">
        <f aca="false">AG49+AG50</f>
        <v>0</v>
      </c>
      <c r="AH37" s="1" t="n">
        <f aca="false">AH49+AH50</f>
        <v>0</v>
      </c>
      <c r="AI37" s="1" t="n">
        <f aca="false">AI49+AI50</f>
        <v>0</v>
      </c>
      <c r="AJ37" s="1" t="n">
        <f aca="false">AJ49+AJ50</f>
        <v>0</v>
      </c>
      <c r="AK37" s="1" t="n">
        <f aca="false">AK49+AK50</f>
        <v>0</v>
      </c>
      <c r="AL37" s="1" t="n">
        <f aca="false">AL49+AL50</f>
        <v>0</v>
      </c>
      <c r="AM37" s="1" t="n">
        <f aca="false">AM49+AM50</f>
        <v>0</v>
      </c>
      <c r="AN37" s="1" t="n">
        <f aca="false">AN49+AN50</f>
        <v>0</v>
      </c>
      <c r="AO37" s="1" t="n">
        <f aca="false">AO49+AO50</f>
        <v>0</v>
      </c>
      <c r="AP37" s="1" t="n">
        <f aca="false">AP49+AP50</f>
        <v>0</v>
      </c>
      <c r="AQ37" s="1" t="n">
        <f aca="false">AQ49+AQ50</f>
        <v>0</v>
      </c>
      <c r="AR37" s="1" t="n">
        <f aca="false">AR49+AR50</f>
        <v>0</v>
      </c>
      <c r="AS37" s="1" t="n">
        <f aca="false">AS49+AS50</f>
        <v>0</v>
      </c>
      <c r="AT37" s="1" t="n">
        <f aca="false">AT49+AT50</f>
        <v>0</v>
      </c>
      <c r="AU37" s="1" t="n">
        <f aca="false">AU49+AU50</f>
        <v>0</v>
      </c>
      <c r="AV37" s="1" t="n">
        <f aca="false">AV49+AV50</f>
        <v>0</v>
      </c>
      <c r="AW37" s="1" t="n">
        <f aca="false">AW49+AW50</f>
        <v>0</v>
      </c>
      <c r="AX37" s="1" t="n">
        <f aca="false">AX49+AX50</f>
        <v>0</v>
      </c>
      <c r="AY37" s="1" t="n">
        <f aca="false">AY49+AY50</f>
        <v>0</v>
      </c>
      <c r="AZ37" s="1" t="n">
        <f aca="false">AZ49+AZ50</f>
        <v>0</v>
      </c>
      <c r="BA37" s="1" t="n">
        <f aca="false">BA49+BA50</f>
        <v>0</v>
      </c>
      <c r="BB37" s="1" t="n">
        <f aca="false">BB49+BB50</f>
        <v>0</v>
      </c>
      <c r="BC37" s="1" t="n">
        <f aca="false">BC49+BC50</f>
        <v>0</v>
      </c>
      <c r="BD37" s="1" t="n">
        <f aca="false">BD49+BD50</f>
        <v>0</v>
      </c>
      <c r="BE37" s="1" t="n">
        <f aca="false">BE49+BE50</f>
        <v>0</v>
      </c>
      <c r="BF37" s="1" t="n">
        <f aca="false">BF49+BF50</f>
        <v>0</v>
      </c>
      <c r="BG37" s="1" t="n">
        <f aca="false">BG49+BG50</f>
        <v>0</v>
      </c>
      <c r="BH37" s="1" t="n">
        <f aca="false">BH49+BH50</f>
        <v>0</v>
      </c>
      <c r="BI37" s="1" t="n">
        <f aca="false">BI49+BI50</f>
        <v>0</v>
      </c>
      <c r="BJ37" s="1" t="n">
        <f aca="false">BJ49+BJ50</f>
        <v>0</v>
      </c>
      <c r="BK37" s="1" t="n">
        <f aca="false">BK49+BK50</f>
        <v>0</v>
      </c>
      <c r="BL37" s="1" t="n">
        <f aca="false">BL49+BL50</f>
        <v>0</v>
      </c>
      <c r="BM37" s="1" t="n">
        <f aca="false">BM49+BM50</f>
        <v>0</v>
      </c>
      <c r="BN37" s="1" t="n">
        <f aca="false">BN49+BN50</f>
        <v>0</v>
      </c>
      <c r="BO37" s="1" t="n">
        <f aca="false">BO49+BO50</f>
        <v>0</v>
      </c>
      <c r="BP37" s="1" t="n">
        <f aca="false">BP49+BP50</f>
        <v>0</v>
      </c>
      <c r="BQ37" s="1" t="n">
        <f aca="false">BQ49+BQ50</f>
        <v>0</v>
      </c>
      <c r="BR37" s="1" t="n">
        <f aca="false">BR49+BR50</f>
        <v>0</v>
      </c>
      <c r="BS37" s="1" t="n">
        <f aca="false">BS49+BS50</f>
        <v>0</v>
      </c>
      <c r="BT37" s="1" t="n">
        <f aca="false">BT49+BT50</f>
        <v>0</v>
      </c>
      <c r="BU37" s="1" t="n">
        <f aca="false">BU49+BU50</f>
        <v>0</v>
      </c>
      <c r="BV37" s="1" t="n">
        <f aca="false">BV49+BV50</f>
        <v>0</v>
      </c>
      <c r="BW37" s="1" t="n">
        <f aca="false">BW49+BW50</f>
        <v>0</v>
      </c>
      <c r="BX37" s="1" t="n">
        <f aca="false">BX49+BX50</f>
        <v>0</v>
      </c>
      <c r="BY37" s="1" t="n">
        <f aca="false">BY49+BY50</f>
        <v>0</v>
      </c>
      <c r="BZ37" s="1" t="n">
        <f aca="false">BZ49+BZ50</f>
        <v>0</v>
      </c>
      <c r="CA37" s="1" t="n">
        <f aca="false">CA49+CA50</f>
        <v>0</v>
      </c>
      <c r="CB37" s="1" t="n">
        <f aca="false">CB49+CB50</f>
        <v>0</v>
      </c>
      <c r="CC37" s="1" t="n">
        <f aca="false">CC49+CC50</f>
        <v>0</v>
      </c>
      <c r="CD37" s="1" t="n">
        <f aca="false">CD49+CD50</f>
        <v>0</v>
      </c>
      <c r="CE37" s="1" t="n">
        <f aca="false">CE49+CE50</f>
        <v>0</v>
      </c>
      <c r="CF37" s="1" t="n">
        <f aca="false">CF49+CF50</f>
        <v>0</v>
      </c>
      <c r="CG37" s="1" t="n">
        <f aca="false">CG49+CG50</f>
        <v>0</v>
      </c>
      <c r="CH37" s="1" t="n">
        <f aca="false">CH49+CH50</f>
        <v>0</v>
      </c>
      <c r="CI37" s="1" t="n">
        <f aca="false">CI49+CI50</f>
        <v>0</v>
      </c>
      <c r="CJ37" s="1" t="n">
        <f aca="false">CJ49+CJ50</f>
        <v>0</v>
      </c>
      <c r="CK37" s="1" t="n">
        <f aca="false">CK49+CK50</f>
        <v>0</v>
      </c>
      <c r="CL37" s="1" t="n">
        <f aca="false">CL49+CL50</f>
        <v>0</v>
      </c>
      <c r="CM37" s="1" t="n">
        <f aca="false">CM49+CM50</f>
        <v>0</v>
      </c>
      <c r="CN37" s="1" t="n">
        <f aca="false">CN49+CN50</f>
        <v>0</v>
      </c>
      <c r="CO37" s="1" t="n">
        <f aca="false">CO49+CO50</f>
        <v>0</v>
      </c>
      <c r="CP37" s="1" t="n">
        <f aca="false">CP49+CP50</f>
        <v>0</v>
      </c>
      <c r="CQ37" s="1" t="n">
        <f aca="false">CQ49+CQ50</f>
        <v>0</v>
      </c>
      <c r="CR37" s="1" t="n">
        <f aca="false">CR49+CR50</f>
        <v>0</v>
      </c>
      <c r="CS37" s="1" t="n">
        <f aca="false">CS49+CS50</f>
        <v>0</v>
      </c>
      <c r="CT37" s="1" t="n">
        <f aca="false">CT49+CT50</f>
        <v>0</v>
      </c>
      <c r="CU37" s="1" t="n">
        <f aca="false">CU49+CU50</f>
        <v>0</v>
      </c>
      <c r="CV37" s="1" t="n">
        <f aca="false">CV49+CV50</f>
        <v>0</v>
      </c>
      <c r="CW37" s="1" t="n">
        <f aca="false">CW49+CW50</f>
        <v>0</v>
      </c>
      <c r="CX37" s="1" t="n">
        <f aca="false">CX49+CX50</f>
        <v>0</v>
      </c>
      <c r="CY37" s="1" t="n">
        <f aca="false">CY49+CY50</f>
        <v>0</v>
      </c>
      <c r="CZ37" s="1" t="n">
        <f aca="false">CZ49+CZ50</f>
        <v>0</v>
      </c>
      <c r="DA37" s="1" t="n">
        <f aca="false">DA49+DA50</f>
        <v>0</v>
      </c>
      <c r="DB37" s="1" t="n">
        <f aca="false">DB49+DB50</f>
        <v>0</v>
      </c>
      <c r="DC37" s="1" t="n">
        <f aca="false">DC49+DC50</f>
        <v>0</v>
      </c>
      <c r="DD37" s="1" t="n">
        <f aca="false">DD49+DD50</f>
        <v>0</v>
      </c>
      <c r="DE37" s="1" t="n">
        <f aca="false">DE49+DE50</f>
        <v>0</v>
      </c>
      <c r="DF37" s="1" t="n">
        <f aca="false">DF49+DF50</f>
        <v>0</v>
      </c>
      <c r="DG37" s="1" t="n">
        <f aca="false">DG49+DG50</f>
        <v>0</v>
      </c>
      <c r="DH37" s="1" t="n">
        <f aca="false">DH49+DH50</f>
        <v>0</v>
      </c>
      <c r="DI37" s="1" t="n">
        <f aca="false">DI49+DI50</f>
        <v>0</v>
      </c>
      <c r="DJ37" s="1" t="n">
        <f aca="false">DJ49+DJ50</f>
        <v>0</v>
      </c>
      <c r="DK37" s="1" t="n">
        <f aca="false">DK49+DK50</f>
        <v>0</v>
      </c>
      <c r="DL37" s="1" t="n">
        <f aca="false">DL49+DL50</f>
        <v>0</v>
      </c>
      <c r="DM37" s="1" t="n">
        <f aca="false">DM49+DM50</f>
        <v>0</v>
      </c>
      <c r="DN37" s="1" t="n">
        <f aca="false">DN49+DN50</f>
        <v>0</v>
      </c>
      <c r="DO37" s="1" t="n">
        <f aca="false">DO49+DO50</f>
        <v>0</v>
      </c>
      <c r="DP37" s="1" t="n">
        <f aca="false">DP49+DP50</f>
        <v>0</v>
      </c>
      <c r="DQ37" s="1" t="n">
        <f aca="false">DQ49+DQ50</f>
        <v>0</v>
      </c>
      <c r="DR37" s="1" t="n">
        <f aca="false">DR49+DR50</f>
        <v>0</v>
      </c>
      <c r="DS37" s="1" t="n">
        <f aca="false">DS49+DS50</f>
        <v>0</v>
      </c>
    </row>
    <row r="38" customFormat="false" ht="15" hidden="false" customHeight="true" outlineLevel="0" collapsed="false">
      <c r="B38" s="178" t="s">
        <v>3436</v>
      </c>
      <c r="C38" s="268" t="n">
        <f aca="false">SUM(D25:AM27)</f>
        <v>2043690.23475</v>
      </c>
    </row>
    <row r="39" customFormat="false" ht="15" hidden="false" customHeight="true" outlineLevel="0" collapsed="false">
      <c r="B39" s="178" t="s">
        <v>3437</v>
      </c>
      <c r="C39" s="268" t="n">
        <f aca="false">NPV(SUP_CONTROL!$C$32,D33:AM33)</f>
        <v>-896989.182465478</v>
      </c>
    </row>
    <row r="40" customFormat="false" ht="15" hidden="false" customHeight="true" outlineLevel="0" collapsed="false">
      <c r="B40" s="178" t="s">
        <v>3438</v>
      </c>
      <c r="C40" s="272" t="n">
        <f aca="false">IFERROR((1+IRR(D33:AM33,0.01))^12-1,"n/a")</f>
        <v>-0.155168778340505</v>
      </c>
    </row>
    <row r="41" customFormat="false" ht="15" hidden="false" customHeight="true" outlineLevel="0" collapsed="false">
      <c r="B41" s="178" t="s">
        <v>3439</v>
      </c>
      <c r="C41" s="275" t="str">
        <f aca="false">IF(COUNTIF(D34:AM34,"&lt;0")&gt;=36,"no recupera en 36 m",COUNTIF(D34:AM34,"&lt;0")+1)</f>
        <v>no recupera en 36 m</v>
      </c>
    </row>
    <row r="42" customFormat="false" ht="15" hidden="false" customHeight="true" outlineLevel="0" collapsed="false">
      <c r="B42" s="178" t="s">
        <v>3440</v>
      </c>
      <c r="C42" s="268" t="n">
        <f aca="false">SUM(AB23:AM23)</f>
        <v>954119.508589906</v>
      </c>
    </row>
    <row r="43" customFormat="false" ht="15" hidden="false" customHeight="true" outlineLevel="0" collapsed="false">
      <c r="B43" s="178" t="s">
        <v>3441</v>
      </c>
      <c r="C43" s="268" t="n">
        <f aca="false">NPV(SUP_CONTROL!$C$32,D33:DS33)</f>
        <v>899600.849526872</v>
      </c>
    </row>
    <row r="44" customFormat="false" ht="15" hidden="false" customHeight="true" outlineLevel="0" collapsed="false">
      <c r="B44" s="178" t="s">
        <v>3442</v>
      </c>
      <c r="C44" s="272" t="n">
        <f aca="false">IFERROR((1+IRR(D33:DS33,0.01))^12-1,"n/a")</f>
        <v>0.321396448490166</v>
      </c>
    </row>
    <row r="45" customFormat="false" ht="15" hidden="false" customHeight="true" outlineLevel="0" collapsed="false">
      <c r="B45" s="178" t="s">
        <v>3443</v>
      </c>
      <c r="C45" s="275" t="n">
        <f aca="false">IF(COUNTIF(D34:DS34,"&lt;0")&gt;=120,"no recupera",COUNTIF(D34:DS34,"&lt;0")+1)</f>
        <v>45</v>
      </c>
    </row>
    <row r="46" customFormat="false" ht="15" hidden="false" customHeight="true" outlineLevel="0" collapsed="false">
      <c r="B46" s="178" t="s">
        <v>3444</v>
      </c>
      <c r="C46" s="275" t="n">
        <f aca="false">IF(COUNTIF(D36:DS36,"&lt;0")&gt;=120,"no recupera",COUNTIF(D36:DS36,"&lt;0")+1)</f>
        <v>68</v>
      </c>
    </row>
    <row r="48" customFormat="false" ht="15" hidden="false" customHeight="true" outlineLevel="0" collapsed="false">
      <c r="B48" s="23" t="s">
        <v>3445</v>
      </c>
    </row>
    <row r="49" customFormat="false" ht="15" hidden="false" customHeight="true" outlineLevel="0" collapsed="false">
      <c r="B49" s="295" t="s">
        <v>3446</v>
      </c>
      <c r="D49" s="1" t="n">
        <f aca="false">D6*3*SUP_OPEX!$D$20+D7*3*SUP_OPEX!$E$20</f>
        <v>0</v>
      </c>
      <c r="E49" s="1" t="n">
        <f aca="false">E6*3*SUP_OPEX!$D$20+E7*3*SUP_OPEX!$E$20</f>
        <v>0</v>
      </c>
      <c r="F49" s="1" t="n">
        <f aca="false">F6*3*SUP_OPEX!$D$20+F7*3*SUP_OPEX!$E$20</f>
        <v>0</v>
      </c>
      <c r="G49" s="1" t="n">
        <f aca="false">G6*3*SUP_OPEX!$D$20+G7*3*SUP_OPEX!$E$20</f>
        <v>12000</v>
      </c>
      <c r="H49" s="1" t="n">
        <f aca="false">H6*3*SUP_OPEX!$D$20+H7*3*SUP_OPEX!$E$20</f>
        <v>12000</v>
      </c>
      <c r="I49" s="1" t="n">
        <f aca="false">I6*3*SUP_OPEX!$D$20+I7*3*SUP_OPEX!$E$20</f>
        <v>12000</v>
      </c>
      <c r="J49" s="1" t="n">
        <f aca="false">J6*3*SUP_OPEX!$D$20+J7*3*SUP_OPEX!$E$20</f>
        <v>15600</v>
      </c>
      <c r="K49" s="1" t="n">
        <f aca="false">K6*3*SUP_OPEX!$D$20+K7*3*SUP_OPEX!$E$20</f>
        <v>19200</v>
      </c>
      <c r="L49" s="1" t="n">
        <f aca="false">L6*3*SUP_OPEX!$D$20+L7*3*SUP_OPEX!$E$20</f>
        <v>0</v>
      </c>
      <c r="M49" s="1" t="n">
        <f aca="false">M6*3*SUP_OPEX!$D$20+M7*3*SUP_OPEX!$E$20</f>
        <v>0</v>
      </c>
      <c r="N49" s="1" t="n">
        <f aca="false">N6*3*SUP_OPEX!$D$20+N7*3*SUP_OPEX!$E$20</f>
        <v>0</v>
      </c>
      <c r="O49" s="1" t="n">
        <f aca="false">O6*3*SUP_OPEX!$D$20+O7*3*SUP_OPEX!$E$20</f>
        <v>0</v>
      </c>
      <c r="P49" s="1" t="n">
        <f aca="false">P6*3*SUP_OPEX!$D$20+P7*3*SUP_OPEX!$E$20</f>
        <v>0</v>
      </c>
      <c r="Q49" s="1" t="n">
        <f aca="false">Q6*3*SUP_OPEX!$D$20+Q7*3*SUP_OPEX!$E$20</f>
        <v>0</v>
      </c>
      <c r="R49" s="1" t="n">
        <f aca="false">R6*3*SUP_OPEX!$D$20+R7*3*SUP_OPEX!$E$20</f>
        <v>0</v>
      </c>
      <c r="S49" s="1" t="n">
        <f aca="false">S6*3*SUP_OPEX!$D$20+S7*3*SUP_OPEX!$E$20</f>
        <v>0</v>
      </c>
      <c r="T49" s="1" t="n">
        <f aca="false">T6*3*SUP_OPEX!$D$20+T7*3*SUP_OPEX!$E$20</f>
        <v>0</v>
      </c>
      <c r="U49" s="1" t="n">
        <f aca="false">U6*3*SUP_OPEX!$D$20+U7*3*SUP_OPEX!$E$20</f>
        <v>0</v>
      </c>
      <c r="V49" s="1" t="n">
        <f aca="false">V6*3*SUP_OPEX!$D$20+V7*3*SUP_OPEX!$E$20</f>
        <v>0</v>
      </c>
      <c r="W49" s="1" t="n">
        <f aca="false">W6*3*SUP_OPEX!$D$20+W7*3*SUP_OPEX!$E$20</f>
        <v>0</v>
      </c>
      <c r="X49" s="1" t="n">
        <f aca="false">X6*3*SUP_OPEX!$D$20+X7*3*SUP_OPEX!$E$20</f>
        <v>0</v>
      </c>
      <c r="Y49" s="1" t="n">
        <f aca="false">Y6*3*SUP_OPEX!$D$20+Y7*3*SUP_OPEX!$E$20</f>
        <v>0</v>
      </c>
      <c r="Z49" s="1" t="n">
        <f aca="false">Z6*3*SUP_OPEX!$D$20+Z7*3*SUP_OPEX!$E$20</f>
        <v>0</v>
      </c>
      <c r="AA49" s="1" t="n">
        <f aca="false">AA6*3*SUP_OPEX!$D$20+AA7*3*SUP_OPEX!$E$20</f>
        <v>0</v>
      </c>
      <c r="AB49" s="1" t="n">
        <f aca="false">AB6*3*SUP_OPEX!$D$20+AB7*3*SUP_OPEX!$E$20</f>
        <v>0</v>
      </c>
      <c r="AC49" s="1" t="n">
        <f aca="false">AC6*3*SUP_OPEX!$D$20+AC7*3*SUP_OPEX!$E$20</f>
        <v>0</v>
      </c>
      <c r="AD49" s="1" t="n">
        <f aca="false">AD6*3*SUP_OPEX!$D$20+AD7*3*SUP_OPEX!$E$20</f>
        <v>0</v>
      </c>
      <c r="AE49" s="1" t="n">
        <f aca="false">AE6*3*SUP_OPEX!$D$20+AE7*3*SUP_OPEX!$E$20</f>
        <v>0</v>
      </c>
      <c r="AF49" s="1" t="n">
        <f aca="false">AF6*3*SUP_OPEX!$D$20+AF7*3*SUP_OPEX!$E$20</f>
        <v>0</v>
      </c>
      <c r="AG49" s="1" t="n">
        <f aca="false">AG6*3*SUP_OPEX!$D$20+AG7*3*SUP_OPEX!$E$20</f>
        <v>0</v>
      </c>
      <c r="AH49" s="1" t="n">
        <f aca="false">AH6*3*SUP_OPEX!$D$20+AH7*3*SUP_OPEX!$E$20</f>
        <v>0</v>
      </c>
      <c r="AI49" s="1" t="n">
        <f aca="false">AI6*3*SUP_OPEX!$D$20+AI7*3*SUP_OPEX!$E$20</f>
        <v>0</v>
      </c>
      <c r="AJ49" s="1" t="n">
        <f aca="false">AJ6*3*SUP_OPEX!$D$20+AJ7*3*SUP_OPEX!$E$20</f>
        <v>0</v>
      </c>
      <c r="AK49" s="1" t="n">
        <f aca="false">AK6*3*SUP_OPEX!$D$20+AK7*3*SUP_OPEX!$E$20</f>
        <v>0</v>
      </c>
      <c r="AL49" s="1" t="n">
        <f aca="false">AL6*3*SUP_OPEX!$D$20+AL7*3*SUP_OPEX!$E$20</f>
        <v>0</v>
      </c>
      <c r="AM49" s="1" t="n">
        <f aca="false">AM6*3*SUP_OPEX!$D$20+AM7*3*SUP_OPEX!$E$20</f>
        <v>0</v>
      </c>
      <c r="AN49" s="1" t="n">
        <f aca="false">AN6*3*SUP_OPEX!$D$20+AN7*3*SUP_OPEX!$E$20</f>
        <v>0</v>
      </c>
      <c r="AO49" s="1" t="n">
        <f aca="false">AO6*3*SUP_OPEX!$D$20+AO7*3*SUP_OPEX!$E$20</f>
        <v>0</v>
      </c>
      <c r="AP49" s="1" t="n">
        <f aca="false">AP6*3*SUP_OPEX!$D$20+AP7*3*SUP_OPEX!$E$20</f>
        <v>0</v>
      </c>
      <c r="AQ49" s="1" t="n">
        <f aca="false">AQ6*3*SUP_OPEX!$D$20+AQ7*3*SUP_OPEX!$E$20</f>
        <v>0</v>
      </c>
      <c r="AR49" s="1" t="n">
        <f aca="false">AR6*3*SUP_OPEX!$D$20+AR7*3*SUP_OPEX!$E$20</f>
        <v>0</v>
      </c>
      <c r="AS49" s="1" t="n">
        <f aca="false">AS6*3*SUP_OPEX!$D$20+AS7*3*SUP_OPEX!$E$20</f>
        <v>0</v>
      </c>
      <c r="AT49" s="1" t="n">
        <f aca="false">AT6*3*SUP_OPEX!$D$20+AT7*3*SUP_OPEX!$E$20</f>
        <v>0</v>
      </c>
      <c r="AU49" s="1" t="n">
        <f aca="false">AU6*3*SUP_OPEX!$D$20+AU7*3*SUP_OPEX!$E$20</f>
        <v>0</v>
      </c>
      <c r="AV49" s="1" t="n">
        <f aca="false">AV6*3*SUP_OPEX!$D$20+AV7*3*SUP_OPEX!$E$20</f>
        <v>0</v>
      </c>
      <c r="AW49" s="1" t="n">
        <f aca="false">AW6*3*SUP_OPEX!$D$20+AW7*3*SUP_OPEX!$E$20</f>
        <v>0</v>
      </c>
      <c r="AX49" s="1" t="n">
        <f aca="false">AX6*3*SUP_OPEX!$D$20+AX7*3*SUP_OPEX!$E$20</f>
        <v>0</v>
      </c>
      <c r="AY49" s="1" t="n">
        <f aca="false">AY6*3*SUP_OPEX!$D$20+AY7*3*SUP_OPEX!$E$20</f>
        <v>0</v>
      </c>
      <c r="AZ49" s="1" t="n">
        <f aca="false">AZ6*3*SUP_OPEX!$D$20+AZ7*3*SUP_OPEX!$E$20</f>
        <v>0</v>
      </c>
      <c r="BA49" s="1" t="n">
        <f aca="false">BA6*3*SUP_OPEX!$D$20+BA7*3*SUP_OPEX!$E$20</f>
        <v>0</v>
      </c>
      <c r="BB49" s="1" t="n">
        <f aca="false">BB6*3*SUP_OPEX!$D$20+BB7*3*SUP_OPEX!$E$20</f>
        <v>0</v>
      </c>
      <c r="BC49" s="1" t="n">
        <f aca="false">BC6*3*SUP_OPEX!$D$20+BC7*3*SUP_OPEX!$E$20</f>
        <v>0</v>
      </c>
      <c r="BD49" s="1" t="n">
        <f aca="false">BD6*3*SUP_OPEX!$D$20+BD7*3*SUP_OPEX!$E$20</f>
        <v>0</v>
      </c>
      <c r="BE49" s="1" t="n">
        <f aca="false">BE6*3*SUP_OPEX!$D$20+BE7*3*SUP_OPEX!$E$20</f>
        <v>0</v>
      </c>
      <c r="BF49" s="1" t="n">
        <f aca="false">BF6*3*SUP_OPEX!$D$20+BF7*3*SUP_OPEX!$E$20</f>
        <v>0</v>
      </c>
      <c r="BG49" s="1" t="n">
        <f aca="false">BG6*3*SUP_OPEX!$D$20+BG7*3*SUP_OPEX!$E$20</f>
        <v>0</v>
      </c>
      <c r="BH49" s="1" t="n">
        <f aca="false">BH6*3*SUP_OPEX!$D$20+BH7*3*SUP_OPEX!$E$20</f>
        <v>0</v>
      </c>
      <c r="BI49" s="1" t="n">
        <f aca="false">BI6*3*SUP_OPEX!$D$20+BI7*3*SUP_OPEX!$E$20</f>
        <v>0</v>
      </c>
      <c r="BJ49" s="1" t="n">
        <f aca="false">BJ6*3*SUP_OPEX!$D$20+BJ7*3*SUP_OPEX!$E$20</f>
        <v>0</v>
      </c>
      <c r="BK49" s="1" t="n">
        <f aca="false">BK6*3*SUP_OPEX!$D$20+BK7*3*SUP_OPEX!$E$20</f>
        <v>0</v>
      </c>
      <c r="BL49" s="1" t="n">
        <f aca="false">BL6*3*SUP_OPEX!$D$20+BL7*3*SUP_OPEX!$E$20</f>
        <v>0</v>
      </c>
      <c r="BM49" s="1" t="n">
        <f aca="false">BM6*3*SUP_OPEX!$D$20+BM7*3*SUP_OPEX!$E$20</f>
        <v>0</v>
      </c>
      <c r="BN49" s="1" t="n">
        <f aca="false">BN6*3*SUP_OPEX!$D$20+BN7*3*SUP_OPEX!$E$20</f>
        <v>0</v>
      </c>
      <c r="BO49" s="1" t="n">
        <f aca="false">BO6*3*SUP_OPEX!$D$20+BO7*3*SUP_OPEX!$E$20</f>
        <v>0</v>
      </c>
      <c r="BP49" s="1" t="n">
        <f aca="false">BP6*3*SUP_OPEX!$D$20+BP7*3*SUP_OPEX!$E$20</f>
        <v>0</v>
      </c>
      <c r="BQ49" s="1" t="n">
        <f aca="false">BQ6*3*SUP_OPEX!$D$20+BQ7*3*SUP_OPEX!$E$20</f>
        <v>0</v>
      </c>
      <c r="BR49" s="1" t="n">
        <f aca="false">BR6*3*SUP_OPEX!$D$20+BR7*3*SUP_OPEX!$E$20</f>
        <v>0</v>
      </c>
      <c r="BS49" s="1" t="n">
        <f aca="false">BS6*3*SUP_OPEX!$D$20+BS7*3*SUP_OPEX!$E$20</f>
        <v>0</v>
      </c>
      <c r="BT49" s="1" t="n">
        <f aca="false">BT6*3*SUP_OPEX!$D$20+BT7*3*SUP_OPEX!$E$20</f>
        <v>0</v>
      </c>
      <c r="BU49" s="1" t="n">
        <f aca="false">BU6*3*SUP_OPEX!$D$20+BU7*3*SUP_OPEX!$E$20</f>
        <v>0</v>
      </c>
      <c r="BV49" s="1" t="n">
        <f aca="false">BV6*3*SUP_OPEX!$D$20+BV7*3*SUP_OPEX!$E$20</f>
        <v>0</v>
      </c>
      <c r="BW49" s="1" t="n">
        <f aca="false">BW6*3*SUP_OPEX!$D$20+BW7*3*SUP_OPEX!$E$20</f>
        <v>0</v>
      </c>
      <c r="BX49" s="1" t="n">
        <f aca="false">BX6*3*SUP_OPEX!$D$20+BX7*3*SUP_OPEX!$E$20</f>
        <v>0</v>
      </c>
      <c r="BY49" s="1" t="n">
        <f aca="false">BY6*3*SUP_OPEX!$D$20+BY7*3*SUP_OPEX!$E$20</f>
        <v>0</v>
      </c>
      <c r="BZ49" s="1" t="n">
        <f aca="false">BZ6*3*SUP_OPEX!$D$20+BZ7*3*SUP_OPEX!$E$20</f>
        <v>0</v>
      </c>
      <c r="CA49" s="1" t="n">
        <f aca="false">CA6*3*SUP_OPEX!$D$20+CA7*3*SUP_OPEX!$E$20</f>
        <v>0</v>
      </c>
      <c r="CB49" s="1" t="n">
        <f aca="false">CB6*3*SUP_OPEX!$D$20+CB7*3*SUP_OPEX!$E$20</f>
        <v>0</v>
      </c>
      <c r="CC49" s="1" t="n">
        <f aca="false">CC6*3*SUP_OPEX!$D$20+CC7*3*SUP_OPEX!$E$20</f>
        <v>0</v>
      </c>
      <c r="CD49" s="1" t="n">
        <f aca="false">CD6*3*SUP_OPEX!$D$20+CD7*3*SUP_OPEX!$E$20</f>
        <v>0</v>
      </c>
      <c r="CE49" s="1" t="n">
        <f aca="false">CE6*3*SUP_OPEX!$D$20+CE7*3*SUP_OPEX!$E$20</f>
        <v>0</v>
      </c>
      <c r="CF49" s="1" t="n">
        <f aca="false">CF6*3*SUP_OPEX!$D$20+CF7*3*SUP_OPEX!$E$20</f>
        <v>0</v>
      </c>
      <c r="CG49" s="1" t="n">
        <f aca="false">CG6*3*SUP_OPEX!$D$20+CG7*3*SUP_OPEX!$E$20</f>
        <v>0</v>
      </c>
      <c r="CH49" s="1" t="n">
        <f aca="false">CH6*3*SUP_OPEX!$D$20+CH7*3*SUP_OPEX!$E$20</f>
        <v>0</v>
      </c>
      <c r="CI49" s="1" t="n">
        <f aca="false">CI6*3*SUP_OPEX!$D$20+CI7*3*SUP_OPEX!$E$20</f>
        <v>0</v>
      </c>
      <c r="CJ49" s="1" t="n">
        <f aca="false">CJ6*3*SUP_OPEX!$D$20+CJ7*3*SUP_OPEX!$E$20</f>
        <v>0</v>
      </c>
      <c r="CK49" s="1" t="n">
        <f aca="false">CK6*3*SUP_OPEX!$D$20+CK7*3*SUP_OPEX!$E$20</f>
        <v>0</v>
      </c>
      <c r="CL49" s="1" t="n">
        <f aca="false">CL6*3*SUP_OPEX!$D$20+CL7*3*SUP_OPEX!$E$20</f>
        <v>0</v>
      </c>
      <c r="CM49" s="1" t="n">
        <f aca="false">CM6*3*SUP_OPEX!$D$20+CM7*3*SUP_OPEX!$E$20</f>
        <v>0</v>
      </c>
      <c r="CN49" s="1" t="n">
        <f aca="false">CN6*3*SUP_OPEX!$D$20+CN7*3*SUP_OPEX!$E$20</f>
        <v>0</v>
      </c>
      <c r="CO49" s="1" t="n">
        <f aca="false">CO6*3*SUP_OPEX!$D$20+CO7*3*SUP_OPEX!$E$20</f>
        <v>0</v>
      </c>
      <c r="CP49" s="1" t="n">
        <f aca="false">CP6*3*SUP_OPEX!$D$20+CP7*3*SUP_OPEX!$E$20</f>
        <v>0</v>
      </c>
      <c r="CQ49" s="1" t="n">
        <f aca="false">CQ6*3*SUP_OPEX!$D$20+CQ7*3*SUP_OPEX!$E$20</f>
        <v>0</v>
      </c>
      <c r="CR49" s="1" t="n">
        <f aca="false">CR6*3*SUP_OPEX!$D$20+CR7*3*SUP_OPEX!$E$20</f>
        <v>0</v>
      </c>
      <c r="CS49" s="1" t="n">
        <f aca="false">CS6*3*SUP_OPEX!$D$20+CS7*3*SUP_OPEX!$E$20</f>
        <v>0</v>
      </c>
      <c r="CT49" s="1" t="n">
        <f aca="false">CT6*3*SUP_OPEX!$D$20+CT7*3*SUP_OPEX!$E$20</f>
        <v>0</v>
      </c>
      <c r="CU49" s="1" t="n">
        <f aca="false">CU6*3*SUP_OPEX!$D$20+CU7*3*SUP_OPEX!$E$20</f>
        <v>0</v>
      </c>
      <c r="CV49" s="1" t="n">
        <f aca="false">CV6*3*SUP_OPEX!$D$20+CV7*3*SUP_OPEX!$E$20</f>
        <v>0</v>
      </c>
      <c r="CW49" s="1" t="n">
        <f aca="false">CW6*3*SUP_OPEX!$D$20+CW7*3*SUP_OPEX!$E$20</f>
        <v>0</v>
      </c>
      <c r="CX49" s="1" t="n">
        <f aca="false">CX6*3*SUP_OPEX!$D$20+CX7*3*SUP_OPEX!$E$20</f>
        <v>0</v>
      </c>
      <c r="CY49" s="1" t="n">
        <f aca="false">CY6*3*SUP_OPEX!$D$20+CY7*3*SUP_OPEX!$E$20</f>
        <v>0</v>
      </c>
      <c r="CZ49" s="1" t="n">
        <f aca="false">CZ6*3*SUP_OPEX!$D$20+CZ7*3*SUP_OPEX!$E$20</f>
        <v>0</v>
      </c>
      <c r="DA49" s="1" t="n">
        <f aca="false">DA6*3*SUP_OPEX!$D$20+DA7*3*SUP_OPEX!$E$20</f>
        <v>0</v>
      </c>
      <c r="DB49" s="1" t="n">
        <f aca="false">DB6*3*SUP_OPEX!$D$20+DB7*3*SUP_OPEX!$E$20</f>
        <v>0</v>
      </c>
      <c r="DC49" s="1" t="n">
        <f aca="false">DC6*3*SUP_OPEX!$D$20+DC7*3*SUP_OPEX!$E$20</f>
        <v>0</v>
      </c>
      <c r="DD49" s="1" t="n">
        <f aca="false">DD6*3*SUP_OPEX!$D$20+DD7*3*SUP_OPEX!$E$20</f>
        <v>0</v>
      </c>
      <c r="DE49" s="1" t="n">
        <f aca="false">DE6*3*SUP_OPEX!$D$20+DE7*3*SUP_OPEX!$E$20</f>
        <v>0</v>
      </c>
      <c r="DF49" s="1" t="n">
        <f aca="false">DF6*3*SUP_OPEX!$D$20+DF7*3*SUP_OPEX!$E$20</f>
        <v>0</v>
      </c>
      <c r="DG49" s="1" t="n">
        <f aca="false">DG6*3*SUP_OPEX!$D$20+DG7*3*SUP_OPEX!$E$20</f>
        <v>0</v>
      </c>
      <c r="DH49" s="1" t="n">
        <f aca="false">DH6*3*SUP_OPEX!$D$20+DH7*3*SUP_OPEX!$E$20</f>
        <v>0</v>
      </c>
      <c r="DI49" s="1" t="n">
        <f aca="false">DI6*3*SUP_OPEX!$D$20+DI7*3*SUP_OPEX!$E$20</f>
        <v>0</v>
      </c>
      <c r="DJ49" s="1" t="n">
        <f aca="false">DJ6*3*SUP_OPEX!$D$20+DJ7*3*SUP_OPEX!$E$20</f>
        <v>0</v>
      </c>
      <c r="DK49" s="1" t="n">
        <f aca="false">DK6*3*SUP_OPEX!$D$20+DK7*3*SUP_OPEX!$E$20</f>
        <v>0</v>
      </c>
      <c r="DL49" s="1" t="n">
        <f aca="false">DL6*3*SUP_OPEX!$D$20+DL7*3*SUP_OPEX!$E$20</f>
        <v>0</v>
      </c>
      <c r="DM49" s="1" t="n">
        <f aca="false">DM6*3*SUP_OPEX!$D$20+DM7*3*SUP_OPEX!$E$20</f>
        <v>0</v>
      </c>
      <c r="DN49" s="1" t="n">
        <f aca="false">DN6*3*SUP_OPEX!$D$20+DN7*3*SUP_OPEX!$E$20</f>
        <v>0</v>
      </c>
      <c r="DO49" s="1" t="n">
        <f aca="false">DO6*3*SUP_OPEX!$D$20+DO7*3*SUP_OPEX!$E$20</f>
        <v>0</v>
      </c>
      <c r="DP49" s="1" t="n">
        <f aca="false">DP6*3*SUP_OPEX!$D$20+DP7*3*SUP_OPEX!$E$20</f>
        <v>0</v>
      </c>
      <c r="DQ49" s="1" t="n">
        <f aca="false">DQ6*3*SUP_OPEX!$D$20+DQ7*3*SUP_OPEX!$E$20</f>
        <v>0</v>
      </c>
      <c r="DR49" s="1" t="n">
        <f aca="false">DR6*3*SUP_OPEX!$D$20+DR7*3*SUP_OPEX!$E$20</f>
        <v>0</v>
      </c>
      <c r="DS49" s="1" t="n">
        <f aca="false">DS6*3*SUP_OPEX!$D$20+DS7*3*SUP_OPEX!$E$20</f>
        <v>0</v>
      </c>
    </row>
    <row r="50" customFormat="false" ht="15" hidden="false" customHeight="true" outlineLevel="0" collapsed="false">
      <c r="B50" s="295" t="s">
        <v>3447</v>
      </c>
      <c r="D50" s="1" t="n">
        <f aca="false">D6*2*SUP_OPEX!$D$20+D7*2*SUP_OPEX!$E$20</f>
        <v>0</v>
      </c>
      <c r="E50" s="1" t="n">
        <f aca="false">E6*2*SUP_OPEX!$D$20+E7*2*SUP_OPEX!$E$20-(D6*1*SUP_OPEX!$D$20+D7*1*SUP_OPEX!$E$20)</f>
        <v>0</v>
      </c>
      <c r="F50" s="1" t="n">
        <f aca="false">F6*2*SUP_OPEX!$D$20+F7*2*SUP_OPEX!$E$20-(E6*1*SUP_OPEX!$D$20+E7*1*SUP_OPEX!$E$20)-(D6*1*SUP_OPEX!$D$20+D7*1*SUP_OPEX!$E$20)</f>
        <v>0</v>
      </c>
      <c r="G50" s="1" t="n">
        <f aca="false">G6*2*SUP_OPEX!$D$20+G7*2*SUP_OPEX!$E$20-(F6*1*SUP_OPEX!$D$20+F7*1*SUP_OPEX!$E$20)-(E6*1*SUP_OPEX!$D$20+E7*1*SUP_OPEX!$E$20)</f>
        <v>8000</v>
      </c>
      <c r="H50" s="1" t="n">
        <f aca="false">H6*2*SUP_OPEX!$D$20+H7*2*SUP_OPEX!$E$20-(G6*1*SUP_OPEX!$D$20+G7*1*SUP_OPEX!$E$20)-(F6*1*SUP_OPEX!$D$20+F7*1*SUP_OPEX!$E$20)</f>
        <v>4000</v>
      </c>
      <c r="I50" s="1" t="n">
        <f aca="false">I6*2*SUP_OPEX!$D$20+I7*2*SUP_OPEX!$E$20-(H6*1*SUP_OPEX!$D$20+H7*1*SUP_OPEX!$E$20)-(G6*1*SUP_OPEX!$D$20+G7*1*SUP_OPEX!$E$20)</f>
        <v>0</v>
      </c>
      <c r="J50" s="1" t="n">
        <f aca="false">J6*2*SUP_OPEX!$D$20+J7*2*SUP_OPEX!$E$20-(I6*1*SUP_OPEX!$D$20+I7*1*SUP_OPEX!$E$20)-(H6*1*SUP_OPEX!$D$20+H7*1*SUP_OPEX!$E$20)</f>
        <v>2400</v>
      </c>
      <c r="K50" s="1" t="n">
        <f aca="false">K6*2*SUP_OPEX!$D$20+K7*2*SUP_OPEX!$E$20-(J6*1*SUP_OPEX!$D$20+J7*1*SUP_OPEX!$E$20)-(I6*1*SUP_OPEX!$D$20+I7*1*SUP_OPEX!$E$20)</f>
        <v>3600</v>
      </c>
      <c r="L50" s="1" t="n">
        <f aca="false">L6*2*SUP_OPEX!$D$20+L7*2*SUP_OPEX!$E$20-(K6*1*SUP_OPEX!$D$20+K7*1*SUP_OPEX!$E$20)-(J6*1*SUP_OPEX!$D$20+J7*1*SUP_OPEX!$E$20)</f>
        <v>-11600</v>
      </c>
      <c r="M50" s="1" t="n">
        <f aca="false">M6*2*SUP_OPEX!$D$20+M7*2*SUP_OPEX!$E$20-(L6*1*SUP_OPEX!$D$20+L7*1*SUP_OPEX!$E$20)-(K6*1*SUP_OPEX!$D$20+K7*1*SUP_OPEX!$E$20)</f>
        <v>-6400</v>
      </c>
      <c r="N50" s="1" t="n">
        <f aca="false">N6*2*SUP_OPEX!$D$20+N7*2*SUP_OPEX!$E$20-(M6*1*SUP_OPEX!$D$20+M7*1*SUP_OPEX!$E$20)-(L6*1*SUP_OPEX!$D$20+L7*1*SUP_OPEX!$E$20)</f>
        <v>0</v>
      </c>
      <c r="O50" s="1" t="n">
        <f aca="false">O6*2*SUP_OPEX!$D$20+O7*2*SUP_OPEX!$E$20-(N6*1*SUP_OPEX!$D$20+N7*1*SUP_OPEX!$E$20)-(M6*1*SUP_OPEX!$D$20+M7*1*SUP_OPEX!$E$20)</f>
        <v>0</v>
      </c>
      <c r="P50" s="1" t="n">
        <f aca="false">P6*2*SUP_OPEX!$D$20+P7*2*SUP_OPEX!$E$20-(O6*1*SUP_OPEX!$D$20+O7*1*SUP_OPEX!$E$20)-(N6*1*SUP_OPEX!$D$20+N7*1*SUP_OPEX!$E$20)</f>
        <v>0</v>
      </c>
      <c r="Q50" s="1" t="n">
        <f aca="false">Q6*2*SUP_OPEX!$D$20+Q7*2*SUP_OPEX!$E$20-(P6*1*SUP_OPEX!$D$20+P7*1*SUP_OPEX!$E$20)-(O6*1*SUP_OPEX!$D$20+O7*1*SUP_OPEX!$E$20)</f>
        <v>0</v>
      </c>
      <c r="R50" s="1" t="n">
        <f aca="false">R6*2*SUP_OPEX!$D$20+R7*2*SUP_OPEX!$E$20-(Q6*1*SUP_OPEX!$D$20+Q7*1*SUP_OPEX!$E$20)-(P6*1*SUP_OPEX!$D$20+P7*1*SUP_OPEX!$E$20)</f>
        <v>0</v>
      </c>
      <c r="S50" s="1" t="n">
        <f aca="false">S6*2*SUP_OPEX!$D$20+S7*2*SUP_OPEX!$E$20-(R6*1*SUP_OPEX!$D$20+R7*1*SUP_OPEX!$E$20)-(Q6*1*SUP_OPEX!$D$20+Q7*1*SUP_OPEX!$E$20)</f>
        <v>0</v>
      </c>
      <c r="T50" s="1" t="n">
        <f aca="false">T6*2*SUP_OPEX!$D$20+T7*2*SUP_OPEX!$E$20-(S6*1*SUP_OPEX!$D$20+S7*1*SUP_OPEX!$E$20)-(R6*1*SUP_OPEX!$D$20+R7*1*SUP_OPEX!$E$20)</f>
        <v>0</v>
      </c>
      <c r="U50" s="1" t="n">
        <f aca="false">U6*2*SUP_OPEX!$D$20+U7*2*SUP_OPEX!$E$20-(T6*1*SUP_OPEX!$D$20+T7*1*SUP_OPEX!$E$20)-(S6*1*SUP_OPEX!$D$20+S7*1*SUP_OPEX!$E$20)</f>
        <v>0</v>
      </c>
      <c r="V50" s="1" t="n">
        <f aca="false">V6*2*SUP_OPEX!$D$20+V7*2*SUP_OPEX!$E$20-(U6*1*SUP_OPEX!$D$20+U7*1*SUP_OPEX!$E$20)-(T6*1*SUP_OPEX!$D$20+T7*1*SUP_OPEX!$E$20)</f>
        <v>0</v>
      </c>
      <c r="W50" s="1" t="n">
        <f aca="false">W6*2*SUP_OPEX!$D$20+W7*2*SUP_OPEX!$E$20-(V6*1*SUP_OPEX!$D$20+V7*1*SUP_OPEX!$E$20)-(U6*1*SUP_OPEX!$D$20+U7*1*SUP_OPEX!$E$20)</f>
        <v>0</v>
      </c>
      <c r="X50" s="1" t="n">
        <f aca="false">X6*2*SUP_OPEX!$D$20+X7*2*SUP_OPEX!$E$20-(W6*1*SUP_OPEX!$D$20+W7*1*SUP_OPEX!$E$20)-(V6*1*SUP_OPEX!$D$20+V7*1*SUP_OPEX!$E$20)</f>
        <v>0</v>
      </c>
      <c r="Y50" s="1" t="n">
        <f aca="false">Y6*2*SUP_OPEX!$D$20+Y7*2*SUP_OPEX!$E$20-(X6*1*SUP_OPEX!$D$20+X7*1*SUP_OPEX!$E$20)-(W6*1*SUP_OPEX!$D$20+W7*1*SUP_OPEX!$E$20)</f>
        <v>0</v>
      </c>
      <c r="Z50" s="1" t="n">
        <f aca="false">Z6*2*SUP_OPEX!$D$20+Z7*2*SUP_OPEX!$E$20-(Y6*1*SUP_OPEX!$D$20+Y7*1*SUP_OPEX!$E$20)-(X6*1*SUP_OPEX!$D$20+X7*1*SUP_OPEX!$E$20)</f>
        <v>0</v>
      </c>
      <c r="AA50" s="1" t="n">
        <f aca="false">AA6*2*SUP_OPEX!$D$20+AA7*2*SUP_OPEX!$E$20-(Z6*1*SUP_OPEX!$D$20+Z7*1*SUP_OPEX!$E$20)-(Y6*1*SUP_OPEX!$D$20+Y7*1*SUP_OPEX!$E$20)</f>
        <v>0</v>
      </c>
      <c r="AB50" s="1" t="n">
        <f aca="false">AB6*2*SUP_OPEX!$D$20+AB7*2*SUP_OPEX!$E$20-(AA6*1*SUP_OPEX!$D$20+AA7*1*SUP_OPEX!$E$20)-(Z6*1*SUP_OPEX!$D$20+Z7*1*SUP_OPEX!$E$20)</f>
        <v>0</v>
      </c>
      <c r="AC50" s="1" t="n">
        <f aca="false">AC6*2*SUP_OPEX!$D$20+AC7*2*SUP_OPEX!$E$20-(AB6*1*SUP_OPEX!$D$20+AB7*1*SUP_OPEX!$E$20)-(AA6*1*SUP_OPEX!$D$20+AA7*1*SUP_OPEX!$E$20)</f>
        <v>0</v>
      </c>
      <c r="AD50" s="1" t="n">
        <f aca="false">AD6*2*SUP_OPEX!$D$20+AD7*2*SUP_OPEX!$E$20-(AC6*1*SUP_OPEX!$D$20+AC7*1*SUP_OPEX!$E$20)-(AB6*1*SUP_OPEX!$D$20+AB7*1*SUP_OPEX!$E$20)</f>
        <v>0</v>
      </c>
      <c r="AE50" s="1" t="n">
        <f aca="false">AE6*2*SUP_OPEX!$D$20+AE7*2*SUP_OPEX!$E$20-(AD6*1*SUP_OPEX!$D$20+AD7*1*SUP_OPEX!$E$20)-(AC6*1*SUP_OPEX!$D$20+AC7*1*SUP_OPEX!$E$20)</f>
        <v>0</v>
      </c>
      <c r="AF50" s="1" t="n">
        <f aca="false">AF6*2*SUP_OPEX!$D$20+AF7*2*SUP_OPEX!$E$20-(AE6*1*SUP_OPEX!$D$20+AE7*1*SUP_OPEX!$E$20)-(AD6*1*SUP_OPEX!$D$20+AD7*1*SUP_OPEX!$E$20)</f>
        <v>0</v>
      </c>
      <c r="AG50" s="1" t="n">
        <f aca="false">AG6*2*SUP_OPEX!$D$20+AG7*2*SUP_OPEX!$E$20-(AF6*1*SUP_OPEX!$D$20+AF7*1*SUP_OPEX!$E$20)-(AE6*1*SUP_OPEX!$D$20+AE7*1*SUP_OPEX!$E$20)</f>
        <v>0</v>
      </c>
      <c r="AH50" s="1" t="n">
        <f aca="false">AH6*2*SUP_OPEX!$D$20+AH7*2*SUP_OPEX!$E$20-(AG6*1*SUP_OPEX!$D$20+AG7*1*SUP_OPEX!$E$20)-(AF6*1*SUP_OPEX!$D$20+AF7*1*SUP_OPEX!$E$20)</f>
        <v>0</v>
      </c>
      <c r="AI50" s="1" t="n">
        <f aca="false">AI6*2*SUP_OPEX!$D$20+AI7*2*SUP_OPEX!$E$20-(AH6*1*SUP_OPEX!$D$20+AH7*1*SUP_OPEX!$E$20)-(AG6*1*SUP_OPEX!$D$20+AG7*1*SUP_OPEX!$E$20)</f>
        <v>0</v>
      </c>
      <c r="AJ50" s="1" t="n">
        <f aca="false">AJ6*2*SUP_OPEX!$D$20+AJ7*2*SUP_OPEX!$E$20-(AI6*1*SUP_OPEX!$D$20+AI7*1*SUP_OPEX!$E$20)-(AH6*1*SUP_OPEX!$D$20+AH7*1*SUP_OPEX!$E$20)</f>
        <v>0</v>
      </c>
      <c r="AK50" s="1" t="n">
        <f aca="false">AK6*2*SUP_OPEX!$D$20+AK7*2*SUP_OPEX!$E$20-(AJ6*1*SUP_OPEX!$D$20+AJ7*1*SUP_OPEX!$E$20)-(AI6*1*SUP_OPEX!$D$20+AI7*1*SUP_OPEX!$E$20)</f>
        <v>0</v>
      </c>
      <c r="AL50" s="1" t="n">
        <f aca="false">AL6*2*SUP_OPEX!$D$20+AL7*2*SUP_OPEX!$E$20-(AK6*1*SUP_OPEX!$D$20+AK7*1*SUP_OPEX!$E$20)-(AJ6*1*SUP_OPEX!$D$20+AJ7*1*SUP_OPEX!$E$20)</f>
        <v>0</v>
      </c>
      <c r="AM50" s="1" t="n">
        <f aca="false">AM6*2*SUP_OPEX!$D$20+AM7*2*SUP_OPEX!$E$20-(AL6*1*SUP_OPEX!$D$20+AL7*1*SUP_OPEX!$E$20)-(AK6*1*SUP_OPEX!$D$20+AK7*1*SUP_OPEX!$E$20)</f>
        <v>0</v>
      </c>
      <c r="AN50" s="1" t="n">
        <f aca="false">AN6*2*SUP_OPEX!$D$20+AN7*2*SUP_OPEX!$E$20-(AM6*1*SUP_OPEX!$D$20+AM7*1*SUP_OPEX!$E$20)-(AL6*1*SUP_OPEX!$D$20+AL7*1*SUP_OPEX!$E$20)</f>
        <v>0</v>
      </c>
      <c r="AO50" s="1" t="n">
        <f aca="false">AO6*2*SUP_OPEX!$D$20+AO7*2*SUP_OPEX!$E$20-(AN6*1*SUP_OPEX!$D$20+AN7*1*SUP_OPEX!$E$20)-(AM6*1*SUP_OPEX!$D$20+AM7*1*SUP_OPEX!$E$20)</f>
        <v>0</v>
      </c>
      <c r="AP50" s="1" t="n">
        <f aca="false">AP6*2*SUP_OPEX!$D$20+AP7*2*SUP_OPEX!$E$20-(AO6*1*SUP_OPEX!$D$20+AO7*1*SUP_OPEX!$E$20)-(AN6*1*SUP_OPEX!$D$20+AN7*1*SUP_OPEX!$E$20)</f>
        <v>0</v>
      </c>
      <c r="AQ50" s="1" t="n">
        <f aca="false">AQ6*2*SUP_OPEX!$D$20+AQ7*2*SUP_OPEX!$E$20-(AP6*1*SUP_OPEX!$D$20+AP7*1*SUP_OPEX!$E$20)-(AO6*1*SUP_OPEX!$D$20+AO7*1*SUP_OPEX!$E$20)</f>
        <v>0</v>
      </c>
      <c r="AR50" s="1" t="n">
        <f aca="false">AR6*2*SUP_OPEX!$D$20+AR7*2*SUP_OPEX!$E$20-(AQ6*1*SUP_OPEX!$D$20+AQ7*1*SUP_OPEX!$E$20)-(AP6*1*SUP_OPEX!$D$20+AP7*1*SUP_OPEX!$E$20)</f>
        <v>0</v>
      </c>
      <c r="AS50" s="1" t="n">
        <f aca="false">AS6*2*SUP_OPEX!$D$20+AS7*2*SUP_OPEX!$E$20-(AR6*1*SUP_OPEX!$D$20+AR7*1*SUP_OPEX!$E$20)-(AQ6*1*SUP_OPEX!$D$20+AQ7*1*SUP_OPEX!$E$20)</f>
        <v>0</v>
      </c>
      <c r="AT50" s="1" t="n">
        <f aca="false">AT6*2*SUP_OPEX!$D$20+AT7*2*SUP_OPEX!$E$20-(AS6*1*SUP_OPEX!$D$20+AS7*1*SUP_OPEX!$E$20)-(AR6*1*SUP_OPEX!$D$20+AR7*1*SUP_OPEX!$E$20)</f>
        <v>0</v>
      </c>
      <c r="AU50" s="1" t="n">
        <f aca="false">AU6*2*SUP_OPEX!$D$20+AU7*2*SUP_OPEX!$E$20-(AT6*1*SUP_OPEX!$D$20+AT7*1*SUP_OPEX!$E$20)-(AS6*1*SUP_OPEX!$D$20+AS7*1*SUP_OPEX!$E$20)</f>
        <v>0</v>
      </c>
      <c r="AV50" s="1" t="n">
        <f aca="false">AV6*2*SUP_OPEX!$D$20+AV7*2*SUP_OPEX!$E$20-(AU6*1*SUP_OPEX!$D$20+AU7*1*SUP_OPEX!$E$20)-(AT6*1*SUP_OPEX!$D$20+AT7*1*SUP_OPEX!$E$20)</f>
        <v>0</v>
      </c>
      <c r="AW50" s="1" t="n">
        <f aca="false">AW6*2*SUP_OPEX!$D$20+AW7*2*SUP_OPEX!$E$20-(AV6*1*SUP_OPEX!$D$20+AV7*1*SUP_OPEX!$E$20)-(AU6*1*SUP_OPEX!$D$20+AU7*1*SUP_OPEX!$E$20)</f>
        <v>0</v>
      </c>
      <c r="AX50" s="1" t="n">
        <f aca="false">AX6*2*SUP_OPEX!$D$20+AX7*2*SUP_OPEX!$E$20-(AW6*1*SUP_OPEX!$D$20+AW7*1*SUP_OPEX!$E$20)-(AV6*1*SUP_OPEX!$D$20+AV7*1*SUP_OPEX!$E$20)</f>
        <v>0</v>
      </c>
      <c r="AY50" s="1" t="n">
        <f aca="false">AY6*2*SUP_OPEX!$D$20+AY7*2*SUP_OPEX!$E$20-(AX6*1*SUP_OPEX!$D$20+AX7*1*SUP_OPEX!$E$20)-(AW6*1*SUP_OPEX!$D$20+AW7*1*SUP_OPEX!$E$20)</f>
        <v>0</v>
      </c>
      <c r="AZ50" s="1" t="n">
        <f aca="false">AZ6*2*SUP_OPEX!$D$20+AZ7*2*SUP_OPEX!$E$20-(AY6*1*SUP_OPEX!$D$20+AY7*1*SUP_OPEX!$E$20)-(AX6*1*SUP_OPEX!$D$20+AX7*1*SUP_OPEX!$E$20)</f>
        <v>0</v>
      </c>
      <c r="BA50" s="1" t="n">
        <f aca="false">BA6*2*SUP_OPEX!$D$20+BA7*2*SUP_OPEX!$E$20-(AZ6*1*SUP_OPEX!$D$20+AZ7*1*SUP_OPEX!$E$20)-(AY6*1*SUP_OPEX!$D$20+AY7*1*SUP_OPEX!$E$20)</f>
        <v>0</v>
      </c>
      <c r="BB50" s="1" t="n">
        <f aca="false">BB6*2*SUP_OPEX!$D$20+BB7*2*SUP_OPEX!$E$20-(BA6*1*SUP_OPEX!$D$20+BA7*1*SUP_OPEX!$E$20)-(AZ6*1*SUP_OPEX!$D$20+AZ7*1*SUP_OPEX!$E$20)</f>
        <v>0</v>
      </c>
      <c r="BC50" s="1" t="n">
        <f aca="false">BC6*2*SUP_OPEX!$D$20+BC7*2*SUP_OPEX!$E$20-(BB6*1*SUP_OPEX!$D$20+BB7*1*SUP_OPEX!$E$20)-(BA6*1*SUP_OPEX!$D$20+BA7*1*SUP_OPEX!$E$20)</f>
        <v>0</v>
      </c>
      <c r="BD50" s="1" t="n">
        <f aca="false">BD6*2*SUP_OPEX!$D$20+BD7*2*SUP_OPEX!$E$20-(BC6*1*SUP_OPEX!$D$20+BC7*1*SUP_OPEX!$E$20)-(BB6*1*SUP_OPEX!$D$20+BB7*1*SUP_OPEX!$E$20)</f>
        <v>0</v>
      </c>
      <c r="BE50" s="1" t="n">
        <f aca="false">BE6*2*SUP_OPEX!$D$20+BE7*2*SUP_OPEX!$E$20-(BD6*1*SUP_OPEX!$D$20+BD7*1*SUP_OPEX!$E$20)-(BC6*1*SUP_OPEX!$D$20+BC7*1*SUP_OPEX!$E$20)</f>
        <v>0</v>
      </c>
      <c r="BF50" s="1" t="n">
        <f aca="false">BF6*2*SUP_OPEX!$D$20+BF7*2*SUP_OPEX!$E$20-(BE6*1*SUP_OPEX!$D$20+BE7*1*SUP_OPEX!$E$20)-(BD6*1*SUP_OPEX!$D$20+BD7*1*SUP_OPEX!$E$20)</f>
        <v>0</v>
      </c>
      <c r="BG50" s="1" t="n">
        <f aca="false">BG6*2*SUP_OPEX!$D$20+BG7*2*SUP_OPEX!$E$20-(BF6*1*SUP_OPEX!$D$20+BF7*1*SUP_OPEX!$E$20)-(BE6*1*SUP_OPEX!$D$20+BE7*1*SUP_OPEX!$E$20)</f>
        <v>0</v>
      </c>
      <c r="BH50" s="1" t="n">
        <f aca="false">BH6*2*SUP_OPEX!$D$20+BH7*2*SUP_OPEX!$E$20-(BG6*1*SUP_OPEX!$D$20+BG7*1*SUP_OPEX!$E$20)-(BF6*1*SUP_OPEX!$D$20+BF7*1*SUP_OPEX!$E$20)</f>
        <v>0</v>
      </c>
      <c r="BI50" s="1" t="n">
        <f aca="false">BI6*2*SUP_OPEX!$D$20+BI7*2*SUP_OPEX!$E$20-(BH6*1*SUP_OPEX!$D$20+BH7*1*SUP_OPEX!$E$20)-(BG6*1*SUP_OPEX!$D$20+BG7*1*SUP_OPEX!$E$20)</f>
        <v>0</v>
      </c>
      <c r="BJ50" s="1" t="n">
        <f aca="false">BJ6*2*SUP_OPEX!$D$20+BJ7*2*SUP_OPEX!$E$20-(BI6*1*SUP_OPEX!$D$20+BI7*1*SUP_OPEX!$E$20)-(BH6*1*SUP_OPEX!$D$20+BH7*1*SUP_OPEX!$E$20)</f>
        <v>0</v>
      </c>
      <c r="BK50" s="1" t="n">
        <f aca="false">BK6*2*SUP_OPEX!$D$20+BK7*2*SUP_OPEX!$E$20-(BJ6*1*SUP_OPEX!$D$20+BJ7*1*SUP_OPEX!$E$20)-(BI6*1*SUP_OPEX!$D$20+BI7*1*SUP_OPEX!$E$20)</f>
        <v>0</v>
      </c>
      <c r="BL50" s="1" t="n">
        <f aca="false">BL6*2*SUP_OPEX!$D$20+BL7*2*SUP_OPEX!$E$20-(BK6*1*SUP_OPEX!$D$20+BK7*1*SUP_OPEX!$E$20)-(BJ6*1*SUP_OPEX!$D$20+BJ7*1*SUP_OPEX!$E$20)</f>
        <v>0</v>
      </c>
      <c r="BM50" s="1" t="n">
        <f aca="false">BM6*2*SUP_OPEX!$D$20+BM7*2*SUP_OPEX!$E$20-(BL6*1*SUP_OPEX!$D$20+BL7*1*SUP_OPEX!$E$20)-(BK6*1*SUP_OPEX!$D$20+BK7*1*SUP_OPEX!$E$20)</f>
        <v>0</v>
      </c>
      <c r="BN50" s="1" t="n">
        <f aca="false">BN6*2*SUP_OPEX!$D$20+BN7*2*SUP_OPEX!$E$20-(BM6*1*SUP_OPEX!$D$20+BM7*1*SUP_OPEX!$E$20)-(BL6*1*SUP_OPEX!$D$20+BL7*1*SUP_OPEX!$E$20)</f>
        <v>0</v>
      </c>
      <c r="BO50" s="1" t="n">
        <f aca="false">BO6*2*SUP_OPEX!$D$20+BO7*2*SUP_OPEX!$E$20-(BN6*1*SUP_OPEX!$D$20+BN7*1*SUP_OPEX!$E$20)-(BM6*1*SUP_OPEX!$D$20+BM7*1*SUP_OPEX!$E$20)</f>
        <v>0</v>
      </c>
      <c r="BP50" s="1" t="n">
        <f aca="false">BP6*2*SUP_OPEX!$D$20+BP7*2*SUP_OPEX!$E$20-(BO6*1*SUP_OPEX!$D$20+BO7*1*SUP_OPEX!$E$20)-(BN6*1*SUP_OPEX!$D$20+BN7*1*SUP_OPEX!$E$20)</f>
        <v>0</v>
      </c>
      <c r="BQ50" s="1" t="n">
        <f aca="false">BQ6*2*SUP_OPEX!$D$20+BQ7*2*SUP_OPEX!$E$20-(BP6*1*SUP_OPEX!$D$20+BP7*1*SUP_OPEX!$E$20)-(BO6*1*SUP_OPEX!$D$20+BO7*1*SUP_OPEX!$E$20)</f>
        <v>0</v>
      </c>
      <c r="BR50" s="1" t="n">
        <f aca="false">BR6*2*SUP_OPEX!$D$20+BR7*2*SUP_OPEX!$E$20-(BQ6*1*SUP_OPEX!$D$20+BQ7*1*SUP_OPEX!$E$20)-(BP6*1*SUP_OPEX!$D$20+BP7*1*SUP_OPEX!$E$20)</f>
        <v>0</v>
      </c>
      <c r="BS50" s="1" t="n">
        <f aca="false">BS6*2*SUP_OPEX!$D$20+BS7*2*SUP_OPEX!$E$20-(BR6*1*SUP_OPEX!$D$20+BR7*1*SUP_OPEX!$E$20)-(BQ6*1*SUP_OPEX!$D$20+BQ7*1*SUP_OPEX!$E$20)</f>
        <v>0</v>
      </c>
      <c r="BT50" s="1" t="n">
        <f aca="false">BT6*2*SUP_OPEX!$D$20+BT7*2*SUP_OPEX!$E$20-(BS6*1*SUP_OPEX!$D$20+BS7*1*SUP_OPEX!$E$20)-(BR6*1*SUP_OPEX!$D$20+BR7*1*SUP_OPEX!$E$20)</f>
        <v>0</v>
      </c>
      <c r="BU50" s="1" t="n">
        <f aca="false">BU6*2*SUP_OPEX!$D$20+BU7*2*SUP_OPEX!$E$20-(BT6*1*SUP_OPEX!$D$20+BT7*1*SUP_OPEX!$E$20)-(BS6*1*SUP_OPEX!$D$20+BS7*1*SUP_OPEX!$E$20)</f>
        <v>0</v>
      </c>
      <c r="BV50" s="1" t="n">
        <f aca="false">BV6*2*SUP_OPEX!$D$20+BV7*2*SUP_OPEX!$E$20-(BU6*1*SUP_OPEX!$D$20+BU7*1*SUP_OPEX!$E$20)-(BT6*1*SUP_OPEX!$D$20+BT7*1*SUP_OPEX!$E$20)</f>
        <v>0</v>
      </c>
      <c r="BW50" s="1" t="n">
        <f aca="false">BW6*2*SUP_OPEX!$D$20+BW7*2*SUP_OPEX!$E$20-(BV6*1*SUP_OPEX!$D$20+BV7*1*SUP_OPEX!$E$20)-(BU6*1*SUP_OPEX!$D$20+BU7*1*SUP_OPEX!$E$20)</f>
        <v>0</v>
      </c>
      <c r="BX50" s="1" t="n">
        <f aca="false">BX6*2*SUP_OPEX!$D$20+BX7*2*SUP_OPEX!$E$20-(BW6*1*SUP_OPEX!$D$20+BW7*1*SUP_OPEX!$E$20)-(BV6*1*SUP_OPEX!$D$20+BV7*1*SUP_OPEX!$E$20)</f>
        <v>0</v>
      </c>
      <c r="BY50" s="1" t="n">
        <f aca="false">BY6*2*SUP_OPEX!$D$20+BY7*2*SUP_OPEX!$E$20-(BX6*1*SUP_OPEX!$D$20+BX7*1*SUP_OPEX!$E$20)-(BW6*1*SUP_OPEX!$D$20+BW7*1*SUP_OPEX!$E$20)</f>
        <v>0</v>
      </c>
      <c r="BZ50" s="1" t="n">
        <f aca="false">BZ6*2*SUP_OPEX!$D$20+BZ7*2*SUP_OPEX!$E$20-(BY6*1*SUP_OPEX!$D$20+BY7*1*SUP_OPEX!$E$20)-(BX6*1*SUP_OPEX!$D$20+BX7*1*SUP_OPEX!$E$20)</f>
        <v>0</v>
      </c>
      <c r="CA50" s="1" t="n">
        <f aca="false">CA6*2*SUP_OPEX!$D$20+CA7*2*SUP_OPEX!$E$20-(BZ6*1*SUP_OPEX!$D$20+BZ7*1*SUP_OPEX!$E$20)-(BY6*1*SUP_OPEX!$D$20+BY7*1*SUP_OPEX!$E$20)</f>
        <v>0</v>
      </c>
      <c r="CB50" s="1" t="n">
        <f aca="false">CB6*2*SUP_OPEX!$D$20+CB7*2*SUP_OPEX!$E$20-(CA6*1*SUP_OPEX!$D$20+CA7*1*SUP_OPEX!$E$20)-(BZ6*1*SUP_OPEX!$D$20+BZ7*1*SUP_OPEX!$E$20)</f>
        <v>0</v>
      </c>
      <c r="CC50" s="1" t="n">
        <f aca="false">CC6*2*SUP_OPEX!$D$20+CC7*2*SUP_OPEX!$E$20-(CB6*1*SUP_OPEX!$D$20+CB7*1*SUP_OPEX!$E$20)-(CA6*1*SUP_OPEX!$D$20+CA7*1*SUP_OPEX!$E$20)</f>
        <v>0</v>
      </c>
      <c r="CD50" s="1" t="n">
        <f aca="false">CD6*2*SUP_OPEX!$D$20+CD7*2*SUP_OPEX!$E$20-(CC6*1*SUP_OPEX!$D$20+CC7*1*SUP_OPEX!$E$20)-(CB6*1*SUP_OPEX!$D$20+CB7*1*SUP_OPEX!$E$20)</f>
        <v>0</v>
      </c>
      <c r="CE50" s="1" t="n">
        <f aca="false">CE6*2*SUP_OPEX!$D$20+CE7*2*SUP_OPEX!$E$20-(CD6*1*SUP_OPEX!$D$20+CD7*1*SUP_OPEX!$E$20)-(CC6*1*SUP_OPEX!$D$20+CC7*1*SUP_OPEX!$E$20)</f>
        <v>0</v>
      </c>
      <c r="CF50" s="1" t="n">
        <f aca="false">CF6*2*SUP_OPEX!$D$20+CF7*2*SUP_OPEX!$E$20-(CE6*1*SUP_OPEX!$D$20+CE7*1*SUP_OPEX!$E$20)-(CD6*1*SUP_OPEX!$D$20+CD7*1*SUP_OPEX!$E$20)</f>
        <v>0</v>
      </c>
      <c r="CG50" s="1" t="n">
        <f aca="false">CG6*2*SUP_OPEX!$D$20+CG7*2*SUP_OPEX!$E$20-(CF6*1*SUP_OPEX!$D$20+CF7*1*SUP_OPEX!$E$20)-(CE6*1*SUP_OPEX!$D$20+CE7*1*SUP_OPEX!$E$20)</f>
        <v>0</v>
      </c>
      <c r="CH50" s="1" t="n">
        <f aca="false">CH6*2*SUP_OPEX!$D$20+CH7*2*SUP_OPEX!$E$20-(CG6*1*SUP_OPEX!$D$20+CG7*1*SUP_OPEX!$E$20)-(CF6*1*SUP_OPEX!$D$20+CF7*1*SUP_OPEX!$E$20)</f>
        <v>0</v>
      </c>
      <c r="CI50" s="1" t="n">
        <f aca="false">CI6*2*SUP_OPEX!$D$20+CI7*2*SUP_OPEX!$E$20-(CH6*1*SUP_OPEX!$D$20+CH7*1*SUP_OPEX!$E$20)-(CG6*1*SUP_OPEX!$D$20+CG7*1*SUP_OPEX!$E$20)</f>
        <v>0</v>
      </c>
      <c r="CJ50" s="1" t="n">
        <f aca="false">CJ6*2*SUP_OPEX!$D$20+CJ7*2*SUP_OPEX!$E$20-(CI6*1*SUP_OPEX!$D$20+CI7*1*SUP_OPEX!$E$20)-(CH6*1*SUP_OPEX!$D$20+CH7*1*SUP_OPEX!$E$20)</f>
        <v>0</v>
      </c>
      <c r="CK50" s="1" t="n">
        <f aca="false">CK6*2*SUP_OPEX!$D$20+CK7*2*SUP_OPEX!$E$20-(CJ6*1*SUP_OPEX!$D$20+CJ7*1*SUP_OPEX!$E$20)-(CI6*1*SUP_OPEX!$D$20+CI7*1*SUP_OPEX!$E$20)</f>
        <v>0</v>
      </c>
      <c r="CL50" s="1" t="n">
        <f aca="false">CL6*2*SUP_OPEX!$D$20+CL7*2*SUP_OPEX!$E$20-(CK6*1*SUP_OPEX!$D$20+CK7*1*SUP_OPEX!$E$20)-(CJ6*1*SUP_OPEX!$D$20+CJ7*1*SUP_OPEX!$E$20)</f>
        <v>0</v>
      </c>
      <c r="CM50" s="1" t="n">
        <f aca="false">CM6*2*SUP_OPEX!$D$20+CM7*2*SUP_OPEX!$E$20-(CL6*1*SUP_OPEX!$D$20+CL7*1*SUP_OPEX!$E$20)-(CK6*1*SUP_OPEX!$D$20+CK7*1*SUP_OPEX!$E$20)</f>
        <v>0</v>
      </c>
      <c r="CN50" s="1" t="n">
        <f aca="false">CN6*2*SUP_OPEX!$D$20+CN7*2*SUP_OPEX!$E$20-(CM6*1*SUP_OPEX!$D$20+CM7*1*SUP_OPEX!$E$20)-(CL6*1*SUP_OPEX!$D$20+CL7*1*SUP_OPEX!$E$20)</f>
        <v>0</v>
      </c>
      <c r="CO50" s="1" t="n">
        <f aca="false">CO6*2*SUP_OPEX!$D$20+CO7*2*SUP_OPEX!$E$20-(CN6*1*SUP_OPEX!$D$20+CN7*1*SUP_OPEX!$E$20)-(CM6*1*SUP_OPEX!$D$20+CM7*1*SUP_OPEX!$E$20)</f>
        <v>0</v>
      </c>
      <c r="CP50" s="1" t="n">
        <f aca="false">CP6*2*SUP_OPEX!$D$20+CP7*2*SUP_OPEX!$E$20-(CO6*1*SUP_OPEX!$D$20+CO7*1*SUP_OPEX!$E$20)-(CN6*1*SUP_OPEX!$D$20+CN7*1*SUP_OPEX!$E$20)</f>
        <v>0</v>
      </c>
      <c r="CQ50" s="1" t="n">
        <f aca="false">CQ6*2*SUP_OPEX!$D$20+CQ7*2*SUP_OPEX!$E$20-(CP6*1*SUP_OPEX!$D$20+CP7*1*SUP_OPEX!$E$20)-(CO6*1*SUP_OPEX!$D$20+CO7*1*SUP_OPEX!$E$20)</f>
        <v>0</v>
      </c>
      <c r="CR50" s="1" t="n">
        <f aca="false">CR6*2*SUP_OPEX!$D$20+CR7*2*SUP_OPEX!$E$20-(CQ6*1*SUP_OPEX!$D$20+CQ7*1*SUP_OPEX!$E$20)-(CP6*1*SUP_OPEX!$D$20+CP7*1*SUP_OPEX!$E$20)</f>
        <v>0</v>
      </c>
      <c r="CS50" s="1" t="n">
        <f aca="false">CS6*2*SUP_OPEX!$D$20+CS7*2*SUP_OPEX!$E$20-(CR6*1*SUP_OPEX!$D$20+CR7*1*SUP_OPEX!$E$20)-(CQ6*1*SUP_OPEX!$D$20+CQ7*1*SUP_OPEX!$E$20)</f>
        <v>0</v>
      </c>
      <c r="CT50" s="1" t="n">
        <f aca="false">CT6*2*SUP_OPEX!$D$20+CT7*2*SUP_OPEX!$E$20-(CS6*1*SUP_OPEX!$D$20+CS7*1*SUP_OPEX!$E$20)-(CR6*1*SUP_OPEX!$D$20+CR7*1*SUP_OPEX!$E$20)</f>
        <v>0</v>
      </c>
      <c r="CU50" s="1" t="n">
        <f aca="false">CU6*2*SUP_OPEX!$D$20+CU7*2*SUP_OPEX!$E$20-(CT6*1*SUP_OPEX!$D$20+CT7*1*SUP_OPEX!$E$20)-(CS6*1*SUP_OPEX!$D$20+CS7*1*SUP_OPEX!$E$20)</f>
        <v>0</v>
      </c>
      <c r="CV50" s="1" t="n">
        <f aca="false">CV6*2*SUP_OPEX!$D$20+CV7*2*SUP_OPEX!$E$20-(CU6*1*SUP_OPEX!$D$20+CU7*1*SUP_OPEX!$E$20)-(CT6*1*SUP_OPEX!$D$20+CT7*1*SUP_OPEX!$E$20)</f>
        <v>0</v>
      </c>
      <c r="CW50" s="1" t="n">
        <f aca="false">CW6*2*SUP_OPEX!$D$20+CW7*2*SUP_OPEX!$E$20-(CV6*1*SUP_OPEX!$D$20+CV7*1*SUP_OPEX!$E$20)-(CU6*1*SUP_OPEX!$D$20+CU7*1*SUP_OPEX!$E$20)</f>
        <v>0</v>
      </c>
      <c r="CX50" s="1" t="n">
        <f aca="false">CX6*2*SUP_OPEX!$D$20+CX7*2*SUP_OPEX!$E$20-(CW6*1*SUP_OPEX!$D$20+CW7*1*SUP_OPEX!$E$20)-(CV6*1*SUP_OPEX!$D$20+CV7*1*SUP_OPEX!$E$20)</f>
        <v>0</v>
      </c>
      <c r="CY50" s="1" t="n">
        <f aca="false">CY6*2*SUP_OPEX!$D$20+CY7*2*SUP_OPEX!$E$20-(CX6*1*SUP_OPEX!$D$20+CX7*1*SUP_OPEX!$E$20)-(CW6*1*SUP_OPEX!$D$20+CW7*1*SUP_OPEX!$E$20)</f>
        <v>0</v>
      </c>
      <c r="CZ50" s="1" t="n">
        <f aca="false">CZ6*2*SUP_OPEX!$D$20+CZ7*2*SUP_OPEX!$E$20-(CY6*1*SUP_OPEX!$D$20+CY7*1*SUP_OPEX!$E$20)-(CX6*1*SUP_OPEX!$D$20+CX7*1*SUP_OPEX!$E$20)</f>
        <v>0</v>
      </c>
      <c r="DA50" s="1" t="n">
        <f aca="false">DA6*2*SUP_OPEX!$D$20+DA7*2*SUP_OPEX!$E$20-(CZ6*1*SUP_OPEX!$D$20+CZ7*1*SUP_OPEX!$E$20)-(CY6*1*SUP_OPEX!$D$20+CY7*1*SUP_OPEX!$E$20)</f>
        <v>0</v>
      </c>
      <c r="DB50" s="1" t="n">
        <f aca="false">DB6*2*SUP_OPEX!$D$20+DB7*2*SUP_OPEX!$E$20-(DA6*1*SUP_OPEX!$D$20+DA7*1*SUP_OPEX!$E$20)-(CZ6*1*SUP_OPEX!$D$20+CZ7*1*SUP_OPEX!$E$20)</f>
        <v>0</v>
      </c>
      <c r="DC50" s="1" t="n">
        <f aca="false">DC6*2*SUP_OPEX!$D$20+DC7*2*SUP_OPEX!$E$20-(DB6*1*SUP_OPEX!$D$20+DB7*1*SUP_OPEX!$E$20)-(DA6*1*SUP_OPEX!$D$20+DA7*1*SUP_OPEX!$E$20)</f>
        <v>0</v>
      </c>
      <c r="DD50" s="1" t="n">
        <f aca="false">DD6*2*SUP_OPEX!$D$20+DD7*2*SUP_OPEX!$E$20-(DC6*1*SUP_OPEX!$D$20+DC7*1*SUP_OPEX!$E$20)-(DB6*1*SUP_OPEX!$D$20+DB7*1*SUP_OPEX!$E$20)</f>
        <v>0</v>
      </c>
      <c r="DE50" s="1" t="n">
        <f aca="false">DE6*2*SUP_OPEX!$D$20+DE7*2*SUP_OPEX!$E$20-(DD6*1*SUP_OPEX!$D$20+DD7*1*SUP_OPEX!$E$20)-(DC6*1*SUP_OPEX!$D$20+DC7*1*SUP_OPEX!$E$20)</f>
        <v>0</v>
      </c>
      <c r="DF50" s="1" t="n">
        <f aca="false">DF6*2*SUP_OPEX!$D$20+DF7*2*SUP_OPEX!$E$20-(DE6*1*SUP_OPEX!$D$20+DE7*1*SUP_OPEX!$E$20)-(DD6*1*SUP_OPEX!$D$20+DD7*1*SUP_OPEX!$E$20)</f>
        <v>0</v>
      </c>
      <c r="DG50" s="1" t="n">
        <f aca="false">DG6*2*SUP_OPEX!$D$20+DG7*2*SUP_OPEX!$E$20-(DF6*1*SUP_OPEX!$D$20+DF7*1*SUP_OPEX!$E$20)-(DE6*1*SUP_OPEX!$D$20+DE7*1*SUP_OPEX!$E$20)</f>
        <v>0</v>
      </c>
      <c r="DH50" s="1" t="n">
        <f aca="false">DH6*2*SUP_OPEX!$D$20+DH7*2*SUP_OPEX!$E$20-(DG6*1*SUP_OPEX!$D$20+DG7*1*SUP_OPEX!$E$20)-(DF6*1*SUP_OPEX!$D$20+DF7*1*SUP_OPEX!$E$20)</f>
        <v>0</v>
      </c>
      <c r="DI50" s="1" t="n">
        <f aca="false">DI6*2*SUP_OPEX!$D$20+DI7*2*SUP_OPEX!$E$20-(DH6*1*SUP_OPEX!$D$20+DH7*1*SUP_OPEX!$E$20)-(DG6*1*SUP_OPEX!$D$20+DG7*1*SUP_OPEX!$E$20)</f>
        <v>0</v>
      </c>
      <c r="DJ50" s="1" t="n">
        <f aca="false">DJ6*2*SUP_OPEX!$D$20+DJ7*2*SUP_OPEX!$E$20-(DI6*1*SUP_OPEX!$D$20+DI7*1*SUP_OPEX!$E$20)-(DH6*1*SUP_OPEX!$D$20+DH7*1*SUP_OPEX!$E$20)</f>
        <v>0</v>
      </c>
      <c r="DK50" s="1" t="n">
        <f aca="false">DK6*2*SUP_OPEX!$D$20+DK7*2*SUP_OPEX!$E$20-(DJ6*1*SUP_OPEX!$D$20+DJ7*1*SUP_OPEX!$E$20)-(DI6*1*SUP_OPEX!$D$20+DI7*1*SUP_OPEX!$E$20)</f>
        <v>0</v>
      </c>
      <c r="DL50" s="1" t="n">
        <f aca="false">DL6*2*SUP_OPEX!$D$20+DL7*2*SUP_OPEX!$E$20-(DK6*1*SUP_OPEX!$D$20+DK7*1*SUP_OPEX!$E$20)-(DJ6*1*SUP_OPEX!$D$20+DJ7*1*SUP_OPEX!$E$20)</f>
        <v>0</v>
      </c>
      <c r="DM50" s="1" t="n">
        <f aca="false">DM6*2*SUP_OPEX!$D$20+DM7*2*SUP_OPEX!$E$20-(DL6*1*SUP_OPEX!$D$20+DL7*1*SUP_OPEX!$E$20)-(DK6*1*SUP_OPEX!$D$20+DK7*1*SUP_OPEX!$E$20)</f>
        <v>0</v>
      </c>
      <c r="DN50" s="1" t="n">
        <f aca="false">DN6*2*SUP_OPEX!$D$20+DN7*2*SUP_OPEX!$E$20-(DM6*1*SUP_OPEX!$D$20+DM7*1*SUP_OPEX!$E$20)-(DL6*1*SUP_OPEX!$D$20+DL7*1*SUP_OPEX!$E$20)</f>
        <v>0</v>
      </c>
      <c r="DO50" s="1" t="n">
        <f aca="false">DO6*2*SUP_OPEX!$D$20+DO7*2*SUP_OPEX!$E$20-(DN6*1*SUP_OPEX!$D$20+DN7*1*SUP_OPEX!$E$20)-(DM6*1*SUP_OPEX!$D$20+DM7*1*SUP_OPEX!$E$20)</f>
        <v>0</v>
      </c>
      <c r="DP50" s="1" t="n">
        <f aca="false">DP6*2*SUP_OPEX!$D$20+DP7*2*SUP_OPEX!$E$20-(DO6*1*SUP_OPEX!$D$20+DO7*1*SUP_OPEX!$E$20)-(DN6*1*SUP_OPEX!$D$20+DN7*1*SUP_OPEX!$E$20)</f>
        <v>0</v>
      </c>
      <c r="DQ50" s="1" t="n">
        <f aca="false">DQ6*2*SUP_OPEX!$D$20+DQ7*2*SUP_OPEX!$E$20-(DP6*1*SUP_OPEX!$D$20+DP7*1*SUP_OPEX!$E$20)-(DO6*1*SUP_OPEX!$D$20+DO7*1*SUP_OPEX!$E$20)</f>
        <v>0</v>
      </c>
      <c r="DR50" s="1" t="n">
        <f aca="false">DR6*2*SUP_OPEX!$D$20+DR7*2*SUP_OPEX!$E$20-(DQ6*1*SUP_OPEX!$D$20+DQ7*1*SUP_OPEX!$E$20)-(DP6*1*SUP_OPEX!$D$20+DP7*1*SUP_OPEX!$E$20)</f>
        <v>0</v>
      </c>
      <c r="DS50" s="1" t="n">
        <f aca="false">DS6*2*SUP_OPEX!$D$20+DS7*2*SUP_OPEX!$E$20-(DR6*1*SUP_OPEX!$D$20+DR7*1*SUP_OPEX!$E$20)-(DQ6*1*SUP_OPEX!$D$20+DQ7*1*SUP_OPEX!$E$20)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DS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30" activeCellId="0" sqref="J30"/>
    </sheetView>
  </sheetViews>
  <sheetFormatPr defaultColWidth="8.66796875" defaultRowHeight="15" zeroHeight="false" outlineLevelRow="0" outlineLevelCol="0"/>
  <cols>
    <col collapsed="false" customWidth="true" hidden="false" outlineLevel="0" max="1" min="1" style="1" width="37"/>
    <col collapsed="false" customWidth="true" hidden="false" outlineLevel="0" max="2" min="2" style="1" width="56"/>
    <col collapsed="false" customWidth="true" hidden="false" outlineLevel="0" max="123" min="4" style="1" width="10"/>
  </cols>
  <sheetData>
    <row r="1" customFormat="false" ht="15" hidden="false" customHeight="true" outlineLevel="0" collapsed="false">
      <c r="A1" s="185" t="s">
        <v>3448</v>
      </c>
      <c r="B1" s="126"/>
      <c r="C1" s="126"/>
      <c r="D1" s="126"/>
      <c r="E1" s="126"/>
      <c r="F1" s="126"/>
      <c r="G1" s="126"/>
      <c r="H1" s="126"/>
      <c r="I1" s="126"/>
    </row>
    <row r="2" customFormat="false" ht="15" hidden="false" customHeight="true" outlineLevel="0" collapsed="false">
      <c r="A2" s="23" t="s">
        <v>3449</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5" customFormat="false" ht="15" hidden="false" customHeight="true" outlineLevel="0" collapsed="false">
      <c r="A5" s="186" t="s">
        <v>3413</v>
      </c>
      <c r="B5" s="25"/>
      <c r="C5" s="25"/>
    </row>
    <row r="6" customFormat="false" ht="15" hidden="false" customHeight="true" outlineLevel="0" collapsed="false">
      <c r="B6" s="297" t="s">
        <v>2384</v>
      </c>
      <c r="D6" s="298" t="n">
        <f aca="false">IF(D4&gt;=SUP_CONTROL!$C$17,1,0)</f>
        <v>0</v>
      </c>
      <c r="E6" s="298" t="n">
        <f aca="false">IF(E4&gt;=SUP_CONTROL!$C$17,1,0)</f>
        <v>0</v>
      </c>
      <c r="F6" s="298" t="n">
        <f aca="false">IF(F4&gt;=SUP_CONTROL!$C$17,1,0)</f>
        <v>0</v>
      </c>
      <c r="G6" s="298" t="n">
        <f aca="false">IF(G4&gt;=SUP_CONTROL!$C$17,1,0)</f>
        <v>0</v>
      </c>
      <c r="H6" s="298" t="n">
        <f aca="false">IF(H4&gt;=SUP_CONTROL!$C$17,1,0)</f>
        <v>0</v>
      </c>
      <c r="I6" s="298" t="n">
        <f aca="false">IF(I4&gt;=SUP_CONTROL!$C$17,1,0)</f>
        <v>0</v>
      </c>
      <c r="J6" s="298" t="n">
        <f aca="false">IF(J4&gt;=SUP_CONTROL!$C$17,1,0)</f>
        <v>1</v>
      </c>
      <c r="K6" s="298" t="n">
        <f aca="false">IF(K4&gt;=SUP_CONTROL!$C$17,1,0)</f>
        <v>1</v>
      </c>
      <c r="L6" s="298" t="n">
        <f aca="false">IF(L4&gt;=SUP_CONTROL!$C$17,1,0)</f>
        <v>1</v>
      </c>
      <c r="M6" s="298" t="n">
        <f aca="false">IF(M4&gt;=SUP_CONTROL!$C$17,1,0)</f>
        <v>1</v>
      </c>
      <c r="N6" s="298" t="n">
        <f aca="false">IF(N4&gt;=SUP_CONTROL!$C$17,1,0)</f>
        <v>1</v>
      </c>
      <c r="O6" s="298" t="n">
        <f aca="false">IF(O4&gt;=SUP_CONTROL!$C$17,1,0)</f>
        <v>1</v>
      </c>
      <c r="P6" s="298" t="n">
        <f aca="false">IF(P4&gt;=SUP_CONTROL!$C$17,1,0)</f>
        <v>1</v>
      </c>
      <c r="Q6" s="298" t="n">
        <f aca="false">IF(Q4&gt;=SUP_CONTROL!$C$17,1,0)</f>
        <v>1</v>
      </c>
      <c r="R6" s="298" t="n">
        <f aca="false">IF(R4&gt;=SUP_CONTROL!$C$17,1,0)</f>
        <v>1</v>
      </c>
      <c r="S6" s="298" t="n">
        <f aca="false">IF(S4&gt;=SUP_CONTROL!$C$17,1,0)</f>
        <v>1</v>
      </c>
      <c r="T6" s="298" t="n">
        <f aca="false">IF(T4&gt;=SUP_CONTROL!$C$17,1,0)</f>
        <v>1</v>
      </c>
      <c r="U6" s="298" t="n">
        <f aca="false">IF(U4&gt;=SUP_CONTROL!$C$17,1,0)</f>
        <v>1</v>
      </c>
      <c r="V6" s="298" t="n">
        <f aca="false">IF(V4&gt;=SUP_CONTROL!$C$17,1,0)</f>
        <v>1</v>
      </c>
      <c r="W6" s="298" t="n">
        <f aca="false">IF(W4&gt;=SUP_CONTROL!$C$17,1,0)</f>
        <v>1</v>
      </c>
      <c r="X6" s="298" t="n">
        <f aca="false">IF(X4&gt;=SUP_CONTROL!$C$17,1,0)</f>
        <v>1</v>
      </c>
      <c r="Y6" s="298" t="n">
        <f aca="false">IF(Y4&gt;=SUP_CONTROL!$C$17,1,0)</f>
        <v>1</v>
      </c>
      <c r="Z6" s="298" t="n">
        <f aca="false">IF(Z4&gt;=SUP_CONTROL!$C$17,1,0)</f>
        <v>1</v>
      </c>
      <c r="AA6" s="298" t="n">
        <f aca="false">IF(AA4&gt;=SUP_CONTROL!$C$17,1,0)</f>
        <v>1</v>
      </c>
      <c r="AB6" s="298" t="n">
        <f aca="false">IF(AB4&gt;=SUP_CONTROL!$C$17,1,0)</f>
        <v>1</v>
      </c>
      <c r="AC6" s="298" t="n">
        <f aca="false">IF(AC4&gt;=SUP_CONTROL!$C$17,1,0)</f>
        <v>1</v>
      </c>
      <c r="AD6" s="298" t="n">
        <f aca="false">IF(AD4&gt;=SUP_CONTROL!$C$17,1,0)</f>
        <v>1</v>
      </c>
      <c r="AE6" s="298" t="n">
        <f aca="false">IF(AE4&gt;=SUP_CONTROL!$C$17,1,0)</f>
        <v>1</v>
      </c>
      <c r="AF6" s="298" t="n">
        <f aca="false">IF(AF4&gt;=SUP_CONTROL!$C$17,1,0)</f>
        <v>1</v>
      </c>
      <c r="AG6" s="298" t="n">
        <f aca="false">IF(AG4&gt;=SUP_CONTROL!$C$17,1,0)</f>
        <v>1</v>
      </c>
      <c r="AH6" s="298" t="n">
        <f aca="false">IF(AH4&gt;=SUP_CONTROL!$C$17,1,0)</f>
        <v>1</v>
      </c>
      <c r="AI6" s="298" t="n">
        <f aca="false">IF(AI4&gt;=SUP_CONTROL!$C$17,1,0)</f>
        <v>1</v>
      </c>
      <c r="AJ6" s="298" t="n">
        <f aca="false">IF(AJ4&gt;=SUP_CONTROL!$C$17,1,0)</f>
        <v>1</v>
      </c>
      <c r="AK6" s="298" t="n">
        <f aca="false">IF(AK4&gt;=SUP_CONTROL!$C$17,1,0)</f>
        <v>1</v>
      </c>
      <c r="AL6" s="298" t="n">
        <f aca="false">IF(AL4&gt;=SUP_CONTROL!$C$17,1,0)</f>
        <v>1</v>
      </c>
      <c r="AM6" s="298" t="n">
        <f aca="false">IF(AM4&gt;=SUP_CONTROL!$C$17,1,0)</f>
        <v>1</v>
      </c>
      <c r="AN6" s="298" t="n">
        <f aca="false">IF(AN4&gt;=SUP_CONTROL!$C$17,1,0)</f>
        <v>1</v>
      </c>
      <c r="AO6" s="298" t="n">
        <f aca="false">IF(AO4&gt;=SUP_CONTROL!$C$17,1,0)</f>
        <v>1</v>
      </c>
      <c r="AP6" s="298" t="n">
        <f aca="false">IF(AP4&gt;=SUP_CONTROL!$C$17,1,0)</f>
        <v>1</v>
      </c>
      <c r="AQ6" s="298" t="n">
        <f aca="false">IF(AQ4&gt;=SUP_CONTROL!$C$17,1,0)</f>
        <v>1</v>
      </c>
      <c r="AR6" s="298" t="n">
        <f aca="false">IF(AR4&gt;=SUP_CONTROL!$C$17,1,0)</f>
        <v>1</v>
      </c>
      <c r="AS6" s="298" t="n">
        <f aca="false">IF(AS4&gt;=SUP_CONTROL!$C$17,1,0)</f>
        <v>1</v>
      </c>
      <c r="AT6" s="298" t="n">
        <f aca="false">IF(AT4&gt;=SUP_CONTROL!$C$17,1,0)</f>
        <v>1</v>
      </c>
      <c r="AU6" s="298" t="n">
        <f aca="false">IF(AU4&gt;=SUP_CONTROL!$C$17,1,0)</f>
        <v>1</v>
      </c>
      <c r="AV6" s="298" t="n">
        <f aca="false">IF(AV4&gt;=SUP_CONTROL!$C$17,1,0)</f>
        <v>1</v>
      </c>
      <c r="AW6" s="298" t="n">
        <f aca="false">IF(AW4&gt;=SUP_CONTROL!$C$17,1,0)</f>
        <v>1</v>
      </c>
      <c r="AX6" s="298" t="n">
        <f aca="false">IF(AX4&gt;=SUP_CONTROL!$C$17,1,0)</f>
        <v>1</v>
      </c>
      <c r="AY6" s="298" t="n">
        <f aca="false">IF(AY4&gt;=SUP_CONTROL!$C$17,1,0)</f>
        <v>1</v>
      </c>
      <c r="AZ6" s="298" t="n">
        <f aca="false">IF(AZ4&gt;=SUP_CONTROL!$C$17,1,0)</f>
        <v>1</v>
      </c>
      <c r="BA6" s="298" t="n">
        <f aca="false">IF(BA4&gt;=SUP_CONTROL!$C$17,1,0)</f>
        <v>1</v>
      </c>
      <c r="BB6" s="298" t="n">
        <f aca="false">IF(BB4&gt;=SUP_CONTROL!$C$17,1,0)</f>
        <v>1</v>
      </c>
      <c r="BC6" s="298" t="n">
        <f aca="false">IF(BC4&gt;=SUP_CONTROL!$C$17,1,0)</f>
        <v>1</v>
      </c>
      <c r="BD6" s="298" t="n">
        <f aca="false">IF(BD4&gt;=SUP_CONTROL!$C$17,1,0)</f>
        <v>1</v>
      </c>
      <c r="BE6" s="298" t="n">
        <f aca="false">IF(BE4&gt;=SUP_CONTROL!$C$17,1,0)</f>
        <v>1</v>
      </c>
      <c r="BF6" s="298" t="n">
        <f aca="false">IF(BF4&gt;=SUP_CONTROL!$C$17,1,0)</f>
        <v>1</v>
      </c>
      <c r="BG6" s="298" t="n">
        <f aca="false">IF(BG4&gt;=SUP_CONTROL!$C$17,1,0)</f>
        <v>1</v>
      </c>
      <c r="BH6" s="298" t="n">
        <f aca="false">IF(BH4&gt;=SUP_CONTROL!$C$17,1,0)</f>
        <v>1</v>
      </c>
      <c r="BI6" s="298" t="n">
        <f aca="false">IF(BI4&gt;=SUP_CONTROL!$C$17,1,0)</f>
        <v>1</v>
      </c>
      <c r="BJ6" s="298" t="n">
        <f aca="false">IF(BJ4&gt;=SUP_CONTROL!$C$17,1,0)</f>
        <v>1</v>
      </c>
      <c r="BK6" s="298" t="n">
        <f aca="false">IF(BK4&gt;=SUP_CONTROL!$C$17,1,0)</f>
        <v>1</v>
      </c>
      <c r="BL6" s="298" t="n">
        <f aca="false">IF(BL4&gt;=SUP_CONTROL!$C$17,1,0)</f>
        <v>1</v>
      </c>
      <c r="BM6" s="298" t="n">
        <f aca="false">IF(BM4&gt;=SUP_CONTROL!$C$17,1,0)</f>
        <v>1</v>
      </c>
      <c r="BN6" s="298" t="n">
        <f aca="false">IF(BN4&gt;=SUP_CONTROL!$C$17,1,0)</f>
        <v>1</v>
      </c>
      <c r="BO6" s="298" t="n">
        <f aca="false">IF(BO4&gt;=SUP_CONTROL!$C$17,1,0)</f>
        <v>1</v>
      </c>
      <c r="BP6" s="298" t="n">
        <f aca="false">IF(BP4&gt;=SUP_CONTROL!$C$17,1,0)</f>
        <v>1</v>
      </c>
      <c r="BQ6" s="298" t="n">
        <f aca="false">IF(BQ4&gt;=SUP_CONTROL!$C$17,1,0)</f>
        <v>1</v>
      </c>
      <c r="BR6" s="298" t="n">
        <f aca="false">IF(BR4&gt;=SUP_CONTROL!$C$17,1,0)</f>
        <v>1</v>
      </c>
      <c r="BS6" s="298" t="n">
        <f aca="false">IF(BS4&gt;=SUP_CONTROL!$C$17,1,0)</f>
        <v>1</v>
      </c>
      <c r="BT6" s="298" t="n">
        <f aca="false">IF(BT4&gt;=SUP_CONTROL!$C$17,1,0)</f>
        <v>1</v>
      </c>
      <c r="BU6" s="298" t="n">
        <f aca="false">IF(BU4&gt;=SUP_CONTROL!$C$17,1,0)</f>
        <v>1</v>
      </c>
      <c r="BV6" s="298" t="n">
        <f aca="false">IF(BV4&gt;=SUP_CONTROL!$C$17,1,0)</f>
        <v>1</v>
      </c>
      <c r="BW6" s="298" t="n">
        <f aca="false">IF(BW4&gt;=SUP_CONTROL!$C$17,1,0)</f>
        <v>1</v>
      </c>
      <c r="BX6" s="298" t="n">
        <f aca="false">IF(BX4&gt;=SUP_CONTROL!$C$17,1,0)</f>
        <v>1</v>
      </c>
      <c r="BY6" s="298" t="n">
        <f aca="false">IF(BY4&gt;=SUP_CONTROL!$C$17,1,0)</f>
        <v>1</v>
      </c>
      <c r="BZ6" s="298" t="n">
        <f aca="false">IF(BZ4&gt;=SUP_CONTROL!$C$17,1,0)</f>
        <v>1</v>
      </c>
      <c r="CA6" s="298" t="n">
        <f aca="false">IF(CA4&gt;=SUP_CONTROL!$C$17,1,0)</f>
        <v>1</v>
      </c>
      <c r="CB6" s="298" t="n">
        <f aca="false">IF(CB4&gt;=SUP_CONTROL!$C$17,1,0)</f>
        <v>1</v>
      </c>
      <c r="CC6" s="298" t="n">
        <f aca="false">IF(CC4&gt;=SUP_CONTROL!$C$17,1,0)</f>
        <v>1</v>
      </c>
      <c r="CD6" s="298" t="n">
        <f aca="false">IF(CD4&gt;=SUP_CONTROL!$C$17,1,0)</f>
        <v>1</v>
      </c>
      <c r="CE6" s="298" t="n">
        <f aca="false">IF(CE4&gt;=SUP_CONTROL!$C$17,1,0)</f>
        <v>1</v>
      </c>
      <c r="CF6" s="298" t="n">
        <f aca="false">IF(CF4&gt;=SUP_CONTROL!$C$17,1,0)</f>
        <v>1</v>
      </c>
      <c r="CG6" s="298" t="n">
        <f aca="false">IF(CG4&gt;=SUP_CONTROL!$C$17,1,0)</f>
        <v>1</v>
      </c>
      <c r="CH6" s="298" t="n">
        <f aca="false">IF(CH4&gt;=SUP_CONTROL!$C$17,1,0)</f>
        <v>1</v>
      </c>
      <c r="CI6" s="298" t="n">
        <f aca="false">IF(CI4&gt;=SUP_CONTROL!$C$17,1,0)</f>
        <v>1</v>
      </c>
      <c r="CJ6" s="298" t="n">
        <f aca="false">IF(CJ4&gt;=SUP_CONTROL!$C$17,1,0)</f>
        <v>1</v>
      </c>
      <c r="CK6" s="298" t="n">
        <f aca="false">IF(CK4&gt;=SUP_CONTROL!$C$17,1,0)</f>
        <v>1</v>
      </c>
      <c r="CL6" s="298" t="n">
        <f aca="false">IF(CL4&gt;=SUP_CONTROL!$C$17,1,0)</f>
        <v>1</v>
      </c>
      <c r="CM6" s="298" t="n">
        <f aca="false">IF(CM4&gt;=SUP_CONTROL!$C$17,1,0)</f>
        <v>1</v>
      </c>
      <c r="CN6" s="298" t="n">
        <f aca="false">IF(CN4&gt;=SUP_CONTROL!$C$17,1,0)</f>
        <v>1</v>
      </c>
      <c r="CO6" s="298" t="n">
        <f aca="false">IF(CO4&gt;=SUP_CONTROL!$C$17,1,0)</f>
        <v>1</v>
      </c>
      <c r="CP6" s="298" t="n">
        <f aca="false">IF(CP4&gt;=SUP_CONTROL!$C$17,1,0)</f>
        <v>1</v>
      </c>
      <c r="CQ6" s="298" t="n">
        <f aca="false">IF(CQ4&gt;=SUP_CONTROL!$C$17,1,0)</f>
        <v>1</v>
      </c>
      <c r="CR6" s="298" t="n">
        <f aca="false">IF(CR4&gt;=SUP_CONTROL!$C$17,1,0)</f>
        <v>1</v>
      </c>
      <c r="CS6" s="298" t="n">
        <f aca="false">IF(CS4&gt;=SUP_CONTROL!$C$17,1,0)</f>
        <v>1</v>
      </c>
      <c r="CT6" s="298" t="n">
        <f aca="false">IF(CT4&gt;=SUP_CONTROL!$C$17,1,0)</f>
        <v>1</v>
      </c>
      <c r="CU6" s="298" t="n">
        <f aca="false">IF(CU4&gt;=SUP_CONTROL!$C$17,1,0)</f>
        <v>1</v>
      </c>
      <c r="CV6" s="298" t="n">
        <f aca="false">IF(CV4&gt;=SUP_CONTROL!$C$17,1,0)</f>
        <v>1</v>
      </c>
      <c r="CW6" s="298" t="n">
        <f aca="false">IF(CW4&gt;=SUP_CONTROL!$C$17,1,0)</f>
        <v>1</v>
      </c>
      <c r="CX6" s="298" t="n">
        <f aca="false">IF(CX4&gt;=SUP_CONTROL!$C$17,1,0)</f>
        <v>1</v>
      </c>
      <c r="CY6" s="298" t="n">
        <f aca="false">IF(CY4&gt;=SUP_CONTROL!$C$17,1,0)</f>
        <v>1</v>
      </c>
      <c r="CZ6" s="298" t="n">
        <f aca="false">IF(CZ4&gt;=SUP_CONTROL!$C$17,1,0)</f>
        <v>1</v>
      </c>
      <c r="DA6" s="298" t="n">
        <f aca="false">IF(DA4&gt;=SUP_CONTROL!$C$17,1,0)</f>
        <v>1</v>
      </c>
      <c r="DB6" s="298" t="n">
        <f aca="false">IF(DB4&gt;=SUP_CONTROL!$C$17,1,0)</f>
        <v>1</v>
      </c>
      <c r="DC6" s="298" t="n">
        <f aca="false">IF(DC4&gt;=SUP_CONTROL!$C$17,1,0)</f>
        <v>1</v>
      </c>
      <c r="DD6" s="298" t="n">
        <f aca="false">IF(DD4&gt;=SUP_CONTROL!$C$17,1,0)</f>
        <v>1</v>
      </c>
      <c r="DE6" s="298" t="n">
        <f aca="false">IF(DE4&gt;=SUP_CONTROL!$C$17,1,0)</f>
        <v>1</v>
      </c>
      <c r="DF6" s="298" t="n">
        <f aca="false">IF(DF4&gt;=SUP_CONTROL!$C$17,1,0)</f>
        <v>1</v>
      </c>
      <c r="DG6" s="298" t="n">
        <f aca="false">IF(DG4&gt;=SUP_CONTROL!$C$17,1,0)</f>
        <v>1</v>
      </c>
      <c r="DH6" s="298" t="n">
        <f aca="false">IF(DH4&gt;=SUP_CONTROL!$C$17,1,0)</f>
        <v>1</v>
      </c>
      <c r="DI6" s="298" t="n">
        <f aca="false">IF(DI4&gt;=SUP_CONTROL!$C$17,1,0)</f>
        <v>1</v>
      </c>
      <c r="DJ6" s="298" t="n">
        <f aca="false">IF(DJ4&gt;=SUP_CONTROL!$C$17,1,0)</f>
        <v>1</v>
      </c>
      <c r="DK6" s="298" t="n">
        <f aca="false">IF(DK4&gt;=SUP_CONTROL!$C$17,1,0)</f>
        <v>1</v>
      </c>
      <c r="DL6" s="298" t="n">
        <f aca="false">IF(DL4&gt;=SUP_CONTROL!$C$17,1,0)</f>
        <v>1</v>
      </c>
      <c r="DM6" s="298" t="n">
        <f aca="false">IF(DM4&gt;=SUP_CONTROL!$C$17,1,0)</f>
        <v>1</v>
      </c>
      <c r="DN6" s="298" t="n">
        <f aca="false">IF(DN4&gt;=SUP_CONTROL!$C$17,1,0)</f>
        <v>1</v>
      </c>
      <c r="DO6" s="298" t="n">
        <f aca="false">IF(DO4&gt;=SUP_CONTROL!$C$17,1,0)</f>
        <v>1</v>
      </c>
      <c r="DP6" s="298" t="n">
        <f aca="false">IF(DP4&gt;=SUP_CONTROL!$C$17,1,0)</f>
        <v>1</v>
      </c>
      <c r="DQ6" s="298" t="n">
        <f aca="false">IF(DQ4&gt;=SUP_CONTROL!$C$17,1,0)</f>
        <v>1</v>
      </c>
      <c r="DR6" s="298" t="n">
        <f aca="false">IF(DR4&gt;=SUP_CONTROL!$C$17,1,0)</f>
        <v>1</v>
      </c>
      <c r="DS6" s="298" t="n">
        <f aca="false">IF(DS4&gt;=SUP_CONTROL!$C$17,1,0)</f>
        <v>1</v>
      </c>
    </row>
    <row r="7" customFormat="false" ht="15" hidden="false" customHeight="true" outlineLevel="0" collapsed="false">
      <c r="B7" s="297" t="s">
        <v>3450</v>
      </c>
      <c r="D7" s="299" t="n">
        <f aca="false">IF(D6=0,0,IF(D4=SUP_CONTROL!$C$17,SUP_OPEX!$C$38,IF(D4=SUP_CONTROL!$C$17+1,SUP_OPEX!$C$39,1)))</f>
        <v>0</v>
      </c>
      <c r="E7" s="299" t="n">
        <f aca="false">IF(E6=0,0,IF(E4=SUP_CONTROL!$C$17,SUP_OPEX!$C$38,IF(E4=SUP_CONTROL!$C$17+1,SUP_OPEX!$C$39,1)))</f>
        <v>0</v>
      </c>
      <c r="F7" s="299" t="n">
        <f aca="false">IF(F6=0,0,IF(F4=SUP_CONTROL!$C$17,SUP_OPEX!$C$38,IF(F4=SUP_CONTROL!$C$17+1,SUP_OPEX!$C$39,1)))</f>
        <v>0</v>
      </c>
      <c r="G7" s="299" t="n">
        <f aca="false">IF(G6=0,0,IF(G4=SUP_CONTROL!$C$17,SUP_OPEX!$C$38,IF(G4=SUP_CONTROL!$C$17+1,SUP_OPEX!$C$39,1)))</f>
        <v>0</v>
      </c>
      <c r="H7" s="299" t="n">
        <f aca="false">IF(H6=0,0,IF(H4=SUP_CONTROL!$C$17,SUP_OPEX!$C$38,IF(H4=SUP_CONTROL!$C$17+1,SUP_OPEX!$C$39,1)))</f>
        <v>0</v>
      </c>
      <c r="I7" s="299" t="n">
        <f aca="false">IF(I6=0,0,IF(I4=SUP_CONTROL!$C$17,SUP_OPEX!$C$38,IF(I4=SUP_CONTROL!$C$17+1,SUP_OPEX!$C$39,1)))</f>
        <v>0</v>
      </c>
      <c r="J7" s="299" t="n">
        <f aca="false">IF(J6=0,0,IF(J4=SUP_CONTROL!$C$17,SUP_OPEX!$C$38,IF(J4=SUP_CONTROL!$C$17+1,SUP_OPEX!$C$39,1)))</f>
        <v>0.7</v>
      </c>
      <c r="K7" s="299" t="n">
        <f aca="false">IF(K6=0,0,IF(K4=SUP_CONTROL!$C$17,SUP_OPEX!$C$38,IF(K4=SUP_CONTROL!$C$17+1,SUP_OPEX!$C$39,1)))</f>
        <v>0.85</v>
      </c>
      <c r="L7" s="299" t="n">
        <f aca="false">IF(L6=0,0,IF(L4=SUP_CONTROL!$C$17,SUP_OPEX!$C$38,IF(L4=SUP_CONTROL!$C$17+1,SUP_OPEX!$C$39,1)))</f>
        <v>1</v>
      </c>
      <c r="M7" s="299" t="n">
        <f aca="false">IF(M6=0,0,IF(M4=SUP_CONTROL!$C$17,SUP_OPEX!$C$38,IF(M4=SUP_CONTROL!$C$17+1,SUP_OPEX!$C$39,1)))</f>
        <v>1</v>
      </c>
      <c r="N7" s="299" t="n">
        <f aca="false">IF(N6=0,0,IF(N4=SUP_CONTROL!$C$17,SUP_OPEX!$C$38,IF(N4=SUP_CONTROL!$C$17+1,SUP_OPEX!$C$39,1)))</f>
        <v>1</v>
      </c>
      <c r="O7" s="299" t="n">
        <f aca="false">IF(O6=0,0,IF(O4=SUP_CONTROL!$C$17,SUP_OPEX!$C$38,IF(O4=SUP_CONTROL!$C$17+1,SUP_OPEX!$C$39,1)))</f>
        <v>1</v>
      </c>
      <c r="P7" s="299" t="n">
        <f aca="false">IF(P6=0,0,IF(P4=SUP_CONTROL!$C$17,SUP_OPEX!$C$38,IF(P4=SUP_CONTROL!$C$17+1,SUP_OPEX!$C$39,1)))</f>
        <v>1</v>
      </c>
      <c r="Q7" s="299" t="n">
        <f aca="false">IF(Q6=0,0,IF(Q4=SUP_CONTROL!$C$17,SUP_OPEX!$C$38,IF(Q4=SUP_CONTROL!$C$17+1,SUP_OPEX!$C$39,1)))</f>
        <v>1</v>
      </c>
      <c r="R7" s="299" t="n">
        <f aca="false">IF(R6=0,0,IF(R4=SUP_CONTROL!$C$17,SUP_OPEX!$C$38,IF(R4=SUP_CONTROL!$C$17+1,SUP_OPEX!$C$39,1)))</f>
        <v>1</v>
      </c>
      <c r="S7" s="299" t="n">
        <f aca="false">IF(S6=0,0,IF(S4=SUP_CONTROL!$C$17,SUP_OPEX!$C$38,IF(S4=SUP_CONTROL!$C$17+1,SUP_OPEX!$C$39,1)))</f>
        <v>1</v>
      </c>
      <c r="T7" s="299" t="n">
        <f aca="false">IF(T6=0,0,IF(T4=SUP_CONTROL!$C$17,SUP_OPEX!$C$38,IF(T4=SUP_CONTROL!$C$17+1,SUP_OPEX!$C$39,1)))</f>
        <v>1</v>
      </c>
      <c r="U7" s="299" t="n">
        <f aca="false">IF(U6=0,0,IF(U4=SUP_CONTROL!$C$17,SUP_OPEX!$C$38,IF(U4=SUP_CONTROL!$C$17+1,SUP_OPEX!$C$39,1)))</f>
        <v>1</v>
      </c>
      <c r="V7" s="299" t="n">
        <f aca="false">IF(V6=0,0,IF(V4=SUP_CONTROL!$C$17,SUP_OPEX!$C$38,IF(V4=SUP_CONTROL!$C$17+1,SUP_OPEX!$C$39,1)))</f>
        <v>1</v>
      </c>
      <c r="W7" s="299" t="n">
        <f aca="false">IF(W6=0,0,IF(W4=SUP_CONTROL!$C$17,SUP_OPEX!$C$38,IF(W4=SUP_CONTROL!$C$17+1,SUP_OPEX!$C$39,1)))</f>
        <v>1</v>
      </c>
      <c r="X7" s="299" t="n">
        <f aca="false">IF(X6=0,0,IF(X4=SUP_CONTROL!$C$17,SUP_OPEX!$C$38,IF(X4=SUP_CONTROL!$C$17+1,SUP_OPEX!$C$39,1)))</f>
        <v>1</v>
      </c>
      <c r="Y7" s="299" t="n">
        <f aca="false">IF(Y6=0,0,IF(Y4=SUP_CONTROL!$C$17,SUP_OPEX!$C$38,IF(Y4=SUP_CONTROL!$C$17+1,SUP_OPEX!$C$39,1)))</f>
        <v>1</v>
      </c>
      <c r="Z7" s="299" t="n">
        <f aca="false">IF(Z6=0,0,IF(Z4=SUP_CONTROL!$C$17,SUP_OPEX!$C$38,IF(Z4=SUP_CONTROL!$C$17+1,SUP_OPEX!$C$39,1)))</f>
        <v>1</v>
      </c>
      <c r="AA7" s="299" t="n">
        <f aca="false">IF(AA6=0,0,IF(AA4=SUP_CONTROL!$C$17,SUP_OPEX!$C$38,IF(AA4=SUP_CONTROL!$C$17+1,SUP_OPEX!$C$39,1)))</f>
        <v>1</v>
      </c>
      <c r="AB7" s="299" t="n">
        <f aca="false">IF(AB6=0,0,IF(AB4=SUP_CONTROL!$C$17,SUP_OPEX!$C$38,IF(AB4=SUP_CONTROL!$C$17+1,SUP_OPEX!$C$39,1)))</f>
        <v>1</v>
      </c>
      <c r="AC7" s="299" t="n">
        <f aca="false">IF(AC6=0,0,IF(AC4=SUP_CONTROL!$C$17,SUP_OPEX!$C$38,IF(AC4=SUP_CONTROL!$C$17+1,SUP_OPEX!$C$39,1)))</f>
        <v>1</v>
      </c>
      <c r="AD7" s="299" t="n">
        <f aca="false">IF(AD6=0,0,IF(AD4=SUP_CONTROL!$C$17,SUP_OPEX!$C$38,IF(AD4=SUP_CONTROL!$C$17+1,SUP_OPEX!$C$39,1)))</f>
        <v>1</v>
      </c>
      <c r="AE7" s="299" t="n">
        <f aca="false">IF(AE6=0,0,IF(AE4=SUP_CONTROL!$C$17,SUP_OPEX!$C$38,IF(AE4=SUP_CONTROL!$C$17+1,SUP_OPEX!$C$39,1)))</f>
        <v>1</v>
      </c>
      <c r="AF7" s="299" t="n">
        <f aca="false">IF(AF6=0,0,IF(AF4=SUP_CONTROL!$C$17,SUP_OPEX!$C$38,IF(AF4=SUP_CONTROL!$C$17+1,SUP_OPEX!$C$39,1)))</f>
        <v>1</v>
      </c>
      <c r="AG7" s="299" t="n">
        <f aca="false">IF(AG6=0,0,IF(AG4=SUP_CONTROL!$C$17,SUP_OPEX!$C$38,IF(AG4=SUP_CONTROL!$C$17+1,SUP_OPEX!$C$39,1)))</f>
        <v>1</v>
      </c>
      <c r="AH7" s="299" t="n">
        <f aca="false">IF(AH6=0,0,IF(AH4=SUP_CONTROL!$C$17,SUP_OPEX!$C$38,IF(AH4=SUP_CONTROL!$C$17+1,SUP_OPEX!$C$39,1)))</f>
        <v>1</v>
      </c>
      <c r="AI7" s="299" t="n">
        <f aca="false">IF(AI6=0,0,IF(AI4=SUP_CONTROL!$C$17,SUP_OPEX!$C$38,IF(AI4=SUP_CONTROL!$C$17+1,SUP_OPEX!$C$39,1)))</f>
        <v>1</v>
      </c>
      <c r="AJ7" s="299" t="n">
        <f aca="false">IF(AJ6=0,0,IF(AJ4=SUP_CONTROL!$C$17,SUP_OPEX!$C$38,IF(AJ4=SUP_CONTROL!$C$17+1,SUP_OPEX!$C$39,1)))</f>
        <v>1</v>
      </c>
      <c r="AK7" s="299" t="n">
        <f aca="false">IF(AK6=0,0,IF(AK4=SUP_CONTROL!$C$17,SUP_OPEX!$C$38,IF(AK4=SUP_CONTROL!$C$17+1,SUP_OPEX!$C$39,1)))</f>
        <v>1</v>
      </c>
      <c r="AL7" s="299" t="n">
        <f aca="false">IF(AL6=0,0,IF(AL4=SUP_CONTROL!$C$17,SUP_OPEX!$C$38,IF(AL4=SUP_CONTROL!$C$17+1,SUP_OPEX!$C$39,1)))</f>
        <v>1</v>
      </c>
      <c r="AM7" s="299" t="n">
        <f aca="false">IF(AM6=0,0,IF(AM4=SUP_CONTROL!$C$17,SUP_OPEX!$C$38,IF(AM4=SUP_CONTROL!$C$17+1,SUP_OPEX!$C$39,1)))</f>
        <v>1</v>
      </c>
      <c r="AN7" s="299" t="n">
        <f aca="false">IF(AN6=0,0,IF(AN4=SUP_CONTROL!$C$17,SUP_OPEX!$C$38,IF(AN4=SUP_CONTROL!$C$17+1,SUP_OPEX!$C$39,1)))</f>
        <v>1</v>
      </c>
      <c r="AO7" s="299" t="n">
        <f aca="false">IF(AO6=0,0,IF(AO4=SUP_CONTROL!$C$17,SUP_OPEX!$C$38,IF(AO4=SUP_CONTROL!$C$17+1,SUP_OPEX!$C$39,1)))</f>
        <v>1</v>
      </c>
      <c r="AP7" s="299" t="n">
        <f aca="false">IF(AP6=0,0,IF(AP4=SUP_CONTROL!$C$17,SUP_OPEX!$C$38,IF(AP4=SUP_CONTROL!$C$17+1,SUP_OPEX!$C$39,1)))</f>
        <v>1</v>
      </c>
      <c r="AQ7" s="299" t="n">
        <f aca="false">IF(AQ6=0,0,IF(AQ4=SUP_CONTROL!$C$17,SUP_OPEX!$C$38,IF(AQ4=SUP_CONTROL!$C$17+1,SUP_OPEX!$C$39,1)))</f>
        <v>1</v>
      </c>
      <c r="AR7" s="299" t="n">
        <f aca="false">IF(AR6=0,0,IF(AR4=SUP_CONTROL!$C$17,SUP_OPEX!$C$38,IF(AR4=SUP_CONTROL!$C$17+1,SUP_OPEX!$C$39,1)))</f>
        <v>1</v>
      </c>
      <c r="AS7" s="299" t="n">
        <f aca="false">IF(AS6=0,0,IF(AS4=SUP_CONTROL!$C$17,SUP_OPEX!$C$38,IF(AS4=SUP_CONTROL!$C$17+1,SUP_OPEX!$C$39,1)))</f>
        <v>1</v>
      </c>
      <c r="AT7" s="299" t="n">
        <f aca="false">IF(AT6=0,0,IF(AT4=SUP_CONTROL!$C$17,SUP_OPEX!$C$38,IF(AT4=SUP_CONTROL!$C$17+1,SUP_OPEX!$C$39,1)))</f>
        <v>1</v>
      </c>
      <c r="AU7" s="299" t="n">
        <f aca="false">IF(AU6=0,0,IF(AU4=SUP_CONTROL!$C$17,SUP_OPEX!$C$38,IF(AU4=SUP_CONTROL!$C$17+1,SUP_OPEX!$C$39,1)))</f>
        <v>1</v>
      </c>
      <c r="AV7" s="299" t="n">
        <f aca="false">IF(AV6=0,0,IF(AV4=SUP_CONTROL!$C$17,SUP_OPEX!$C$38,IF(AV4=SUP_CONTROL!$C$17+1,SUP_OPEX!$C$39,1)))</f>
        <v>1</v>
      </c>
      <c r="AW7" s="299" t="n">
        <f aca="false">IF(AW6=0,0,IF(AW4=SUP_CONTROL!$C$17,SUP_OPEX!$C$38,IF(AW4=SUP_CONTROL!$C$17+1,SUP_OPEX!$C$39,1)))</f>
        <v>1</v>
      </c>
      <c r="AX7" s="299" t="n">
        <f aca="false">IF(AX6=0,0,IF(AX4=SUP_CONTROL!$C$17,SUP_OPEX!$C$38,IF(AX4=SUP_CONTROL!$C$17+1,SUP_OPEX!$C$39,1)))</f>
        <v>1</v>
      </c>
      <c r="AY7" s="299" t="n">
        <f aca="false">IF(AY6=0,0,IF(AY4=SUP_CONTROL!$C$17,SUP_OPEX!$C$38,IF(AY4=SUP_CONTROL!$C$17+1,SUP_OPEX!$C$39,1)))</f>
        <v>1</v>
      </c>
      <c r="AZ7" s="299" t="n">
        <f aca="false">IF(AZ6=0,0,IF(AZ4=SUP_CONTROL!$C$17,SUP_OPEX!$C$38,IF(AZ4=SUP_CONTROL!$C$17+1,SUP_OPEX!$C$39,1)))</f>
        <v>1</v>
      </c>
      <c r="BA7" s="299" t="n">
        <f aca="false">IF(BA6=0,0,IF(BA4=SUP_CONTROL!$C$17,SUP_OPEX!$C$38,IF(BA4=SUP_CONTROL!$C$17+1,SUP_OPEX!$C$39,1)))</f>
        <v>1</v>
      </c>
      <c r="BB7" s="299" t="n">
        <f aca="false">IF(BB6=0,0,IF(BB4=SUP_CONTROL!$C$17,SUP_OPEX!$C$38,IF(BB4=SUP_CONTROL!$C$17+1,SUP_OPEX!$C$39,1)))</f>
        <v>1</v>
      </c>
      <c r="BC7" s="299" t="n">
        <f aca="false">IF(BC6=0,0,IF(BC4=SUP_CONTROL!$C$17,SUP_OPEX!$C$38,IF(BC4=SUP_CONTROL!$C$17+1,SUP_OPEX!$C$39,1)))</f>
        <v>1</v>
      </c>
      <c r="BD7" s="299" t="n">
        <f aca="false">IF(BD6=0,0,IF(BD4=SUP_CONTROL!$C$17,SUP_OPEX!$C$38,IF(BD4=SUP_CONTROL!$C$17+1,SUP_OPEX!$C$39,1)))</f>
        <v>1</v>
      </c>
      <c r="BE7" s="299" t="n">
        <f aca="false">IF(BE6=0,0,IF(BE4=SUP_CONTROL!$C$17,SUP_OPEX!$C$38,IF(BE4=SUP_CONTROL!$C$17+1,SUP_OPEX!$C$39,1)))</f>
        <v>1</v>
      </c>
      <c r="BF7" s="299" t="n">
        <f aca="false">IF(BF6=0,0,IF(BF4=SUP_CONTROL!$C$17,SUP_OPEX!$C$38,IF(BF4=SUP_CONTROL!$C$17+1,SUP_OPEX!$C$39,1)))</f>
        <v>1</v>
      </c>
      <c r="BG7" s="299" t="n">
        <f aca="false">IF(BG6=0,0,IF(BG4=SUP_CONTROL!$C$17,SUP_OPEX!$C$38,IF(BG4=SUP_CONTROL!$C$17+1,SUP_OPEX!$C$39,1)))</f>
        <v>1</v>
      </c>
      <c r="BH7" s="299" t="n">
        <f aca="false">IF(BH6=0,0,IF(BH4=SUP_CONTROL!$C$17,SUP_OPEX!$C$38,IF(BH4=SUP_CONTROL!$C$17+1,SUP_OPEX!$C$39,1)))</f>
        <v>1</v>
      </c>
      <c r="BI7" s="299" t="n">
        <f aca="false">IF(BI6=0,0,IF(BI4=SUP_CONTROL!$C$17,SUP_OPEX!$C$38,IF(BI4=SUP_CONTROL!$C$17+1,SUP_OPEX!$C$39,1)))</f>
        <v>1</v>
      </c>
      <c r="BJ7" s="299" t="n">
        <f aca="false">IF(BJ6=0,0,IF(BJ4=SUP_CONTROL!$C$17,SUP_OPEX!$C$38,IF(BJ4=SUP_CONTROL!$C$17+1,SUP_OPEX!$C$39,1)))</f>
        <v>1</v>
      </c>
      <c r="BK7" s="299" t="n">
        <f aca="false">IF(BK6=0,0,IF(BK4=SUP_CONTROL!$C$17,SUP_OPEX!$C$38,IF(BK4=SUP_CONTROL!$C$17+1,SUP_OPEX!$C$39,1)))</f>
        <v>1</v>
      </c>
      <c r="BL7" s="299" t="n">
        <f aca="false">IF(BL6=0,0,IF(BL4=SUP_CONTROL!$C$17,SUP_OPEX!$C$38,IF(BL4=SUP_CONTROL!$C$17+1,SUP_OPEX!$C$39,1)))</f>
        <v>1</v>
      </c>
      <c r="BM7" s="299" t="n">
        <f aca="false">IF(BM6=0,0,IF(BM4=SUP_CONTROL!$C$17,SUP_OPEX!$C$38,IF(BM4=SUP_CONTROL!$C$17+1,SUP_OPEX!$C$39,1)))</f>
        <v>1</v>
      </c>
      <c r="BN7" s="299" t="n">
        <f aca="false">IF(BN6=0,0,IF(BN4=SUP_CONTROL!$C$17,SUP_OPEX!$C$38,IF(BN4=SUP_CONTROL!$C$17+1,SUP_OPEX!$C$39,1)))</f>
        <v>1</v>
      </c>
      <c r="BO7" s="299" t="n">
        <f aca="false">IF(BO6=0,0,IF(BO4=SUP_CONTROL!$C$17,SUP_OPEX!$C$38,IF(BO4=SUP_CONTROL!$C$17+1,SUP_OPEX!$C$39,1)))</f>
        <v>1</v>
      </c>
      <c r="BP7" s="299" t="n">
        <f aca="false">IF(BP6=0,0,IF(BP4=SUP_CONTROL!$C$17,SUP_OPEX!$C$38,IF(BP4=SUP_CONTROL!$C$17+1,SUP_OPEX!$C$39,1)))</f>
        <v>1</v>
      </c>
      <c r="BQ7" s="299" t="n">
        <f aca="false">IF(BQ6=0,0,IF(BQ4=SUP_CONTROL!$C$17,SUP_OPEX!$C$38,IF(BQ4=SUP_CONTROL!$C$17+1,SUP_OPEX!$C$39,1)))</f>
        <v>1</v>
      </c>
      <c r="BR7" s="299" t="n">
        <f aca="false">IF(BR6=0,0,IF(BR4=SUP_CONTROL!$C$17,SUP_OPEX!$C$38,IF(BR4=SUP_CONTROL!$C$17+1,SUP_OPEX!$C$39,1)))</f>
        <v>1</v>
      </c>
      <c r="BS7" s="299" t="n">
        <f aca="false">IF(BS6=0,0,IF(BS4=SUP_CONTROL!$C$17,SUP_OPEX!$C$38,IF(BS4=SUP_CONTROL!$C$17+1,SUP_OPEX!$C$39,1)))</f>
        <v>1</v>
      </c>
      <c r="BT7" s="299" t="n">
        <f aca="false">IF(BT6=0,0,IF(BT4=SUP_CONTROL!$C$17,SUP_OPEX!$C$38,IF(BT4=SUP_CONTROL!$C$17+1,SUP_OPEX!$C$39,1)))</f>
        <v>1</v>
      </c>
      <c r="BU7" s="299" t="n">
        <f aca="false">IF(BU6=0,0,IF(BU4=SUP_CONTROL!$C$17,SUP_OPEX!$C$38,IF(BU4=SUP_CONTROL!$C$17+1,SUP_OPEX!$C$39,1)))</f>
        <v>1</v>
      </c>
      <c r="BV7" s="299" t="n">
        <f aca="false">IF(BV6=0,0,IF(BV4=SUP_CONTROL!$C$17,SUP_OPEX!$C$38,IF(BV4=SUP_CONTROL!$C$17+1,SUP_OPEX!$C$39,1)))</f>
        <v>1</v>
      </c>
      <c r="BW7" s="299" t="n">
        <f aca="false">IF(BW6=0,0,IF(BW4=SUP_CONTROL!$C$17,SUP_OPEX!$C$38,IF(BW4=SUP_CONTROL!$C$17+1,SUP_OPEX!$C$39,1)))</f>
        <v>1</v>
      </c>
      <c r="BX7" s="299" t="n">
        <f aca="false">IF(BX6=0,0,IF(BX4=SUP_CONTROL!$C$17,SUP_OPEX!$C$38,IF(BX4=SUP_CONTROL!$C$17+1,SUP_OPEX!$C$39,1)))</f>
        <v>1</v>
      </c>
      <c r="BY7" s="299" t="n">
        <f aca="false">IF(BY6=0,0,IF(BY4=SUP_CONTROL!$C$17,SUP_OPEX!$C$38,IF(BY4=SUP_CONTROL!$C$17+1,SUP_OPEX!$C$39,1)))</f>
        <v>1</v>
      </c>
      <c r="BZ7" s="299" t="n">
        <f aca="false">IF(BZ6=0,0,IF(BZ4=SUP_CONTROL!$C$17,SUP_OPEX!$C$38,IF(BZ4=SUP_CONTROL!$C$17+1,SUP_OPEX!$C$39,1)))</f>
        <v>1</v>
      </c>
      <c r="CA7" s="299" t="n">
        <f aca="false">IF(CA6=0,0,IF(CA4=SUP_CONTROL!$C$17,SUP_OPEX!$C$38,IF(CA4=SUP_CONTROL!$C$17+1,SUP_OPEX!$C$39,1)))</f>
        <v>1</v>
      </c>
      <c r="CB7" s="299" t="n">
        <f aca="false">IF(CB6=0,0,IF(CB4=SUP_CONTROL!$C$17,SUP_OPEX!$C$38,IF(CB4=SUP_CONTROL!$C$17+1,SUP_OPEX!$C$39,1)))</f>
        <v>1</v>
      </c>
      <c r="CC7" s="299" t="n">
        <f aca="false">IF(CC6=0,0,IF(CC4=SUP_CONTROL!$C$17,SUP_OPEX!$C$38,IF(CC4=SUP_CONTROL!$C$17+1,SUP_OPEX!$C$39,1)))</f>
        <v>1</v>
      </c>
      <c r="CD7" s="299" t="n">
        <f aca="false">IF(CD6=0,0,IF(CD4=SUP_CONTROL!$C$17,SUP_OPEX!$C$38,IF(CD4=SUP_CONTROL!$C$17+1,SUP_OPEX!$C$39,1)))</f>
        <v>1</v>
      </c>
      <c r="CE7" s="299" t="n">
        <f aca="false">IF(CE6=0,0,IF(CE4=SUP_CONTROL!$C$17,SUP_OPEX!$C$38,IF(CE4=SUP_CONTROL!$C$17+1,SUP_OPEX!$C$39,1)))</f>
        <v>1</v>
      </c>
      <c r="CF7" s="299" t="n">
        <f aca="false">IF(CF6=0,0,IF(CF4=SUP_CONTROL!$C$17,SUP_OPEX!$C$38,IF(CF4=SUP_CONTROL!$C$17+1,SUP_OPEX!$C$39,1)))</f>
        <v>1</v>
      </c>
      <c r="CG7" s="299" t="n">
        <f aca="false">IF(CG6=0,0,IF(CG4=SUP_CONTROL!$C$17,SUP_OPEX!$C$38,IF(CG4=SUP_CONTROL!$C$17+1,SUP_OPEX!$C$39,1)))</f>
        <v>1</v>
      </c>
      <c r="CH7" s="299" t="n">
        <f aca="false">IF(CH6=0,0,IF(CH4=SUP_CONTROL!$C$17,SUP_OPEX!$C$38,IF(CH4=SUP_CONTROL!$C$17+1,SUP_OPEX!$C$39,1)))</f>
        <v>1</v>
      </c>
      <c r="CI7" s="299" t="n">
        <f aca="false">IF(CI6=0,0,IF(CI4=SUP_CONTROL!$C$17,SUP_OPEX!$C$38,IF(CI4=SUP_CONTROL!$C$17+1,SUP_OPEX!$C$39,1)))</f>
        <v>1</v>
      </c>
      <c r="CJ7" s="299" t="n">
        <f aca="false">IF(CJ6=0,0,IF(CJ4=SUP_CONTROL!$C$17,SUP_OPEX!$C$38,IF(CJ4=SUP_CONTROL!$C$17+1,SUP_OPEX!$C$39,1)))</f>
        <v>1</v>
      </c>
      <c r="CK7" s="299" t="n">
        <f aca="false">IF(CK6=0,0,IF(CK4=SUP_CONTROL!$C$17,SUP_OPEX!$C$38,IF(CK4=SUP_CONTROL!$C$17+1,SUP_OPEX!$C$39,1)))</f>
        <v>1</v>
      </c>
      <c r="CL7" s="299" t="n">
        <f aca="false">IF(CL6=0,0,IF(CL4=SUP_CONTROL!$C$17,SUP_OPEX!$C$38,IF(CL4=SUP_CONTROL!$C$17+1,SUP_OPEX!$C$39,1)))</f>
        <v>1</v>
      </c>
      <c r="CM7" s="299" t="n">
        <f aca="false">IF(CM6=0,0,IF(CM4=SUP_CONTROL!$C$17,SUP_OPEX!$C$38,IF(CM4=SUP_CONTROL!$C$17+1,SUP_OPEX!$C$39,1)))</f>
        <v>1</v>
      </c>
      <c r="CN7" s="299" t="n">
        <f aca="false">IF(CN6=0,0,IF(CN4=SUP_CONTROL!$C$17,SUP_OPEX!$C$38,IF(CN4=SUP_CONTROL!$C$17+1,SUP_OPEX!$C$39,1)))</f>
        <v>1</v>
      </c>
      <c r="CO7" s="299" t="n">
        <f aca="false">IF(CO6=0,0,IF(CO4=SUP_CONTROL!$C$17,SUP_OPEX!$C$38,IF(CO4=SUP_CONTROL!$C$17+1,SUP_OPEX!$C$39,1)))</f>
        <v>1</v>
      </c>
      <c r="CP7" s="299" t="n">
        <f aca="false">IF(CP6=0,0,IF(CP4=SUP_CONTROL!$C$17,SUP_OPEX!$C$38,IF(CP4=SUP_CONTROL!$C$17+1,SUP_OPEX!$C$39,1)))</f>
        <v>1</v>
      </c>
      <c r="CQ7" s="299" t="n">
        <f aca="false">IF(CQ6=0,0,IF(CQ4=SUP_CONTROL!$C$17,SUP_OPEX!$C$38,IF(CQ4=SUP_CONTROL!$C$17+1,SUP_OPEX!$C$39,1)))</f>
        <v>1</v>
      </c>
      <c r="CR7" s="299" t="n">
        <f aca="false">IF(CR6=0,0,IF(CR4=SUP_CONTROL!$C$17,SUP_OPEX!$C$38,IF(CR4=SUP_CONTROL!$C$17+1,SUP_OPEX!$C$39,1)))</f>
        <v>1</v>
      </c>
      <c r="CS7" s="299" t="n">
        <f aca="false">IF(CS6=0,0,IF(CS4=SUP_CONTROL!$C$17,SUP_OPEX!$C$38,IF(CS4=SUP_CONTROL!$C$17+1,SUP_OPEX!$C$39,1)))</f>
        <v>1</v>
      </c>
      <c r="CT7" s="299" t="n">
        <f aca="false">IF(CT6=0,0,IF(CT4=SUP_CONTROL!$C$17,SUP_OPEX!$C$38,IF(CT4=SUP_CONTROL!$C$17+1,SUP_OPEX!$C$39,1)))</f>
        <v>1</v>
      </c>
      <c r="CU7" s="299" t="n">
        <f aca="false">IF(CU6=0,0,IF(CU4=SUP_CONTROL!$C$17,SUP_OPEX!$C$38,IF(CU4=SUP_CONTROL!$C$17+1,SUP_OPEX!$C$39,1)))</f>
        <v>1</v>
      </c>
      <c r="CV7" s="299" t="n">
        <f aca="false">IF(CV6=0,0,IF(CV4=SUP_CONTROL!$C$17,SUP_OPEX!$C$38,IF(CV4=SUP_CONTROL!$C$17+1,SUP_OPEX!$C$39,1)))</f>
        <v>1</v>
      </c>
      <c r="CW7" s="299" t="n">
        <f aca="false">IF(CW6=0,0,IF(CW4=SUP_CONTROL!$C$17,SUP_OPEX!$C$38,IF(CW4=SUP_CONTROL!$C$17+1,SUP_OPEX!$C$39,1)))</f>
        <v>1</v>
      </c>
      <c r="CX7" s="299" t="n">
        <f aca="false">IF(CX6=0,0,IF(CX4=SUP_CONTROL!$C$17,SUP_OPEX!$C$38,IF(CX4=SUP_CONTROL!$C$17+1,SUP_OPEX!$C$39,1)))</f>
        <v>1</v>
      </c>
      <c r="CY7" s="299" t="n">
        <f aca="false">IF(CY6=0,0,IF(CY4=SUP_CONTROL!$C$17,SUP_OPEX!$C$38,IF(CY4=SUP_CONTROL!$C$17+1,SUP_OPEX!$C$39,1)))</f>
        <v>1</v>
      </c>
      <c r="CZ7" s="299" t="n">
        <f aca="false">IF(CZ6=0,0,IF(CZ4=SUP_CONTROL!$C$17,SUP_OPEX!$C$38,IF(CZ4=SUP_CONTROL!$C$17+1,SUP_OPEX!$C$39,1)))</f>
        <v>1</v>
      </c>
      <c r="DA7" s="299" t="n">
        <f aca="false">IF(DA6=0,0,IF(DA4=SUP_CONTROL!$C$17,SUP_OPEX!$C$38,IF(DA4=SUP_CONTROL!$C$17+1,SUP_OPEX!$C$39,1)))</f>
        <v>1</v>
      </c>
      <c r="DB7" s="299" t="n">
        <f aca="false">IF(DB6=0,0,IF(DB4=SUP_CONTROL!$C$17,SUP_OPEX!$C$38,IF(DB4=SUP_CONTROL!$C$17+1,SUP_OPEX!$C$39,1)))</f>
        <v>1</v>
      </c>
      <c r="DC7" s="299" t="n">
        <f aca="false">IF(DC6=0,0,IF(DC4=SUP_CONTROL!$C$17,SUP_OPEX!$C$38,IF(DC4=SUP_CONTROL!$C$17+1,SUP_OPEX!$C$39,1)))</f>
        <v>1</v>
      </c>
      <c r="DD7" s="299" t="n">
        <f aca="false">IF(DD6=0,0,IF(DD4=SUP_CONTROL!$C$17,SUP_OPEX!$C$38,IF(DD4=SUP_CONTROL!$C$17+1,SUP_OPEX!$C$39,1)))</f>
        <v>1</v>
      </c>
      <c r="DE7" s="299" t="n">
        <f aca="false">IF(DE6=0,0,IF(DE4=SUP_CONTROL!$C$17,SUP_OPEX!$C$38,IF(DE4=SUP_CONTROL!$C$17+1,SUP_OPEX!$C$39,1)))</f>
        <v>1</v>
      </c>
      <c r="DF7" s="299" t="n">
        <f aca="false">IF(DF6=0,0,IF(DF4=SUP_CONTROL!$C$17,SUP_OPEX!$C$38,IF(DF4=SUP_CONTROL!$C$17+1,SUP_OPEX!$C$39,1)))</f>
        <v>1</v>
      </c>
      <c r="DG7" s="299" t="n">
        <f aca="false">IF(DG6=0,0,IF(DG4=SUP_CONTROL!$C$17,SUP_OPEX!$C$38,IF(DG4=SUP_CONTROL!$C$17+1,SUP_OPEX!$C$39,1)))</f>
        <v>1</v>
      </c>
      <c r="DH7" s="299" t="n">
        <f aca="false">IF(DH6=0,0,IF(DH4=SUP_CONTROL!$C$17,SUP_OPEX!$C$38,IF(DH4=SUP_CONTROL!$C$17+1,SUP_OPEX!$C$39,1)))</f>
        <v>1</v>
      </c>
      <c r="DI7" s="299" t="n">
        <f aca="false">IF(DI6=0,0,IF(DI4=SUP_CONTROL!$C$17,SUP_OPEX!$C$38,IF(DI4=SUP_CONTROL!$C$17+1,SUP_OPEX!$C$39,1)))</f>
        <v>1</v>
      </c>
      <c r="DJ7" s="299" t="n">
        <f aca="false">IF(DJ6=0,0,IF(DJ4=SUP_CONTROL!$C$17,SUP_OPEX!$C$38,IF(DJ4=SUP_CONTROL!$C$17+1,SUP_OPEX!$C$39,1)))</f>
        <v>1</v>
      </c>
      <c r="DK7" s="299" t="n">
        <f aca="false">IF(DK6=0,0,IF(DK4=SUP_CONTROL!$C$17,SUP_OPEX!$C$38,IF(DK4=SUP_CONTROL!$C$17+1,SUP_OPEX!$C$39,1)))</f>
        <v>1</v>
      </c>
      <c r="DL7" s="299" t="n">
        <f aca="false">IF(DL6=0,0,IF(DL4=SUP_CONTROL!$C$17,SUP_OPEX!$C$38,IF(DL4=SUP_CONTROL!$C$17+1,SUP_OPEX!$C$39,1)))</f>
        <v>1</v>
      </c>
      <c r="DM7" s="299" t="n">
        <f aca="false">IF(DM6=0,0,IF(DM4=SUP_CONTROL!$C$17,SUP_OPEX!$C$38,IF(DM4=SUP_CONTROL!$C$17+1,SUP_OPEX!$C$39,1)))</f>
        <v>1</v>
      </c>
      <c r="DN7" s="299" t="n">
        <f aca="false">IF(DN6=0,0,IF(DN4=SUP_CONTROL!$C$17,SUP_OPEX!$C$38,IF(DN4=SUP_CONTROL!$C$17+1,SUP_OPEX!$C$39,1)))</f>
        <v>1</v>
      </c>
      <c r="DO7" s="299" t="n">
        <f aca="false">IF(DO6=0,0,IF(DO4=SUP_CONTROL!$C$17,SUP_OPEX!$C$38,IF(DO4=SUP_CONTROL!$C$17+1,SUP_OPEX!$C$39,1)))</f>
        <v>1</v>
      </c>
      <c r="DP7" s="299" t="n">
        <f aca="false">IF(DP6=0,0,IF(DP4=SUP_CONTROL!$C$17,SUP_OPEX!$C$38,IF(DP4=SUP_CONTROL!$C$17+1,SUP_OPEX!$C$39,1)))</f>
        <v>1</v>
      </c>
      <c r="DQ7" s="299" t="n">
        <f aca="false">IF(DQ6=0,0,IF(DQ4=SUP_CONTROL!$C$17,SUP_OPEX!$C$38,IF(DQ4=SUP_CONTROL!$C$17+1,SUP_OPEX!$C$39,1)))</f>
        <v>1</v>
      </c>
      <c r="DR7" s="299" t="n">
        <f aca="false">IF(DR6=0,0,IF(DR4=SUP_CONTROL!$C$17,SUP_OPEX!$C$38,IF(DR4=SUP_CONTROL!$C$17+1,SUP_OPEX!$C$39,1)))</f>
        <v>1</v>
      </c>
      <c r="DS7" s="299" t="n">
        <f aca="false">IF(DS6=0,0,IF(DS4=SUP_CONTROL!$C$17,SUP_OPEX!$C$38,IF(DS4=SUP_CONTROL!$C$17+1,SUP_OPEX!$C$39,1)))</f>
        <v>1</v>
      </c>
    </row>
    <row r="8" customFormat="false" ht="15" hidden="false" customHeight="true" outlineLevel="0" collapsed="false">
      <c r="B8" s="297" t="s">
        <v>3451</v>
      </c>
      <c r="D8" s="298" t="n">
        <f aca="false">SUP_CONTROL!$C$8*(1+SUP_VOLUMEN!$C$27)*D7</f>
        <v>0</v>
      </c>
      <c r="E8" s="298" t="n">
        <f aca="false">SUP_CONTROL!$C$8*(1+SUP_VOLUMEN!$C$27)*E7</f>
        <v>0</v>
      </c>
      <c r="F8" s="298" t="n">
        <f aca="false">SUP_CONTROL!$C$8*(1+SUP_VOLUMEN!$C$27)*F7</f>
        <v>0</v>
      </c>
      <c r="G8" s="298" t="n">
        <f aca="false">SUP_CONTROL!$C$8*(1+SUP_VOLUMEN!$C$27)*G7</f>
        <v>0</v>
      </c>
      <c r="H8" s="298" t="n">
        <f aca="false">SUP_CONTROL!$C$8*(1+SUP_VOLUMEN!$C$27)*H7</f>
        <v>0</v>
      </c>
      <c r="I8" s="298" t="n">
        <f aca="false">SUP_CONTROL!$C$8*(1+SUP_VOLUMEN!$C$27)*I7</f>
        <v>0</v>
      </c>
      <c r="J8" s="298" t="n">
        <f aca="false">SUP_CONTROL!$C$8*(1+SUP_VOLUMEN!$C$27)*J7</f>
        <v>5880</v>
      </c>
      <c r="K8" s="298" t="n">
        <f aca="false">SUP_CONTROL!$C$8*(1+SUP_VOLUMEN!$C$27)*K7</f>
        <v>7140</v>
      </c>
      <c r="L8" s="298" t="n">
        <f aca="false">SUP_CONTROL!$C$8*(1+SUP_VOLUMEN!$C$27)*L7</f>
        <v>8400</v>
      </c>
      <c r="M8" s="298" t="n">
        <f aca="false">SUP_CONTROL!$C$8*(1+SUP_VOLUMEN!$C$27)*M7</f>
        <v>8400</v>
      </c>
      <c r="N8" s="298" t="n">
        <f aca="false">SUP_CONTROL!$C$8*(1+SUP_VOLUMEN!$C$27)*N7</f>
        <v>8400</v>
      </c>
      <c r="O8" s="298" t="n">
        <f aca="false">SUP_CONTROL!$C$8*(1+SUP_VOLUMEN!$C$27)*O7</f>
        <v>8400</v>
      </c>
      <c r="P8" s="298" t="n">
        <f aca="false">SUP_CONTROL!$C$8*(1+SUP_VOLUMEN!$C$27)*P7</f>
        <v>8400</v>
      </c>
      <c r="Q8" s="298" t="n">
        <f aca="false">SUP_CONTROL!$C$8*(1+SUP_VOLUMEN!$C$27)*Q7</f>
        <v>8400</v>
      </c>
      <c r="R8" s="298" t="n">
        <f aca="false">SUP_CONTROL!$C$8*(1+SUP_VOLUMEN!$C$27)*R7</f>
        <v>8400</v>
      </c>
      <c r="S8" s="298" t="n">
        <f aca="false">SUP_CONTROL!$C$8*(1+SUP_VOLUMEN!$C$27)*S7</f>
        <v>8400</v>
      </c>
      <c r="T8" s="298" t="n">
        <f aca="false">SUP_CONTROL!$C$8*(1+SUP_VOLUMEN!$C$27)*T7</f>
        <v>8400</v>
      </c>
      <c r="U8" s="298" t="n">
        <f aca="false">SUP_CONTROL!$C$8*(1+SUP_VOLUMEN!$C$27)*U7</f>
        <v>8400</v>
      </c>
      <c r="V8" s="298" t="n">
        <f aca="false">SUP_CONTROL!$C$8*(1+SUP_VOLUMEN!$C$27)*V7</f>
        <v>8400</v>
      </c>
      <c r="W8" s="298" t="n">
        <f aca="false">SUP_CONTROL!$C$8*(1+SUP_VOLUMEN!$C$27)*W7</f>
        <v>8400</v>
      </c>
      <c r="X8" s="298" t="n">
        <f aca="false">SUP_CONTROL!$C$8*(1+SUP_VOLUMEN!$C$27)*X7</f>
        <v>8400</v>
      </c>
      <c r="Y8" s="298" t="n">
        <f aca="false">SUP_CONTROL!$C$8*(1+SUP_VOLUMEN!$C$27)*Y7</f>
        <v>8400</v>
      </c>
      <c r="Z8" s="298" t="n">
        <f aca="false">SUP_CONTROL!$C$8*(1+SUP_VOLUMEN!$C$27)*Z7</f>
        <v>8400</v>
      </c>
      <c r="AA8" s="298" t="n">
        <f aca="false">SUP_CONTROL!$C$8*(1+SUP_VOLUMEN!$C$27)*AA7</f>
        <v>8400</v>
      </c>
      <c r="AB8" s="298" t="n">
        <f aca="false">SUP_CONTROL!$C$8*(1+SUP_VOLUMEN!$C$27)*AB7</f>
        <v>8400</v>
      </c>
      <c r="AC8" s="298" t="n">
        <f aca="false">SUP_CONTROL!$C$8*(1+SUP_VOLUMEN!$C$27)*AC7</f>
        <v>8400</v>
      </c>
      <c r="AD8" s="298" t="n">
        <f aca="false">SUP_CONTROL!$C$8*(1+SUP_VOLUMEN!$C$27)*AD7</f>
        <v>8400</v>
      </c>
      <c r="AE8" s="298" t="n">
        <f aca="false">SUP_CONTROL!$C$8*(1+SUP_VOLUMEN!$C$27)*AE7</f>
        <v>8400</v>
      </c>
      <c r="AF8" s="298" t="n">
        <f aca="false">SUP_CONTROL!$C$8*(1+SUP_VOLUMEN!$C$27)*AF7</f>
        <v>8400</v>
      </c>
      <c r="AG8" s="298" t="n">
        <f aca="false">SUP_CONTROL!$C$8*(1+SUP_VOLUMEN!$C$27)*AG7</f>
        <v>8400</v>
      </c>
      <c r="AH8" s="298" t="n">
        <f aca="false">SUP_CONTROL!$C$8*(1+SUP_VOLUMEN!$C$27)*AH7</f>
        <v>8400</v>
      </c>
      <c r="AI8" s="298" t="n">
        <f aca="false">SUP_CONTROL!$C$8*(1+SUP_VOLUMEN!$C$27)*AI7</f>
        <v>8400</v>
      </c>
      <c r="AJ8" s="298" t="n">
        <f aca="false">SUP_CONTROL!$C$8*(1+SUP_VOLUMEN!$C$27)*AJ7</f>
        <v>8400</v>
      </c>
      <c r="AK8" s="298" t="n">
        <f aca="false">SUP_CONTROL!$C$8*(1+SUP_VOLUMEN!$C$27)*AK7</f>
        <v>8400</v>
      </c>
      <c r="AL8" s="298" t="n">
        <f aca="false">SUP_CONTROL!$C$8*(1+SUP_VOLUMEN!$C$27)*AL7</f>
        <v>8400</v>
      </c>
      <c r="AM8" s="298" t="n">
        <f aca="false">SUP_CONTROL!$C$8*(1+SUP_VOLUMEN!$C$27)*AM7</f>
        <v>8400</v>
      </c>
      <c r="AN8" s="298" t="n">
        <f aca="false">SUP_CONTROL!$C$8*(1+SUP_VOLUMEN!$C$27)*AN7</f>
        <v>8400</v>
      </c>
      <c r="AO8" s="298" t="n">
        <f aca="false">SUP_CONTROL!$C$8*(1+SUP_VOLUMEN!$C$27)*AO7</f>
        <v>8400</v>
      </c>
      <c r="AP8" s="298" t="n">
        <f aca="false">SUP_CONTROL!$C$8*(1+SUP_VOLUMEN!$C$27)*AP7</f>
        <v>8400</v>
      </c>
      <c r="AQ8" s="298" t="n">
        <f aca="false">SUP_CONTROL!$C$8*(1+SUP_VOLUMEN!$C$27)*AQ7</f>
        <v>8400</v>
      </c>
      <c r="AR8" s="298" t="n">
        <f aca="false">SUP_CONTROL!$C$8*(1+SUP_VOLUMEN!$C$27)*AR7</f>
        <v>8400</v>
      </c>
      <c r="AS8" s="298" t="n">
        <f aca="false">SUP_CONTROL!$C$8*(1+SUP_VOLUMEN!$C$27)*AS7</f>
        <v>8400</v>
      </c>
      <c r="AT8" s="298" t="n">
        <f aca="false">SUP_CONTROL!$C$8*(1+SUP_VOLUMEN!$C$27)*AT7</f>
        <v>8400</v>
      </c>
      <c r="AU8" s="298" t="n">
        <f aca="false">SUP_CONTROL!$C$8*(1+SUP_VOLUMEN!$C$27)*AU7</f>
        <v>8400</v>
      </c>
      <c r="AV8" s="298" t="n">
        <f aca="false">SUP_CONTROL!$C$8*(1+SUP_VOLUMEN!$C$27)*AV7</f>
        <v>8400</v>
      </c>
      <c r="AW8" s="298" t="n">
        <f aca="false">SUP_CONTROL!$C$8*(1+SUP_VOLUMEN!$C$27)*AW7</f>
        <v>8400</v>
      </c>
      <c r="AX8" s="298" t="n">
        <f aca="false">SUP_CONTROL!$C$8*(1+SUP_VOLUMEN!$C$27)*AX7</f>
        <v>8400</v>
      </c>
      <c r="AY8" s="298" t="n">
        <f aca="false">SUP_CONTROL!$C$8*(1+SUP_VOLUMEN!$C$27)*AY7</f>
        <v>8400</v>
      </c>
      <c r="AZ8" s="298" t="n">
        <f aca="false">SUP_CONTROL!$C$8*(1+SUP_VOLUMEN!$C$27)*AZ7</f>
        <v>8400</v>
      </c>
      <c r="BA8" s="298" t="n">
        <f aca="false">SUP_CONTROL!$C$8*(1+SUP_VOLUMEN!$C$27)*BA7</f>
        <v>8400</v>
      </c>
      <c r="BB8" s="298" t="n">
        <f aca="false">SUP_CONTROL!$C$8*(1+SUP_VOLUMEN!$C$27)*BB7</f>
        <v>8400</v>
      </c>
      <c r="BC8" s="298" t="n">
        <f aca="false">SUP_CONTROL!$C$8*(1+SUP_VOLUMEN!$C$27)*BC7</f>
        <v>8400</v>
      </c>
      <c r="BD8" s="298" t="n">
        <f aca="false">SUP_CONTROL!$C$8*(1+SUP_VOLUMEN!$C$27)*BD7</f>
        <v>8400</v>
      </c>
      <c r="BE8" s="298" t="n">
        <f aca="false">SUP_CONTROL!$C$8*(1+SUP_VOLUMEN!$C$27)*BE7</f>
        <v>8400</v>
      </c>
      <c r="BF8" s="298" t="n">
        <f aca="false">SUP_CONTROL!$C$8*(1+SUP_VOLUMEN!$C$27)*BF7</f>
        <v>8400</v>
      </c>
      <c r="BG8" s="298" t="n">
        <f aca="false">SUP_CONTROL!$C$8*(1+SUP_VOLUMEN!$C$27)*BG7</f>
        <v>8400</v>
      </c>
      <c r="BH8" s="298" t="n">
        <f aca="false">SUP_CONTROL!$C$8*(1+SUP_VOLUMEN!$C$27)*BH7</f>
        <v>8400</v>
      </c>
      <c r="BI8" s="298" t="n">
        <f aca="false">SUP_CONTROL!$C$8*(1+SUP_VOLUMEN!$C$27)*BI7</f>
        <v>8400</v>
      </c>
      <c r="BJ8" s="298" t="n">
        <f aca="false">SUP_CONTROL!$C$8*(1+SUP_VOLUMEN!$C$27)*BJ7</f>
        <v>8400</v>
      </c>
      <c r="BK8" s="298" t="n">
        <f aca="false">SUP_CONTROL!$C$8*(1+SUP_VOLUMEN!$C$27)*BK7</f>
        <v>8400</v>
      </c>
      <c r="BL8" s="298" t="n">
        <f aca="false">SUP_CONTROL!$C$8*(1+SUP_VOLUMEN!$C$27)*BL7</f>
        <v>8400</v>
      </c>
      <c r="BM8" s="298" t="n">
        <f aca="false">SUP_CONTROL!$C$8*(1+SUP_VOLUMEN!$C$27)*BM7</f>
        <v>8400</v>
      </c>
      <c r="BN8" s="298" t="n">
        <f aca="false">SUP_CONTROL!$C$8*(1+SUP_VOLUMEN!$C$27)*BN7</f>
        <v>8400</v>
      </c>
      <c r="BO8" s="298" t="n">
        <f aca="false">SUP_CONTROL!$C$8*(1+SUP_VOLUMEN!$C$27)*BO7</f>
        <v>8400</v>
      </c>
      <c r="BP8" s="298" t="n">
        <f aca="false">SUP_CONTROL!$C$8*(1+SUP_VOLUMEN!$C$27)*BP7</f>
        <v>8400</v>
      </c>
      <c r="BQ8" s="298" t="n">
        <f aca="false">SUP_CONTROL!$C$8*(1+SUP_VOLUMEN!$C$27)*BQ7</f>
        <v>8400</v>
      </c>
      <c r="BR8" s="298" t="n">
        <f aca="false">SUP_CONTROL!$C$8*(1+SUP_VOLUMEN!$C$27)*BR7</f>
        <v>8400</v>
      </c>
      <c r="BS8" s="298" t="n">
        <f aca="false">SUP_CONTROL!$C$8*(1+SUP_VOLUMEN!$C$27)*BS7</f>
        <v>8400</v>
      </c>
      <c r="BT8" s="298" t="n">
        <f aca="false">SUP_CONTROL!$C$8*(1+SUP_VOLUMEN!$C$27)*BT7</f>
        <v>8400</v>
      </c>
      <c r="BU8" s="298" t="n">
        <f aca="false">SUP_CONTROL!$C$8*(1+SUP_VOLUMEN!$C$27)*BU7</f>
        <v>8400</v>
      </c>
      <c r="BV8" s="298" t="n">
        <f aca="false">SUP_CONTROL!$C$8*(1+SUP_VOLUMEN!$C$27)*BV7</f>
        <v>8400</v>
      </c>
      <c r="BW8" s="298" t="n">
        <f aca="false">SUP_CONTROL!$C$8*(1+SUP_VOLUMEN!$C$27)*BW7</f>
        <v>8400</v>
      </c>
      <c r="BX8" s="298" t="n">
        <f aca="false">SUP_CONTROL!$C$8*(1+SUP_VOLUMEN!$C$27)*BX7</f>
        <v>8400</v>
      </c>
      <c r="BY8" s="298" t="n">
        <f aca="false">SUP_CONTROL!$C$8*(1+SUP_VOLUMEN!$C$27)*BY7</f>
        <v>8400</v>
      </c>
      <c r="BZ8" s="298" t="n">
        <f aca="false">SUP_CONTROL!$C$8*(1+SUP_VOLUMEN!$C$27)*BZ7</f>
        <v>8400</v>
      </c>
      <c r="CA8" s="298" t="n">
        <f aca="false">SUP_CONTROL!$C$8*(1+SUP_VOLUMEN!$C$27)*CA7</f>
        <v>8400</v>
      </c>
      <c r="CB8" s="298" t="n">
        <f aca="false">SUP_CONTROL!$C$8*(1+SUP_VOLUMEN!$C$27)*CB7</f>
        <v>8400</v>
      </c>
      <c r="CC8" s="298" t="n">
        <f aca="false">SUP_CONTROL!$C$8*(1+SUP_VOLUMEN!$C$27)*CC7</f>
        <v>8400</v>
      </c>
      <c r="CD8" s="298" t="n">
        <f aca="false">SUP_CONTROL!$C$8*(1+SUP_VOLUMEN!$C$27)*CD7</f>
        <v>8400</v>
      </c>
      <c r="CE8" s="298" t="n">
        <f aca="false">SUP_CONTROL!$C$8*(1+SUP_VOLUMEN!$C$27)*CE7</f>
        <v>8400</v>
      </c>
      <c r="CF8" s="298" t="n">
        <f aca="false">SUP_CONTROL!$C$8*(1+SUP_VOLUMEN!$C$27)*CF7</f>
        <v>8400</v>
      </c>
      <c r="CG8" s="298" t="n">
        <f aca="false">SUP_CONTROL!$C$8*(1+SUP_VOLUMEN!$C$27)*CG7</f>
        <v>8400</v>
      </c>
      <c r="CH8" s="298" t="n">
        <f aca="false">SUP_CONTROL!$C$8*(1+SUP_VOLUMEN!$C$27)*CH7</f>
        <v>8400</v>
      </c>
      <c r="CI8" s="298" t="n">
        <f aca="false">SUP_CONTROL!$C$8*(1+SUP_VOLUMEN!$C$27)*CI7</f>
        <v>8400</v>
      </c>
      <c r="CJ8" s="298" t="n">
        <f aca="false">SUP_CONTROL!$C$8*(1+SUP_VOLUMEN!$C$27)*CJ7</f>
        <v>8400</v>
      </c>
      <c r="CK8" s="298" t="n">
        <f aca="false">SUP_CONTROL!$C$8*(1+SUP_VOLUMEN!$C$27)*CK7</f>
        <v>8400</v>
      </c>
      <c r="CL8" s="298" t="n">
        <f aca="false">SUP_CONTROL!$C$8*(1+SUP_VOLUMEN!$C$27)*CL7</f>
        <v>8400</v>
      </c>
      <c r="CM8" s="298" t="n">
        <f aca="false">SUP_CONTROL!$C$8*(1+SUP_VOLUMEN!$C$27)*CM7</f>
        <v>8400</v>
      </c>
      <c r="CN8" s="298" t="n">
        <f aca="false">SUP_CONTROL!$C$8*(1+SUP_VOLUMEN!$C$27)*CN7</f>
        <v>8400</v>
      </c>
      <c r="CO8" s="298" t="n">
        <f aca="false">SUP_CONTROL!$C$8*(1+SUP_VOLUMEN!$C$27)*CO7</f>
        <v>8400</v>
      </c>
      <c r="CP8" s="298" t="n">
        <f aca="false">SUP_CONTROL!$C$8*(1+SUP_VOLUMEN!$C$27)*CP7</f>
        <v>8400</v>
      </c>
      <c r="CQ8" s="298" t="n">
        <f aca="false">SUP_CONTROL!$C$8*(1+SUP_VOLUMEN!$C$27)*CQ7</f>
        <v>8400</v>
      </c>
      <c r="CR8" s="298" t="n">
        <f aca="false">SUP_CONTROL!$C$8*(1+SUP_VOLUMEN!$C$27)*CR7</f>
        <v>8400</v>
      </c>
      <c r="CS8" s="298" t="n">
        <f aca="false">SUP_CONTROL!$C$8*(1+SUP_VOLUMEN!$C$27)*CS7</f>
        <v>8400</v>
      </c>
      <c r="CT8" s="298" t="n">
        <f aca="false">SUP_CONTROL!$C$8*(1+SUP_VOLUMEN!$C$27)*CT7</f>
        <v>8400</v>
      </c>
      <c r="CU8" s="298" t="n">
        <f aca="false">SUP_CONTROL!$C$8*(1+SUP_VOLUMEN!$C$27)*CU7</f>
        <v>8400</v>
      </c>
      <c r="CV8" s="298" t="n">
        <f aca="false">SUP_CONTROL!$C$8*(1+SUP_VOLUMEN!$C$27)*CV7</f>
        <v>8400</v>
      </c>
      <c r="CW8" s="298" t="n">
        <f aca="false">SUP_CONTROL!$C$8*(1+SUP_VOLUMEN!$C$27)*CW7</f>
        <v>8400</v>
      </c>
      <c r="CX8" s="298" t="n">
        <f aca="false">SUP_CONTROL!$C$8*(1+SUP_VOLUMEN!$C$27)*CX7</f>
        <v>8400</v>
      </c>
      <c r="CY8" s="298" t="n">
        <f aca="false">SUP_CONTROL!$C$8*(1+SUP_VOLUMEN!$C$27)*CY7</f>
        <v>8400</v>
      </c>
      <c r="CZ8" s="298" t="n">
        <f aca="false">SUP_CONTROL!$C$8*(1+SUP_VOLUMEN!$C$27)*CZ7</f>
        <v>8400</v>
      </c>
      <c r="DA8" s="298" t="n">
        <f aca="false">SUP_CONTROL!$C$8*(1+SUP_VOLUMEN!$C$27)*DA7</f>
        <v>8400</v>
      </c>
      <c r="DB8" s="298" t="n">
        <f aca="false">SUP_CONTROL!$C$8*(1+SUP_VOLUMEN!$C$27)*DB7</f>
        <v>8400</v>
      </c>
      <c r="DC8" s="298" t="n">
        <f aca="false">SUP_CONTROL!$C$8*(1+SUP_VOLUMEN!$C$27)*DC7</f>
        <v>8400</v>
      </c>
      <c r="DD8" s="298" t="n">
        <f aca="false">SUP_CONTROL!$C$8*(1+SUP_VOLUMEN!$C$27)*DD7</f>
        <v>8400</v>
      </c>
      <c r="DE8" s="298" t="n">
        <f aca="false">SUP_CONTROL!$C$8*(1+SUP_VOLUMEN!$C$27)*DE7</f>
        <v>8400</v>
      </c>
      <c r="DF8" s="298" t="n">
        <f aca="false">SUP_CONTROL!$C$8*(1+SUP_VOLUMEN!$C$27)*DF7</f>
        <v>8400</v>
      </c>
      <c r="DG8" s="298" t="n">
        <f aca="false">SUP_CONTROL!$C$8*(1+SUP_VOLUMEN!$C$27)*DG7</f>
        <v>8400</v>
      </c>
      <c r="DH8" s="298" t="n">
        <f aca="false">SUP_CONTROL!$C$8*(1+SUP_VOLUMEN!$C$27)*DH7</f>
        <v>8400</v>
      </c>
      <c r="DI8" s="298" t="n">
        <f aca="false">SUP_CONTROL!$C$8*(1+SUP_VOLUMEN!$C$27)*DI7</f>
        <v>8400</v>
      </c>
      <c r="DJ8" s="298" t="n">
        <f aca="false">SUP_CONTROL!$C$8*(1+SUP_VOLUMEN!$C$27)*DJ7</f>
        <v>8400</v>
      </c>
      <c r="DK8" s="298" t="n">
        <f aca="false">SUP_CONTROL!$C$8*(1+SUP_VOLUMEN!$C$27)*DK7</f>
        <v>8400</v>
      </c>
      <c r="DL8" s="298" t="n">
        <f aca="false">SUP_CONTROL!$C$8*(1+SUP_VOLUMEN!$C$27)*DL7</f>
        <v>8400</v>
      </c>
      <c r="DM8" s="298" t="n">
        <f aca="false">SUP_CONTROL!$C$8*(1+SUP_VOLUMEN!$C$27)*DM7</f>
        <v>8400</v>
      </c>
      <c r="DN8" s="298" t="n">
        <f aca="false">SUP_CONTROL!$C$8*(1+SUP_VOLUMEN!$C$27)*DN7</f>
        <v>8400</v>
      </c>
      <c r="DO8" s="298" t="n">
        <f aca="false">SUP_CONTROL!$C$8*(1+SUP_VOLUMEN!$C$27)*DO7</f>
        <v>8400</v>
      </c>
      <c r="DP8" s="298" t="n">
        <f aca="false">SUP_CONTROL!$C$8*(1+SUP_VOLUMEN!$C$27)*DP7</f>
        <v>8400</v>
      </c>
      <c r="DQ8" s="298" t="n">
        <f aca="false">SUP_CONTROL!$C$8*(1+SUP_VOLUMEN!$C$27)*DQ7</f>
        <v>8400</v>
      </c>
      <c r="DR8" s="298" t="n">
        <f aca="false">SUP_CONTROL!$C$8*(1+SUP_VOLUMEN!$C$27)*DR7</f>
        <v>8400</v>
      </c>
      <c r="DS8" s="298" t="n">
        <f aca="false">SUP_CONTROL!$C$8*(1+SUP_VOLUMEN!$C$27)*DS7</f>
        <v>8400</v>
      </c>
    </row>
    <row r="9" customFormat="false" ht="15" hidden="false" customHeight="true" outlineLevel="0" collapsed="false">
      <c r="B9" s="297" t="s">
        <v>3452</v>
      </c>
      <c r="D9" s="273" t="n">
        <f aca="false">D8*SUP_CONTROL!$C$26</f>
        <v>0</v>
      </c>
      <c r="E9" s="273" t="n">
        <f aca="false">E8*SUP_CONTROL!$C$26</f>
        <v>0</v>
      </c>
      <c r="F9" s="273" t="n">
        <f aca="false">F8*SUP_CONTROL!$C$26</f>
        <v>0</v>
      </c>
      <c r="G9" s="273" t="n">
        <f aca="false">G8*SUP_CONTROL!$C$26</f>
        <v>0</v>
      </c>
      <c r="H9" s="273" t="n">
        <f aca="false">H8*SUP_CONTROL!$C$26</f>
        <v>0</v>
      </c>
      <c r="I9" s="273" t="n">
        <f aca="false">I8*SUP_CONTROL!$C$26</f>
        <v>0</v>
      </c>
      <c r="J9" s="273" t="n">
        <f aca="false">J8*SUP_CONTROL!$C$26</f>
        <v>75993.6651800203</v>
      </c>
      <c r="K9" s="273" t="n">
        <f aca="false">K8*SUP_CONTROL!$C$26</f>
        <v>92278.0220043104</v>
      </c>
      <c r="L9" s="273" t="n">
        <f aca="false">L8*SUP_CONTROL!$C$26</f>
        <v>108562.3788286</v>
      </c>
      <c r="M9" s="273" t="n">
        <f aca="false">M8*SUP_CONTROL!$C$26</f>
        <v>108562.3788286</v>
      </c>
      <c r="N9" s="273" t="n">
        <f aca="false">N8*SUP_CONTROL!$C$26</f>
        <v>108562.3788286</v>
      </c>
      <c r="O9" s="273" t="n">
        <f aca="false">O8*SUP_CONTROL!$C$26</f>
        <v>108562.3788286</v>
      </c>
      <c r="P9" s="273" t="n">
        <f aca="false">P8*SUP_CONTROL!$C$26</f>
        <v>108562.3788286</v>
      </c>
      <c r="Q9" s="273" t="n">
        <f aca="false">Q8*SUP_CONTROL!$C$26</f>
        <v>108562.3788286</v>
      </c>
      <c r="R9" s="273" t="n">
        <f aca="false">R8*SUP_CONTROL!$C$26</f>
        <v>108562.3788286</v>
      </c>
      <c r="S9" s="273" t="n">
        <f aca="false">S8*SUP_CONTROL!$C$26</f>
        <v>108562.3788286</v>
      </c>
      <c r="T9" s="273" t="n">
        <f aca="false">T8*SUP_CONTROL!$C$26</f>
        <v>108562.3788286</v>
      </c>
      <c r="U9" s="273" t="n">
        <f aca="false">U8*SUP_CONTROL!$C$26</f>
        <v>108562.3788286</v>
      </c>
      <c r="V9" s="273" t="n">
        <f aca="false">V8*SUP_CONTROL!$C$26</f>
        <v>108562.3788286</v>
      </c>
      <c r="W9" s="273" t="n">
        <f aca="false">W8*SUP_CONTROL!$C$26</f>
        <v>108562.3788286</v>
      </c>
      <c r="X9" s="273" t="n">
        <f aca="false">X8*SUP_CONTROL!$C$26</f>
        <v>108562.3788286</v>
      </c>
      <c r="Y9" s="273" t="n">
        <f aca="false">Y8*SUP_CONTROL!$C$26</f>
        <v>108562.3788286</v>
      </c>
      <c r="Z9" s="273" t="n">
        <f aca="false">Z8*SUP_CONTROL!$C$26</f>
        <v>108562.3788286</v>
      </c>
      <c r="AA9" s="273" t="n">
        <f aca="false">AA8*SUP_CONTROL!$C$26</f>
        <v>108562.3788286</v>
      </c>
      <c r="AB9" s="273" t="n">
        <f aca="false">AB8*SUP_CONTROL!$C$26</f>
        <v>108562.3788286</v>
      </c>
      <c r="AC9" s="273" t="n">
        <f aca="false">AC8*SUP_CONTROL!$C$26</f>
        <v>108562.3788286</v>
      </c>
      <c r="AD9" s="273" t="n">
        <f aca="false">AD8*SUP_CONTROL!$C$26</f>
        <v>108562.3788286</v>
      </c>
      <c r="AE9" s="273" t="n">
        <f aca="false">AE8*SUP_CONTROL!$C$26</f>
        <v>108562.3788286</v>
      </c>
      <c r="AF9" s="273" t="n">
        <f aca="false">AF8*SUP_CONTROL!$C$26</f>
        <v>108562.3788286</v>
      </c>
      <c r="AG9" s="273" t="n">
        <f aca="false">AG8*SUP_CONTROL!$C$26</f>
        <v>108562.3788286</v>
      </c>
      <c r="AH9" s="273" t="n">
        <f aca="false">AH8*SUP_CONTROL!$C$26</f>
        <v>108562.3788286</v>
      </c>
      <c r="AI9" s="273" t="n">
        <f aca="false">AI8*SUP_CONTROL!$C$26</f>
        <v>108562.3788286</v>
      </c>
      <c r="AJ9" s="273" t="n">
        <f aca="false">AJ8*SUP_CONTROL!$C$26</f>
        <v>108562.3788286</v>
      </c>
      <c r="AK9" s="273" t="n">
        <f aca="false">AK8*SUP_CONTROL!$C$26</f>
        <v>108562.3788286</v>
      </c>
      <c r="AL9" s="273" t="n">
        <f aca="false">AL8*SUP_CONTROL!$C$26</f>
        <v>108562.3788286</v>
      </c>
      <c r="AM9" s="273" t="n">
        <f aca="false">AM8*SUP_CONTROL!$C$26</f>
        <v>108562.3788286</v>
      </c>
      <c r="AN9" s="273" t="n">
        <f aca="false">AN8*SUP_CONTROL!$C$26</f>
        <v>108562.3788286</v>
      </c>
      <c r="AO9" s="273" t="n">
        <f aca="false">AO8*SUP_CONTROL!$C$26</f>
        <v>108562.3788286</v>
      </c>
      <c r="AP9" s="273" t="n">
        <f aca="false">AP8*SUP_CONTROL!$C$26</f>
        <v>108562.3788286</v>
      </c>
      <c r="AQ9" s="273" t="n">
        <f aca="false">AQ8*SUP_CONTROL!$C$26</f>
        <v>108562.3788286</v>
      </c>
      <c r="AR9" s="273" t="n">
        <f aca="false">AR8*SUP_CONTROL!$C$26</f>
        <v>108562.3788286</v>
      </c>
      <c r="AS9" s="273" t="n">
        <f aca="false">AS8*SUP_CONTROL!$C$26</f>
        <v>108562.3788286</v>
      </c>
      <c r="AT9" s="273" t="n">
        <f aca="false">AT8*SUP_CONTROL!$C$26</f>
        <v>108562.3788286</v>
      </c>
      <c r="AU9" s="273" t="n">
        <f aca="false">AU8*SUP_CONTROL!$C$26</f>
        <v>108562.3788286</v>
      </c>
      <c r="AV9" s="273" t="n">
        <f aca="false">AV8*SUP_CONTROL!$C$26</f>
        <v>108562.3788286</v>
      </c>
      <c r="AW9" s="273" t="n">
        <f aca="false">AW8*SUP_CONTROL!$C$26</f>
        <v>108562.3788286</v>
      </c>
      <c r="AX9" s="273" t="n">
        <f aca="false">AX8*SUP_CONTROL!$C$26</f>
        <v>108562.3788286</v>
      </c>
      <c r="AY9" s="273" t="n">
        <f aca="false">AY8*SUP_CONTROL!$C$26</f>
        <v>108562.3788286</v>
      </c>
      <c r="AZ9" s="273" t="n">
        <f aca="false">AZ8*SUP_CONTROL!$C$26</f>
        <v>108562.3788286</v>
      </c>
      <c r="BA9" s="273" t="n">
        <f aca="false">BA8*SUP_CONTROL!$C$26</f>
        <v>108562.3788286</v>
      </c>
      <c r="BB9" s="273" t="n">
        <f aca="false">BB8*SUP_CONTROL!$C$26</f>
        <v>108562.3788286</v>
      </c>
      <c r="BC9" s="273" t="n">
        <f aca="false">BC8*SUP_CONTROL!$C$26</f>
        <v>108562.3788286</v>
      </c>
      <c r="BD9" s="273" t="n">
        <f aca="false">BD8*SUP_CONTROL!$C$26</f>
        <v>108562.3788286</v>
      </c>
      <c r="BE9" s="273" t="n">
        <f aca="false">BE8*SUP_CONTROL!$C$26</f>
        <v>108562.3788286</v>
      </c>
      <c r="BF9" s="273" t="n">
        <f aca="false">BF8*SUP_CONTROL!$C$26</f>
        <v>108562.3788286</v>
      </c>
      <c r="BG9" s="273" t="n">
        <f aca="false">BG8*SUP_CONTROL!$C$26</f>
        <v>108562.3788286</v>
      </c>
      <c r="BH9" s="273" t="n">
        <f aca="false">BH8*SUP_CONTROL!$C$26</f>
        <v>108562.3788286</v>
      </c>
      <c r="BI9" s="273" t="n">
        <f aca="false">BI8*SUP_CONTROL!$C$26</f>
        <v>108562.3788286</v>
      </c>
      <c r="BJ9" s="273" t="n">
        <f aca="false">BJ8*SUP_CONTROL!$C$26</f>
        <v>108562.3788286</v>
      </c>
      <c r="BK9" s="273" t="n">
        <f aca="false">BK8*SUP_CONTROL!$C$26</f>
        <v>108562.3788286</v>
      </c>
      <c r="BL9" s="273" t="n">
        <f aca="false">BL8*SUP_CONTROL!$C$26</f>
        <v>108562.3788286</v>
      </c>
      <c r="BM9" s="273" t="n">
        <f aca="false">BM8*SUP_CONTROL!$C$26</f>
        <v>108562.3788286</v>
      </c>
      <c r="BN9" s="273" t="n">
        <f aca="false">BN8*SUP_CONTROL!$C$26</f>
        <v>108562.3788286</v>
      </c>
      <c r="BO9" s="273" t="n">
        <f aca="false">BO8*SUP_CONTROL!$C$26</f>
        <v>108562.3788286</v>
      </c>
      <c r="BP9" s="273" t="n">
        <f aca="false">BP8*SUP_CONTROL!$C$26</f>
        <v>108562.3788286</v>
      </c>
      <c r="BQ9" s="273" t="n">
        <f aca="false">BQ8*SUP_CONTROL!$C$26</f>
        <v>108562.3788286</v>
      </c>
      <c r="BR9" s="273" t="n">
        <f aca="false">BR8*SUP_CONTROL!$C$26</f>
        <v>108562.3788286</v>
      </c>
      <c r="BS9" s="273" t="n">
        <f aca="false">BS8*SUP_CONTROL!$C$26</f>
        <v>108562.3788286</v>
      </c>
      <c r="BT9" s="273" t="n">
        <f aca="false">BT8*SUP_CONTROL!$C$26</f>
        <v>108562.3788286</v>
      </c>
      <c r="BU9" s="273" t="n">
        <f aca="false">BU8*SUP_CONTROL!$C$26</f>
        <v>108562.3788286</v>
      </c>
      <c r="BV9" s="273" t="n">
        <f aca="false">BV8*SUP_CONTROL!$C$26</f>
        <v>108562.3788286</v>
      </c>
      <c r="BW9" s="273" t="n">
        <f aca="false">BW8*SUP_CONTROL!$C$26</f>
        <v>108562.3788286</v>
      </c>
      <c r="BX9" s="273" t="n">
        <f aca="false">BX8*SUP_CONTROL!$C$26</f>
        <v>108562.3788286</v>
      </c>
      <c r="BY9" s="273" t="n">
        <f aca="false">BY8*SUP_CONTROL!$C$26</f>
        <v>108562.3788286</v>
      </c>
      <c r="BZ9" s="273" t="n">
        <f aca="false">BZ8*SUP_CONTROL!$C$26</f>
        <v>108562.3788286</v>
      </c>
      <c r="CA9" s="273" t="n">
        <f aca="false">CA8*SUP_CONTROL!$C$26</f>
        <v>108562.3788286</v>
      </c>
      <c r="CB9" s="273" t="n">
        <f aca="false">CB8*SUP_CONTROL!$C$26</f>
        <v>108562.3788286</v>
      </c>
      <c r="CC9" s="273" t="n">
        <f aca="false">CC8*SUP_CONTROL!$C$26</f>
        <v>108562.3788286</v>
      </c>
      <c r="CD9" s="273" t="n">
        <f aca="false">CD8*SUP_CONTROL!$C$26</f>
        <v>108562.3788286</v>
      </c>
      <c r="CE9" s="273" t="n">
        <f aca="false">CE8*SUP_CONTROL!$C$26</f>
        <v>108562.3788286</v>
      </c>
      <c r="CF9" s="273" t="n">
        <f aca="false">CF8*SUP_CONTROL!$C$26</f>
        <v>108562.3788286</v>
      </c>
      <c r="CG9" s="273" t="n">
        <f aca="false">CG8*SUP_CONTROL!$C$26</f>
        <v>108562.3788286</v>
      </c>
      <c r="CH9" s="273" t="n">
        <f aca="false">CH8*SUP_CONTROL!$C$26</f>
        <v>108562.3788286</v>
      </c>
      <c r="CI9" s="273" t="n">
        <f aca="false">CI8*SUP_CONTROL!$C$26</f>
        <v>108562.3788286</v>
      </c>
      <c r="CJ9" s="273" t="n">
        <f aca="false">CJ8*SUP_CONTROL!$C$26</f>
        <v>108562.3788286</v>
      </c>
      <c r="CK9" s="273" t="n">
        <f aca="false">CK8*SUP_CONTROL!$C$26</f>
        <v>108562.3788286</v>
      </c>
      <c r="CL9" s="273" t="n">
        <f aca="false">CL8*SUP_CONTROL!$C$26</f>
        <v>108562.3788286</v>
      </c>
      <c r="CM9" s="273" t="n">
        <f aca="false">CM8*SUP_CONTROL!$C$26</f>
        <v>108562.3788286</v>
      </c>
      <c r="CN9" s="273" t="n">
        <f aca="false">CN8*SUP_CONTROL!$C$26</f>
        <v>108562.3788286</v>
      </c>
      <c r="CO9" s="273" t="n">
        <f aca="false">CO8*SUP_CONTROL!$C$26</f>
        <v>108562.3788286</v>
      </c>
      <c r="CP9" s="273" t="n">
        <f aca="false">CP8*SUP_CONTROL!$C$26</f>
        <v>108562.3788286</v>
      </c>
      <c r="CQ9" s="273" t="n">
        <f aca="false">CQ8*SUP_CONTROL!$C$26</f>
        <v>108562.3788286</v>
      </c>
      <c r="CR9" s="273" t="n">
        <f aca="false">CR8*SUP_CONTROL!$C$26</f>
        <v>108562.3788286</v>
      </c>
      <c r="CS9" s="273" t="n">
        <f aca="false">CS8*SUP_CONTROL!$C$26</f>
        <v>108562.3788286</v>
      </c>
      <c r="CT9" s="273" t="n">
        <f aca="false">CT8*SUP_CONTROL!$C$26</f>
        <v>108562.3788286</v>
      </c>
      <c r="CU9" s="273" t="n">
        <f aca="false">CU8*SUP_CONTROL!$C$26</f>
        <v>108562.3788286</v>
      </c>
      <c r="CV9" s="273" t="n">
        <f aca="false">CV8*SUP_CONTROL!$C$26</f>
        <v>108562.3788286</v>
      </c>
      <c r="CW9" s="273" t="n">
        <f aca="false">CW8*SUP_CONTROL!$C$26</f>
        <v>108562.3788286</v>
      </c>
      <c r="CX9" s="273" t="n">
        <f aca="false">CX8*SUP_CONTROL!$C$26</f>
        <v>108562.3788286</v>
      </c>
      <c r="CY9" s="273" t="n">
        <f aca="false">CY8*SUP_CONTROL!$C$26</f>
        <v>108562.3788286</v>
      </c>
      <c r="CZ9" s="273" t="n">
        <f aca="false">CZ8*SUP_CONTROL!$C$26</f>
        <v>108562.3788286</v>
      </c>
      <c r="DA9" s="273" t="n">
        <f aca="false">DA8*SUP_CONTROL!$C$26</f>
        <v>108562.3788286</v>
      </c>
      <c r="DB9" s="273" t="n">
        <f aca="false">DB8*SUP_CONTROL!$C$26</f>
        <v>108562.3788286</v>
      </c>
      <c r="DC9" s="273" t="n">
        <f aca="false">DC8*SUP_CONTROL!$C$26</f>
        <v>108562.3788286</v>
      </c>
      <c r="DD9" s="273" t="n">
        <f aca="false">DD8*SUP_CONTROL!$C$26</f>
        <v>108562.3788286</v>
      </c>
      <c r="DE9" s="273" t="n">
        <f aca="false">DE8*SUP_CONTROL!$C$26</f>
        <v>108562.3788286</v>
      </c>
      <c r="DF9" s="273" t="n">
        <f aca="false">DF8*SUP_CONTROL!$C$26</f>
        <v>108562.3788286</v>
      </c>
      <c r="DG9" s="273" t="n">
        <f aca="false">DG8*SUP_CONTROL!$C$26</f>
        <v>108562.3788286</v>
      </c>
      <c r="DH9" s="273" t="n">
        <f aca="false">DH8*SUP_CONTROL!$C$26</f>
        <v>108562.3788286</v>
      </c>
      <c r="DI9" s="273" t="n">
        <f aca="false">DI8*SUP_CONTROL!$C$26</f>
        <v>108562.3788286</v>
      </c>
      <c r="DJ9" s="273" t="n">
        <f aca="false">DJ8*SUP_CONTROL!$C$26</f>
        <v>108562.3788286</v>
      </c>
      <c r="DK9" s="273" t="n">
        <f aca="false">DK8*SUP_CONTROL!$C$26</f>
        <v>108562.3788286</v>
      </c>
      <c r="DL9" s="273" t="n">
        <f aca="false">DL8*SUP_CONTROL!$C$26</f>
        <v>108562.3788286</v>
      </c>
      <c r="DM9" s="273" t="n">
        <f aca="false">DM8*SUP_CONTROL!$C$26</f>
        <v>108562.3788286</v>
      </c>
      <c r="DN9" s="273" t="n">
        <f aca="false">DN8*SUP_CONTROL!$C$26</f>
        <v>108562.3788286</v>
      </c>
      <c r="DO9" s="273" t="n">
        <f aca="false">DO8*SUP_CONTROL!$C$26</f>
        <v>108562.3788286</v>
      </c>
      <c r="DP9" s="273" t="n">
        <f aca="false">DP8*SUP_CONTROL!$C$26</f>
        <v>108562.3788286</v>
      </c>
      <c r="DQ9" s="273" t="n">
        <f aca="false">DQ8*SUP_CONTROL!$C$26</f>
        <v>108562.3788286</v>
      </c>
      <c r="DR9" s="273" t="n">
        <f aca="false">DR8*SUP_CONTROL!$C$26</f>
        <v>108562.3788286</v>
      </c>
      <c r="DS9" s="273" t="n">
        <f aca="false">DS8*SUP_CONTROL!$C$26</f>
        <v>108562.3788286</v>
      </c>
    </row>
    <row r="10" customFormat="false" ht="15" hidden="false" customHeight="true" outlineLevel="0" collapsed="false">
      <c r="B10" s="297" t="s">
        <v>3453</v>
      </c>
      <c r="D10" s="273" t="n">
        <f aca="false">D9*SUP_CONTROL!$C$37</f>
        <v>0</v>
      </c>
      <c r="E10" s="273" t="n">
        <f aca="false">E9*SUP_CONTROL!$C$37</f>
        <v>0</v>
      </c>
      <c r="F10" s="273" t="n">
        <f aca="false">F9*SUP_CONTROL!$C$37</f>
        <v>0</v>
      </c>
      <c r="G10" s="273" t="n">
        <f aca="false">G9*SUP_CONTROL!$C$37</f>
        <v>0</v>
      </c>
      <c r="H10" s="273" t="n">
        <f aca="false">H9*SUP_CONTROL!$C$37</f>
        <v>0</v>
      </c>
      <c r="I10" s="273" t="n">
        <f aca="false">I9*SUP_CONTROL!$C$37</f>
        <v>0</v>
      </c>
      <c r="J10" s="273" t="n">
        <f aca="false">J9*SUP_CONTROL!$C$37</f>
        <v>3799.68325900102</v>
      </c>
      <c r="K10" s="273" t="n">
        <f aca="false">K9*SUP_CONTROL!$C$37</f>
        <v>4613.90110021552</v>
      </c>
      <c r="L10" s="273" t="n">
        <f aca="false">L9*SUP_CONTROL!$C$37</f>
        <v>5428.11894143002</v>
      </c>
      <c r="M10" s="273" t="n">
        <f aca="false">M9*SUP_CONTROL!$C$37</f>
        <v>5428.11894143002</v>
      </c>
      <c r="N10" s="273" t="n">
        <f aca="false">N9*SUP_CONTROL!$C$37</f>
        <v>5428.11894143002</v>
      </c>
      <c r="O10" s="273" t="n">
        <f aca="false">O9*SUP_CONTROL!$C$37</f>
        <v>5428.11894143002</v>
      </c>
      <c r="P10" s="273" t="n">
        <f aca="false">P9*SUP_CONTROL!$C$37</f>
        <v>5428.11894143002</v>
      </c>
      <c r="Q10" s="273" t="n">
        <f aca="false">Q9*SUP_CONTROL!$C$37</f>
        <v>5428.11894143002</v>
      </c>
      <c r="R10" s="273" t="n">
        <f aca="false">R9*SUP_CONTROL!$C$37</f>
        <v>5428.11894143002</v>
      </c>
      <c r="S10" s="273" t="n">
        <f aca="false">S9*SUP_CONTROL!$C$37</f>
        <v>5428.11894143002</v>
      </c>
      <c r="T10" s="273" t="n">
        <f aca="false">T9*SUP_CONTROL!$C$37</f>
        <v>5428.11894143002</v>
      </c>
      <c r="U10" s="273" t="n">
        <f aca="false">U9*SUP_CONTROL!$C$37</f>
        <v>5428.11894143002</v>
      </c>
      <c r="V10" s="273" t="n">
        <f aca="false">V9*SUP_CONTROL!$C$37</f>
        <v>5428.11894143002</v>
      </c>
      <c r="W10" s="273" t="n">
        <f aca="false">W9*SUP_CONTROL!$C$37</f>
        <v>5428.11894143002</v>
      </c>
      <c r="X10" s="273" t="n">
        <f aca="false">X9*SUP_CONTROL!$C$37</f>
        <v>5428.11894143002</v>
      </c>
      <c r="Y10" s="273" t="n">
        <f aca="false">Y9*SUP_CONTROL!$C$37</f>
        <v>5428.11894143002</v>
      </c>
      <c r="Z10" s="273" t="n">
        <f aca="false">Z9*SUP_CONTROL!$C$37</f>
        <v>5428.11894143002</v>
      </c>
      <c r="AA10" s="273" t="n">
        <f aca="false">AA9*SUP_CONTROL!$C$37</f>
        <v>5428.11894143002</v>
      </c>
      <c r="AB10" s="273" t="n">
        <f aca="false">AB9*SUP_CONTROL!$C$37</f>
        <v>5428.11894143002</v>
      </c>
      <c r="AC10" s="273" t="n">
        <f aca="false">AC9*SUP_CONTROL!$C$37</f>
        <v>5428.11894143002</v>
      </c>
      <c r="AD10" s="273" t="n">
        <f aca="false">AD9*SUP_CONTROL!$C$37</f>
        <v>5428.11894143002</v>
      </c>
      <c r="AE10" s="273" t="n">
        <f aca="false">AE9*SUP_CONTROL!$C$37</f>
        <v>5428.11894143002</v>
      </c>
      <c r="AF10" s="273" t="n">
        <f aca="false">AF9*SUP_CONTROL!$C$37</f>
        <v>5428.11894143002</v>
      </c>
      <c r="AG10" s="273" t="n">
        <f aca="false">AG9*SUP_CONTROL!$C$37</f>
        <v>5428.11894143002</v>
      </c>
      <c r="AH10" s="273" t="n">
        <f aca="false">AH9*SUP_CONTROL!$C$37</f>
        <v>5428.11894143002</v>
      </c>
      <c r="AI10" s="273" t="n">
        <f aca="false">AI9*SUP_CONTROL!$C$37</f>
        <v>5428.11894143002</v>
      </c>
      <c r="AJ10" s="273" t="n">
        <f aca="false">AJ9*SUP_CONTROL!$C$37</f>
        <v>5428.11894143002</v>
      </c>
      <c r="AK10" s="273" t="n">
        <f aca="false">AK9*SUP_CONTROL!$C$37</f>
        <v>5428.11894143002</v>
      </c>
      <c r="AL10" s="273" t="n">
        <f aca="false">AL9*SUP_CONTROL!$C$37</f>
        <v>5428.11894143002</v>
      </c>
      <c r="AM10" s="273" t="n">
        <f aca="false">AM9*SUP_CONTROL!$C$37</f>
        <v>5428.11894143002</v>
      </c>
      <c r="AN10" s="273" t="n">
        <f aca="false">AN9*SUP_CONTROL!$C$37</f>
        <v>5428.11894143002</v>
      </c>
      <c r="AO10" s="273" t="n">
        <f aca="false">AO9*SUP_CONTROL!$C$37</f>
        <v>5428.11894143002</v>
      </c>
      <c r="AP10" s="273" t="n">
        <f aca="false">AP9*SUP_CONTROL!$C$37</f>
        <v>5428.11894143002</v>
      </c>
      <c r="AQ10" s="273" t="n">
        <f aca="false">AQ9*SUP_CONTROL!$C$37</f>
        <v>5428.11894143002</v>
      </c>
      <c r="AR10" s="273" t="n">
        <f aca="false">AR9*SUP_CONTROL!$C$37</f>
        <v>5428.11894143002</v>
      </c>
      <c r="AS10" s="273" t="n">
        <f aca="false">AS9*SUP_CONTROL!$C$37</f>
        <v>5428.11894143002</v>
      </c>
      <c r="AT10" s="273" t="n">
        <f aca="false">AT9*SUP_CONTROL!$C$37</f>
        <v>5428.11894143002</v>
      </c>
      <c r="AU10" s="273" t="n">
        <f aca="false">AU9*SUP_CONTROL!$C$37</f>
        <v>5428.11894143002</v>
      </c>
      <c r="AV10" s="273" t="n">
        <f aca="false">AV9*SUP_CONTROL!$C$37</f>
        <v>5428.11894143002</v>
      </c>
      <c r="AW10" s="273" t="n">
        <f aca="false">AW9*SUP_CONTROL!$C$37</f>
        <v>5428.11894143002</v>
      </c>
      <c r="AX10" s="273" t="n">
        <f aca="false">AX9*SUP_CONTROL!$C$37</f>
        <v>5428.11894143002</v>
      </c>
      <c r="AY10" s="273" t="n">
        <f aca="false">AY9*SUP_CONTROL!$C$37</f>
        <v>5428.11894143002</v>
      </c>
      <c r="AZ10" s="273" t="n">
        <f aca="false">AZ9*SUP_CONTROL!$C$37</f>
        <v>5428.11894143002</v>
      </c>
      <c r="BA10" s="273" t="n">
        <f aca="false">BA9*SUP_CONTROL!$C$37</f>
        <v>5428.11894143002</v>
      </c>
      <c r="BB10" s="273" t="n">
        <f aca="false">BB9*SUP_CONTROL!$C$37</f>
        <v>5428.11894143002</v>
      </c>
      <c r="BC10" s="273" t="n">
        <f aca="false">BC9*SUP_CONTROL!$C$37</f>
        <v>5428.11894143002</v>
      </c>
      <c r="BD10" s="273" t="n">
        <f aca="false">BD9*SUP_CONTROL!$C$37</f>
        <v>5428.11894143002</v>
      </c>
      <c r="BE10" s="273" t="n">
        <f aca="false">BE9*SUP_CONTROL!$C$37</f>
        <v>5428.11894143002</v>
      </c>
      <c r="BF10" s="273" t="n">
        <f aca="false">BF9*SUP_CONTROL!$C$37</f>
        <v>5428.11894143002</v>
      </c>
      <c r="BG10" s="273" t="n">
        <f aca="false">BG9*SUP_CONTROL!$C$37</f>
        <v>5428.11894143002</v>
      </c>
      <c r="BH10" s="273" t="n">
        <f aca="false">BH9*SUP_CONTROL!$C$37</f>
        <v>5428.11894143002</v>
      </c>
      <c r="BI10" s="273" t="n">
        <f aca="false">BI9*SUP_CONTROL!$C$37</f>
        <v>5428.11894143002</v>
      </c>
      <c r="BJ10" s="273" t="n">
        <f aca="false">BJ9*SUP_CONTROL!$C$37</f>
        <v>5428.11894143002</v>
      </c>
      <c r="BK10" s="273" t="n">
        <f aca="false">BK9*SUP_CONTROL!$C$37</f>
        <v>5428.11894143002</v>
      </c>
      <c r="BL10" s="273" t="n">
        <f aca="false">BL9*SUP_CONTROL!$C$37</f>
        <v>5428.11894143002</v>
      </c>
      <c r="BM10" s="273" t="n">
        <f aca="false">BM9*SUP_CONTROL!$C$37</f>
        <v>5428.11894143002</v>
      </c>
      <c r="BN10" s="273" t="n">
        <f aca="false">BN9*SUP_CONTROL!$C$37</f>
        <v>5428.11894143002</v>
      </c>
      <c r="BO10" s="273" t="n">
        <f aca="false">BO9*SUP_CONTROL!$C$37</f>
        <v>5428.11894143002</v>
      </c>
      <c r="BP10" s="273" t="n">
        <f aca="false">BP9*SUP_CONTROL!$C$37</f>
        <v>5428.11894143002</v>
      </c>
      <c r="BQ10" s="273" t="n">
        <f aca="false">BQ9*SUP_CONTROL!$C$37</f>
        <v>5428.11894143002</v>
      </c>
      <c r="BR10" s="273" t="n">
        <f aca="false">BR9*SUP_CONTROL!$C$37</f>
        <v>5428.11894143002</v>
      </c>
      <c r="BS10" s="273" t="n">
        <f aca="false">BS9*SUP_CONTROL!$C$37</f>
        <v>5428.11894143002</v>
      </c>
      <c r="BT10" s="273" t="n">
        <f aca="false">BT9*SUP_CONTROL!$C$37</f>
        <v>5428.11894143002</v>
      </c>
      <c r="BU10" s="273" t="n">
        <f aca="false">BU9*SUP_CONTROL!$C$37</f>
        <v>5428.11894143002</v>
      </c>
      <c r="BV10" s="273" t="n">
        <f aca="false">BV9*SUP_CONTROL!$C$37</f>
        <v>5428.11894143002</v>
      </c>
      <c r="BW10" s="273" t="n">
        <f aca="false">BW9*SUP_CONTROL!$C$37</f>
        <v>5428.11894143002</v>
      </c>
      <c r="BX10" s="273" t="n">
        <f aca="false">BX9*SUP_CONTROL!$C$37</f>
        <v>5428.11894143002</v>
      </c>
      <c r="BY10" s="273" t="n">
        <f aca="false">BY9*SUP_CONTROL!$C$37</f>
        <v>5428.11894143002</v>
      </c>
      <c r="BZ10" s="273" t="n">
        <f aca="false">BZ9*SUP_CONTROL!$C$37</f>
        <v>5428.11894143002</v>
      </c>
      <c r="CA10" s="273" t="n">
        <f aca="false">CA9*SUP_CONTROL!$C$37</f>
        <v>5428.11894143002</v>
      </c>
      <c r="CB10" s="273" t="n">
        <f aca="false">CB9*SUP_CONTROL!$C$37</f>
        <v>5428.11894143002</v>
      </c>
      <c r="CC10" s="273" t="n">
        <f aca="false">CC9*SUP_CONTROL!$C$37</f>
        <v>5428.11894143002</v>
      </c>
      <c r="CD10" s="273" t="n">
        <f aca="false">CD9*SUP_CONTROL!$C$37</f>
        <v>5428.11894143002</v>
      </c>
      <c r="CE10" s="273" t="n">
        <f aca="false">CE9*SUP_CONTROL!$C$37</f>
        <v>5428.11894143002</v>
      </c>
      <c r="CF10" s="273" t="n">
        <f aca="false">CF9*SUP_CONTROL!$C$37</f>
        <v>5428.11894143002</v>
      </c>
      <c r="CG10" s="273" t="n">
        <f aca="false">CG9*SUP_CONTROL!$C$37</f>
        <v>5428.11894143002</v>
      </c>
      <c r="CH10" s="273" t="n">
        <f aca="false">CH9*SUP_CONTROL!$C$37</f>
        <v>5428.11894143002</v>
      </c>
      <c r="CI10" s="273" t="n">
        <f aca="false">CI9*SUP_CONTROL!$C$37</f>
        <v>5428.11894143002</v>
      </c>
      <c r="CJ10" s="273" t="n">
        <f aca="false">CJ9*SUP_CONTROL!$C$37</f>
        <v>5428.11894143002</v>
      </c>
      <c r="CK10" s="273" t="n">
        <f aca="false">CK9*SUP_CONTROL!$C$37</f>
        <v>5428.11894143002</v>
      </c>
      <c r="CL10" s="273" t="n">
        <f aca="false">CL9*SUP_CONTROL!$C$37</f>
        <v>5428.11894143002</v>
      </c>
      <c r="CM10" s="273" t="n">
        <f aca="false">CM9*SUP_CONTROL!$C$37</f>
        <v>5428.11894143002</v>
      </c>
      <c r="CN10" s="273" t="n">
        <f aca="false">CN9*SUP_CONTROL!$C$37</f>
        <v>5428.11894143002</v>
      </c>
      <c r="CO10" s="273" t="n">
        <f aca="false">CO9*SUP_CONTROL!$C$37</f>
        <v>5428.11894143002</v>
      </c>
      <c r="CP10" s="273" t="n">
        <f aca="false">CP9*SUP_CONTROL!$C$37</f>
        <v>5428.11894143002</v>
      </c>
      <c r="CQ10" s="273" t="n">
        <f aca="false">CQ9*SUP_CONTROL!$C$37</f>
        <v>5428.11894143002</v>
      </c>
      <c r="CR10" s="273" t="n">
        <f aca="false">CR9*SUP_CONTROL!$C$37</f>
        <v>5428.11894143002</v>
      </c>
      <c r="CS10" s="273" t="n">
        <f aca="false">CS9*SUP_CONTROL!$C$37</f>
        <v>5428.11894143002</v>
      </c>
      <c r="CT10" s="273" t="n">
        <f aca="false">CT9*SUP_CONTROL!$C$37</f>
        <v>5428.11894143002</v>
      </c>
      <c r="CU10" s="273" t="n">
        <f aca="false">CU9*SUP_CONTROL!$C$37</f>
        <v>5428.11894143002</v>
      </c>
      <c r="CV10" s="273" t="n">
        <f aca="false">CV9*SUP_CONTROL!$C$37</f>
        <v>5428.11894143002</v>
      </c>
      <c r="CW10" s="273" t="n">
        <f aca="false">CW9*SUP_CONTROL!$C$37</f>
        <v>5428.11894143002</v>
      </c>
      <c r="CX10" s="273" t="n">
        <f aca="false">CX9*SUP_CONTROL!$C$37</f>
        <v>5428.11894143002</v>
      </c>
      <c r="CY10" s="273" t="n">
        <f aca="false">CY9*SUP_CONTROL!$C$37</f>
        <v>5428.11894143002</v>
      </c>
      <c r="CZ10" s="273" t="n">
        <f aca="false">CZ9*SUP_CONTROL!$C$37</f>
        <v>5428.11894143002</v>
      </c>
      <c r="DA10" s="273" t="n">
        <f aca="false">DA9*SUP_CONTROL!$C$37</f>
        <v>5428.11894143002</v>
      </c>
      <c r="DB10" s="273" t="n">
        <f aca="false">DB9*SUP_CONTROL!$C$37</f>
        <v>5428.11894143002</v>
      </c>
      <c r="DC10" s="273" t="n">
        <f aca="false">DC9*SUP_CONTROL!$C$37</f>
        <v>5428.11894143002</v>
      </c>
      <c r="DD10" s="273" t="n">
        <f aca="false">DD9*SUP_CONTROL!$C$37</f>
        <v>5428.11894143002</v>
      </c>
      <c r="DE10" s="273" t="n">
        <f aca="false">DE9*SUP_CONTROL!$C$37</f>
        <v>5428.11894143002</v>
      </c>
      <c r="DF10" s="273" t="n">
        <f aca="false">DF9*SUP_CONTROL!$C$37</f>
        <v>5428.11894143002</v>
      </c>
      <c r="DG10" s="273" t="n">
        <f aca="false">DG9*SUP_CONTROL!$C$37</f>
        <v>5428.11894143002</v>
      </c>
      <c r="DH10" s="273" t="n">
        <f aca="false">DH9*SUP_CONTROL!$C$37</f>
        <v>5428.11894143002</v>
      </c>
      <c r="DI10" s="273" t="n">
        <f aca="false">DI9*SUP_CONTROL!$C$37</f>
        <v>5428.11894143002</v>
      </c>
      <c r="DJ10" s="273" t="n">
        <f aca="false">DJ9*SUP_CONTROL!$C$37</f>
        <v>5428.11894143002</v>
      </c>
      <c r="DK10" s="273" t="n">
        <f aca="false">DK9*SUP_CONTROL!$C$37</f>
        <v>5428.11894143002</v>
      </c>
      <c r="DL10" s="273" t="n">
        <f aca="false">DL9*SUP_CONTROL!$C$37</f>
        <v>5428.11894143002</v>
      </c>
      <c r="DM10" s="273" t="n">
        <f aca="false">DM9*SUP_CONTROL!$C$37</f>
        <v>5428.11894143002</v>
      </c>
      <c r="DN10" s="273" t="n">
        <f aca="false">DN9*SUP_CONTROL!$C$37</f>
        <v>5428.11894143002</v>
      </c>
      <c r="DO10" s="273" t="n">
        <f aca="false">DO9*SUP_CONTROL!$C$37</f>
        <v>5428.11894143002</v>
      </c>
      <c r="DP10" s="273" t="n">
        <f aca="false">DP9*SUP_CONTROL!$C$37</f>
        <v>5428.11894143002</v>
      </c>
      <c r="DQ10" s="273" t="n">
        <f aca="false">DQ9*SUP_CONTROL!$C$37</f>
        <v>5428.11894143002</v>
      </c>
      <c r="DR10" s="273" t="n">
        <f aca="false">DR9*SUP_CONTROL!$C$37</f>
        <v>5428.11894143002</v>
      </c>
      <c r="DS10" s="273" t="n">
        <f aca="false">DS9*SUP_CONTROL!$C$37</f>
        <v>5428.11894143002</v>
      </c>
    </row>
    <row r="11" customFormat="false" ht="15" hidden="false" customHeight="true" outlineLevel="0" collapsed="false">
      <c r="B11" s="178" t="s">
        <v>3454</v>
      </c>
      <c r="D11" s="268" t="n">
        <f aca="false">D9+D10</f>
        <v>0</v>
      </c>
      <c r="E11" s="268" t="n">
        <f aca="false">E9+E10</f>
        <v>0</v>
      </c>
      <c r="F11" s="268" t="n">
        <f aca="false">F9+F10</f>
        <v>0</v>
      </c>
      <c r="G11" s="268" t="n">
        <f aca="false">G9+G10</f>
        <v>0</v>
      </c>
      <c r="H11" s="268" t="n">
        <f aca="false">H9+H10</f>
        <v>0</v>
      </c>
      <c r="I11" s="268" t="n">
        <f aca="false">I9+I10</f>
        <v>0</v>
      </c>
      <c r="J11" s="268" t="n">
        <f aca="false">J9+J10</f>
        <v>79793.3484390213</v>
      </c>
      <c r="K11" s="268" t="n">
        <f aca="false">K9+K10</f>
        <v>96891.9231045259</v>
      </c>
      <c r="L11" s="268" t="n">
        <f aca="false">L9+L10</f>
        <v>113990.49777003</v>
      </c>
      <c r="M11" s="268" t="n">
        <f aca="false">M9+M10</f>
        <v>113990.49777003</v>
      </c>
      <c r="N11" s="268" t="n">
        <f aca="false">N9+N10</f>
        <v>113990.49777003</v>
      </c>
      <c r="O11" s="268" t="n">
        <f aca="false">O9+O10</f>
        <v>113990.49777003</v>
      </c>
      <c r="P11" s="268" t="n">
        <f aca="false">P9+P10</f>
        <v>113990.49777003</v>
      </c>
      <c r="Q11" s="268" t="n">
        <f aca="false">Q9+Q10</f>
        <v>113990.49777003</v>
      </c>
      <c r="R11" s="268" t="n">
        <f aca="false">R9+R10</f>
        <v>113990.49777003</v>
      </c>
      <c r="S11" s="268" t="n">
        <f aca="false">S9+S10</f>
        <v>113990.49777003</v>
      </c>
      <c r="T11" s="268" t="n">
        <f aca="false">T9+T10</f>
        <v>113990.49777003</v>
      </c>
      <c r="U11" s="268" t="n">
        <f aca="false">U9+U10</f>
        <v>113990.49777003</v>
      </c>
      <c r="V11" s="268" t="n">
        <f aca="false">V9+V10</f>
        <v>113990.49777003</v>
      </c>
      <c r="W11" s="268" t="n">
        <f aca="false">W9+W10</f>
        <v>113990.49777003</v>
      </c>
      <c r="X11" s="268" t="n">
        <f aca="false">X9+X10</f>
        <v>113990.49777003</v>
      </c>
      <c r="Y11" s="268" t="n">
        <f aca="false">Y9+Y10</f>
        <v>113990.49777003</v>
      </c>
      <c r="Z11" s="268" t="n">
        <f aca="false">Z9+Z10</f>
        <v>113990.49777003</v>
      </c>
      <c r="AA11" s="268" t="n">
        <f aca="false">AA9+AA10</f>
        <v>113990.49777003</v>
      </c>
      <c r="AB11" s="268" t="n">
        <f aca="false">AB9+AB10</f>
        <v>113990.49777003</v>
      </c>
      <c r="AC11" s="268" t="n">
        <f aca="false">AC9+AC10</f>
        <v>113990.49777003</v>
      </c>
      <c r="AD11" s="268" t="n">
        <f aca="false">AD9+AD10</f>
        <v>113990.49777003</v>
      </c>
      <c r="AE11" s="268" t="n">
        <f aca="false">AE9+AE10</f>
        <v>113990.49777003</v>
      </c>
      <c r="AF11" s="268" t="n">
        <f aca="false">AF9+AF10</f>
        <v>113990.49777003</v>
      </c>
      <c r="AG11" s="268" t="n">
        <f aca="false">AG9+AG10</f>
        <v>113990.49777003</v>
      </c>
      <c r="AH11" s="268" t="n">
        <f aca="false">AH9+AH10</f>
        <v>113990.49777003</v>
      </c>
      <c r="AI11" s="268" t="n">
        <f aca="false">AI9+AI10</f>
        <v>113990.49777003</v>
      </c>
      <c r="AJ11" s="268" t="n">
        <f aca="false">AJ9+AJ10</f>
        <v>113990.49777003</v>
      </c>
      <c r="AK11" s="268" t="n">
        <f aca="false">AK9+AK10</f>
        <v>113990.49777003</v>
      </c>
      <c r="AL11" s="268" t="n">
        <f aca="false">AL9+AL10</f>
        <v>113990.49777003</v>
      </c>
      <c r="AM11" s="268" t="n">
        <f aca="false">AM9+AM10</f>
        <v>113990.49777003</v>
      </c>
      <c r="AN11" s="268" t="n">
        <f aca="false">AN9+AN10</f>
        <v>113990.49777003</v>
      </c>
      <c r="AO11" s="268" t="n">
        <f aca="false">AO9+AO10</f>
        <v>113990.49777003</v>
      </c>
      <c r="AP11" s="268" t="n">
        <f aca="false">AP9+AP10</f>
        <v>113990.49777003</v>
      </c>
      <c r="AQ11" s="268" t="n">
        <f aca="false">AQ9+AQ10</f>
        <v>113990.49777003</v>
      </c>
      <c r="AR11" s="268" t="n">
        <f aca="false">AR9+AR10</f>
        <v>113990.49777003</v>
      </c>
      <c r="AS11" s="268" t="n">
        <f aca="false">AS9+AS10</f>
        <v>113990.49777003</v>
      </c>
      <c r="AT11" s="268" t="n">
        <f aca="false">AT9+AT10</f>
        <v>113990.49777003</v>
      </c>
      <c r="AU11" s="268" t="n">
        <f aca="false">AU9+AU10</f>
        <v>113990.49777003</v>
      </c>
      <c r="AV11" s="268" t="n">
        <f aca="false">AV9+AV10</f>
        <v>113990.49777003</v>
      </c>
      <c r="AW11" s="268" t="n">
        <f aca="false">AW9+AW10</f>
        <v>113990.49777003</v>
      </c>
      <c r="AX11" s="268" t="n">
        <f aca="false">AX9+AX10</f>
        <v>113990.49777003</v>
      </c>
      <c r="AY11" s="268" t="n">
        <f aca="false">AY9+AY10</f>
        <v>113990.49777003</v>
      </c>
      <c r="AZ11" s="268" t="n">
        <f aca="false">AZ9+AZ10</f>
        <v>113990.49777003</v>
      </c>
      <c r="BA11" s="268" t="n">
        <f aca="false">BA9+BA10</f>
        <v>113990.49777003</v>
      </c>
      <c r="BB11" s="268" t="n">
        <f aca="false">BB9+BB10</f>
        <v>113990.49777003</v>
      </c>
      <c r="BC11" s="268" t="n">
        <f aca="false">BC9+BC10</f>
        <v>113990.49777003</v>
      </c>
      <c r="BD11" s="268" t="n">
        <f aca="false">BD9+BD10</f>
        <v>113990.49777003</v>
      </c>
      <c r="BE11" s="268" t="n">
        <f aca="false">BE9+BE10</f>
        <v>113990.49777003</v>
      </c>
      <c r="BF11" s="268" t="n">
        <f aca="false">BF9+BF10</f>
        <v>113990.49777003</v>
      </c>
      <c r="BG11" s="268" t="n">
        <f aca="false">BG9+BG10</f>
        <v>113990.49777003</v>
      </c>
      <c r="BH11" s="268" t="n">
        <f aca="false">BH9+BH10</f>
        <v>113990.49777003</v>
      </c>
      <c r="BI11" s="268" t="n">
        <f aca="false">BI9+BI10</f>
        <v>113990.49777003</v>
      </c>
      <c r="BJ11" s="268" t="n">
        <f aca="false">BJ9+BJ10</f>
        <v>113990.49777003</v>
      </c>
      <c r="BK11" s="268" t="n">
        <f aca="false">BK9+BK10</f>
        <v>113990.49777003</v>
      </c>
      <c r="BL11" s="268" t="n">
        <f aca="false">BL9+BL10</f>
        <v>113990.49777003</v>
      </c>
      <c r="BM11" s="268" t="n">
        <f aca="false">BM9+BM10</f>
        <v>113990.49777003</v>
      </c>
      <c r="BN11" s="268" t="n">
        <f aca="false">BN9+BN10</f>
        <v>113990.49777003</v>
      </c>
      <c r="BO11" s="268" t="n">
        <f aca="false">BO9+BO10</f>
        <v>113990.49777003</v>
      </c>
      <c r="BP11" s="268" t="n">
        <f aca="false">BP9+BP10</f>
        <v>113990.49777003</v>
      </c>
      <c r="BQ11" s="268" t="n">
        <f aca="false">BQ9+BQ10</f>
        <v>113990.49777003</v>
      </c>
      <c r="BR11" s="268" t="n">
        <f aca="false">BR9+BR10</f>
        <v>113990.49777003</v>
      </c>
      <c r="BS11" s="268" t="n">
        <f aca="false">BS9+BS10</f>
        <v>113990.49777003</v>
      </c>
      <c r="BT11" s="268" t="n">
        <f aca="false">BT9+BT10</f>
        <v>113990.49777003</v>
      </c>
      <c r="BU11" s="268" t="n">
        <f aca="false">BU9+BU10</f>
        <v>113990.49777003</v>
      </c>
      <c r="BV11" s="268" t="n">
        <f aca="false">BV9+BV10</f>
        <v>113990.49777003</v>
      </c>
      <c r="BW11" s="268" t="n">
        <f aca="false">BW9+BW10</f>
        <v>113990.49777003</v>
      </c>
      <c r="BX11" s="268" t="n">
        <f aca="false">BX9+BX10</f>
        <v>113990.49777003</v>
      </c>
      <c r="BY11" s="268" t="n">
        <f aca="false">BY9+BY10</f>
        <v>113990.49777003</v>
      </c>
      <c r="BZ11" s="268" t="n">
        <f aca="false">BZ9+BZ10</f>
        <v>113990.49777003</v>
      </c>
      <c r="CA11" s="268" t="n">
        <f aca="false">CA9+CA10</f>
        <v>113990.49777003</v>
      </c>
      <c r="CB11" s="268" t="n">
        <f aca="false">CB9+CB10</f>
        <v>113990.49777003</v>
      </c>
      <c r="CC11" s="268" t="n">
        <f aca="false">CC9+CC10</f>
        <v>113990.49777003</v>
      </c>
      <c r="CD11" s="268" t="n">
        <f aca="false">CD9+CD10</f>
        <v>113990.49777003</v>
      </c>
      <c r="CE11" s="268" t="n">
        <f aca="false">CE9+CE10</f>
        <v>113990.49777003</v>
      </c>
      <c r="CF11" s="268" t="n">
        <f aca="false">CF9+CF10</f>
        <v>113990.49777003</v>
      </c>
      <c r="CG11" s="268" t="n">
        <f aca="false">CG9+CG10</f>
        <v>113990.49777003</v>
      </c>
      <c r="CH11" s="268" t="n">
        <f aca="false">CH9+CH10</f>
        <v>113990.49777003</v>
      </c>
      <c r="CI11" s="268" t="n">
        <f aca="false">CI9+CI10</f>
        <v>113990.49777003</v>
      </c>
      <c r="CJ11" s="268" t="n">
        <f aca="false">CJ9+CJ10</f>
        <v>113990.49777003</v>
      </c>
      <c r="CK11" s="268" t="n">
        <f aca="false">CK9+CK10</f>
        <v>113990.49777003</v>
      </c>
      <c r="CL11" s="268" t="n">
        <f aca="false">CL9+CL10</f>
        <v>113990.49777003</v>
      </c>
      <c r="CM11" s="268" t="n">
        <f aca="false">CM9+CM10</f>
        <v>113990.49777003</v>
      </c>
      <c r="CN11" s="268" t="n">
        <f aca="false">CN9+CN10</f>
        <v>113990.49777003</v>
      </c>
      <c r="CO11" s="268" t="n">
        <f aca="false">CO9+CO10</f>
        <v>113990.49777003</v>
      </c>
      <c r="CP11" s="268" t="n">
        <f aca="false">CP9+CP10</f>
        <v>113990.49777003</v>
      </c>
      <c r="CQ11" s="268" t="n">
        <f aca="false">CQ9+CQ10</f>
        <v>113990.49777003</v>
      </c>
      <c r="CR11" s="268" t="n">
        <f aca="false">CR9+CR10</f>
        <v>113990.49777003</v>
      </c>
      <c r="CS11" s="268" t="n">
        <f aca="false">CS9+CS10</f>
        <v>113990.49777003</v>
      </c>
      <c r="CT11" s="268" t="n">
        <f aca="false">CT9+CT10</f>
        <v>113990.49777003</v>
      </c>
      <c r="CU11" s="268" t="n">
        <f aca="false">CU9+CU10</f>
        <v>113990.49777003</v>
      </c>
      <c r="CV11" s="268" t="n">
        <f aca="false">CV9+CV10</f>
        <v>113990.49777003</v>
      </c>
      <c r="CW11" s="268" t="n">
        <f aca="false">CW9+CW10</f>
        <v>113990.49777003</v>
      </c>
      <c r="CX11" s="268" t="n">
        <f aca="false">CX9+CX10</f>
        <v>113990.49777003</v>
      </c>
      <c r="CY11" s="268" t="n">
        <f aca="false">CY9+CY10</f>
        <v>113990.49777003</v>
      </c>
      <c r="CZ11" s="268" t="n">
        <f aca="false">CZ9+CZ10</f>
        <v>113990.49777003</v>
      </c>
      <c r="DA11" s="268" t="n">
        <f aca="false">DA9+DA10</f>
        <v>113990.49777003</v>
      </c>
      <c r="DB11" s="268" t="n">
        <f aca="false">DB9+DB10</f>
        <v>113990.49777003</v>
      </c>
      <c r="DC11" s="268" t="n">
        <f aca="false">DC9+DC10</f>
        <v>113990.49777003</v>
      </c>
      <c r="DD11" s="268" t="n">
        <f aca="false">DD9+DD10</f>
        <v>113990.49777003</v>
      </c>
      <c r="DE11" s="268" t="n">
        <f aca="false">DE9+DE10</f>
        <v>113990.49777003</v>
      </c>
      <c r="DF11" s="268" t="n">
        <f aca="false">DF9+DF10</f>
        <v>113990.49777003</v>
      </c>
      <c r="DG11" s="268" t="n">
        <f aca="false">DG9+DG10</f>
        <v>113990.49777003</v>
      </c>
      <c r="DH11" s="268" t="n">
        <f aca="false">DH9+DH10</f>
        <v>113990.49777003</v>
      </c>
      <c r="DI11" s="268" t="n">
        <f aca="false">DI9+DI10</f>
        <v>113990.49777003</v>
      </c>
      <c r="DJ11" s="268" t="n">
        <f aca="false">DJ9+DJ10</f>
        <v>113990.49777003</v>
      </c>
      <c r="DK11" s="268" t="n">
        <f aca="false">DK9+DK10</f>
        <v>113990.49777003</v>
      </c>
      <c r="DL11" s="268" t="n">
        <f aca="false">DL9+DL10</f>
        <v>113990.49777003</v>
      </c>
      <c r="DM11" s="268" t="n">
        <f aca="false">DM9+DM10</f>
        <v>113990.49777003</v>
      </c>
      <c r="DN11" s="268" t="n">
        <f aca="false">DN9+DN10</f>
        <v>113990.49777003</v>
      </c>
      <c r="DO11" s="268" t="n">
        <f aca="false">DO9+DO10</f>
        <v>113990.49777003</v>
      </c>
      <c r="DP11" s="268" t="n">
        <f aca="false">DP9+DP10</f>
        <v>113990.49777003</v>
      </c>
      <c r="DQ11" s="268" t="n">
        <f aca="false">DQ9+DQ10</f>
        <v>113990.49777003</v>
      </c>
      <c r="DR11" s="268" t="n">
        <f aca="false">DR9+DR10</f>
        <v>113990.49777003</v>
      </c>
      <c r="DS11" s="268" t="n">
        <f aca="false">DS9+DS10</f>
        <v>113990.49777003</v>
      </c>
    </row>
    <row r="12" customFormat="false" ht="15" hidden="false" customHeight="true" outlineLevel="0" collapsed="false">
      <c r="B12" s="297" t="s">
        <v>3416</v>
      </c>
      <c r="D12" s="298" t="n">
        <f aca="false">D8*SUP_CONTROL!$C$28</f>
        <v>0</v>
      </c>
      <c r="E12" s="298" t="n">
        <f aca="false">E8*SUP_CONTROL!$C$28</f>
        <v>0</v>
      </c>
      <c r="F12" s="298" t="n">
        <f aca="false">F8*SUP_CONTROL!$C$28</f>
        <v>0</v>
      </c>
      <c r="G12" s="298" t="n">
        <f aca="false">G8*SUP_CONTROL!$C$28</f>
        <v>0</v>
      </c>
      <c r="H12" s="298" t="n">
        <f aca="false">H8*SUP_CONTROL!$C$28</f>
        <v>0</v>
      </c>
      <c r="I12" s="298" t="n">
        <f aca="false">I8*SUP_CONTROL!$C$28</f>
        <v>0</v>
      </c>
      <c r="J12" s="298" t="n">
        <f aca="false">J8*SUP_CONTROL!$C$28</f>
        <v>9702</v>
      </c>
      <c r="K12" s="298" t="n">
        <f aca="false">K8*SUP_CONTROL!$C$28</f>
        <v>11781</v>
      </c>
      <c r="L12" s="298" t="n">
        <f aca="false">L8*SUP_CONTROL!$C$28</f>
        <v>13860</v>
      </c>
      <c r="M12" s="298" t="n">
        <f aca="false">M8*SUP_CONTROL!$C$28</f>
        <v>13860</v>
      </c>
      <c r="N12" s="298" t="n">
        <f aca="false">N8*SUP_CONTROL!$C$28</f>
        <v>13860</v>
      </c>
      <c r="O12" s="298" t="n">
        <f aca="false">O8*SUP_CONTROL!$C$28</f>
        <v>13860</v>
      </c>
      <c r="P12" s="298" t="n">
        <f aca="false">P8*SUP_CONTROL!$C$28</f>
        <v>13860</v>
      </c>
      <c r="Q12" s="298" t="n">
        <f aca="false">Q8*SUP_CONTROL!$C$28</f>
        <v>13860</v>
      </c>
      <c r="R12" s="298" t="n">
        <f aca="false">R8*SUP_CONTROL!$C$28</f>
        <v>13860</v>
      </c>
      <c r="S12" s="298" t="n">
        <f aca="false">S8*SUP_CONTROL!$C$28</f>
        <v>13860</v>
      </c>
      <c r="T12" s="298" t="n">
        <f aca="false">T8*SUP_CONTROL!$C$28</f>
        <v>13860</v>
      </c>
      <c r="U12" s="298" t="n">
        <f aca="false">U8*SUP_CONTROL!$C$28</f>
        <v>13860</v>
      </c>
      <c r="V12" s="298" t="n">
        <f aca="false">V8*SUP_CONTROL!$C$28</f>
        <v>13860</v>
      </c>
      <c r="W12" s="298" t="n">
        <f aca="false">W8*SUP_CONTROL!$C$28</f>
        <v>13860</v>
      </c>
      <c r="X12" s="298" t="n">
        <f aca="false">X8*SUP_CONTROL!$C$28</f>
        <v>13860</v>
      </c>
      <c r="Y12" s="298" t="n">
        <f aca="false">Y8*SUP_CONTROL!$C$28</f>
        <v>13860</v>
      </c>
      <c r="Z12" s="298" t="n">
        <f aca="false">Z8*SUP_CONTROL!$C$28</f>
        <v>13860</v>
      </c>
      <c r="AA12" s="298" t="n">
        <f aca="false">AA8*SUP_CONTROL!$C$28</f>
        <v>13860</v>
      </c>
      <c r="AB12" s="298" t="n">
        <f aca="false">AB8*SUP_CONTROL!$C$28</f>
        <v>13860</v>
      </c>
      <c r="AC12" s="298" t="n">
        <f aca="false">AC8*SUP_CONTROL!$C$28</f>
        <v>13860</v>
      </c>
      <c r="AD12" s="298" t="n">
        <f aca="false">AD8*SUP_CONTROL!$C$28</f>
        <v>13860</v>
      </c>
      <c r="AE12" s="298" t="n">
        <f aca="false">AE8*SUP_CONTROL!$C$28</f>
        <v>13860</v>
      </c>
      <c r="AF12" s="298" t="n">
        <f aca="false">AF8*SUP_CONTROL!$C$28</f>
        <v>13860</v>
      </c>
      <c r="AG12" s="298" t="n">
        <f aca="false">AG8*SUP_CONTROL!$C$28</f>
        <v>13860</v>
      </c>
      <c r="AH12" s="298" t="n">
        <f aca="false">AH8*SUP_CONTROL!$C$28</f>
        <v>13860</v>
      </c>
      <c r="AI12" s="298" t="n">
        <f aca="false">AI8*SUP_CONTROL!$C$28</f>
        <v>13860</v>
      </c>
      <c r="AJ12" s="298" t="n">
        <f aca="false">AJ8*SUP_CONTROL!$C$28</f>
        <v>13860</v>
      </c>
      <c r="AK12" s="298" t="n">
        <f aca="false">AK8*SUP_CONTROL!$C$28</f>
        <v>13860</v>
      </c>
      <c r="AL12" s="298" t="n">
        <f aca="false">AL8*SUP_CONTROL!$C$28</f>
        <v>13860</v>
      </c>
      <c r="AM12" s="298" t="n">
        <f aca="false">AM8*SUP_CONTROL!$C$28</f>
        <v>13860</v>
      </c>
      <c r="AN12" s="298" t="n">
        <f aca="false">AN8*SUP_CONTROL!$C$28</f>
        <v>13860</v>
      </c>
      <c r="AO12" s="298" t="n">
        <f aca="false">AO8*SUP_CONTROL!$C$28</f>
        <v>13860</v>
      </c>
      <c r="AP12" s="298" t="n">
        <f aca="false">AP8*SUP_CONTROL!$C$28</f>
        <v>13860</v>
      </c>
      <c r="AQ12" s="298" t="n">
        <f aca="false">AQ8*SUP_CONTROL!$C$28</f>
        <v>13860</v>
      </c>
      <c r="AR12" s="298" t="n">
        <f aca="false">AR8*SUP_CONTROL!$C$28</f>
        <v>13860</v>
      </c>
      <c r="AS12" s="298" t="n">
        <f aca="false">AS8*SUP_CONTROL!$C$28</f>
        <v>13860</v>
      </c>
      <c r="AT12" s="298" t="n">
        <f aca="false">AT8*SUP_CONTROL!$C$28</f>
        <v>13860</v>
      </c>
      <c r="AU12" s="298" t="n">
        <f aca="false">AU8*SUP_CONTROL!$C$28</f>
        <v>13860</v>
      </c>
      <c r="AV12" s="298" t="n">
        <f aca="false">AV8*SUP_CONTROL!$C$28</f>
        <v>13860</v>
      </c>
      <c r="AW12" s="298" t="n">
        <f aca="false">AW8*SUP_CONTROL!$C$28</f>
        <v>13860</v>
      </c>
      <c r="AX12" s="298" t="n">
        <f aca="false">AX8*SUP_CONTROL!$C$28</f>
        <v>13860</v>
      </c>
      <c r="AY12" s="298" t="n">
        <f aca="false">AY8*SUP_CONTROL!$C$28</f>
        <v>13860</v>
      </c>
      <c r="AZ12" s="298" t="n">
        <f aca="false">AZ8*SUP_CONTROL!$C$28</f>
        <v>13860</v>
      </c>
      <c r="BA12" s="298" t="n">
        <f aca="false">BA8*SUP_CONTROL!$C$28</f>
        <v>13860</v>
      </c>
      <c r="BB12" s="298" t="n">
        <f aca="false">BB8*SUP_CONTROL!$C$28</f>
        <v>13860</v>
      </c>
      <c r="BC12" s="298" t="n">
        <f aca="false">BC8*SUP_CONTROL!$C$28</f>
        <v>13860</v>
      </c>
      <c r="BD12" s="298" t="n">
        <f aca="false">BD8*SUP_CONTROL!$C$28</f>
        <v>13860</v>
      </c>
      <c r="BE12" s="298" t="n">
        <f aca="false">BE8*SUP_CONTROL!$C$28</f>
        <v>13860</v>
      </c>
      <c r="BF12" s="298" t="n">
        <f aca="false">BF8*SUP_CONTROL!$C$28</f>
        <v>13860</v>
      </c>
      <c r="BG12" s="298" t="n">
        <f aca="false">BG8*SUP_CONTROL!$C$28</f>
        <v>13860</v>
      </c>
      <c r="BH12" s="298" t="n">
        <f aca="false">BH8*SUP_CONTROL!$C$28</f>
        <v>13860</v>
      </c>
      <c r="BI12" s="298" t="n">
        <f aca="false">BI8*SUP_CONTROL!$C$28</f>
        <v>13860</v>
      </c>
      <c r="BJ12" s="298" t="n">
        <f aca="false">BJ8*SUP_CONTROL!$C$28</f>
        <v>13860</v>
      </c>
      <c r="BK12" s="298" t="n">
        <f aca="false">BK8*SUP_CONTROL!$C$28</f>
        <v>13860</v>
      </c>
      <c r="BL12" s="298" t="n">
        <f aca="false">BL8*SUP_CONTROL!$C$28</f>
        <v>13860</v>
      </c>
      <c r="BM12" s="298" t="n">
        <f aca="false">BM8*SUP_CONTROL!$C$28</f>
        <v>13860</v>
      </c>
      <c r="BN12" s="298" t="n">
        <f aca="false">BN8*SUP_CONTROL!$C$28</f>
        <v>13860</v>
      </c>
      <c r="BO12" s="298" t="n">
        <f aca="false">BO8*SUP_CONTROL!$C$28</f>
        <v>13860</v>
      </c>
      <c r="BP12" s="298" t="n">
        <f aca="false">BP8*SUP_CONTROL!$C$28</f>
        <v>13860</v>
      </c>
      <c r="BQ12" s="298" t="n">
        <f aca="false">BQ8*SUP_CONTROL!$C$28</f>
        <v>13860</v>
      </c>
      <c r="BR12" s="298" t="n">
        <f aca="false">BR8*SUP_CONTROL!$C$28</f>
        <v>13860</v>
      </c>
      <c r="BS12" s="298" t="n">
        <f aca="false">BS8*SUP_CONTROL!$C$28</f>
        <v>13860</v>
      </c>
      <c r="BT12" s="298" t="n">
        <f aca="false">BT8*SUP_CONTROL!$C$28</f>
        <v>13860</v>
      </c>
      <c r="BU12" s="298" t="n">
        <f aca="false">BU8*SUP_CONTROL!$C$28</f>
        <v>13860</v>
      </c>
      <c r="BV12" s="298" t="n">
        <f aca="false">BV8*SUP_CONTROL!$C$28</f>
        <v>13860</v>
      </c>
      <c r="BW12" s="298" t="n">
        <f aca="false">BW8*SUP_CONTROL!$C$28</f>
        <v>13860</v>
      </c>
      <c r="BX12" s="298" t="n">
        <f aca="false">BX8*SUP_CONTROL!$C$28</f>
        <v>13860</v>
      </c>
      <c r="BY12" s="298" t="n">
        <f aca="false">BY8*SUP_CONTROL!$C$28</f>
        <v>13860</v>
      </c>
      <c r="BZ12" s="298" t="n">
        <f aca="false">BZ8*SUP_CONTROL!$C$28</f>
        <v>13860</v>
      </c>
      <c r="CA12" s="298" t="n">
        <f aca="false">CA8*SUP_CONTROL!$C$28</f>
        <v>13860</v>
      </c>
      <c r="CB12" s="298" t="n">
        <f aca="false">CB8*SUP_CONTROL!$C$28</f>
        <v>13860</v>
      </c>
      <c r="CC12" s="298" t="n">
        <f aca="false">CC8*SUP_CONTROL!$C$28</f>
        <v>13860</v>
      </c>
      <c r="CD12" s="298" t="n">
        <f aca="false">CD8*SUP_CONTROL!$C$28</f>
        <v>13860</v>
      </c>
      <c r="CE12" s="298" t="n">
        <f aca="false">CE8*SUP_CONTROL!$C$28</f>
        <v>13860</v>
      </c>
      <c r="CF12" s="298" t="n">
        <f aca="false">CF8*SUP_CONTROL!$C$28</f>
        <v>13860</v>
      </c>
      <c r="CG12" s="298" t="n">
        <f aca="false">CG8*SUP_CONTROL!$C$28</f>
        <v>13860</v>
      </c>
      <c r="CH12" s="298" t="n">
        <f aca="false">CH8*SUP_CONTROL!$C$28</f>
        <v>13860</v>
      </c>
      <c r="CI12" s="298" t="n">
        <f aca="false">CI8*SUP_CONTROL!$C$28</f>
        <v>13860</v>
      </c>
      <c r="CJ12" s="298" t="n">
        <f aca="false">CJ8*SUP_CONTROL!$C$28</f>
        <v>13860</v>
      </c>
      <c r="CK12" s="298" t="n">
        <f aca="false">CK8*SUP_CONTROL!$C$28</f>
        <v>13860</v>
      </c>
      <c r="CL12" s="298" t="n">
        <f aca="false">CL8*SUP_CONTROL!$C$28</f>
        <v>13860</v>
      </c>
      <c r="CM12" s="298" t="n">
        <f aca="false">CM8*SUP_CONTROL!$C$28</f>
        <v>13860</v>
      </c>
      <c r="CN12" s="298" t="n">
        <f aca="false">CN8*SUP_CONTROL!$C$28</f>
        <v>13860</v>
      </c>
      <c r="CO12" s="298" t="n">
        <f aca="false">CO8*SUP_CONTROL!$C$28</f>
        <v>13860</v>
      </c>
      <c r="CP12" s="298" t="n">
        <f aca="false">CP8*SUP_CONTROL!$C$28</f>
        <v>13860</v>
      </c>
      <c r="CQ12" s="298" t="n">
        <f aca="false">CQ8*SUP_CONTROL!$C$28</f>
        <v>13860</v>
      </c>
      <c r="CR12" s="298" t="n">
        <f aca="false">CR8*SUP_CONTROL!$C$28</f>
        <v>13860</v>
      </c>
      <c r="CS12" s="298" t="n">
        <f aca="false">CS8*SUP_CONTROL!$C$28</f>
        <v>13860</v>
      </c>
      <c r="CT12" s="298" t="n">
        <f aca="false">CT8*SUP_CONTROL!$C$28</f>
        <v>13860</v>
      </c>
      <c r="CU12" s="298" t="n">
        <f aca="false">CU8*SUP_CONTROL!$C$28</f>
        <v>13860</v>
      </c>
      <c r="CV12" s="298" t="n">
        <f aca="false">CV8*SUP_CONTROL!$C$28</f>
        <v>13860</v>
      </c>
      <c r="CW12" s="298" t="n">
        <f aca="false">CW8*SUP_CONTROL!$C$28</f>
        <v>13860</v>
      </c>
      <c r="CX12" s="298" t="n">
        <f aca="false">CX8*SUP_CONTROL!$C$28</f>
        <v>13860</v>
      </c>
      <c r="CY12" s="298" t="n">
        <f aca="false">CY8*SUP_CONTROL!$C$28</f>
        <v>13860</v>
      </c>
      <c r="CZ12" s="298" t="n">
        <f aca="false">CZ8*SUP_CONTROL!$C$28</f>
        <v>13860</v>
      </c>
      <c r="DA12" s="298" t="n">
        <f aca="false">DA8*SUP_CONTROL!$C$28</f>
        <v>13860</v>
      </c>
      <c r="DB12" s="298" t="n">
        <f aca="false">DB8*SUP_CONTROL!$C$28</f>
        <v>13860</v>
      </c>
      <c r="DC12" s="298" t="n">
        <f aca="false">DC8*SUP_CONTROL!$C$28</f>
        <v>13860</v>
      </c>
      <c r="DD12" s="298" t="n">
        <f aca="false">DD8*SUP_CONTROL!$C$28</f>
        <v>13860</v>
      </c>
      <c r="DE12" s="298" t="n">
        <f aca="false">DE8*SUP_CONTROL!$C$28</f>
        <v>13860</v>
      </c>
      <c r="DF12" s="298" t="n">
        <f aca="false">DF8*SUP_CONTROL!$C$28</f>
        <v>13860</v>
      </c>
      <c r="DG12" s="298" t="n">
        <f aca="false">DG8*SUP_CONTROL!$C$28</f>
        <v>13860</v>
      </c>
      <c r="DH12" s="298" t="n">
        <f aca="false">DH8*SUP_CONTROL!$C$28</f>
        <v>13860</v>
      </c>
      <c r="DI12" s="298" t="n">
        <f aca="false">DI8*SUP_CONTROL!$C$28</f>
        <v>13860</v>
      </c>
      <c r="DJ12" s="298" t="n">
        <f aca="false">DJ8*SUP_CONTROL!$C$28</f>
        <v>13860</v>
      </c>
      <c r="DK12" s="298" t="n">
        <f aca="false">DK8*SUP_CONTROL!$C$28</f>
        <v>13860</v>
      </c>
      <c r="DL12" s="298" t="n">
        <f aca="false">DL8*SUP_CONTROL!$C$28</f>
        <v>13860</v>
      </c>
      <c r="DM12" s="298" t="n">
        <f aca="false">DM8*SUP_CONTROL!$C$28</f>
        <v>13860</v>
      </c>
      <c r="DN12" s="298" t="n">
        <f aca="false">DN8*SUP_CONTROL!$C$28</f>
        <v>13860</v>
      </c>
      <c r="DO12" s="298" t="n">
        <f aca="false">DO8*SUP_CONTROL!$C$28</f>
        <v>13860</v>
      </c>
      <c r="DP12" s="298" t="n">
        <f aca="false">DP8*SUP_CONTROL!$C$28</f>
        <v>13860</v>
      </c>
      <c r="DQ12" s="298" t="n">
        <f aca="false">DQ8*SUP_CONTROL!$C$28</f>
        <v>13860</v>
      </c>
      <c r="DR12" s="298" t="n">
        <f aca="false">DR8*SUP_CONTROL!$C$28</f>
        <v>13860</v>
      </c>
      <c r="DS12" s="298" t="n">
        <f aca="false">DS8*SUP_CONTROL!$C$28</f>
        <v>13860</v>
      </c>
    </row>
    <row r="13" customFormat="false" ht="15" hidden="false" customHeight="true" outlineLevel="0" collapsed="false">
      <c r="B13" s="297" t="s">
        <v>3455</v>
      </c>
      <c r="D13" s="273" t="n">
        <f aca="false">D8*SUP_CONTROL!$C$27+D10*SUP_CONTROL!$C$38</f>
        <v>0</v>
      </c>
      <c r="E13" s="273" t="n">
        <f aca="false">E8*SUP_CONTROL!$C$27+E10*SUP_CONTROL!$C$38</f>
        <v>0</v>
      </c>
      <c r="F13" s="273" t="n">
        <f aca="false">F8*SUP_CONTROL!$C$27+F10*SUP_CONTROL!$C$38</f>
        <v>0</v>
      </c>
      <c r="G13" s="273" t="n">
        <f aca="false">G8*SUP_CONTROL!$C$27+G10*SUP_CONTROL!$C$38</f>
        <v>0</v>
      </c>
      <c r="H13" s="273" t="n">
        <f aca="false">H8*SUP_CONTROL!$C$27+H10*SUP_CONTROL!$C$38</f>
        <v>0</v>
      </c>
      <c r="I13" s="273" t="n">
        <f aca="false">I8*SUP_CONTROL!$C$27+I10*SUP_CONTROL!$C$38</f>
        <v>0</v>
      </c>
      <c r="J13" s="273" t="n">
        <f aca="false">J8*SUP_CONTROL!$C$27+J10*SUP_CONTROL!$C$38</f>
        <v>35321.9775656244</v>
      </c>
      <c r="K13" s="273" t="n">
        <f aca="false">K8*SUP_CONTROL!$C$27+K10*SUP_CONTROL!$C$38</f>
        <v>42890.9727582582</v>
      </c>
      <c r="L13" s="273" t="n">
        <f aca="false">L8*SUP_CONTROL!$C$27+L10*SUP_CONTROL!$C$38</f>
        <v>50459.967950892</v>
      </c>
      <c r="M13" s="273" t="n">
        <f aca="false">M8*SUP_CONTROL!$C$27+M10*SUP_CONTROL!$C$38</f>
        <v>50459.967950892</v>
      </c>
      <c r="N13" s="273" t="n">
        <f aca="false">N8*SUP_CONTROL!$C$27+N10*SUP_CONTROL!$C$38</f>
        <v>50459.967950892</v>
      </c>
      <c r="O13" s="273" t="n">
        <f aca="false">O8*SUP_CONTROL!$C$27+O10*SUP_CONTROL!$C$38</f>
        <v>50459.967950892</v>
      </c>
      <c r="P13" s="273" t="n">
        <f aca="false">P8*SUP_CONTROL!$C$27+P10*SUP_CONTROL!$C$38</f>
        <v>50459.967950892</v>
      </c>
      <c r="Q13" s="273" t="n">
        <f aca="false">Q8*SUP_CONTROL!$C$27+Q10*SUP_CONTROL!$C$38</f>
        <v>50459.967950892</v>
      </c>
      <c r="R13" s="273" t="n">
        <f aca="false">R8*SUP_CONTROL!$C$27+R10*SUP_CONTROL!$C$38</f>
        <v>50459.967950892</v>
      </c>
      <c r="S13" s="273" t="n">
        <f aca="false">S8*SUP_CONTROL!$C$27+S10*SUP_CONTROL!$C$38</f>
        <v>50459.967950892</v>
      </c>
      <c r="T13" s="273" t="n">
        <f aca="false">T8*SUP_CONTROL!$C$27+T10*SUP_CONTROL!$C$38</f>
        <v>50459.967950892</v>
      </c>
      <c r="U13" s="273" t="n">
        <f aca="false">U8*SUP_CONTROL!$C$27+U10*SUP_CONTROL!$C$38</f>
        <v>50459.967950892</v>
      </c>
      <c r="V13" s="273" t="n">
        <f aca="false">V8*SUP_CONTROL!$C$27+V10*SUP_CONTROL!$C$38</f>
        <v>50459.967950892</v>
      </c>
      <c r="W13" s="273" t="n">
        <f aca="false">W8*SUP_CONTROL!$C$27+W10*SUP_CONTROL!$C$38</f>
        <v>50459.967950892</v>
      </c>
      <c r="X13" s="273" t="n">
        <f aca="false">X8*SUP_CONTROL!$C$27+X10*SUP_CONTROL!$C$38</f>
        <v>50459.967950892</v>
      </c>
      <c r="Y13" s="273" t="n">
        <f aca="false">Y8*SUP_CONTROL!$C$27+Y10*SUP_CONTROL!$C$38</f>
        <v>50459.967950892</v>
      </c>
      <c r="Z13" s="273" t="n">
        <f aca="false">Z8*SUP_CONTROL!$C$27+Z10*SUP_CONTROL!$C$38</f>
        <v>50459.967950892</v>
      </c>
      <c r="AA13" s="273" t="n">
        <f aca="false">AA8*SUP_CONTROL!$C$27+AA10*SUP_CONTROL!$C$38</f>
        <v>50459.967950892</v>
      </c>
      <c r="AB13" s="273" t="n">
        <f aca="false">AB8*SUP_CONTROL!$C$27+AB10*SUP_CONTROL!$C$38</f>
        <v>50459.967950892</v>
      </c>
      <c r="AC13" s="273" t="n">
        <f aca="false">AC8*SUP_CONTROL!$C$27+AC10*SUP_CONTROL!$C$38</f>
        <v>50459.967950892</v>
      </c>
      <c r="AD13" s="273" t="n">
        <f aca="false">AD8*SUP_CONTROL!$C$27+AD10*SUP_CONTROL!$C$38</f>
        <v>50459.967950892</v>
      </c>
      <c r="AE13" s="273" t="n">
        <f aca="false">AE8*SUP_CONTROL!$C$27+AE10*SUP_CONTROL!$C$38</f>
        <v>50459.967950892</v>
      </c>
      <c r="AF13" s="273" t="n">
        <f aca="false">AF8*SUP_CONTROL!$C$27+AF10*SUP_CONTROL!$C$38</f>
        <v>50459.967950892</v>
      </c>
      <c r="AG13" s="273" t="n">
        <f aca="false">AG8*SUP_CONTROL!$C$27+AG10*SUP_CONTROL!$C$38</f>
        <v>50459.967950892</v>
      </c>
      <c r="AH13" s="273" t="n">
        <f aca="false">AH8*SUP_CONTROL!$C$27+AH10*SUP_CONTROL!$C$38</f>
        <v>50459.967950892</v>
      </c>
      <c r="AI13" s="273" t="n">
        <f aca="false">AI8*SUP_CONTROL!$C$27+AI10*SUP_CONTROL!$C$38</f>
        <v>50459.967950892</v>
      </c>
      <c r="AJ13" s="273" t="n">
        <f aca="false">AJ8*SUP_CONTROL!$C$27+AJ10*SUP_CONTROL!$C$38</f>
        <v>50459.967950892</v>
      </c>
      <c r="AK13" s="273" t="n">
        <f aca="false">AK8*SUP_CONTROL!$C$27+AK10*SUP_CONTROL!$C$38</f>
        <v>50459.967950892</v>
      </c>
      <c r="AL13" s="273" t="n">
        <f aca="false">AL8*SUP_CONTROL!$C$27+AL10*SUP_CONTROL!$C$38</f>
        <v>50459.967950892</v>
      </c>
      <c r="AM13" s="273" t="n">
        <f aca="false">AM8*SUP_CONTROL!$C$27+AM10*SUP_CONTROL!$C$38</f>
        <v>50459.967950892</v>
      </c>
      <c r="AN13" s="273" t="n">
        <f aca="false">AN8*SUP_CONTROL!$C$27+AN10*SUP_CONTROL!$C$38</f>
        <v>50459.967950892</v>
      </c>
      <c r="AO13" s="273" t="n">
        <f aca="false">AO8*SUP_CONTROL!$C$27+AO10*SUP_CONTROL!$C$38</f>
        <v>50459.967950892</v>
      </c>
      <c r="AP13" s="273" t="n">
        <f aca="false">AP8*SUP_CONTROL!$C$27+AP10*SUP_CONTROL!$C$38</f>
        <v>50459.967950892</v>
      </c>
      <c r="AQ13" s="273" t="n">
        <f aca="false">AQ8*SUP_CONTROL!$C$27+AQ10*SUP_CONTROL!$C$38</f>
        <v>50459.967950892</v>
      </c>
      <c r="AR13" s="273" t="n">
        <f aca="false">AR8*SUP_CONTROL!$C$27+AR10*SUP_CONTROL!$C$38</f>
        <v>50459.967950892</v>
      </c>
      <c r="AS13" s="273" t="n">
        <f aca="false">AS8*SUP_CONTROL!$C$27+AS10*SUP_CONTROL!$C$38</f>
        <v>50459.967950892</v>
      </c>
      <c r="AT13" s="273" t="n">
        <f aca="false">AT8*SUP_CONTROL!$C$27+AT10*SUP_CONTROL!$C$38</f>
        <v>50459.967950892</v>
      </c>
      <c r="AU13" s="273" t="n">
        <f aca="false">AU8*SUP_CONTROL!$C$27+AU10*SUP_CONTROL!$C$38</f>
        <v>50459.967950892</v>
      </c>
      <c r="AV13" s="273" t="n">
        <f aca="false">AV8*SUP_CONTROL!$C$27+AV10*SUP_CONTROL!$C$38</f>
        <v>50459.967950892</v>
      </c>
      <c r="AW13" s="273" t="n">
        <f aca="false">AW8*SUP_CONTROL!$C$27+AW10*SUP_CONTROL!$C$38</f>
        <v>50459.967950892</v>
      </c>
      <c r="AX13" s="273" t="n">
        <f aca="false">AX8*SUP_CONTROL!$C$27+AX10*SUP_CONTROL!$C$38</f>
        <v>50459.967950892</v>
      </c>
      <c r="AY13" s="273" t="n">
        <f aca="false">AY8*SUP_CONTROL!$C$27+AY10*SUP_CONTROL!$C$38</f>
        <v>50459.967950892</v>
      </c>
      <c r="AZ13" s="273" t="n">
        <f aca="false">AZ8*SUP_CONTROL!$C$27+AZ10*SUP_CONTROL!$C$38</f>
        <v>50459.967950892</v>
      </c>
      <c r="BA13" s="273" t="n">
        <f aca="false">BA8*SUP_CONTROL!$C$27+BA10*SUP_CONTROL!$C$38</f>
        <v>50459.967950892</v>
      </c>
      <c r="BB13" s="273" t="n">
        <f aca="false">BB8*SUP_CONTROL!$C$27+BB10*SUP_CONTROL!$C$38</f>
        <v>50459.967950892</v>
      </c>
      <c r="BC13" s="273" t="n">
        <f aca="false">BC8*SUP_CONTROL!$C$27+BC10*SUP_CONTROL!$C$38</f>
        <v>50459.967950892</v>
      </c>
      <c r="BD13" s="273" t="n">
        <f aca="false">BD8*SUP_CONTROL!$C$27+BD10*SUP_CONTROL!$C$38</f>
        <v>50459.967950892</v>
      </c>
      <c r="BE13" s="273" t="n">
        <f aca="false">BE8*SUP_CONTROL!$C$27+BE10*SUP_CONTROL!$C$38</f>
        <v>50459.967950892</v>
      </c>
      <c r="BF13" s="273" t="n">
        <f aca="false">BF8*SUP_CONTROL!$C$27+BF10*SUP_CONTROL!$C$38</f>
        <v>50459.967950892</v>
      </c>
      <c r="BG13" s="273" t="n">
        <f aca="false">BG8*SUP_CONTROL!$C$27+BG10*SUP_CONTROL!$C$38</f>
        <v>50459.967950892</v>
      </c>
      <c r="BH13" s="273" t="n">
        <f aca="false">BH8*SUP_CONTROL!$C$27+BH10*SUP_CONTROL!$C$38</f>
        <v>50459.967950892</v>
      </c>
      <c r="BI13" s="273" t="n">
        <f aca="false">BI8*SUP_CONTROL!$C$27+BI10*SUP_CONTROL!$C$38</f>
        <v>50459.967950892</v>
      </c>
      <c r="BJ13" s="273" t="n">
        <f aca="false">BJ8*SUP_CONTROL!$C$27+BJ10*SUP_CONTROL!$C$38</f>
        <v>50459.967950892</v>
      </c>
      <c r="BK13" s="273" t="n">
        <f aca="false">BK8*SUP_CONTROL!$C$27+BK10*SUP_CONTROL!$C$38</f>
        <v>50459.967950892</v>
      </c>
      <c r="BL13" s="273" t="n">
        <f aca="false">BL8*SUP_CONTROL!$C$27+BL10*SUP_CONTROL!$C$38</f>
        <v>50459.967950892</v>
      </c>
      <c r="BM13" s="273" t="n">
        <f aca="false">BM8*SUP_CONTROL!$C$27+BM10*SUP_CONTROL!$C$38</f>
        <v>50459.967950892</v>
      </c>
      <c r="BN13" s="273" t="n">
        <f aca="false">BN8*SUP_CONTROL!$C$27+BN10*SUP_CONTROL!$C$38</f>
        <v>50459.967950892</v>
      </c>
      <c r="BO13" s="273" t="n">
        <f aca="false">BO8*SUP_CONTROL!$C$27+BO10*SUP_CONTROL!$C$38</f>
        <v>50459.967950892</v>
      </c>
      <c r="BP13" s="273" t="n">
        <f aca="false">BP8*SUP_CONTROL!$C$27+BP10*SUP_CONTROL!$C$38</f>
        <v>50459.967950892</v>
      </c>
      <c r="BQ13" s="273" t="n">
        <f aca="false">BQ8*SUP_CONTROL!$C$27+BQ10*SUP_CONTROL!$C$38</f>
        <v>50459.967950892</v>
      </c>
      <c r="BR13" s="273" t="n">
        <f aca="false">BR8*SUP_CONTROL!$C$27+BR10*SUP_CONTROL!$C$38</f>
        <v>50459.967950892</v>
      </c>
      <c r="BS13" s="273" t="n">
        <f aca="false">BS8*SUP_CONTROL!$C$27+BS10*SUP_CONTROL!$C$38</f>
        <v>50459.967950892</v>
      </c>
      <c r="BT13" s="273" t="n">
        <f aca="false">BT8*SUP_CONTROL!$C$27+BT10*SUP_CONTROL!$C$38</f>
        <v>50459.967950892</v>
      </c>
      <c r="BU13" s="273" t="n">
        <f aca="false">BU8*SUP_CONTROL!$C$27+BU10*SUP_CONTROL!$C$38</f>
        <v>50459.967950892</v>
      </c>
      <c r="BV13" s="273" t="n">
        <f aca="false">BV8*SUP_CONTROL!$C$27+BV10*SUP_CONTROL!$C$38</f>
        <v>50459.967950892</v>
      </c>
      <c r="BW13" s="273" t="n">
        <f aca="false">BW8*SUP_CONTROL!$C$27+BW10*SUP_CONTROL!$C$38</f>
        <v>50459.967950892</v>
      </c>
      <c r="BX13" s="273" t="n">
        <f aca="false">BX8*SUP_CONTROL!$C$27+BX10*SUP_CONTROL!$C$38</f>
        <v>50459.967950892</v>
      </c>
      <c r="BY13" s="273" t="n">
        <f aca="false">BY8*SUP_CONTROL!$C$27+BY10*SUP_CONTROL!$C$38</f>
        <v>50459.967950892</v>
      </c>
      <c r="BZ13" s="273" t="n">
        <f aca="false">BZ8*SUP_CONTROL!$C$27+BZ10*SUP_CONTROL!$C$38</f>
        <v>50459.967950892</v>
      </c>
      <c r="CA13" s="273" t="n">
        <f aca="false">CA8*SUP_CONTROL!$C$27+CA10*SUP_CONTROL!$C$38</f>
        <v>50459.967950892</v>
      </c>
      <c r="CB13" s="273" t="n">
        <f aca="false">CB8*SUP_CONTROL!$C$27+CB10*SUP_CONTROL!$C$38</f>
        <v>50459.967950892</v>
      </c>
      <c r="CC13" s="273" t="n">
        <f aca="false">CC8*SUP_CONTROL!$C$27+CC10*SUP_CONTROL!$C$38</f>
        <v>50459.967950892</v>
      </c>
      <c r="CD13" s="273" t="n">
        <f aca="false">CD8*SUP_CONTROL!$C$27+CD10*SUP_CONTROL!$C$38</f>
        <v>50459.967950892</v>
      </c>
      <c r="CE13" s="273" t="n">
        <f aca="false">CE8*SUP_CONTROL!$C$27+CE10*SUP_CONTROL!$C$38</f>
        <v>50459.967950892</v>
      </c>
      <c r="CF13" s="273" t="n">
        <f aca="false">CF8*SUP_CONTROL!$C$27+CF10*SUP_CONTROL!$C$38</f>
        <v>50459.967950892</v>
      </c>
      <c r="CG13" s="273" t="n">
        <f aca="false">CG8*SUP_CONTROL!$C$27+CG10*SUP_CONTROL!$C$38</f>
        <v>50459.967950892</v>
      </c>
      <c r="CH13" s="273" t="n">
        <f aca="false">CH8*SUP_CONTROL!$C$27+CH10*SUP_CONTROL!$C$38</f>
        <v>50459.967950892</v>
      </c>
      <c r="CI13" s="273" t="n">
        <f aca="false">CI8*SUP_CONTROL!$C$27+CI10*SUP_CONTROL!$C$38</f>
        <v>50459.967950892</v>
      </c>
      <c r="CJ13" s="273" t="n">
        <f aca="false">CJ8*SUP_CONTROL!$C$27+CJ10*SUP_CONTROL!$C$38</f>
        <v>50459.967950892</v>
      </c>
      <c r="CK13" s="273" t="n">
        <f aca="false">CK8*SUP_CONTROL!$C$27+CK10*SUP_CONTROL!$C$38</f>
        <v>50459.967950892</v>
      </c>
      <c r="CL13" s="273" t="n">
        <f aca="false">CL8*SUP_CONTROL!$C$27+CL10*SUP_CONTROL!$C$38</f>
        <v>50459.967950892</v>
      </c>
      <c r="CM13" s="273" t="n">
        <f aca="false">CM8*SUP_CONTROL!$C$27+CM10*SUP_CONTROL!$C$38</f>
        <v>50459.967950892</v>
      </c>
      <c r="CN13" s="273" t="n">
        <f aca="false">CN8*SUP_CONTROL!$C$27+CN10*SUP_CONTROL!$C$38</f>
        <v>50459.967950892</v>
      </c>
      <c r="CO13" s="273" t="n">
        <f aca="false">CO8*SUP_CONTROL!$C$27+CO10*SUP_CONTROL!$C$38</f>
        <v>50459.967950892</v>
      </c>
      <c r="CP13" s="273" t="n">
        <f aca="false">CP8*SUP_CONTROL!$C$27+CP10*SUP_CONTROL!$C$38</f>
        <v>50459.967950892</v>
      </c>
      <c r="CQ13" s="273" t="n">
        <f aca="false">CQ8*SUP_CONTROL!$C$27+CQ10*SUP_CONTROL!$C$38</f>
        <v>50459.967950892</v>
      </c>
      <c r="CR13" s="273" t="n">
        <f aca="false">CR8*SUP_CONTROL!$C$27+CR10*SUP_CONTROL!$C$38</f>
        <v>50459.967950892</v>
      </c>
      <c r="CS13" s="273" t="n">
        <f aca="false">CS8*SUP_CONTROL!$C$27+CS10*SUP_CONTROL!$C$38</f>
        <v>50459.967950892</v>
      </c>
      <c r="CT13" s="273" t="n">
        <f aca="false">CT8*SUP_CONTROL!$C$27+CT10*SUP_CONTROL!$C$38</f>
        <v>50459.967950892</v>
      </c>
      <c r="CU13" s="273" t="n">
        <f aca="false">CU8*SUP_CONTROL!$C$27+CU10*SUP_CONTROL!$C$38</f>
        <v>50459.967950892</v>
      </c>
      <c r="CV13" s="273" t="n">
        <f aca="false">CV8*SUP_CONTROL!$C$27+CV10*SUP_CONTROL!$C$38</f>
        <v>50459.967950892</v>
      </c>
      <c r="CW13" s="273" t="n">
        <f aca="false">CW8*SUP_CONTROL!$C$27+CW10*SUP_CONTROL!$C$38</f>
        <v>50459.967950892</v>
      </c>
      <c r="CX13" s="273" t="n">
        <f aca="false">CX8*SUP_CONTROL!$C$27+CX10*SUP_CONTROL!$C$38</f>
        <v>50459.967950892</v>
      </c>
      <c r="CY13" s="273" t="n">
        <f aca="false">CY8*SUP_CONTROL!$C$27+CY10*SUP_CONTROL!$C$38</f>
        <v>50459.967950892</v>
      </c>
      <c r="CZ13" s="273" t="n">
        <f aca="false">CZ8*SUP_CONTROL!$C$27+CZ10*SUP_CONTROL!$C$38</f>
        <v>50459.967950892</v>
      </c>
      <c r="DA13" s="273" t="n">
        <f aca="false">DA8*SUP_CONTROL!$C$27+DA10*SUP_CONTROL!$C$38</f>
        <v>50459.967950892</v>
      </c>
      <c r="DB13" s="273" t="n">
        <f aca="false">DB8*SUP_CONTROL!$C$27+DB10*SUP_CONTROL!$C$38</f>
        <v>50459.967950892</v>
      </c>
      <c r="DC13" s="273" t="n">
        <f aca="false">DC8*SUP_CONTROL!$C$27+DC10*SUP_CONTROL!$C$38</f>
        <v>50459.967950892</v>
      </c>
      <c r="DD13" s="273" t="n">
        <f aca="false">DD8*SUP_CONTROL!$C$27+DD10*SUP_CONTROL!$C$38</f>
        <v>50459.967950892</v>
      </c>
      <c r="DE13" s="273" t="n">
        <f aca="false">DE8*SUP_CONTROL!$C$27+DE10*SUP_CONTROL!$C$38</f>
        <v>50459.967950892</v>
      </c>
      <c r="DF13" s="273" t="n">
        <f aca="false">DF8*SUP_CONTROL!$C$27+DF10*SUP_CONTROL!$C$38</f>
        <v>50459.967950892</v>
      </c>
      <c r="DG13" s="273" t="n">
        <f aca="false">DG8*SUP_CONTROL!$C$27+DG10*SUP_CONTROL!$C$38</f>
        <v>50459.967950892</v>
      </c>
      <c r="DH13" s="273" t="n">
        <f aca="false">DH8*SUP_CONTROL!$C$27+DH10*SUP_CONTROL!$C$38</f>
        <v>50459.967950892</v>
      </c>
      <c r="DI13" s="273" t="n">
        <f aca="false">DI8*SUP_CONTROL!$C$27+DI10*SUP_CONTROL!$C$38</f>
        <v>50459.967950892</v>
      </c>
      <c r="DJ13" s="273" t="n">
        <f aca="false">DJ8*SUP_CONTROL!$C$27+DJ10*SUP_CONTROL!$C$38</f>
        <v>50459.967950892</v>
      </c>
      <c r="DK13" s="273" t="n">
        <f aca="false">DK8*SUP_CONTROL!$C$27+DK10*SUP_CONTROL!$C$38</f>
        <v>50459.967950892</v>
      </c>
      <c r="DL13" s="273" t="n">
        <f aca="false">DL8*SUP_CONTROL!$C$27+DL10*SUP_CONTROL!$C$38</f>
        <v>50459.967950892</v>
      </c>
      <c r="DM13" s="273" t="n">
        <f aca="false">DM8*SUP_CONTROL!$C$27+DM10*SUP_CONTROL!$C$38</f>
        <v>50459.967950892</v>
      </c>
      <c r="DN13" s="273" t="n">
        <f aca="false">DN8*SUP_CONTROL!$C$27+DN10*SUP_CONTROL!$C$38</f>
        <v>50459.967950892</v>
      </c>
      <c r="DO13" s="273" t="n">
        <f aca="false">DO8*SUP_CONTROL!$C$27+DO10*SUP_CONTROL!$C$38</f>
        <v>50459.967950892</v>
      </c>
      <c r="DP13" s="273" t="n">
        <f aca="false">DP8*SUP_CONTROL!$C$27+DP10*SUP_CONTROL!$C$38</f>
        <v>50459.967950892</v>
      </c>
      <c r="DQ13" s="273" t="n">
        <f aca="false">DQ8*SUP_CONTROL!$C$27+DQ10*SUP_CONTROL!$C$38</f>
        <v>50459.967950892</v>
      </c>
      <c r="DR13" s="273" t="n">
        <f aca="false">DR8*SUP_CONTROL!$C$27+DR10*SUP_CONTROL!$C$38</f>
        <v>50459.967950892</v>
      </c>
      <c r="DS13" s="273" t="n">
        <f aca="false">DS8*SUP_CONTROL!$C$27+DS10*SUP_CONTROL!$C$38</f>
        <v>50459.967950892</v>
      </c>
    </row>
    <row r="14" customFormat="false" ht="15" hidden="false" customHeight="true" outlineLevel="0" collapsed="false">
      <c r="B14" s="297" t="s">
        <v>3456</v>
      </c>
      <c r="D14" s="273" t="n">
        <f aca="false">D11*(SUP_OPEX!$C$30+SUP_OPEX!$C$31)</f>
        <v>0</v>
      </c>
      <c r="E14" s="273" t="n">
        <f aca="false">E11*(SUP_OPEX!$C$30+SUP_OPEX!$C$31)</f>
        <v>0</v>
      </c>
      <c r="F14" s="273" t="n">
        <f aca="false">F11*(SUP_OPEX!$C$30+SUP_OPEX!$C$31)</f>
        <v>0</v>
      </c>
      <c r="G14" s="273" t="n">
        <f aca="false">G11*(SUP_OPEX!$C$30+SUP_OPEX!$C$31)</f>
        <v>0</v>
      </c>
      <c r="H14" s="273" t="n">
        <f aca="false">H11*(SUP_OPEX!$C$30+SUP_OPEX!$C$31)</f>
        <v>0</v>
      </c>
      <c r="I14" s="273" t="n">
        <f aca="false">I11*(SUP_OPEX!$C$30+SUP_OPEX!$C$31)</f>
        <v>0</v>
      </c>
      <c r="J14" s="273" t="n">
        <f aca="false">J11*(SUP_OPEX!$C$30+SUP_OPEX!$C$31)</f>
        <v>9974.16855487766</v>
      </c>
      <c r="K14" s="273" t="n">
        <f aca="false">K11*(SUP_OPEX!$C$30+SUP_OPEX!$C$31)</f>
        <v>12111.4903880657</v>
      </c>
      <c r="L14" s="273" t="n">
        <f aca="false">L11*(SUP_OPEX!$C$30+SUP_OPEX!$C$31)</f>
        <v>14248.8122212538</v>
      </c>
      <c r="M14" s="273" t="n">
        <f aca="false">M11*(SUP_OPEX!$C$30+SUP_OPEX!$C$31)</f>
        <v>14248.8122212538</v>
      </c>
      <c r="N14" s="273" t="n">
        <f aca="false">N11*(SUP_OPEX!$C$30+SUP_OPEX!$C$31)</f>
        <v>14248.8122212538</v>
      </c>
      <c r="O14" s="273" t="n">
        <f aca="false">O11*(SUP_OPEX!$C$30+SUP_OPEX!$C$31)</f>
        <v>14248.8122212538</v>
      </c>
      <c r="P14" s="273" t="n">
        <f aca="false">P11*(SUP_OPEX!$C$30+SUP_OPEX!$C$31)</f>
        <v>14248.8122212538</v>
      </c>
      <c r="Q14" s="273" t="n">
        <f aca="false">Q11*(SUP_OPEX!$C$30+SUP_OPEX!$C$31)</f>
        <v>14248.8122212538</v>
      </c>
      <c r="R14" s="273" t="n">
        <f aca="false">R11*(SUP_OPEX!$C$30+SUP_OPEX!$C$31)</f>
        <v>14248.8122212538</v>
      </c>
      <c r="S14" s="273" t="n">
        <f aca="false">S11*(SUP_OPEX!$C$30+SUP_OPEX!$C$31)</f>
        <v>14248.8122212538</v>
      </c>
      <c r="T14" s="273" t="n">
        <f aca="false">T11*(SUP_OPEX!$C$30+SUP_OPEX!$C$31)</f>
        <v>14248.8122212538</v>
      </c>
      <c r="U14" s="273" t="n">
        <f aca="false">U11*(SUP_OPEX!$C$30+SUP_OPEX!$C$31)</f>
        <v>14248.8122212538</v>
      </c>
      <c r="V14" s="273" t="n">
        <f aca="false">V11*(SUP_OPEX!$C$30+SUP_OPEX!$C$31)</f>
        <v>14248.8122212538</v>
      </c>
      <c r="W14" s="273" t="n">
        <f aca="false">W11*(SUP_OPEX!$C$30+SUP_OPEX!$C$31)</f>
        <v>14248.8122212538</v>
      </c>
      <c r="X14" s="273" t="n">
        <f aca="false">X11*(SUP_OPEX!$C$30+SUP_OPEX!$C$31)</f>
        <v>14248.8122212538</v>
      </c>
      <c r="Y14" s="273" t="n">
        <f aca="false">Y11*(SUP_OPEX!$C$30+SUP_OPEX!$C$31)</f>
        <v>14248.8122212538</v>
      </c>
      <c r="Z14" s="273" t="n">
        <f aca="false">Z11*(SUP_OPEX!$C$30+SUP_OPEX!$C$31)</f>
        <v>14248.8122212538</v>
      </c>
      <c r="AA14" s="273" t="n">
        <f aca="false">AA11*(SUP_OPEX!$C$30+SUP_OPEX!$C$31)</f>
        <v>14248.8122212538</v>
      </c>
      <c r="AB14" s="273" t="n">
        <f aca="false">AB11*(SUP_OPEX!$C$30+SUP_OPEX!$C$31)</f>
        <v>14248.8122212538</v>
      </c>
      <c r="AC14" s="273" t="n">
        <f aca="false">AC11*(SUP_OPEX!$C$30+SUP_OPEX!$C$31)</f>
        <v>14248.8122212538</v>
      </c>
      <c r="AD14" s="273" t="n">
        <f aca="false">AD11*(SUP_OPEX!$C$30+SUP_OPEX!$C$31)</f>
        <v>14248.8122212538</v>
      </c>
      <c r="AE14" s="273" t="n">
        <f aca="false">AE11*(SUP_OPEX!$C$30+SUP_OPEX!$C$31)</f>
        <v>14248.8122212538</v>
      </c>
      <c r="AF14" s="273" t="n">
        <f aca="false">AF11*(SUP_OPEX!$C$30+SUP_OPEX!$C$31)</f>
        <v>14248.8122212538</v>
      </c>
      <c r="AG14" s="273" t="n">
        <f aca="false">AG11*(SUP_OPEX!$C$30+SUP_OPEX!$C$31)</f>
        <v>14248.8122212538</v>
      </c>
      <c r="AH14" s="273" t="n">
        <f aca="false">AH11*(SUP_OPEX!$C$30+SUP_OPEX!$C$31)</f>
        <v>14248.8122212538</v>
      </c>
      <c r="AI14" s="273" t="n">
        <f aca="false">AI11*(SUP_OPEX!$C$30+SUP_OPEX!$C$31)</f>
        <v>14248.8122212538</v>
      </c>
      <c r="AJ14" s="273" t="n">
        <f aca="false">AJ11*(SUP_OPEX!$C$30+SUP_OPEX!$C$31)</f>
        <v>14248.8122212538</v>
      </c>
      <c r="AK14" s="273" t="n">
        <f aca="false">AK11*(SUP_OPEX!$C$30+SUP_OPEX!$C$31)</f>
        <v>14248.8122212538</v>
      </c>
      <c r="AL14" s="273" t="n">
        <f aca="false">AL11*(SUP_OPEX!$C$30+SUP_OPEX!$C$31)</f>
        <v>14248.8122212538</v>
      </c>
      <c r="AM14" s="273" t="n">
        <f aca="false">AM11*(SUP_OPEX!$C$30+SUP_OPEX!$C$31)</f>
        <v>14248.8122212538</v>
      </c>
      <c r="AN14" s="273" t="n">
        <f aca="false">AN11*(SUP_OPEX!$C$30+SUP_OPEX!$C$31)</f>
        <v>14248.8122212538</v>
      </c>
      <c r="AO14" s="273" t="n">
        <f aca="false">AO11*(SUP_OPEX!$C$30+SUP_OPEX!$C$31)</f>
        <v>14248.8122212538</v>
      </c>
      <c r="AP14" s="273" t="n">
        <f aca="false">AP11*(SUP_OPEX!$C$30+SUP_OPEX!$C$31)</f>
        <v>14248.8122212538</v>
      </c>
      <c r="AQ14" s="273" t="n">
        <f aca="false">AQ11*(SUP_OPEX!$C$30+SUP_OPEX!$C$31)</f>
        <v>14248.8122212538</v>
      </c>
      <c r="AR14" s="273" t="n">
        <f aca="false">AR11*(SUP_OPEX!$C$30+SUP_OPEX!$C$31)</f>
        <v>14248.8122212538</v>
      </c>
      <c r="AS14" s="273" t="n">
        <f aca="false">AS11*(SUP_OPEX!$C$30+SUP_OPEX!$C$31)</f>
        <v>14248.8122212538</v>
      </c>
      <c r="AT14" s="273" t="n">
        <f aca="false">AT11*(SUP_OPEX!$C$30+SUP_OPEX!$C$31)</f>
        <v>14248.8122212538</v>
      </c>
      <c r="AU14" s="273" t="n">
        <f aca="false">AU11*(SUP_OPEX!$C$30+SUP_OPEX!$C$31)</f>
        <v>14248.8122212538</v>
      </c>
      <c r="AV14" s="273" t="n">
        <f aca="false">AV11*(SUP_OPEX!$C$30+SUP_OPEX!$C$31)</f>
        <v>14248.8122212538</v>
      </c>
      <c r="AW14" s="273" t="n">
        <f aca="false">AW11*(SUP_OPEX!$C$30+SUP_OPEX!$C$31)</f>
        <v>14248.8122212538</v>
      </c>
      <c r="AX14" s="273" t="n">
        <f aca="false">AX11*(SUP_OPEX!$C$30+SUP_OPEX!$C$31)</f>
        <v>14248.8122212538</v>
      </c>
      <c r="AY14" s="273" t="n">
        <f aca="false">AY11*(SUP_OPEX!$C$30+SUP_OPEX!$C$31)</f>
        <v>14248.8122212538</v>
      </c>
      <c r="AZ14" s="273" t="n">
        <f aca="false">AZ11*(SUP_OPEX!$C$30+SUP_OPEX!$C$31)</f>
        <v>14248.8122212538</v>
      </c>
      <c r="BA14" s="273" t="n">
        <f aca="false">BA11*(SUP_OPEX!$C$30+SUP_OPEX!$C$31)</f>
        <v>14248.8122212538</v>
      </c>
      <c r="BB14" s="273" t="n">
        <f aca="false">BB11*(SUP_OPEX!$C$30+SUP_OPEX!$C$31)</f>
        <v>14248.8122212538</v>
      </c>
      <c r="BC14" s="273" t="n">
        <f aca="false">BC11*(SUP_OPEX!$C$30+SUP_OPEX!$C$31)</f>
        <v>14248.8122212538</v>
      </c>
      <c r="BD14" s="273" t="n">
        <f aca="false">BD11*(SUP_OPEX!$C$30+SUP_OPEX!$C$31)</f>
        <v>14248.8122212538</v>
      </c>
      <c r="BE14" s="273" t="n">
        <f aca="false">BE11*(SUP_OPEX!$C$30+SUP_OPEX!$C$31)</f>
        <v>14248.8122212538</v>
      </c>
      <c r="BF14" s="273" t="n">
        <f aca="false">BF11*(SUP_OPEX!$C$30+SUP_OPEX!$C$31)</f>
        <v>14248.8122212538</v>
      </c>
      <c r="BG14" s="273" t="n">
        <f aca="false">BG11*(SUP_OPEX!$C$30+SUP_OPEX!$C$31)</f>
        <v>14248.8122212538</v>
      </c>
      <c r="BH14" s="273" t="n">
        <f aca="false">BH11*(SUP_OPEX!$C$30+SUP_OPEX!$C$31)</f>
        <v>14248.8122212538</v>
      </c>
      <c r="BI14" s="273" t="n">
        <f aca="false">BI11*(SUP_OPEX!$C$30+SUP_OPEX!$C$31)</f>
        <v>14248.8122212538</v>
      </c>
      <c r="BJ14" s="273" t="n">
        <f aca="false">BJ11*(SUP_OPEX!$C$30+SUP_OPEX!$C$31)</f>
        <v>14248.8122212538</v>
      </c>
      <c r="BK14" s="273" t="n">
        <f aca="false">BK11*(SUP_OPEX!$C$30+SUP_OPEX!$C$31)</f>
        <v>14248.8122212538</v>
      </c>
      <c r="BL14" s="273" t="n">
        <f aca="false">BL11*(SUP_OPEX!$C$30+SUP_OPEX!$C$31)</f>
        <v>14248.8122212538</v>
      </c>
      <c r="BM14" s="273" t="n">
        <f aca="false">BM11*(SUP_OPEX!$C$30+SUP_OPEX!$C$31)</f>
        <v>14248.8122212538</v>
      </c>
      <c r="BN14" s="273" t="n">
        <f aca="false">BN11*(SUP_OPEX!$C$30+SUP_OPEX!$C$31)</f>
        <v>14248.8122212538</v>
      </c>
      <c r="BO14" s="273" t="n">
        <f aca="false">BO11*(SUP_OPEX!$C$30+SUP_OPEX!$C$31)</f>
        <v>14248.8122212538</v>
      </c>
      <c r="BP14" s="273" t="n">
        <f aca="false">BP11*(SUP_OPEX!$C$30+SUP_OPEX!$C$31)</f>
        <v>14248.8122212538</v>
      </c>
      <c r="BQ14" s="273" t="n">
        <f aca="false">BQ11*(SUP_OPEX!$C$30+SUP_OPEX!$C$31)</f>
        <v>14248.8122212538</v>
      </c>
      <c r="BR14" s="273" t="n">
        <f aca="false">BR11*(SUP_OPEX!$C$30+SUP_OPEX!$C$31)</f>
        <v>14248.8122212538</v>
      </c>
      <c r="BS14" s="273" t="n">
        <f aca="false">BS11*(SUP_OPEX!$C$30+SUP_OPEX!$C$31)</f>
        <v>14248.8122212538</v>
      </c>
      <c r="BT14" s="273" t="n">
        <f aca="false">BT11*(SUP_OPEX!$C$30+SUP_OPEX!$C$31)</f>
        <v>14248.8122212538</v>
      </c>
      <c r="BU14" s="273" t="n">
        <f aca="false">BU11*(SUP_OPEX!$C$30+SUP_OPEX!$C$31)</f>
        <v>14248.8122212538</v>
      </c>
      <c r="BV14" s="273" t="n">
        <f aca="false">BV11*(SUP_OPEX!$C$30+SUP_OPEX!$C$31)</f>
        <v>14248.8122212538</v>
      </c>
      <c r="BW14" s="273" t="n">
        <f aca="false">BW11*(SUP_OPEX!$C$30+SUP_OPEX!$C$31)</f>
        <v>14248.8122212538</v>
      </c>
      <c r="BX14" s="273" t="n">
        <f aca="false">BX11*(SUP_OPEX!$C$30+SUP_OPEX!$C$31)</f>
        <v>14248.8122212538</v>
      </c>
      <c r="BY14" s="273" t="n">
        <f aca="false">BY11*(SUP_OPEX!$C$30+SUP_OPEX!$C$31)</f>
        <v>14248.8122212538</v>
      </c>
      <c r="BZ14" s="273" t="n">
        <f aca="false">BZ11*(SUP_OPEX!$C$30+SUP_OPEX!$C$31)</f>
        <v>14248.8122212538</v>
      </c>
      <c r="CA14" s="273" t="n">
        <f aca="false">CA11*(SUP_OPEX!$C$30+SUP_OPEX!$C$31)</f>
        <v>14248.8122212538</v>
      </c>
      <c r="CB14" s="273" t="n">
        <f aca="false">CB11*(SUP_OPEX!$C$30+SUP_OPEX!$C$31)</f>
        <v>14248.8122212538</v>
      </c>
      <c r="CC14" s="273" t="n">
        <f aca="false">CC11*(SUP_OPEX!$C$30+SUP_OPEX!$C$31)</f>
        <v>14248.8122212538</v>
      </c>
      <c r="CD14" s="273" t="n">
        <f aca="false">CD11*(SUP_OPEX!$C$30+SUP_OPEX!$C$31)</f>
        <v>14248.8122212538</v>
      </c>
      <c r="CE14" s="273" t="n">
        <f aca="false">CE11*(SUP_OPEX!$C$30+SUP_OPEX!$C$31)</f>
        <v>14248.8122212538</v>
      </c>
      <c r="CF14" s="273" t="n">
        <f aca="false">CF11*(SUP_OPEX!$C$30+SUP_OPEX!$C$31)</f>
        <v>14248.8122212538</v>
      </c>
      <c r="CG14" s="273" t="n">
        <f aca="false">CG11*(SUP_OPEX!$C$30+SUP_OPEX!$C$31)</f>
        <v>14248.8122212538</v>
      </c>
      <c r="CH14" s="273" t="n">
        <f aca="false">CH11*(SUP_OPEX!$C$30+SUP_OPEX!$C$31)</f>
        <v>14248.8122212538</v>
      </c>
      <c r="CI14" s="273" t="n">
        <f aca="false">CI11*(SUP_OPEX!$C$30+SUP_OPEX!$C$31)</f>
        <v>14248.8122212538</v>
      </c>
      <c r="CJ14" s="273" t="n">
        <f aca="false">CJ11*(SUP_OPEX!$C$30+SUP_OPEX!$C$31)</f>
        <v>14248.8122212538</v>
      </c>
      <c r="CK14" s="273" t="n">
        <f aca="false">CK11*(SUP_OPEX!$C$30+SUP_OPEX!$C$31)</f>
        <v>14248.8122212538</v>
      </c>
      <c r="CL14" s="273" t="n">
        <f aca="false">CL11*(SUP_OPEX!$C$30+SUP_OPEX!$C$31)</f>
        <v>14248.8122212538</v>
      </c>
      <c r="CM14" s="273" t="n">
        <f aca="false">CM11*(SUP_OPEX!$C$30+SUP_OPEX!$C$31)</f>
        <v>14248.8122212538</v>
      </c>
      <c r="CN14" s="273" t="n">
        <f aca="false">CN11*(SUP_OPEX!$C$30+SUP_OPEX!$C$31)</f>
        <v>14248.8122212538</v>
      </c>
      <c r="CO14" s="273" t="n">
        <f aca="false">CO11*(SUP_OPEX!$C$30+SUP_OPEX!$C$31)</f>
        <v>14248.8122212538</v>
      </c>
      <c r="CP14" s="273" t="n">
        <f aca="false">CP11*(SUP_OPEX!$C$30+SUP_OPEX!$C$31)</f>
        <v>14248.8122212538</v>
      </c>
      <c r="CQ14" s="273" t="n">
        <f aca="false">CQ11*(SUP_OPEX!$C$30+SUP_OPEX!$C$31)</f>
        <v>14248.8122212538</v>
      </c>
      <c r="CR14" s="273" t="n">
        <f aca="false">CR11*(SUP_OPEX!$C$30+SUP_OPEX!$C$31)</f>
        <v>14248.8122212538</v>
      </c>
      <c r="CS14" s="273" t="n">
        <f aca="false">CS11*(SUP_OPEX!$C$30+SUP_OPEX!$C$31)</f>
        <v>14248.8122212538</v>
      </c>
      <c r="CT14" s="273" t="n">
        <f aca="false">CT11*(SUP_OPEX!$C$30+SUP_OPEX!$C$31)</f>
        <v>14248.8122212538</v>
      </c>
      <c r="CU14" s="273" t="n">
        <f aca="false">CU11*(SUP_OPEX!$C$30+SUP_OPEX!$C$31)</f>
        <v>14248.8122212538</v>
      </c>
      <c r="CV14" s="273" t="n">
        <f aca="false">CV11*(SUP_OPEX!$C$30+SUP_OPEX!$C$31)</f>
        <v>14248.8122212538</v>
      </c>
      <c r="CW14" s="273" t="n">
        <f aca="false">CW11*(SUP_OPEX!$C$30+SUP_OPEX!$C$31)</f>
        <v>14248.8122212538</v>
      </c>
      <c r="CX14" s="273" t="n">
        <f aca="false">CX11*(SUP_OPEX!$C$30+SUP_OPEX!$C$31)</f>
        <v>14248.8122212538</v>
      </c>
      <c r="CY14" s="273" t="n">
        <f aca="false">CY11*(SUP_OPEX!$C$30+SUP_OPEX!$C$31)</f>
        <v>14248.8122212538</v>
      </c>
      <c r="CZ14" s="273" t="n">
        <f aca="false">CZ11*(SUP_OPEX!$C$30+SUP_OPEX!$C$31)</f>
        <v>14248.8122212538</v>
      </c>
      <c r="DA14" s="273" t="n">
        <f aca="false">DA11*(SUP_OPEX!$C$30+SUP_OPEX!$C$31)</f>
        <v>14248.8122212538</v>
      </c>
      <c r="DB14" s="273" t="n">
        <f aca="false">DB11*(SUP_OPEX!$C$30+SUP_OPEX!$C$31)</f>
        <v>14248.8122212538</v>
      </c>
      <c r="DC14" s="273" t="n">
        <f aca="false">DC11*(SUP_OPEX!$C$30+SUP_OPEX!$C$31)</f>
        <v>14248.8122212538</v>
      </c>
      <c r="DD14" s="273" t="n">
        <f aca="false">DD11*(SUP_OPEX!$C$30+SUP_OPEX!$C$31)</f>
        <v>14248.8122212538</v>
      </c>
      <c r="DE14" s="273" t="n">
        <f aca="false">DE11*(SUP_OPEX!$C$30+SUP_OPEX!$C$31)</f>
        <v>14248.8122212538</v>
      </c>
      <c r="DF14" s="273" t="n">
        <f aca="false">DF11*(SUP_OPEX!$C$30+SUP_OPEX!$C$31)</f>
        <v>14248.8122212538</v>
      </c>
      <c r="DG14" s="273" t="n">
        <f aca="false">DG11*(SUP_OPEX!$C$30+SUP_OPEX!$C$31)</f>
        <v>14248.8122212538</v>
      </c>
      <c r="DH14" s="273" t="n">
        <f aca="false">DH11*(SUP_OPEX!$C$30+SUP_OPEX!$C$31)</f>
        <v>14248.8122212538</v>
      </c>
      <c r="DI14" s="273" t="n">
        <f aca="false">DI11*(SUP_OPEX!$C$30+SUP_OPEX!$C$31)</f>
        <v>14248.8122212538</v>
      </c>
      <c r="DJ14" s="273" t="n">
        <f aca="false">DJ11*(SUP_OPEX!$C$30+SUP_OPEX!$C$31)</f>
        <v>14248.8122212538</v>
      </c>
      <c r="DK14" s="273" t="n">
        <f aca="false">DK11*(SUP_OPEX!$C$30+SUP_OPEX!$C$31)</f>
        <v>14248.8122212538</v>
      </c>
      <c r="DL14" s="273" t="n">
        <f aca="false">DL11*(SUP_OPEX!$C$30+SUP_OPEX!$C$31)</f>
        <v>14248.8122212538</v>
      </c>
      <c r="DM14" s="273" t="n">
        <f aca="false">DM11*(SUP_OPEX!$C$30+SUP_OPEX!$C$31)</f>
        <v>14248.8122212538</v>
      </c>
      <c r="DN14" s="273" t="n">
        <f aca="false">DN11*(SUP_OPEX!$C$30+SUP_OPEX!$C$31)</f>
        <v>14248.8122212538</v>
      </c>
      <c r="DO14" s="273" t="n">
        <f aca="false">DO11*(SUP_OPEX!$C$30+SUP_OPEX!$C$31)</f>
        <v>14248.8122212538</v>
      </c>
      <c r="DP14" s="273" t="n">
        <f aca="false">DP11*(SUP_OPEX!$C$30+SUP_OPEX!$C$31)</f>
        <v>14248.8122212538</v>
      </c>
      <c r="DQ14" s="273" t="n">
        <f aca="false">DQ11*(SUP_OPEX!$C$30+SUP_OPEX!$C$31)</f>
        <v>14248.8122212538</v>
      </c>
      <c r="DR14" s="273" t="n">
        <f aca="false">DR11*(SUP_OPEX!$C$30+SUP_OPEX!$C$31)</f>
        <v>14248.8122212538</v>
      </c>
      <c r="DS14" s="273" t="n">
        <f aca="false">DS11*(SUP_OPEX!$C$30+SUP_OPEX!$C$31)</f>
        <v>14248.8122212538</v>
      </c>
    </row>
    <row r="15" customFormat="false" ht="15" hidden="false" customHeight="true" outlineLevel="0" collapsed="false">
      <c r="B15" s="297" t="s">
        <v>3457</v>
      </c>
      <c r="D15" s="273" t="n">
        <f aca="false">D6*SUP_OPEX!$F$23</f>
        <v>0</v>
      </c>
      <c r="E15" s="273" t="n">
        <f aca="false">E6*SUP_OPEX!$F$23</f>
        <v>0</v>
      </c>
      <c r="F15" s="273" t="n">
        <f aca="false">F6*SUP_OPEX!$F$23</f>
        <v>0</v>
      </c>
      <c r="G15" s="273" t="n">
        <f aca="false">G6*SUP_OPEX!$F$23</f>
        <v>0</v>
      </c>
      <c r="H15" s="273" t="n">
        <f aca="false">H6*SUP_OPEX!$F$23</f>
        <v>0</v>
      </c>
      <c r="I15" s="273" t="n">
        <f aca="false">I6*SUP_OPEX!$F$23</f>
        <v>0</v>
      </c>
      <c r="J15" s="273" t="n">
        <f aca="false">J6*SUP_OPEX!$F$23</f>
        <v>20437.75</v>
      </c>
      <c r="K15" s="273" t="n">
        <f aca="false">K6*SUP_OPEX!$F$23</f>
        <v>20437.75</v>
      </c>
      <c r="L15" s="273" t="n">
        <f aca="false">L6*SUP_OPEX!$F$23</f>
        <v>20437.75</v>
      </c>
      <c r="M15" s="273" t="n">
        <f aca="false">M6*SUP_OPEX!$F$23</f>
        <v>20437.75</v>
      </c>
      <c r="N15" s="273" t="n">
        <f aca="false">N6*SUP_OPEX!$F$23</f>
        <v>20437.75</v>
      </c>
      <c r="O15" s="273" t="n">
        <f aca="false">O6*SUP_OPEX!$F$23</f>
        <v>20437.75</v>
      </c>
      <c r="P15" s="273" t="n">
        <f aca="false">P6*SUP_OPEX!$F$23</f>
        <v>20437.75</v>
      </c>
      <c r="Q15" s="273" t="n">
        <f aca="false">Q6*SUP_OPEX!$F$23</f>
        <v>20437.75</v>
      </c>
      <c r="R15" s="273" t="n">
        <f aca="false">R6*SUP_OPEX!$F$23</f>
        <v>20437.75</v>
      </c>
      <c r="S15" s="273" t="n">
        <f aca="false">S6*SUP_OPEX!$F$23</f>
        <v>20437.75</v>
      </c>
      <c r="T15" s="273" t="n">
        <f aca="false">T6*SUP_OPEX!$F$23</f>
        <v>20437.75</v>
      </c>
      <c r="U15" s="273" t="n">
        <f aca="false">U6*SUP_OPEX!$F$23</f>
        <v>20437.75</v>
      </c>
      <c r="V15" s="273" t="n">
        <f aca="false">V6*SUP_OPEX!$F$23</f>
        <v>20437.75</v>
      </c>
      <c r="W15" s="273" t="n">
        <f aca="false">W6*SUP_OPEX!$F$23</f>
        <v>20437.75</v>
      </c>
      <c r="X15" s="273" t="n">
        <f aca="false">X6*SUP_OPEX!$F$23</f>
        <v>20437.75</v>
      </c>
      <c r="Y15" s="273" t="n">
        <f aca="false">Y6*SUP_OPEX!$F$23</f>
        <v>20437.75</v>
      </c>
      <c r="Z15" s="273" t="n">
        <f aca="false">Z6*SUP_OPEX!$F$23</f>
        <v>20437.75</v>
      </c>
      <c r="AA15" s="273" t="n">
        <f aca="false">AA6*SUP_OPEX!$F$23</f>
        <v>20437.75</v>
      </c>
      <c r="AB15" s="273" t="n">
        <f aca="false">AB6*SUP_OPEX!$F$23</f>
        <v>20437.75</v>
      </c>
      <c r="AC15" s="273" t="n">
        <f aca="false">AC6*SUP_OPEX!$F$23</f>
        <v>20437.75</v>
      </c>
      <c r="AD15" s="273" t="n">
        <f aca="false">AD6*SUP_OPEX!$F$23</f>
        <v>20437.75</v>
      </c>
      <c r="AE15" s="273" t="n">
        <f aca="false">AE6*SUP_OPEX!$F$23</f>
        <v>20437.75</v>
      </c>
      <c r="AF15" s="273" t="n">
        <f aca="false">AF6*SUP_OPEX!$F$23</f>
        <v>20437.75</v>
      </c>
      <c r="AG15" s="273" t="n">
        <f aca="false">AG6*SUP_OPEX!$F$23</f>
        <v>20437.75</v>
      </c>
      <c r="AH15" s="273" t="n">
        <f aca="false">AH6*SUP_OPEX!$F$23</f>
        <v>20437.75</v>
      </c>
      <c r="AI15" s="273" t="n">
        <f aca="false">AI6*SUP_OPEX!$F$23</f>
        <v>20437.75</v>
      </c>
      <c r="AJ15" s="273" t="n">
        <f aca="false">AJ6*SUP_OPEX!$F$23</f>
        <v>20437.75</v>
      </c>
      <c r="AK15" s="273" t="n">
        <f aca="false">AK6*SUP_OPEX!$F$23</f>
        <v>20437.75</v>
      </c>
      <c r="AL15" s="273" t="n">
        <f aca="false">AL6*SUP_OPEX!$F$23</f>
        <v>20437.75</v>
      </c>
      <c r="AM15" s="273" t="n">
        <f aca="false">AM6*SUP_OPEX!$F$23</f>
        <v>20437.75</v>
      </c>
      <c r="AN15" s="273" t="n">
        <f aca="false">AN6*SUP_OPEX!$F$23</f>
        <v>20437.75</v>
      </c>
      <c r="AO15" s="273" t="n">
        <f aca="false">AO6*SUP_OPEX!$F$23</f>
        <v>20437.75</v>
      </c>
      <c r="AP15" s="273" t="n">
        <f aca="false">AP6*SUP_OPEX!$F$23</f>
        <v>20437.75</v>
      </c>
      <c r="AQ15" s="273" t="n">
        <f aca="false">AQ6*SUP_OPEX!$F$23</f>
        <v>20437.75</v>
      </c>
      <c r="AR15" s="273" t="n">
        <f aca="false">AR6*SUP_OPEX!$F$23</f>
        <v>20437.75</v>
      </c>
      <c r="AS15" s="273" t="n">
        <f aca="false">AS6*SUP_OPEX!$F$23</f>
        <v>20437.75</v>
      </c>
      <c r="AT15" s="273" t="n">
        <f aca="false">AT6*SUP_OPEX!$F$23</f>
        <v>20437.75</v>
      </c>
      <c r="AU15" s="273" t="n">
        <f aca="false">AU6*SUP_OPEX!$F$23</f>
        <v>20437.75</v>
      </c>
      <c r="AV15" s="273" t="n">
        <f aca="false">AV6*SUP_OPEX!$F$23</f>
        <v>20437.75</v>
      </c>
      <c r="AW15" s="273" t="n">
        <f aca="false">AW6*SUP_OPEX!$F$23</f>
        <v>20437.75</v>
      </c>
      <c r="AX15" s="273" t="n">
        <f aca="false">AX6*SUP_OPEX!$F$23</f>
        <v>20437.75</v>
      </c>
      <c r="AY15" s="273" t="n">
        <f aca="false">AY6*SUP_OPEX!$F$23</f>
        <v>20437.75</v>
      </c>
      <c r="AZ15" s="273" t="n">
        <f aca="false">AZ6*SUP_OPEX!$F$23</f>
        <v>20437.75</v>
      </c>
      <c r="BA15" s="273" t="n">
        <f aca="false">BA6*SUP_OPEX!$F$23</f>
        <v>20437.75</v>
      </c>
      <c r="BB15" s="273" t="n">
        <f aca="false">BB6*SUP_OPEX!$F$23</f>
        <v>20437.75</v>
      </c>
      <c r="BC15" s="273" t="n">
        <f aca="false">BC6*SUP_OPEX!$F$23</f>
        <v>20437.75</v>
      </c>
      <c r="BD15" s="273" t="n">
        <f aca="false">BD6*SUP_OPEX!$F$23</f>
        <v>20437.75</v>
      </c>
      <c r="BE15" s="273" t="n">
        <f aca="false">BE6*SUP_OPEX!$F$23</f>
        <v>20437.75</v>
      </c>
      <c r="BF15" s="273" t="n">
        <f aca="false">BF6*SUP_OPEX!$F$23</f>
        <v>20437.75</v>
      </c>
      <c r="BG15" s="273" t="n">
        <f aca="false">BG6*SUP_OPEX!$F$23</f>
        <v>20437.75</v>
      </c>
      <c r="BH15" s="273" t="n">
        <f aca="false">BH6*SUP_OPEX!$F$23</f>
        <v>20437.75</v>
      </c>
      <c r="BI15" s="273" t="n">
        <f aca="false">BI6*SUP_OPEX!$F$23</f>
        <v>20437.75</v>
      </c>
      <c r="BJ15" s="273" t="n">
        <f aca="false">BJ6*SUP_OPEX!$F$23</f>
        <v>20437.75</v>
      </c>
      <c r="BK15" s="273" t="n">
        <f aca="false">BK6*SUP_OPEX!$F$23</f>
        <v>20437.75</v>
      </c>
      <c r="BL15" s="273" t="n">
        <f aca="false">BL6*SUP_OPEX!$F$23</f>
        <v>20437.75</v>
      </c>
      <c r="BM15" s="273" t="n">
        <f aca="false">BM6*SUP_OPEX!$F$23</f>
        <v>20437.75</v>
      </c>
      <c r="BN15" s="273" t="n">
        <f aca="false">BN6*SUP_OPEX!$F$23</f>
        <v>20437.75</v>
      </c>
      <c r="BO15" s="273" t="n">
        <f aca="false">BO6*SUP_OPEX!$F$23</f>
        <v>20437.75</v>
      </c>
      <c r="BP15" s="273" t="n">
        <f aca="false">BP6*SUP_OPEX!$F$23</f>
        <v>20437.75</v>
      </c>
      <c r="BQ15" s="273" t="n">
        <f aca="false">BQ6*SUP_OPEX!$F$23</f>
        <v>20437.75</v>
      </c>
      <c r="BR15" s="273" t="n">
        <f aca="false">BR6*SUP_OPEX!$F$23</f>
        <v>20437.75</v>
      </c>
      <c r="BS15" s="273" t="n">
        <f aca="false">BS6*SUP_OPEX!$F$23</f>
        <v>20437.75</v>
      </c>
      <c r="BT15" s="273" t="n">
        <f aca="false">BT6*SUP_OPEX!$F$23</f>
        <v>20437.75</v>
      </c>
      <c r="BU15" s="273" t="n">
        <f aca="false">BU6*SUP_OPEX!$F$23</f>
        <v>20437.75</v>
      </c>
      <c r="BV15" s="273" t="n">
        <f aca="false">BV6*SUP_OPEX!$F$23</f>
        <v>20437.75</v>
      </c>
      <c r="BW15" s="273" t="n">
        <f aca="false">BW6*SUP_OPEX!$F$23</f>
        <v>20437.75</v>
      </c>
      <c r="BX15" s="273" t="n">
        <f aca="false">BX6*SUP_OPEX!$F$23</f>
        <v>20437.75</v>
      </c>
      <c r="BY15" s="273" t="n">
        <f aca="false">BY6*SUP_OPEX!$F$23</f>
        <v>20437.75</v>
      </c>
      <c r="BZ15" s="273" t="n">
        <f aca="false">BZ6*SUP_OPEX!$F$23</f>
        <v>20437.75</v>
      </c>
      <c r="CA15" s="273" t="n">
        <f aca="false">CA6*SUP_OPEX!$F$23</f>
        <v>20437.75</v>
      </c>
      <c r="CB15" s="273" t="n">
        <f aca="false">CB6*SUP_OPEX!$F$23</f>
        <v>20437.75</v>
      </c>
      <c r="CC15" s="273" t="n">
        <f aca="false">CC6*SUP_OPEX!$F$23</f>
        <v>20437.75</v>
      </c>
      <c r="CD15" s="273" t="n">
        <f aca="false">CD6*SUP_OPEX!$F$23</f>
        <v>20437.75</v>
      </c>
      <c r="CE15" s="273" t="n">
        <f aca="false">CE6*SUP_OPEX!$F$23</f>
        <v>20437.75</v>
      </c>
      <c r="CF15" s="273" t="n">
        <f aca="false">CF6*SUP_OPEX!$F$23</f>
        <v>20437.75</v>
      </c>
      <c r="CG15" s="273" t="n">
        <f aca="false">CG6*SUP_OPEX!$F$23</f>
        <v>20437.75</v>
      </c>
      <c r="CH15" s="273" t="n">
        <f aca="false">CH6*SUP_OPEX!$F$23</f>
        <v>20437.75</v>
      </c>
      <c r="CI15" s="273" t="n">
        <f aca="false">CI6*SUP_OPEX!$F$23</f>
        <v>20437.75</v>
      </c>
      <c r="CJ15" s="273" t="n">
        <f aca="false">CJ6*SUP_OPEX!$F$23</f>
        <v>20437.75</v>
      </c>
      <c r="CK15" s="273" t="n">
        <f aca="false">CK6*SUP_OPEX!$F$23</f>
        <v>20437.75</v>
      </c>
      <c r="CL15" s="273" t="n">
        <f aca="false">CL6*SUP_OPEX!$F$23</f>
        <v>20437.75</v>
      </c>
      <c r="CM15" s="273" t="n">
        <f aca="false">CM6*SUP_OPEX!$F$23</f>
        <v>20437.75</v>
      </c>
      <c r="CN15" s="273" t="n">
        <f aca="false">CN6*SUP_OPEX!$F$23</f>
        <v>20437.75</v>
      </c>
      <c r="CO15" s="273" t="n">
        <f aca="false">CO6*SUP_OPEX!$F$23</f>
        <v>20437.75</v>
      </c>
      <c r="CP15" s="273" t="n">
        <f aca="false">CP6*SUP_OPEX!$F$23</f>
        <v>20437.75</v>
      </c>
      <c r="CQ15" s="273" t="n">
        <f aca="false">CQ6*SUP_OPEX!$F$23</f>
        <v>20437.75</v>
      </c>
      <c r="CR15" s="273" t="n">
        <f aca="false">CR6*SUP_OPEX!$F$23</f>
        <v>20437.75</v>
      </c>
      <c r="CS15" s="273" t="n">
        <f aca="false">CS6*SUP_OPEX!$F$23</f>
        <v>20437.75</v>
      </c>
      <c r="CT15" s="273" t="n">
        <f aca="false">CT6*SUP_OPEX!$F$23</f>
        <v>20437.75</v>
      </c>
      <c r="CU15" s="273" t="n">
        <f aca="false">CU6*SUP_OPEX!$F$23</f>
        <v>20437.75</v>
      </c>
      <c r="CV15" s="273" t="n">
        <f aca="false">CV6*SUP_OPEX!$F$23</f>
        <v>20437.75</v>
      </c>
      <c r="CW15" s="273" t="n">
        <f aca="false">CW6*SUP_OPEX!$F$23</f>
        <v>20437.75</v>
      </c>
      <c r="CX15" s="273" t="n">
        <f aca="false">CX6*SUP_OPEX!$F$23</f>
        <v>20437.75</v>
      </c>
      <c r="CY15" s="273" t="n">
        <f aca="false">CY6*SUP_OPEX!$F$23</f>
        <v>20437.75</v>
      </c>
      <c r="CZ15" s="273" t="n">
        <f aca="false">CZ6*SUP_OPEX!$F$23</f>
        <v>20437.75</v>
      </c>
      <c r="DA15" s="273" t="n">
        <f aca="false">DA6*SUP_OPEX!$F$23</f>
        <v>20437.75</v>
      </c>
      <c r="DB15" s="273" t="n">
        <f aca="false">DB6*SUP_OPEX!$F$23</f>
        <v>20437.75</v>
      </c>
      <c r="DC15" s="273" t="n">
        <f aca="false">DC6*SUP_OPEX!$F$23</f>
        <v>20437.75</v>
      </c>
      <c r="DD15" s="273" t="n">
        <f aca="false">DD6*SUP_OPEX!$F$23</f>
        <v>20437.75</v>
      </c>
      <c r="DE15" s="273" t="n">
        <f aca="false">DE6*SUP_OPEX!$F$23</f>
        <v>20437.75</v>
      </c>
      <c r="DF15" s="273" t="n">
        <f aca="false">DF6*SUP_OPEX!$F$23</f>
        <v>20437.75</v>
      </c>
      <c r="DG15" s="273" t="n">
        <f aca="false">DG6*SUP_OPEX!$F$23</f>
        <v>20437.75</v>
      </c>
      <c r="DH15" s="273" t="n">
        <f aca="false">DH6*SUP_OPEX!$F$23</f>
        <v>20437.75</v>
      </c>
      <c r="DI15" s="273" t="n">
        <f aca="false">DI6*SUP_OPEX!$F$23</f>
        <v>20437.75</v>
      </c>
      <c r="DJ15" s="273" t="n">
        <f aca="false">DJ6*SUP_OPEX!$F$23</f>
        <v>20437.75</v>
      </c>
      <c r="DK15" s="273" t="n">
        <f aca="false">DK6*SUP_OPEX!$F$23</f>
        <v>20437.75</v>
      </c>
      <c r="DL15" s="273" t="n">
        <f aca="false">DL6*SUP_OPEX!$F$23</f>
        <v>20437.75</v>
      </c>
      <c r="DM15" s="273" t="n">
        <f aca="false">DM6*SUP_OPEX!$F$23</f>
        <v>20437.75</v>
      </c>
      <c r="DN15" s="273" t="n">
        <f aca="false">DN6*SUP_OPEX!$F$23</f>
        <v>20437.75</v>
      </c>
      <c r="DO15" s="273" t="n">
        <f aca="false">DO6*SUP_OPEX!$F$23</f>
        <v>20437.75</v>
      </c>
      <c r="DP15" s="273" t="n">
        <f aca="false">DP6*SUP_OPEX!$F$23</f>
        <v>20437.75</v>
      </c>
      <c r="DQ15" s="273" t="n">
        <f aca="false">DQ6*SUP_OPEX!$F$23</f>
        <v>20437.75</v>
      </c>
      <c r="DR15" s="273" t="n">
        <f aca="false">DR6*SUP_OPEX!$F$23</f>
        <v>20437.75</v>
      </c>
      <c r="DS15" s="273" t="n">
        <f aca="false">DS6*SUP_OPEX!$F$23</f>
        <v>20437.75</v>
      </c>
    </row>
    <row r="16" customFormat="false" ht="15" hidden="false" customHeight="true" outlineLevel="0" collapsed="false">
      <c r="B16" s="297" t="s">
        <v>3420</v>
      </c>
      <c r="D16" s="273" t="n">
        <f aca="false">D12*PROD_DEMANDA!D16</f>
        <v>0</v>
      </c>
      <c r="E16" s="273" t="n">
        <f aca="false">E12*PROD_DEMANDA!E16</f>
        <v>0</v>
      </c>
      <c r="F16" s="273" t="n">
        <f aca="false">F12*PROD_DEMANDA!F16</f>
        <v>0</v>
      </c>
      <c r="G16" s="273" t="n">
        <f aca="false">G12*PROD_DEMANDA!G16</f>
        <v>0</v>
      </c>
      <c r="H16" s="273" t="n">
        <f aca="false">H12*PROD_DEMANDA!H16</f>
        <v>0</v>
      </c>
      <c r="I16" s="273" t="n">
        <f aca="false">I12*PROD_DEMANDA!I16</f>
        <v>0</v>
      </c>
      <c r="J16" s="273" t="n">
        <f aca="false">J12*PROD_DEMANDA!J16</f>
        <v>582.12</v>
      </c>
      <c r="K16" s="273" t="n">
        <f aca="false">K12*PROD_DEMANDA!K16</f>
        <v>706.86</v>
      </c>
      <c r="L16" s="273" t="n">
        <f aca="false">L12*PROD_DEMANDA!L16</f>
        <v>831.6</v>
      </c>
      <c r="M16" s="273" t="n">
        <f aca="false">M12*PROD_DEMANDA!M16</f>
        <v>831.6</v>
      </c>
      <c r="N16" s="273" t="n">
        <f aca="false">N12*PROD_DEMANDA!N16</f>
        <v>831.6</v>
      </c>
      <c r="O16" s="273" t="n">
        <f aca="false">O12*PROD_DEMANDA!O16</f>
        <v>831.6</v>
      </c>
      <c r="P16" s="273" t="n">
        <f aca="false">P12*PROD_DEMANDA!P16</f>
        <v>831.6</v>
      </c>
      <c r="Q16" s="273" t="n">
        <f aca="false">Q12*PROD_DEMANDA!Q16</f>
        <v>831.6</v>
      </c>
      <c r="R16" s="273" t="n">
        <f aca="false">R12*PROD_DEMANDA!R16</f>
        <v>831.6</v>
      </c>
      <c r="S16" s="273" t="n">
        <f aca="false">S12*PROD_DEMANDA!S16</f>
        <v>831.6</v>
      </c>
      <c r="T16" s="273" t="n">
        <f aca="false">T12*PROD_DEMANDA!T16</f>
        <v>831.6</v>
      </c>
      <c r="U16" s="273" t="n">
        <f aca="false">U12*PROD_DEMANDA!U16</f>
        <v>831.6</v>
      </c>
      <c r="V16" s="273" t="n">
        <f aca="false">V12*PROD_DEMANDA!V16</f>
        <v>831.6</v>
      </c>
      <c r="W16" s="273" t="n">
        <f aca="false">W12*PROD_DEMANDA!W16</f>
        <v>831.6</v>
      </c>
      <c r="X16" s="273" t="n">
        <f aca="false">X12*PROD_DEMANDA!X16</f>
        <v>831.6</v>
      </c>
      <c r="Y16" s="273" t="n">
        <f aca="false">Y12*PROD_DEMANDA!Y16</f>
        <v>831.6</v>
      </c>
      <c r="Z16" s="273" t="n">
        <f aca="false">Z12*PROD_DEMANDA!Z16</f>
        <v>831.6</v>
      </c>
      <c r="AA16" s="273" t="n">
        <f aca="false">AA12*PROD_DEMANDA!AA16</f>
        <v>831.6</v>
      </c>
      <c r="AB16" s="273" t="n">
        <f aca="false">AB12*PROD_DEMANDA!AB16</f>
        <v>831.6</v>
      </c>
      <c r="AC16" s="273" t="n">
        <f aca="false">AC12*PROD_DEMANDA!AC16</f>
        <v>831.6</v>
      </c>
      <c r="AD16" s="273" t="n">
        <f aca="false">AD12*PROD_DEMANDA!AD16</f>
        <v>1088.24028776978</v>
      </c>
      <c r="AE16" s="273" t="n">
        <f aca="false">AE12*PROD_DEMANDA!AE16</f>
        <v>1088.24028776978</v>
      </c>
      <c r="AF16" s="273" t="n">
        <f aca="false">AF12*PROD_DEMANDA!AF16</f>
        <v>1088.24028776978</v>
      </c>
      <c r="AG16" s="273" t="n">
        <f aca="false">AG12*PROD_DEMANDA!AG16</f>
        <v>1094.42910934106</v>
      </c>
      <c r="AH16" s="273" t="n">
        <f aca="false">AH12*PROD_DEMANDA!AH16</f>
        <v>1094.42910934106</v>
      </c>
      <c r="AI16" s="273" t="n">
        <f aca="false">AI12*PROD_DEMANDA!AI16</f>
        <v>1040.87722467728</v>
      </c>
      <c r="AJ16" s="273" t="n">
        <f aca="false">AJ12*PROD_DEMANDA!AJ16</f>
        <v>993.007643064734</v>
      </c>
      <c r="AK16" s="273" t="n">
        <f aca="false">AK12*PROD_DEMANDA!AK16</f>
        <v>978.246585119173</v>
      </c>
      <c r="AL16" s="273" t="n">
        <f aca="false">AL12*PROD_DEMANDA!AL16</f>
        <v>935.004114754593</v>
      </c>
      <c r="AM16" s="273" t="n">
        <f aca="false">AM12*PROD_DEMANDA!AM16</f>
        <v>923.52002140691</v>
      </c>
      <c r="AN16" s="273" t="n">
        <f aca="false">AN12*PROD_DEMANDA!AN16</f>
        <v>890.972538402348</v>
      </c>
      <c r="AO16" s="273" t="n">
        <f aca="false">AO12*PROD_DEMANDA!AO16</f>
        <v>880.715027829314</v>
      </c>
      <c r="AP16" s="273" t="n">
        <f aca="false">AP12*PROD_DEMANDA!AP16</f>
        <v>884.194215996385</v>
      </c>
      <c r="AQ16" s="273" t="n">
        <f aca="false">AQ12*PROD_DEMANDA!AQ16</f>
        <v>848.390947745675</v>
      </c>
      <c r="AR16" s="273" t="n">
        <f aca="false">AR12*PROD_DEMANDA!AR16</f>
        <v>819.168480914437</v>
      </c>
      <c r="AS16" s="273" t="n">
        <f aca="false">AS12*PROD_DEMANDA!AS16</f>
        <v>789.667355877363</v>
      </c>
      <c r="AT16" s="273" t="n">
        <f aca="false">AT12*PROD_DEMANDA!AT16</f>
        <v>759.842249179325</v>
      </c>
      <c r="AU16" s="273" t="n">
        <f aca="false">AU12*PROD_DEMANDA!AU16</f>
        <v>750.319999073152</v>
      </c>
      <c r="AV16" s="273" t="n">
        <f aca="false">AV12*PROD_DEMANDA!AV16</f>
        <v>745.008636729069</v>
      </c>
      <c r="AW16" s="273" t="n">
        <f aca="false">AW12*PROD_DEMANDA!AW16</f>
        <v>721.110775897734</v>
      </c>
      <c r="AX16" s="273" t="n">
        <f aca="false">AX12*PROD_DEMANDA!AX16</f>
        <v>716.412018489985</v>
      </c>
      <c r="AY16" s="273" t="n">
        <f aca="false">AY12*PROD_DEMANDA!AY16</f>
        <v>698.351334710095</v>
      </c>
      <c r="AZ16" s="273" t="n">
        <f aca="false">AZ12*PROD_DEMANDA!AZ16</f>
        <v>678.240035567184</v>
      </c>
      <c r="BA16" s="273" t="n">
        <f aca="false">BA12*PROD_DEMANDA!BA16</f>
        <v>673.077871806292</v>
      </c>
      <c r="BB16" s="273" t="n">
        <f aca="false">BB12*PROD_DEMANDA!BB16</f>
        <v>1022.63118219079</v>
      </c>
      <c r="BC16" s="273" t="n">
        <f aca="false">BC12*PROD_DEMANDA!BC16</f>
        <v>1019.28693580993</v>
      </c>
      <c r="BD16" s="273" t="n">
        <f aca="false">BD12*PROD_DEMANDA!BD16</f>
        <v>1019.28693580993</v>
      </c>
      <c r="BE16" s="273" t="n">
        <f aca="false">BE12*PROD_DEMANDA!BE16</f>
        <v>1019.28693580993</v>
      </c>
      <c r="BF16" s="273" t="n">
        <f aca="false">BF12*PROD_DEMANDA!BF16</f>
        <v>1032.61820546164</v>
      </c>
      <c r="BG16" s="273" t="n">
        <f aca="false">BG12*PROD_DEMANDA!BG16</f>
        <v>1032.61820546164</v>
      </c>
      <c r="BH16" s="273" t="n">
        <f aca="false">BH12*PROD_DEMANDA!BH16</f>
        <v>1032.61820546164</v>
      </c>
      <c r="BI16" s="273" t="n">
        <f aca="false">BI12*PROD_DEMANDA!BI16</f>
        <v>991.180995194544</v>
      </c>
      <c r="BJ16" s="273" t="n">
        <f aca="false">BJ12*PROD_DEMANDA!BJ16</f>
        <v>963.24952395232</v>
      </c>
      <c r="BK16" s="273" t="n">
        <f aca="false">BK12*PROD_DEMANDA!BK16</f>
        <v>941.212137684464</v>
      </c>
      <c r="BL16" s="273" t="n">
        <f aca="false">BL12*PROD_DEMANDA!BL16</f>
        <v>912.131169790092</v>
      </c>
      <c r="BM16" s="273" t="n">
        <f aca="false">BM12*PROD_DEMANDA!BM16</f>
        <v>887.71468264778</v>
      </c>
      <c r="BN16" s="273" t="n">
        <f aca="false">BN12*PROD_DEMANDA!BN16</f>
        <v>864.792440996864</v>
      </c>
      <c r="BO16" s="273" t="n">
        <f aca="false">BO12*PROD_DEMANDA!BO16</f>
        <v>857.319372754002</v>
      </c>
      <c r="BP16" s="273" t="n">
        <f aca="false">BP12*PROD_DEMANDA!BP16</f>
        <v>835.894813077447</v>
      </c>
      <c r="BQ16" s="273" t="n">
        <f aca="false">BQ12*PROD_DEMANDA!BQ16</f>
        <v>827.753969526865</v>
      </c>
      <c r="BR16" s="273" t="n">
        <f aca="false">BR12*PROD_DEMANDA!BR16</f>
        <v>810.528067046204</v>
      </c>
      <c r="BS16" s="273" t="n">
        <f aca="false">BS12*PROD_DEMANDA!BS16</f>
        <v>792.427864954827</v>
      </c>
      <c r="BT16" s="273" t="n">
        <f aca="false">BT12*PROD_DEMANDA!BT16</f>
        <v>772.613072196798</v>
      </c>
      <c r="BU16" s="273" t="n">
        <f aca="false">BU12*PROD_DEMANDA!BU16</f>
        <v>756.244416494475</v>
      </c>
      <c r="BV16" s="273" t="n">
        <f aca="false">BV12*PROD_DEMANDA!BV16</f>
        <v>740.917278840047</v>
      </c>
      <c r="BW16" s="273" t="n">
        <f aca="false">BW12*PROD_DEMANDA!BW16</f>
        <v>733.520192808226</v>
      </c>
      <c r="BX16" s="273" t="n">
        <f aca="false">BX12*PROD_DEMANDA!BX16</f>
        <v>717.342904644872</v>
      </c>
      <c r="BY16" s="273" t="n">
        <f aca="false">BY12*PROD_DEMANDA!BY16</f>
        <v>712.18734562027</v>
      </c>
      <c r="BZ16" s="273" t="n">
        <f aca="false">BZ12*PROD_DEMANDA!BZ16</f>
        <v>693.0557449806</v>
      </c>
      <c r="CA16" s="273" t="n">
        <f aca="false">CA12*PROD_DEMANDA!CA16</f>
        <v>680.301805467495</v>
      </c>
      <c r="CB16" s="273" t="n">
        <f aca="false">CB12*PROD_DEMANDA!CB16</f>
        <v>675.873337810611</v>
      </c>
      <c r="CC16" s="273" t="n">
        <f aca="false">CC12*PROD_DEMANDA!CC16</f>
        <v>663.879054497702</v>
      </c>
      <c r="CD16" s="273" t="n">
        <f aca="false">CD12*PROD_DEMANDA!CD16</f>
        <v>651.441432925586</v>
      </c>
      <c r="CE16" s="273" t="n">
        <f aca="false">CE12*PROD_DEMANDA!CE16</f>
        <v>641.037966039761</v>
      </c>
      <c r="CF16" s="273" t="n">
        <f aca="false">CF12*PROD_DEMANDA!CF16</f>
        <v>631.188777932023</v>
      </c>
      <c r="CG16" s="273" t="n">
        <f aca="false">CG12*PROD_DEMANDA!CG16</f>
        <v>620.253384709694</v>
      </c>
      <c r="CH16" s="273" t="n">
        <f aca="false">CH12*PROD_DEMANDA!CH16</f>
        <v>702.632662618735</v>
      </c>
      <c r="CI16" s="273" t="n">
        <f aca="false">CI12*PROD_DEMANDA!CI16</f>
        <v>691.275872348621</v>
      </c>
      <c r="CJ16" s="273" t="n">
        <f aca="false">CJ12*PROD_DEMANDA!CJ16</f>
        <v>686.649855929318</v>
      </c>
      <c r="CK16" s="273" t="n">
        <f aca="false">CK12*PROD_DEMANDA!CK16</f>
        <v>684.460557439418</v>
      </c>
      <c r="CL16" s="273" t="n">
        <f aca="false">CL12*PROD_DEMANDA!CL16</f>
        <v>683.514134742404</v>
      </c>
      <c r="CM16" s="273" t="n">
        <f aca="false">CM12*PROD_DEMANDA!CM16</f>
        <v>683.514134742404</v>
      </c>
      <c r="CN16" s="273" t="n">
        <f aca="false">CN12*PROD_DEMANDA!CN16</f>
        <v>683.514134742404</v>
      </c>
      <c r="CO16" s="273" t="n">
        <f aca="false">CO12*PROD_DEMANDA!CO16</f>
        <v>683.514134742404</v>
      </c>
      <c r="CP16" s="273" t="n">
        <f aca="false">CP12*PROD_DEMANDA!CP16</f>
        <v>683.514134742404</v>
      </c>
      <c r="CQ16" s="273" t="n">
        <f aca="false">CQ12*PROD_DEMANDA!CQ16</f>
        <v>683.514134742404</v>
      </c>
      <c r="CR16" s="273" t="n">
        <f aca="false">CR12*PROD_DEMANDA!CR16</f>
        <v>683.514134742404</v>
      </c>
      <c r="CS16" s="273" t="n">
        <f aca="false">CS12*PROD_DEMANDA!CS16</f>
        <v>683.514134742404</v>
      </c>
      <c r="CT16" s="273" t="n">
        <f aca="false">CT12*PROD_DEMANDA!CT16</f>
        <v>683.514134742404</v>
      </c>
      <c r="CU16" s="273" t="n">
        <f aca="false">CU12*PROD_DEMANDA!CU16</f>
        <v>683.514134742404</v>
      </c>
      <c r="CV16" s="273" t="n">
        <f aca="false">CV12*PROD_DEMANDA!CV16</f>
        <v>683.514134742404</v>
      </c>
      <c r="CW16" s="273" t="n">
        <f aca="false">CW12*PROD_DEMANDA!CW16</f>
        <v>683.514134742404</v>
      </c>
      <c r="CX16" s="273" t="n">
        <f aca="false">CX12*PROD_DEMANDA!CX16</f>
        <v>683.514134742404</v>
      </c>
      <c r="CY16" s="273" t="n">
        <f aca="false">CY12*PROD_DEMANDA!CY16</f>
        <v>683.514134742404</v>
      </c>
      <c r="CZ16" s="273" t="n">
        <f aca="false">CZ12*PROD_DEMANDA!CZ16</f>
        <v>683.514134742404</v>
      </c>
      <c r="DA16" s="273" t="n">
        <f aca="false">DA12*PROD_DEMANDA!DA16</f>
        <v>683.514134742404</v>
      </c>
      <c r="DB16" s="273" t="n">
        <f aca="false">DB12*PROD_DEMANDA!DB16</f>
        <v>683.514134742404</v>
      </c>
      <c r="DC16" s="273" t="n">
        <f aca="false">DC12*PROD_DEMANDA!DC16</f>
        <v>683.514134742404</v>
      </c>
      <c r="DD16" s="273" t="n">
        <f aca="false">DD12*PROD_DEMANDA!DD16</f>
        <v>683.514134742404</v>
      </c>
      <c r="DE16" s="273" t="n">
        <f aca="false">DE12*PROD_DEMANDA!DE16</f>
        <v>683.514134742404</v>
      </c>
      <c r="DF16" s="273" t="n">
        <f aca="false">DF12*PROD_DEMANDA!DF16</f>
        <v>683.514134742404</v>
      </c>
      <c r="DG16" s="273" t="n">
        <f aca="false">DG12*PROD_DEMANDA!DG16</f>
        <v>683.514134742404</v>
      </c>
      <c r="DH16" s="273" t="n">
        <f aca="false">DH12*PROD_DEMANDA!DH16</f>
        <v>683.514134742404</v>
      </c>
      <c r="DI16" s="273" t="n">
        <f aca="false">DI12*PROD_DEMANDA!DI16</f>
        <v>683.514134742404</v>
      </c>
      <c r="DJ16" s="273" t="n">
        <f aca="false">DJ12*PROD_DEMANDA!DJ16</f>
        <v>683.514134742404</v>
      </c>
      <c r="DK16" s="273" t="n">
        <f aca="false">DK12*PROD_DEMANDA!DK16</f>
        <v>683.514134742404</v>
      </c>
      <c r="DL16" s="273" t="n">
        <f aca="false">DL12*PROD_DEMANDA!DL16</f>
        <v>683.514134742404</v>
      </c>
      <c r="DM16" s="273" t="n">
        <f aca="false">DM12*PROD_DEMANDA!DM16</f>
        <v>683.514134742404</v>
      </c>
      <c r="DN16" s="273" t="n">
        <f aca="false">DN12*PROD_DEMANDA!DN16</f>
        <v>683.514134742404</v>
      </c>
      <c r="DO16" s="273" t="n">
        <f aca="false">DO12*PROD_DEMANDA!DO16</f>
        <v>683.514134742404</v>
      </c>
      <c r="DP16" s="273" t="n">
        <f aca="false">DP12*PROD_DEMANDA!DP16</f>
        <v>683.514134742404</v>
      </c>
      <c r="DQ16" s="273" t="n">
        <f aca="false">DQ12*PROD_DEMANDA!DQ16</f>
        <v>683.514134742404</v>
      </c>
      <c r="DR16" s="273" t="n">
        <f aca="false">DR12*PROD_DEMANDA!DR16</f>
        <v>683.514134742404</v>
      </c>
      <c r="DS16" s="273" t="n">
        <f aca="false">DS12*PROD_DEMANDA!DS16</f>
        <v>683.514134742404</v>
      </c>
    </row>
    <row r="17" customFormat="false" ht="15" hidden="false" customHeight="true" outlineLevel="0" collapsed="false">
      <c r="B17" s="297" t="s">
        <v>3421</v>
      </c>
      <c r="D17" s="273" t="n">
        <f aca="false">D12*PROD_DEMANDA!D18</f>
        <v>0</v>
      </c>
      <c r="E17" s="273" t="n">
        <f aca="false">E12*PROD_DEMANDA!E18</f>
        <v>0</v>
      </c>
      <c r="F17" s="273" t="n">
        <f aca="false">F12*PROD_DEMANDA!F18</f>
        <v>0</v>
      </c>
      <c r="G17" s="273" t="n">
        <f aca="false">G12*PROD_DEMANDA!G18</f>
        <v>0</v>
      </c>
      <c r="H17" s="273" t="n">
        <f aca="false">H12*PROD_DEMANDA!H18</f>
        <v>0</v>
      </c>
      <c r="I17" s="273" t="n">
        <f aca="false">I12*PROD_DEMANDA!I18</f>
        <v>0</v>
      </c>
      <c r="J17" s="273" t="n">
        <f aca="false">J12*PROD_DEMANDA!J18</f>
        <v>2294.14832763338</v>
      </c>
      <c r="K17" s="273" t="n">
        <f aca="false">K12*PROD_DEMANDA!K18</f>
        <v>2142.67489130435</v>
      </c>
      <c r="L17" s="273" t="n">
        <f aca="false">L12*PROD_DEMANDA!L18</f>
        <v>2363.89184110371</v>
      </c>
      <c r="M17" s="273" t="n">
        <f aca="false">M12*PROD_DEMANDA!M18</f>
        <v>2289.23038990826</v>
      </c>
      <c r="N17" s="273" t="n">
        <f aca="false">N12*PROD_DEMANDA!N18</f>
        <v>2289.23038990826</v>
      </c>
      <c r="O17" s="273" t="n">
        <f aca="false">O12*PROD_DEMANDA!O18</f>
        <v>2289.23038990826</v>
      </c>
      <c r="P17" s="273" t="n">
        <f aca="false">P12*PROD_DEMANDA!P18</f>
        <v>2289.23038990826</v>
      </c>
      <c r="Q17" s="273" t="n">
        <f aca="false">Q12*PROD_DEMANDA!Q18</f>
        <v>2289.23038990826</v>
      </c>
      <c r="R17" s="273" t="n">
        <f aca="false">R12*PROD_DEMANDA!R18</f>
        <v>2289.23038990826</v>
      </c>
      <c r="S17" s="273" t="n">
        <f aca="false">S12*PROD_DEMANDA!S18</f>
        <v>2289.23038990826</v>
      </c>
      <c r="T17" s="273" t="n">
        <f aca="false">T12*PROD_DEMANDA!T18</f>
        <v>2289.23038990826</v>
      </c>
      <c r="U17" s="273" t="n">
        <f aca="false">U12*PROD_DEMANDA!U18</f>
        <v>2289.23038990826</v>
      </c>
      <c r="V17" s="273" t="n">
        <f aca="false">V12*PROD_DEMANDA!V18</f>
        <v>2175.99924242424</v>
      </c>
      <c r="W17" s="273" t="n">
        <f aca="false">W12*PROD_DEMANDA!W18</f>
        <v>2053.00010121457</v>
      </c>
      <c r="X17" s="273" t="n">
        <f aca="false">X12*PROD_DEMANDA!X18</f>
        <v>2017.76597222222</v>
      </c>
      <c r="Y17" s="273" t="n">
        <f aca="false">Y12*PROD_DEMANDA!Y18</f>
        <v>1907.76737918216</v>
      </c>
      <c r="Z17" s="273" t="n">
        <f aca="false">Z12*PROD_DEMANDA!Z18</f>
        <v>1878.0125</v>
      </c>
      <c r="AA17" s="273" t="n">
        <f aca="false">AA12*PROD_DEMANDA!AA18</f>
        <v>1866.41240942029</v>
      </c>
      <c r="AB17" s="273" t="n">
        <f aca="false">AB12*PROD_DEMANDA!AB18</f>
        <v>1854.97922661871</v>
      </c>
      <c r="AC17" s="273" t="n">
        <f aca="false">AC12*PROD_DEMANDA!AC18</f>
        <v>1854.97922661871</v>
      </c>
      <c r="AD17" s="273" t="n">
        <f aca="false">AD12*PROD_DEMANDA!AD18</f>
        <v>2431.95764388489</v>
      </c>
      <c r="AE17" s="273" t="n">
        <f aca="false">AE12*PROD_DEMANDA!AE18</f>
        <v>2431.95764388489</v>
      </c>
      <c r="AF17" s="273" t="n">
        <f aca="false">AF12*PROD_DEMANDA!AF18</f>
        <v>2431.95764388489</v>
      </c>
      <c r="AG17" s="273" t="n">
        <f aca="false">AG12*PROD_DEMANDA!AG18</f>
        <v>2446.00023533671</v>
      </c>
      <c r="AH17" s="273" t="n">
        <f aca="false">AH12*PROD_DEMANDA!AH18</f>
        <v>2446.00023533671</v>
      </c>
      <c r="AI17" s="273" t="n">
        <f aca="false">AI12*PROD_DEMANDA!AI18</f>
        <v>2324.48966516629</v>
      </c>
      <c r="AJ17" s="273" t="n">
        <f aca="false">AJ12*PROD_DEMANDA!AJ18</f>
        <v>2215.87238321477</v>
      </c>
      <c r="AK17" s="273" t="n">
        <f aca="false">AK12*PROD_DEMANDA!AK18</f>
        <v>2182.37917231202</v>
      </c>
      <c r="AL17" s="273" t="n">
        <f aca="false">AL12*PROD_DEMANDA!AL18</f>
        <v>2084.2609218981</v>
      </c>
      <c r="AM17" s="273" t="n">
        <f aca="false">AM12*PROD_DEMANDA!AM18</f>
        <v>2058.20322590236</v>
      </c>
      <c r="AN17" s="273" t="n">
        <f aca="false">AN12*PROD_DEMANDA!AN18</f>
        <v>1984.35217019579</v>
      </c>
      <c r="AO17" s="273" t="n">
        <f aca="false">AO12*PROD_DEMANDA!AO18</f>
        <v>1961.07762129645</v>
      </c>
      <c r="AP17" s="273" t="n">
        <f aca="false">AP12*PROD_DEMANDA!AP18</f>
        <v>1968.97198655671</v>
      </c>
      <c r="AQ17" s="273" t="n">
        <f aca="false">AQ12*PROD_DEMANDA!AQ18</f>
        <v>1887.73347242368</v>
      </c>
      <c r="AR17" s="273" t="n">
        <f aca="false">AR12*PROD_DEMANDA!AR18</f>
        <v>1821.42696185465</v>
      </c>
      <c r="AS17" s="273" t="n">
        <f aca="false">AS12*PROD_DEMANDA!AS18</f>
        <v>1754.48816882374</v>
      </c>
      <c r="AT17" s="273" t="n">
        <f aca="false">AT12*PROD_DEMANDA!AT18</f>
        <v>1686.81425327388</v>
      </c>
      <c r="AU17" s="273" t="n">
        <f aca="false">AU12*PROD_DEMANDA!AU18</f>
        <v>1665.20802882499</v>
      </c>
      <c r="AV17" s="273" t="n">
        <f aca="false">AV12*PROD_DEMANDA!AV18</f>
        <v>1653.15641437924</v>
      </c>
      <c r="AW17" s="273" t="n">
        <f aca="false">AW12*PROD_DEMANDA!AW18</f>
        <v>1598.93156844336</v>
      </c>
      <c r="AX17" s="273" t="n">
        <f aca="false">AX12*PROD_DEMANDA!AX18</f>
        <v>1588.26996997128</v>
      </c>
      <c r="AY17" s="273" t="n">
        <f aca="false">AY12*PROD_DEMANDA!AY18</f>
        <v>1547.28982524733</v>
      </c>
      <c r="AZ17" s="273" t="n">
        <f aca="false">AZ12*PROD_DEMANDA!AZ18</f>
        <v>1501.65678280511</v>
      </c>
      <c r="BA17" s="273" t="n">
        <f aca="false">BA12*PROD_DEMANDA!BA18</f>
        <v>1489.94370368871</v>
      </c>
      <c r="BB17" s="273" t="n">
        <f aca="false">BB12*PROD_DEMANDA!BB18</f>
        <v>2062.18478059953</v>
      </c>
      <c r="BC17" s="273" t="n">
        <f aca="false">BC12*PROD_DEMANDA!BC18</f>
        <v>2055.43227117151</v>
      </c>
      <c r="BD17" s="273" t="n">
        <f aca="false">BD12*PROD_DEMANDA!BD18</f>
        <v>2055.43227117151</v>
      </c>
      <c r="BE17" s="273" t="n">
        <f aca="false">BE12*PROD_DEMANDA!BE18</f>
        <v>2055.43227117151</v>
      </c>
      <c r="BF17" s="273" t="n">
        <f aca="false">BF12*PROD_DEMANDA!BF18</f>
        <v>2082.35000203186</v>
      </c>
      <c r="BG17" s="273" t="n">
        <f aca="false">BG12*PROD_DEMANDA!BG18</f>
        <v>2082.35000203186</v>
      </c>
      <c r="BH17" s="273" t="n">
        <f aca="false">BH12*PROD_DEMANDA!BH18</f>
        <v>2082.35000203186</v>
      </c>
      <c r="BI17" s="273" t="n">
        <f aca="false">BI12*PROD_DEMANDA!BI18</f>
        <v>1998.68237676329</v>
      </c>
      <c r="BJ17" s="273" t="n">
        <f aca="false">BJ12*PROD_DEMANDA!BJ18</f>
        <v>1942.28476085164</v>
      </c>
      <c r="BK17" s="273" t="n">
        <f aca="false">BK12*PROD_DEMANDA!BK18</f>
        <v>1897.78814140567</v>
      </c>
      <c r="BL17" s="273" t="n">
        <f aca="false">BL12*PROD_DEMANDA!BL18</f>
        <v>1839.06952814599</v>
      </c>
      <c r="BM17" s="273" t="n">
        <f aca="false">BM12*PROD_DEMANDA!BM18</f>
        <v>1789.76916541814</v>
      </c>
      <c r="BN17" s="273" t="n">
        <f aca="false">BN12*PROD_DEMANDA!BN18</f>
        <v>1743.48589701271</v>
      </c>
      <c r="BO17" s="273" t="n">
        <f aca="false">BO12*PROD_DEMANDA!BO18</f>
        <v>1728.39670859196</v>
      </c>
      <c r="BP17" s="273" t="n">
        <f aca="false">BP12*PROD_DEMANDA!BP18</f>
        <v>1685.13747325716</v>
      </c>
      <c r="BQ17" s="273" t="n">
        <f aca="false">BQ12*PROD_DEMANDA!BQ18</f>
        <v>1668.69995144597</v>
      </c>
      <c r="BR17" s="273" t="n">
        <f aca="false">BR12*PROD_DEMANDA!BR18</f>
        <v>1633.91840258265</v>
      </c>
      <c r="BS17" s="273" t="n">
        <f aca="false">BS12*PROD_DEMANDA!BS18</f>
        <v>1597.37151836662</v>
      </c>
      <c r="BT17" s="273" t="n">
        <f aca="false">BT12*PROD_DEMANDA!BT18</f>
        <v>1557.36263155771</v>
      </c>
      <c r="BU17" s="273" t="n">
        <f aca="false">BU12*PROD_DEMANDA!BU18</f>
        <v>1524.3119859514</v>
      </c>
      <c r="BV17" s="273" t="n">
        <f aca="false">BV12*PROD_DEMANDA!BV18</f>
        <v>1493.36431352257</v>
      </c>
      <c r="BW17" s="273" t="n">
        <f aca="false">BW12*PROD_DEMANDA!BW18</f>
        <v>1478.42854400043</v>
      </c>
      <c r="BX17" s="273" t="n">
        <f aca="false">BX12*PROD_DEMANDA!BX18</f>
        <v>1445.76429669255</v>
      </c>
      <c r="BY17" s="273" t="n">
        <f aca="false">BY12*PROD_DEMANDA!BY18</f>
        <v>1435.3544892335</v>
      </c>
      <c r="BZ17" s="273" t="n">
        <f aca="false">BZ12*PROD_DEMANDA!BZ18</f>
        <v>1396.72506454999</v>
      </c>
      <c r="CA17" s="273" t="n">
        <f aca="false">CA12*PROD_DEMANDA!CA18</f>
        <v>1370.97304541062</v>
      </c>
      <c r="CB17" s="273" t="n">
        <f aca="false">CB12*PROD_DEMANDA!CB18</f>
        <v>1362.03133890958</v>
      </c>
      <c r="CC17" s="273" t="n">
        <f aca="false">CC12*PROD_DEMANDA!CC18</f>
        <v>1337.81317375992</v>
      </c>
      <c r="CD17" s="273" t="n">
        <f aca="false">CD12*PROD_DEMANDA!CD18</f>
        <v>1312.6998455648</v>
      </c>
      <c r="CE17" s="273" t="n">
        <f aca="false">CE12*PROD_DEMANDA!CE18</f>
        <v>1291.6937652016</v>
      </c>
      <c r="CF17" s="273" t="n">
        <f aca="false">CF12*PROD_DEMANDA!CF18</f>
        <v>1271.80685258161</v>
      </c>
      <c r="CG17" s="273" t="n">
        <f aca="false">CG12*PROD_DEMANDA!CG18</f>
        <v>1249.72673723619</v>
      </c>
      <c r="CH17" s="273" t="n">
        <f aca="false">CH12*PROD_DEMANDA!CH18</f>
        <v>1401.87111447727</v>
      </c>
      <c r="CI17" s="273" t="n">
        <f aca="false">CI12*PROD_DEMANDA!CI18</f>
        <v>1379.22587632621</v>
      </c>
      <c r="CJ17" s="273" t="n">
        <f aca="false">CJ12*PROD_DEMANDA!CJ18</f>
        <v>1370.0016817242</v>
      </c>
      <c r="CK17" s="273" t="n">
        <f aca="false">CK12*PROD_DEMANDA!CK18</f>
        <v>1365.63625940782</v>
      </c>
      <c r="CL17" s="273" t="n">
        <f aca="false">CL12*PROD_DEMANDA!CL18</f>
        <v>1363.74910935436</v>
      </c>
      <c r="CM17" s="273" t="n">
        <f aca="false">CM12*PROD_DEMANDA!CM18</f>
        <v>1363.74910935436</v>
      </c>
      <c r="CN17" s="273" t="n">
        <f aca="false">CN12*PROD_DEMANDA!CN18</f>
        <v>1363.74910935436</v>
      </c>
      <c r="CO17" s="273" t="n">
        <f aca="false">CO12*PROD_DEMANDA!CO18</f>
        <v>1363.74910935436</v>
      </c>
      <c r="CP17" s="273" t="n">
        <f aca="false">CP12*PROD_DEMANDA!CP18</f>
        <v>1363.74910935436</v>
      </c>
      <c r="CQ17" s="273" t="n">
        <f aca="false">CQ12*PROD_DEMANDA!CQ18</f>
        <v>1363.74910935436</v>
      </c>
      <c r="CR17" s="273" t="n">
        <f aca="false">CR12*PROD_DEMANDA!CR18</f>
        <v>1363.74910935436</v>
      </c>
      <c r="CS17" s="273" t="n">
        <f aca="false">CS12*PROD_DEMANDA!CS18</f>
        <v>1363.74910935436</v>
      </c>
      <c r="CT17" s="273" t="n">
        <f aca="false">CT12*PROD_DEMANDA!CT18</f>
        <v>1363.74910935436</v>
      </c>
      <c r="CU17" s="273" t="n">
        <f aca="false">CU12*PROD_DEMANDA!CU18</f>
        <v>1363.74910935436</v>
      </c>
      <c r="CV17" s="273" t="n">
        <f aca="false">CV12*PROD_DEMANDA!CV18</f>
        <v>1363.74910935436</v>
      </c>
      <c r="CW17" s="273" t="n">
        <f aca="false">CW12*PROD_DEMANDA!CW18</f>
        <v>1363.74910935436</v>
      </c>
      <c r="CX17" s="273" t="n">
        <f aca="false">CX12*PROD_DEMANDA!CX18</f>
        <v>1363.74910935436</v>
      </c>
      <c r="CY17" s="273" t="n">
        <f aca="false">CY12*PROD_DEMANDA!CY18</f>
        <v>1363.74910935436</v>
      </c>
      <c r="CZ17" s="273" t="n">
        <f aca="false">CZ12*PROD_DEMANDA!CZ18</f>
        <v>1363.74910935436</v>
      </c>
      <c r="DA17" s="273" t="n">
        <f aca="false">DA12*PROD_DEMANDA!DA18</f>
        <v>1363.74910935436</v>
      </c>
      <c r="DB17" s="273" t="n">
        <f aca="false">DB12*PROD_DEMANDA!DB18</f>
        <v>1363.74910935436</v>
      </c>
      <c r="DC17" s="273" t="n">
        <f aca="false">DC12*PROD_DEMANDA!DC18</f>
        <v>1363.74910935436</v>
      </c>
      <c r="DD17" s="273" t="n">
        <f aca="false">DD12*PROD_DEMANDA!DD18</f>
        <v>1363.74910935436</v>
      </c>
      <c r="DE17" s="273" t="n">
        <f aca="false">DE12*PROD_DEMANDA!DE18</f>
        <v>1363.74910935436</v>
      </c>
      <c r="DF17" s="273" t="n">
        <f aca="false">DF12*PROD_DEMANDA!DF18</f>
        <v>1363.74910935436</v>
      </c>
      <c r="DG17" s="273" t="n">
        <f aca="false">DG12*PROD_DEMANDA!DG18</f>
        <v>1363.74910935436</v>
      </c>
      <c r="DH17" s="273" t="n">
        <f aca="false">DH12*PROD_DEMANDA!DH18</f>
        <v>1363.74910935436</v>
      </c>
      <c r="DI17" s="273" t="n">
        <f aca="false">DI12*PROD_DEMANDA!DI18</f>
        <v>1363.74910935436</v>
      </c>
      <c r="DJ17" s="273" t="n">
        <f aca="false">DJ12*PROD_DEMANDA!DJ18</f>
        <v>1363.74910935436</v>
      </c>
      <c r="DK17" s="273" t="n">
        <f aca="false">DK12*PROD_DEMANDA!DK18</f>
        <v>1363.74910935436</v>
      </c>
      <c r="DL17" s="273" t="n">
        <f aca="false">DL12*PROD_DEMANDA!DL18</f>
        <v>1363.74910935436</v>
      </c>
      <c r="DM17" s="273" t="n">
        <f aca="false">DM12*PROD_DEMANDA!DM18</f>
        <v>1363.74910935436</v>
      </c>
      <c r="DN17" s="273" t="n">
        <f aca="false">DN12*PROD_DEMANDA!DN18</f>
        <v>1363.74910935436</v>
      </c>
      <c r="DO17" s="273" t="n">
        <f aca="false">DO12*PROD_DEMANDA!DO18</f>
        <v>1363.74910935436</v>
      </c>
      <c r="DP17" s="273" t="n">
        <f aca="false">DP12*PROD_DEMANDA!DP18</f>
        <v>1363.74910935436</v>
      </c>
      <c r="DQ17" s="273" t="n">
        <f aca="false">DQ12*PROD_DEMANDA!DQ18</f>
        <v>1363.74910935436</v>
      </c>
      <c r="DR17" s="273" t="n">
        <f aca="false">DR12*PROD_DEMANDA!DR18</f>
        <v>1363.74910935436</v>
      </c>
      <c r="DS17" s="273" t="n">
        <f aca="false">DS12*PROD_DEMANDA!DS18</f>
        <v>1363.74910935436</v>
      </c>
    </row>
    <row r="18" customFormat="false" ht="15" hidden="false" customHeight="true" outlineLevel="0" collapsed="false">
      <c r="B18" s="178" t="s">
        <v>3458</v>
      </c>
      <c r="D18" s="268" t="n">
        <f aca="false">D13-D14-D15-SUP_OVERHEAD!D39-D16-D17</f>
        <v>0</v>
      </c>
      <c r="E18" s="268" t="n">
        <f aca="false">E13-E14-E15-SUP_OVERHEAD!E39-E16-E17</f>
        <v>0</v>
      </c>
      <c r="F18" s="268" t="n">
        <f aca="false">F13-F14-F15-SUP_OVERHEAD!F39-F16-F17</f>
        <v>0</v>
      </c>
      <c r="G18" s="268" t="n">
        <f aca="false">G13-G14-G15-SUP_OVERHEAD!G39-G16-G17</f>
        <v>0</v>
      </c>
      <c r="H18" s="268" t="n">
        <f aca="false">H13-H14-H15-SUP_OVERHEAD!H39-H16-H17</f>
        <v>0</v>
      </c>
      <c r="I18" s="268" t="n">
        <f aca="false">I13-I14-I15-SUP_OVERHEAD!I39-I16-I17</f>
        <v>0</v>
      </c>
      <c r="J18" s="268" t="n">
        <f aca="false">J13-J14-J15-SUP_OVERHEAD!J39-J16-J17</f>
        <v>2033.79068311339</v>
      </c>
      <c r="K18" s="268" t="n">
        <f aca="false">K13-K14-K15-SUP_OVERHEAD!K39-K16-K17</f>
        <v>7492.19747888815</v>
      </c>
      <c r="L18" s="268" t="n">
        <f aca="false">L13-L14-L15-SUP_OVERHEAD!L39-L16-L17</f>
        <v>12577.9138885345</v>
      </c>
      <c r="M18" s="268" t="n">
        <f aca="false">M13-M14-M15-SUP_OVERHEAD!M39-M16-M17</f>
        <v>12652.57533973</v>
      </c>
      <c r="N18" s="268" t="n">
        <f aca="false">N13-N14-N15-SUP_OVERHEAD!N39-N16-N17</f>
        <v>12652.57533973</v>
      </c>
      <c r="O18" s="268" t="n">
        <f aca="false">O13-O14-O15-SUP_OVERHEAD!O39-O16-O17</f>
        <v>12652.57533973</v>
      </c>
      <c r="P18" s="268" t="n">
        <f aca="false">P13-P14-P15-SUP_OVERHEAD!P39-P16-P17</f>
        <v>12652.57533973</v>
      </c>
      <c r="Q18" s="268" t="n">
        <f aca="false">Q13-Q14-Q15-SUP_OVERHEAD!Q39-Q16-Q17</f>
        <v>12652.57533973</v>
      </c>
      <c r="R18" s="268" t="n">
        <f aca="false">R13-R14-R15-SUP_OVERHEAD!R39-R16-R17</f>
        <v>12652.57533973</v>
      </c>
      <c r="S18" s="268" t="n">
        <f aca="false">S13-S14-S15-SUP_OVERHEAD!S39-S16-S17</f>
        <v>12652.57533973</v>
      </c>
      <c r="T18" s="268" t="n">
        <f aca="false">T13-T14-T15-SUP_OVERHEAD!T39-T16-T17</f>
        <v>12652.57533973</v>
      </c>
      <c r="U18" s="268" t="n">
        <f aca="false">U13-U14-U15-SUP_OVERHEAD!U39-U16-U17</f>
        <v>12652.57533973</v>
      </c>
      <c r="V18" s="268" t="n">
        <f aca="false">V13-V14-V15-SUP_OVERHEAD!V39-V16-V17</f>
        <v>12765.806487214</v>
      </c>
      <c r="W18" s="268" t="n">
        <f aca="false">W13-W14-W15-SUP_OVERHEAD!W39-W16-W17</f>
        <v>12888.8056284237</v>
      </c>
      <c r="X18" s="268" t="n">
        <f aca="false">X13-X14-X15-SUP_OVERHEAD!X39-X16-X17</f>
        <v>12924.039757416</v>
      </c>
      <c r="Y18" s="268" t="n">
        <f aca="false">Y13-Y14-Y15-SUP_OVERHEAD!Y39-Y16-Y17</f>
        <v>13034.0383504561</v>
      </c>
      <c r="Z18" s="268" t="n">
        <f aca="false">Z13-Z14-Z15-SUP_OVERHEAD!Z39-Z16-Z17</f>
        <v>13063.7932296382</v>
      </c>
      <c r="AA18" s="268" t="n">
        <f aca="false">AA13-AA14-AA15-SUP_OVERHEAD!AA39-AA16-AA17</f>
        <v>13075.3933202179</v>
      </c>
      <c r="AB18" s="268" t="n">
        <f aca="false">AB13-AB14-AB15-SUP_OVERHEAD!AB39-AB16-AB17</f>
        <v>13086.8265030195</v>
      </c>
      <c r="AC18" s="268" t="n">
        <f aca="false">AC13-AC14-AC15-SUP_OVERHEAD!AC39-AC16-AC17</f>
        <v>13086.8265030195</v>
      </c>
      <c r="AD18" s="268" t="n">
        <f aca="false">AD13-AD14-AD15-SUP_OVERHEAD!AD39-AD16-AD17</f>
        <v>12253.2077979836</v>
      </c>
      <c r="AE18" s="268" t="n">
        <f aca="false">AE13-AE14-AE15-SUP_OVERHEAD!AE39-AE16-AE17</f>
        <v>12253.2077979836</v>
      </c>
      <c r="AF18" s="268" t="n">
        <f aca="false">AF13-AF14-AF15-SUP_OVERHEAD!AF39-AF16-AF17</f>
        <v>12253.2077979836</v>
      </c>
      <c r="AG18" s="268" t="n">
        <f aca="false">AG13-AG14-AG15-SUP_OVERHEAD!AG39-AG16-AG17</f>
        <v>12232.9763849605</v>
      </c>
      <c r="AH18" s="268" t="n">
        <f aca="false">AH13-AH14-AH15-SUP_OVERHEAD!AH39-AH16-AH17</f>
        <v>12232.9763849605</v>
      </c>
      <c r="AI18" s="268" t="n">
        <f aca="false">AI13-AI14-AI15-SUP_OVERHEAD!AI39-AI16-AI17</f>
        <v>12408.0388397947</v>
      </c>
      <c r="AJ18" s="268" t="n">
        <f aca="false">AJ13-AJ14-AJ15-SUP_OVERHEAD!AJ39-AJ16-AJ17</f>
        <v>12564.5257033587</v>
      </c>
      <c r="AK18" s="268" t="n">
        <f aca="false">AK13-AK14-AK15-SUP_OVERHEAD!AK39-AK16-AK17</f>
        <v>12612.779972207</v>
      </c>
      <c r="AL18" s="268" t="n">
        <f aca="false">AL13-AL14-AL15-SUP_OVERHEAD!AL39-AL16-AL17</f>
        <v>12754.1406929856</v>
      </c>
      <c r="AM18" s="268" t="n">
        <f aca="false">AM13-AM14-AM15-SUP_OVERHEAD!AM39-AM16-AM17</f>
        <v>12791.682482329</v>
      </c>
      <c r="AN18" s="268" t="n">
        <f aca="false">AN13-AN14-AN15-SUP_OVERHEAD!AN39-AN16-AN17</f>
        <v>12898.0810210401</v>
      </c>
      <c r="AO18" s="268" t="n">
        <f aca="false">AO13-AO14-AO15-SUP_OVERHEAD!AO39-AO16-AO17</f>
        <v>12931.6130805125</v>
      </c>
      <c r="AP18" s="268" t="n">
        <f aca="false">AP13-AP14-AP15-SUP_OVERHEAD!AP39-AP16-AP17</f>
        <v>12920.2395270851</v>
      </c>
      <c r="AQ18" s="268" t="n">
        <f aca="false">AQ13-AQ14-AQ15-SUP_OVERHEAD!AQ39-AQ16-AQ17</f>
        <v>13037.2813094689</v>
      </c>
      <c r="AR18" s="268" t="n">
        <f aca="false">AR13-AR14-AR15-SUP_OVERHEAD!AR39-AR16-AR17</f>
        <v>13132.8102868692</v>
      </c>
      <c r="AS18" s="268" t="n">
        <f aca="false">AS13-AS14-AS15-SUP_OVERHEAD!AS39-AS16-AS17</f>
        <v>13229.2502049371</v>
      </c>
      <c r="AT18" s="268" t="n">
        <f aca="false">AT13-AT14-AT15-SUP_OVERHEAD!AT39-AT16-AT17</f>
        <v>13326.749227185</v>
      </c>
      <c r="AU18" s="268" t="n">
        <f aca="false">AU13-AU14-AU15-SUP_OVERHEAD!AU39-AU16-AU17</f>
        <v>13357.8777017401</v>
      </c>
      <c r="AV18" s="268" t="n">
        <f aca="false">AV13-AV14-AV15-SUP_OVERHEAD!AV39-AV16-AV17</f>
        <v>13375.2406785299</v>
      </c>
      <c r="AW18" s="268" t="n">
        <f aca="false">AW13-AW14-AW15-SUP_OVERHEAD!AW39-AW16-AW17</f>
        <v>13453.3633852971</v>
      </c>
      <c r="AX18" s="268" t="n">
        <f aca="false">AX13-AX14-AX15-SUP_OVERHEAD!AX39-AX16-AX17</f>
        <v>13468.723741177</v>
      </c>
      <c r="AY18" s="268" t="n">
        <f aca="false">AY13-AY14-AY15-SUP_OVERHEAD!AY39-AY16-AY17</f>
        <v>13527.7645696808</v>
      </c>
      <c r="AZ18" s="268" t="n">
        <f aca="false">AZ13-AZ14-AZ15-SUP_OVERHEAD!AZ39-AZ16-AZ17</f>
        <v>13593.5089112659</v>
      </c>
      <c r="BA18" s="268" t="n">
        <f aca="false">BA13-BA14-BA15-SUP_OVERHEAD!BA39-BA16-BA17</f>
        <v>13610.3841541432</v>
      </c>
      <c r="BB18" s="268" t="n">
        <f aca="false">BB13-BB14-BB15-SUP_OVERHEAD!BB39-BB16-BB17</f>
        <v>12688.5897668479</v>
      </c>
      <c r="BC18" s="268" t="n">
        <f aca="false">BC13-BC14-BC15-SUP_OVERHEAD!BC39-BC16-BC17</f>
        <v>12698.6865226568</v>
      </c>
      <c r="BD18" s="268" t="n">
        <f aca="false">BD13-BD14-BD15-SUP_OVERHEAD!BD39-BD16-BD17</f>
        <v>12698.6865226568</v>
      </c>
      <c r="BE18" s="268" t="n">
        <f aca="false">BE13-BE14-BE15-SUP_OVERHEAD!BE39-BE16-BE17</f>
        <v>12698.6865226568</v>
      </c>
      <c r="BF18" s="268" t="n">
        <f aca="false">BF13-BF14-BF15-SUP_OVERHEAD!BF39-BF16-BF17</f>
        <v>12658.4375221447</v>
      </c>
      <c r="BG18" s="268" t="n">
        <f aca="false">BG13-BG14-BG15-SUP_OVERHEAD!BG39-BG16-BG17</f>
        <v>12658.4375221447</v>
      </c>
      <c r="BH18" s="268" t="n">
        <f aca="false">BH13-BH14-BH15-SUP_OVERHEAD!BH39-BH16-BH17</f>
        <v>12658.4375221447</v>
      </c>
      <c r="BI18" s="268" t="n">
        <f aca="false">BI13-BI14-BI15-SUP_OVERHEAD!BI39-BI16-BI17</f>
        <v>12783.5423576804</v>
      </c>
      <c r="BJ18" s="268" t="n">
        <f aca="false">BJ13-BJ14-BJ15-SUP_OVERHEAD!BJ39-BJ16-BJ17</f>
        <v>12867.8714448343</v>
      </c>
      <c r="BK18" s="268" t="n">
        <f aca="false">BK13-BK14-BK15-SUP_OVERHEAD!BK39-BK16-BK17</f>
        <v>12934.4054505481</v>
      </c>
      <c r="BL18" s="268" t="n">
        <f aca="false">BL13-BL14-BL15-SUP_OVERHEAD!BL39-BL16-BL17</f>
        <v>13022.2050317022</v>
      </c>
      <c r="BM18" s="268" t="n">
        <f aca="false">BM13-BM14-BM15-SUP_OVERHEAD!BM39-BM16-BM17</f>
        <v>13095.9218815723</v>
      </c>
      <c r="BN18" s="268" t="n">
        <f aca="false">BN13-BN14-BN15-SUP_OVERHEAD!BN39-BN16-BN17</f>
        <v>13165.1273916287</v>
      </c>
      <c r="BO18" s="268" t="n">
        <f aca="false">BO13-BO14-BO15-SUP_OVERHEAD!BO39-BO16-BO17</f>
        <v>13187.6896482923</v>
      </c>
      <c r="BP18" s="268" t="n">
        <f aca="false">BP13-BP14-BP15-SUP_OVERHEAD!BP39-BP16-BP17</f>
        <v>13252.3734433036</v>
      </c>
      <c r="BQ18" s="268" t="n">
        <f aca="false">BQ13-BQ14-BQ15-SUP_OVERHEAD!BQ39-BQ16-BQ17</f>
        <v>13276.9518086654</v>
      </c>
      <c r="BR18" s="268" t="n">
        <f aca="false">BR13-BR14-BR15-SUP_OVERHEAD!BR39-BR16-BR17</f>
        <v>13328.9592600094</v>
      </c>
      <c r="BS18" s="268" t="n">
        <f aca="false">BS13-BS14-BS15-SUP_OVERHEAD!BS39-BS16-BS17</f>
        <v>13383.6063463168</v>
      </c>
      <c r="BT18" s="268" t="n">
        <f aca="false">BT13-BT14-BT15-SUP_OVERHEAD!BT39-BT16-BT17</f>
        <v>13443.4300258837</v>
      </c>
      <c r="BU18" s="268" t="n">
        <f aca="false">BU13-BU14-BU15-SUP_OVERHEAD!BU39-BU16-BU17</f>
        <v>13492.8493271924</v>
      </c>
      <c r="BV18" s="268" t="n">
        <f aca="false">BV13-BV14-BV15-SUP_OVERHEAD!BV39-BV16-BV17</f>
        <v>13539.1241372756</v>
      </c>
      <c r="BW18" s="268" t="n">
        <f aca="false">BW13-BW14-BW15-SUP_OVERHEAD!BW39-BW16-BW17</f>
        <v>13561.4569928296</v>
      </c>
      <c r="BX18" s="268" t="n">
        <f aca="false">BX13-BX14-BX15-SUP_OVERHEAD!BX39-BX16-BX17</f>
        <v>13610.2985283008</v>
      </c>
      <c r="BY18" s="268" t="n">
        <f aca="false">BY13-BY14-BY15-SUP_OVERHEAD!BY39-BY16-BY17</f>
        <v>13625.8638947845</v>
      </c>
      <c r="BZ18" s="268" t="n">
        <f aca="false">BZ13-BZ14-BZ15-SUP_OVERHEAD!BZ39-BZ16-BZ17</f>
        <v>13683.6249201076</v>
      </c>
      <c r="CA18" s="268" t="n">
        <f aca="false">CA13-CA14-CA15-SUP_OVERHEAD!CA39-CA16-CA17</f>
        <v>13722.1308787601</v>
      </c>
      <c r="CB18" s="268" t="n">
        <f aca="false">CB13-CB14-CB15-SUP_OVERHEAD!CB39-CB16-CB17</f>
        <v>13735.501052918</v>
      </c>
      <c r="CC18" s="268" t="n">
        <f aca="false">CC13-CC14-CC15-SUP_OVERHEAD!CC39-CC16-CC17</f>
        <v>13771.7135013806</v>
      </c>
      <c r="CD18" s="268" t="n">
        <f aca="false">CD13-CD14-CD15-SUP_OVERHEAD!CD39-CD16-CD17</f>
        <v>13809.2644511479</v>
      </c>
      <c r="CE18" s="268" t="n">
        <f aca="false">CE13-CE14-CE15-SUP_OVERHEAD!CE39-CE16-CE17</f>
        <v>13840.6739983969</v>
      </c>
      <c r="CF18" s="268" t="n">
        <f aca="false">CF13-CF14-CF15-SUP_OVERHEAD!CF39-CF16-CF17</f>
        <v>13870.4100991246</v>
      </c>
      <c r="CG18" s="268" t="n">
        <f aca="false">CG13-CG14-CG15-SUP_OVERHEAD!CG39-CG16-CG17</f>
        <v>13903.4256076924</v>
      </c>
      <c r="CH18" s="268" t="n">
        <f aca="false">CH13-CH14-CH15-SUP_OVERHEAD!CH39-CH16-CH17</f>
        <v>13668.9019525422</v>
      </c>
      <c r="CI18" s="268" t="n">
        <f aca="false">CI13-CI14-CI15-SUP_OVERHEAD!CI39-CI16-CI17</f>
        <v>13702.9039809634</v>
      </c>
      <c r="CJ18" s="268" t="n">
        <f aca="false">CJ13-CJ14-CJ15-SUP_OVERHEAD!CJ39-CJ16-CJ17</f>
        <v>13716.7541919847</v>
      </c>
      <c r="CK18" s="268" t="n">
        <f aca="false">CK13-CK14-CK15-SUP_OVERHEAD!CK39-CK16-CK17</f>
        <v>13723.308912791</v>
      </c>
      <c r="CL18" s="268" t="n">
        <f aca="false">CL13-CL14-CL15-SUP_OVERHEAD!CL39-CL16-CL17</f>
        <v>13726.1424855415</v>
      </c>
      <c r="CM18" s="268" t="n">
        <f aca="false">CM13-CM14-CM15-SUP_OVERHEAD!CM39-CM16-CM17</f>
        <v>13726.1424855415</v>
      </c>
      <c r="CN18" s="268" t="n">
        <f aca="false">CN13-CN14-CN15-SUP_OVERHEAD!CN39-CN16-CN17</f>
        <v>13726.1424855415</v>
      </c>
      <c r="CO18" s="268" t="n">
        <f aca="false">CO13-CO14-CO15-SUP_OVERHEAD!CO39-CO16-CO17</f>
        <v>13726.1424855415</v>
      </c>
      <c r="CP18" s="268" t="n">
        <f aca="false">CP13-CP14-CP15-SUP_OVERHEAD!CP39-CP16-CP17</f>
        <v>13726.1424855415</v>
      </c>
      <c r="CQ18" s="268" t="n">
        <f aca="false">CQ13-CQ14-CQ15-SUP_OVERHEAD!CQ39-CQ16-CQ17</f>
        <v>13726.1424855415</v>
      </c>
      <c r="CR18" s="268" t="n">
        <f aca="false">CR13-CR14-CR15-SUP_OVERHEAD!CR39-CR16-CR17</f>
        <v>13726.1424855415</v>
      </c>
      <c r="CS18" s="268" t="n">
        <f aca="false">CS13-CS14-CS15-SUP_OVERHEAD!CS39-CS16-CS17</f>
        <v>13726.1424855415</v>
      </c>
      <c r="CT18" s="268" t="n">
        <f aca="false">CT13-CT14-CT15-SUP_OVERHEAD!CT39-CT16-CT17</f>
        <v>13726.1424855415</v>
      </c>
      <c r="CU18" s="268" t="n">
        <f aca="false">CU13-CU14-CU15-SUP_OVERHEAD!CU39-CU16-CU17</f>
        <v>13726.1424855415</v>
      </c>
      <c r="CV18" s="268" t="n">
        <f aca="false">CV13-CV14-CV15-SUP_OVERHEAD!CV39-CV16-CV17</f>
        <v>13726.1424855415</v>
      </c>
      <c r="CW18" s="268" t="n">
        <f aca="false">CW13-CW14-CW15-SUP_OVERHEAD!CW39-CW16-CW17</f>
        <v>13726.1424855415</v>
      </c>
      <c r="CX18" s="268" t="n">
        <f aca="false">CX13-CX14-CX15-SUP_OVERHEAD!CX39-CX16-CX17</f>
        <v>13726.1424855415</v>
      </c>
      <c r="CY18" s="268" t="n">
        <f aca="false">CY13-CY14-CY15-SUP_OVERHEAD!CY39-CY16-CY17</f>
        <v>13726.1424855415</v>
      </c>
      <c r="CZ18" s="268" t="n">
        <f aca="false">CZ13-CZ14-CZ15-SUP_OVERHEAD!CZ39-CZ16-CZ17</f>
        <v>13726.1424855415</v>
      </c>
      <c r="DA18" s="268" t="n">
        <f aca="false">DA13-DA14-DA15-SUP_OVERHEAD!DA39-DA16-DA17</f>
        <v>13726.1424855415</v>
      </c>
      <c r="DB18" s="268" t="n">
        <f aca="false">DB13-DB14-DB15-SUP_OVERHEAD!DB39-DB16-DB17</f>
        <v>13726.1424855415</v>
      </c>
      <c r="DC18" s="268" t="n">
        <f aca="false">DC13-DC14-DC15-SUP_OVERHEAD!DC39-DC16-DC17</f>
        <v>13726.1424855415</v>
      </c>
      <c r="DD18" s="268" t="n">
        <f aca="false">DD13-DD14-DD15-SUP_OVERHEAD!DD39-DD16-DD17</f>
        <v>13726.1424855415</v>
      </c>
      <c r="DE18" s="268" t="n">
        <f aca="false">DE13-DE14-DE15-SUP_OVERHEAD!DE39-DE16-DE17</f>
        <v>13726.1424855415</v>
      </c>
      <c r="DF18" s="268" t="n">
        <f aca="false">DF13-DF14-DF15-SUP_OVERHEAD!DF39-DF16-DF17</f>
        <v>13726.1424855415</v>
      </c>
      <c r="DG18" s="268" t="n">
        <f aca="false">DG13-DG14-DG15-SUP_OVERHEAD!DG39-DG16-DG17</f>
        <v>13726.1424855415</v>
      </c>
      <c r="DH18" s="268" t="n">
        <f aca="false">DH13-DH14-DH15-SUP_OVERHEAD!DH39-DH16-DH17</f>
        <v>13726.1424855415</v>
      </c>
      <c r="DI18" s="268" t="n">
        <f aca="false">DI13-DI14-DI15-SUP_OVERHEAD!DI39-DI16-DI17</f>
        <v>13726.1424855415</v>
      </c>
      <c r="DJ18" s="268" t="n">
        <f aca="false">DJ13-DJ14-DJ15-SUP_OVERHEAD!DJ39-DJ16-DJ17</f>
        <v>13726.1424855415</v>
      </c>
      <c r="DK18" s="268" t="n">
        <f aca="false">DK13-DK14-DK15-SUP_OVERHEAD!DK39-DK16-DK17</f>
        <v>13726.1424855415</v>
      </c>
      <c r="DL18" s="268" t="n">
        <f aca="false">DL13-DL14-DL15-SUP_OVERHEAD!DL39-DL16-DL17</f>
        <v>13726.1424855415</v>
      </c>
      <c r="DM18" s="268" t="n">
        <f aca="false">DM13-DM14-DM15-SUP_OVERHEAD!DM39-DM16-DM17</f>
        <v>13726.1424855415</v>
      </c>
      <c r="DN18" s="268" t="n">
        <f aca="false">DN13-DN14-DN15-SUP_OVERHEAD!DN39-DN16-DN17</f>
        <v>13726.1424855415</v>
      </c>
      <c r="DO18" s="268" t="n">
        <f aca="false">DO13-DO14-DO15-SUP_OVERHEAD!DO39-DO16-DO17</f>
        <v>13726.1424855415</v>
      </c>
      <c r="DP18" s="268" t="n">
        <f aca="false">DP13-DP14-DP15-SUP_OVERHEAD!DP39-DP16-DP17</f>
        <v>13726.1424855415</v>
      </c>
      <c r="DQ18" s="268" t="n">
        <f aca="false">DQ13-DQ14-DQ15-SUP_OVERHEAD!DQ39-DQ16-DQ17</f>
        <v>13726.1424855415</v>
      </c>
      <c r="DR18" s="268" t="n">
        <f aca="false">DR13-DR14-DR15-SUP_OVERHEAD!DR39-DR16-DR17</f>
        <v>13726.1424855415</v>
      </c>
      <c r="DS18" s="268" t="n">
        <f aca="false">DS13-DS14-DS15-SUP_OVERHEAD!DS39-DS16-DS17</f>
        <v>13726.1424855415</v>
      </c>
    </row>
    <row r="19" customFormat="false" ht="15" hidden="false" customHeight="true" outlineLevel="0" collapsed="false">
      <c r="A19" s="186" t="s">
        <v>3422</v>
      </c>
      <c r="B19" s="568" t="s">
        <v>3459</v>
      </c>
      <c r="C19" s="25"/>
      <c r="D19" s="1" t="n">
        <f aca="false">D31+D32</f>
        <v>0</v>
      </c>
      <c r="E19" s="1" t="n">
        <f aca="false">E31+E32</f>
        <v>0</v>
      </c>
      <c r="F19" s="1" t="n">
        <f aca="false">F31+F32</f>
        <v>0</v>
      </c>
      <c r="G19" s="1" t="n">
        <f aca="false">G31+G32</f>
        <v>0</v>
      </c>
      <c r="H19" s="1" t="n">
        <f aca="false">H31+H32</f>
        <v>0</v>
      </c>
      <c r="I19" s="1" t="n">
        <f aca="false">I31+I32</f>
        <v>0</v>
      </c>
      <c r="J19" s="1" t="n">
        <f aca="false">J31+J32</f>
        <v>50000</v>
      </c>
      <c r="K19" s="1" t="n">
        <f aca="false">K31+K32</f>
        <v>-10000</v>
      </c>
      <c r="L19" s="1" t="n">
        <f aca="false">L31+L32</f>
        <v>-10000</v>
      </c>
      <c r="M19" s="1" t="n">
        <f aca="false">M31+M32</f>
        <v>0</v>
      </c>
      <c r="N19" s="1" t="n">
        <f aca="false">N31+N32</f>
        <v>0</v>
      </c>
      <c r="O19" s="1" t="n">
        <f aca="false">O31+O32</f>
        <v>0</v>
      </c>
      <c r="P19" s="1" t="n">
        <f aca="false">P31+P32</f>
        <v>0</v>
      </c>
      <c r="Q19" s="1" t="n">
        <f aca="false">Q31+Q32</f>
        <v>0</v>
      </c>
      <c r="R19" s="1" t="n">
        <f aca="false">R31+R32</f>
        <v>0</v>
      </c>
      <c r="S19" s="1" t="n">
        <f aca="false">S31+S32</f>
        <v>0</v>
      </c>
      <c r="T19" s="1" t="n">
        <f aca="false">T31+T32</f>
        <v>0</v>
      </c>
      <c r="U19" s="1" t="n">
        <f aca="false">U31+U32</f>
        <v>0</v>
      </c>
      <c r="V19" s="1" t="n">
        <f aca="false">V31+V32</f>
        <v>0</v>
      </c>
      <c r="W19" s="1" t="n">
        <f aca="false">W31+W32</f>
        <v>0</v>
      </c>
      <c r="X19" s="1" t="n">
        <f aca="false">X31+X32</f>
        <v>0</v>
      </c>
      <c r="Y19" s="1" t="n">
        <f aca="false">Y31+Y32</f>
        <v>0</v>
      </c>
      <c r="Z19" s="1" t="n">
        <f aca="false">Z31+Z32</f>
        <v>0</v>
      </c>
      <c r="AA19" s="1" t="n">
        <f aca="false">AA31+AA32</f>
        <v>0</v>
      </c>
      <c r="AB19" s="1" t="n">
        <f aca="false">AB31+AB32</f>
        <v>0</v>
      </c>
      <c r="AC19" s="1" t="n">
        <f aca="false">AC31+AC32</f>
        <v>0</v>
      </c>
      <c r="AD19" s="1" t="n">
        <f aca="false">AD31+AD32</f>
        <v>0</v>
      </c>
      <c r="AE19" s="1" t="n">
        <f aca="false">AE31+AE32</f>
        <v>0</v>
      </c>
      <c r="AF19" s="1" t="n">
        <f aca="false">AF31+AF32</f>
        <v>0</v>
      </c>
      <c r="AG19" s="1" t="n">
        <f aca="false">AG31+AG32</f>
        <v>0</v>
      </c>
      <c r="AH19" s="1" t="n">
        <f aca="false">AH31+AH32</f>
        <v>0</v>
      </c>
      <c r="AI19" s="1" t="n">
        <f aca="false">AI31+AI32</f>
        <v>0</v>
      </c>
      <c r="AJ19" s="1" t="n">
        <f aca="false">AJ31+AJ32</f>
        <v>0</v>
      </c>
      <c r="AK19" s="1" t="n">
        <f aca="false">AK31+AK32</f>
        <v>0</v>
      </c>
      <c r="AL19" s="1" t="n">
        <f aca="false">AL31+AL32</f>
        <v>0</v>
      </c>
      <c r="AM19" s="1" t="n">
        <f aca="false">AM31+AM32</f>
        <v>0</v>
      </c>
      <c r="AN19" s="1" t="n">
        <f aca="false">AN31+AN32</f>
        <v>0</v>
      </c>
      <c r="AO19" s="1" t="n">
        <f aca="false">AO31+AO32</f>
        <v>0</v>
      </c>
      <c r="AP19" s="1" t="n">
        <f aca="false">AP31+AP32</f>
        <v>0</v>
      </c>
      <c r="AQ19" s="1" t="n">
        <f aca="false">AQ31+AQ32</f>
        <v>0</v>
      </c>
      <c r="AR19" s="1" t="n">
        <f aca="false">AR31+AR32</f>
        <v>0</v>
      </c>
      <c r="AS19" s="1" t="n">
        <f aca="false">AS31+AS32</f>
        <v>0</v>
      </c>
      <c r="AT19" s="1" t="n">
        <f aca="false">AT31+AT32</f>
        <v>0</v>
      </c>
      <c r="AU19" s="1" t="n">
        <f aca="false">AU31+AU32</f>
        <v>0</v>
      </c>
      <c r="AV19" s="1" t="n">
        <f aca="false">AV31+AV32</f>
        <v>0</v>
      </c>
      <c r="AW19" s="1" t="n">
        <f aca="false">AW31+AW32</f>
        <v>0</v>
      </c>
      <c r="AX19" s="1" t="n">
        <f aca="false">AX31+AX32</f>
        <v>0</v>
      </c>
      <c r="AY19" s="1" t="n">
        <f aca="false">AY31+AY32</f>
        <v>0</v>
      </c>
      <c r="AZ19" s="1" t="n">
        <f aca="false">AZ31+AZ32</f>
        <v>0</v>
      </c>
      <c r="BA19" s="1" t="n">
        <f aca="false">BA31+BA32</f>
        <v>0</v>
      </c>
      <c r="BB19" s="1" t="n">
        <f aca="false">BB31+BB32</f>
        <v>0</v>
      </c>
      <c r="BC19" s="1" t="n">
        <f aca="false">BC31+BC32</f>
        <v>0</v>
      </c>
      <c r="BD19" s="1" t="n">
        <f aca="false">BD31+BD32</f>
        <v>0</v>
      </c>
      <c r="BE19" s="1" t="n">
        <f aca="false">BE31+BE32</f>
        <v>0</v>
      </c>
      <c r="BF19" s="1" t="n">
        <f aca="false">BF31+BF32</f>
        <v>0</v>
      </c>
      <c r="BG19" s="1" t="n">
        <f aca="false">BG31+BG32</f>
        <v>0</v>
      </c>
      <c r="BH19" s="1" t="n">
        <f aca="false">BH31+BH32</f>
        <v>0</v>
      </c>
      <c r="BI19" s="1" t="n">
        <f aca="false">BI31+BI32</f>
        <v>0</v>
      </c>
      <c r="BJ19" s="1" t="n">
        <f aca="false">BJ31+BJ32</f>
        <v>0</v>
      </c>
      <c r="BK19" s="1" t="n">
        <f aca="false">BK31+BK32</f>
        <v>0</v>
      </c>
      <c r="BL19" s="1" t="n">
        <f aca="false">BL31+BL32</f>
        <v>0</v>
      </c>
      <c r="BM19" s="1" t="n">
        <f aca="false">BM31+BM32</f>
        <v>0</v>
      </c>
      <c r="BN19" s="1" t="n">
        <f aca="false">BN31+BN32</f>
        <v>0</v>
      </c>
      <c r="BO19" s="1" t="n">
        <f aca="false">BO31+BO32</f>
        <v>0</v>
      </c>
      <c r="BP19" s="1" t="n">
        <f aca="false">BP31+BP32</f>
        <v>0</v>
      </c>
      <c r="BQ19" s="1" t="n">
        <f aca="false">BQ31+BQ32</f>
        <v>0</v>
      </c>
      <c r="BR19" s="1" t="n">
        <f aca="false">BR31+BR32</f>
        <v>0</v>
      </c>
      <c r="BS19" s="1" t="n">
        <f aca="false">BS31+BS32</f>
        <v>0</v>
      </c>
      <c r="BT19" s="1" t="n">
        <f aca="false">BT31+BT32</f>
        <v>0</v>
      </c>
      <c r="BU19" s="1" t="n">
        <f aca="false">BU31+BU32</f>
        <v>0</v>
      </c>
      <c r="BV19" s="1" t="n">
        <f aca="false">BV31+BV32</f>
        <v>0</v>
      </c>
      <c r="BW19" s="1" t="n">
        <f aca="false">BW31+BW32</f>
        <v>0</v>
      </c>
      <c r="BX19" s="1" t="n">
        <f aca="false">BX31+BX32</f>
        <v>0</v>
      </c>
      <c r="BY19" s="1" t="n">
        <f aca="false">BY31+BY32</f>
        <v>0</v>
      </c>
      <c r="BZ19" s="1" t="n">
        <f aca="false">BZ31+BZ32</f>
        <v>0</v>
      </c>
      <c r="CA19" s="1" t="n">
        <f aca="false">CA31+CA32</f>
        <v>0</v>
      </c>
      <c r="CB19" s="1" t="n">
        <f aca="false">CB31+CB32</f>
        <v>0</v>
      </c>
      <c r="CC19" s="1" t="n">
        <f aca="false">CC31+CC32</f>
        <v>0</v>
      </c>
      <c r="CD19" s="1" t="n">
        <f aca="false">CD31+CD32</f>
        <v>0</v>
      </c>
      <c r="CE19" s="1" t="n">
        <f aca="false">CE31+CE32</f>
        <v>0</v>
      </c>
      <c r="CF19" s="1" t="n">
        <f aca="false">CF31+CF32</f>
        <v>0</v>
      </c>
      <c r="CG19" s="1" t="n">
        <f aca="false">CG31+CG32</f>
        <v>0</v>
      </c>
      <c r="CH19" s="1" t="n">
        <f aca="false">CH31+CH32</f>
        <v>0</v>
      </c>
      <c r="CI19" s="1" t="n">
        <f aca="false">CI31+CI32</f>
        <v>0</v>
      </c>
      <c r="CJ19" s="1" t="n">
        <f aca="false">CJ31+CJ32</f>
        <v>0</v>
      </c>
      <c r="CK19" s="1" t="n">
        <f aca="false">CK31+CK32</f>
        <v>0</v>
      </c>
      <c r="CL19" s="1" t="n">
        <f aca="false">CL31+CL32</f>
        <v>0</v>
      </c>
      <c r="CM19" s="1" t="n">
        <f aca="false">CM31+CM32</f>
        <v>0</v>
      </c>
      <c r="CN19" s="1" t="n">
        <f aca="false">CN31+CN32</f>
        <v>0</v>
      </c>
      <c r="CO19" s="1" t="n">
        <f aca="false">CO31+CO32</f>
        <v>0</v>
      </c>
      <c r="CP19" s="1" t="n">
        <f aca="false">CP31+CP32</f>
        <v>0</v>
      </c>
      <c r="CQ19" s="1" t="n">
        <f aca="false">CQ31+CQ32</f>
        <v>0</v>
      </c>
      <c r="CR19" s="1" t="n">
        <f aca="false">CR31+CR32</f>
        <v>0</v>
      </c>
      <c r="CS19" s="1" t="n">
        <f aca="false">CS31+CS32</f>
        <v>0</v>
      </c>
      <c r="CT19" s="1" t="n">
        <f aca="false">CT31+CT32</f>
        <v>0</v>
      </c>
      <c r="CU19" s="1" t="n">
        <f aca="false">CU31+CU32</f>
        <v>0</v>
      </c>
      <c r="CV19" s="1" t="n">
        <f aca="false">CV31+CV32</f>
        <v>0</v>
      </c>
      <c r="CW19" s="1" t="n">
        <f aca="false">CW31+CW32</f>
        <v>0</v>
      </c>
      <c r="CX19" s="1" t="n">
        <f aca="false">CX31+CX32</f>
        <v>0</v>
      </c>
      <c r="CY19" s="1" t="n">
        <f aca="false">CY31+CY32</f>
        <v>0</v>
      </c>
      <c r="CZ19" s="1" t="n">
        <f aca="false">CZ31+CZ32</f>
        <v>0</v>
      </c>
      <c r="DA19" s="1" t="n">
        <f aca="false">DA31+DA32</f>
        <v>0</v>
      </c>
      <c r="DB19" s="1" t="n">
        <f aca="false">DB31+DB32</f>
        <v>0</v>
      </c>
      <c r="DC19" s="1" t="n">
        <f aca="false">DC31+DC32</f>
        <v>0</v>
      </c>
      <c r="DD19" s="1" t="n">
        <f aca="false">DD31+DD32</f>
        <v>0</v>
      </c>
      <c r="DE19" s="1" t="n">
        <f aca="false">DE31+DE32</f>
        <v>0</v>
      </c>
      <c r="DF19" s="1" t="n">
        <f aca="false">DF31+DF32</f>
        <v>0</v>
      </c>
      <c r="DG19" s="1" t="n">
        <f aca="false">DG31+DG32</f>
        <v>0</v>
      </c>
      <c r="DH19" s="1" t="n">
        <f aca="false">DH31+DH32</f>
        <v>0</v>
      </c>
      <c r="DI19" s="1" t="n">
        <f aca="false">DI31+DI32</f>
        <v>0</v>
      </c>
      <c r="DJ19" s="1" t="n">
        <f aca="false">DJ31+DJ32</f>
        <v>0</v>
      </c>
      <c r="DK19" s="1" t="n">
        <f aca="false">DK31+DK32</f>
        <v>0</v>
      </c>
      <c r="DL19" s="1" t="n">
        <f aca="false">DL31+DL32</f>
        <v>0</v>
      </c>
      <c r="DM19" s="1" t="n">
        <f aca="false">DM31+DM32</f>
        <v>0</v>
      </c>
      <c r="DN19" s="1" t="n">
        <f aca="false">DN31+DN32</f>
        <v>0</v>
      </c>
      <c r="DO19" s="1" t="n">
        <f aca="false">DO31+DO32</f>
        <v>0</v>
      </c>
      <c r="DP19" s="1" t="n">
        <f aca="false">DP31+DP32</f>
        <v>0</v>
      </c>
      <c r="DQ19" s="1" t="n">
        <f aca="false">DQ31+DQ32</f>
        <v>0</v>
      </c>
      <c r="DR19" s="1" t="n">
        <f aca="false">DR31+DR32</f>
        <v>0</v>
      </c>
      <c r="DS19" s="1" t="n">
        <f aca="false">DS31+DS32</f>
        <v>0</v>
      </c>
    </row>
    <row r="20" customFormat="false" ht="15" hidden="false" customHeight="true" outlineLevel="0" collapsed="false">
      <c r="B20" s="297" t="s">
        <v>3460</v>
      </c>
      <c r="D20" s="273" t="n">
        <f aca="false">IF(AND(D4&gt;=MAX(1,SUP_CONTROL!$C$17-3),D4&lt;=SUP_CONTROL!$C$17-1),SUP_CAPEX_FLAGSHIP!$H$55/MIN(3,SUP_CONTROL!$C$17-1),0)</f>
        <v>0</v>
      </c>
      <c r="E20" s="273" t="n">
        <f aca="false">IF(AND(E4&gt;=MAX(1,SUP_CONTROL!$C$17-3),E4&lt;=SUP_CONTROL!$C$17-1),SUP_CAPEX_FLAGSHIP!$H$55/MIN(3,SUP_CONTROL!$C$17-1),0)</f>
        <v>0</v>
      </c>
      <c r="F20" s="273" t="n">
        <f aca="false">IF(AND(F4&gt;=MAX(1,SUP_CONTROL!$C$17-3),F4&lt;=SUP_CONTROL!$C$17-1),SUP_CAPEX_FLAGSHIP!$H$55/MIN(3,SUP_CONTROL!$C$17-1),0)</f>
        <v>0</v>
      </c>
      <c r="G20" s="273" t="n">
        <f aca="false">IF(AND(G4&gt;=MAX(1,SUP_CONTROL!$C$17-3),G4&lt;=SUP_CONTROL!$C$17-1),SUP_CAPEX_FLAGSHIP!$H$55/MIN(3,SUP_CONTROL!$C$17-1),0)</f>
        <v>161876.14025</v>
      </c>
      <c r="H20" s="273" t="n">
        <f aca="false">IF(AND(H4&gt;=MAX(1,SUP_CONTROL!$C$17-3),H4&lt;=SUP_CONTROL!$C$17-1),SUP_CAPEX_FLAGSHIP!$H$55/MIN(3,SUP_CONTROL!$C$17-1),0)</f>
        <v>161876.14025</v>
      </c>
      <c r="I20" s="273" t="n">
        <f aca="false">IF(AND(I4&gt;=MAX(1,SUP_CONTROL!$C$17-3),I4&lt;=SUP_CONTROL!$C$17-1),SUP_CAPEX_FLAGSHIP!$H$55/MIN(3,SUP_CONTROL!$C$17-1),0)</f>
        <v>161876.14025</v>
      </c>
      <c r="J20" s="273" t="n">
        <f aca="false">IF(AND(J4&gt;=MAX(1,SUP_CONTROL!$C$17-3),J4&lt;=SUP_CONTROL!$C$17-1),SUP_CAPEX_FLAGSHIP!$H$55/MIN(3,SUP_CONTROL!$C$17-1),0)</f>
        <v>0</v>
      </c>
      <c r="K20" s="273" t="n">
        <f aca="false">IF(AND(K4&gt;=MAX(1,SUP_CONTROL!$C$17-3),K4&lt;=SUP_CONTROL!$C$17-1),SUP_CAPEX_FLAGSHIP!$H$55/MIN(3,SUP_CONTROL!$C$17-1),0)</f>
        <v>0</v>
      </c>
      <c r="L20" s="273" t="n">
        <f aca="false">IF(AND(L4&gt;=MAX(1,SUP_CONTROL!$C$17-3),L4&lt;=SUP_CONTROL!$C$17-1),SUP_CAPEX_FLAGSHIP!$H$55/MIN(3,SUP_CONTROL!$C$17-1),0)</f>
        <v>0</v>
      </c>
      <c r="M20" s="273" t="n">
        <f aca="false">IF(AND(M4&gt;=MAX(1,SUP_CONTROL!$C$17-3),M4&lt;=SUP_CONTROL!$C$17-1),SUP_CAPEX_FLAGSHIP!$H$55/MIN(3,SUP_CONTROL!$C$17-1),0)</f>
        <v>0</v>
      </c>
      <c r="N20" s="273" t="n">
        <f aca="false">IF(AND(N4&gt;=MAX(1,SUP_CONTROL!$C$17-3),N4&lt;=SUP_CONTROL!$C$17-1),SUP_CAPEX_FLAGSHIP!$H$55/MIN(3,SUP_CONTROL!$C$17-1),0)</f>
        <v>0</v>
      </c>
      <c r="O20" s="273" t="n">
        <f aca="false">IF(AND(O4&gt;=MAX(1,SUP_CONTROL!$C$17-3),O4&lt;=SUP_CONTROL!$C$17-1),SUP_CAPEX_FLAGSHIP!$H$55/MIN(3,SUP_CONTROL!$C$17-1),0)</f>
        <v>0</v>
      </c>
      <c r="P20" s="273" t="n">
        <f aca="false">IF(AND(P4&gt;=MAX(1,SUP_CONTROL!$C$17-3),P4&lt;=SUP_CONTROL!$C$17-1),SUP_CAPEX_FLAGSHIP!$H$55/MIN(3,SUP_CONTROL!$C$17-1),0)</f>
        <v>0</v>
      </c>
      <c r="Q20" s="273" t="n">
        <f aca="false">IF(AND(Q4&gt;=MAX(1,SUP_CONTROL!$C$17-3),Q4&lt;=SUP_CONTROL!$C$17-1),SUP_CAPEX_FLAGSHIP!$H$55/MIN(3,SUP_CONTROL!$C$17-1),0)</f>
        <v>0</v>
      </c>
      <c r="R20" s="273" t="n">
        <f aca="false">IF(AND(R4&gt;=MAX(1,SUP_CONTROL!$C$17-3),R4&lt;=SUP_CONTROL!$C$17-1),SUP_CAPEX_FLAGSHIP!$H$55/MIN(3,SUP_CONTROL!$C$17-1),0)</f>
        <v>0</v>
      </c>
      <c r="S20" s="273" t="n">
        <f aca="false">IF(AND(S4&gt;=MAX(1,SUP_CONTROL!$C$17-3),S4&lt;=SUP_CONTROL!$C$17-1),SUP_CAPEX_FLAGSHIP!$H$55/MIN(3,SUP_CONTROL!$C$17-1),0)</f>
        <v>0</v>
      </c>
      <c r="T20" s="273" t="n">
        <f aca="false">IF(AND(T4&gt;=MAX(1,SUP_CONTROL!$C$17-3),T4&lt;=SUP_CONTROL!$C$17-1),SUP_CAPEX_FLAGSHIP!$H$55/MIN(3,SUP_CONTROL!$C$17-1),0)</f>
        <v>0</v>
      </c>
      <c r="U20" s="273" t="n">
        <f aca="false">IF(AND(U4&gt;=MAX(1,SUP_CONTROL!$C$17-3),U4&lt;=SUP_CONTROL!$C$17-1),SUP_CAPEX_FLAGSHIP!$H$55/MIN(3,SUP_CONTROL!$C$17-1),0)</f>
        <v>0</v>
      </c>
      <c r="V20" s="273" t="n">
        <f aca="false">IF(AND(V4&gt;=MAX(1,SUP_CONTROL!$C$17-3),V4&lt;=SUP_CONTROL!$C$17-1),SUP_CAPEX_FLAGSHIP!$H$55/MIN(3,SUP_CONTROL!$C$17-1),0)</f>
        <v>0</v>
      </c>
      <c r="W20" s="273" t="n">
        <f aca="false">IF(AND(W4&gt;=MAX(1,SUP_CONTROL!$C$17-3),W4&lt;=SUP_CONTROL!$C$17-1),SUP_CAPEX_FLAGSHIP!$H$55/MIN(3,SUP_CONTROL!$C$17-1),0)</f>
        <v>0</v>
      </c>
      <c r="X20" s="273" t="n">
        <f aca="false">IF(AND(X4&gt;=MAX(1,SUP_CONTROL!$C$17-3),X4&lt;=SUP_CONTROL!$C$17-1),SUP_CAPEX_FLAGSHIP!$H$55/MIN(3,SUP_CONTROL!$C$17-1),0)</f>
        <v>0</v>
      </c>
      <c r="Y20" s="273" t="n">
        <f aca="false">IF(AND(Y4&gt;=MAX(1,SUP_CONTROL!$C$17-3),Y4&lt;=SUP_CONTROL!$C$17-1),SUP_CAPEX_FLAGSHIP!$H$55/MIN(3,SUP_CONTROL!$C$17-1),0)</f>
        <v>0</v>
      </c>
      <c r="Z20" s="273" t="n">
        <f aca="false">IF(AND(Z4&gt;=MAX(1,SUP_CONTROL!$C$17-3),Z4&lt;=SUP_CONTROL!$C$17-1),SUP_CAPEX_FLAGSHIP!$H$55/MIN(3,SUP_CONTROL!$C$17-1),0)</f>
        <v>0</v>
      </c>
      <c r="AA20" s="273" t="n">
        <f aca="false">IF(AND(AA4&gt;=MAX(1,SUP_CONTROL!$C$17-3),AA4&lt;=SUP_CONTROL!$C$17-1),SUP_CAPEX_FLAGSHIP!$H$55/MIN(3,SUP_CONTROL!$C$17-1),0)</f>
        <v>0</v>
      </c>
      <c r="AB20" s="273" t="n">
        <f aca="false">IF(AND(AB4&gt;=MAX(1,SUP_CONTROL!$C$17-3),AB4&lt;=SUP_CONTROL!$C$17-1),SUP_CAPEX_FLAGSHIP!$H$55/MIN(3,SUP_CONTROL!$C$17-1),0)</f>
        <v>0</v>
      </c>
      <c r="AC20" s="273" t="n">
        <f aca="false">IF(AND(AC4&gt;=MAX(1,SUP_CONTROL!$C$17-3),AC4&lt;=SUP_CONTROL!$C$17-1),SUP_CAPEX_FLAGSHIP!$H$55/MIN(3,SUP_CONTROL!$C$17-1),0)</f>
        <v>0</v>
      </c>
      <c r="AD20" s="273" t="n">
        <f aca="false">IF(AND(AD4&gt;=MAX(1,SUP_CONTROL!$C$17-3),AD4&lt;=SUP_CONTROL!$C$17-1),SUP_CAPEX_FLAGSHIP!$H$55/MIN(3,SUP_CONTROL!$C$17-1),0)</f>
        <v>0</v>
      </c>
      <c r="AE20" s="273" t="n">
        <f aca="false">IF(AND(AE4&gt;=MAX(1,SUP_CONTROL!$C$17-3),AE4&lt;=SUP_CONTROL!$C$17-1),SUP_CAPEX_FLAGSHIP!$H$55/MIN(3,SUP_CONTROL!$C$17-1),0)</f>
        <v>0</v>
      </c>
      <c r="AF20" s="273" t="n">
        <f aca="false">IF(AND(AF4&gt;=MAX(1,SUP_CONTROL!$C$17-3),AF4&lt;=SUP_CONTROL!$C$17-1),SUP_CAPEX_FLAGSHIP!$H$55/MIN(3,SUP_CONTROL!$C$17-1),0)</f>
        <v>0</v>
      </c>
      <c r="AG20" s="273" t="n">
        <f aca="false">IF(AND(AG4&gt;=MAX(1,SUP_CONTROL!$C$17-3),AG4&lt;=SUP_CONTROL!$C$17-1),SUP_CAPEX_FLAGSHIP!$H$55/MIN(3,SUP_CONTROL!$C$17-1),0)</f>
        <v>0</v>
      </c>
      <c r="AH20" s="273" t="n">
        <f aca="false">IF(AND(AH4&gt;=MAX(1,SUP_CONTROL!$C$17-3),AH4&lt;=SUP_CONTROL!$C$17-1),SUP_CAPEX_FLAGSHIP!$H$55/MIN(3,SUP_CONTROL!$C$17-1),0)</f>
        <v>0</v>
      </c>
      <c r="AI20" s="273" t="n">
        <f aca="false">IF(AND(AI4&gt;=MAX(1,SUP_CONTROL!$C$17-3),AI4&lt;=SUP_CONTROL!$C$17-1),SUP_CAPEX_FLAGSHIP!$H$55/MIN(3,SUP_CONTROL!$C$17-1),0)</f>
        <v>0</v>
      </c>
      <c r="AJ20" s="273" t="n">
        <f aca="false">IF(AND(AJ4&gt;=MAX(1,SUP_CONTROL!$C$17-3),AJ4&lt;=SUP_CONTROL!$C$17-1),SUP_CAPEX_FLAGSHIP!$H$55/MIN(3,SUP_CONTROL!$C$17-1),0)</f>
        <v>0</v>
      </c>
      <c r="AK20" s="273" t="n">
        <f aca="false">IF(AND(AK4&gt;=MAX(1,SUP_CONTROL!$C$17-3),AK4&lt;=SUP_CONTROL!$C$17-1),SUP_CAPEX_FLAGSHIP!$H$55/MIN(3,SUP_CONTROL!$C$17-1),0)</f>
        <v>0</v>
      </c>
      <c r="AL20" s="273" t="n">
        <f aca="false">IF(AND(AL4&gt;=MAX(1,SUP_CONTROL!$C$17-3),AL4&lt;=SUP_CONTROL!$C$17-1),SUP_CAPEX_FLAGSHIP!$H$55/MIN(3,SUP_CONTROL!$C$17-1),0)</f>
        <v>0</v>
      </c>
      <c r="AM20" s="273" t="n">
        <f aca="false">IF(AND(AM4&gt;=MAX(1,SUP_CONTROL!$C$17-3),AM4&lt;=SUP_CONTROL!$C$17-1),SUP_CAPEX_FLAGSHIP!$H$55/MIN(3,SUP_CONTROL!$C$17-1),0)</f>
        <v>0</v>
      </c>
      <c r="AN20" s="273" t="n">
        <f aca="false">IF(AND(AN4&gt;=MAX(1,SUP_CONTROL!$C$17-3),AN4&lt;=SUP_CONTROL!$C$17-1),SUP_CAPEX_FLAGSHIP!$H$55/MIN(3,SUP_CONTROL!$C$17-1),0)</f>
        <v>0</v>
      </c>
      <c r="AO20" s="273" t="n">
        <f aca="false">IF(AND(AO4&gt;=MAX(1,SUP_CONTROL!$C$17-3),AO4&lt;=SUP_CONTROL!$C$17-1),SUP_CAPEX_FLAGSHIP!$H$55/MIN(3,SUP_CONTROL!$C$17-1),0)</f>
        <v>0</v>
      </c>
      <c r="AP20" s="273" t="n">
        <f aca="false">IF(AND(AP4&gt;=MAX(1,SUP_CONTROL!$C$17-3),AP4&lt;=SUP_CONTROL!$C$17-1),SUP_CAPEX_FLAGSHIP!$H$55/MIN(3,SUP_CONTROL!$C$17-1),0)</f>
        <v>0</v>
      </c>
      <c r="AQ20" s="273" t="n">
        <f aca="false">IF(AND(AQ4&gt;=MAX(1,SUP_CONTROL!$C$17-3),AQ4&lt;=SUP_CONTROL!$C$17-1),SUP_CAPEX_FLAGSHIP!$H$55/MIN(3,SUP_CONTROL!$C$17-1),0)</f>
        <v>0</v>
      </c>
      <c r="AR20" s="273" t="n">
        <f aca="false">IF(AND(AR4&gt;=MAX(1,SUP_CONTROL!$C$17-3),AR4&lt;=SUP_CONTROL!$C$17-1),SUP_CAPEX_FLAGSHIP!$H$55/MIN(3,SUP_CONTROL!$C$17-1),0)</f>
        <v>0</v>
      </c>
      <c r="AS20" s="273" t="n">
        <f aca="false">IF(AND(AS4&gt;=MAX(1,SUP_CONTROL!$C$17-3),AS4&lt;=SUP_CONTROL!$C$17-1),SUP_CAPEX_FLAGSHIP!$H$55/MIN(3,SUP_CONTROL!$C$17-1),0)</f>
        <v>0</v>
      </c>
      <c r="AT20" s="273" t="n">
        <f aca="false">IF(AND(AT4&gt;=MAX(1,SUP_CONTROL!$C$17-3),AT4&lt;=SUP_CONTROL!$C$17-1),SUP_CAPEX_FLAGSHIP!$H$55/MIN(3,SUP_CONTROL!$C$17-1),0)</f>
        <v>0</v>
      </c>
      <c r="AU20" s="273" t="n">
        <f aca="false">IF(AND(AU4&gt;=MAX(1,SUP_CONTROL!$C$17-3),AU4&lt;=SUP_CONTROL!$C$17-1),SUP_CAPEX_FLAGSHIP!$H$55/MIN(3,SUP_CONTROL!$C$17-1),0)</f>
        <v>0</v>
      </c>
      <c r="AV20" s="273" t="n">
        <f aca="false">IF(AND(AV4&gt;=MAX(1,SUP_CONTROL!$C$17-3),AV4&lt;=SUP_CONTROL!$C$17-1),SUP_CAPEX_FLAGSHIP!$H$55/MIN(3,SUP_CONTROL!$C$17-1),0)</f>
        <v>0</v>
      </c>
      <c r="AW20" s="273" t="n">
        <f aca="false">IF(AND(AW4&gt;=MAX(1,SUP_CONTROL!$C$17-3),AW4&lt;=SUP_CONTROL!$C$17-1),SUP_CAPEX_FLAGSHIP!$H$55/MIN(3,SUP_CONTROL!$C$17-1),0)</f>
        <v>0</v>
      </c>
      <c r="AX20" s="273" t="n">
        <f aca="false">IF(AND(AX4&gt;=MAX(1,SUP_CONTROL!$C$17-3),AX4&lt;=SUP_CONTROL!$C$17-1),SUP_CAPEX_FLAGSHIP!$H$55/MIN(3,SUP_CONTROL!$C$17-1),0)</f>
        <v>0</v>
      </c>
      <c r="AY20" s="273" t="n">
        <f aca="false">IF(AND(AY4&gt;=MAX(1,SUP_CONTROL!$C$17-3),AY4&lt;=SUP_CONTROL!$C$17-1),SUP_CAPEX_FLAGSHIP!$H$55/MIN(3,SUP_CONTROL!$C$17-1),0)</f>
        <v>0</v>
      </c>
      <c r="AZ20" s="273" t="n">
        <f aca="false">IF(AND(AZ4&gt;=MAX(1,SUP_CONTROL!$C$17-3),AZ4&lt;=SUP_CONTROL!$C$17-1),SUP_CAPEX_FLAGSHIP!$H$55/MIN(3,SUP_CONTROL!$C$17-1),0)</f>
        <v>0</v>
      </c>
      <c r="BA20" s="273" t="n">
        <f aca="false">IF(AND(BA4&gt;=MAX(1,SUP_CONTROL!$C$17-3),BA4&lt;=SUP_CONTROL!$C$17-1),SUP_CAPEX_FLAGSHIP!$H$55/MIN(3,SUP_CONTROL!$C$17-1),0)</f>
        <v>0</v>
      </c>
      <c r="BB20" s="273" t="n">
        <f aca="false">IF(AND(BB4&gt;=MAX(1,SUP_CONTROL!$C$17-3),BB4&lt;=SUP_CONTROL!$C$17-1),SUP_CAPEX_FLAGSHIP!$H$55/MIN(3,SUP_CONTROL!$C$17-1),0)</f>
        <v>0</v>
      </c>
      <c r="BC20" s="273" t="n">
        <f aca="false">IF(AND(BC4&gt;=MAX(1,SUP_CONTROL!$C$17-3),BC4&lt;=SUP_CONTROL!$C$17-1),SUP_CAPEX_FLAGSHIP!$H$55/MIN(3,SUP_CONTROL!$C$17-1),0)</f>
        <v>0</v>
      </c>
      <c r="BD20" s="273" t="n">
        <f aca="false">IF(AND(BD4&gt;=MAX(1,SUP_CONTROL!$C$17-3),BD4&lt;=SUP_CONTROL!$C$17-1),SUP_CAPEX_FLAGSHIP!$H$55/MIN(3,SUP_CONTROL!$C$17-1),0)</f>
        <v>0</v>
      </c>
      <c r="BE20" s="273" t="n">
        <f aca="false">IF(AND(BE4&gt;=MAX(1,SUP_CONTROL!$C$17-3),BE4&lt;=SUP_CONTROL!$C$17-1),SUP_CAPEX_FLAGSHIP!$H$55/MIN(3,SUP_CONTROL!$C$17-1),0)</f>
        <v>0</v>
      </c>
      <c r="BF20" s="273" t="n">
        <f aca="false">IF(AND(BF4&gt;=MAX(1,SUP_CONTROL!$C$17-3),BF4&lt;=SUP_CONTROL!$C$17-1),SUP_CAPEX_FLAGSHIP!$H$55/MIN(3,SUP_CONTROL!$C$17-1),0)</f>
        <v>0</v>
      </c>
      <c r="BG20" s="273" t="n">
        <f aca="false">IF(AND(BG4&gt;=MAX(1,SUP_CONTROL!$C$17-3),BG4&lt;=SUP_CONTROL!$C$17-1),SUP_CAPEX_FLAGSHIP!$H$55/MIN(3,SUP_CONTROL!$C$17-1),0)</f>
        <v>0</v>
      </c>
      <c r="BH20" s="273" t="n">
        <f aca="false">IF(AND(BH4&gt;=MAX(1,SUP_CONTROL!$C$17-3),BH4&lt;=SUP_CONTROL!$C$17-1),SUP_CAPEX_FLAGSHIP!$H$55/MIN(3,SUP_CONTROL!$C$17-1),0)</f>
        <v>0</v>
      </c>
      <c r="BI20" s="273" t="n">
        <f aca="false">IF(AND(BI4&gt;=MAX(1,SUP_CONTROL!$C$17-3),BI4&lt;=SUP_CONTROL!$C$17-1),SUP_CAPEX_FLAGSHIP!$H$55/MIN(3,SUP_CONTROL!$C$17-1),0)</f>
        <v>0</v>
      </c>
      <c r="BJ20" s="273" t="n">
        <f aca="false">IF(AND(BJ4&gt;=MAX(1,SUP_CONTROL!$C$17-3),BJ4&lt;=SUP_CONTROL!$C$17-1),SUP_CAPEX_FLAGSHIP!$H$55/MIN(3,SUP_CONTROL!$C$17-1),0)</f>
        <v>0</v>
      </c>
      <c r="BK20" s="273" t="n">
        <f aca="false">IF(AND(BK4&gt;=MAX(1,SUP_CONTROL!$C$17-3),BK4&lt;=SUP_CONTROL!$C$17-1),SUP_CAPEX_FLAGSHIP!$H$55/MIN(3,SUP_CONTROL!$C$17-1),0)</f>
        <v>0</v>
      </c>
      <c r="BL20" s="273" t="n">
        <f aca="false">IF(AND(BL4&gt;=MAX(1,SUP_CONTROL!$C$17-3),BL4&lt;=SUP_CONTROL!$C$17-1),SUP_CAPEX_FLAGSHIP!$H$55/MIN(3,SUP_CONTROL!$C$17-1),0)</f>
        <v>0</v>
      </c>
      <c r="BM20" s="273" t="n">
        <f aca="false">IF(AND(BM4&gt;=MAX(1,SUP_CONTROL!$C$17-3),BM4&lt;=SUP_CONTROL!$C$17-1),SUP_CAPEX_FLAGSHIP!$H$55/MIN(3,SUP_CONTROL!$C$17-1),0)</f>
        <v>0</v>
      </c>
      <c r="BN20" s="273" t="n">
        <f aca="false">IF(AND(BN4&gt;=MAX(1,SUP_CONTROL!$C$17-3),BN4&lt;=SUP_CONTROL!$C$17-1),SUP_CAPEX_FLAGSHIP!$H$55/MIN(3,SUP_CONTROL!$C$17-1),0)</f>
        <v>0</v>
      </c>
      <c r="BO20" s="273" t="n">
        <f aca="false">IF(AND(BO4&gt;=MAX(1,SUP_CONTROL!$C$17-3),BO4&lt;=SUP_CONTROL!$C$17-1),SUP_CAPEX_FLAGSHIP!$H$55/MIN(3,SUP_CONTROL!$C$17-1),0)</f>
        <v>0</v>
      </c>
      <c r="BP20" s="273" t="n">
        <f aca="false">IF(AND(BP4&gt;=MAX(1,SUP_CONTROL!$C$17-3),BP4&lt;=SUP_CONTROL!$C$17-1),SUP_CAPEX_FLAGSHIP!$H$55/MIN(3,SUP_CONTROL!$C$17-1),0)</f>
        <v>0</v>
      </c>
      <c r="BQ20" s="273" t="n">
        <f aca="false">IF(AND(BQ4&gt;=MAX(1,SUP_CONTROL!$C$17-3),BQ4&lt;=SUP_CONTROL!$C$17-1),SUP_CAPEX_FLAGSHIP!$H$55/MIN(3,SUP_CONTROL!$C$17-1),0)</f>
        <v>0</v>
      </c>
      <c r="BR20" s="273" t="n">
        <f aca="false">IF(AND(BR4&gt;=MAX(1,SUP_CONTROL!$C$17-3),BR4&lt;=SUP_CONTROL!$C$17-1),SUP_CAPEX_FLAGSHIP!$H$55/MIN(3,SUP_CONTROL!$C$17-1),0)</f>
        <v>0</v>
      </c>
      <c r="BS20" s="273" t="n">
        <f aca="false">IF(AND(BS4&gt;=MAX(1,SUP_CONTROL!$C$17-3),BS4&lt;=SUP_CONTROL!$C$17-1),SUP_CAPEX_FLAGSHIP!$H$55/MIN(3,SUP_CONTROL!$C$17-1),0)</f>
        <v>0</v>
      </c>
      <c r="BT20" s="273" t="n">
        <f aca="false">IF(AND(BT4&gt;=MAX(1,SUP_CONTROL!$C$17-3),BT4&lt;=SUP_CONTROL!$C$17-1),SUP_CAPEX_FLAGSHIP!$H$55/MIN(3,SUP_CONTROL!$C$17-1),0)</f>
        <v>0</v>
      </c>
      <c r="BU20" s="273" t="n">
        <f aca="false">IF(AND(BU4&gt;=MAX(1,SUP_CONTROL!$C$17-3),BU4&lt;=SUP_CONTROL!$C$17-1),SUP_CAPEX_FLAGSHIP!$H$55/MIN(3,SUP_CONTROL!$C$17-1),0)</f>
        <v>0</v>
      </c>
      <c r="BV20" s="273" t="n">
        <f aca="false">IF(AND(BV4&gt;=MAX(1,SUP_CONTROL!$C$17-3),BV4&lt;=SUP_CONTROL!$C$17-1),SUP_CAPEX_FLAGSHIP!$H$55/MIN(3,SUP_CONTROL!$C$17-1),0)</f>
        <v>0</v>
      </c>
      <c r="BW20" s="273" t="n">
        <f aca="false">IF(AND(BW4&gt;=MAX(1,SUP_CONTROL!$C$17-3),BW4&lt;=SUP_CONTROL!$C$17-1),SUP_CAPEX_FLAGSHIP!$H$55/MIN(3,SUP_CONTROL!$C$17-1),0)</f>
        <v>0</v>
      </c>
      <c r="BX20" s="273" t="n">
        <f aca="false">IF(AND(BX4&gt;=MAX(1,SUP_CONTROL!$C$17-3),BX4&lt;=SUP_CONTROL!$C$17-1),SUP_CAPEX_FLAGSHIP!$H$55/MIN(3,SUP_CONTROL!$C$17-1),0)</f>
        <v>0</v>
      </c>
      <c r="BY20" s="273" t="n">
        <f aca="false">IF(AND(BY4&gt;=MAX(1,SUP_CONTROL!$C$17-3),BY4&lt;=SUP_CONTROL!$C$17-1),SUP_CAPEX_FLAGSHIP!$H$55/MIN(3,SUP_CONTROL!$C$17-1),0)</f>
        <v>0</v>
      </c>
      <c r="BZ20" s="273" t="n">
        <f aca="false">IF(AND(BZ4&gt;=MAX(1,SUP_CONTROL!$C$17-3),BZ4&lt;=SUP_CONTROL!$C$17-1),SUP_CAPEX_FLAGSHIP!$H$55/MIN(3,SUP_CONTROL!$C$17-1),0)</f>
        <v>0</v>
      </c>
      <c r="CA20" s="273" t="n">
        <f aca="false">IF(AND(CA4&gt;=MAX(1,SUP_CONTROL!$C$17-3),CA4&lt;=SUP_CONTROL!$C$17-1),SUP_CAPEX_FLAGSHIP!$H$55/MIN(3,SUP_CONTROL!$C$17-1),0)</f>
        <v>0</v>
      </c>
      <c r="CB20" s="273" t="n">
        <f aca="false">IF(AND(CB4&gt;=MAX(1,SUP_CONTROL!$C$17-3),CB4&lt;=SUP_CONTROL!$C$17-1),SUP_CAPEX_FLAGSHIP!$H$55/MIN(3,SUP_CONTROL!$C$17-1),0)</f>
        <v>0</v>
      </c>
      <c r="CC20" s="273" t="n">
        <f aca="false">IF(AND(CC4&gt;=MAX(1,SUP_CONTROL!$C$17-3),CC4&lt;=SUP_CONTROL!$C$17-1),SUP_CAPEX_FLAGSHIP!$H$55/MIN(3,SUP_CONTROL!$C$17-1),0)</f>
        <v>0</v>
      </c>
      <c r="CD20" s="273" t="n">
        <f aca="false">IF(AND(CD4&gt;=MAX(1,SUP_CONTROL!$C$17-3),CD4&lt;=SUP_CONTROL!$C$17-1),SUP_CAPEX_FLAGSHIP!$H$55/MIN(3,SUP_CONTROL!$C$17-1),0)</f>
        <v>0</v>
      </c>
      <c r="CE20" s="273" t="n">
        <f aca="false">IF(AND(CE4&gt;=MAX(1,SUP_CONTROL!$C$17-3),CE4&lt;=SUP_CONTROL!$C$17-1),SUP_CAPEX_FLAGSHIP!$H$55/MIN(3,SUP_CONTROL!$C$17-1),0)</f>
        <v>0</v>
      </c>
      <c r="CF20" s="273" t="n">
        <f aca="false">IF(AND(CF4&gt;=MAX(1,SUP_CONTROL!$C$17-3),CF4&lt;=SUP_CONTROL!$C$17-1),SUP_CAPEX_FLAGSHIP!$H$55/MIN(3,SUP_CONTROL!$C$17-1),0)</f>
        <v>0</v>
      </c>
      <c r="CG20" s="273" t="n">
        <f aca="false">IF(AND(CG4&gt;=MAX(1,SUP_CONTROL!$C$17-3),CG4&lt;=SUP_CONTROL!$C$17-1),SUP_CAPEX_FLAGSHIP!$H$55/MIN(3,SUP_CONTROL!$C$17-1),0)</f>
        <v>0</v>
      </c>
      <c r="CH20" s="273" t="n">
        <f aca="false">IF(AND(CH4&gt;=MAX(1,SUP_CONTROL!$C$17-3),CH4&lt;=SUP_CONTROL!$C$17-1),SUP_CAPEX_FLAGSHIP!$H$55/MIN(3,SUP_CONTROL!$C$17-1),0)</f>
        <v>0</v>
      </c>
      <c r="CI20" s="273" t="n">
        <f aca="false">IF(AND(CI4&gt;=MAX(1,SUP_CONTROL!$C$17-3),CI4&lt;=SUP_CONTROL!$C$17-1),SUP_CAPEX_FLAGSHIP!$H$55/MIN(3,SUP_CONTROL!$C$17-1),0)</f>
        <v>0</v>
      </c>
      <c r="CJ20" s="273" t="n">
        <f aca="false">IF(AND(CJ4&gt;=MAX(1,SUP_CONTROL!$C$17-3),CJ4&lt;=SUP_CONTROL!$C$17-1),SUP_CAPEX_FLAGSHIP!$H$55/MIN(3,SUP_CONTROL!$C$17-1),0)</f>
        <v>0</v>
      </c>
      <c r="CK20" s="273" t="n">
        <f aca="false">IF(AND(CK4&gt;=MAX(1,SUP_CONTROL!$C$17-3),CK4&lt;=SUP_CONTROL!$C$17-1),SUP_CAPEX_FLAGSHIP!$H$55/MIN(3,SUP_CONTROL!$C$17-1),0)</f>
        <v>0</v>
      </c>
      <c r="CL20" s="273" t="n">
        <f aca="false">IF(AND(CL4&gt;=MAX(1,SUP_CONTROL!$C$17-3),CL4&lt;=SUP_CONTROL!$C$17-1),SUP_CAPEX_FLAGSHIP!$H$55/MIN(3,SUP_CONTROL!$C$17-1),0)</f>
        <v>0</v>
      </c>
      <c r="CM20" s="273" t="n">
        <f aca="false">IF(AND(CM4&gt;=MAX(1,SUP_CONTROL!$C$17-3),CM4&lt;=SUP_CONTROL!$C$17-1),SUP_CAPEX_FLAGSHIP!$H$55/MIN(3,SUP_CONTROL!$C$17-1),0)</f>
        <v>0</v>
      </c>
      <c r="CN20" s="273" t="n">
        <f aca="false">IF(AND(CN4&gt;=MAX(1,SUP_CONTROL!$C$17-3),CN4&lt;=SUP_CONTROL!$C$17-1),SUP_CAPEX_FLAGSHIP!$H$55/MIN(3,SUP_CONTROL!$C$17-1),0)</f>
        <v>0</v>
      </c>
      <c r="CO20" s="273" t="n">
        <f aca="false">IF(AND(CO4&gt;=MAX(1,SUP_CONTROL!$C$17-3),CO4&lt;=SUP_CONTROL!$C$17-1),SUP_CAPEX_FLAGSHIP!$H$55/MIN(3,SUP_CONTROL!$C$17-1),0)</f>
        <v>0</v>
      </c>
      <c r="CP20" s="273" t="n">
        <f aca="false">IF(AND(CP4&gt;=MAX(1,SUP_CONTROL!$C$17-3),CP4&lt;=SUP_CONTROL!$C$17-1),SUP_CAPEX_FLAGSHIP!$H$55/MIN(3,SUP_CONTROL!$C$17-1),0)</f>
        <v>0</v>
      </c>
      <c r="CQ20" s="273" t="n">
        <f aca="false">IF(AND(CQ4&gt;=MAX(1,SUP_CONTROL!$C$17-3),CQ4&lt;=SUP_CONTROL!$C$17-1),SUP_CAPEX_FLAGSHIP!$H$55/MIN(3,SUP_CONTROL!$C$17-1),0)</f>
        <v>0</v>
      </c>
      <c r="CR20" s="273" t="n">
        <f aca="false">IF(AND(CR4&gt;=MAX(1,SUP_CONTROL!$C$17-3),CR4&lt;=SUP_CONTROL!$C$17-1),SUP_CAPEX_FLAGSHIP!$H$55/MIN(3,SUP_CONTROL!$C$17-1),0)</f>
        <v>0</v>
      </c>
      <c r="CS20" s="273" t="n">
        <f aca="false">IF(AND(CS4&gt;=MAX(1,SUP_CONTROL!$C$17-3),CS4&lt;=SUP_CONTROL!$C$17-1),SUP_CAPEX_FLAGSHIP!$H$55/MIN(3,SUP_CONTROL!$C$17-1),0)</f>
        <v>0</v>
      </c>
      <c r="CT20" s="273" t="n">
        <f aca="false">IF(AND(CT4&gt;=MAX(1,SUP_CONTROL!$C$17-3),CT4&lt;=SUP_CONTROL!$C$17-1),SUP_CAPEX_FLAGSHIP!$H$55/MIN(3,SUP_CONTROL!$C$17-1),0)</f>
        <v>0</v>
      </c>
      <c r="CU20" s="273" t="n">
        <f aca="false">IF(AND(CU4&gt;=MAX(1,SUP_CONTROL!$C$17-3),CU4&lt;=SUP_CONTROL!$C$17-1),SUP_CAPEX_FLAGSHIP!$H$55/MIN(3,SUP_CONTROL!$C$17-1),0)</f>
        <v>0</v>
      </c>
      <c r="CV20" s="273" t="n">
        <f aca="false">IF(AND(CV4&gt;=MAX(1,SUP_CONTROL!$C$17-3),CV4&lt;=SUP_CONTROL!$C$17-1),SUP_CAPEX_FLAGSHIP!$H$55/MIN(3,SUP_CONTROL!$C$17-1),0)</f>
        <v>0</v>
      </c>
      <c r="CW20" s="273" t="n">
        <f aca="false">IF(AND(CW4&gt;=MAX(1,SUP_CONTROL!$C$17-3),CW4&lt;=SUP_CONTROL!$C$17-1),SUP_CAPEX_FLAGSHIP!$H$55/MIN(3,SUP_CONTROL!$C$17-1),0)</f>
        <v>0</v>
      </c>
      <c r="CX20" s="273" t="n">
        <f aca="false">IF(AND(CX4&gt;=MAX(1,SUP_CONTROL!$C$17-3),CX4&lt;=SUP_CONTROL!$C$17-1),SUP_CAPEX_FLAGSHIP!$H$55/MIN(3,SUP_CONTROL!$C$17-1),0)</f>
        <v>0</v>
      </c>
      <c r="CY20" s="273" t="n">
        <f aca="false">IF(AND(CY4&gt;=MAX(1,SUP_CONTROL!$C$17-3),CY4&lt;=SUP_CONTROL!$C$17-1),SUP_CAPEX_FLAGSHIP!$H$55/MIN(3,SUP_CONTROL!$C$17-1),0)</f>
        <v>0</v>
      </c>
      <c r="CZ20" s="273" t="n">
        <f aca="false">IF(AND(CZ4&gt;=MAX(1,SUP_CONTROL!$C$17-3),CZ4&lt;=SUP_CONTROL!$C$17-1),SUP_CAPEX_FLAGSHIP!$H$55/MIN(3,SUP_CONTROL!$C$17-1),0)</f>
        <v>0</v>
      </c>
      <c r="DA20" s="273" t="n">
        <f aca="false">IF(AND(DA4&gt;=MAX(1,SUP_CONTROL!$C$17-3),DA4&lt;=SUP_CONTROL!$C$17-1),SUP_CAPEX_FLAGSHIP!$H$55/MIN(3,SUP_CONTROL!$C$17-1),0)</f>
        <v>0</v>
      </c>
      <c r="DB20" s="273" t="n">
        <f aca="false">IF(AND(DB4&gt;=MAX(1,SUP_CONTROL!$C$17-3),DB4&lt;=SUP_CONTROL!$C$17-1),SUP_CAPEX_FLAGSHIP!$H$55/MIN(3,SUP_CONTROL!$C$17-1),0)</f>
        <v>0</v>
      </c>
      <c r="DC20" s="273" t="n">
        <f aca="false">IF(AND(DC4&gt;=MAX(1,SUP_CONTROL!$C$17-3),DC4&lt;=SUP_CONTROL!$C$17-1),SUP_CAPEX_FLAGSHIP!$H$55/MIN(3,SUP_CONTROL!$C$17-1),0)</f>
        <v>0</v>
      </c>
      <c r="DD20" s="273" t="n">
        <f aca="false">IF(AND(DD4&gt;=MAX(1,SUP_CONTROL!$C$17-3),DD4&lt;=SUP_CONTROL!$C$17-1),SUP_CAPEX_FLAGSHIP!$H$55/MIN(3,SUP_CONTROL!$C$17-1),0)</f>
        <v>0</v>
      </c>
      <c r="DE20" s="273" t="n">
        <f aca="false">IF(AND(DE4&gt;=MAX(1,SUP_CONTROL!$C$17-3),DE4&lt;=SUP_CONTROL!$C$17-1),SUP_CAPEX_FLAGSHIP!$H$55/MIN(3,SUP_CONTROL!$C$17-1),0)</f>
        <v>0</v>
      </c>
      <c r="DF20" s="273" t="n">
        <f aca="false">IF(AND(DF4&gt;=MAX(1,SUP_CONTROL!$C$17-3),DF4&lt;=SUP_CONTROL!$C$17-1),SUP_CAPEX_FLAGSHIP!$H$55/MIN(3,SUP_CONTROL!$C$17-1),0)</f>
        <v>0</v>
      </c>
      <c r="DG20" s="273" t="n">
        <f aca="false">IF(AND(DG4&gt;=MAX(1,SUP_CONTROL!$C$17-3),DG4&lt;=SUP_CONTROL!$C$17-1),SUP_CAPEX_FLAGSHIP!$H$55/MIN(3,SUP_CONTROL!$C$17-1),0)</f>
        <v>0</v>
      </c>
      <c r="DH20" s="273" t="n">
        <f aca="false">IF(AND(DH4&gt;=MAX(1,SUP_CONTROL!$C$17-3),DH4&lt;=SUP_CONTROL!$C$17-1),SUP_CAPEX_FLAGSHIP!$H$55/MIN(3,SUP_CONTROL!$C$17-1),0)</f>
        <v>0</v>
      </c>
      <c r="DI20" s="273" t="n">
        <f aca="false">IF(AND(DI4&gt;=MAX(1,SUP_CONTROL!$C$17-3),DI4&lt;=SUP_CONTROL!$C$17-1),SUP_CAPEX_FLAGSHIP!$H$55/MIN(3,SUP_CONTROL!$C$17-1),0)</f>
        <v>0</v>
      </c>
      <c r="DJ20" s="273" t="n">
        <f aca="false">IF(AND(DJ4&gt;=MAX(1,SUP_CONTROL!$C$17-3),DJ4&lt;=SUP_CONTROL!$C$17-1),SUP_CAPEX_FLAGSHIP!$H$55/MIN(3,SUP_CONTROL!$C$17-1),0)</f>
        <v>0</v>
      </c>
      <c r="DK20" s="273" t="n">
        <f aca="false">IF(AND(DK4&gt;=MAX(1,SUP_CONTROL!$C$17-3),DK4&lt;=SUP_CONTROL!$C$17-1),SUP_CAPEX_FLAGSHIP!$H$55/MIN(3,SUP_CONTROL!$C$17-1),0)</f>
        <v>0</v>
      </c>
      <c r="DL20" s="273" t="n">
        <f aca="false">IF(AND(DL4&gt;=MAX(1,SUP_CONTROL!$C$17-3),DL4&lt;=SUP_CONTROL!$C$17-1),SUP_CAPEX_FLAGSHIP!$H$55/MIN(3,SUP_CONTROL!$C$17-1),0)</f>
        <v>0</v>
      </c>
      <c r="DM20" s="273" t="n">
        <f aca="false">IF(AND(DM4&gt;=MAX(1,SUP_CONTROL!$C$17-3),DM4&lt;=SUP_CONTROL!$C$17-1),SUP_CAPEX_FLAGSHIP!$H$55/MIN(3,SUP_CONTROL!$C$17-1),0)</f>
        <v>0</v>
      </c>
      <c r="DN20" s="273" t="n">
        <f aca="false">IF(AND(DN4&gt;=MAX(1,SUP_CONTROL!$C$17-3),DN4&lt;=SUP_CONTROL!$C$17-1),SUP_CAPEX_FLAGSHIP!$H$55/MIN(3,SUP_CONTROL!$C$17-1),0)</f>
        <v>0</v>
      </c>
      <c r="DO20" s="273" t="n">
        <f aca="false">IF(AND(DO4&gt;=MAX(1,SUP_CONTROL!$C$17-3),DO4&lt;=SUP_CONTROL!$C$17-1),SUP_CAPEX_FLAGSHIP!$H$55/MIN(3,SUP_CONTROL!$C$17-1),0)</f>
        <v>0</v>
      </c>
      <c r="DP20" s="273" t="n">
        <f aca="false">IF(AND(DP4&gt;=MAX(1,SUP_CONTROL!$C$17-3),DP4&lt;=SUP_CONTROL!$C$17-1),SUP_CAPEX_FLAGSHIP!$H$55/MIN(3,SUP_CONTROL!$C$17-1),0)</f>
        <v>0</v>
      </c>
      <c r="DQ20" s="273" t="n">
        <f aca="false">IF(AND(DQ4&gt;=MAX(1,SUP_CONTROL!$C$17-3),DQ4&lt;=SUP_CONTROL!$C$17-1),SUP_CAPEX_FLAGSHIP!$H$55/MIN(3,SUP_CONTROL!$C$17-1),0)</f>
        <v>0</v>
      </c>
      <c r="DR20" s="273" t="n">
        <f aca="false">IF(AND(DR4&gt;=MAX(1,SUP_CONTROL!$C$17-3),DR4&lt;=SUP_CONTROL!$C$17-1),SUP_CAPEX_FLAGSHIP!$H$55/MIN(3,SUP_CONTROL!$C$17-1),0)</f>
        <v>0</v>
      </c>
      <c r="DS20" s="273" t="n">
        <f aca="false">IF(AND(DS4&gt;=MAX(1,SUP_CONTROL!$C$17-3),DS4&lt;=SUP_CONTROL!$C$17-1),SUP_CAPEX_FLAGSHIP!$H$55/MIN(3,SUP_CONTROL!$C$17-1),0)</f>
        <v>0</v>
      </c>
    </row>
    <row r="21" customFormat="false" ht="15" hidden="false" customHeight="true" outlineLevel="0" collapsed="false">
      <c r="B21" s="297" t="s">
        <v>3461</v>
      </c>
      <c r="D21" s="273" t="n">
        <f aca="false">IF(D4=MAX(1,SUP_CONTROL!$C$17-1),SUP_CONTROL!$C$19*SUP_OPEX!$F$23,0)</f>
        <v>0</v>
      </c>
      <c r="E21" s="273" t="n">
        <f aca="false">IF(E4=MAX(1,SUP_CONTROL!$C$17-1),SUP_CONTROL!$C$19*SUP_OPEX!$F$23,0)</f>
        <v>0</v>
      </c>
      <c r="F21" s="273" t="n">
        <f aca="false">IF(F4=MAX(1,SUP_CONTROL!$C$17-1),SUP_CONTROL!$C$19*SUP_OPEX!$F$23,0)</f>
        <v>0</v>
      </c>
      <c r="G21" s="273" t="n">
        <f aca="false">IF(G4=MAX(1,SUP_CONTROL!$C$17-1),SUP_CONTROL!$C$19*SUP_OPEX!$F$23,0)</f>
        <v>0</v>
      </c>
      <c r="H21" s="273" t="n">
        <f aca="false">IF(H4=MAX(1,SUP_CONTROL!$C$17-1),SUP_CONTROL!$C$19*SUP_OPEX!$F$23,0)</f>
        <v>0</v>
      </c>
      <c r="I21" s="273" t="n">
        <f aca="false">IF(I4=MAX(1,SUP_CONTROL!$C$17-1),SUP_CONTROL!$C$19*SUP_OPEX!$F$23,0)</f>
        <v>20437.75</v>
      </c>
      <c r="J21" s="273" t="n">
        <f aca="false">IF(J4=MAX(1,SUP_CONTROL!$C$17-1),SUP_CONTROL!$C$19*SUP_OPEX!$F$23,0)</f>
        <v>0</v>
      </c>
      <c r="K21" s="273" t="n">
        <f aca="false">IF(K4=MAX(1,SUP_CONTROL!$C$17-1),SUP_CONTROL!$C$19*SUP_OPEX!$F$23,0)</f>
        <v>0</v>
      </c>
      <c r="L21" s="273" t="n">
        <f aca="false">IF(L4=MAX(1,SUP_CONTROL!$C$17-1),SUP_CONTROL!$C$19*SUP_OPEX!$F$23,0)</f>
        <v>0</v>
      </c>
      <c r="M21" s="273" t="n">
        <f aca="false">IF(M4=MAX(1,SUP_CONTROL!$C$17-1),SUP_CONTROL!$C$19*SUP_OPEX!$F$23,0)</f>
        <v>0</v>
      </c>
      <c r="N21" s="273" t="n">
        <f aca="false">IF(N4=MAX(1,SUP_CONTROL!$C$17-1),SUP_CONTROL!$C$19*SUP_OPEX!$F$23,0)</f>
        <v>0</v>
      </c>
      <c r="O21" s="273" t="n">
        <f aca="false">IF(O4=MAX(1,SUP_CONTROL!$C$17-1),SUP_CONTROL!$C$19*SUP_OPEX!$F$23,0)</f>
        <v>0</v>
      </c>
      <c r="P21" s="273" t="n">
        <f aca="false">IF(P4=MAX(1,SUP_CONTROL!$C$17-1),SUP_CONTROL!$C$19*SUP_OPEX!$F$23,0)</f>
        <v>0</v>
      </c>
      <c r="Q21" s="273" t="n">
        <f aca="false">IF(Q4=MAX(1,SUP_CONTROL!$C$17-1),SUP_CONTROL!$C$19*SUP_OPEX!$F$23,0)</f>
        <v>0</v>
      </c>
      <c r="R21" s="273" t="n">
        <f aca="false">IF(R4=MAX(1,SUP_CONTROL!$C$17-1),SUP_CONTROL!$C$19*SUP_OPEX!$F$23,0)</f>
        <v>0</v>
      </c>
      <c r="S21" s="273" t="n">
        <f aca="false">IF(S4=MAX(1,SUP_CONTROL!$C$17-1),SUP_CONTROL!$C$19*SUP_OPEX!$F$23,0)</f>
        <v>0</v>
      </c>
      <c r="T21" s="273" t="n">
        <f aca="false">IF(T4=MAX(1,SUP_CONTROL!$C$17-1),SUP_CONTROL!$C$19*SUP_OPEX!$F$23,0)</f>
        <v>0</v>
      </c>
      <c r="U21" s="273" t="n">
        <f aca="false">IF(U4=MAX(1,SUP_CONTROL!$C$17-1),SUP_CONTROL!$C$19*SUP_OPEX!$F$23,0)</f>
        <v>0</v>
      </c>
      <c r="V21" s="273" t="n">
        <f aca="false">IF(V4=MAX(1,SUP_CONTROL!$C$17-1),SUP_CONTROL!$C$19*SUP_OPEX!$F$23,0)</f>
        <v>0</v>
      </c>
      <c r="W21" s="273" t="n">
        <f aca="false">IF(W4=MAX(1,SUP_CONTROL!$C$17-1),SUP_CONTROL!$C$19*SUP_OPEX!$F$23,0)</f>
        <v>0</v>
      </c>
      <c r="X21" s="273" t="n">
        <f aca="false">IF(X4=MAX(1,SUP_CONTROL!$C$17-1),SUP_CONTROL!$C$19*SUP_OPEX!$F$23,0)</f>
        <v>0</v>
      </c>
      <c r="Y21" s="273" t="n">
        <f aca="false">IF(Y4=MAX(1,SUP_CONTROL!$C$17-1),SUP_CONTROL!$C$19*SUP_OPEX!$F$23,0)</f>
        <v>0</v>
      </c>
      <c r="Z21" s="273" t="n">
        <f aca="false">IF(Z4=MAX(1,SUP_CONTROL!$C$17-1),SUP_CONTROL!$C$19*SUP_OPEX!$F$23,0)</f>
        <v>0</v>
      </c>
      <c r="AA21" s="273" t="n">
        <f aca="false">IF(AA4=MAX(1,SUP_CONTROL!$C$17-1),SUP_CONTROL!$C$19*SUP_OPEX!$F$23,0)</f>
        <v>0</v>
      </c>
      <c r="AB21" s="273" t="n">
        <f aca="false">IF(AB4=MAX(1,SUP_CONTROL!$C$17-1),SUP_CONTROL!$C$19*SUP_OPEX!$F$23,0)</f>
        <v>0</v>
      </c>
      <c r="AC21" s="273" t="n">
        <f aca="false">IF(AC4=MAX(1,SUP_CONTROL!$C$17-1),SUP_CONTROL!$C$19*SUP_OPEX!$F$23,0)</f>
        <v>0</v>
      </c>
      <c r="AD21" s="273" t="n">
        <f aca="false">IF(AD4=MAX(1,SUP_CONTROL!$C$17-1),SUP_CONTROL!$C$19*SUP_OPEX!$F$23,0)</f>
        <v>0</v>
      </c>
      <c r="AE21" s="273" t="n">
        <f aca="false">IF(AE4=MAX(1,SUP_CONTROL!$C$17-1),SUP_CONTROL!$C$19*SUP_OPEX!$F$23,0)</f>
        <v>0</v>
      </c>
      <c r="AF21" s="273" t="n">
        <f aca="false">IF(AF4=MAX(1,SUP_CONTROL!$C$17-1),SUP_CONTROL!$C$19*SUP_OPEX!$F$23,0)</f>
        <v>0</v>
      </c>
      <c r="AG21" s="273" t="n">
        <f aca="false">IF(AG4=MAX(1,SUP_CONTROL!$C$17-1),SUP_CONTROL!$C$19*SUP_OPEX!$F$23,0)</f>
        <v>0</v>
      </c>
      <c r="AH21" s="273" t="n">
        <f aca="false">IF(AH4=MAX(1,SUP_CONTROL!$C$17-1),SUP_CONTROL!$C$19*SUP_OPEX!$F$23,0)</f>
        <v>0</v>
      </c>
      <c r="AI21" s="273" t="n">
        <f aca="false">IF(AI4=MAX(1,SUP_CONTROL!$C$17-1),SUP_CONTROL!$C$19*SUP_OPEX!$F$23,0)</f>
        <v>0</v>
      </c>
      <c r="AJ21" s="273" t="n">
        <f aca="false">IF(AJ4=MAX(1,SUP_CONTROL!$C$17-1),SUP_CONTROL!$C$19*SUP_OPEX!$F$23,0)</f>
        <v>0</v>
      </c>
      <c r="AK21" s="273" t="n">
        <f aca="false">IF(AK4=MAX(1,SUP_CONTROL!$C$17-1),SUP_CONTROL!$C$19*SUP_OPEX!$F$23,0)</f>
        <v>0</v>
      </c>
      <c r="AL21" s="273" t="n">
        <f aca="false">IF(AL4=MAX(1,SUP_CONTROL!$C$17-1),SUP_CONTROL!$C$19*SUP_OPEX!$F$23,0)</f>
        <v>0</v>
      </c>
      <c r="AM21" s="273" t="n">
        <f aca="false">IF(AM4=MAX(1,SUP_CONTROL!$C$17-1),SUP_CONTROL!$C$19*SUP_OPEX!$F$23,0)</f>
        <v>0</v>
      </c>
      <c r="AN21" s="273" t="n">
        <f aca="false">IF(AN4=MAX(1,SUP_CONTROL!$C$17-1),SUP_CONTROL!$C$19*SUP_OPEX!$F$23,0)</f>
        <v>0</v>
      </c>
      <c r="AO21" s="273" t="n">
        <f aca="false">IF(AO4=MAX(1,SUP_CONTROL!$C$17-1),SUP_CONTROL!$C$19*SUP_OPEX!$F$23,0)</f>
        <v>0</v>
      </c>
      <c r="AP21" s="273" t="n">
        <f aca="false">IF(AP4=MAX(1,SUP_CONTROL!$C$17-1),SUP_CONTROL!$C$19*SUP_OPEX!$F$23,0)</f>
        <v>0</v>
      </c>
      <c r="AQ21" s="273" t="n">
        <f aca="false">IF(AQ4=MAX(1,SUP_CONTROL!$C$17-1),SUP_CONTROL!$C$19*SUP_OPEX!$F$23,0)</f>
        <v>0</v>
      </c>
      <c r="AR21" s="273" t="n">
        <f aca="false">IF(AR4=MAX(1,SUP_CONTROL!$C$17-1),SUP_CONTROL!$C$19*SUP_OPEX!$F$23,0)</f>
        <v>0</v>
      </c>
      <c r="AS21" s="273" t="n">
        <f aca="false">IF(AS4=MAX(1,SUP_CONTROL!$C$17-1),SUP_CONTROL!$C$19*SUP_OPEX!$F$23,0)</f>
        <v>0</v>
      </c>
      <c r="AT21" s="273" t="n">
        <f aca="false">IF(AT4=MAX(1,SUP_CONTROL!$C$17-1),SUP_CONTROL!$C$19*SUP_OPEX!$F$23,0)</f>
        <v>0</v>
      </c>
      <c r="AU21" s="273" t="n">
        <f aca="false">IF(AU4=MAX(1,SUP_CONTROL!$C$17-1),SUP_CONTROL!$C$19*SUP_OPEX!$F$23,0)</f>
        <v>0</v>
      </c>
      <c r="AV21" s="273" t="n">
        <f aca="false">IF(AV4=MAX(1,SUP_CONTROL!$C$17-1),SUP_CONTROL!$C$19*SUP_OPEX!$F$23,0)</f>
        <v>0</v>
      </c>
      <c r="AW21" s="273" t="n">
        <f aca="false">IF(AW4=MAX(1,SUP_CONTROL!$C$17-1),SUP_CONTROL!$C$19*SUP_OPEX!$F$23,0)</f>
        <v>0</v>
      </c>
      <c r="AX21" s="273" t="n">
        <f aca="false">IF(AX4=MAX(1,SUP_CONTROL!$C$17-1),SUP_CONTROL!$C$19*SUP_OPEX!$F$23,0)</f>
        <v>0</v>
      </c>
      <c r="AY21" s="273" t="n">
        <f aca="false">IF(AY4=MAX(1,SUP_CONTROL!$C$17-1),SUP_CONTROL!$C$19*SUP_OPEX!$F$23,0)</f>
        <v>0</v>
      </c>
      <c r="AZ21" s="273" t="n">
        <f aca="false">IF(AZ4=MAX(1,SUP_CONTROL!$C$17-1),SUP_CONTROL!$C$19*SUP_OPEX!$F$23,0)</f>
        <v>0</v>
      </c>
      <c r="BA21" s="273" t="n">
        <f aca="false">IF(BA4=MAX(1,SUP_CONTROL!$C$17-1),SUP_CONTROL!$C$19*SUP_OPEX!$F$23,0)</f>
        <v>0</v>
      </c>
      <c r="BB21" s="273" t="n">
        <f aca="false">IF(BB4=MAX(1,SUP_CONTROL!$C$17-1),SUP_CONTROL!$C$19*SUP_OPEX!$F$23,0)</f>
        <v>0</v>
      </c>
      <c r="BC21" s="273" t="n">
        <f aca="false">IF(BC4=MAX(1,SUP_CONTROL!$C$17-1),SUP_CONTROL!$C$19*SUP_OPEX!$F$23,0)</f>
        <v>0</v>
      </c>
      <c r="BD21" s="273" t="n">
        <f aca="false">IF(BD4=MAX(1,SUP_CONTROL!$C$17-1),SUP_CONTROL!$C$19*SUP_OPEX!$F$23,0)</f>
        <v>0</v>
      </c>
      <c r="BE21" s="273" t="n">
        <f aca="false">IF(BE4=MAX(1,SUP_CONTROL!$C$17-1),SUP_CONTROL!$C$19*SUP_OPEX!$F$23,0)</f>
        <v>0</v>
      </c>
      <c r="BF21" s="273" t="n">
        <f aca="false">IF(BF4=MAX(1,SUP_CONTROL!$C$17-1),SUP_CONTROL!$C$19*SUP_OPEX!$F$23,0)</f>
        <v>0</v>
      </c>
      <c r="BG21" s="273" t="n">
        <f aca="false">IF(BG4=MAX(1,SUP_CONTROL!$C$17-1),SUP_CONTROL!$C$19*SUP_OPEX!$F$23,0)</f>
        <v>0</v>
      </c>
      <c r="BH21" s="273" t="n">
        <f aca="false">IF(BH4=MAX(1,SUP_CONTROL!$C$17-1),SUP_CONTROL!$C$19*SUP_OPEX!$F$23,0)</f>
        <v>0</v>
      </c>
      <c r="BI21" s="273" t="n">
        <f aca="false">IF(BI4=MAX(1,SUP_CONTROL!$C$17-1),SUP_CONTROL!$C$19*SUP_OPEX!$F$23,0)</f>
        <v>0</v>
      </c>
      <c r="BJ21" s="273" t="n">
        <f aca="false">IF(BJ4=MAX(1,SUP_CONTROL!$C$17-1),SUP_CONTROL!$C$19*SUP_OPEX!$F$23,0)</f>
        <v>0</v>
      </c>
      <c r="BK21" s="273" t="n">
        <f aca="false">IF(BK4=MAX(1,SUP_CONTROL!$C$17-1),SUP_CONTROL!$C$19*SUP_OPEX!$F$23,0)</f>
        <v>0</v>
      </c>
      <c r="BL21" s="273" t="n">
        <f aca="false">IF(BL4=MAX(1,SUP_CONTROL!$C$17-1),SUP_CONTROL!$C$19*SUP_OPEX!$F$23,0)</f>
        <v>0</v>
      </c>
      <c r="BM21" s="273" t="n">
        <f aca="false">IF(BM4=MAX(1,SUP_CONTROL!$C$17-1),SUP_CONTROL!$C$19*SUP_OPEX!$F$23,0)</f>
        <v>0</v>
      </c>
      <c r="BN21" s="273" t="n">
        <f aca="false">IF(BN4=MAX(1,SUP_CONTROL!$C$17-1),SUP_CONTROL!$C$19*SUP_OPEX!$F$23,0)</f>
        <v>0</v>
      </c>
      <c r="BO21" s="273" t="n">
        <f aca="false">IF(BO4=MAX(1,SUP_CONTROL!$C$17-1),SUP_CONTROL!$C$19*SUP_OPEX!$F$23,0)</f>
        <v>0</v>
      </c>
      <c r="BP21" s="273" t="n">
        <f aca="false">IF(BP4=MAX(1,SUP_CONTROL!$C$17-1),SUP_CONTROL!$C$19*SUP_OPEX!$F$23,0)</f>
        <v>0</v>
      </c>
      <c r="BQ21" s="273" t="n">
        <f aca="false">IF(BQ4=MAX(1,SUP_CONTROL!$C$17-1),SUP_CONTROL!$C$19*SUP_OPEX!$F$23,0)</f>
        <v>0</v>
      </c>
      <c r="BR21" s="273" t="n">
        <f aca="false">IF(BR4=MAX(1,SUP_CONTROL!$C$17-1),SUP_CONTROL!$C$19*SUP_OPEX!$F$23,0)</f>
        <v>0</v>
      </c>
      <c r="BS21" s="273" t="n">
        <f aca="false">IF(BS4=MAX(1,SUP_CONTROL!$C$17-1),SUP_CONTROL!$C$19*SUP_OPEX!$F$23,0)</f>
        <v>0</v>
      </c>
      <c r="BT21" s="273" t="n">
        <f aca="false">IF(BT4=MAX(1,SUP_CONTROL!$C$17-1),SUP_CONTROL!$C$19*SUP_OPEX!$F$23,0)</f>
        <v>0</v>
      </c>
      <c r="BU21" s="273" t="n">
        <f aca="false">IF(BU4=MAX(1,SUP_CONTROL!$C$17-1),SUP_CONTROL!$C$19*SUP_OPEX!$F$23,0)</f>
        <v>0</v>
      </c>
      <c r="BV21" s="273" t="n">
        <f aca="false">IF(BV4=MAX(1,SUP_CONTROL!$C$17-1),SUP_CONTROL!$C$19*SUP_OPEX!$F$23,0)</f>
        <v>0</v>
      </c>
      <c r="BW21" s="273" t="n">
        <f aca="false">IF(BW4=MAX(1,SUP_CONTROL!$C$17-1),SUP_CONTROL!$C$19*SUP_OPEX!$F$23,0)</f>
        <v>0</v>
      </c>
      <c r="BX21" s="273" t="n">
        <f aca="false">IF(BX4=MAX(1,SUP_CONTROL!$C$17-1),SUP_CONTROL!$C$19*SUP_OPEX!$F$23,0)</f>
        <v>0</v>
      </c>
      <c r="BY21" s="273" t="n">
        <f aca="false">IF(BY4=MAX(1,SUP_CONTROL!$C$17-1),SUP_CONTROL!$C$19*SUP_OPEX!$F$23,0)</f>
        <v>0</v>
      </c>
      <c r="BZ21" s="273" t="n">
        <f aca="false">IF(BZ4=MAX(1,SUP_CONTROL!$C$17-1),SUP_CONTROL!$C$19*SUP_OPEX!$F$23,0)</f>
        <v>0</v>
      </c>
      <c r="CA21" s="273" t="n">
        <f aca="false">IF(CA4=MAX(1,SUP_CONTROL!$C$17-1),SUP_CONTROL!$C$19*SUP_OPEX!$F$23,0)</f>
        <v>0</v>
      </c>
      <c r="CB21" s="273" t="n">
        <f aca="false">IF(CB4=MAX(1,SUP_CONTROL!$C$17-1),SUP_CONTROL!$C$19*SUP_OPEX!$F$23,0)</f>
        <v>0</v>
      </c>
      <c r="CC21" s="273" t="n">
        <f aca="false">IF(CC4=MAX(1,SUP_CONTROL!$C$17-1),SUP_CONTROL!$C$19*SUP_OPEX!$F$23,0)</f>
        <v>0</v>
      </c>
      <c r="CD21" s="273" t="n">
        <f aca="false">IF(CD4=MAX(1,SUP_CONTROL!$C$17-1),SUP_CONTROL!$C$19*SUP_OPEX!$F$23,0)</f>
        <v>0</v>
      </c>
      <c r="CE21" s="273" t="n">
        <f aca="false">IF(CE4=MAX(1,SUP_CONTROL!$C$17-1),SUP_CONTROL!$C$19*SUP_OPEX!$F$23,0)</f>
        <v>0</v>
      </c>
      <c r="CF21" s="273" t="n">
        <f aca="false">IF(CF4=MAX(1,SUP_CONTROL!$C$17-1),SUP_CONTROL!$C$19*SUP_OPEX!$F$23,0)</f>
        <v>0</v>
      </c>
      <c r="CG21" s="273" t="n">
        <f aca="false">IF(CG4=MAX(1,SUP_CONTROL!$C$17-1),SUP_CONTROL!$C$19*SUP_OPEX!$F$23,0)</f>
        <v>0</v>
      </c>
      <c r="CH21" s="273" t="n">
        <f aca="false">IF(CH4=MAX(1,SUP_CONTROL!$C$17-1),SUP_CONTROL!$C$19*SUP_OPEX!$F$23,0)</f>
        <v>0</v>
      </c>
      <c r="CI21" s="273" t="n">
        <f aca="false">IF(CI4=MAX(1,SUP_CONTROL!$C$17-1),SUP_CONTROL!$C$19*SUP_OPEX!$F$23,0)</f>
        <v>0</v>
      </c>
      <c r="CJ21" s="273" t="n">
        <f aca="false">IF(CJ4=MAX(1,SUP_CONTROL!$C$17-1),SUP_CONTROL!$C$19*SUP_OPEX!$F$23,0)</f>
        <v>0</v>
      </c>
      <c r="CK21" s="273" t="n">
        <f aca="false">IF(CK4=MAX(1,SUP_CONTROL!$C$17-1),SUP_CONTROL!$C$19*SUP_OPEX!$F$23,0)</f>
        <v>0</v>
      </c>
      <c r="CL21" s="273" t="n">
        <f aca="false">IF(CL4=MAX(1,SUP_CONTROL!$C$17-1),SUP_CONTROL!$C$19*SUP_OPEX!$F$23,0)</f>
        <v>0</v>
      </c>
      <c r="CM21" s="273" t="n">
        <f aca="false">IF(CM4=MAX(1,SUP_CONTROL!$C$17-1),SUP_CONTROL!$C$19*SUP_OPEX!$F$23,0)</f>
        <v>0</v>
      </c>
      <c r="CN21" s="273" t="n">
        <f aca="false">IF(CN4=MAX(1,SUP_CONTROL!$C$17-1),SUP_CONTROL!$C$19*SUP_OPEX!$F$23,0)</f>
        <v>0</v>
      </c>
      <c r="CO21" s="273" t="n">
        <f aca="false">IF(CO4=MAX(1,SUP_CONTROL!$C$17-1),SUP_CONTROL!$C$19*SUP_OPEX!$F$23,0)</f>
        <v>0</v>
      </c>
      <c r="CP21" s="273" t="n">
        <f aca="false">IF(CP4=MAX(1,SUP_CONTROL!$C$17-1),SUP_CONTROL!$C$19*SUP_OPEX!$F$23,0)</f>
        <v>0</v>
      </c>
      <c r="CQ21" s="273" t="n">
        <f aca="false">IF(CQ4=MAX(1,SUP_CONTROL!$C$17-1),SUP_CONTROL!$C$19*SUP_OPEX!$F$23,0)</f>
        <v>0</v>
      </c>
      <c r="CR21" s="273" t="n">
        <f aca="false">IF(CR4=MAX(1,SUP_CONTROL!$C$17-1),SUP_CONTROL!$C$19*SUP_OPEX!$F$23,0)</f>
        <v>0</v>
      </c>
      <c r="CS21" s="273" t="n">
        <f aca="false">IF(CS4=MAX(1,SUP_CONTROL!$C$17-1),SUP_CONTROL!$C$19*SUP_OPEX!$F$23,0)</f>
        <v>0</v>
      </c>
      <c r="CT21" s="273" t="n">
        <f aca="false">IF(CT4=MAX(1,SUP_CONTROL!$C$17-1),SUP_CONTROL!$C$19*SUP_OPEX!$F$23,0)</f>
        <v>0</v>
      </c>
      <c r="CU21" s="273" t="n">
        <f aca="false">IF(CU4=MAX(1,SUP_CONTROL!$C$17-1),SUP_CONTROL!$C$19*SUP_OPEX!$F$23,0)</f>
        <v>0</v>
      </c>
      <c r="CV21" s="273" t="n">
        <f aca="false">IF(CV4=MAX(1,SUP_CONTROL!$C$17-1),SUP_CONTROL!$C$19*SUP_OPEX!$F$23,0)</f>
        <v>0</v>
      </c>
      <c r="CW21" s="273" t="n">
        <f aca="false">IF(CW4=MAX(1,SUP_CONTROL!$C$17-1),SUP_CONTROL!$C$19*SUP_OPEX!$F$23,0)</f>
        <v>0</v>
      </c>
      <c r="CX21" s="273" t="n">
        <f aca="false">IF(CX4=MAX(1,SUP_CONTROL!$C$17-1),SUP_CONTROL!$C$19*SUP_OPEX!$F$23,0)</f>
        <v>0</v>
      </c>
      <c r="CY21" s="273" t="n">
        <f aca="false">IF(CY4=MAX(1,SUP_CONTROL!$C$17-1),SUP_CONTROL!$C$19*SUP_OPEX!$F$23,0)</f>
        <v>0</v>
      </c>
      <c r="CZ21" s="273" t="n">
        <f aca="false">IF(CZ4=MAX(1,SUP_CONTROL!$C$17-1),SUP_CONTROL!$C$19*SUP_OPEX!$F$23,0)</f>
        <v>0</v>
      </c>
      <c r="DA21" s="273" t="n">
        <f aca="false">IF(DA4=MAX(1,SUP_CONTROL!$C$17-1),SUP_CONTROL!$C$19*SUP_OPEX!$F$23,0)</f>
        <v>0</v>
      </c>
      <c r="DB21" s="273" t="n">
        <f aca="false">IF(DB4=MAX(1,SUP_CONTROL!$C$17-1),SUP_CONTROL!$C$19*SUP_OPEX!$F$23,0)</f>
        <v>0</v>
      </c>
      <c r="DC21" s="273" t="n">
        <f aca="false">IF(DC4=MAX(1,SUP_CONTROL!$C$17-1),SUP_CONTROL!$C$19*SUP_OPEX!$F$23,0)</f>
        <v>0</v>
      </c>
      <c r="DD21" s="273" t="n">
        <f aca="false">IF(DD4=MAX(1,SUP_CONTROL!$C$17-1),SUP_CONTROL!$C$19*SUP_OPEX!$F$23,0)</f>
        <v>0</v>
      </c>
      <c r="DE21" s="273" t="n">
        <f aca="false">IF(DE4=MAX(1,SUP_CONTROL!$C$17-1),SUP_CONTROL!$C$19*SUP_OPEX!$F$23,0)</f>
        <v>0</v>
      </c>
      <c r="DF21" s="273" t="n">
        <f aca="false">IF(DF4=MAX(1,SUP_CONTROL!$C$17-1),SUP_CONTROL!$C$19*SUP_OPEX!$F$23,0)</f>
        <v>0</v>
      </c>
      <c r="DG21" s="273" t="n">
        <f aca="false">IF(DG4=MAX(1,SUP_CONTROL!$C$17-1),SUP_CONTROL!$C$19*SUP_OPEX!$F$23,0)</f>
        <v>0</v>
      </c>
      <c r="DH21" s="273" t="n">
        <f aca="false">IF(DH4=MAX(1,SUP_CONTROL!$C$17-1),SUP_CONTROL!$C$19*SUP_OPEX!$F$23,0)</f>
        <v>0</v>
      </c>
      <c r="DI21" s="273" t="n">
        <f aca="false">IF(DI4=MAX(1,SUP_CONTROL!$C$17-1),SUP_CONTROL!$C$19*SUP_OPEX!$F$23,0)</f>
        <v>0</v>
      </c>
      <c r="DJ21" s="273" t="n">
        <f aca="false">IF(DJ4=MAX(1,SUP_CONTROL!$C$17-1),SUP_CONTROL!$C$19*SUP_OPEX!$F$23,0)</f>
        <v>0</v>
      </c>
      <c r="DK21" s="273" t="n">
        <f aca="false">IF(DK4=MAX(1,SUP_CONTROL!$C$17-1),SUP_CONTROL!$C$19*SUP_OPEX!$F$23,0)</f>
        <v>0</v>
      </c>
      <c r="DL21" s="273" t="n">
        <f aca="false">IF(DL4=MAX(1,SUP_CONTROL!$C$17-1),SUP_CONTROL!$C$19*SUP_OPEX!$F$23,0)</f>
        <v>0</v>
      </c>
      <c r="DM21" s="273" t="n">
        <f aca="false">IF(DM4=MAX(1,SUP_CONTROL!$C$17-1),SUP_CONTROL!$C$19*SUP_OPEX!$F$23,0)</f>
        <v>0</v>
      </c>
      <c r="DN21" s="273" t="n">
        <f aca="false">IF(DN4=MAX(1,SUP_CONTROL!$C$17-1),SUP_CONTROL!$C$19*SUP_OPEX!$F$23,0)</f>
        <v>0</v>
      </c>
      <c r="DO21" s="273" t="n">
        <f aca="false">IF(DO4=MAX(1,SUP_CONTROL!$C$17-1),SUP_CONTROL!$C$19*SUP_OPEX!$F$23,0)</f>
        <v>0</v>
      </c>
      <c r="DP21" s="273" t="n">
        <f aca="false">IF(DP4=MAX(1,SUP_CONTROL!$C$17-1),SUP_CONTROL!$C$19*SUP_OPEX!$F$23,0)</f>
        <v>0</v>
      </c>
      <c r="DQ21" s="273" t="n">
        <f aca="false">IF(DQ4=MAX(1,SUP_CONTROL!$C$17-1),SUP_CONTROL!$C$19*SUP_OPEX!$F$23,0)</f>
        <v>0</v>
      </c>
      <c r="DR21" s="273" t="n">
        <f aca="false">IF(DR4=MAX(1,SUP_CONTROL!$C$17-1),SUP_CONTROL!$C$19*SUP_OPEX!$F$23,0)</f>
        <v>0</v>
      </c>
      <c r="DS21" s="273" t="n">
        <f aca="false">IF(DS4=MAX(1,SUP_CONTROL!$C$17-1),SUP_CONTROL!$C$19*SUP_OPEX!$F$23,0)</f>
        <v>0</v>
      </c>
    </row>
    <row r="22" customFormat="false" ht="15" hidden="false" customHeight="true" outlineLevel="0" collapsed="false">
      <c r="B22" s="297" t="s">
        <v>3462</v>
      </c>
      <c r="D22" s="273" t="n">
        <f aca="false">D20</f>
        <v>0</v>
      </c>
      <c r="E22" s="273" t="n">
        <f aca="false">D22+E20</f>
        <v>0</v>
      </c>
      <c r="F22" s="273" t="n">
        <f aca="false">E22+F20</f>
        <v>0</v>
      </c>
      <c r="G22" s="273" t="n">
        <f aca="false">F22+G20</f>
        <v>161876.14025</v>
      </c>
      <c r="H22" s="273" t="n">
        <f aca="false">G22+H20</f>
        <v>323752.2805</v>
      </c>
      <c r="I22" s="273" t="n">
        <f aca="false">H22+I20</f>
        <v>485628.42075</v>
      </c>
      <c r="J22" s="273" t="n">
        <f aca="false">I22+J20</f>
        <v>485628.42075</v>
      </c>
      <c r="K22" s="273" t="n">
        <f aca="false">J22+K20</f>
        <v>485628.42075</v>
      </c>
      <c r="L22" s="273" t="n">
        <f aca="false">K22+L20</f>
        <v>485628.42075</v>
      </c>
      <c r="M22" s="273" t="n">
        <f aca="false">L22+M20</f>
        <v>485628.42075</v>
      </c>
      <c r="N22" s="273" t="n">
        <f aca="false">M22+N20</f>
        <v>485628.42075</v>
      </c>
      <c r="O22" s="273" t="n">
        <f aca="false">N22+O20</f>
        <v>485628.42075</v>
      </c>
      <c r="P22" s="273" t="n">
        <f aca="false">O22+P20</f>
        <v>485628.42075</v>
      </c>
      <c r="Q22" s="273" t="n">
        <f aca="false">P22+Q20</f>
        <v>485628.42075</v>
      </c>
      <c r="R22" s="273" t="n">
        <f aca="false">Q22+R20</f>
        <v>485628.42075</v>
      </c>
      <c r="S22" s="273" t="n">
        <f aca="false">R22+S20</f>
        <v>485628.42075</v>
      </c>
      <c r="T22" s="273" t="n">
        <f aca="false">S22+T20</f>
        <v>485628.42075</v>
      </c>
      <c r="U22" s="273" t="n">
        <f aca="false">T22+U20</f>
        <v>485628.42075</v>
      </c>
      <c r="V22" s="273" t="n">
        <f aca="false">U22+V20</f>
        <v>485628.42075</v>
      </c>
      <c r="W22" s="273" t="n">
        <f aca="false">V22+W20</f>
        <v>485628.42075</v>
      </c>
      <c r="X22" s="273" t="n">
        <f aca="false">W22+X20</f>
        <v>485628.42075</v>
      </c>
      <c r="Y22" s="273" t="n">
        <f aca="false">X22+Y20</f>
        <v>485628.42075</v>
      </c>
      <c r="Z22" s="273" t="n">
        <f aca="false">Y22+Z20</f>
        <v>485628.42075</v>
      </c>
      <c r="AA22" s="273" t="n">
        <f aca="false">Z22+AA20</f>
        <v>485628.42075</v>
      </c>
      <c r="AB22" s="273" t="n">
        <f aca="false">AA22+AB20</f>
        <v>485628.42075</v>
      </c>
      <c r="AC22" s="273" t="n">
        <f aca="false">AB22+AC20</f>
        <v>485628.42075</v>
      </c>
      <c r="AD22" s="273" t="n">
        <f aca="false">AC22+AD20</f>
        <v>485628.42075</v>
      </c>
      <c r="AE22" s="273" t="n">
        <f aca="false">AD22+AE20</f>
        <v>485628.42075</v>
      </c>
      <c r="AF22" s="273" t="n">
        <f aca="false">AE22+AF20</f>
        <v>485628.42075</v>
      </c>
      <c r="AG22" s="273" t="n">
        <f aca="false">AF22+AG20</f>
        <v>485628.42075</v>
      </c>
      <c r="AH22" s="273" t="n">
        <f aca="false">AG22+AH20</f>
        <v>485628.42075</v>
      </c>
      <c r="AI22" s="273" t="n">
        <f aca="false">AH22+AI20</f>
        <v>485628.42075</v>
      </c>
      <c r="AJ22" s="273" t="n">
        <f aca="false">AI22+AJ20</f>
        <v>485628.42075</v>
      </c>
      <c r="AK22" s="273" t="n">
        <f aca="false">AJ22+AK20</f>
        <v>485628.42075</v>
      </c>
      <c r="AL22" s="273" t="n">
        <f aca="false">AK22+AL20</f>
        <v>485628.42075</v>
      </c>
      <c r="AM22" s="273" t="n">
        <f aca="false">AL22+AM20</f>
        <v>485628.42075</v>
      </c>
      <c r="AN22" s="273" t="n">
        <f aca="false">AM22+AN20</f>
        <v>485628.42075</v>
      </c>
      <c r="AO22" s="273" t="n">
        <f aca="false">AN22+AO20</f>
        <v>485628.42075</v>
      </c>
      <c r="AP22" s="273" t="n">
        <f aca="false">AO22+AP20</f>
        <v>485628.42075</v>
      </c>
      <c r="AQ22" s="273" t="n">
        <f aca="false">AP22+AQ20</f>
        <v>485628.42075</v>
      </c>
      <c r="AR22" s="273" t="n">
        <f aca="false">AQ22+AR20</f>
        <v>485628.42075</v>
      </c>
      <c r="AS22" s="273" t="n">
        <f aca="false">AR22+AS20</f>
        <v>485628.42075</v>
      </c>
      <c r="AT22" s="273" t="n">
        <f aca="false">AS22+AT20</f>
        <v>485628.42075</v>
      </c>
      <c r="AU22" s="273" t="n">
        <f aca="false">AT22+AU20</f>
        <v>485628.42075</v>
      </c>
      <c r="AV22" s="273" t="n">
        <f aca="false">AU22+AV20</f>
        <v>485628.42075</v>
      </c>
      <c r="AW22" s="273" t="n">
        <f aca="false">AV22+AW20</f>
        <v>485628.42075</v>
      </c>
      <c r="AX22" s="273" t="n">
        <f aca="false">AW22+AX20</f>
        <v>485628.42075</v>
      </c>
      <c r="AY22" s="273" t="n">
        <f aca="false">AX22+AY20</f>
        <v>485628.42075</v>
      </c>
      <c r="AZ22" s="273" t="n">
        <f aca="false">AY22+AZ20</f>
        <v>485628.42075</v>
      </c>
      <c r="BA22" s="273" t="n">
        <f aca="false">AZ22+BA20</f>
        <v>485628.42075</v>
      </c>
      <c r="BB22" s="273" t="n">
        <f aca="false">BA22+BB20</f>
        <v>485628.42075</v>
      </c>
      <c r="BC22" s="273" t="n">
        <f aca="false">BB22+BC20</f>
        <v>485628.42075</v>
      </c>
      <c r="BD22" s="273" t="n">
        <f aca="false">BC22+BD20</f>
        <v>485628.42075</v>
      </c>
      <c r="BE22" s="273" t="n">
        <f aca="false">BD22+BE20</f>
        <v>485628.42075</v>
      </c>
      <c r="BF22" s="273" t="n">
        <f aca="false">BE22+BF20</f>
        <v>485628.42075</v>
      </c>
      <c r="BG22" s="273" t="n">
        <f aca="false">BF22+BG20</f>
        <v>485628.42075</v>
      </c>
      <c r="BH22" s="273" t="n">
        <f aca="false">BG22+BH20</f>
        <v>485628.42075</v>
      </c>
      <c r="BI22" s="273" t="n">
        <f aca="false">BH22+BI20</f>
        <v>485628.42075</v>
      </c>
      <c r="BJ22" s="273" t="n">
        <f aca="false">BI22+BJ20</f>
        <v>485628.42075</v>
      </c>
      <c r="BK22" s="273" t="n">
        <f aca="false">BJ22+BK20</f>
        <v>485628.42075</v>
      </c>
      <c r="BL22" s="273" t="n">
        <f aca="false">BK22+BL20</f>
        <v>485628.42075</v>
      </c>
      <c r="BM22" s="273" t="n">
        <f aca="false">BL22+BM20</f>
        <v>485628.42075</v>
      </c>
      <c r="BN22" s="273" t="n">
        <f aca="false">BM22+BN20</f>
        <v>485628.42075</v>
      </c>
      <c r="BO22" s="273" t="n">
        <f aca="false">BN22+BO20</f>
        <v>485628.42075</v>
      </c>
      <c r="BP22" s="273" t="n">
        <f aca="false">BO22+BP20</f>
        <v>485628.42075</v>
      </c>
      <c r="BQ22" s="273" t="n">
        <f aca="false">BP22+BQ20</f>
        <v>485628.42075</v>
      </c>
      <c r="BR22" s="273" t="n">
        <f aca="false">BQ22+BR20</f>
        <v>485628.42075</v>
      </c>
      <c r="BS22" s="273" t="n">
        <f aca="false">BR22+BS20</f>
        <v>485628.42075</v>
      </c>
      <c r="BT22" s="273" t="n">
        <f aca="false">BS22+BT20</f>
        <v>485628.42075</v>
      </c>
      <c r="BU22" s="273" t="n">
        <f aca="false">BT22+BU20</f>
        <v>485628.42075</v>
      </c>
      <c r="BV22" s="273" t="n">
        <f aca="false">BU22+BV20</f>
        <v>485628.42075</v>
      </c>
      <c r="BW22" s="273" t="n">
        <f aca="false">BV22+BW20</f>
        <v>485628.42075</v>
      </c>
      <c r="BX22" s="273" t="n">
        <f aca="false">BW22+BX20</f>
        <v>485628.42075</v>
      </c>
      <c r="BY22" s="273" t="n">
        <f aca="false">BX22+BY20</f>
        <v>485628.42075</v>
      </c>
      <c r="BZ22" s="273" t="n">
        <f aca="false">BY22+BZ20</f>
        <v>485628.42075</v>
      </c>
      <c r="CA22" s="273" t="n">
        <f aca="false">BZ22+CA20</f>
        <v>485628.42075</v>
      </c>
      <c r="CB22" s="273" t="n">
        <f aca="false">CA22+CB20</f>
        <v>485628.42075</v>
      </c>
      <c r="CC22" s="273" t="n">
        <f aca="false">CB22+CC20</f>
        <v>485628.42075</v>
      </c>
      <c r="CD22" s="273" t="n">
        <f aca="false">CC22+CD20</f>
        <v>485628.42075</v>
      </c>
      <c r="CE22" s="273" t="n">
        <f aca="false">CD22+CE20</f>
        <v>485628.42075</v>
      </c>
      <c r="CF22" s="273" t="n">
        <f aca="false">CE22+CF20</f>
        <v>485628.42075</v>
      </c>
      <c r="CG22" s="273" t="n">
        <f aca="false">CF22+CG20</f>
        <v>485628.42075</v>
      </c>
      <c r="CH22" s="273" t="n">
        <f aca="false">CG22+CH20</f>
        <v>485628.42075</v>
      </c>
      <c r="CI22" s="273" t="n">
        <f aca="false">CH22+CI20</f>
        <v>485628.42075</v>
      </c>
      <c r="CJ22" s="273" t="n">
        <f aca="false">CI22+CJ20</f>
        <v>485628.42075</v>
      </c>
      <c r="CK22" s="273" t="n">
        <f aca="false">CJ22+CK20</f>
        <v>485628.42075</v>
      </c>
      <c r="CL22" s="273" t="n">
        <f aca="false">CK22+CL20</f>
        <v>485628.42075</v>
      </c>
      <c r="CM22" s="273" t="n">
        <f aca="false">CL22+CM20</f>
        <v>485628.42075</v>
      </c>
      <c r="CN22" s="273" t="n">
        <f aca="false">CM22+CN20</f>
        <v>485628.42075</v>
      </c>
      <c r="CO22" s="273" t="n">
        <f aca="false">CN22+CO20</f>
        <v>485628.42075</v>
      </c>
      <c r="CP22" s="273" t="n">
        <f aca="false">CO22+CP20</f>
        <v>485628.42075</v>
      </c>
      <c r="CQ22" s="273" t="n">
        <f aca="false">CP22+CQ20</f>
        <v>485628.42075</v>
      </c>
      <c r="CR22" s="273" t="n">
        <f aca="false">CQ22+CR20</f>
        <v>485628.42075</v>
      </c>
      <c r="CS22" s="273" t="n">
        <f aca="false">CR22+CS20</f>
        <v>485628.42075</v>
      </c>
      <c r="CT22" s="273" t="n">
        <f aca="false">CS22+CT20</f>
        <v>485628.42075</v>
      </c>
      <c r="CU22" s="273" t="n">
        <f aca="false">CT22+CU20</f>
        <v>485628.42075</v>
      </c>
      <c r="CV22" s="273" t="n">
        <f aca="false">CU22+CV20</f>
        <v>485628.42075</v>
      </c>
      <c r="CW22" s="273" t="n">
        <f aca="false">CV22+CW20</f>
        <v>485628.42075</v>
      </c>
      <c r="CX22" s="273" t="n">
        <f aca="false">CW22+CX20</f>
        <v>485628.42075</v>
      </c>
      <c r="CY22" s="273" t="n">
        <f aca="false">CX22+CY20</f>
        <v>485628.42075</v>
      </c>
      <c r="CZ22" s="273" t="n">
        <f aca="false">CY22+CZ20</f>
        <v>485628.42075</v>
      </c>
      <c r="DA22" s="273" t="n">
        <f aca="false">CZ22+DA20</f>
        <v>485628.42075</v>
      </c>
      <c r="DB22" s="273" t="n">
        <f aca="false">DA22+DB20</f>
        <v>485628.42075</v>
      </c>
      <c r="DC22" s="273" t="n">
        <f aca="false">DB22+DC20</f>
        <v>485628.42075</v>
      </c>
      <c r="DD22" s="273" t="n">
        <f aca="false">DC22+DD20</f>
        <v>485628.42075</v>
      </c>
      <c r="DE22" s="273" t="n">
        <f aca="false">DD22+DE20</f>
        <v>485628.42075</v>
      </c>
      <c r="DF22" s="273" t="n">
        <f aca="false">DE22+DF20</f>
        <v>485628.42075</v>
      </c>
      <c r="DG22" s="273" t="n">
        <f aca="false">DF22+DG20</f>
        <v>485628.42075</v>
      </c>
      <c r="DH22" s="273" t="n">
        <f aca="false">DG22+DH20</f>
        <v>485628.42075</v>
      </c>
      <c r="DI22" s="273" t="n">
        <f aca="false">DH22+DI20</f>
        <v>485628.42075</v>
      </c>
      <c r="DJ22" s="273" t="n">
        <f aca="false">DI22+DJ20</f>
        <v>485628.42075</v>
      </c>
      <c r="DK22" s="273" t="n">
        <f aca="false">DJ22+DK20</f>
        <v>485628.42075</v>
      </c>
      <c r="DL22" s="273" t="n">
        <f aca="false">DK22+DL20</f>
        <v>485628.42075</v>
      </c>
      <c r="DM22" s="273" t="n">
        <f aca="false">DL22+DM20</f>
        <v>485628.42075</v>
      </c>
      <c r="DN22" s="273" t="n">
        <f aca="false">DM22+DN20</f>
        <v>485628.42075</v>
      </c>
      <c r="DO22" s="273" t="n">
        <f aca="false">DN22+DO20</f>
        <v>485628.42075</v>
      </c>
      <c r="DP22" s="273" t="n">
        <f aca="false">DO22+DP20</f>
        <v>485628.42075</v>
      </c>
      <c r="DQ22" s="273" t="n">
        <f aca="false">DP22+DQ20</f>
        <v>485628.42075</v>
      </c>
      <c r="DR22" s="273" t="n">
        <f aca="false">DQ22+DR20</f>
        <v>485628.42075</v>
      </c>
      <c r="DS22" s="273" t="n">
        <f aca="false">DR22+DS20</f>
        <v>485628.42075</v>
      </c>
    </row>
    <row r="23" customFormat="false" ht="15" hidden="false" customHeight="true" outlineLevel="0" collapsed="false">
      <c r="B23" s="297" t="s">
        <v>3463</v>
      </c>
      <c r="D23" s="273" t="n">
        <f aca="false">D22/(SUP_OPEX!$C$43*12)</f>
        <v>0</v>
      </c>
      <c r="E23" s="273" t="n">
        <f aca="false">E22/(SUP_OPEX!$C$43*12)</f>
        <v>0</v>
      </c>
      <c r="F23" s="273" t="n">
        <f aca="false">F22/(SUP_OPEX!$C$43*12)</f>
        <v>0</v>
      </c>
      <c r="G23" s="273" t="n">
        <f aca="false">G22/(SUP_OPEX!$C$43*12)</f>
        <v>1348.96783541667</v>
      </c>
      <c r="H23" s="273" t="n">
        <f aca="false">H22/(SUP_OPEX!$C$43*12)</f>
        <v>2697.93567083333</v>
      </c>
      <c r="I23" s="273" t="n">
        <f aca="false">I22/(SUP_OPEX!$C$43*12)</f>
        <v>4046.90350625</v>
      </c>
      <c r="J23" s="273" t="n">
        <f aca="false">J22/(SUP_OPEX!$C$43*12)</f>
        <v>4046.90350625</v>
      </c>
      <c r="K23" s="273" t="n">
        <f aca="false">K22/(SUP_OPEX!$C$43*12)</f>
        <v>4046.90350625</v>
      </c>
      <c r="L23" s="273" t="n">
        <f aca="false">L22/(SUP_OPEX!$C$43*12)</f>
        <v>4046.90350625</v>
      </c>
      <c r="M23" s="273" t="n">
        <f aca="false">M22/(SUP_OPEX!$C$43*12)</f>
        <v>4046.90350625</v>
      </c>
      <c r="N23" s="273" t="n">
        <f aca="false">N22/(SUP_OPEX!$C$43*12)</f>
        <v>4046.90350625</v>
      </c>
      <c r="O23" s="273" t="n">
        <f aca="false">O22/(SUP_OPEX!$C$43*12)</f>
        <v>4046.90350625</v>
      </c>
      <c r="P23" s="273" t="n">
        <f aca="false">P22/(SUP_OPEX!$C$43*12)</f>
        <v>4046.90350625</v>
      </c>
      <c r="Q23" s="273" t="n">
        <f aca="false">Q22/(SUP_OPEX!$C$43*12)</f>
        <v>4046.90350625</v>
      </c>
      <c r="R23" s="273" t="n">
        <f aca="false">R22/(SUP_OPEX!$C$43*12)</f>
        <v>4046.90350625</v>
      </c>
      <c r="S23" s="273" t="n">
        <f aca="false">S22/(SUP_OPEX!$C$43*12)</f>
        <v>4046.90350625</v>
      </c>
      <c r="T23" s="273" t="n">
        <f aca="false">T22/(SUP_OPEX!$C$43*12)</f>
        <v>4046.90350625</v>
      </c>
      <c r="U23" s="273" t="n">
        <f aca="false">U22/(SUP_OPEX!$C$43*12)</f>
        <v>4046.90350625</v>
      </c>
      <c r="V23" s="273" t="n">
        <f aca="false">V22/(SUP_OPEX!$C$43*12)</f>
        <v>4046.90350625</v>
      </c>
      <c r="W23" s="273" t="n">
        <f aca="false">W22/(SUP_OPEX!$C$43*12)</f>
        <v>4046.90350625</v>
      </c>
      <c r="X23" s="273" t="n">
        <f aca="false">X22/(SUP_OPEX!$C$43*12)</f>
        <v>4046.90350625</v>
      </c>
      <c r="Y23" s="273" t="n">
        <f aca="false">Y22/(SUP_OPEX!$C$43*12)</f>
        <v>4046.90350625</v>
      </c>
      <c r="Z23" s="273" t="n">
        <f aca="false">Z22/(SUP_OPEX!$C$43*12)</f>
        <v>4046.90350625</v>
      </c>
      <c r="AA23" s="273" t="n">
        <f aca="false">AA22/(SUP_OPEX!$C$43*12)</f>
        <v>4046.90350625</v>
      </c>
      <c r="AB23" s="273" t="n">
        <f aca="false">AB22/(SUP_OPEX!$C$43*12)</f>
        <v>4046.90350625</v>
      </c>
      <c r="AC23" s="273" t="n">
        <f aca="false">AC22/(SUP_OPEX!$C$43*12)</f>
        <v>4046.90350625</v>
      </c>
      <c r="AD23" s="273" t="n">
        <f aca="false">AD22/(SUP_OPEX!$C$43*12)</f>
        <v>4046.90350625</v>
      </c>
      <c r="AE23" s="273" t="n">
        <f aca="false">AE22/(SUP_OPEX!$C$43*12)</f>
        <v>4046.90350625</v>
      </c>
      <c r="AF23" s="273" t="n">
        <f aca="false">AF22/(SUP_OPEX!$C$43*12)</f>
        <v>4046.90350625</v>
      </c>
      <c r="AG23" s="273" t="n">
        <f aca="false">AG22/(SUP_OPEX!$C$43*12)</f>
        <v>4046.90350625</v>
      </c>
      <c r="AH23" s="273" t="n">
        <f aca="false">AH22/(SUP_OPEX!$C$43*12)</f>
        <v>4046.90350625</v>
      </c>
      <c r="AI23" s="273" t="n">
        <f aca="false">AI22/(SUP_OPEX!$C$43*12)</f>
        <v>4046.90350625</v>
      </c>
      <c r="AJ23" s="273" t="n">
        <f aca="false">AJ22/(SUP_OPEX!$C$43*12)</f>
        <v>4046.90350625</v>
      </c>
      <c r="AK23" s="273" t="n">
        <f aca="false">AK22/(SUP_OPEX!$C$43*12)</f>
        <v>4046.90350625</v>
      </c>
      <c r="AL23" s="273" t="n">
        <f aca="false">AL22/(SUP_OPEX!$C$43*12)</f>
        <v>4046.90350625</v>
      </c>
      <c r="AM23" s="273" t="n">
        <f aca="false">AM22/(SUP_OPEX!$C$43*12)</f>
        <v>4046.90350625</v>
      </c>
      <c r="AN23" s="273" t="n">
        <f aca="false">AN22/(SUP_OPEX!$C$43*12)</f>
        <v>4046.90350625</v>
      </c>
      <c r="AO23" s="273" t="n">
        <f aca="false">AO22/(SUP_OPEX!$C$43*12)</f>
        <v>4046.90350625</v>
      </c>
      <c r="AP23" s="273" t="n">
        <f aca="false">AP22/(SUP_OPEX!$C$43*12)</f>
        <v>4046.90350625</v>
      </c>
      <c r="AQ23" s="273" t="n">
        <f aca="false">AQ22/(SUP_OPEX!$C$43*12)</f>
        <v>4046.90350625</v>
      </c>
      <c r="AR23" s="273" t="n">
        <f aca="false">AR22/(SUP_OPEX!$C$43*12)</f>
        <v>4046.90350625</v>
      </c>
      <c r="AS23" s="273" t="n">
        <f aca="false">AS22/(SUP_OPEX!$C$43*12)</f>
        <v>4046.90350625</v>
      </c>
      <c r="AT23" s="273" t="n">
        <f aca="false">AT22/(SUP_OPEX!$C$43*12)</f>
        <v>4046.90350625</v>
      </c>
      <c r="AU23" s="273" t="n">
        <f aca="false">AU22/(SUP_OPEX!$C$43*12)</f>
        <v>4046.90350625</v>
      </c>
      <c r="AV23" s="273" t="n">
        <f aca="false">AV22/(SUP_OPEX!$C$43*12)</f>
        <v>4046.90350625</v>
      </c>
      <c r="AW23" s="273" t="n">
        <f aca="false">AW22/(SUP_OPEX!$C$43*12)</f>
        <v>4046.90350625</v>
      </c>
      <c r="AX23" s="273" t="n">
        <f aca="false">AX22/(SUP_OPEX!$C$43*12)</f>
        <v>4046.90350625</v>
      </c>
      <c r="AY23" s="273" t="n">
        <f aca="false">AY22/(SUP_OPEX!$C$43*12)</f>
        <v>4046.90350625</v>
      </c>
      <c r="AZ23" s="273" t="n">
        <f aca="false">AZ22/(SUP_OPEX!$C$43*12)</f>
        <v>4046.90350625</v>
      </c>
      <c r="BA23" s="273" t="n">
        <f aca="false">BA22/(SUP_OPEX!$C$43*12)</f>
        <v>4046.90350625</v>
      </c>
      <c r="BB23" s="273" t="n">
        <f aca="false">BB22/(SUP_OPEX!$C$43*12)</f>
        <v>4046.90350625</v>
      </c>
      <c r="BC23" s="273" t="n">
        <f aca="false">BC22/(SUP_OPEX!$C$43*12)</f>
        <v>4046.90350625</v>
      </c>
      <c r="BD23" s="273" t="n">
        <f aca="false">BD22/(SUP_OPEX!$C$43*12)</f>
        <v>4046.90350625</v>
      </c>
      <c r="BE23" s="273" t="n">
        <f aca="false">BE22/(SUP_OPEX!$C$43*12)</f>
        <v>4046.90350625</v>
      </c>
      <c r="BF23" s="273" t="n">
        <f aca="false">BF22/(SUP_OPEX!$C$43*12)</f>
        <v>4046.90350625</v>
      </c>
      <c r="BG23" s="273" t="n">
        <f aca="false">BG22/(SUP_OPEX!$C$43*12)</f>
        <v>4046.90350625</v>
      </c>
      <c r="BH23" s="273" t="n">
        <f aca="false">BH22/(SUP_OPEX!$C$43*12)</f>
        <v>4046.90350625</v>
      </c>
      <c r="BI23" s="273" t="n">
        <f aca="false">BI22/(SUP_OPEX!$C$43*12)</f>
        <v>4046.90350625</v>
      </c>
      <c r="BJ23" s="273" t="n">
        <f aca="false">BJ22/(SUP_OPEX!$C$43*12)</f>
        <v>4046.90350625</v>
      </c>
      <c r="BK23" s="273" t="n">
        <f aca="false">BK22/(SUP_OPEX!$C$43*12)</f>
        <v>4046.90350625</v>
      </c>
      <c r="BL23" s="273" t="n">
        <f aca="false">BL22/(SUP_OPEX!$C$43*12)</f>
        <v>4046.90350625</v>
      </c>
      <c r="BM23" s="273" t="n">
        <f aca="false">BM22/(SUP_OPEX!$C$43*12)</f>
        <v>4046.90350625</v>
      </c>
      <c r="BN23" s="273" t="n">
        <f aca="false">BN22/(SUP_OPEX!$C$43*12)</f>
        <v>4046.90350625</v>
      </c>
      <c r="BO23" s="273" t="n">
        <f aca="false">BO22/(SUP_OPEX!$C$43*12)</f>
        <v>4046.90350625</v>
      </c>
      <c r="BP23" s="273" t="n">
        <f aca="false">BP22/(SUP_OPEX!$C$43*12)</f>
        <v>4046.90350625</v>
      </c>
      <c r="BQ23" s="273" t="n">
        <f aca="false">BQ22/(SUP_OPEX!$C$43*12)</f>
        <v>4046.90350625</v>
      </c>
      <c r="BR23" s="273" t="n">
        <f aca="false">BR22/(SUP_OPEX!$C$43*12)</f>
        <v>4046.90350625</v>
      </c>
      <c r="BS23" s="273" t="n">
        <f aca="false">BS22/(SUP_OPEX!$C$43*12)</f>
        <v>4046.90350625</v>
      </c>
      <c r="BT23" s="273" t="n">
        <f aca="false">BT22/(SUP_OPEX!$C$43*12)</f>
        <v>4046.90350625</v>
      </c>
      <c r="BU23" s="273" t="n">
        <f aca="false">BU22/(SUP_OPEX!$C$43*12)</f>
        <v>4046.90350625</v>
      </c>
      <c r="BV23" s="273" t="n">
        <f aca="false">BV22/(SUP_OPEX!$C$43*12)</f>
        <v>4046.90350625</v>
      </c>
      <c r="BW23" s="273" t="n">
        <f aca="false">BW22/(SUP_OPEX!$C$43*12)</f>
        <v>4046.90350625</v>
      </c>
      <c r="BX23" s="273" t="n">
        <f aca="false">BX22/(SUP_OPEX!$C$43*12)</f>
        <v>4046.90350625</v>
      </c>
      <c r="BY23" s="273" t="n">
        <f aca="false">BY22/(SUP_OPEX!$C$43*12)</f>
        <v>4046.90350625</v>
      </c>
      <c r="BZ23" s="273" t="n">
        <f aca="false">BZ22/(SUP_OPEX!$C$43*12)</f>
        <v>4046.90350625</v>
      </c>
      <c r="CA23" s="273" t="n">
        <f aca="false">CA22/(SUP_OPEX!$C$43*12)</f>
        <v>4046.90350625</v>
      </c>
      <c r="CB23" s="273" t="n">
        <f aca="false">CB22/(SUP_OPEX!$C$43*12)</f>
        <v>4046.90350625</v>
      </c>
      <c r="CC23" s="273" t="n">
        <f aca="false">CC22/(SUP_OPEX!$C$43*12)</f>
        <v>4046.90350625</v>
      </c>
      <c r="CD23" s="273" t="n">
        <f aca="false">CD22/(SUP_OPEX!$C$43*12)</f>
        <v>4046.90350625</v>
      </c>
      <c r="CE23" s="273" t="n">
        <f aca="false">CE22/(SUP_OPEX!$C$43*12)</f>
        <v>4046.90350625</v>
      </c>
      <c r="CF23" s="273" t="n">
        <f aca="false">CF22/(SUP_OPEX!$C$43*12)</f>
        <v>4046.90350625</v>
      </c>
      <c r="CG23" s="273" t="n">
        <f aca="false">CG22/(SUP_OPEX!$C$43*12)</f>
        <v>4046.90350625</v>
      </c>
      <c r="CH23" s="273" t="n">
        <f aca="false">CH22/(SUP_OPEX!$C$43*12)</f>
        <v>4046.90350625</v>
      </c>
      <c r="CI23" s="273" t="n">
        <f aca="false">CI22/(SUP_OPEX!$C$43*12)</f>
        <v>4046.90350625</v>
      </c>
      <c r="CJ23" s="273" t="n">
        <f aca="false">CJ22/(SUP_OPEX!$C$43*12)</f>
        <v>4046.90350625</v>
      </c>
      <c r="CK23" s="273" t="n">
        <f aca="false">CK22/(SUP_OPEX!$C$43*12)</f>
        <v>4046.90350625</v>
      </c>
      <c r="CL23" s="273" t="n">
        <f aca="false">CL22/(SUP_OPEX!$C$43*12)</f>
        <v>4046.90350625</v>
      </c>
      <c r="CM23" s="273" t="n">
        <f aca="false">CM22/(SUP_OPEX!$C$43*12)</f>
        <v>4046.90350625</v>
      </c>
      <c r="CN23" s="273" t="n">
        <f aca="false">CN22/(SUP_OPEX!$C$43*12)</f>
        <v>4046.90350625</v>
      </c>
      <c r="CO23" s="273" t="n">
        <f aca="false">CO22/(SUP_OPEX!$C$43*12)</f>
        <v>4046.90350625</v>
      </c>
      <c r="CP23" s="273" t="n">
        <f aca="false">CP22/(SUP_OPEX!$C$43*12)</f>
        <v>4046.90350625</v>
      </c>
      <c r="CQ23" s="273" t="n">
        <f aca="false">CQ22/(SUP_OPEX!$C$43*12)</f>
        <v>4046.90350625</v>
      </c>
      <c r="CR23" s="273" t="n">
        <f aca="false">CR22/(SUP_OPEX!$C$43*12)</f>
        <v>4046.90350625</v>
      </c>
      <c r="CS23" s="273" t="n">
        <f aca="false">CS22/(SUP_OPEX!$C$43*12)</f>
        <v>4046.90350625</v>
      </c>
      <c r="CT23" s="273" t="n">
        <f aca="false">CT22/(SUP_OPEX!$C$43*12)</f>
        <v>4046.90350625</v>
      </c>
      <c r="CU23" s="273" t="n">
        <f aca="false">CU22/(SUP_OPEX!$C$43*12)</f>
        <v>4046.90350625</v>
      </c>
      <c r="CV23" s="273" t="n">
        <f aca="false">CV22/(SUP_OPEX!$C$43*12)</f>
        <v>4046.90350625</v>
      </c>
      <c r="CW23" s="273" t="n">
        <f aca="false">CW22/(SUP_OPEX!$C$43*12)</f>
        <v>4046.90350625</v>
      </c>
      <c r="CX23" s="273" t="n">
        <f aca="false">CX22/(SUP_OPEX!$C$43*12)</f>
        <v>4046.90350625</v>
      </c>
      <c r="CY23" s="273" t="n">
        <f aca="false">CY22/(SUP_OPEX!$C$43*12)</f>
        <v>4046.90350625</v>
      </c>
      <c r="CZ23" s="273" t="n">
        <f aca="false">CZ22/(SUP_OPEX!$C$43*12)</f>
        <v>4046.90350625</v>
      </c>
      <c r="DA23" s="273" t="n">
        <f aca="false">DA22/(SUP_OPEX!$C$43*12)</f>
        <v>4046.90350625</v>
      </c>
      <c r="DB23" s="273" t="n">
        <f aca="false">DB22/(SUP_OPEX!$C$43*12)</f>
        <v>4046.90350625</v>
      </c>
      <c r="DC23" s="273" t="n">
        <f aca="false">DC22/(SUP_OPEX!$C$43*12)</f>
        <v>4046.90350625</v>
      </c>
      <c r="DD23" s="273" t="n">
        <f aca="false">DD22/(SUP_OPEX!$C$43*12)</f>
        <v>4046.90350625</v>
      </c>
      <c r="DE23" s="273" t="n">
        <f aca="false">DE22/(SUP_OPEX!$C$43*12)</f>
        <v>4046.90350625</v>
      </c>
      <c r="DF23" s="273" t="n">
        <f aca="false">DF22/(SUP_OPEX!$C$43*12)</f>
        <v>4046.90350625</v>
      </c>
      <c r="DG23" s="273" t="n">
        <f aca="false">DG22/(SUP_OPEX!$C$43*12)</f>
        <v>4046.90350625</v>
      </c>
      <c r="DH23" s="273" t="n">
        <f aca="false">DH22/(SUP_OPEX!$C$43*12)</f>
        <v>4046.90350625</v>
      </c>
      <c r="DI23" s="273" t="n">
        <f aca="false">DI22/(SUP_OPEX!$C$43*12)</f>
        <v>4046.90350625</v>
      </c>
      <c r="DJ23" s="273" t="n">
        <f aca="false">DJ22/(SUP_OPEX!$C$43*12)</f>
        <v>4046.90350625</v>
      </c>
      <c r="DK23" s="273" t="n">
        <f aca="false">DK22/(SUP_OPEX!$C$43*12)</f>
        <v>4046.90350625</v>
      </c>
      <c r="DL23" s="273" t="n">
        <f aca="false">DL22/(SUP_OPEX!$C$43*12)</f>
        <v>4046.90350625</v>
      </c>
      <c r="DM23" s="273" t="n">
        <f aca="false">DM22/(SUP_OPEX!$C$43*12)</f>
        <v>4046.90350625</v>
      </c>
      <c r="DN23" s="273" t="n">
        <f aca="false">DN22/(SUP_OPEX!$C$43*12)</f>
        <v>4046.90350625</v>
      </c>
      <c r="DO23" s="273" t="n">
        <f aca="false">DO22/(SUP_OPEX!$C$43*12)</f>
        <v>4046.90350625</v>
      </c>
      <c r="DP23" s="273" t="n">
        <f aca="false">DP22/(SUP_OPEX!$C$43*12)</f>
        <v>4046.90350625</v>
      </c>
      <c r="DQ23" s="273" t="n">
        <f aca="false">DQ22/(SUP_OPEX!$C$43*12)</f>
        <v>4046.90350625</v>
      </c>
      <c r="DR23" s="273" t="n">
        <f aca="false">DR22/(SUP_OPEX!$C$43*12)</f>
        <v>4046.90350625</v>
      </c>
      <c r="DS23" s="273" t="n">
        <f aca="false">DS22/(SUP_OPEX!$C$43*12)</f>
        <v>4046.90350625</v>
      </c>
    </row>
    <row r="24" customFormat="false" ht="15" hidden="false" customHeight="true" outlineLevel="0" collapsed="false">
      <c r="B24" s="297" t="s">
        <v>3428</v>
      </c>
      <c r="D24" s="273" t="n">
        <f aca="false">D18-D23</f>
        <v>0</v>
      </c>
      <c r="E24" s="273" t="n">
        <f aca="false">E18-E23</f>
        <v>0</v>
      </c>
      <c r="F24" s="273" t="n">
        <f aca="false">F18-F23</f>
        <v>0</v>
      </c>
      <c r="G24" s="273" t="n">
        <f aca="false">G18-G23</f>
        <v>-1348.96783541667</v>
      </c>
      <c r="H24" s="273" t="n">
        <f aca="false">H18-H23</f>
        <v>-2697.93567083333</v>
      </c>
      <c r="I24" s="273" t="n">
        <f aca="false">I18-I23</f>
        <v>-4046.90350625</v>
      </c>
      <c r="J24" s="273" t="n">
        <f aca="false">J18-J23</f>
        <v>-2013.11282313661</v>
      </c>
      <c r="K24" s="273" t="n">
        <f aca="false">K18-K23</f>
        <v>3445.29397263815</v>
      </c>
      <c r="L24" s="273" t="n">
        <f aca="false">L18-L23</f>
        <v>8531.01038228453</v>
      </c>
      <c r="M24" s="273" t="n">
        <f aca="false">M18-M23</f>
        <v>8605.67183347998</v>
      </c>
      <c r="N24" s="273" t="n">
        <f aca="false">N18-N23</f>
        <v>8605.67183347998</v>
      </c>
      <c r="O24" s="273" t="n">
        <f aca="false">O18-O23</f>
        <v>8605.67183347998</v>
      </c>
      <c r="P24" s="273" t="n">
        <f aca="false">P18-P23</f>
        <v>8605.67183347998</v>
      </c>
      <c r="Q24" s="273" t="n">
        <f aca="false">Q18-Q23</f>
        <v>8605.67183347998</v>
      </c>
      <c r="R24" s="273" t="n">
        <f aca="false">R18-R23</f>
        <v>8605.67183347998</v>
      </c>
      <c r="S24" s="273" t="n">
        <f aca="false">S18-S23</f>
        <v>8605.67183347998</v>
      </c>
      <c r="T24" s="273" t="n">
        <f aca="false">T18-T23</f>
        <v>8605.67183347998</v>
      </c>
      <c r="U24" s="273" t="n">
        <f aca="false">U18-U23</f>
        <v>8605.67183347998</v>
      </c>
      <c r="V24" s="273" t="n">
        <f aca="false">V18-V23</f>
        <v>8718.90298096399</v>
      </c>
      <c r="W24" s="273" t="n">
        <f aca="false">W18-W23</f>
        <v>8841.90212217366</v>
      </c>
      <c r="X24" s="273" t="n">
        <f aca="false">X18-X23</f>
        <v>8877.13625116602</v>
      </c>
      <c r="Y24" s="273" t="n">
        <f aca="false">Y18-Y23</f>
        <v>8987.13484420608</v>
      </c>
      <c r="Z24" s="273" t="n">
        <f aca="false">Z18-Z23</f>
        <v>9016.88972338824</v>
      </c>
      <c r="AA24" s="273" t="n">
        <f aca="false">AA18-AA23</f>
        <v>9028.48981396795</v>
      </c>
      <c r="AB24" s="273" t="n">
        <f aca="false">AB18-AB23</f>
        <v>9039.92299676953</v>
      </c>
      <c r="AC24" s="273" t="n">
        <f aca="false">AC18-AC23</f>
        <v>9039.92299676953</v>
      </c>
      <c r="AD24" s="273" t="n">
        <f aca="false">AD18-AD23</f>
        <v>8206.30429173356</v>
      </c>
      <c r="AE24" s="273" t="n">
        <f aca="false">AE18-AE23</f>
        <v>8206.30429173356</v>
      </c>
      <c r="AF24" s="273" t="n">
        <f aca="false">AF18-AF23</f>
        <v>8206.30429173356</v>
      </c>
      <c r="AG24" s="273" t="n">
        <f aca="false">AG18-AG23</f>
        <v>8186.07287871047</v>
      </c>
      <c r="AH24" s="273" t="n">
        <f aca="false">AH18-AH23</f>
        <v>8186.07287871047</v>
      </c>
      <c r="AI24" s="273" t="n">
        <f aca="false">AI18-AI23</f>
        <v>8361.13533354467</v>
      </c>
      <c r="AJ24" s="273" t="n">
        <f aca="false">AJ18-AJ23</f>
        <v>8517.62219710873</v>
      </c>
      <c r="AK24" s="273" t="n">
        <f aca="false">AK18-AK23</f>
        <v>8565.87646595705</v>
      </c>
      <c r="AL24" s="273" t="n">
        <f aca="false">AL18-AL23</f>
        <v>8707.23718673555</v>
      </c>
      <c r="AM24" s="273" t="n">
        <f aca="false">AM18-AM23</f>
        <v>8744.77897607897</v>
      </c>
      <c r="AN24" s="273" t="n">
        <f aca="false">AN18-AN23</f>
        <v>8851.1775147901</v>
      </c>
      <c r="AO24" s="273" t="n">
        <f aca="false">AO18-AO23</f>
        <v>8884.70957426247</v>
      </c>
      <c r="AP24" s="273" t="n">
        <f aca="false">AP18-AP23</f>
        <v>8873.33602083514</v>
      </c>
      <c r="AQ24" s="273" t="n">
        <f aca="false">AQ18-AQ23</f>
        <v>8990.37780321888</v>
      </c>
      <c r="AR24" s="273" t="n">
        <f aca="false">AR18-AR23</f>
        <v>9085.90678061915</v>
      </c>
      <c r="AS24" s="273" t="n">
        <f aca="false">AS18-AS23</f>
        <v>9182.34669868714</v>
      </c>
      <c r="AT24" s="273" t="n">
        <f aca="false">AT18-AT23</f>
        <v>9279.84572093504</v>
      </c>
      <c r="AU24" s="273" t="n">
        <f aca="false">AU18-AU23</f>
        <v>9310.9741954901</v>
      </c>
      <c r="AV24" s="273" t="n">
        <f aca="false">AV18-AV23</f>
        <v>9328.33717227994</v>
      </c>
      <c r="AW24" s="273" t="n">
        <f aca="false">AW18-AW23</f>
        <v>9406.45987904714</v>
      </c>
      <c r="AX24" s="273" t="n">
        <f aca="false">AX18-AX23</f>
        <v>9421.82023492697</v>
      </c>
      <c r="AY24" s="273" t="n">
        <f aca="false">AY18-AY23</f>
        <v>9480.86106343081</v>
      </c>
      <c r="AZ24" s="273" t="n">
        <f aca="false">AZ18-AZ23</f>
        <v>9546.60540501595</v>
      </c>
      <c r="BA24" s="273" t="n">
        <f aca="false">BA18-BA23</f>
        <v>9563.48064789324</v>
      </c>
      <c r="BB24" s="273" t="n">
        <f aca="false">BB18-BB23</f>
        <v>8641.68626059792</v>
      </c>
      <c r="BC24" s="273" t="n">
        <f aca="false">BC18-BC23</f>
        <v>8651.78301640679</v>
      </c>
      <c r="BD24" s="273" t="n">
        <f aca="false">BD18-BD23</f>
        <v>8651.78301640679</v>
      </c>
      <c r="BE24" s="273" t="n">
        <f aca="false">BE18-BE23</f>
        <v>8651.78301640679</v>
      </c>
      <c r="BF24" s="273" t="n">
        <f aca="false">BF18-BF23</f>
        <v>8611.53401589474</v>
      </c>
      <c r="BG24" s="273" t="n">
        <f aca="false">BG18-BG23</f>
        <v>8611.53401589474</v>
      </c>
      <c r="BH24" s="273" t="n">
        <f aca="false">BH18-BH23</f>
        <v>8611.53401589474</v>
      </c>
      <c r="BI24" s="273" t="n">
        <f aca="false">BI18-BI23</f>
        <v>8736.6388514304</v>
      </c>
      <c r="BJ24" s="273" t="n">
        <f aca="false">BJ18-BJ23</f>
        <v>8820.96793858428</v>
      </c>
      <c r="BK24" s="273" t="n">
        <f aca="false">BK18-BK23</f>
        <v>8887.50194429811</v>
      </c>
      <c r="BL24" s="273" t="n">
        <f aca="false">BL18-BL23</f>
        <v>8975.30152545216</v>
      </c>
      <c r="BM24" s="273" t="n">
        <f aca="false">BM18-BM23</f>
        <v>9049.01837532232</v>
      </c>
      <c r="BN24" s="273" t="n">
        <f aca="false">BN18-BN23</f>
        <v>9118.22388537867</v>
      </c>
      <c r="BO24" s="273" t="n">
        <f aca="false">BO18-BO23</f>
        <v>9140.78614204227</v>
      </c>
      <c r="BP24" s="273" t="n">
        <f aca="false">BP18-BP23</f>
        <v>9205.46993705363</v>
      </c>
      <c r="BQ24" s="273" t="n">
        <f aca="false">BQ18-BQ23</f>
        <v>9230.0483024154</v>
      </c>
      <c r="BR24" s="273" t="n">
        <f aca="false">BR18-BR23</f>
        <v>9282.05575375939</v>
      </c>
      <c r="BS24" s="273" t="n">
        <f aca="false">BS18-BS23</f>
        <v>9336.70284006679</v>
      </c>
      <c r="BT24" s="273" t="n">
        <f aca="false">BT18-BT23</f>
        <v>9396.52651963373</v>
      </c>
      <c r="BU24" s="273" t="n">
        <f aca="false">BU18-BU23</f>
        <v>9445.94582094237</v>
      </c>
      <c r="BV24" s="273" t="n">
        <f aca="false">BV18-BV23</f>
        <v>9492.22063102562</v>
      </c>
      <c r="BW24" s="273" t="n">
        <f aca="false">BW18-BW23</f>
        <v>9514.55348657958</v>
      </c>
      <c r="BX24" s="273" t="n">
        <f aca="false">BX18-BX23</f>
        <v>9563.39502205082</v>
      </c>
      <c r="BY24" s="273" t="n">
        <f aca="false">BY18-BY23</f>
        <v>9578.96038853446</v>
      </c>
      <c r="BZ24" s="273" t="n">
        <f aca="false">BZ18-BZ23</f>
        <v>9636.72141385765</v>
      </c>
      <c r="CA24" s="273" t="n">
        <f aca="false">CA18-CA23</f>
        <v>9675.22737251013</v>
      </c>
      <c r="CB24" s="273" t="n">
        <f aca="false">CB18-CB23</f>
        <v>9688.59754666805</v>
      </c>
      <c r="CC24" s="273" t="n">
        <f aca="false">CC18-CC23</f>
        <v>9724.80999513061</v>
      </c>
      <c r="CD24" s="273" t="n">
        <f aca="false">CD18-CD23</f>
        <v>9762.36094489786</v>
      </c>
      <c r="CE24" s="273" t="n">
        <f aca="false">CE18-CE23</f>
        <v>9793.77049214687</v>
      </c>
      <c r="CF24" s="273" t="n">
        <f aca="false">CF18-CF23</f>
        <v>9823.5065928746</v>
      </c>
      <c r="CG24" s="273" t="n">
        <f aca="false">CG18-CG23</f>
        <v>9856.52210144236</v>
      </c>
      <c r="CH24" s="273" t="n">
        <f aca="false">CH18-CH23</f>
        <v>9621.99844629224</v>
      </c>
      <c r="CI24" s="273" t="n">
        <f aca="false">CI18-CI23</f>
        <v>9656.0004747134</v>
      </c>
      <c r="CJ24" s="273" t="n">
        <f aca="false">CJ18-CJ23</f>
        <v>9669.85068573472</v>
      </c>
      <c r="CK24" s="273" t="n">
        <f aca="false">CK18-CK23</f>
        <v>9676.405406541</v>
      </c>
      <c r="CL24" s="273" t="n">
        <f aca="false">CL18-CL23</f>
        <v>9679.23897929147</v>
      </c>
      <c r="CM24" s="273" t="n">
        <f aca="false">CM18-CM23</f>
        <v>9679.23897929147</v>
      </c>
      <c r="CN24" s="273" t="n">
        <f aca="false">CN18-CN23</f>
        <v>9679.23897929147</v>
      </c>
      <c r="CO24" s="273" t="n">
        <f aca="false">CO18-CO23</f>
        <v>9679.23897929147</v>
      </c>
      <c r="CP24" s="273" t="n">
        <f aca="false">CP18-CP23</f>
        <v>9679.23897929147</v>
      </c>
      <c r="CQ24" s="273" t="n">
        <f aca="false">CQ18-CQ23</f>
        <v>9679.23897929147</v>
      </c>
      <c r="CR24" s="273" t="n">
        <f aca="false">CR18-CR23</f>
        <v>9679.23897929147</v>
      </c>
      <c r="CS24" s="273" t="n">
        <f aca="false">CS18-CS23</f>
        <v>9679.23897929147</v>
      </c>
      <c r="CT24" s="273" t="n">
        <f aca="false">CT18-CT23</f>
        <v>9679.23897929147</v>
      </c>
      <c r="CU24" s="273" t="n">
        <f aca="false">CU18-CU23</f>
        <v>9679.23897929147</v>
      </c>
      <c r="CV24" s="273" t="n">
        <f aca="false">CV18-CV23</f>
        <v>9679.23897929147</v>
      </c>
      <c r="CW24" s="273" t="n">
        <f aca="false">CW18-CW23</f>
        <v>9679.23897929147</v>
      </c>
      <c r="CX24" s="273" t="n">
        <f aca="false">CX18-CX23</f>
        <v>9679.23897929147</v>
      </c>
      <c r="CY24" s="273" t="n">
        <f aca="false">CY18-CY23</f>
        <v>9679.23897929147</v>
      </c>
      <c r="CZ24" s="273" t="n">
        <f aca="false">CZ18-CZ23</f>
        <v>9679.23897929147</v>
      </c>
      <c r="DA24" s="273" t="n">
        <f aca="false">DA18-DA23</f>
        <v>9679.23897929147</v>
      </c>
      <c r="DB24" s="273" t="n">
        <f aca="false">DB18-DB23</f>
        <v>9679.23897929147</v>
      </c>
      <c r="DC24" s="273" t="n">
        <f aca="false">DC18-DC23</f>
        <v>9679.23897929147</v>
      </c>
      <c r="DD24" s="273" t="n">
        <f aca="false">DD18-DD23</f>
        <v>9679.23897929147</v>
      </c>
      <c r="DE24" s="273" t="n">
        <f aca="false">DE18-DE23</f>
        <v>9679.23897929147</v>
      </c>
      <c r="DF24" s="273" t="n">
        <f aca="false">DF18-DF23</f>
        <v>9679.23897929147</v>
      </c>
      <c r="DG24" s="273" t="n">
        <f aca="false">DG18-DG23</f>
        <v>9679.23897929147</v>
      </c>
      <c r="DH24" s="273" t="n">
        <f aca="false">DH18-DH23</f>
        <v>9679.23897929147</v>
      </c>
      <c r="DI24" s="273" t="n">
        <f aca="false">DI18-DI23</f>
        <v>9679.23897929147</v>
      </c>
      <c r="DJ24" s="273" t="n">
        <f aca="false">DJ18-DJ23</f>
        <v>9679.23897929147</v>
      </c>
      <c r="DK24" s="273" t="n">
        <f aca="false">DK18-DK23</f>
        <v>9679.23897929147</v>
      </c>
      <c r="DL24" s="273" t="n">
        <f aca="false">DL18-DL23</f>
        <v>9679.23897929147</v>
      </c>
      <c r="DM24" s="273" t="n">
        <f aca="false">DM18-DM23</f>
        <v>9679.23897929147</v>
      </c>
      <c r="DN24" s="273" t="n">
        <f aca="false">DN18-DN23</f>
        <v>9679.23897929147</v>
      </c>
      <c r="DO24" s="273" t="n">
        <f aca="false">DO18-DO23</f>
        <v>9679.23897929147</v>
      </c>
      <c r="DP24" s="273" t="n">
        <f aca="false">DP18-DP23</f>
        <v>9679.23897929147</v>
      </c>
      <c r="DQ24" s="273" t="n">
        <f aca="false">DQ18-DQ23</f>
        <v>9679.23897929147</v>
      </c>
      <c r="DR24" s="273" t="n">
        <f aca="false">DR18-DR23</f>
        <v>9679.23897929147</v>
      </c>
      <c r="DS24" s="273" t="n">
        <f aca="false">DS18-DS23</f>
        <v>9679.23897929147</v>
      </c>
    </row>
    <row r="25" customFormat="false" ht="15" hidden="false" customHeight="true" outlineLevel="0" collapsed="false">
      <c r="B25" s="297" t="s">
        <v>3464</v>
      </c>
      <c r="D25" s="273" t="n">
        <f aca="false">MAX(0,D24)*SUP_CONTROL!$C$33</f>
        <v>0</v>
      </c>
      <c r="E25" s="273" t="n">
        <f aca="false">MAX(0,E24)*SUP_CONTROL!$C$33</f>
        <v>0</v>
      </c>
      <c r="F25" s="273" t="n">
        <f aca="false">MAX(0,F24)*SUP_CONTROL!$C$33</f>
        <v>0</v>
      </c>
      <c r="G25" s="273" t="n">
        <f aca="false">MAX(0,G24)*SUP_CONTROL!$C$33</f>
        <v>0</v>
      </c>
      <c r="H25" s="273" t="n">
        <f aca="false">MAX(0,H24)*SUP_CONTROL!$C$33</f>
        <v>0</v>
      </c>
      <c r="I25" s="273" t="n">
        <f aca="false">MAX(0,I24)*SUP_CONTROL!$C$33</f>
        <v>0</v>
      </c>
      <c r="J25" s="273" t="n">
        <f aca="false">MAX(0,J24)*SUP_CONTROL!$C$33</f>
        <v>0</v>
      </c>
      <c r="K25" s="273" t="n">
        <f aca="false">MAX(0,K24)*SUP_CONTROL!$C$33</f>
        <v>1171.39995069697</v>
      </c>
      <c r="L25" s="273" t="n">
        <f aca="false">MAX(0,L24)*SUP_CONTROL!$C$33</f>
        <v>2900.54352997674</v>
      </c>
      <c r="M25" s="273" t="n">
        <f aca="false">MAX(0,M24)*SUP_CONTROL!$C$33</f>
        <v>2925.92842338319</v>
      </c>
      <c r="N25" s="273" t="n">
        <f aca="false">MAX(0,N24)*SUP_CONTROL!$C$33</f>
        <v>2925.92842338319</v>
      </c>
      <c r="O25" s="273" t="n">
        <f aca="false">MAX(0,O24)*SUP_CONTROL!$C$33</f>
        <v>2925.92842338319</v>
      </c>
      <c r="P25" s="273" t="n">
        <f aca="false">MAX(0,P24)*SUP_CONTROL!$C$33</f>
        <v>2925.92842338319</v>
      </c>
      <c r="Q25" s="273" t="n">
        <f aca="false">MAX(0,Q24)*SUP_CONTROL!$C$33</f>
        <v>2925.92842338319</v>
      </c>
      <c r="R25" s="273" t="n">
        <f aca="false">MAX(0,R24)*SUP_CONTROL!$C$33</f>
        <v>2925.92842338319</v>
      </c>
      <c r="S25" s="273" t="n">
        <f aca="false">MAX(0,S24)*SUP_CONTROL!$C$33</f>
        <v>2925.92842338319</v>
      </c>
      <c r="T25" s="273" t="n">
        <f aca="false">MAX(0,T24)*SUP_CONTROL!$C$33</f>
        <v>2925.92842338319</v>
      </c>
      <c r="U25" s="273" t="n">
        <f aca="false">MAX(0,U24)*SUP_CONTROL!$C$33</f>
        <v>2925.92842338319</v>
      </c>
      <c r="V25" s="273" t="n">
        <f aca="false">MAX(0,V24)*SUP_CONTROL!$C$33</f>
        <v>2964.42701352776</v>
      </c>
      <c r="W25" s="273" t="n">
        <f aca="false">MAX(0,W24)*SUP_CONTROL!$C$33</f>
        <v>3006.24672153905</v>
      </c>
      <c r="X25" s="273" t="n">
        <f aca="false">MAX(0,X24)*SUP_CONTROL!$C$33</f>
        <v>3018.22632539645</v>
      </c>
      <c r="Y25" s="273" t="n">
        <f aca="false">MAX(0,Y24)*SUP_CONTROL!$C$33</f>
        <v>3055.62584703007</v>
      </c>
      <c r="Z25" s="273" t="n">
        <f aca="false">MAX(0,Z24)*SUP_CONTROL!$C$33</f>
        <v>3065.742505952</v>
      </c>
      <c r="AA25" s="273" t="n">
        <f aca="false">MAX(0,AA24)*SUP_CONTROL!$C$33</f>
        <v>3069.6865367491</v>
      </c>
      <c r="AB25" s="273" t="n">
        <f aca="false">MAX(0,AB24)*SUP_CONTROL!$C$33</f>
        <v>3073.57381890164</v>
      </c>
      <c r="AC25" s="273" t="n">
        <f aca="false">MAX(0,AC24)*SUP_CONTROL!$C$33</f>
        <v>3073.57381890164</v>
      </c>
      <c r="AD25" s="273" t="n">
        <f aca="false">MAX(0,AD24)*SUP_CONTROL!$C$33</f>
        <v>2790.14345918941</v>
      </c>
      <c r="AE25" s="273" t="n">
        <f aca="false">MAX(0,AE24)*SUP_CONTROL!$C$33</f>
        <v>2790.14345918941</v>
      </c>
      <c r="AF25" s="273" t="n">
        <f aca="false">MAX(0,AF24)*SUP_CONTROL!$C$33</f>
        <v>2790.14345918941</v>
      </c>
      <c r="AG25" s="273" t="n">
        <f aca="false">MAX(0,AG24)*SUP_CONTROL!$C$33</f>
        <v>2783.26477876156</v>
      </c>
      <c r="AH25" s="273" t="n">
        <f aca="false">MAX(0,AH24)*SUP_CONTROL!$C$33</f>
        <v>2783.26477876156</v>
      </c>
      <c r="AI25" s="273" t="n">
        <f aca="false">MAX(0,AI24)*SUP_CONTROL!$C$33</f>
        <v>2842.78601340519</v>
      </c>
      <c r="AJ25" s="273" t="n">
        <f aca="false">MAX(0,AJ24)*SUP_CONTROL!$C$33</f>
        <v>2895.99154701697</v>
      </c>
      <c r="AK25" s="273" t="n">
        <f aca="false">MAX(0,AK24)*SUP_CONTROL!$C$33</f>
        <v>2912.3979984254</v>
      </c>
      <c r="AL25" s="273" t="n">
        <f aca="false">MAX(0,AL24)*SUP_CONTROL!$C$33</f>
        <v>2960.46064349009</v>
      </c>
      <c r="AM25" s="273" t="n">
        <f aca="false">MAX(0,AM24)*SUP_CONTROL!$C$33</f>
        <v>2973.22485186685</v>
      </c>
      <c r="AN25" s="273" t="n">
        <f aca="false">MAX(0,AN24)*SUP_CONTROL!$C$33</f>
        <v>3009.40035502864</v>
      </c>
      <c r="AO25" s="273" t="n">
        <f aca="false">MAX(0,AO24)*SUP_CONTROL!$C$33</f>
        <v>3020.80125524924</v>
      </c>
      <c r="AP25" s="273" t="n">
        <f aca="false">MAX(0,AP24)*SUP_CONTROL!$C$33</f>
        <v>3016.93424708395</v>
      </c>
      <c r="AQ25" s="273" t="n">
        <f aca="false">MAX(0,AQ24)*SUP_CONTROL!$C$33</f>
        <v>3056.72845309442</v>
      </c>
      <c r="AR25" s="273" t="n">
        <f aca="false">MAX(0,AR24)*SUP_CONTROL!$C$33</f>
        <v>3089.20830541051</v>
      </c>
      <c r="AS25" s="273" t="n">
        <f aca="false">MAX(0,AS24)*SUP_CONTROL!$C$33</f>
        <v>3121.99787755363</v>
      </c>
      <c r="AT25" s="273" t="n">
        <f aca="false">MAX(0,AT24)*SUP_CONTROL!$C$33</f>
        <v>3155.14754511791</v>
      </c>
      <c r="AU25" s="273" t="n">
        <f aca="false">MAX(0,AU24)*SUP_CONTROL!$C$33</f>
        <v>3165.73122646663</v>
      </c>
      <c r="AV25" s="273" t="n">
        <f aca="false">MAX(0,AV24)*SUP_CONTROL!$C$33</f>
        <v>3171.63463857518</v>
      </c>
      <c r="AW25" s="273" t="n">
        <f aca="false">MAX(0,AW24)*SUP_CONTROL!$C$33</f>
        <v>3198.19635887603</v>
      </c>
      <c r="AX25" s="273" t="n">
        <f aca="false">MAX(0,AX24)*SUP_CONTROL!$C$33</f>
        <v>3203.41887987517</v>
      </c>
      <c r="AY25" s="273" t="n">
        <f aca="false">MAX(0,AY24)*SUP_CONTROL!$C$33</f>
        <v>3223.49276156648</v>
      </c>
      <c r="AZ25" s="273" t="n">
        <f aca="false">MAX(0,AZ24)*SUP_CONTROL!$C$33</f>
        <v>3245.84583770542</v>
      </c>
      <c r="BA25" s="273" t="n">
        <f aca="false">MAX(0,BA24)*SUP_CONTROL!$C$33</f>
        <v>3251.5834202837</v>
      </c>
      <c r="BB25" s="273" t="n">
        <f aca="false">MAX(0,BB24)*SUP_CONTROL!$C$33</f>
        <v>2938.17332860329</v>
      </c>
      <c r="BC25" s="273" t="n">
        <f aca="false">MAX(0,BC24)*SUP_CONTROL!$C$33</f>
        <v>2941.60622557831</v>
      </c>
      <c r="BD25" s="273" t="n">
        <f aca="false">MAX(0,BD24)*SUP_CONTROL!$C$33</f>
        <v>2941.60622557831</v>
      </c>
      <c r="BE25" s="273" t="n">
        <f aca="false">MAX(0,BE24)*SUP_CONTROL!$C$33</f>
        <v>2941.60622557831</v>
      </c>
      <c r="BF25" s="273" t="n">
        <f aca="false">MAX(0,BF24)*SUP_CONTROL!$C$33</f>
        <v>2927.92156540421</v>
      </c>
      <c r="BG25" s="273" t="n">
        <f aca="false">MAX(0,BG24)*SUP_CONTROL!$C$33</f>
        <v>2927.92156540421</v>
      </c>
      <c r="BH25" s="273" t="n">
        <f aca="false">MAX(0,BH24)*SUP_CONTROL!$C$33</f>
        <v>2927.92156540421</v>
      </c>
      <c r="BI25" s="273" t="n">
        <f aca="false">MAX(0,BI24)*SUP_CONTROL!$C$33</f>
        <v>2970.45720948634</v>
      </c>
      <c r="BJ25" s="273" t="n">
        <f aca="false">MAX(0,BJ24)*SUP_CONTROL!$C$33</f>
        <v>2999.12909911866</v>
      </c>
      <c r="BK25" s="273" t="n">
        <f aca="false">MAX(0,BK24)*SUP_CONTROL!$C$33</f>
        <v>3021.75066106136</v>
      </c>
      <c r="BL25" s="273" t="n">
        <f aca="false">MAX(0,BL24)*SUP_CONTROL!$C$33</f>
        <v>3051.60251865373</v>
      </c>
      <c r="BM25" s="273" t="n">
        <f aca="false">MAX(0,BM24)*SUP_CONTROL!$C$33</f>
        <v>3076.66624760959</v>
      </c>
      <c r="BN25" s="273" t="n">
        <f aca="false">MAX(0,BN24)*SUP_CONTROL!$C$33</f>
        <v>3100.19612102875</v>
      </c>
      <c r="BO25" s="273" t="n">
        <f aca="false">MAX(0,BO24)*SUP_CONTROL!$C$33</f>
        <v>3107.86728829437</v>
      </c>
      <c r="BP25" s="273" t="n">
        <f aca="false">MAX(0,BP24)*SUP_CONTROL!$C$33</f>
        <v>3129.85977859824</v>
      </c>
      <c r="BQ25" s="273" t="n">
        <f aca="false">MAX(0,BQ24)*SUP_CONTROL!$C$33</f>
        <v>3138.21642282124</v>
      </c>
      <c r="BR25" s="273" t="n">
        <f aca="false">MAX(0,BR24)*SUP_CONTROL!$C$33</f>
        <v>3155.89895627819</v>
      </c>
      <c r="BS25" s="273" t="n">
        <f aca="false">MAX(0,BS24)*SUP_CONTROL!$C$33</f>
        <v>3174.47896562271</v>
      </c>
      <c r="BT25" s="273" t="n">
        <f aca="false">MAX(0,BT24)*SUP_CONTROL!$C$33</f>
        <v>3194.81901667547</v>
      </c>
      <c r="BU25" s="273" t="n">
        <f aca="false">MAX(0,BU24)*SUP_CONTROL!$C$33</f>
        <v>3211.6215791204</v>
      </c>
      <c r="BV25" s="273" t="n">
        <f aca="false">MAX(0,BV24)*SUP_CONTROL!$C$33</f>
        <v>3227.35501454871</v>
      </c>
      <c r="BW25" s="273" t="n">
        <f aca="false">MAX(0,BW24)*SUP_CONTROL!$C$33</f>
        <v>3234.94818543706</v>
      </c>
      <c r="BX25" s="273" t="n">
        <f aca="false">MAX(0,BX24)*SUP_CONTROL!$C$33</f>
        <v>3251.55430749728</v>
      </c>
      <c r="BY25" s="273" t="n">
        <f aca="false">MAX(0,BY24)*SUP_CONTROL!$C$33</f>
        <v>3256.84653210172</v>
      </c>
      <c r="BZ25" s="273" t="n">
        <f aca="false">MAX(0,BZ24)*SUP_CONTROL!$C$33</f>
        <v>3276.4852807116</v>
      </c>
      <c r="CA25" s="273" t="n">
        <f aca="false">MAX(0,CA24)*SUP_CONTROL!$C$33</f>
        <v>3289.57730665344</v>
      </c>
      <c r="CB25" s="273" t="n">
        <f aca="false">MAX(0,CB24)*SUP_CONTROL!$C$33</f>
        <v>3294.12316586714</v>
      </c>
      <c r="CC25" s="273" t="n">
        <f aca="false">MAX(0,CC24)*SUP_CONTROL!$C$33</f>
        <v>3306.43539834441</v>
      </c>
      <c r="CD25" s="273" t="n">
        <f aca="false">MAX(0,CD24)*SUP_CONTROL!$C$33</f>
        <v>3319.20272126527</v>
      </c>
      <c r="CE25" s="273" t="n">
        <f aca="false">MAX(0,CE24)*SUP_CONTROL!$C$33</f>
        <v>3329.88196732994</v>
      </c>
      <c r="CF25" s="273" t="n">
        <f aca="false">MAX(0,CF24)*SUP_CONTROL!$C$33</f>
        <v>3339.99224157737</v>
      </c>
      <c r="CG25" s="273" t="n">
        <f aca="false">MAX(0,CG24)*SUP_CONTROL!$C$33</f>
        <v>3351.2175144904</v>
      </c>
      <c r="CH25" s="273" t="n">
        <f aca="false">MAX(0,CH24)*SUP_CONTROL!$C$33</f>
        <v>3271.47947173936</v>
      </c>
      <c r="CI25" s="273" t="n">
        <f aca="false">MAX(0,CI24)*SUP_CONTROL!$C$33</f>
        <v>3283.04016140256</v>
      </c>
      <c r="CJ25" s="273" t="n">
        <f aca="false">MAX(0,CJ24)*SUP_CONTROL!$C$33</f>
        <v>3287.74923314981</v>
      </c>
      <c r="CK25" s="273" t="n">
        <f aca="false">MAX(0,CK24)*SUP_CONTROL!$C$33</f>
        <v>3289.97783822394</v>
      </c>
      <c r="CL25" s="273" t="n">
        <f aca="false">MAX(0,CL24)*SUP_CONTROL!$C$33</f>
        <v>3290.9412529591</v>
      </c>
      <c r="CM25" s="273" t="n">
        <f aca="false">MAX(0,CM24)*SUP_CONTROL!$C$33</f>
        <v>3290.9412529591</v>
      </c>
      <c r="CN25" s="273" t="n">
        <f aca="false">MAX(0,CN24)*SUP_CONTROL!$C$33</f>
        <v>3290.9412529591</v>
      </c>
      <c r="CO25" s="273" t="n">
        <f aca="false">MAX(0,CO24)*SUP_CONTROL!$C$33</f>
        <v>3290.9412529591</v>
      </c>
      <c r="CP25" s="273" t="n">
        <f aca="false">MAX(0,CP24)*SUP_CONTROL!$C$33</f>
        <v>3290.9412529591</v>
      </c>
      <c r="CQ25" s="273" t="n">
        <f aca="false">MAX(0,CQ24)*SUP_CONTROL!$C$33</f>
        <v>3290.9412529591</v>
      </c>
      <c r="CR25" s="273" t="n">
        <f aca="false">MAX(0,CR24)*SUP_CONTROL!$C$33</f>
        <v>3290.9412529591</v>
      </c>
      <c r="CS25" s="273" t="n">
        <f aca="false">MAX(0,CS24)*SUP_CONTROL!$C$33</f>
        <v>3290.9412529591</v>
      </c>
      <c r="CT25" s="273" t="n">
        <f aca="false">MAX(0,CT24)*SUP_CONTROL!$C$33</f>
        <v>3290.9412529591</v>
      </c>
      <c r="CU25" s="273" t="n">
        <f aca="false">MAX(0,CU24)*SUP_CONTROL!$C$33</f>
        <v>3290.9412529591</v>
      </c>
      <c r="CV25" s="273" t="n">
        <f aca="false">MAX(0,CV24)*SUP_CONTROL!$C$33</f>
        <v>3290.9412529591</v>
      </c>
      <c r="CW25" s="273" t="n">
        <f aca="false">MAX(0,CW24)*SUP_CONTROL!$C$33</f>
        <v>3290.9412529591</v>
      </c>
      <c r="CX25" s="273" t="n">
        <f aca="false">MAX(0,CX24)*SUP_CONTROL!$C$33</f>
        <v>3290.9412529591</v>
      </c>
      <c r="CY25" s="273" t="n">
        <f aca="false">MAX(0,CY24)*SUP_CONTROL!$C$33</f>
        <v>3290.9412529591</v>
      </c>
      <c r="CZ25" s="273" t="n">
        <f aca="false">MAX(0,CZ24)*SUP_CONTROL!$C$33</f>
        <v>3290.9412529591</v>
      </c>
      <c r="DA25" s="273" t="n">
        <f aca="false">MAX(0,DA24)*SUP_CONTROL!$C$33</f>
        <v>3290.9412529591</v>
      </c>
      <c r="DB25" s="273" t="n">
        <f aca="false">MAX(0,DB24)*SUP_CONTROL!$C$33</f>
        <v>3290.9412529591</v>
      </c>
      <c r="DC25" s="273" t="n">
        <f aca="false">MAX(0,DC24)*SUP_CONTROL!$C$33</f>
        <v>3290.9412529591</v>
      </c>
      <c r="DD25" s="273" t="n">
        <f aca="false">MAX(0,DD24)*SUP_CONTROL!$C$33</f>
        <v>3290.9412529591</v>
      </c>
      <c r="DE25" s="273" t="n">
        <f aca="false">MAX(0,DE24)*SUP_CONTROL!$C$33</f>
        <v>3290.9412529591</v>
      </c>
      <c r="DF25" s="273" t="n">
        <f aca="false">MAX(0,DF24)*SUP_CONTROL!$C$33</f>
        <v>3290.9412529591</v>
      </c>
      <c r="DG25" s="273" t="n">
        <f aca="false">MAX(0,DG24)*SUP_CONTROL!$C$33</f>
        <v>3290.9412529591</v>
      </c>
      <c r="DH25" s="273" t="n">
        <f aca="false">MAX(0,DH24)*SUP_CONTROL!$C$33</f>
        <v>3290.9412529591</v>
      </c>
      <c r="DI25" s="273" t="n">
        <f aca="false">MAX(0,DI24)*SUP_CONTROL!$C$33</f>
        <v>3290.9412529591</v>
      </c>
      <c r="DJ25" s="273" t="n">
        <f aca="false">MAX(0,DJ24)*SUP_CONTROL!$C$33</f>
        <v>3290.9412529591</v>
      </c>
      <c r="DK25" s="273" t="n">
        <f aca="false">MAX(0,DK24)*SUP_CONTROL!$C$33</f>
        <v>3290.9412529591</v>
      </c>
      <c r="DL25" s="273" t="n">
        <f aca="false">MAX(0,DL24)*SUP_CONTROL!$C$33</f>
        <v>3290.9412529591</v>
      </c>
      <c r="DM25" s="273" t="n">
        <f aca="false">MAX(0,DM24)*SUP_CONTROL!$C$33</f>
        <v>3290.9412529591</v>
      </c>
      <c r="DN25" s="273" t="n">
        <f aca="false">MAX(0,DN24)*SUP_CONTROL!$C$33</f>
        <v>3290.9412529591</v>
      </c>
      <c r="DO25" s="273" t="n">
        <f aca="false">MAX(0,DO24)*SUP_CONTROL!$C$33</f>
        <v>3290.9412529591</v>
      </c>
      <c r="DP25" s="273" t="n">
        <f aca="false">MAX(0,DP24)*SUP_CONTROL!$C$33</f>
        <v>3290.9412529591</v>
      </c>
      <c r="DQ25" s="273" t="n">
        <f aca="false">MAX(0,DQ24)*SUP_CONTROL!$C$33</f>
        <v>3290.9412529591</v>
      </c>
      <c r="DR25" s="273" t="n">
        <f aca="false">MAX(0,DR24)*SUP_CONTROL!$C$33</f>
        <v>3290.9412529591</v>
      </c>
      <c r="DS25" s="273" t="n">
        <f aca="false">MAX(0,DS24)*SUP_CONTROL!$C$33</f>
        <v>3290.9412529591</v>
      </c>
    </row>
    <row r="26" customFormat="false" ht="15" hidden="false" customHeight="true" outlineLevel="0" collapsed="false">
      <c r="B26" s="178" t="s">
        <v>3430</v>
      </c>
      <c r="D26" s="268" t="n">
        <f aca="false">D18-D25</f>
        <v>0</v>
      </c>
      <c r="E26" s="268" t="n">
        <f aca="false">E18-E25</f>
        <v>0</v>
      </c>
      <c r="F26" s="268" t="n">
        <f aca="false">F18-F25</f>
        <v>0</v>
      </c>
      <c r="G26" s="268" t="n">
        <f aca="false">G18-G25</f>
        <v>0</v>
      </c>
      <c r="H26" s="268" t="n">
        <f aca="false">H18-H25</f>
        <v>0</v>
      </c>
      <c r="I26" s="268" t="n">
        <f aca="false">I18-I25</f>
        <v>0</v>
      </c>
      <c r="J26" s="268" t="n">
        <f aca="false">J18-J25</f>
        <v>2033.79068311339</v>
      </c>
      <c r="K26" s="268" t="n">
        <f aca="false">K18-K25</f>
        <v>6320.79752819118</v>
      </c>
      <c r="L26" s="268" t="n">
        <f aca="false">L18-L25</f>
        <v>9677.37035855779</v>
      </c>
      <c r="M26" s="268" t="n">
        <f aca="false">M18-M25</f>
        <v>9726.64691634679</v>
      </c>
      <c r="N26" s="268" t="n">
        <f aca="false">N18-N25</f>
        <v>9726.64691634679</v>
      </c>
      <c r="O26" s="268" t="n">
        <f aca="false">O18-O25</f>
        <v>9726.64691634679</v>
      </c>
      <c r="P26" s="268" t="n">
        <f aca="false">P18-P25</f>
        <v>9726.64691634679</v>
      </c>
      <c r="Q26" s="268" t="n">
        <f aca="false">Q18-Q25</f>
        <v>9726.64691634679</v>
      </c>
      <c r="R26" s="268" t="n">
        <f aca="false">R18-R25</f>
        <v>9726.64691634679</v>
      </c>
      <c r="S26" s="268" t="n">
        <f aca="false">S18-S25</f>
        <v>9726.64691634679</v>
      </c>
      <c r="T26" s="268" t="n">
        <f aca="false">T18-T25</f>
        <v>9726.64691634679</v>
      </c>
      <c r="U26" s="268" t="n">
        <f aca="false">U18-U25</f>
        <v>9726.64691634679</v>
      </c>
      <c r="V26" s="268" t="n">
        <f aca="false">V18-V25</f>
        <v>9801.37947368624</v>
      </c>
      <c r="W26" s="268" t="n">
        <f aca="false">W18-W25</f>
        <v>9882.55890688462</v>
      </c>
      <c r="X26" s="268" t="n">
        <f aca="false">X18-X25</f>
        <v>9905.81343201957</v>
      </c>
      <c r="Y26" s="268" t="n">
        <f aca="false">Y18-Y25</f>
        <v>9978.41250342601</v>
      </c>
      <c r="Z26" s="268" t="n">
        <f aca="false">Z18-Z25</f>
        <v>9998.05072368624</v>
      </c>
      <c r="AA26" s="268" t="n">
        <f aca="false">AA18-AA25</f>
        <v>10005.7067834688</v>
      </c>
      <c r="AB26" s="268" t="n">
        <f aca="false">AB18-AB25</f>
        <v>10013.2526841179</v>
      </c>
      <c r="AC26" s="268" t="n">
        <f aca="false">AC18-AC25</f>
        <v>10013.2526841179</v>
      </c>
      <c r="AD26" s="268" t="n">
        <f aca="false">AD18-AD25</f>
        <v>9463.06433879415</v>
      </c>
      <c r="AE26" s="268" t="n">
        <f aca="false">AE18-AE25</f>
        <v>9463.06433879415</v>
      </c>
      <c r="AF26" s="268" t="n">
        <f aca="false">AF18-AF25</f>
        <v>9463.06433879415</v>
      </c>
      <c r="AG26" s="268" t="n">
        <f aca="false">AG18-AG25</f>
        <v>9449.71160619891</v>
      </c>
      <c r="AH26" s="268" t="n">
        <f aca="false">AH18-AH25</f>
        <v>9449.71160619891</v>
      </c>
      <c r="AI26" s="268" t="n">
        <f aca="false">AI18-AI25</f>
        <v>9565.25282638948</v>
      </c>
      <c r="AJ26" s="268" t="n">
        <f aca="false">AJ18-AJ25</f>
        <v>9668.53415634176</v>
      </c>
      <c r="AK26" s="268" t="n">
        <f aca="false">AK18-AK25</f>
        <v>9700.38197378165</v>
      </c>
      <c r="AL26" s="268" t="n">
        <f aca="false">AL18-AL25</f>
        <v>9793.68004949546</v>
      </c>
      <c r="AM26" s="268" t="n">
        <f aca="false">AM18-AM25</f>
        <v>9818.45763046212</v>
      </c>
      <c r="AN26" s="268" t="n">
        <f aca="false">AN18-AN25</f>
        <v>9888.68066601147</v>
      </c>
      <c r="AO26" s="268" t="n">
        <f aca="false">AO18-AO25</f>
        <v>9910.81182526323</v>
      </c>
      <c r="AP26" s="268" t="n">
        <f aca="false">AP18-AP25</f>
        <v>9903.30528000119</v>
      </c>
      <c r="AQ26" s="268" t="n">
        <f aca="false">AQ18-AQ25</f>
        <v>9980.55285637446</v>
      </c>
      <c r="AR26" s="268" t="n">
        <f aca="false">AR18-AR25</f>
        <v>10043.6019814586</v>
      </c>
      <c r="AS26" s="268" t="n">
        <f aca="false">AS18-AS25</f>
        <v>10107.2523273835</v>
      </c>
      <c r="AT26" s="268" t="n">
        <f aca="false">AT18-AT25</f>
        <v>10171.6016820671</v>
      </c>
      <c r="AU26" s="268" t="n">
        <f aca="false">AU18-AU25</f>
        <v>10192.1464752735</v>
      </c>
      <c r="AV26" s="268" t="n">
        <f aca="false">AV18-AV25</f>
        <v>10203.6060399548</v>
      </c>
      <c r="AW26" s="268" t="n">
        <f aca="false">AW18-AW25</f>
        <v>10255.1670264211</v>
      </c>
      <c r="AX26" s="268" t="n">
        <f aca="false">AX18-AX25</f>
        <v>10265.3048613018</v>
      </c>
      <c r="AY26" s="268" t="n">
        <f aca="false">AY18-AY25</f>
        <v>10304.2718081143</v>
      </c>
      <c r="AZ26" s="268" t="n">
        <f aca="false">AZ18-AZ25</f>
        <v>10347.6630735605</v>
      </c>
      <c r="BA26" s="268" t="n">
        <f aca="false">BA18-BA25</f>
        <v>10358.8007338595</v>
      </c>
      <c r="BB26" s="268" t="n">
        <f aca="false">BB18-BB25</f>
        <v>9750.41643824463</v>
      </c>
      <c r="BC26" s="268" t="n">
        <f aca="false">BC18-BC25</f>
        <v>9757.08029707848</v>
      </c>
      <c r="BD26" s="268" t="n">
        <f aca="false">BD18-BD25</f>
        <v>9757.08029707848</v>
      </c>
      <c r="BE26" s="268" t="n">
        <f aca="false">BE18-BE25</f>
        <v>9757.08029707848</v>
      </c>
      <c r="BF26" s="268" t="n">
        <f aca="false">BF18-BF25</f>
        <v>9730.51595674053</v>
      </c>
      <c r="BG26" s="268" t="n">
        <f aca="false">BG18-BG25</f>
        <v>9730.51595674053</v>
      </c>
      <c r="BH26" s="268" t="n">
        <f aca="false">BH18-BH25</f>
        <v>9730.51595674053</v>
      </c>
      <c r="BI26" s="268" t="n">
        <f aca="false">BI18-BI25</f>
        <v>9813.08514819407</v>
      </c>
      <c r="BJ26" s="268" t="n">
        <f aca="false">BJ18-BJ25</f>
        <v>9868.74234571563</v>
      </c>
      <c r="BK26" s="268" t="n">
        <f aca="false">BK18-BK25</f>
        <v>9912.65478948675</v>
      </c>
      <c r="BL26" s="268" t="n">
        <f aca="false">BL18-BL25</f>
        <v>9970.60251304843</v>
      </c>
      <c r="BM26" s="268" t="n">
        <f aca="false">BM18-BM25</f>
        <v>10019.2556339627</v>
      </c>
      <c r="BN26" s="268" t="n">
        <f aca="false">BN18-BN25</f>
        <v>10064.9312705999</v>
      </c>
      <c r="BO26" s="268" t="n">
        <f aca="false">BO18-BO25</f>
        <v>10079.8223599979</v>
      </c>
      <c r="BP26" s="268" t="n">
        <f aca="false">BP18-BP25</f>
        <v>10122.5136647054</v>
      </c>
      <c r="BQ26" s="268" t="n">
        <f aca="false">BQ18-BQ25</f>
        <v>10138.7353858442</v>
      </c>
      <c r="BR26" s="268" t="n">
        <f aca="false">BR18-BR25</f>
        <v>10173.0603037312</v>
      </c>
      <c r="BS26" s="268" t="n">
        <f aca="false">BS18-BS25</f>
        <v>10209.1273806941</v>
      </c>
      <c r="BT26" s="268" t="n">
        <f aca="false">BT18-BT25</f>
        <v>10248.6110092083</v>
      </c>
      <c r="BU26" s="268" t="n">
        <f aca="false">BU18-BU25</f>
        <v>10281.227748072</v>
      </c>
      <c r="BV26" s="268" t="n">
        <f aca="false">BV18-BV25</f>
        <v>10311.7691227269</v>
      </c>
      <c r="BW26" s="268" t="n">
        <f aca="false">BW18-BW25</f>
        <v>10326.5088073925</v>
      </c>
      <c r="BX26" s="268" t="n">
        <f aca="false">BX18-BX25</f>
        <v>10358.7442208035</v>
      </c>
      <c r="BY26" s="268" t="n">
        <f aca="false">BY18-BY25</f>
        <v>10369.0173626827</v>
      </c>
      <c r="BZ26" s="268" t="n">
        <f aca="false">BZ18-BZ25</f>
        <v>10407.139639396</v>
      </c>
      <c r="CA26" s="268" t="n">
        <f aca="false">CA18-CA25</f>
        <v>10432.5535721067</v>
      </c>
      <c r="CB26" s="268" t="n">
        <f aca="false">CB18-CB25</f>
        <v>10441.3778870509</v>
      </c>
      <c r="CC26" s="268" t="n">
        <f aca="false">CC18-CC25</f>
        <v>10465.2781030362</v>
      </c>
      <c r="CD26" s="268" t="n">
        <f aca="false">CD18-CD25</f>
        <v>10490.0617298826</v>
      </c>
      <c r="CE26" s="268" t="n">
        <f aca="false">CE18-CE25</f>
        <v>10510.7920310669</v>
      </c>
      <c r="CF26" s="268" t="n">
        <f aca="false">CF18-CF25</f>
        <v>10530.4178575472</v>
      </c>
      <c r="CG26" s="268" t="n">
        <f aca="false">CG18-CG25</f>
        <v>10552.208093202</v>
      </c>
      <c r="CH26" s="268" t="n">
        <f aca="false">CH18-CH25</f>
        <v>10397.4224808029</v>
      </c>
      <c r="CI26" s="268" t="n">
        <f aca="false">CI18-CI25</f>
        <v>10419.8638195608</v>
      </c>
      <c r="CJ26" s="268" t="n">
        <f aca="false">CJ18-CJ25</f>
        <v>10429.0049588349</v>
      </c>
      <c r="CK26" s="268" t="n">
        <f aca="false">CK18-CK25</f>
        <v>10433.3310745671</v>
      </c>
      <c r="CL26" s="268" t="n">
        <f aca="false">CL18-CL25</f>
        <v>10435.2012325824</v>
      </c>
      <c r="CM26" s="268" t="n">
        <f aca="false">CM18-CM25</f>
        <v>10435.2012325824</v>
      </c>
      <c r="CN26" s="268" t="n">
        <f aca="false">CN18-CN25</f>
        <v>10435.2012325824</v>
      </c>
      <c r="CO26" s="268" t="n">
        <f aca="false">CO18-CO25</f>
        <v>10435.2012325824</v>
      </c>
      <c r="CP26" s="268" t="n">
        <f aca="false">CP18-CP25</f>
        <v>10435.2012325824</v>
      </c>
      <c r="CQ26" s="268" t="n">
        <f aca="false">CQ18-CQ25</f>
        <v>10435.2012325824</v>
      </c>
      <c r="CR26" s="268" t="n">
        <f aca="false">CR18-CR25</f>
        <v>10435.2012325824</v>
      </c>
      <c r="CS26" s="268" t="n">
        <f aca="false">CS18-CS25</f>
        <v>10435.2012325824</v>
      </c>
      <c r="CT26" s="268" t="n">
        <f aca="false">CT18-CT25</f>
        <v>10435.2012325824</v>
      </c>
      <c r="CU26" s="268" t="n">
        <f aca="false">CU18-CU25</f>
        <v>10435.2012325824</v>
      </c>
      <c r="CV26" s="268" t="n">
        <f aca="false">CV18-CV25</f>
        <v>10435.2012325824</v>
      </c>
      <c r="CW26" s="268" t="n">
        <f aca="false">CW18-CW25</f>
        <v>10435.2012325824</v>
      </c>
      <c r="CX26" s="268" t="n">
        <f aca="false">CX18-CX25</f>
        <v>10435.2012325824</v>
      </c>
      <c r="CY26" s="268" t="n">
        <f aca="false">CY18-CY25</f>
        <v>10435.2012325824</v>
      </c>
      <c r="CZ26" s="268" t="n">
        <f aca="false">CZ18-CZ25</f>
        <v>10435.2012325824</v>
      </c>
      <c r="DA26" s="268" t="n">
        <f aca="false">DA18-DA25</f>
        <v>10435.2012325824</v>
      </c>
      <c r="DB26" s="268" t="n">
        <f aca="false">DB18-DB25</f>
        <v>10435.2012325824</v>
      </c>
      <c r="DC26" s="268" t="n">
        <f aca="false">DC18-DC25</f>
        <v>10435.2012325824</v>
      </c>
      <c r="DD26" s="268" t="n">
        <f aca="false">DD18-DD25</f>
        <v>10435.2012325824</v>
      </c>
      <c r="DE26" s="268" t="n">
        <f aca="false">DE18-DE25</f>
        <v>10435.2012325824</v>
      </c>
      <c r="DF26" s="268" t="n">
        <f aca="false">DF18-DF25</f>
        <v>10435.2012325824</v>
      </c>
      <c r="DG26" s="268" t="n">
        <f aca="false">DG18-DG25</f>
        <v>10435.2012325824</v>
      </c>
      <c r="DH26" s="268" t="n">
        <f aca="false">DH18-DH25</f>
        <v>10435.2012325824</v>
      </c>
      <c r="DI26" s="268" t="n">
        <f aca="false">DI18-DI25</f>
        <v>10435.2012325824</v>
      </c>
      <c r="DJ26" s="268" t="n">
        <f aca="false">DJ18-DJ25</f>
        <v>10435.2012325824</v>
      </c>
      <c r="DK26" s="268" t="n">
        <f aca="false">DK18-DK25</f>
        <v>10435.2012325824</v>
      </c>
      <c r="DL26" s="268" t="n">
        <f aca="false">DL18-DL25</f>
        <v>10435.2012325824</v>
      </c>
      <c r="DM26" s="268" t="n">
        <f aca="false">DM18-DM25</f>
        <v>10435.2012325824</v>
      </c>
      <c r="DN26" s="268" t="n">
        <f aca="false">DN18-DN25</f>
        <v>10435.2012325824</v>
      </c>
      <c r="DO26" s="268" t="n">
        <f aca="false">DO18-DO25</f>
        <v>10435.2012325824</v>
      </c>
      <c r="DP26" s="268" t="n">
        <f aca="false">DP18-DP25</f>
        <v>10435.2012325824</v>
      </c>
      <c r="DQ26" s="268" t="n">
        <f aca="false">DQ18-DQ25</f>
        <v>10435.2012325824</v>
      </c>
      <c r="DR26" s="268" t="n">
        <f aca="false">DR18-DR25</f>
        <v>10435.2012325824</v>
      </c>
      <c r="DS26" s="268" t="n">
        <f aca="false">DS18-DS25</f>
        <v>10435.2012325824</v>
      </c>
    </row>
    <row r="27" customFormat="false" ht="15" hidden="false" customHeight="true" outlineLevel="0" collapsed="false">
      <c r="B27" s="178" t="s">
        <v>3465</v>
      </c>
      <c r="D27" s="268" t="n">
        <f aca="false">D26-D20-D21-D19</f>
        <v>0</v>
      </c>
      <c r="E27" s="268" t="n">
        <f aca="false">E26-E20-E21-E19</f>
        <v>0</v>
      </c>
      <c r="F27" s="268" t="n">
        <f aca="false">F26-F20-F21-F19</f>
        <v>0</v>
      </c>
      <c r="G27" s="268" t="n">
        <f aca="false">G26-G20-G21-G19</f>
        <v>-161876.14025</v>
      </c>
      <c r="H27" s="268" t="n">
        <f aca="false">H26-H20-H21-H19</f>
        <v>-161876.14025</v>
      </c>
      <c r="I27" s="268" t="n">
        <f aca="false">I26-I20-I21-I19</f>
        <v>-182313.89025</v>
      </c>
      <c r="J27" s="268" t="n">
        <f aca="false">J26-J20-J21-J19</f>
        <v>-47966.2093168866</v>
      </c>
      <c r="K27" s="268" t="n">
        <f aca="false">K26-K20-K21-K19</f>
        <v>16320.7975281912</v>
      </c>
      <c r="L27" s="268" t="n">
        <f aca="false">L26-L20-L21-L19</f>
        <v>19677.3703585578</v>
      </c>
      <c r="M27" s="268" t="n">
        <f aca="false">M26-M20-M21-M19</f>
        <v>9726.64691634679</v>
      </c>
      <c r="N27" s="268" t="n">
        <f aca="false">N26-N20-N21-N19</f>
        <v>9726.64691634679</v>
      </c>
      <c r="O27" s="268" t="n">
        <f aca="false">O26-O20-O21-O19</f>
        <v>9726.64691634679</v>
      </c>
      <c r="P27" s="268" t="n">
        <f aca="false">P26-P20-P21-P19</f>
        <v>9726.64691634679</v>
      </c>
      <c r="Q27" s="268" t="n">
        <f aca="false">Q26-Q20-Q21-Q19</f>
        <v>9726.64691634679</v>
      </c>
      <c r="R27" s="268" t="n">
        <f aca="false">R26-R20-R21-R19</f>
        <v>9726.64691634679</v>
      </c>
      <c r="S27" s="268" t="n">
        <f aca="false">S26-S20-S21-S19</f>
        <v>9726.64691634679</v>
      </c>
      <c r="T27" s="268" t="n">
        <f aca="false">T26-T20-T21-T19</f>
        <v>9726.64691634679</v>
      </c>
      <c r="U27" s="268" t="n">
        <f aca="false">U26-U20-U21-U19</f>
        <v>9726.64691634679</v>
      </c>
      <c r="V27" s="268" t="n">
        <f aca="false">V26-V20-V21-V19</f>
        <v>9801.37947368624</v>
      </c>
      <c r="W27" s="268" t="n">
        <f aca="false">W26-W20-W21-W19</f>
        <v>9882.55890688462</v>
      </c>
      <c r="X27" s="268" t="n">
        <f aca="false">X26-X20-X21-X19</f>
        <v>9905.81343201957</v>
      </c>
      <c r="Y27" s="268" t="n">
        <f aca="false">Y26-Y20-Y21-Y19</f>
        <v>9978.41250342601</v>
      </c>
      <c r="Z27" s="268" t="n">
        <f aca="false">Z26-Z20-Z21-Z19</f>
        <v>9998.05072368624</v>
      </c>
      <c r="AA27" s="268" t="n">
        <f aca="false">AA26-AA20-AA21-AA19</f>
        <v>10005.7067834688</v>
      </c>
      <c r="AB27" s="268" t="n">
        <f aca="false">AB26-AB20-AB21-AB19</f>
        <v>10013.2526841179</v>
      </c>
      <c r="AC27" s="268" t="n">
        <f aca="false">AC26-AC20-AC21-AC19</f>
        <v>10013.2526841179</v>
      </c>
      <c r="AD27" s="268" t="n">
        <f aca="false">AD26-AD20-AD21-AD19</f>
        <v>9463.06433879415</v>
      </c>
      <c r="AE27" s="268" t="n">
        <f aca="false">AE26-AE20-AE21-AE19</f>
        <v>9463.06433879415</v>
      </c>
      <c r="AF27" s="268" t="n">
        <f aca="false">AF26-AF20-AF21-AF19</f>
        <v>9463.06433879415</v>
      </c>
      <c r="AG27" s="268" t="n">
        <f aca="false">AG26-AG20-AG21-AG19</f>
        <v>9449.71160619891</v>
      </c>
      <c r="AH27" s="268" t="n">
        <f aca="false">AH26-AH20-AH21-AH19</f>
        <v>9449.71160619891</v>
      </c>
      <c r="AI27" s="268" t="n">
        <f aca="false">AI26-AI20-AI21-AI19</f>
        <v>9565.25282638948</v>
      </c>
      <c r="AJ27" s="268" t="n">
        <f aca="false">AJ26-AJ20-AJ21-AJ19</f>
        <v>9668.53415634176</v>
      </c>
      <c r="AK27" s="268" t="n">
        <f aca="false">AK26-AK20-AK21-AK19</f>
        <v>9700.38197378165</v>
      </c>
      <c r="AL27" s="268" t="n">
        <f aca="false">AL26-AL20-AL21-AL19</f>
        <v>9793.68004949546</v>
      </c>
      <c r="AM27" s="268" t="n">
        <f aca="false">AM26-AM20-AM21-AM19</f>
        <v>9818.45763046212</v>
      </c>
      <c r="AN27" s="268" t="n">
        <f aca="false">AN26-AN20-AN21-AN19</f>
        <v>9888.68066601147</v>
      </c>
      <c r="AO27" s="268" t="n">
        <f aca="false">AO26-AO20-AO21-AO19</f>
        <v>9910.81182526323</v>
      </c>
      <c r="AP27" s="268" t="n">
        <f aca="false">AP26-AP20-AP21-AP19</f>
        <v>9903.30528000119</v>
      </c>
      <c r="AQ27" s="268" t="n">
        <f aca="false">AQ26-AQ20-AQ21-AQ19</f>
        <v>9980.55285637446</v>
      </c>
      <c r="AR27" s="268" t="n">
        <f aca="false">AR26-AR20-AR21-AR19</f>
        <v>10043.6019814586</v>
      </c>
      <c r="AS27" s="268" t="n">
        <f aca="false">AS26-AS20-AS21-AS19</f>
        <v>10107.2523273835</v>
      </c>
      <c r="AT27" s="268" t="n">
        <f aca="false">AT26-AT20-AT21-AT19</f>
        <v>10171.6016820671</v>
      </c>
      <c r="AU27" s="268" t="n">
        <f aca="false">AU26-AU20-AU21-AU19</f>
        <v>10192.1464752735</v>
      </c>
      <c r="AV27" s="268" t="n">
        <f aca="false">AV26-AV20-AV21-AV19</f>
        <v>10203.6060399548</v>
      </c>
      <c r="AW27" s="268" t="n">
        <f aca="false">AW26-AW20-AW21-AW19</f>
        <v>10255.1670264211</v>
      </c>
      <c r="AX27" s="268" t="n">
        <f aca="false">AX26-AX20-AX21-AX19</f>
        <v>10265.3048613018</v>
      </c>
      <c r="AY27" s="268" t="n">
        <f aca="false">AY26-AY20-AY21-AY19</f>
        <v>10304.2718081143</v>
      </c>
      <c r="AZ27" s="268" t="n">
        <f aca="false">AZ26-AZ20-AZ21-AZ19</f>
        <v>10347.6630735605</v>
      </c>
      <c r="BA27" s="268" t="n">
        <f aca="false">BA26-BA20-BA21-BA19</f>
        <v>10358.8007338595</v>
      </c>
      <c r="BB27" s="268" t="n">
        <f aca="false">BB26-BB20-BB21-BB19</f>
        <v>9750.41643824463</v>
      </c>
      <c r="BC27" s="268" t="n">
        <f aca="false">BC26-BC20-BC21-BC19</f>
        <v>9757.08029707848</v>
      </c>
      <c r="BD27" s="268" t="n">
        <f aca="false">BD26-BD20-BD21-BD19</f>
        <v>9757.08029707848</v>
      </c>
      <c r="BE27" s="268" t="n">
        <f aca="false">BE26-BE20-BE21-BE19</f>
        <v>9757.08029707848</v>
      </c>
      <c r="BF27" s="268" t="n">
        <f aca="false">BF26-BF20-BF21-BF19</f>
        <v>9730.51595674053</v>
      </c>
      <c r="BG27" s="268" t="n">
        <f aca="false">BG26-BG20-BG21-BG19</f>
        <v>9730.51595674053</v>
      </c>
      <c r="BH27" s="268" t="n">
        <f aca="false">BH26-BH20-BH21-BH19</f>
        <v>9730.51595674053</v>
      </c>
      <c r="BI27" s="268" t="n">
        <f aca="false">BI26-BI20-BI21-BI19</f>
        <v>9813.08514819407</v>
      </c>
      <c r="BJ27" s="268" t="n">
        <f aca="false">BJ26-BJ20-BJ21-BJ19</f>
        <v>9868.74234571563</v>
      </c>
      <c r="BK27" s="268" t="n">
        <f aca="false">BK26-BK20-BK21-BK19</f>
        <v>9912.65478948675</v>
      </c>
      <c r="BL27" s="268" t="n">
        <f aca="false">BL26-BL20-BL21-BL19</f>
        <v>9970.60251304843</v>
      </c>
      <c r="BM27" s="268" t="n">
        <f aca="false">BM26-BM20-BM21-BM19</f>
        <v>10019.2556339627</v>
      </c>
      <c r="BN27" s="268" t="n">
        <f aca="false">BN26-BN20-BN21-BN19</f>
        <v>10064.9312705999</v>
      </c>
      <c r="BO27" s="268" t="n">
        <f aca="false">BO26-BO20-BO21-BO19</f>
        <v>10079.8223599979</v>
      </c>
      <c r="BP27" s="268" t="n">
        <f aca="false">BP26-BP20-BP21-BP19</f>
        <v>10122.5136647054</v>
      </c>
      <c r="BQ27" s="268" t="n">
        <f aca="false">BQ26-BQ20-BQ21-BQ19</f>
        <v>10138.7353858442</v>
      </c>
      <c r="BR27" s="268" t="n">
        <f aca="false">BR26-BR20-BR21-BR19</f>
        <v>10173.0603037312</v>
      </c>
      <c r="BS27" s="268" t="n">
        <f aca="false">BS26-BS20-BS21-BS19</f>
        <v>10209.1273806941</v>
      </c>
      <c r="BT27" s="268" t="n">
        <f aca="false">BT26-BT20-BT21-BT19</f>
        <v>10248.6110092083</v>
      </c>
      <c r="BU27" s="268" t="n">
        <f aca="false">BU26-BU20-BU21-BU19</f>
        <v>10281.227748072</v>
      </c>
      <c r="BV27" s="268" t="n">
        <f aca="false">BV26-BV20-BV21-BV19</f>
        <v>10311.7691227269</v>
      </c>
      <c r="BW27" s="268" t="n">
        <f aca="false">BW26-BW20-BW21-BW19</f>
        <v>10326.5088073925</v>
      </c>
      <c r="BX27" s="268" t="n">
        <f aca="false">BX26-BX20-BX21-BX19</f>
        <v>10358.7442208035</v>
      </c>
      <c r="BY27" s="268" t="n">
        <f aca="false">BY26-BY20-BY21-BY19</f>
        <v>10369.0173626827</v>
      </c>
      <c r="BZ27" s="268" t="n">
        <f aca="false">BZ26-BZ20-BZ21-BZ19</f>
        <v>10407.139639396</v>
      </c>
      <c r="CA27" s="268" t="n">
        <f aca="false">CA26-CA20-CA21-CA19</f>
        <v>10432.5535721067</v>
      </c>
      <c r="CB27" s="268" t="n">
        <f aca="false">CB26-CB20-CB21-CB19</f>
        <v>10441.3778870509</v>
      </c>
      <c r="CC27" s="268" t="n">
        <f aca="false">CC26-CC20-CC21-CC19</f>
        <v>10465.2781030362</v>
      </c>
      <c r="CD27" s="268" t="n">
        <f aca="false">CD26-CD20-CD21-CD19</f>
        <v>10490.0617298826</v>
      </c>
      <c r="CE27" s="268" t="n">
        <f aca="false">CE26-CE20-CE21-CE19</f>
        <v>10510.7920310669</v>
      </c>
      <c r="CF27" s="268" t="n">
        <f aca="false">CF26-CF20-CF21-CF19</f>
        <v>10530.4178575472</v>
      </c>
      <c r="CG27" s="268" t="n">
        <f aca="false">CG26-CG20-CG21-CG19</f>
        <v>10552.208093202</v>
      </c>
      <c r="CH27" s="268" t="n">
        <f aca="false">CH26-CH20-CH21-CH19</f>
        <v>10397.4224808029</v>
      </c>
      <c r="CI27" s="268" t="n">
        <f aca="false">CI26-CI20-CI21-CI19</f>
        <v>10419.8638195608</v>
      </c>
      <c r="CJ27" s="268" t="n">
        <f aca="false">CJ26-CJ20-CJ21-CJ19</f>
        <v>10429.0049588349</v>
      </c>
      <c r="CK27" s="268" t="n">
        <f aca="false">CK26-CK20-CK21-CK19</f>
        <v>10433.3310745671</v>
      </c>
      <c r="CL27" s="268" t="n">
        <f aca="false">CL26-CL20-CL21-CL19</f>
        <v>10435.2012325824</v>
      </c>
      <c r="CM27" s="268" t="n">
        <f aca="false">CM26-CM20-CM21-CM19</f>
        <v>10435.2012325824</v>
      </c>
      <c r="CN27" s="268" t="n">
        <f aca="false">CN26-CN20-CN21-CN19</f>
        <v>10435.2012325824</v>
      </c>
      <c r="CO27" s="268" t="n">
        <f aca="false">CO26-CO20-CO21-CO19</f>
        <v>10435.2012325824</v>
      </c>
      <c r="CP27" s="268" t="n">
        <f aca="false">CP26-CP20-CP21-CP19</f>
        <v>10435.2012325824</v>
      </c>
      <c r="CQ27" s="268" t="n">
        <f aca="false">CQ26-CQ20-CQ21-CQ19</f>
        <v>10435.2012325824</v>
      </c>
      <c r="CR27" s="268" t="n">
        <f aca="false">CR26-CR20-CR21-CR19</f>
        <v>10435.2012325824</v>
      </c>
      <c r="CS27" s="268" t="n">
        <f aca="false">CS26-CS20-CS21-CS19</f>
        <v>10435.2012325824</v>
      </c>
      <c r="CT27" s="268" t="n">
        <f aca="false">CT26-CT20-CT21-CT19</f>
        <v>10435.2012325824</v>
      </c>
      <c r="CU27" s="268" t="n">
        <f aca="false">CU26-CU20-CU21-CU19</f>
        <v>10435.2012325824</v>
      </c>
      <c r="CV27" s="268" t="n">
        <f aca="false">CV26-CV20-CV21-CV19</f>
        <v>10435.2012325824</v>
      </c>
      <c r="CW27" s="268" t="n">
        <f aca="false">CW26-CW20-CW21-CW19</f>
        <v>10435.2012325824</v>
      </c>
      <c r="CX27" s="268" t="n">
        <f aca="false">CX26-CX20-CX21-CX19</f>
        <v>10435.2012325824</v>
      </c>
      <c r="CY27" s="268" t="n">
        <f aca="false">CY26-CY20-CY21-CY19</f>
        <v>10435.2012325824</v>
      </c>
      <c r="CZ27" s="268" t="n">
        <f aca="false">CZ26-CZ20-CZ21-CZ19</f>
        <v>10435.2012325824</v>
      </c>
      <c r="DA27" s="268" t="n">
        <f aca="false">DA26-DA20-DA21-DA19</f>
        <v>10435.2012325824</v>
      </c>
      <c r="DB27" s="268" t="n">
        <f aca="false">DB26-DB20-DB21-DB19</f>
        <v>10435.2012325824</v>
      </c>
      <c r="DC27" s="268" t="n">
        <f aca="false">DC26-DC20-DC21-DC19</f>
        <v>10435.2012325824</v>
      </c>
      <c r="DD27" s="268" t="n">
        <f aca="false">DD26-DD20-DD21-DD19</f>
        <v>10435.2012325824</v>
      </c>
      <c r="DE27" s="268" t="n">
        <f aca="false">DE26-DE20-DE21-DE19</f>
        <v>10435.2012325824</v>
      </c>
      <c r="DF27" s="268" t="n">
        <f aca="false">DF26-DF20-DF21-DF19</f>
        <v>10435.2012325824</v>
      </c>
      <c r="DG27" s="268" t="n">
        <f aca="false">DG26-DG20-DG21-DG19</f>
        <v>10435.2012325824</v>
      </c>
      <c r="DH27" s="268" t="n">
        <f aca="false">DH26-DH20-DH21-DH19</f>
        <v>10435.2012325824</v>
      </c>
      <c r="DI27" s="268" t="n">
        <f aca="false">DI26-DI20-DI21-DI19</f>
        <v>10435.2012325824</v>
      </c>
      <c r="DJ27" s="268" t="n">
        <f aca="false">DJ26-DJ20-DJ21-DJ19</f>
        <v>10435.2012325824</v>
      </c>
      <c r="DK27" s="268" t="n">
        <f aca="false">DK26-DK20-DK21-DK19</f>
        <v>10435.2012325824</v>
      </c>
      <c r="DL27" s="268" t="n">
        <f aca="false">DL26-DL20-DL21-DL19</f>
        <v>10435.2012325824</v>
      </c>
      <c r="DM27" s="268" t="n">
        <f aca="false">DM26-DM20-DM21-DM19</f>
        <v>10435.2012325824</v>
      </c>
      <c r="DN27" s="268" t="n">
        <f aca="false">DN26-DN20-DN21-DN19</f>
        <v>10435.2012325824</v>
      </c>
      <c r="DO27" s="268" t="n">
        <f aca="false">DO26-DO20-DO21-DO19</f>
        <v>10435.2012325824</v>
      </c>
      <c r="DP27" s="268" t="n">
        <f aca="false">DP26-DP20-DP21-DP19</f>
        <v>10435.2012325824</v>
      </c>
      <c r="DQ27" s="268" t="n">
        <f aca="false">DQ26-DQ20-DQ21-DQ19</f>
        <v>10435.2012325824</v>
      </c>
      <c r="DR27" s="268" t="n">
        <f aca="false">DR26-DR20-DR21-DR19</f>
        <v>10435.2012325824</v>
      </c>
      <c r="DS27" s="268" t="n">
        <f aca="false">DS26-DS20-DS21-DS19</f>
        <v>10435.2012325824</v>
      </c>
    </row>
    <row r="28" customFormat="false" ht="15" hidden="false" customHeight="true" outlineLevel="0" collapsed="false">
      <c r="B28" s="297" t="s">
        <v>300</v>
      </c>
      <c r="D28" s="273" t="n">
        <f aca="false">D27</f>
        <v>0</v>
      </c>
      <c r="E28" s="273" t="n">
        <f aca="false">D28+E27</f>
        <v>0</v>
      </c>
      <c r="F28" s="273" t="n">
        <f aca="false">E28+F27</f>
        <v>0</v>
      </c>
      <c r="G28" s="273" t="n">
        <f aca="false">F28+G27</f>
        <v>-161876.14025</v>
      </c>
      <c r="H28" s="273" t="n">
        <f aca="false">G28+H27</f>
        <v>-323752.2805</v>
      </c>
      <c r="I28" s="273" t="n">
        <f aca="false">H28+I27</f>
        <v>-506066.17075</v>
      </c>
      <c r="J28" s="273" t="n">
        <f aca="false">I28+J27</f>
        <v>-554032.380066887</v>
      </c>
      <c r="K28" s="273" t="n">
        <f aca="false">J28+K27</f>
        <v>-537711.582538695</v>
      </c>
      <c r="L28" s="273" t="n">
        <f aca="false">K28+L27</f>
        <v>-518034.212180138</v>
      </c>
      <c r="M28" s="273" t="n">
        <f aca="false">L28+M27</f>
        <v>-508307.565263791</v>
      </c>
      <c r="N28" s="273" t="n">
        <f aca="false">M28+N27</f>
        <v>-498580.918347444</v>
      </c>
      <c r="O28" s="273" t="n">
        <f aca="false">N28+O27</f>
        <v>-488854.271431097</v>
      </c>
      <c r="P28" s="273" t="n">
        <f aca="false">O28+P27</f>
        <v>-479127.62451475</v>
      </c>
      <c r="Q28" s="273" t="n">
        <f aca="false">P28+Q27</f>
        <v>-469400.977598404</v>
      </c>
      <c r="R28" s="273" t="n">
        <f aca="false">Q28+R27</f>
        <v>-459674.330682057</v>
      </c>
      <c r="S28" s="273" t="n">
        <f aca="false">R28+S27</f>
        <v>-449947.68376571</v>
      </c>
      <c r="T28" s="273" t="n">
        <f aca="false">S28+T27</f>
        <v>-440221.036849363</v>
      </c>
      <c r="U28" s="273" t="n">
        <f aca="false">T28+U27</f>
        <v>-430494.389933016</v>
      </c>
      <c r="V28" s="273" t="n">
        <f aca="false">U28+V27</f>
        <v>-420693.01045933</v>
      </c>
      <c r="W28" s="273" t="n">
        <f aca="false">V28+W27</f>
        <v>-410810.451552446</v>
      </c>
      <c r="X28" s="273" t="n">
        <f aca="false">W28+X27</f>
        <v>-400904.638120426</v>
      </c>
      <c r="Y28" s="273" t="n">
        <f aca="false">X28+Y27</f>
        <v>-390926.225617</v>
      </c>
      <c r="Z28" s="273" t="n">
        <f aca="false">Y28+Z27</f>
        <v>-380928.174893314</v>
      </c>
      <c r="AA28" s="273" t="n">
        <f aca="false">Z28+AA27</f>
        <v>-370922.468109845</v>
      </c>
      <c r="AB28" s="273" t="n">
        <f aca="false">AA28+AB27</f>
        <v>-360909.215425727</v>
      </c>
      <c r="AC28" s="273" t="n">
        <f aca="false">AB28+AC27</f>
        <v>-350895.962741609</v>
      </c>
      <c r="AD28" s="273" t="n">
        <f aca="false">AC28+AD27</f>
        <v>-341432.898402815</v>
      </c>
      <c r="AE28" s="273" t="n">
        <f aca="false">AD28+AE27</f>
        <v>-331969.834064021</v>
      </c>
      <c r="AF28" s="273" t="n">
        <f aca="false">AE28+AF27</f>
        <v>-322506.769725227</v>
      </c>
      <c r="AG28" s="273" t="n">
        <f aca="false">AF28+AG27</f>
        <v>-313057.058119028</v>
      </c>
      <c r="AH28" s="273" t="n">
        <f aca="false">AG28+AH27</f>
        <v>-303607.346512829</v>
      </c>
      <c r="AI28" s="273" t="n">
        <f aca="false">AH28+AI27</f>
        <v>-294042.093686439</v>
      </c>
      <c r="AJ28" s="273" t="n">
        <f aca="false">AI28+AJ27</f>
        <v>-284373.559530098</v>
      </c>
      <c r="AK28" s="273" t="n">
        <f aca="false">AJ28+AK27</f>
        <v>-274673.177556316</v>
      </c>
      <c r="AL28" s="273" t="n">
        <f aca="false">AK28+AL27</f>
        <v>-264879.49750682</v>
      </c>
      <c r="AM28" s="273" t="n">
        <f aca="false">AL28+AM27</f>
        <v>-255061.039876358</v>
      </c>
      <c r="AN28" s="273" t="n">
        <f aca="false">AM28+AN27</f>
        <v>-245172.359210347</v>
      </c>
      <c r="AO28" s="273" t="n">
        <f aca="false">AN28+AO27</f>
        <v>-235261.547385084</v>
      </c>
      <c r="AP28" s="273" t="n">
        <f aca="false">AO28+AP27</f>
        <v>-225358.242105082</v>
      </c>
      <c r="AQ28" s="273" t="n">
        <f aca="false">AP28+AQ27</f>
        <v>-215377.689248708</v>
      </c>
      <c r="AR28" s="273" t="n">
        <f aca="false">AQ28+AR27</f>
        <v>-205334.087267249</v>
      </c>
      <c r="AS28" s="273" t="n">
        <f aca="false">AR28+AS27</f>
        <v>-195226.834939866</v>
      </c>
      <c r="AT28" s="273" t="n">
        <f aca="false">AS28+AT27</f>
        <v>-185055.233257799</v>
      </c>
      <c r="AU28" s="273" t="n">
        <f aca="false">AT28+AU27</f>
        <v>-174863.086782525</v>
      </c>
      <c r="AV28" s="273" t="n">
        <f aca="false">AU28+AV27</f>
        <v>-164659.48074257</v>
      </c>
      <c r="AW28" s="273" t="n">
        <f aca="false">AV28+AW27</f>
        <v>-154404.313716149</v>
      </c>
      <c r="AX28" s="273" t="n">
        <f aca="false">AW28+AX27</f>
        <v>-144139.008854848</v>
      </c>
      <c r="AY28" s="273" t="n">
        <f aca="false">AX28+AY27</f>
        <v>-133834.737046733</v>
      </c>
      <c r="AZ28" s="273" t="n">
        <f aca="false">AY28+AZ27</f>
        <v>-123487.073973173</v>
      </c>
      <c r="BA28" s="273" t="n">
        <f aca="false">AZ28+BA27</f>
        <v>-113128.273239313</v>
      </c>
      <c r="BB28" s="273" t="n">
        <f aca="false">BA28+BB27</f>
        <v>-103377.856801069</v>
      </c>
      <c r="BC28" s="273" t="n">
        <f aca="false">BB28+BC27</f>
        <v>-93620.77650399</v>
      </c>
      <c r="BD28" s="273" t="n">
        <f aca="false">BC28+BD27</f>
        <v>-83863.6962069116</v>
      </c>
      <c r="BE28" s="273" t="n">
        <f aca="false">BD28+BE27</f>
        <v>-74106.6159098331</v>
      </c>
      <c r="BF28" s="273" t="n">
        <f aca="false">BE28+BF27</f>
        <v>-64376.0999530925</v>
      </c>
      <c r="BG28" s="273" t="n">
        <f aca="false">BF28+BG27</f>
        <v>-54645.583996352</v>
      </c>
      <c r="BH28" s="273" t="n">
        <f aca="false">BG28+BH27</f>
        <v>-44915.0680396115</v>
      </c>
      <c r="BI28" s="273" t="n">
        <f aca="false">BH28+BI27</f>
        <v>-35101.9828914174</v>
      </c>
      <c r="BJ28" s="273" t="n">
        <f aca="false">BI28+BJ27</f>
        <v>-25233.2405457018</v>
      </c>
      <c r="BK28" s="273" t="n">
        <f aca="false">BJ28+BK27</f>
        <v>-15320.585756215</v>
      </c>
      <c r="BL28" s="273" t="n">
        <f aca="false">BK28+BL27</f>
        <v>-5349.98324316661</v>
      </c>
      <c r="BM28" s="273" t="n">
        <f aca="false">BL28+BM27</f>
        <v>4669.27239079612</v>
      </c>
      <c r="BN28" s="273" t="n">
        <f aca="false">BM28+BN27</f>
        <v>14734.203661396</v>
      </c>
      <c r="BO28" s="273" t="n">
        <f aca="false">BN28+BO27</f>
        <v>24814.0260213939</v>
      </c>
      <c r="BP28" s="273" t="n">
        <f aca="false">BO28+BP27</f>
        <v>34936.5396860993</v>
      </c>
      <c r="BQ28" s="273" t="n">
        <f aca="false">BP28+BQ27</f>
        <v>45075.2750719435</v>
      </c>
      <c r="BR28" s="273" t="n">
        <f aca="false">BQ28+BR27</f>
        <v>55248.3353756747</v>
      </c>
      <c r="BS28" s="273" t="n">
        <f aca="false">BR28+BS27</f>
        <v>65457.4627563688</v>
      </c>
      <c r="BT28" s="273" t="n">
        <f aca="false">BS28+BT27</f>
        <v>75706.073765577</v>
      </c>
      <c r="BU28" s="273" t="n">
        <f aca="false">BT28+BU27</f>
        <v>85987.301513649</v>
      </c>
      <c r="BV28" s="273" t="n">
        <f aca="false">BU28+BV27</f>
        <v>96299.0706363759</v>
      </c>
      <c r="BW28" s="273" t="n">
        <f aca="false">BV28+BW27</f>
        <v>106625.579443768</v>
      </c>
      <c r="BX28" s="273" t="n">
        <f aca="false">BW28+BX27</f>
        <v>116984.323664572</v>
      </c>
      <c r="BY28" s="273" t="n">
        <f aca="false">BX28+BY27</f>
        <v>127353.341027255</v>
      </c>
      <c r="BZ28" s="273" t="n">
        <f aca="false">BY28+BZ27</f>
        <v>137760.480666651</v>
      </c>
      <c r="CA28" s="273" t="n">
        <f aca="false">BZ28+CA27</f>
        <v>148193.034238757</v>
      </c>
      <c r="CB28" s="273" t="n">
        <f aca="false">CA28+CB27</f>
        <v>158634.412125808</v>
      </c>
      <c r="CC28" s="273" t="n">
        <f aca="false">CB28+CC27</f>
        <v>169099.690228845</v>
      </c>
      <c r="CD28" s="273" t="n">
        <f aca="false">CC28+CD27</f>
        <v>179589.751958727</v>
      </c>
      <c r="CE28" s="273" t="n">
        <f aca="false">CD28+CE27</f>
        <v>190100.543989794</v>
      </c>
      <c r="CF28" s="273" t="n">
        <f aca="false">CE28+CF27</f>
        <v>200630.961847341</v>
      </c>
      <c r="CG28" s="273" t="n">
        <f aca="false">CF28+CG27</f>
        <v>211183.169940543</v>
      </c>
      <c r="CH28" s="273" t="n">
        <f aca="false">CG28+CH27</f>
        <v>221580.592421346</v>
      </c>
      <c r="CI28" s="273" t="n">
        <f aca="false">CH28+CI27</f>
        <v>232000.456240907</v>
      </c>
      <c r="CJ28" s="273" t="n">
        <f aca="false">CI28+CJ27</f>
        <v>242429.461199742</v>
      </c>
      <c r="CK28" s="273" t="n">
        <f aca="false">CJ28+CK27</f>
        <v>252862.792274309</v>
      </c>
      <c r="CL28" s="273" t="n">
        <f aca="false">CK28+CL27</f>
        <v>263297.993506891</v>
      </c>
      <c r="CM28" s="273" t="n">
        <f aca="false">CL28+CM27</f>
        <v>273733.194739474</v>
      </c>
      <c r="CN28" s="273" t="n">
        <f aca="false">CM28+CN27</f>
        <v>284168.395972056</v>
      </c>
      <c r="CO28" s="273" t="n">
        <f aca="false">CN28+CO27</f>
        <v>294603.597204638</v>
      </c>
      <c r="CP28" s="273" t="n">
        <f aca="false">CO28+CP27</f>
        <v>305038.798437221</v>
      </c>
      <c r="CQ28" s="273" t="n">
        <f aca="false">CP28+CQ27</f>
        <v>315473.999669803</v>
      </c>
      <c r="CR28" s="273" t="n">
        <f aca="false">CQ28+CR27</f>
        <v>325909.200902386</v>
      </c>
      <c r="CS28" s="273" t="n">
        <f aca="false">CR28+CS27</f>
        <v>336344.402134968</v>
      </c>
      <c r="CT28" s="273" t="n">
        <f aca="false">CS28+CT27</f>
        <v>346779.60336755</v>
      </c>
      <c r="CU28" s="273" t="n">
        <f aca="false">CT28+CU27</f>
        <v>357214.804600133</v>
      </c>
      <c r="CV28" s="273" t="n">
        <f aca="false">CU28+CV27</f>
        <v>367650.005832715</v>
      </c>
      <c r="CW28" s="273" t="n">
        <f aca="false">CV28+CW27</f>
        <v>378085.207065298</v>
      </c>
      <c r="CX28" s="273" t="n">
        <f aca="false">CW28+CX27</f>
        <v>388520.40829788</v>
      </c>
      <c r="CY28" s="273" t="n">
        <f aca="false">CX28+CY27</f>
        <v>398955.609530462</v>
      </c>
      <c r="CZ28" s="273" t="n">
        <f aca="false">CY28+CZ27</f>
        <v>409390.810763045</v>
      </c>
      <c r="DA28" s="273" t="n">
        <f aca="false">CZ28+DA27</f>
        <v>419826.011995627</v>
      </c>
      <c r="DB28" s="273" t="n">
        <f aca="false">DA28+DB27</f>
        <v>430261.21322821</v>
      </c>
      <c r="DC28" s="273" t="n">
        <f aca="false">DB28+DC27</f>
        <v>440696.414460792</v>
      </c>
      <c r="DD28" s="273" t="n">
        <f aca="false">DC28+DD27</f>
        <v>451131.615693374</v>
      </c>
      <c r="DE28" s="273" t="n">
        <f aca="false">DD28+DE27</f>
        <v>461566.816925957</v>
      </c>
      <c r="DF28" s="273" t="n">
        <f aca="false">DE28+DF27</f>
        <v>472002.018158539</v>
      </c>
      <c r="DG28" s="273" t="n">
        <f aca="false">DF28+DG27</f>
        <v>482437.219391121</v>
      </c>
      <c r="DH28" s="273" t="n">
        <f aca="false">DG28+DH27</f>
        <v>492872.420623704</v>
      </c>
      <c r="DI28" s="273" t="n">
        <f aca="false">DH28+DI27</f>
        <v>503307.621856286</v>
      </c>
      <c r="DJ28" s="273" t="n">
        <f aca="false">DI28+DJ27</f>
        <v>513742.823088869</v>
      </c>
      <c r="DK28" s="273" t="n">
        <f aca="false">DJ28+DK27</f>
        <v>524178.024321451</v>
      </c>
      <c r="DL28" s="273" t="n">
        <f aca="false">DK28+DL27</f>
        <v>534613.225554033</v>
      </c>
      <c r="DM28" s="273" t="n">
        <f aca="false">DL28+DM27</f>
        <v>545048.426786616</v>
      </c>
      <c r="DN28" s="273" t="n">
        <f aca="false">DM28+DN27</f>
        <v>555483.628019198</v>
      </c>
      <c r="DO28" s="273" t="n">
        <f aca="false">DN28+DO27</f>
        <v>565918.82925178</v>
      </c>
      <c r="DP28" s="273" t="n">
        <f aca="false">DO28+DP27</f>
        <v>576354.030484363</v>
      </c>
      <c r="DQ28" s="273" t="n">
        <f aca="false">DP28+DQ27</f>
        <v>586789.231716945</v>
      </c>
      <c r="DR28" s="273" t="n">
        <f aca="false">DQ28+DR27</f>
        <v>597224.432949527</v>
      </c>
      <c r="DS28" s="273" t="n">
        <f aca="false">DR28+DS27</f>
        <v>607659.63418211</v>
      </c>
    </row>
    <row r="29" customFormat="false" ht="15" hidden="false" customHeight="true" outlineLevel="0" collapsed="false">
      <c r="B29" s="297" t="s">
        <v>3432</v>
      </c>
      <c r="D29" s="273" t="n">
        <f aca="false">D27/(1+SUP_CONTROL!$C$32)^D4</f>
        <v>0</v>
      </c>
      <c r="E29" s="273" t="n">
        <f aca="false">E27/(1+SUP_CONTROL!$C$32)^E4</f>
        <v>0</v>
      </c>
      <c r="F29" s="273" t="n">
        <f aca="false">F27/(1+SUP_CONTROL!$C$32)^F4</f>
        <v>0</v>
      </c>
      <c r="G29" s="273" t="n">
        <f aca="false">G27/(1+SUP_CONTROL!$C$32)^G4</f>
        <v>-152331.280191448</v>
      </c>
      <c r="H29" s="273" t="n">
        <f aca="false">H27/(1+SUP_CONTROL!$C$32)^H4</f>
        <v>-150034.333981413</v>
      </c>
      <c r="I29" s="273" t="n">
        <f aca="false">I27/(1+SUP_CONTROL!$C$32)^I4</f>
        <v>-166429.050394077</v>
      </c>
      <c r="J29" s="273" t="n">
        <f aca="false">J27/(1+SUP_CONTROL!$C$32)^J4</f>
        <v>-43126.7109589457</v>
      </c>
      <c r="K29" s="273" t="n">
        <f aca="false">K27/(1+SUP_CONTROL!$C$32)^K4</f>
        <v>14452.8627910223</v>
      </c>
      <c r="L29" s="273" t="n">
        <f aca="false">L27/(1+SUP_CONTROL!$C$32)^L4</f>
        <v>17162.522723416</v>
      </c>
      <c r="M29" s="273" t="n">
        <f aca="false">M27/(1+SUP_CONTROL!$C$32)^M4</f>
        <v>8355.62189567165</v>
      </c>
      <c r="N29" s="273" t="n">
        <f aca="false">N27/(1+SUP_CONTROL!$C$32)^N4</f>
        <v>8229.63060864492</v>
      </c>
      <c r="O29" s="273" t="n">
        <f aca="false">O27/(1+SUP_CONTROL!$C$32)^O4</f>
        <v>8105.53909695566</v>
      </c>
      <c r="P29" s="273" t="n">
        <f aca="false">P27/(1+SUP_CONTROL!$C$32)^P4</f>
        <v>7983.31871460447</v>
      </c>
      <c r="Q29" s="273" t="n">
        <f aca="false">Q27/(1+SUP_CONTROL!$C$32)^Q4</f>
        <v>7862.94124753423</v>
      </c>
      <c r="R29" s="273" t="n">
        <f aca="false">R27/(1+SUP_CONTROL!$C$32)^R4</f>
        <v>7744.37890711698</v>
      </c>
      <c r="S29" s="273" t="n">
        <f aca="false">S27/(1+SUP_CONTROL!$C$32)^S4</f>
        <v>7627.60432373907</v>
      </c>
      <c r="T29" s="273" t="n">
        <f aca="false">T27/(1+SUP_CONTROL!$C$32)^T4</f>
        <v>7512.59054048299</v>
      </c>
      <c r="U29" s="273" t="n">
        <f aca="false">U27/(1+SUP_CONTROL!$C$32)^U4</f>
        <v>7399.31100690445</v>
      </c>
      <c r="V29" s="273" t="n">
        <f aca="false">V27/(1+SUP_CONTROL!$C$32)^V4</f>
        <v>7343.73332081989</v>
      </c>
      <c r="W29" s="273" t="n">
        <f aca="false">W27/(1+SUP_CONTROL!$C$32)^W4</f>
        <v>7292.90688045339</v>
      </c>
      <c r="X29" s="273" t="n">
        <f aca="false">X27/(1+SUP_CONTROL!$C$32)^X4</f>
        <v>7199.84195987083</v>
      </c>
      <c r="Y29" s="273" t="n">
        <f aca="false">Y27/(1+SUP_CONTROL!$C$32)^Y4</f>
        <v>7143.24976828579</v>
      </c>
      <c r="Z29" s="273" t="n">
        <f aca="false">Z27/(1+SUP_CONTROL!$C$32)^Z4</f>
        <v>7049.38582381621</v>
      </c>
      <c r="AA29" s="273" t="n">
        <f aca="false">AA27/(1+SUP_CONTROL!$C$32)^AA4</f>
        <v>6948.40748852004</v>
      </c>
      <c r="AB29" s="273" t="n">
        <f aca="false">AB27/(1+SUP_CONTROL!$C$32)^AB4</f>
        <v>6848.79625310846</v>
      </c>
      <c r="AC29" s="273" t="n">
        <f aca="false">AC27/(1+SUP_CONTROL!$C$32)^AC4</f>
        <v>6745.52582449321</v>
      </c>
      <c r="AD29" s="273" t="n">
        <f aca="false">AD27/(1+SUP_CONTROL!$C$32)^AD4</f>
        <v>6278.76153796323</v>
      </c>
      <c r="AE29" s="273" t="n">
        <f aca="false">AE27/(1+SUP_CONTROL!$C$32)^AE4</f>
        <v>6184.08644890592</v>
      </c>
      <c r="AF29" s="273" t="n">
        <f aca="false">AF27/(1+SUP_CONTROL!$C$32)^AF4</f>
        <v>6090.83892998865</v>
      </c>
      <c r="AG29" s="273" t="n">
        <f aca="false">AG27/(1+SUP_CONTROL!$C$32)^AG4</f>
        <v>5990.53264888139</v>
      </c>
      <c r="AH29" s="273" t="n">
        <f aca="false">AH27/(1+SUP_CONTROL!$C$32)^AH4</f>
        <v>5900.20365508151</v>
      </c>
      <c r="AI29" s="273" t="n">
        <f aca="false">AI27/(1+SUP_CONTROL!$C$32)^AI4</f>
        <v>5882.29044118112</v>
      </c>
      <c r="AJ29" s="273" t="n">
        <f aca="false">AJ27/(1+SUP_CONTROL!$C$32)^AJ4</f>
        <v>5856.15022826395</v>
      </c>
      <c r="AK29" s="273" t="n">
        <f aca="false">AK27/(1+SUP_CONTROL!$C$32)^AK4</f>
        <v>5786.84662704851</v>
      </c>
      <c r="AL29" s="273" t="n">
        <f aca="false">AL27/(1+SUP_CONTROL!$C$32)^AL4</f>
        <v>5754.40746834319</v>
      </c>
      <c r="AM29" s="273" t="n">
        <f aca="false">AM27/(1+SUP_CONTROL!$C$32)^AM4</f>
        <v>5681.97779540632</v>
      </c>
      <c r="AN29" s="273" t="n">
        <f aca="false">AN27/(1+SUP_CONTROL!$C$32)^AN4</f>
        <v>5636.32694507163</v>
      </c>
      <c r="AO29" s="273" t="n">
        <f aca="false">AO27/(1+SUP_CONTROL!$C$32)^AO4</f>
        <v>5563.76294646685</v>
      </c>
      <c r="AP29" s="273" t="n">
        <f aca="false">AP27/(1+SUP_CONTROL!$C$32)^AP4</f>
        <v>5475.71854674572</v>
      </c>
      <c r="AQ29" s="273" t="n">
        <f aca="false">AQ27/(1+SUP_CONTROL!$C$32)^AQ4</f>
        <v>5435.21980671287</v>
      </c>
      <c r="AR29" s="273" t="n">
        <f aca="false">AR27/(1+SUP_CONTROL!$C$32)^AR4</f>
        <v>5387.081794706</v>
      </c>
      <c r="AS29" s="273" t="n">
        <f aca="false">AS27/(1+SUP_CONTROL!$C$32)^AS4</f>
        <v>5339.47732841874</v>
      </c>
      <c r="AT29" s="273" t="n">
        <f aca="false">AT27/(1+SUP_CONTROL!$C$32)^AT4</f>
        <v>5292.44735391333</v>
      </c>
      <c r="AU29" s="273" t="n">
        <f aca="false">AU27/(1+SUP_CONTROL!$C$32)^AU4</f>
        <v>5223.17312418678</v>
      </c>
      <c r="AV29" s="273" t="n">
        <f aca="false">AV27/(1+SUP_CONTROL!$C$32)^AV4</f>
        <v>5150.19899205738</v>
      </c>
      <c r="AW29" s="273" t="n">
        <f aca="false">AW27/(1+SUP_CONTROL!$C$32)^AW4</f>
        <v>5098.17370053597</v>
      </c>
      <c r="AX29" s="273" t="n">
        <f aca="false">AX27/(1+SUP_CONTROL!$C$32)^AX4</f>
        <v>5026.26410264596</v>
      </c>
      <c r="AY29" s="273" t="n">
        <f aca="false">AY27/(1+SUP_CONTROL!$C$32)^AY4</f>
        <v>4969.26688277119</v>
      </c>
      <c r="AZ29" s="273" t="n">
        <f aca="false">AZ27/(1+SUP_CONTROL!$C$32)^AZ4</f>
        <v>4914.94721505959</v>
      </c>
      <c r="BA29" s="273" t="n">
        <f aca="false">BA27/(1+SUP_CONTROL!$C$32)^BA4</f>
        <v>4846.04698291627</v>
      </c>
      <c r="BB29" s="273" t="n">
        <f aca="false">BB27/(1+SUP_CONTROL!$C$32)^BB4</f>
        <v>4492.65292578695</v>
      </c>
      <c r="BC29" s="273" t="n">
        <f aca="false">BC27/(1+SUP_CONTROL!$C$32)^BC4</f>
        <v>4427.93407418792</v>
      </c>
      <c r="BD29" s="273" t="n">
        <f aca="false">BD27/(1+SUP_CONTROL!$C$32)^BD4</f>
        <v>4361.16691791372</v>
      </c>
      <c r="BE29" s="273" t="n">
        <f aca="false">BE27/(1+SUP_CONTROL!$C$32)^BE4</f>
        <v>4295.40651853387</v>
      </c>
      <c r="BF29" s="273" t="n">
        <f aca="false">BF27/(1+SUP_CONTROL!$C$32)^BF4</f>
        <v>4219.11948556538</v>
      </c>
      <c r="BG29" s="273" t="n">
        <f aca="false">BG27/(1+SUP_CONTROL!$C$32)^BG4</f>
        <v>4155.50096611307</v>
      </c>
      <c r="BH29" s="273" t="n">
        <f aca="false">BH27/(1+SUP_CONTROL!$C$32)^BH4</f>
        <v>4092.84172644204</v>
      </c>
      <c r="BI29" s="273" t="n">
        <f aca="false">BI27/(1+SUP_CONTROL!$C$32)^BI4</f>
        <v>4065.33380479895</v>
      </c>
      <c r="BJ29" s="273" t="n">
        <f aca="false">BJ27/(1+SUP_CONTROL!$C$32)^BJ4</f>
        <v>4026.74397405753</v>
      </c>
      <c r="BK29" s="273" t="n">
        <f aca="false">BK27/(1+SUP_CONTROL!$C$32)^BK4</f>
        <v>3983.67363903628</v>
      </c>
      <c r="BL29" s="273" t="n">
        <f aca="false">BL27/(1+SUP_CONTROL!$C$32)^BL4</f>
        <v>3946.54206023797</v>
      </c>
      <c r="BM29" s="273" t="n">
        <f aca="false">BM27/(1+SUP_CONTROL!$C$32)^BM4</f>
        <v>3906.0010245946</v>
      </c>
      <c r="BN29" s="273" t="n">
        <f aca="false">BN27/(1+SUP_CONTROL!$C$32)^BN4</f>
        <v>3864.64202213825</v>
      </c>
      <c r="BO29" s="273" t="n">
        <f aca="false">BO27/(1+SUP_CONTROL!$C$32)^BO4</f>
        <v>3812.00006650215</v>
      </c>
      <c r="BP29" s="273" t="n">
        <f aca="false">BP27/(1+SUP_CONTROL!$C$32)^BP4</f>
        <v>3770.42195483598</v>
      </c>
      <c r="BQ29" s="273" t="n">
        <f aca="false">BQ27/(1+SUP_CONTROL!$C$32)^BQ4</f>
        <v>3719.52031585079</v>
      </c>
      <c r="BR29" s="273" t="n">
        <f aca="false">BR27/(1+SUP_CONTROL!$C$32)^BR4</f>
        <v>3675.83770704124</v>
      </c>
      <c r="BS29" s="273" t="n">
        <f aca="false">BS27/(1+SUP_CONTROL!$C$32)^BS4</f>
        <v>3633.2467605223</v>
      </c>
      <c r="BT29" s="273" t="n">
        <f aca="false">BT27/(1+SUP_CONTROL!$C$32)^BT4</f>
        <v>3592.30203919317</v>
      </c>
      <c r="BU29" s="273" t="n">
        <f aca="false">BU27/(1+SUP_CONTROL!$C$32)^BU4</f>
        <v>3549.39536410438</v>
      </c>
      <c r="BV29" s="273" t="n">
        <f aca="false">BV27/(1+SUP_CONTROL!$C$32)^BV4</f>
        <v>3506.26019694391</v>
      </c>
      <c r="BW29" s="273" t="n">
        <f aca="false">BW27/(1+SUP_CONTROL!$C$32)^BW4</f>
        <v>3458.32690576793</v>
      </c>
      <c r="BX29" s="273" t="n">
        <f aca="false">BX27/(1+SUP_CONTROL!$C$32)^BX4</f>
        <v>3416.81288443931</v>
      </c>
      <c r="BY29" s="273" t="n">
        <f aca="false">BY27/(1+SUP_CONTROL!$C$32)^BY4</f>
        <v>3368.6295271767</v>
      </c>
      <c r="BZ29" s="273" t="n">
        <f aca="false">BZ27/(1+SUP_CONTROL!$C$32)^BZ4</f>
        <v>3330.03343484939</v>
      </c>
      <c r="CA29" s="273" t="n">
        <f aca="false">CA27/(1+SUP_CONTROL!$C$32)^CA4</f>
        <v>3287.83033820137</v>
      </c>
      <c r="CB29" s="273" t="n">
        <f aca="false">CB27/(1+SUP_CONTROL!$C$32)^CB4</f>
        <v>3240.99343701417</v>
      </c>
      <c r="CC29" s="273" t="n">
        <f aca="false">CC27/(1+SUP_CONTROL!$C$32)^CC4</f>
        <v>3199.43045441515</v>
      </c>
      <c r="CD29" s="273" t="n">
        <f aca="false">CD27/(1+SUP_CONTROL!$C$32)^CD4</f>
        <v>3158.6500116186</v>
      </c>
      <c r="CE29" s="273" t="n">
        <f aca="false">CE27/(1+SUP_CONTROL!$C$32)^CE4</f>
        <v>3117.16986781957</v>
      </c>
      <c r="CF29" s="273" t="n">
        <f aca="false">CF27/(1+SUP_CONTROL!$C$32)^CF4</f>
        <v>3075.89987147483</v>
      </c>
      <c r="CG29" s="273" t="n">
        <f aca="false">CG27/(1+SUP_CONTROL!$C$32)^CG4</f>
        <v>3035.7884133455</v>
      </c>
      <c r="CH29" s="273" t="n">
        <f aca="false">CH27/(1+SUP_CONTROL!$C$32)^CH4</f>
        <v>2946.15373958969</v>
      </c>
      <c r="CI29" s="273" t="n">
        <f aca="false">CI27/(1+SUP_CONTROL!$C$32)^CI4</f>
        <v>2907.99275871339</v>
      </c>
      <c r="CJ29" s="273" t="n">
        <f aca="false">CJ27/(1+SUP_CONTROL!$C$32)^CJ4</f>
        <v>2866.65688392233</v>
      </c>
      <c r="CK29" s="273" t="n">
        <f aca="false">CK27/(1+SUP_CONTROL!$C$32)^CK4</f>
        <v>2824.60284448654</v>
      </c>
      <c r="CL29" s="273" t="n">
        <f aca="false">CL27/(1+SUP_CONTROL!$C$32)^CL4</f>
        <v>2782.51038933703</v>
      </c>
      <c r="CM29" s="273" t="n">
        <f aca="false">CM27/(1+SUP_CONTROL!$C$32)^CM4</f>
        <v>2740.55395934354</v>
      </c>
      <c r="CN29" s="273" t="n">
        <f aca="false">CN27/(1+SUP_CONTROL!$C$32)^CN4</f>
        <v>2699.23017461331</v>
      </c>
      <c r="CO29" s="273" t="n">
        <f aca="false">CO27/(1+SUP_CONTROL!$C$32)^CO4</f>
        <v>2658.52949572583</v>
      </c>
      <c r="CP29" s="273" t="n">
        <f aca="false">CP27/(1+SUP_CONTROL!$C$32)^CP4</f>
        <v>2618.44252710192</v>
      </c>
      <c r="CQ29" s="273" t="n">
        <f aca="false">CQ27/(1+SUP_CONTROL!$C$32)^CQ4</f>
        <v>2578.96001483482</v>
      </c>
      <c r="CR29" s="273" t="n">
        <f aca="false">CR27/(1+SUP_CONTROL!$C$32)^CR4</f>
        <v>2540.07284455396</v>
      </c>
      <c r="CS29" s="273" t="n">
        <f aca="false">CS27/(1+SUP_CONTROL!$C$32)^CS4</f>
        <v>2501.77203932092</v>
      </c>
      <c r="CT29" s="273" t="n">
        <f aca="false">CT27/(1+SUP_CONTROL!$C$32)^CT4</f>
        <v>2464.0487575572</v>
      </c>
      <c r="CU29" s="273" t="n">
        <f aca="false">CU27/(1+SUP_CONTROL!$C$32)^CU4</f>
        <v>2426.89429100312</v>
      </c>
      <c r="CV29" s="273" t="n">
        <f aca="false">CV27/(1+SUP_CONTROL!$C$32)^CV4</f>
        <v>2390.30006270759</v>
      </c>
      <c r="CW29" s="273" t="n">
        <f aca="false">CW27/(1+SUP_CONTROL!$C$32)^CW4</f>
        <v>2354.25762504815</v>
      </c>
      <c r="CX29" s="273" t="n">
        <f aca="false">CX27/(1+SUP_CONTROL!$C$32)^CX4</f>
        <v>2318.75865778086</v>
      </c>
      <c r="CY29" s="273" t="n">
        <f aca="false">CY27/(1+SUP_CONTROL!$C$32)^CY4</f>
        <v>2283.79496611962</v>
      </c>
      <c r="CZ29" s="273" t="n">
        <f aca="false">CZ27/(1+SUP_CONTROL!$C$32)^CZ4</f>
        <v>2249.35847884443</v>
      </c>
      <c r="DA29" s="273" t="n">
        <f aca="false">DA27/(1+SUP_CONTROL!$C$32)^DA4</f>
        <v>2215.44124643819</v>
      </c>
      <c r="DB29" s="273" t="n">
        <f aca="false">DB27/(1+SUP_CONTROL!$C$32)^DB4</f>
        <v>2182.0354392516</v>
      </c>
      <c r="DC29" s="273" t="n">
        <f aca="false">DC27/(1+SUP_CONTROL!$C$32)^DC4</f>
        <v>2149.13334569569</v>
      </c>
      <c r="DD29" s="273" t="n">
        <f aca="false">DD27/(1+SUP_CONTROL!$C$32)^DD4</f>
        <v>2116.72737046163</v>
      </c>
      <c r="DE29" s="273" t="n">
        <f aca="false">DE27/(1+SUP_CONTROL!$C$32)^DE4</f>
        <v>2084.81003276744</v>
      </c>
      <c r="DF29" s="273" t="n">
        <f aca="false">DF27/(1+SUP_CONTROL!$C$32)^DF4</f>
        <v>2053.373964631</v>
      </c>
      <c r="DG29" s="273" t="n">
        <f aca="false">DG27/(1+SUP_CONTROL!$C$32)^DG4</f>
        <v>2022.41190916927</v>
      </c>
      <c r="DH29" s="273" t="n">
        <f aca="false">DH27/(1+SUP_CONTROL!$C$32)^DH4</f>
        <v>1991.916718923</v>
      </c>
      <c r="DI29" s="273" t="n">
        <f aca="false">DI27/(1+SUP_CONTROL!$C$32)^DI4</f>
        <v>1961.88135420679</v>
      </c>
      <c r="DJ29" s="273" t="n">
        <f aca="false">DJ27/(1+SUP_CONTROL!$C$32)^DJ4</f>
        <v>1932.29888148405</v>
      </c>
      <c r="DK29" s="273" t="n">
        <f aca="false">DK27/(1+SUP_CONTROL!$C$32)^DK4</f>
        <v>1903.16247176635</v>
      </c>
      <c r="DL29" s="273" t="n">
        <f aca="false">DL27/(1+SUP_CONTROL!$C$32)^DL4</f>
        <v>1874.46539903702</v>
      </c>
      <c r="DM29" s="273" t="n">
        <f aca="false">DM27/(1+SUP_CONTROL!$C$32)^DM4</f>
        <v>1846.2010386985</v>
      </c>
      <c r="DN29" s="273" t="n">
        <f aca="false">DN27/(1+SUP_CONTROL!$C$32)^DN4</f>
        <v>1818.362866043</v>
      </c>
      <c r="DO29" s="273" t="n">
        <f aca="false">DO27/(1+SUP_CONTROL!$C$32)^DO4</f>
        <v>1790.94445474641</v>
      </c>
      <c r="DP29" s="273" t="n">
        <f aca="false">DP27/(1+SUP_CONTROL!$C$32)^DP4</f>
        <v>1763.93947538469</v>
      </c>
      <c r="DQ29" s="273" t="n">
        <f aca="false">DQ27/(1+SUP_CONTROL!$C$32)^DQ4</f>
        <v>1737.34169397286</v>
      </c>
      <c r="DR29" s="273" t="n">
        <f aca="false">DR27/(1+SUP_CONTROL!$C$32)^DR4</f>
        <v>1711.14497052583</v>
      </c>
      <c r="DS29" s="273" t="n">
        <f aca="false">DS27/(1+SUP_CONTROL!$C$32)^DS4</f>
        <v>1685.34325764106</v>
      </c>
    </row>
    <row r="30" customFormat="false" ht="15" hidden="false" customHeight="true" outlineLevel="0" collapsed="false">
      <c r="B30" s="297" t="s">
        <v>3433</v>
      </c>
      <c r="D30" s="273" t="n">
        <f aca="false">D29</f>
        <v>0</v>
      </c>
      <c r="E30" s="273" t="n">
        <f aca="false">D30+E29</f>
        <v>0</v>
      </c>
      <c r="F30" s="273" t="n">
        <f aca="false">E30+F29</f>
        <v>0</v>
      </c>
      <c r="G30" s="273" t="n">
        <f aca="false">F30+G29</f>
        <v>-152331.280191448</v>
      </c>
      <c r="H30" s="273" t="n">
        <f aca="false">G30+H29</f>
        <v>-302365.614172862</v>
      </c>
      <c r="I30" s="273" t="n">
        <f aca="false">H30+I29</f>
        <v>-468794.664566939</v>
      </c>
      <c r="J30" s="273" t="n">
        <f aca="false">I30+J29</f>
        <v>-511921.375525884</v>
      </c>
      <c r="K30" s="273" t="n">
        <f aca="false">J30+K29</f>
        <v>-497468.512734862</v>
      </c>
      <c r="L30" s="273" t="n">
        <f aca="false">K30+L29</f>
        <v>-480305.990011446</v>
      </c>
      <c r="M30" s="273" t="n">
        <f aca="false">L30+M29</f>
        <v>-471950.368115774</v>
      </c>
      <c r="N30" s="273" t="n">
        <f aca="false">M30+N29</f>
        <v>-463720.737507129</v>
      </c>
      <c r="O30" s="273" t="n">
        <f aca="false">N30+O29</f>
        <v>-455615.198410174</v>
      </c>
      <c r="P30" s="273" t="n">
        <f aca="false">O30+P29</f>
        <v>-447631.879695569</v>
      </c>
      <c r="Q30" s="273" t="n">
        <f aca="false">P30+Q29</f>
        <v>-439768.938448035</v>
      </c>
      <c r="R30" s="273" t="n">
        <f aca="false">Q30+R29</f>
        <v>-432024.559540918</v>
      </c>
      <c r="S30" s="273" t="n">
        <f aca="false">R30+S29</f>
        <v>-424396.955217179</v>
      </c>
      <c r="T30" s="273" t="n">
        <f aca="false">S30+T29</f>
        <v>-416884.364676696</v>
      </c>
      <c r="U30" s="273" t="n">
        <f aca="false">T30+U29</f>
        <v>-409485.053669791</v>
      </c>
      <c r="V30" s="273" t="n">
        <f aca="false">U30+V29</f>
        <v>-402141.320348971</v>
      </c>
      <c r="W30" s="273" t="n">
        <f aca="false">V30+W29</f>
        <v>-394848.413468518</v>
      </c>
      <c r="X30" s="273" t="n">
        <f aca="false">W30+X29</f>
        <v>-387648.571508647</v>
      </c>
      <c r="Y30" s="273" t="n">
        <f aca="false">X30+Y29</f>
        <v>-380505.321740361</v>
      </c>
      <c r="Z30" s="273" t="n">
        <f aca="false">Y30+Z29</f>
        <v>-373455.935916545</v>
      </c>
      <c r="AA30" s="273" t="n">
        <f aca="false">Z30+AA29</f>
        <v>-366507.528428025</v>
      </c>
      <c r="AB30" s="273" t="n">
        <f aca="false">AA30+AB29</f>
        <v>-359658.732174917</v>
      </c>
      <c r="AC30" s="273" t="n">
        <f aca="false">AB30+AC29</f>
        <v>-352913.206350424</v>
      </c>
      <c r="AD30" s="273" t="n">
        <f aca="false">AC30+AD29</f>
        <v>-346634.44481246</v>
      </c>
      <c r="AE30" s="273" t="n">
        <f aca="false">AD30+AE29</f>
        <v>-340450.358363554</v>
      </c>
      <c r="AF30" s="273" t="n">
        <f aca="false">AE30+AF29</f>
        <v>-334359.519433566</v>
      </c>
      <c r="AG30" s="273" t="n">
        <f aca="false">AF30+AG29</f>
        <v>-328368.986784684</v>
      </c>
      <c r="AH30" s="273" t="n">
        <f aca="false">AG30+AH29</f>
        <v>-322468.783129603</v>
      </c>
      <c r="AI30" s="273" t="n">
        <f aca="false">AH30+AI29</f>
        <v>-316586.492688422</v>
      </c>
      <c r="AJ30" s="273" t="n">
        <f aca="false">AI30+AJ29</f>
        <v>-310730.342460158</v>
      </c>
      <c r="AK30" s="273" t="n">
        <f aca="false">AJ30+AK29</f>
        <v>-304943.495833109</v>
      </c>
      <c r="AL30" s="273" t="n">
        <f aca="false">AK30+AL29</f>
        <v>-299189.088364766</v>
      </c>
      <c r="AM30" s="273" t="n">
        <f aca="false">AL30+AM29</f>
        <v>-293507.11056936</v>
      </c>
      <c r="AN30" s="273" t="n">
        <f aca="false">AM30+AN29</f>
        <v>-287870.783624288</v>
      </c>
      <c r="AO30" s="273" t="n">
        <f aca="false">AN30+AO29</f>
        <v>-282307.020677821</v>
      </c>
      <c r="AP30" s="273" t="n">
        <f aca="false">AO30+AP29</f>
        <v>-276831.302131076</v>
      </c>
      <c r="AQ30" s="273" t="n">
        <f aca="false">AP30+AQ29</f>
        <v>-271396.082324363</v>
      </c>
      <c r="AR30" s="273" t="n">
        <f aca="false">AQ30+AR29</f>
        <v>-266009.000529657</v>
      </c>
      <c r="AS30" s="273" t="n">
        <f aca="false">AR30+AS29</f>
        <v>-260669.523201238</v>
      </c>
      <c r="AT30" s="273" t="n">
        <f aca="false">AS30+AT29</f>
        <v>-255377.075847325</v>
      </c>
      <c r="AU30" s="273" t="n">
        <f aca="false">AT30+AU29</f>
        <v>-250153.902723138</v>
      </c>
      <c r="AV30" s="273" t="n">
        <f aca="false">AU30+AV29</f>
        <v>-245003.703731081</v>
      </c>
      <c r="AW30" s="273" t="n">
        <f aca="false">AV30+AW29</f>
        <v>-239905.530030545</v>
      </c>
      <c r="AX30" s="273" t="n">
        <f aca="false">AW30+AX29</f>
        <v>-234879.265927899</v>
      </c>
      <c r="AY30" s="273" t="n">
        <f aca="false">AX30+AY29</f>
        <v>-229909.999045127</v>
      </c>
      <c r="AZ30" s="273" t="n">
        <f aca="false">AY30+AZ29</f>
        <v>-224995.051830068</v>
      </c>
      <c r="BA30" s="273" t="n">
        <f aca="false">AZ30+BA29</f>
        <v>-220149.004847152</v>
      </c>
      <c r="BB30" s="273" t="n">
        <f aca="false">BA30+BB29</f>
        <v>-215656.351921365</v>
      </c>
      <c r="BC30" s="273" t="n">
        <f aca="false">BB30+BC29</f>
        <v>-211228.417847177</v>
      </c>
      <c r="BD30" s="273" t="n">
        <f aca="false">BC30+BD29</f>
        <v>-206867.250929263</v>
      </c>
      <c r="BE30" s="273" t="n">
        <f aca="false">BD30+BE29</f>
        <v>-202571.844410729</v>
      </c>
      <c r="BF30" s="273" t="n">
        <f aca="false">BE30+BF29</f>
        <v>-198352.724925164</v>
      </c>
      <c r="BG30" s="273" t="n">
        <f aca="false">BF30+BG29</f>
        <v>-194197.223959051</v>
      </c>
      <c r="BH30" s="273" t="n">
        <f aca="false">BG30+BH29</f>
        <v>-190104.382232609</v>
      </c>
      <c r="BI30" s="273" t="n">
        <f aca="false">BH30+BI29</f>
        <v>-186039.04842781</v>
      </c>
      <c r="BJ30" s="273" t="n">
        <f aca="false">BI30+BJ29</f>
        <v>-182012.304453752</v>
      </c>
      <c r="BK30" s="273" t="n">
        <f aca="false">BJ30+BK29</f>
        <v>-178028.630814716</v>
      </c>
      <c r="BL30" s="273" t="n">
        <f aca="false">BK30+BL29</f>
        <v>-174082.088754478</v>
      </c>
      <c r="BM30" s="273" t="n">
        <f aca="false">BL30+BM29</f>
        <v>-170176.087729883</v>
      </c>
      <c r="BN30" s="273" t="n">
        <f aca="false">BM30+BN29</f>
        <v>-166311.445707745</v>
      </c>
      <c r="BO30" s="273" t="n">
        <f aca="false">BN30+BO29</f>
        <v>-162499.445641243</v>
      </c>
      <c r="BP30" s="273" t="n">
        <f aca="false">BO30+BP29</f>
        <v>-158729.023686407</v>
      </c>
      <c r="BQ30" s="273" t="n">
        <f aca="false">BP30+BQ29</f>
        <v>-155009.503370556</v>
      </c>
      <c r="BR30" s="273" t="n">
        <f aca="false">BQ30+BR29</f>
        <v>-151333.665663515</v>
      </c>
      <c r="BS30" s="273" t="n">
        <f aca="false">BR30+BS29</f>
        <v>-147700.418902993</v>
      </c>
      <c r="BT30" s="273" t="n">
        <f aca="false">BS30+BT29</f>
        <v>-144108.116863799</v>
      </c>
      <c r="BU30" s="273" t="n">
        <f aca="false">BT30+BU29</f>
        <v>-140558.721499695</v>
      </c>
      <c r="BV30" s="273" t="n">
        <f aca="false">BU30+BV29</f>
        <v>-137052.461302751</v>
      </c>
      <c r="BW30" s="273" t="n">
        <f aca="false">BV30+BW29</f>
        <v>-133594.134396983</v>
      </c>
      <c r="BX30" s="273" t="n">
        <f aca="false">BW30+BX29</f>
        <v>-130177.321512544</v>
      </c>
      <c r="BY30" s="273" t="n">
        <f aca="false">BX30+BY29</f>
        <v>-126808.691985367</v>
      </c>
      <c r="BZ30" s="273" t="n">
        <f aca="false">BY30+BZ29</f>
        <v>-123478.658550518</v>
      </c>
      <c r="CA30" s="273" t="n">
        <f aca="false">BZ30+CA29</f>
        <v>-120190.828212316</v>
      </c>
      <c r="CB30" s="273" t="n">
        <f aca="false">CA30+CB29</f>
        <v>-116949.834775302</v>
      </c>
      <c r="CC30" s="273" t="n">
        <f aca="false">CB30+CC29</f>
        <v>-113750.404320887</v>
      </c>
      <c r="CD30" s="273" t="n">
        <f aca="false">CC30+CD29</f>
        <v>-110591.754309269</v>
      </c>
      <c r="CE30" s="273" t="n">
        <f aca="false">CD30+CE29</f>
        <v>-107474.584441449</v>
      </c>
      <c r="CF30" s="273" t="n">
        <f aca="false">CE30+CF29</f>
        <v>-104398.684569974</v>
      </c>
      <c r="CG30" s="273" t="n">
        <f aca="false">CF30+CG29</f>
        <v>-101362.896156629</v>
      </c>
      <c r="CH30" s="273" t="n">
        <f aca="false">CG30+CH29</f>
        <v>-98416.7424170389</v>
      </c>
      <c r="CI30" s="273" t="n">
        <f aca="false">CH30+CI29</f>
        <v>-95508.7496583255</v>
      </c>
      <c r="CJ30" s="273" t="n">
        <f aca="false">CI30+CJ29</f>
        <v>-92642.0927744032</v>
      </c>
      <c r="CK30" s="273" t="n">
        <f aca="false">CJ30+CK29</f>
        <v>-89817.4899299167</v>
      </c>
      <c r="CL30" s="273" t="n">
        <f aca="false">CK30+CL29</f>
        <v>-87034.9795405797</v>
      </c>
      <c r="CM30" s="273" t="n">
        <f aca="false">CL30+CM29</f>
        <v>-84294.4255812361</v>
      </c>
      <c r="CN30" s="273" t="n">
        <f aca="false">CM30+CN29</f>
        <v>-81595.1954066228</v>
      </c>
      <c r="CO30" s="273" t="n">
        <f aca="false">CN30+CO29</f>
        <v>-78936.665910897</v>
      </c>
      <c r="CP30" s="273" t="n">
        <f aca="false">CO30+CP29</f>
        <v>-76318.223383795</v>
      </c>
      <c r="CQ30" s="273" t="n">
        <f aca="false">CP30+CQ29</f>
        <v>-73739.2633689602</v>
      </c>
      <c r="CR30" s="273" t="n">
        <f aca="false">CQ30+CR29</f>
        <v>-71199.1905244063</v>
      </c>
      <c r="CS30" s="273" t="n">
        <f aca="false">CR30+CS29</f>
        <v>-68697.4184850853</v>
      </c>
      <c r="CT30" s="273" t="n">
        <f aca="false">CS30+CT29</f>
        <v>-66233.3697275281</v>
      </c>
      <c r="CU30" s="273" t="n">
        <f aca="false">CT30+CU29</f>
        <v>-63806.475436525</v>
      </c>
      <c r="CV30" s="273" t="n">
        <f aca="false">CU30+CV29</f>
        <v>-61416.1753738174</v>
      </c>
      <c r="CW30" s="273" t="n">
        <f aca="false">CV30+CW29</f>
        <v>-59061.9177487693</v>
      </c>
      <c r="CX30" s="273" t="n">
        <f aca="false">CW30+CX29</f>
        <v>-56743.1590909884</v>
      </c>
      <c r="CY30" s="273" t="n">
        <f aca="false">CX30+CY29</f>
        <v>-54459.3641248688</v>
      </c>
      <c r="CZ30" s="273" t="n">
        <f aca="false">CY30+CZ29</f>
        <v>-52210.0056460244</v>
      </c>
      <c r="DA30" s="273" t="n">
        <f aca="false">CZ30+DA29</f>
        <v>-49994.5643995862</v>
      </c>
      <c r="DB30" s="273" t="n">
        <f aca="false">DA30+DB29</f>
        <v>-47812.5289603346</v>
      </c>
      <c r="DC30" s="273" t="n">
        <f aca="false">DB30+DC29</f>
        <v>-45663.3956146389</v>
      </c>
      <c r="DD30" s="273" t="n">
        <f aca="false">DC30+DD29</f>
        <v>-43546.6682441772</v>
      </c>
      <c r="DE30" s="273" t="n">
        <f aca="false">DD30+DE29</f>
        <v>-41461.8582114098</v>
      </c>
      <c r="DF30" s="273" t="n">
        <f aca="false">DE30+DF29</f>
        <v>-39408.4842467788</v>
      </c>
      <c r="DG30" s="273" t="n">
        <f aca="false">DF30+DG29</f>
        <v>-37386.0723376095</v>
      </c>
      <c r="DH30" s="273" t="n">
        <f aca="false">DG30+DH29</f>
        <v>-35394.1556186866</v>
      </c>
      <c r="DI30" s="273" t="n">
        <f aca="false">DH30+DI29</f>
        <v>-33432.2742644798</v>
      </c>
      <c r="DJ30" s="273" t="n">
        <f aca="false">DI30+DJ29</f>
        <v>-31499.9753829957</v>
      </c>
      <c r="DK30" s="273" t="n">
        <f aca="false">DJ30+DK29</f>
        <v>-29596.8129112294</v>
      </c>
      <c r="DL30" s="273" t="n">
        <f aca="false">DK30+DL29</f>
        <v>-27722.3475121923</v>
      </c>
      <c r="DM30" s="273" t="n">
        <f aca="false">DL30+DM29</f>
        <v>-25876.1464734938</v>
      </c>
      <c r="DN30" s="273" t="n">
        <f aca="false">DM30+DN29</f>
        <v>-24057.7836074508</v>
      </c>
      <c r="DO30" s="273" t="n">
        <f aca="false">DN30+DO29</f>
        <v>-22266.8391527044</v>
      </c>
      <c r="DP30" s="273" t="n">
        <f aca="false">DO30+DP29</f>
        <v>-20502.8996773197</v>
      </c>
      <c r="DQ30" s="273" t="n">
        <f aca="false">DP30+DQ29</f>
        <v>-18765.5579833469</v>
      </c>
      <c r="DR30" s="273" t="n">
        <f aca="false">DQ30+DR29</f>
        <v>-17054.413012821</v>
      </c>
      <c r="DS30" s="273" t="n">
        <f aca="false">DR30+DS29</f>
        <v>-15369.06975518</v>
      </c>
    </row>
    <row r="31" customFormat="false" ht="15" hidden="false" customHeight="true" outlineLevel="0" collapsed="false">
      <c r="B31" s="295" t="s">
        <v>3446</v>
      </c>
      <c r="D31" s="1" t="n">
        <f aca="false">IF(D4=SUP_CONTROL!$C$17,3*SUP_OPEX!$F$20,0)</f>
        <v>0</v>
      </c>
      <c r="E31" s="1" t="n">
        <f aca="false">IF(E4=SUP_CONTROL!$C$17,3*SUP_OPEX!$F$20,0)</f>
        <v>0</v>
      </c>
      <c r="F31" s="1" t="n">
        <f aca="false">IF(F4=SUP_CONTROL!$C$17,3*SUP_OPEX!$F$20,0)</f>
        <v>0</v>
      </c>
      <c r="G31" s="1" t="n">
        <f aca="false">IF(G4=SUP_CONTROL!$C$17,3*SUP_OPEX!$F$20,0)</f>
        <v>0</v>
      </c>
      <c r="H31" s="1" t="n">
        <f aca="false">IF(H4=SUP_CONTROL!$C$17,3*SUP_OPEX!$F$20,0)</f>
        <v>0</v>
      </c>
      <c r="I31" s="1" t="n">
        <f aca="false">IF(I4=SUP_CONTROL!$C$17,3*SUP_OPEX!$F$20,0)</f>
        <v>0</v>
      </c>
      <c r="J31" s="1" t="n">
        <f aca="false">IF(J4=SUP_CONTROL!$C$17,3*SUP_OPEX!$F$20,0)</f>
        <v>30000</v>
      </c>
      <c r="K31" s="1" t="n">
        <f aca="false">IF(K4=SUP_CONTROL!$C$17,3*SUP_OPEX!$F$20,0)</f>
        <v>0</v>
      </c>
      <c r="L31" s="1" t="n">
        <f aca="false">IF(L4=SUP_CONTROL!$C$17,3*SUP_OPEX!$F$20,0)</f>
        <v>0</v>
      </c>
      <c r="M31" s="1" t="n">
        <f aca="false">IF(M4=SUP_CONTROL!$C$17,3*SUP_OPEX!$F$20,0)</f>
        <v>0</v>
      </c>
      <c r="N31" s="1" t="n">
        <f aca="false">IF(N4=SUP_CONTROL!$C$17,3*SUP_OPEX!$F$20,0)</f>
        <v>0</v>
      </c>
      <c r="O31" s="1" t="n">
        <f aca="false">IF(O4=SUP_CONTROL!$C$17,3*SUP_OPEX!$F$20,0)</f>
        <v>0</v>
      </c>
      <c r="P31" s="1" t="n">
        <f aca="false">IF(P4=SUP_CONTROL!$C$17,3*SUP_OPEX!$F$20,0)</f>
        <v>0</v>
      </c>
      <c r="Q31" s="1" t="n">
        <f aca="false">IF(Q4=SUP_CONTROL!$C$17,3*SUP_OPEX!$F$20,0)</f>
        <v>0</v>
      </c>
      <c r="R31" s="1" t="n">
        <f aca="false">IF(R4=SUP_CONTROL!$C$17,3*SUP_OPEX!$F$20,0)</f>
        <v>0</v>
      </c>
      <c r="S31" s="1" t="n">
        <f aca="false">IF(S4=SUP_CONTROL!$C$17,3*SUP_OPEX!$F$20,0)</f>
        <v>0</v>
      </c>
      <c r="T31" s="1" t="n">
        <f aca="false">IF(T4=SUP_CONTROL!$C$17,3*SUP_OPEX!$F$20,0)</f>
        <v>0</v>
      </c>
      <c r="U31" s="1" t="n">
        <f aca="false">IF(U4=SUP_CONTROL!$C$17,3*SUP_OPEX!$F$20,0)</f>
        <v>0</v>
      </c>
      <c r="V31" s="1" t="n">
        <f aca="false">IF(V4=SUP_CONTROL!$C$17,3*SUP_OPEX!$F$20,0)</f>
        <v>0</v>
      </c>
      <c r="W31" s="1" t="n">
        <f aca="false">IF(W4=SUP_CONTROL!$C$17,3*SUP_OPEX!$F$20,0)</f>
        <v>0</v>
      </c>
      <c r="X31" s="1" t="n">
        <f aca="false">IF(X4=SUP_CONTROL!$C$17,3*SUP_OPEX!$F$20,0)</f>
        <v>0</v>
      </c>
      <c r="Y31" s="1" t="n">
        <f aca="false">IF(Y4=SUP_CONTROL!$C$17,3*SUP_OPEX!$F$20,0)</f>
        <v>0</v>
      </c>
      <c r="Z31" s="1" t="n">
        <f aca="false">IF(Z4=SUP_CONTROL!$C$17,3*SUP_OPEX!$F$20,0)</f>
        <v>0</v>
      </c>
      <c r="AA31" s="1" t="n">
        <f aca="false">IF(AA4=SUP_CONTROL!$C$17,3*SUP_OPEX!$F$20,0)</f>
        <v>0</v>
      </c>
      <c r="AB31" s="1" t="n">
        <f aca="false">IF(AB4=SUP_CONTROL!$C$17,3*SUP_OPEX!$F$20,0)</f>
        <v>0</v>
      </c>
      <c r="AC31" s="1" t="n">
        <f aca="false">IF(AC4=SUP_CONTROL!$C$17,3*SUP_OPEX!$F$20,0)</f>
        <v>0</v>
      </c>
      <c r="AD31" s="1" t="n">
        <f aca="false">IF(AD4=SUP_CONTROL!$C$17,3*SUP_OPEX!$F$20,0)</f>
        <v>0</v>
      </c>
      <c r="AE31" s="1" t="n">
        <f aca="false">IF(AE4=SUP_CONTROL!$C$17,3*SUP_OPEX!$F$20,0)</f>
        <v>0</v>
      </c>
      <c r="AF31" s="1" t="n">
        <f aca="false">IF(AF4=SUP_CONTROL!$C$17,3*SUP_OPEX!$F$20,0)</f>
        <v>0</v>
      </c>
      <c r="AG31" s="1" t="n">
        <f aca="false">IF(AG4=SUP_CONTROL!$C$17,3*SUP_OPEX!$F$20,0)</f>
        <v>0</v>
      </c>
      <c r="AH31" s="1" t="n">
        <f aca="false">IF(AH4=SUP_CONTROL!$C$17,3*SUP_OPEX!$F$20,0)</f>
        <v>0</v>
      </c>
      <c r="AI31" s="1" t="n">
        <f aca="false">IF(AI4=SUP_CONTROL!$C$17,3*SUP_OPEX!$F$20,0)</f>
        <v>0</v>
      </c>
      <c r="AJ31" s="1" t="n">
        <f aca="false">IF(AJ4=SUP_CONTROL!$C$17,3*SUP_OPEX!$F$20,0)</f>
        <v>0</v>
      </c>
      <c r="AK31" s="1" t="n">
        <f aca="false">IF(AK4=SUP_CONTROL!$C$17,3*SUP_OPEX!$F$20,0)</f>
        <v>0</v>
      </c>
      <c r="AL31" s="1" t="n">
        <f aca="false">IF(AL4=SUP_CONTROL!$C$17,3*SUP_OPEX!$F$20,0)</f>
        <v>0</v>
      </c>
      <c r="AM31" s="1" t="n">
        <f aca="false">IF(AM4=SUP_CONTROL!$C$17,3*SUP_OPEX!$F$20,0)</f>
        <v>0</v>
      </c>
      <c r="AN31" s="1" t="n">
        <f aca="false">IF(AN4=SUP_CONTROL!$C$17,3*SUP_OPEX!$F$20,0)</f>
        <v>0</v>
      </c>
      <c r="AO31" s="1" t="n">
        <f aca="false">IF(AO4=SUP_CONTROL!$C$17,3*SUP_OPEX!$F$20,0)</f>
        <v>0</v>
      </c>
      <c r="AP31" s="1" t="n">
        <f aca="false">IF(AP4=SUP_CONTROL!$C$17,3*SUP_OPEX!$F$20,0)</f>
        <v>0</v>
      </c>
      <c r="AQ31" s="1" t="n">
        <f aca="false">IF(AQ4=SUP_CONTROL!$C$17,3*SUP_OPEX!$F$20,0)</f>
        <v>0</v>
      </c>
      <c r="AR31" s="1" t="n">
        <f aca="false">IF(AR4=SUP_CONTROL!$C$17,3*SUP_OPEX!$F$20,0)</f>
        <v>0</v>
      </c>
      <c r="AS31" s="1" t="n">
        <f aca="false">IF(AS4=SUP_CONTROL!$C$17,3*SUP_OPEX!$F$20,0)</f>
        <v>0</v>
      </c>
      <c r="AT31" s="1" t="n">
        <f aca="false">IF(AT4=SUP_CONTROL!$C$17,3*SUP_OPEX!$F$20,0)</f>
        <v>0</v>
      </c>
      <c r="AU31" s="1" t="n">
        <f aca="false">IF(AU4=SUP_CONTROL!$C$17,3*SUP_OPEX!$F$20,0)</f>
        <v>0</v>
      </c>
      <c r="AV31" s="1" t="n">
        <f aca="false">IF(AV4=SUP_CONTROL!$C$17,3*SUP_OPEX!$F$20,0)</f>
        <v>0</v>
      </c>
      <c r="AW31" s="1" t="n">
        <f aca="false">IF(AW4=SUP_CONTROL!$C$17,3*SUP_OPEX!$F$20,0)</f>
        <v>0</v>
      </c>
      <c r="AX31" s="1" t="n">
        <f aca="false">IF(AX4=SUP_CONTROL!$C$17,3*SUP_OPEX!$F$20,0)</f>
        <v>0</v>
      </c>
      <c r="AY31" s="1" t="n">
        <f aca="false">IF(AY4=SUP_CONTROL!$C$17,3*SUP_OPEX!$F$20,0)</f>
        <v>0</v>
      </c>
      <c r="AZ31" s="1" t="n">
        <f aca="false">IF(AZ4=SUP_CONTROL!$C$17,3*SUP_OPEX!$F$20,0)</f>
        <v>0</v>
      </c>
      <c r="BA31" s="1" t="n">
        <f aca="false">IF(BA4=SUP_CONTROL!$C$17,3*SUP_OPEX!$F$20,0)</f>
        <v>0</v>
      </c>
      <c r="BB31" s="1" t="n">
        <f aca="false">IF(BB4=SUP_CONTROL!$C$17,3*SUP_OPEX!$F$20,0)</f>
        <v>0</v>
      </c>
      <c r="BC31" s="1" t="n">
        <f aca="false">IF(BC4=SUP_CONTROL!$C$17,3*SUP_OPEX!$F$20,0)</f>
        <v>0</v>
      </c>
      <c r="BD31" s="1" t="n">
        <f aca="false">IF(BD4=SUP_CONTROL!$C$17,3*SUP_OPEX!$F$20,0)</f>
        <v>0</v>
      </c>
      <c r="BE31" s="1" t="n">
        <f aca="false">IF(BE4=SUP_CONTROL!$C$17,3*SUP_OPEX!$F$20,0)</f>
        <v>0</v>
      </c>
      <c r="BF31" s="1" t="n">
        <f aca="false">IF(BF4=SUP_CONTROL!$C$17,3*SUP_OPEX!$F$20,0)</f>
        <v>0</v>
      </c>
      <c r="BG31" s="1" t="n">
        <f aca="false">IF(BG4=SUP_CONTROL!$C$17,3*SUP_OPEX!$F$20,0)</f>
        <v>0</v>
      </c>
      <c r="BH31" s="1" t="n">
        <f aca="false">IF(BH4=SUP_CONTROL!$C$17,3*SUP_OPEX!$F$20,0)</f>
        <v>0</v>
      </c>
      <c r="BI31" s="1" t="n">
        <f aca="false">IF(BI4=SUP_CONTROL!$C$17,3*SUP_OPEX!$F$20,0)</f>
        <v>0</v>
      </c>
      <c r="BJ31" s="1" t="n">
        <f aca="false">IF(BJ4=SUP_CONTROL!$C$17,3*SUP_OPEX!$F$20,0)</f>
        <v>0</v>
      </c>
      <c r="BK31" s="1" t="n">
        <f aca="false">IF(BK4=SUP_CONTROL!$C$17,3*SUP_OPEX!$F$20,0)</f>
        <v>0</v>
      </c>
      <c r="BL31" s="1" t="n">
        <f aca="false">IF(BL4=SUP_CONTROL!$C$17,3*SUP_OPEX!$F$20,0)</f>
        <v>0</v>
      </c>
      <c r="BM31" s="1" t="n">
        <f aca="false">IF(BM4=SUP_CONTROL!$C$17,3*SUP_OPEX!$F$20,0)</f>
        <v>0</v>
      </c>
      <c r="BN31" s="1" t="n">
        <f aca="false">IF(BN4=SUP_CONTROL!$C$17,3*SUP_OPEX!$F$20,0)</f>
        <v>0</v>
      </c>
      <c r="BO31" s="1" t="n">
        <f aca="false">IF(BO4=SUP_CONTROL!$C$17,3*SUP_OPEX!$F$20,0)</f>
        <v>0</v>
      </c>
      <c r="BP31" s="1" t="n">
        <f aca="false">IF(BP4=SUP_CONTROL!$C$17,3*SUP_OPEX!$F$20,0)</f>
        <v>0</v>
      </c>
      <c r="BQ31" s="1" t="n">
        <f aca="false">IF(BQ4=SUP_CONTROL!$C$17,3*SUP_OPEX!$F$20,0)</f>
        <v>0</v>
      </c>
      <c r="BR31" s="1" t="n">
        <f aca="false">IF(BR4=SUP_CONTROL!$C$17,3*SUP_OPEX!$F$20,0)</f>
        <v>0</v>
      </c>
      <c r="BS31" s="1" t="n">
        <f aca="false">IF(BS4=SUP_CONTROL!$C$17,3*SUP_OPEX!$F$20,0)</f>
        <v>0</v>
      </c>
      <c r="BT31" s="1" t="n">
        <f aca="false">IF(BT4=SUP_CONTROL!$C$17,3*SUP_OPEX!$F$20,0)</f>
        <v>0</v>
      </c>
      <c r="BU31" s="1" t="n">
        <f aca="false">IF(BU4=SUP_CONTROL!$C$17,3*SUP_OPEX!$F$20,0)</f>
        <v>0</v>
      </c>
      <c r="BV31" s="1" t="n">
        <f aca="false">IF(BV4=SUP_CONTROL!$C$17,3*SUP_OPEX!$F$20,0)</f>
        <v>0</v>
      </c>
      <c r="BW31" s="1" t="n">
        <f aca="false">IF(BW4=SUP_CONTROL!$C$17,3*SUP_OPEX!$F$20,0)</f>
        <v>0</v>
      </c>
      <c r="BX31" s="1" t="n">
        <f aca="false">IF(BX4=SUP_CONTROL!$C$17,3*SUP_OPEX!$F$20,0)</f>
        <v>0</v>
      </c>
      <c r="BY31" s="1" t="n">
        <f aca="false">IF(BY4=SUP_CONTROL!$C$17,3*SUP_OPEX!$F$20,0)</f>
        <v>0</v>
      </c>
      <c r="BZ31" s="1" t="n">
        <f aca="false">IF(BZ4=SUP_CONTROL!$C$17,3*SUP_OPEX!$F$20,0)</f>
        <v>0</v>
      </c>
      <c r="CA31" s="1" t="n">
        <f aca="false">IF(CA4=SUP_CONTROL!$C$17,3*SUP_OPEX!$F$20,0)</f>
        <v>0</v>
      </c>
      <c r="CB31" s="1" t="n">
        <f aca="false">IF(CB4=SUP_CONTROL!$C$17,3*SUP_OPEX!$F$20,0)</f>
        <v>0</v>
      </c>
      <c r="CC31" s="1" t="n">
        <f aca="false">IF(CC4=SUP_CONTROL!$C$17,3*SUP_OPEX!$F$20,0)</f>
        <v>0</v>
      </c>
      <c r="CD31" s="1" t="n">
        <f aca="false">IF(CD4=SUP_CONTROL!$C$17,3*SUP_OPEX!$F$20,0)</f>
        <v>0</v>
      </c>
      <c r="CE31" s="1" t="n">
        <f aca="false">IF(CE4=SUP_CONTROL!$C$17,3*SUP_OPEX!$F$20,0)</f>
        <v>0</v>
      </c>
      <c r="CF31" s="1" t="n">
        <f aca="false">IF(CF4=SUP_CONTROL!$C$17,3*SUP_OPEX!$F$20,0)</f>
        <v>0</v>
      </c>
      <c r="CG31" s="1" t="n">
        <f aca="false">IF(CG4=SUP_CONTROL!$C$17,3*SUP_OPEX!$F$20,0)</f>
        <v>0</v>
      </c>
      <c r="CH31" s="1" t="n">
        <f aca="false">IF(CH4=SUP_CONTROL!$C$17,3*SUP_OPEX!$F$20,0)</f>
        <v>0</v>
      </c>
      <c r="CI31" s="1" t="n">
        <f aca="false">IF(CI4=SUP_CONTROL!$C$17,3*SUP_OPEX!$F$20,0)</f>
        <v>0</v>
      </c>
      <c r="CJ31" s="1" t="n">
        <f aca="false">IF(CJ4=SUP_CONTROL!$C$17,3*SUP_OPEX!$F$20,0)</f>
        <v>0</v>
      </c>
      <c r="CK31" s="1" t="n">
        <f aca="false">IF(CK4=SUP_CONTROL!$C$17,3*SUP_OPEX!$F$20,0)</f>
        <v>0</v>
      </c>
      <c r="CL31" s="1" t="n">
        <f aca="false">IF(CL4=SUP_CONTROL!$C$17,3*SUP_OPEX!$F$20,0)</f>
        <v>0</v>
      </c>
      <c r="CM31" s="1" t="n">
        <f aca="false">IF(CM4=SUP_CONTROL!$C$17,3*SUP_OPEX!$F$20,0)</f>
        <v>0</v>
      </c>
      <c r="CN31" s="1" t="n">
        <f aca="false">IF(CN4=SUP_CONTROL!$C$17,3*SUP_OPEX!$F$20,0)</f>
        <v>0</v>
      </c>
      <c r="CO31" s="1" t="n">
        <f aca="false">IF(CO4=SUP_CONTROL!$C$17,3*SUP_OPEX!$F$20,0)</f>
        <v>0</v>
      </c>
      <c r="CP31" s="1" t="n">
        <f aca="false">IF(CP4=SUP_CONTROL!$C$17,3*SUP_OPEX!$F$20,0)</f>
        <v>0</v>
      </c>
      <c r="CQ31" s="1" t="n">
        <f aca="false">IF(CQ4=SUP_CONTROL!$C$17,3*SUP_OPEX!$F$20,0)</f>
        <v>0</v>
      </c>
      <c r="CR31" s="1" t="n">
        <f aca="false">IF(CR4=SUP_CONTROL!$C$17,3*SUP_OPEX!$F$20,0)</f>
        <v>0</v>
      </c>
      <c r="CS31" s="1" t="n">
        <f aca="false">IF(CS4=SUP_CONTROL!$C$17,3*SUP_OPEX!$F$20,0)</f>
        <v>0</v>
      </c>
      <c r="CT31" s="1" t="n">
        <f aca="false">IF(CT4=SUP_CONTROL!$C$17,3*SUP_OPEX!$F$20,0)</f>
        <v>0</v>
      </c>
      <c r="CU31" s="1" t="n">
        <f aca="false">IF(CU4=SUP_CONTROL!$C$17,3*SUP_OPEX!$F$20,0)</f>
        <v>0</v>
      </c>
      <c r="CV31" s="1" t="n">
        <f aca="false">IF(CV4=SUP_CONTROL!$C$17,3*SUP_OPEX!$F$20,0)</f>
        <v>0</v>
      </c>
      <c r="CW31" s="1" t="n">
        <f aca="false">IF(CW4=SUP_CONTROL!$C$17,3*SUP_OPEX!$F$20,0)</f>
        <v>0</v>
      </c>
      <c r="CX31" s="1" t="n">
        <f aca="false">IF(CX4=SUP_CONTROL!$C$17,3*SUP_OPEX!$F$20,0)</f>
        <v>0</v>
      </c>
      <c r="CY31" s="1" t="n">
        <f aca="false">IF(CY4=SUP_CONTROL!$C$17,3*SUP_OPEX!$F$20,0)</f>
        <v>0</v>
      </c>
      <c r="CZ31" s="1" t="n">
        <f aca="false">IF(CZ4=SUP_CONTROL!$C$17,3*SUP_OPEX!$F$20,0)</f>
        <v>0</v>
      </c>
      <c r="DA31" s="1" t="n">
        <f aca="false">IF(DA4=SUP_CONTROL!$C$17,3*SUP_OPEX!$F$20,0)</f>
        <v>0</v>
      </c>
      <c r="DB31" s="1" t="n">
        <f aca="false">IF(DB4=SUP_CONTROL!$C$17,3*SUP_OPEX!$F$20,0)</f>
        <v>0</v>
      </c>
      <c r="DC31" s="1" t="n">
        <f aca="false">IF(DC4=SUP_CONTROL!$C$17,3*SUP_OPEX!$F$20,0)</f>
        <v>0</v>
      </c>
      <c r="DD31" s="1" t="n">
        <f aca="false">IF(DD4=SUP_CONTROL!$C$17,3*SUP_OPEX!$F$20,0)</f>
        <v>0</v>
      </c>
      <c r="DE31" s="1" t="n">
        <f aca="false">IF(DE4=SUP_CONTROL!$C$17,3*SUP_OPEX!$F$20,0)</f>
        <v>0</v>
      </c>
      <c r="DF31" s="1" t="n">
        <f aca="false">IF(DF4=SUP_CONTROL!$C$17,3*SUP_OPEX!$F$20,0)</f>
        <v>0</v>
      </c>
      <c r="DG31" s="1" t="n">
        <f aca="false">IF(DG4=SUP_CONTROL!$C$17,3*SUP_OPEX!$F$20,0)</f>
        <v>0</v>
      </c>
      <c r="DH31" s="1" t="n">
        <f aca="false">IF(DH4=SUP_CONTROL!$C$17,3*SUP_OPEX!$F$20,0)</f>
        <v>0</v>
      </c>
      <c r="DI31" s="1" t="n">
        <f aca="false">IF(DI4=SUP_CONTROL!$C$17,3*SUP_OPEX!$F$20,0)</f>
        <v>0</v>
      </c>
      <c r="DJ31" s="1" t="n">
        <f aca="false">IF(DJ4=SUP_CONTROL!$C$17,3*SUP_OPEX!$F$20,0)</f>
        <v>0</v>
      </c>
      <c r="DK31" s="1" t="n">
        <f aca="false">IF(DK4=SUP_CONTROL!$C$17,3*SUP_OPEX!$F$20,0)</f>
        <v>0</v>
      </c>
      <c r="DL31" s="1" t="n">
        <f aca="false">IF(DL4=SUP_CONTROL!$C$17,3*SUP_OPEX!$F$20,0)</f>
        <v>0</v>
      </c>
      <c r="DM31" s="1" t="n">
        <f aca="false">IF(DM4=SUP_CONTROL!$C$17,3*SUP_OPEX!$F$20,0)</f>
        <v>0</v>
      </c>
      <c r="DN31" s="1" t="n">
        <f aca="false">IF(DN4=SUP_CONTROL!$C$17,3*SUP_OPEX!$F$20,0)</f>
        <v>0</v>
      </c>
      <c r="DO31" s="1" t="n">
        <f aca="false">IF(DO4=SUP_CONTROL!$C$17,3*SUP_OPEX!$F$20,0)</f>
        <v>0</v>
      </c>
      <c r="DP31" s="1" t="n">
        <f aca="false">IF(DP4=SUP_CONTROL!$C$17,3*SUP_OPEX!$F$20,0)</f>
        <v>0</v>
      </c>
      <c r="DQ31" s="1" t="n">
        <f aca="false">IF(DQ4=SUP_CONTROL!$C$17,3*SUP_OPEX!$F$20,0)</f>
        <v>0</v>
      </c>
      <c r="DR31" s="1" t="n">
        <f aca="false">IF(DR4=SUP_CONTROL!$C$17,3*SUP_OPEX!$F$20,0)</f>
        <v>0</v>
      </c>
      <c r="DS31" s="1" t="n">
        <f aca="false">IF(DS4=SUP_CONTROL!$C$17,3*SUP_OPEX!$F$20,0)</f>
        <v>0</v>
      </c>
    </row>
    <row r="32" customFormat="false" ht="15" hidden="false" customHeight="true" outlineLevel="0" collapsed="false">
      <c r="A32" s="186" t="s">
        <v>3466</v>
      </c>
      <c r="B32" s="568" t="s">
        <v>3467</v>
      </c>
      <c r="C32" s="25"/>
      <c r="D32" s="1" t="n">
        <f aca="false">IF(D4=SUP_CONTROL!$C$17,2*SUP_OPEX!$F$20,0)-IF(D4=SUP_CONTROL!$C$17+1,1*SUP_OPEX!$F$20,0)-IF(D4=SUP_CONTROL!$C$17+2,1*SUP_OPEX!$F$20,0)</f>
        <v>0</v>
      </c>
      <c r="E32" s="1" t="n">
        <f aca="false">IF(E4=SUP_CONTROL!$C$17,2*SUP_OPEX!$F$20,0)-IF(E4=SUP_CONTROL!$C$17+1,1*SUP_OPEX!$F$20,0)-IF(E4=SUP_CONTROL!$C$17+2,1*SUP_OPEX!$F$20,0)</f>
        <v>0</v>
      </c>
      <c r="F32" s="1" t="n">
        <f aca="false">IF(F4=SUP_CONTROL!$C$17,2*SUP_OPEX!$F$20,0)-IF(F4=SUP_CONTROL!$C$17+1,1*SUP_OPEX!$F$20,0)-IF(F4=SUP_CONTROL!$C$17+2,1*SUP_OPEX!$F$20,0)</f>
        <v>0</v>
      </c>
      <c r="G32" s="1" t="n">
        <f aca="false">IF(G4=SUP_CONTROL!$C$17,2*SUP_OPEX!$F$20,0)-IF(G4=SUP_CONTROL!$C$17+1,1*SUP_OPEX!$F$20,0)-IF(G4=SUP_CONTROL!$C$17+2,1*SUP_OPEX!$F$20,0)</f>
        <v>0</v>
      </c>
      <c r="H32" s="1" t="n">
        <f aca="false">IF(H4=SUP_CONTROL!$C$17,2*SUP_OPEX!$F$20,0)-IF(H4=SUP_CONTROL!$C$17+1,1*SUP_OPEX!$F$20,0)-IF(H4=SUP_CONTROL!$C$17+2,1*SUP_OPEX!$F$20,0)</f>
        <v>0</v>
      </c>
      <c r="I32" s="1" t="n">
        <f aca="false">IF(I4=SUP_CONTROL!$C$17,2*SUP_OPEX!$F$20,0)-IF(I4=SUP_CONTROL!$C$17+1,1*SUP_OPEX!$F$20,0)-IF(I4=SUP_CONTROL!$C$17+2,1*SUP_OPEX!$F$20,0)</f>
        <v>0</v>
      </c>
      <c r="J32" s="1" t="n">
        <f aca="false">IF(J4=SUP_CONTROL!$C$17,2*SUP_OPEX!$F$20,0)-IF(J4=SUP_CONTROL!$C$17+1,1*SUP_OPEX!$F$20,0)-IF(J4=SUP_CONTROL!$C$17+2,1*SUP_OPEX!$F$20,0)</f>
        <v>20000</v>
      </c>
      <c r="K32" s="1" t="n">
        <f aca="false">IF(K4=SUP_CONTROL!$C$17,2*SUP_OPEX!$F$20,0)-IF(K4=SUP_CONTROL!$C$17+1,1*SUP_OPEX!$F$20,0)-IF(K4=SUP_CONTROL!$C$17+2,1*SUP_OPEX!$F$20,0)</f>
        <v>-10000</v>
      </c>
      <c r="L32" s="1" t="n">
        <f aca="false">IF(L4=SUP_CONTROL!$C$17,2*SUP_OPEX!$F$20,0)-IF(L4=SUP_CONTROL!$C$17+1,1*SUP_OPEX!$F$20,0)-IF(L4=SUP_CONTROL!$C$17+2,1*SUP_OPEX!$F$20,0)</f>
        <v>-10000</v>
      </c>
      <c r="M32" s="1" t="n">
        <f aca="false">IF(M4=SUP_CONTROL!$C$17,2*SUP_OPEX!$F$20,0)-IF(M4=SUP_CONTROL!$C$17+1,1*SUP_OPEX!$F$20,0)-IF(M4=SUP_CONTROL!$C$17+2,1*SUP_OPEX!$F$20,0)</f>
        <v>0</v>
      </c>
      <c r="N32" s="1" t="n">
        <f aca="false">IF(N4=SUP_CONTROL!$C$17,2*SUP_OPEX!$F$20,0)-IF(N4=SUP_CONTROL!$C$17+1,1*SUP_OPEX!$F$20,0)-IF(N4=SUP_CONTROL!$C$17+2,1*SUP_OPEX!$F$20,0)</f>
        <v>0</v>
      </c>
      <c r="O32" s="1" t="n">
        <f aca="false">IF(O4=SUP_CONTROL!$C$17,2*SUP_OPEX!$F$20,0)-IF(O4=SUP_CONTROL!$C$17+1,1*SUP_OPEX!$F$20,0)-IF(O4=SUP_CONTROL!$C$17+2,1*SUP_OPEX!$F$20,0)</f>
        <v>0</v>
      </c>
      <c r="P32" s="1" t="n">
        <f aca="false">IF(P4=SUP_CONTROL!$C$17,2*SUP_OPEX!$F$20,0)-IF(P4=SUP_CONTROL!$C$17+1,1*SUP_OPEX!$F$20,0)-IF(P4=SUP_CONTROL!$C$17+2,1*SUP_OPEX!$F$20,0)</f>
        <v>0</v>
      </c>
      <c r="Q32" s="1" t="n">
        <f aca="false">IF(Q4=SUP_CONTROL!$C$17,2*SUP_OPEX!$F$20,0)-IF(Q4=SUP_CONTROL!$C$17+1,1*SUP_OPEX!$F$20,0)-IF(Q4=SUP_CONTROL!$C$17+2,1*SUP_OPEX!$F$20,0)</f>
        <v>0</v>
      </c>
      <c r="R32" s="1" t="n">
        <f aca="false">IF(R4=SUP_CONTROL!$C$17,2*SUP_OPEX!$F$20,0)-IF(R4=SUP_CONTROL!$C$17+1,1*SUP_OPEX!$F$20,0)-IF(R4=SUP_CONTROL!$C$17+2,1*SUP_OPEX!$F$20,0)</f>
        <v>0</v>
      </c>
      <c r="S32" s="1" t="n">
        <f aca="false">IF(S4=SUP_CONTROL!$C$17,2*SUP_OPEX!$F$20,0)-IF(S4=SUP_CONTROL!$C$17+1,1*SUP_OPEX!$F$20,0)-IF(S4=SUP_CONTROL!$C$17+2,1*SUP_OPEX!$F$20,0)</f>
        <v>0</v>
      </c>
      <c r="T32" s="1" t="n">
        <f aca="false">IF(T4=SUP_CONTROL!$C$17,2*SUP_OPEX!$F$20,0)-IF(T4=SUP_CONTROL!$C$17+1,1*SUP_OPEX!$F$20,0)-IF(T4=SUP_CONTROL!$C$17+2,1*SUP_OPEX!$F$20,0)</f>
        <v>0</v>
      </c>
      <c r="U32" s="1" t="n">
        <f aca="false">IF(U4=SUP_CONTROL!$C$17,2*SUP_OPEX!$F$20,0)-IF(U4=SUP_CONTROL!$C$17+1,1*SUP_OPEX!$F$20,0)-IF(U4=SUP_CONTROL!$C$17+2,1*SUP_OPEX!$F$20,0)</f>
        <v>0</v>
      </c>
      <c r="V32" s="1" t="n">
        <f aca="false">IF(V4=SUP_CONTROL!$C$17,2*SUP_OPEX!$F$20,0)-IF(V4=SUP_CONTROL!$C$17+1,1*SUP_OPEX!$F$20,0)-IF(V4=SUP_CONTROL!$C$17+2,1*SUP_OPEX!$F$20,0)</f>
        <v>0</v>
      </c>
      <c r="W32" s="1" t="n">
        <f aca="false">IF(W4=SUP_CONTROL!$C$17,2*SUP_OPEX!$F$20,0)-IF(W4=SUP_CONTROL!$C$17+1,1*SUP_OPEX!$F$20,0)-IF(W4=SUP_CONTROL!$C$17+2,1*SUP_OPEX!$F$20,0)</f>
        <v>0</v>
      </c>
      <c r="X32" s="1" t="n">
        <f aca="false">IF(X4=SUP_CONTROL!$C$17,2*SUP_OPEX!$F$20,0)-IF(X4=SUP_CONTROL!$C$17+1,1*SUP_OPEX!$F$20,0)-IF(X4=SUP_CONTROL!$C$17+2,1*SUP_OPEX!$F$20,0)</f>
        <v>0</v>
      </c>
      <c r="Y32" s="1" t="n">
        <f aca="false">IF(Y4=SUP_CONTROL!$C$17,2*SUP_OPEX!$F$20,0)-IF(Y4=SUP_CONTROL!$C$17+1,1*SUP_OPEX!$F$20,0)-IF(Y4=SUP_CONTROL!$C$17+2,1*SUP_OPEX!$F$20,0)</f>
        <v>0</v>
      </c>
      <c r="Z32" s="1" t="n">
        <f aca="false">IF(Z4=SUP_CONTROL!$C$17,2*SUP_OPEX!$F$20,0)-IF(Z4=SUP_CONTROL!$C$17+1,1*SUP_OPEX!$F$20,0)-IF(Z4=SUP_CONTROL!$C$17+2,1*SUP_OPEX!$F$20,0)</f>
        <v>0</v>
      </c>
      <c r="AA32" s="1" t="n">
        <f aca="false">IF(AA4=SUP_CONTROL!$C$17,2*SUP_OPEX!$F$20,0)-IF(AA4=SUP_CONTROL!$C$17+1,1*SUP_OPEX!$F$20,0)-IF(AA4=SUP_CONTROL!$C$17+2,1*SUP_OPEX!$F$20,0)</f>
        <v>0</v>
      </c>
      <c r="AB32" s="1" t="n">
        <f aca="false">IF(AB4=SUP_CONTROL!$C$17,2*SUP_OPEX!$F$20,0)-IF(AB4=SUP_CONTROL!$C$17+1,1*SUP_OPEX!$F$20,0)-IF(AB4=SUP_CONTROL!$C$17+2,1*SUP_OPEX!$F$20,0)</f>
        <v>0</v>
      </c>
      <c r="AC32" s="1" t="n">
        <f aca="false">IF(AC4=SUP_CONTROL!$C$17,2*SUP_OPEX!$F$20,0)-IF(AC4=SUP_CONTROL!$C$17+1,1*SUP_OPEX!$F$20,0)-IF(AC4=SUP_CONTROL!$C$17+2,1*SUP_OPEX!$F$20,0)</f>
        <v>0</v>
      </c>
      <c r="AD32" s="1" t="n">
        <f aca="false">IF(AD4=SUP_CONTROL!$C$17,2*SUP_OPEX!$F$20,0)-IF(AD4=SUP_CONTROL!$C$17+1,1*SUP_OPEX!$F$20,0)-IF(AD4=SUP_CONTROL!$C$17+2,1*SUP_OPEX!$F$20,0)</f>
        <v>0</v>
      </c>
      <c r="AE32" s="1" t="n">
        <f aca="false">IF(AE4=SUP_CONTROL!$C$17,2*SUP_OPEX!$F$20,0)-IF(AE4=SUP_CONTROL!$C$17+1,1*SUP_OPEX!$F$20,0)-IF(AE4=SUP_CONTROL!$C$17+2,1*SUP_OPEX!$F$20,0)</f>
        <v>0</v>
      </c>
      <c r="AF32" s="1" t="n">
        <f aca="false">IF(AF4=SUP_CONTROL!$C$17,2*SUP_OPEX!$F$20,0)-IF(AF4=SUP_CONTROL!$C$17+1,1*SUP_OPEX!$F$20,0)-IF(AF4=SUP_CONTROL!$C$17+2,1*SUP_OPEX!$F$20,0)</f>
        <v>0</v>
      </c>
      <c r="AG32" s="1" t="n">
        <f aca="false">IF(AG4=SUP_CONTROL!$C$17,2*SUP_OPEX!$F$20,0)-IF(AG4=SUP_CONTROL!$C$17+1,1*SUP_OPEX!$F$20,0)-IF(AG4=SUP_CONTROL!$C$17+2,1*SUP_OPEX!$F$20,0)</f>
        <v>0</v>
      </c>
      <c r="AH32" s="1" t="n">
        <f aca="false">IF(AH4=SUP_CONTROL!$C$17,2*SUP_OPEX!$F$20,0)-IF(AH4=SUP_CONTROL!$C$17+1,1*SUP_OPEX!$F$20,0)-IF(AH4=SUP_CONTROL!$C$17+2,1*SUP_OPEX!$F$20,0)</f>
        <v>0</v>
      </c>
      <c r="AI32" s="1" t="n">
        <f aca="false">IF(AI4=SUP_CONTROL!$C$17,2*SUP_OPEX!$F$20,0)-IF(AI4=SUP_CONTROL!$C$17+1,1*SUP_OPEX!$F$20,0)-IF(AI4=SUP_CONTROL!$C$17+2,1*SUP_OPEX!$F$20,0)</f>
        <v>0</v>
      </c>
      <c r="AJ32" s="1" t="n">
        <f aca="false">IF(AJ4=SUP_CONTROL!$C$17,2*SUP_OPEX!$F$20,0)-IF(AJ4=SUP_CONTROL!$C$17+1,1*SUP_OPEX!$F$20,0)-IF(AJ4=SUP_CONTROL!$C$17+2,1*SUP_OPEX!$F$20,0)</f>
        <v>0</v>
      </c>
      <c r="AK32" s="1" t="n">
        <f aca="false">IF(AK4=SUP_CONTROL!$C$17,2*SUP_OPEX!$F$20,0)-IF(AK4=SUP_CONTROL!$C$17+1,1*SUP_OPEX!$F$20,0)-IF(AK4=SUP_CONTROL!$C$17+2,1*SUP_OPEX!$F$20,0)</f>
        <v>0</v>
      </c>
      <c r="AL32" s="1" t="n">
        <f aca="false">IF(AL4=SUP_CONTROL!$C$17,2*SUP_OPEX!$F$20,0)-IF(AL4=SUP_CONTROL!$C$17+1,1*SUP_OPEX!$F$20,0)-IF(AL4=SUP_CONTROL!$C$17+2,1*SUP_OPEX!$F$20,0)</f>
        <v>0</v>
      </c>
      <c r="AM32" s="1" t="n">
        <f aca="false">IF(AM4=SUP_CONTROL!$C$17,2*SUP_OPEX!$F$20,0)-IF(AM4=SUP_CONTROL!$C$17+1,1*SUP_OPEX!$F$20,0)-IF(AM4=SUP_CONTROL!$C$17+2,1*SUP_OPEX!$F$20,0)</f>
        <v>0</v>
      </c>
      <c r="AN32" s="1" t="n">
        <f aca="false">IF(AN4=SUP_CONTROL!$C$17,2*SUP_OPEX!$F$20,0)-IF(AN4=SUP_CONTROL!$C$17+1,1*SUP_OPEX!$F$20,0)-IF(AN4=SUP_CONTROL!$C$17+2,1*SUP_OPEX!$F$20,0)</f>
        <v>0</v>
      </c>
      <c r="AO32" s="1" t="n">
        <f aca="false">IF(AO4=SUP_CONTROL!$C$17,2*SUP_OPEX!$F$20,0)-IF(AO4=SUP_CONTROL!$C$17+1,1*SUP_OPEX!$F$20,0)-IF(AO4=SUP_CONTROL!$C$17+2,1*SUP_OPEX!$F$20,0)</f>
        <v>0</v>
      </c>
      <c r="AP32" s="1" t="n">
        <f aca="false">IF(AP4=SUP_CONTROL!$C$17,2*SUP_OPEX!$F$20,0)-IF(AP4=SUP_CONTROL!$C$17+1,1*SUP_OPEX!$F$20,0)-IF(AP4=SUP_CONTROL!$C$17+2,1*SUP_OPEX!$F$20,0)</f>
        <v>0</v>
      </c>
      <c r="AQ32" s="1" t="n">
        <f aca="false">IF(AQ4=SUP_CONTROL!$C$17,2*SUP_OPEX!$F$20,0)-IF(AQ4=SUP_CONTROL!$C$17+1,1*SUP_OPEX!$F$20,0)-IF(AQ4=SUP_CONTROL!$C$17+2,1*SUP_OPEX!$F$20,0)</f>
        <v>0</v>
      </c>
      <c r="AR32" s="1" t="n">
        <f aca="false">IF(AR4=SUP_CONTROL!$C$17,2*SUP_OPEX!$F$20,0)-IF(AR4=SUP_CONTROL!$C$17+1,1*SUP_OPEX!$F$20,0)-IF(AR4=SUP_CONTROL!$C$17+2,1*SUP_OPEX!$F$20,0)</f>
        <v>0</v>
      </c>
      <c r="AS32" s="1" t="n">
        <f aca="false">IF(AS4=SUP_CONTROL!$C$17,2*SUP_OPEX!$F$20,0)-IF(AS4=SUP_CONTROL!$C$17+1,1*SUP_OPEX!$F$20,0)-IF(AS4=SUP_CONTROL!$C$17+2,1*SUP_OPEX!$F$20,0)</f>
        <v>0</v>
      </c>
      <c r="AT32" s="1" t="n">
        <f aca="false">IF(AT4=SUP_CONTROL!$C$17,2*SUP_OPEX!$F$20,0)-IF(AT4=SUP_CONTROL!$C$17+1,1*SUP_OPEX!$F$20,0)-IF(AT4=SUP_CONTROL!$C$17+2,1*SUP_OPEX!$F$20,0)</f>
        <v>0</v>
      </c>
      <c r="AU32" s="1" t="n">
        <f aca="false">IF(AU4=SUP_CONTROL!$C$17,2*SUP_OPEX!$F$20,0)-IF(AU4=SUP_CONTROL!$C$17+1,1*SUP_OPEX!$F$20,0)-IF(AU4=SUP_CONTROL!$C$17+2,1*SUP_OPEX!$F$20,0)</f>
        <v>0</v>
      </c>
      <c r="AV32" s="1" t="n">
        <f aca="false">IF(AV4=SUP_CONTROL!$C$17,2*SUP_OPEX!$F$20,0)-IF(AV4=SUP_CONTROL!$C$17+1,1*SUP_OPEX!$F$20,0)-IF(AV4=SUP_CONTROL!$C$17+2,1*SUP_OPEX!$F$20,0)</f>
        <v>0</v>
      </c>
      <c r="AW32" s="1" t="n">
        <f aca="false">IF(AW4=SUP_CONTROL!$C$17,2*SUP_OPEX!$F$20,0)-IF(AW4=SUP_CONTROL!$C$17+1,1*SUP_OPEX!$F$20,0)-IF(AW4=SUP_CONTROL!$C$17+2,1*SUP_OPEX!$F$20,0)</f>
        <v>0</v>
      </c>
      <c r="AX32" s="1" t="n">
        <f aca="false">IF(AX4=SUP_CONTROL!$C$17,2*SUP_OPEX!$F$20,0)-IF(AX4=SUP_CONTROL!$C$17+1,1*SUP_OPEX!$F$20,0)-IF(AX4=SUP_CONTROL!$C$17+2,1*SUP_OPEX!$F$20,0)</f>
        <v>0</v>
      </c>
      <c r="AY32" s="1" t="n">
        <f aca="false">IF(AY4=SUP_CONTROL!$C$17,2*SUP_OPEX!$F$20,0)-IF(AY4=SUP_CONTROL!$C$17+1,1*SUP_OPEX!$F$20,0)-IF(AY4=SUP_CONTROL!$C$17+2,1*SUP_OPEX!$F$20,0)</f>
        <v>0</v>
      </c>
      <c r="AZ32" s="1" t="n">
        <f aca="false">IF(AZ4=SUP_CONTROL!$C$17,2*SUP_OPEX!$F$20,0)-IF(AZ4=SUP_CONTROL!$C$17+1,1*SUP_OPEX!$F$20,0)-IF(AZ4=SUP_CONTROL!$C$17+2,1*SUP_OPEX!$F$20,0)</f>
        <v>0</v>
      </c>
      <c r="BA32" s="1" t="n">
        <f aca="false">IF(BA4=SUP_CONTROL!$C$17,2*SUP_OPEX!$F$20,0)-IF(BA4=SUP_CONTROL!$C$17+1,1*SUP_OPEX!$F$20,0)-IF(BA4=SUP_CONTROL!$C$17+2,1*SUP_OPEX!$F$20,0)</f>
        <v>0</v>
      </c>
      <c r="BB32" s="1" t="n">
        <f aca="false">IF(BB4=SUP_CONTROL!$C$17,2*SUP_OPEX!$F$20,0)-IF(BB4=SUP_CONTROL!$C$17+1,1*SUP_OPEX!$F$20,0)-IF(BB4=SUP_CONTROL!$C$17+2,1*SUP_OPEX!$F$20,0)</f>
        <v>0</v>
      </c>
      <c r="BC32" s="1" t="n">
        <f aca="false">IF(BC4=SUP_CONTROL!$C$17,2*SUP_OPEX!$F$20,0)-IF(BC4=SUP_CONTROL!$C$17+1,1*SUP_OPEX!$F$20,0)-IF(BC4=SUP_CONTROL!$C$17+2,1*SUP_OPEX!$F$20,0)</f>
        <v>0</v>
      </c>
      <c r="BD32" s="1" t="n">
        <f aca="false">IF(BD4=SUP_CONTROL!$C$17,2*SUP_OPEX!$F$20,0)-IF(BD4=SUP_CONTROL!$C$17+1,1*SUP_OPEX!$F$20,0)-IF(BD4=SUP_CONTROL!$C$17+2,1*SUP_OPEX!$F$20,0)</f>
        <v>0</v>
      </c>
      <c r="BE32" s="1" t="n">
        <f aca="false">IF(BE4=SUP_CONTROL!$C$17,2*SUP_OPEX!$F$20,0)-IF(BE4=SUP_CONTROL!$C$17+1,1*SUP_OPEX!$F$20,0)-IF(BE4=SUP_CONTROL!$C$17+2,1*SUP_OPEX!$F$20,0)</f>
        <v>0</v>
      </c>
      <c r="BF32" s="1" t="n">
        <f aca="false">IF(BF4=SUP_CONTROL!$C$17,2*SUP_OPEX!$F$20,0)-IF(BF4=SUP_CONTROL!$C$17+1,1*SUP_OPEX!$F$20,0)-IF(BF4=SUP_CONTROL!$C$17+2,1*SUP_OPEX!$F$20,0)</f>
        <v>0</v>
      </c>
      <c r="BG32" s="1" t="n">
        <f aca="false">IF(BG4=SUP_CONTROL!$C$17,2*SUP_OPEX!$F$20,0)-IF(BG4=SUP_CONTROL!$C$17+1,1*SUP_OPEX!$F$20,0)-IF(BG4=SUP_CONTROL!$C$17+2,1*SUP_OPEX!$F$20,0)</f>
        <v>0</v>
      </c>
      <c r="BH32" s="1" t="n">
        <f aca="false">IF(BH4=SUP_CONTROL!$C$17,2*SUP_OPEX!$F$20,0)-IF(BH4=SUP_CONTROL!$C$17+1,1*SUP_OPEX!$F$20,0)-IF(BH4=SUP_CONTROL!$C$17+2,1*SUP_OPEX!$F$20,0)</f>
        <v>0</v>
      </c>
      <c r="BI32" s="1" t="n">
        <f aca="false">IF(BI4=SUP_CONTROL!$C$17,2*SUP_OPEX!$F$20,0)-IF(BI4=SUP_CONTROL!$C$17+1,1*SUP_OPEX!$F$20,0)-IF(BI4=SUP_CONTROL!$C$17+2,1*SUP_OPEX!$F$20,0)</f>
        <v>0</v>
      </c>
      <c r="BJ32" s="1" t="n">
        <f aca="false">IF(BJ4=SUP_CONTROL!$C$17,2*SUP_OPEX!$F$20,0)-IF(BJ4=SUP_CONTROL!$C$17+1,1*SUP_OPEX!$F$20,0)-IF(BJ4=SUP_CONTROL!$C$17+2,1*SUP_OPEX!$F$20,0)</f>
        <v>0</v>
      </c>
      <c r="BK32" s="1" t="n">
        <f aca="false">IF(BK4=SUP_CONTROL!$C$17,2*SUP_OPEX!$F$20,0)-IF(BK4=SUP_CONTROL!$C$17+1,1*SUP_OPEX!$F$20,0)-IF(BK4=SUP_CONTROL!$C$17+2,1*SUP_OPEX!$F$20,0)</f>
        <v>0</v>
      </c>
      <c r="BL32" s="1" t="n">
        <f aca="false">IF(BL4=SUP_CONTROL!$C$17,2*SUP_OPEX!$F$20,0)-IF(BL4=SUP_CONTROL!$C$17+1,1*SUP_OPEX!$F$20,0)-IF(BL4=SUP_CONTROL!$C$17+2,1*SUP_OPEX!$F$20,0)</f>
        <v>0</v>
      </c>
      <c r="BM32" s="1" t="n">
        <f aca="false">IF(BM4=SUP_CONTROL!$C$17,2*SUP_OPEX!$F$20,0)-IF(BM4=SUP_CONTROL!$C$17+1,1*SUP_OPEX!$F$20,0)-IF(BM4=SUP_CONTROL!$C$17+2,1*SUP_OPEX!$F$20,0)</f>
        <v>0</v>
      </c>
      <c r="BN32" s="1" t="n">
        <f aca="false">IF(BN4=SUP_CONTROL!$C$17,2*SUP_OPEX!$F$20,0)-IF(BN4=SUP_CONTROL!$C$17+1,1*SUP_OPEX!$F$20,0)-IF(BN4=SUP_CONTROL!$C$17+2,1*SUP_OPEX!$F$20,0)</f>
        <v>0</v>
      </c>
      <c r="BO32" s="1" t="n">
        <f aca="false">IF(BO4=SUP_CONTROL!$C$17,2*SUP_OPEX!$F$20,0)-IF(BO4=SUP_CONTROL!$C$17+1,1*SUP_OPEX!$F$20,0)-IF(BO4=SUP_CONTROL!$C$17+2,1*SUP_OPEX!$F$20,0)</f>
        <v>0</v>
      </c>
      <c r="BP32" s="1" t="n">
        <f aca="false">IF(BP4=SUP_CONTROL!$C$17,2*SUP_OPEX!$F$20,0)-IF(BP4=SUP_CONTROL!$C$17+1,1*SUP_OPEX!$F$20,0)-IF(BP4=SUP_CONTROL!$C$17+2,1*SUP_OPEX!$F$20,0)</f>
        <v>0</v>
      </c>
      <c r="BQ32" s="1" t="n">
        <f aca="false">IF(BQ4=SUP_CONTROL!$C$17,2*SUP_OPEX!$F$20,0)-IF(BQ4=SUP_CONTROL!$C$17+1,1*SUP_OPEX!$F$20,0)-IF(BQ4=SUP_CONTROL!$C$17+2,1*SUP_OPEX!$F$20,0)</f>
        <v>0</v>
      </c>
      <c r="BR32" s="1" t="n">
        <f aca="false">IF(BR4=SUP_CONTROL!$C$17,2*SUP_OPEX!$F$20,0)-IF(BR4=SUP_CONTROL!$C$17+1,1*SUP_OPEX!$F$20,0)-IF(BR4=SUP_CONTROL!$C$17+2,1*SUP_OPEX!$F$20,0)</f>
        <v>0</v>
      </c>
      <c r="BS32" s="1" t="n">
        <f aca="false">IF(BS4=SUP_CONTROL!$C$17,2*SUP_OPEX!$F$20,0)-IF(BS4=SUP_CONTROL!$C$17+1,1*SUP_OPEX!$F$20,0)-IF(BS4=SUP_CONTROL!$C$17+2,1*SUP_OPEX!$F$20,0)</f>
        <v>0</v>
      </c>
      <c r="BT32" s="1" t="n">
        <f aca="false">IF(BT4=SUP_CONTROL!$C$17,2*SUP_OPEX!$F$20,0)-IF(BT4=SUP_CONTROL!$C$17+1,1*SUP_OPEX!$F$20,0)-IF(BT4=SUP_CONTROL!$C$17+2,1*SUP_OPEX!$F$20,0)</f>
        <v>0</v>
      </c>
      <c r="BU32" s="1" t="n">
        <f aca="false">IF(BU4=SUP_CONTROL!$C$17,2*SUP_OPEX!$F$20,0)-IF(BU4=SUP_CONTROL!$C$17+1,1*SUP_OPEX!$F$20,0)-IF(BU4=SUP_CONTROL!$C$17+2,1*SUP_OPEX!$F$20,0)</f>
        <v>0</v>
      </c>
      <c r="BV32" s="1" t="n">
        <f aca="false">IF(BV4=SUP_CONTROL!$C$17,2*SUP_OPEX!$F$20,0)-IF(BV4=SUP_CONTROL!$C$17+1,1*SUP_OPEX!$F$20,0)-IF(BV4=SUP_CONTROL!$C$17+2,1*SUP_OPEX!$F$20,0)</f>
        <v>0</v>
      </c>
      <c r="BW32" s="1" t="n">
        <f aca="false">IF(BW4=SUP_CONTROL!$C$17,2*SUP_OPEX!$F$20,0)-IF(BW4=SUP_CONTROL!$C$17+1,1*SUP_OPEX!$F$20,0)-IF(BW4=SUP_CONTROL!$C$17+2,1*SUP_OPEX!$F$20,0)</f>
        <v>0</v>
      </c>
      <c r="BX32" s="1" t="n">
        <f aca="false">IF(BX4=SUP_CONTROL!$C$17,2*SUP_OPEX!$F$20,0)-IF(BX4=SUP_CONTROL!$C$17+1,1*SUP_OPEX!$F$20,0)-IF(BX4=SUP_CONTROL!$C$17+2,1*SUP_OPEX!$F$20,0)</f>
        <v>0</v>
      </c>
      <c r="BY32" s="1" t="n">
        <f aca="false">IF(BY4=SUP_CONTROL!$C$17,2*SUP_OPEX!$F$20,0)-IF(BY4=SUP_CONTROL!$C$17+1,1*SUP_OPEX!$F$20,0)-IF(BY4=SUP_CONTROL!$C$17+2,1*SUP_OPEX!$F$20,0)</f>
        <v>0</v>
      </c>
      <c r="BZ32" s="1" t="n">
        <f aca="false">IF(BZ4=SUP_CONTROL!$C$17,2*SUP_OPEX!$F$20,0)-IF(BZ4=SUP_CONTROL!$C$17+1,1*SUP_OPEX!$F$20,0)-IF(BZ4=SUP_CONTROL!$C$17+2,1*SUP_OPEX!$F$20,0)</f>
        <v>0</v>
      </c>
      <c r="CA32" s="1" t="n">
        <f aca="false">IF(CA4=SUP_CONTROL!$C$17,2*SUP_OPEX!$F$20,0)-IF(CA4=SUP_CONTROL!$C$17+1,1*SUP_OPEX!$F$20,0)-IF(CA4=SUP_CONTROL!$C$17+2,1*SUP_OPEX!$F$20,0)</f>
        <v>0</v>
      </c>
      <c r="CB32" s="1" t="n">
        <f aca="false">IF(CB4=SUP_CONTROL!$C$17,2*SUP_OPEX!$F$20,0)-IF(CB4=SUP_CONTROL!$C$17+1,1*SUP_OPEX!$F$20,0)-IF(CB4=SUP_CONTROL!$C$17+2,1*SUP_OPEX!$F$20,0)</f>
        <v>0</v>
      </c>
      <c r="CC32" s="1" t="n">
        <f aca="false">IF(CC4=SUP_CONTROL!$C$17,2*SUP_OPEX!$F$20,0)-IF(CC4=SUP_CONTROL!$C$17+1,1*SUP_OPEX!$F$20,0)-IF(CC4=SUP_CONTROL!$C$17+2,1*SUP_OPEX!$F$20,0)</f>
        <v>0</v>
      </c>
      <c r="CD32" s="1" t="n">
        <f aca="false">IF(CD4=SUP_CONTROL!$C$17,2*SUP_OPEX!$F$20,0)-IF(CD4=SUP_CONTROL!$C$17+1,1*SUP_OPEX!$F$20,0)-IF(CD4=SUP_CONTROL!$C$17+2,1*SUP_OPEX!$F$20,0)</f>
        <v>0</v>
      </c>
      <c r="CE32" s="1" t="n">
        <f aca="false">IF(CE4=SUP_CONTROL!$C$17,2*SUP_OPEX!$F$20,0)-IF(CE4=SUP_CONTROL!$C$17+1,1*SUP_OPEX!$F$20,0)-IF(CE4=SUP_CONTROL!$C$17+2,1*SUP_OPEX!$F$20,0)</f>
        <v>0</v>
      </c>
      <c r="CF32" s="1" t="n">
        <f aca="false">IF(CF4=SUP_CONTROL!$C$17,2*SUP_OPEX!$F$20,0)-IF(CF4=SUP_CONTROL!$C$17+1,1*SUP_OPEX!$F$20,0)-IF(CF4=SUP_CONTROL!$C$17+2,1*SUP_OPEX!$F$20,0)</f>
        <v>0</v>
      </c>
      <c r="CG32" s="1" t="n">
        <f aca="false">IF(CG4=SUP_CONTROL!$C$17,2*SUP_OPEX!$F$20,0)-IF(CG4=SUP_CONTROL!$C$17+1,1*SUP_OPEX!$F$20,0)-IF(CG4=SUP_CONTROL!$C$17+2,1*SUP_OPEX!$F$20,0)</f>
        <v>0</v>
      </c>
      <c r="CH32" s="1" t="n">
        <f aca="false">IF(CH4=SUP_CONTROL!$C$17,2*SUP_OPEX!$F$20,0)-IF(CH4=SUP_CONTROL!$C$17+1,1*SUP_OPEX!$F$20,0)-IF(CH4=SUP_CONTROL!$C$17+2,1*SUP_OPEX!$F$20,0)</f>
        <v>0</v>
      </c>
      <c r="CI32" s="1" t="n">
        <f aca="false">IF(CI4=SUP_CONTROL!$C$17,2*SUP_OPEX!$F$20,0)-IF(CI4=SUP_CONTROL!$C$17+1,1*SUP_OPEX!$F$20,0)-IF(CI4=SUP_CONTROL!$C$17+2,1*SUP_OPEX!$F$20,0)</f>
        <v>0</v>
      </c>
      <c r="CJ32" s="1" t="n">
        <f aca="false">IF(CJ4=SUP_CONTROL!$C$17,2*SUP_OPEX!$F$20,0)-IF(CJ4=SUP_CONTROL!$C$17+1,1*SUP_OPEX!$F$20,0)-IF(CJ4=SUP_CONTROL!$C$17+2,1*SUP_OPEX!$F$20,0)</f>
        <v>0</v>
      </c>
      <c r="CK32" s="1" t="n">
        <f aca="false">IF(CK4=SUP_CONTROL!$C$17,2*SUP_OPEX!$F$20,0)-IF(CK4=SUP_CONTROL!$C$17+1,1*SUP_OPEX!$F$20,0)-IF(CK4=SUP_CONTROL!$C$17+2,1*SUP_OPEX!$F$20,0)</f>
        <v>0</v>
      </c>
      <c r="CL32" s="1" t="n">
        <f aca="false">IF(CL4=SUP_CONTROL!$C$17,2*SUP_OPEX!$F$20,0)-IF(CL4=SUP_CONTROL!$C$17+1,1*SUP_OPEX!$F$20,0)-IF(CL4=SUP_CONTROL!$C$17+2,1*SUP_OPEX!$F$20,0)</f>
        <v>0</v>
      </c>
      <c r="CM32" s="1" t="n">
        <f aca="false">IF(CM4=SUP_CONTROL!$C$17,2*SUP_OPEX!$F$20,0)-IF(CM4=SUP_CONTROL!$C$17+1,1*SUP_OPEX!$F$20,0)-IF(CM4=SUP_CONTROL!$C$17+2,1*SUP_OPEX!$F$20,0)</f>
        <v>0</v>
      </c>
      <c r="CN32" s="1" t="n">
        <f aca="false">IF(CN4=SUP_CONTROL!$C$17,2*SUP_OPEX!$F$20,0)-IF(CN4=SUP_CONTROL!$C$17+1,1*SUP_OPEX!$F$20,0)-IF(CN4=SUP_CONTROL!$C$17+2,1*SUP_OPEX!$F$20,0)</f>
        <v>0</v>
      </c>
      <c r="CO32" s="1" t="n">
        <f aca="false">IF(CO4=SUP_CONTROL!$C$17,2*SUP_OPEX!$F$20,0)-IF(CO4=SUP_CONTROL!$C$17+1,1*SUP_OPEX!$F$20,0)-IF(CO4=SUP_CONTROL!$C$17+2,1*SUP_OPEX!$F$20,0)</f>
        <v>0</v>
      </c>
      <c r="CP32" s="1" t="n">
        <f aca="false">IF(CP4=SUP_CONTROL!$C$17,2*SUP_OPEX!$F$20,0)-IF(CP4=SUP_CONTROL!$C$17+1,1*SUP_OPEX!$F$20,0)-IF(CP4=SUP_CONTROL!$C$17+2,1*SUP_OPEX!$F$20,0)</f>
        <v>0</v>
      </c>
      <c r="CQ32" s="1" t="n">
        <f aca="false">IF(CQ4=SUP_CONTROL!$C$17,2*SUP_OPEX!$F$20,0)-IF(CQ4=SUP_CONTROL!$C$17+1,1*SUP_OPEX!$F$20,0)-IF(CQ4=SUP_CONTROL!$C$17+2,1*SUP_OPEX!$F$20,0)</f>
        <v>0</v>
      </c>
      <c r="CR32" s="1" t="n">
        <f aca="false">IF(CR4=SUP_CONTROL!$C$17,2*SUP_OPEX!$F$20,0)-IF(CR4=SUP_CONTROL!$C$17+1,1*SUP_OPEX!$F$20,0)-IF(CR4=SUP_CONTROL!$C$17+2,1*SUP_OPEX!$F$20,0)</f>
        <v>0</v>
      </c>
      <c r="CS32" s="1" t="n">
        <f aca="false">IF(CS4=SUP_CONTROL!$C$17,2*SUP_OPEX!$F$20,0)-IF(CS4=SUP_CONTROL!$C$17+1,1*SUP_OPEX!$F$20,0)-IF(CS4=SUP_CONTROL!$C$17+2,1*SUP_OPEX!$F$20,0)</f>
        <v>0</v>
      </c>
      <c r="CT32" s="1" t="n">
        <f aca="false">IF(CT4=SUP_CONTROL!$C$17,2*SUP_OPEX!$F$20,0)-IF(CT4=SUP_CONTROL!$C$17+1,1*SUP_OPEX!$F$20,0)-IF(CT4=SUP_CONTROL!$C$17+2,1*SUP_OPEX!$F$20,0)</f>
        <v>0</v>
      </c>
      <c r="CU32" s="1" t="n">
        <f aca="false">IF(CU4=SUP_CONTROL!$C$17,2*SUP_OPEX!$F$20,0)-IF(CU4=SUP_CONTROL!$C$17+1,1*SUP_OPEX!$F$20,0)-IF(CU4=SUP_CONTROL!$C$17+2,1*SUP_OPEX!$F$20,0)</f>
        <v>0</v>
      </c>
      <c r="CV32" s="1" t="n">
        <f aca="false">IF(CV4=SUP_CONTROL!$C$17,2*SUP_OPEX!$F$20,0)-IF(CV4=SUP_CONTROL!$C$17+1,1*SUP_OPEX!$F$20,0)-IF(CV4=SUP_CONTROL!$C$17+2,1*SUP_OPEX!$F$20,0)</f>
        <v>0</v>
      </c>
      <c r="CW32" s="1" t="n">
        <f aca="false">IF(CW4=SUP_CONTROL!$C$17,2*SUP_OPEX!$F$20,0)-IF(CW4=SUP_CONTROL!$C$17+1,1*SUP_OPEX!$F$20,0)-IF(CW4=SUP_CONTROL!$C$17+2,1*SUP_OPEX!$F$20,0)</f>
        <v>0</v>
      </c>
      <c r="CX32" s="1" t="n">
        <f aca="false">IF(CX4=SUP_CONTROL!$C$17,2*SUP_OPEX!$F$20,0)-IF(CX4=SUP_CONTROL!$C$17+1,1*SUP_OPEX!$F$20,0)-IF(CX4=SUP_CONTROL!$C$17+2,1*SUP_OPEX!$F$20,0)</f>
        <v>0</v>
      </c>
      <c r="CY32" s="1" t="n">
        <f aca="false">IF(CY4=SUP_CONTROL!$C$17,2*SUP_OPEX!$F$20,0)-IF(CY4=SUP_CONTROL!$C$17+1,1*SUP_OPEX!$F$20,0)-IF(CY4=SUP_CONTROL!$C$17+2,1*SUP_OPEX!$F$20,0)</f>
        <v>0</v>
      </c>
      <c r="CZ32" s="1" t="n">
        <f aca="false">IF(CZ4=SUP_CONTROL!$C$17,2*SUP_OPEX!$F$20,0)-IF(CZ4=SUP_CONTROL!$C$17+1,1*SUP_OPEX!$F$20,0)-IF(CZ4=SUP_CONTROL!$C$17+2,1*SUP_OPEX!$F$20,0)</f>
        <v>0</v>
      </c>
      <c r="DA32" s="1" t="n">
        <f aca="false">IF(DA4=SUP_CONTROL!$C$17,2*SUP_OPEX!$F$20,0)-IF(DA4=SUP_CONTROL!$C$17+1,1*SUP_OPEX!$F$20,0)-IF(DA4=SUP_CONTROL!$C$17+2,1*SUP_OPEX!$F$20,0)</f>
        <v>0</v>
      </c>
      <c r="DB32" s="1" t="n">
        <f aca="false">IF(DB4=SUP_CONTROL!$C$17,2*SUP_OPEX!$F$20,0)-IF(DB4=SUP_CONTROL!$C$17+1,1*SUP_OPEX!$F$20,0)-IF(DB4=SUP_CONTROL!$C$17+2,1*SUP_OPEX!$F$20,0)</f>
        <v>0</v>
      </c>
      <c r="DC32" s="1" t="n">
        <f aca="false">IF(DC4=SUP_CONTROL!$C$17,2*SUP_OPEX!$F$20,0)-IF(DC4=SUP_CONTROL!$C$17+1,1*SUP_OPEX!$F$20,0)-IF(DC4=SUP_CONTROL!$C$17+2,1*SUP_OPEX!$F$20,0)</f>
        <v>0</v>
      </c>
      <c r="DD32" s="1" t="n">
        <f aca="false">IF(DD4=SUP_CONTROL!$C$17,2*SUP_OPEX!$F$20,0)-IF(DD4=SUP_CONTROL!$C$17+1,1*SUP_OPEX!$F$20,0)-IF(DD4=SUP_CONTROL!$C$17+2,1*SUP_OPEX!$F$20,0)</f>
        <v>0</v>
      </c>
      <c r="DE32" s="1" t="n">
        <f aca="false">IF(DE4=SUP_CONTROL!$C$17,2*SUP_OPEX!$F$20,0)-IF(DE4=SUP_CONTROL!$C$17+1,1*SUP_OPEX!$F$20,0)-IF(DE4=SUP_CONTROL!$C$17+2,1*SUP_OPEX!$F$20,0)</f>
        <v>0</v>
      </c>
      <c r="DF32" s="1" t="n">
        <f aca="false">IF(DF4=SUP_CONTROL!$C$17,2*SUP_OPEX!$F$20,0)-IF(DF4=SUP_CONTROL!$C$17+1,1*SUP_OPEX!$F$20,0)-IF(DF4=SUP_CONTROL!$C$17+2,1*SUP_OPEX!$F$20,0)</f>
        <v>0</v>
      </c>
      <c r="DG32" s="1" t="n">
        <f aca="false">IF(DG4=SUP_CONTROL!$C$17,2*SUP_OPEX!$F$20,0)-IF(DG4=SUP_CONTROL!$C$17+1,1*SUP_OPEX!$F$20,0)-IF(DG4=SUP_CONTROL!$C$17+2,1*SUP_OPEX!$F$20,0)</f>
        <v>0</v>
      </c>
      <c r="DH32" s="1" t="n">
        <f aca="false">IF(DH4=SUP_CONTROL!$C$17,2*SUP_OPEX!$F$20,0)-IF(DH4=SUP_CONTROL!$C$17+1,1*SUP_OPEX!$F$20,0)-IF(DH4=SUP_CONTROL!$C$17+2,1*SUP_OPEX!$F$20,0)</f>
        <v>0</v>
      </c>
      <c r="DI32" s="1" t="n">
        <f aca="false">IF(DI4=SUP_CONTROL!$C$17,2*SUP_OPEX!$F$20,0)-IF(DI4=SUP_CONTROL!$C$17+1,1*SUP_OPEX!$F$20,0)-IF(DI4=SUP_CONTROL!$C$17+2,1*SUP_OPEX!$F$20,0)</f>
        <v>0</v>
      </c>
      <c r="DJ32" s="1" t="n">
        <f aca="false">IF(DJ4=SUP_CONTROL!$C$17,2*SUP_OPEX!$F$20,0)-IF(DJ4=SUP_CONTROL!$C$17+1,1*SUP_OPEX!$F$20,0)-IF(DJ4=SUP_CONTROL!$C$17+2,1*SUP_OPEX!$F$20,0)</f>
        <v>0</v>
      </c>
      <c r="DK32" s="1" t="n">
        <f aca="false">IF(DK4=SUP_CONTROL!$C$17,2*SUP_OPEX!$F$20,0)-IF(DK4=SUP_CONTROL!$C$17+1,1*SUP_OPEX!$F$20,0)-IF(DK4=SUP_CONTROL!$C$17+2,1*SUP_OPEX!$F$20,0)</f>
        <v>0</v>
      </c>
      <c r="DL32" s="1" t="n">
        <f aca="false">IF(DL4=SUP_CONTROL!$C$17,2*SUP_OPEX!$F$20,0)-IF(DL4=SUP_CONTROL!$C$17+1,1*SUP_OPEX!$F$20,0)-IF(DL4=SUP_CONTROL!$C$17+2,1*SUP_OPEX!$F$20,0)</f>
        <v>0</v>
      </c>
      <c r="DM32" s="1" t="n">
        <f aca="false">IF(DM4=SUP_CONTROL!$C$17,2*SUP_OPEX!$F$20,0)-IF(DM4=SUP_CONTROL!$C$17+1,1*SUP_OPEX!$F$20,0)-IF(DM4=SUP_CONTROL!$C$17+2,1*SUP_OPEX!$F$20,0)</f>
        <v>0</v>
      </c>
      <c r="DN32" s="1" t="n">
        <f aca="false">IF(DN4=SUP_CONTROL!$C$17,2*SUP_OPEX!$F$20,0)-IF(DN4=SUP_CONTROL!$C$17+1,1*SUP_OPEX!$F$20,0)-IF(DN4=SUP_CONTROL!$C$17+2,1*SUP_OPEX!$F$20,0)</f>
        <v>0</v>
      </c>
      <c r="DO32" s="1" t="n">
        <f aca="false">IF(DO4=SUP_CONTROL!$C$17,2*SUP_OPEX!$F$20,0)-IF(DO4=SUP_CONTROL!$C$17+1,1*SUP_OPEX!$F$20,0)-IF(DO4=SUP_CONTROL!$C$17+2,1*SUP_OPEX!$F$20,0)</f>
        <v>0</v>
      </c>
      <c r="DP32" s="1" t="n">
        <f aca="false">IF(DP4=SUP_CONTROL!$C$17,2*SUP_OPEX!$F$20,0)-IF(DP4=SUP_CONTROL!$C$17+1,1*SUP_OPEX!$F$20,0)-IF(DP4=SUP_CONTROL!$C$17+2,1*SUP_OPEX!$F$20,0)</f>
        <v>0</v>
      </c>
      <c r="DQ32" s="1" t="n">
        <f aca="false">IF(DQ4=SUP_CONTROL!$C$17,2*SUP_OPEX!$F$20,0)-IF(DQ4=SUP_CONTROL!$C$17+1,1*SUP_OPEX!$F$20,0)-IF(DQ4=SUP_CONTROL!$C$17+2,1*SUP_OPEX!$F$20,0)</f>
        <v>0</v>
      </c>
      <c r="DR32" s="1" t="n">
        <f aca="false">IF(DR4=SUP_CONTROL!$C$17,2*SUP_OPEX!$F$20,0)-IF(DR4=SUP_CONTROL!$C$17+1,1*SUP_OPEX!$F$20,0)-IF(DR4=SUP_CONTROL!$C$17+2,1*SUP_OPEX!$F$20,0)</f>
        <v>0</v>
      </c>
      <c r="DS32" s="1" t="n">
        <f aca="false">IF(DS4=SUP_CONTROL!$C$17,2*SUP_OPEX!$F$20,0)-IF(DS4=SUP_CONTROL!$C$17+1,1*SUP_OPEX!$F$20,0)-IF(DS4=SUP_CONTROL!$C$17+2,1*SUP_OPEX!$F$20,0)</f>
        <v>0</v>
      </c>
    </row>
    <row r="33" customFormat="false" ht="15" hidden="false" customHeight="true" outlineLevel="0" collapsed="false">
      <c r="B33" s="178" t="s">
        <v>3468</v>
      </c>
      <c r="C33" s="268" t="n">
        <f aca="false">SUP_CAPEX_FLAGSHIP!$H$55+SUP_CONTROL!$C$19*SUP_OPEX!$F$23</f>
        <v>506066.17075</v>
      </c>
    </row>
    <row r="34" customFormat="false" ht="15" hidden="false" customHeight="true" outlineLevel="0" collapsed="false">
      <c r="B34" s="178" t="s">
        <v>3437</v>
      </c>
      <c r="C34" s="268" t="n">
        <f aca="false">NPV(SUP_CONTROL!$C$32,D27:AM27)</f>
        <v>-293507.11056936</v>
      </c>
    </row>
    <row r="35" customFormat="false" ht="15" hidden="false" customHeight="true" outlineLevel="0" collapsed="false">
      <c r="B35" s="178" t="s">
        <v>3438</v>
      </c>
      <c r="C35" s="272" t="n">
        <f aca="false">IFERROR((1+IRR(D27:AM27,0.01))^12-1,"n/a")</f>
        <v>-0.347487945071701</v>
      </c>
    </row>
    <row r="36" customFormat="false" ht="15" hidden="false" customHeight="true" outlineLevel="0" collapsed="false">
      <c r="B36" s="178" t="s">
        <v>3469</v>
      </c>
      <c r="C36" s="275" t="n">
        <f aca="false">IF(COUNTIF(D28:DS28,"&lt;0")&gt;=120,"no recupera",COUNTIF(D28:DS28,"&lt;0")+1)</f>
        <v>59</v>
      </c>
    </row>
    <row r="37" customFormat="false" ht="15" hidden="false" customHeight="true" outlineLevel="0" collapsed="false">
      <c r="B37" s="178" t="s">
        <v>3470</v>
      </c>
      <c r="C37" s="275" t="n">
        <f aca="false">IF(COUNTIF(D30:DS30,"&lt;0")&gt;=120,"no recupera",COUNTIF(D30:DS30,"&lt;0")+1)</f>
        <v>118</v>
      </c>
    </row>
    <row r="38" customFormat="false" ht="15" hidden="false" customHeight="true" outlineLevel="0" collapsed="false">
      <c r="B38" s="178" t="s">
        <v>134</v>
      </c>
      <c r="C38" s="268" t="n">
        <f aca="false">NPV(SUP_CONTROL!$C$32,D27:DS27)</f>
        <v>-15369.0697551801</v>
      </c>
    </row>
    <row r="39" customFormat="false" ht="15" hidden="false" customHeight="true" outlineLevel="0" collapsed="false">
      <c r="B39" s="178" t="s">
        <v>3471</v>
      </c>
      <c r="C39" s="272" t="n">
        <f aca="false">IFERROR((1+IRR(D27:DS27,0.01))^12-1,"n/a")</f>
        <v>0.189906637313979</v>
      </c>
    </row>
    <row r="40" customFormat="false" ht="15" hidden="false" customHeight="true" outlineLevel="0" collapsed="false">
      <c r="B40" s="178" t="s">
        <v>3472</v>
      </c>
      <c r="C40" s="275" t="n">
        <f aca="false">AVERAGE(INDEX(D18:DS18,1,MIN(120-11,SUP_CONTROL!$C$17+12)):INDEX(D18:DS18,1,MIN(120,SUP_CONTROL!$C$17+23)))</f>
        <v>12743.177463193</v>
      </c>
    </row>
    <row r="42" customFormat="false" ht="15" hidden="false" customHeight="true" outlineLevel="0" collapsed="false">
      <c r="B42" s="23" t="s">
        <v>3473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K69"/>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M35" activeCellId="0" sqref="M35"/>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12"/>
    <col collapsed="false" customWidth="true" hidden="false" outlineLevel="0" max="3" min="3" style="1" width="13"/>
    <col collapsed="false" customWidth="true" hidden="false" outlineLevel="0" max="5" min="4" style="1" width="14"/>
    <col collapsed="false" customWidth="true" hidden="false" outlineLevel="0" max="6" min="6" style="1" width="16"/>
    <col collapsed="false" customWidth="true" hidden="false" outlineLevel="0" max="7" min="7" style="1" width="14"/>
    <col collapsed="false" customWidth="true" hidden="false" outlineLevel="0" max="11" min="8" style="1" width="10"/>
  </cols>
  <sheetData>
    <row r="1" customFormat="false" ht="15" hidden="false" customHeight="true" outlineLevel="0" collapsed="false">
      <c r="A1" s="185" t="s">
        <v>3474</v>
      </c>
      <c r="B1" s="126"/>
      <c r="C1" s="126"/>
      <c r="D1" s="126"/>
      <c r="E1" s="126"/>
      <c r="F1" s="126"/>
      <c r="G1" s="126"/>
      <c r="H1" s="126"/>
      <c r="I1" s="126"/>
    </row>
    <row r="2" customFormat="false" ht="15" hidden="false" customHeight="true" outlineLevel="0" collapsed="false">
      <c r="A2" s="23" t="s">
        <v>3475</v>
      </c>
    </row>
    <row r="3" customFormat="false" ht="15" hidden="false" customHeight="true" outlineLevel="0" collapsed="false">
      <c r="A3" s="23" t="s">
        <v>495</v>
      </c>
    </row>
    <row r="5" customFormat="false" ht="15" hidden="false" customHeight="true" outlineLevel="0" collapsed="false">
      <c r="A5" s="186" t="s">
        <v>3476</v>
      </c>
      <c r="B5" s="25"/>
      <c r="C5" s="25"/>
      <c r="D5" s="25"/>
      <c r="E5" s="25"/>
      <c r="F5" s="25"/>
      <c r="G5" s="25"/>
      <c r="H5" s="25"/>
      <c r="I5" s="25"/>
    </row>
    <row r="6" customFormat="false" ht="15" hidden="false" customHeight="true" outlineLevel="0" collapsed="false">
      <c r="B6" s="1" t="s">
        <v>3477</v>
      </c>
      <c r="C6" s="199" t="n">
        <v>0.65</v>
      </c>
      <c r="D6" s="199" t="n">
        <v>0.8</v>
      </c>
      <c r="E6" s="199" t="n">
        <v>0.9</v>
      </c>
      <c r="F6" s="199" t="n">
        <v>1</v>
      </c>
      <c r="H6" s="23" t="s">
        <v>3478</v>
      </c>
    </row>
    <row r="8" customFormat="false" ht="15" hidden="false" customHeight="true" outlineLevel="0" collapsed="false">
      <c r="A8" s="186" t="s">
        <v>3479</v>
      </c>
      <c r="B8" s="25"/>
      <c r="C8" s="25"/>
      <c r="D8" s="25"/>
      <c r="E8" s="25"/>
      <c r="F8" s="25"/>
      <c r="G8" s="25"/>
      <c r="H8" s="25"/>
      <c r="I8" s="25"/>
    </row>
    <row r="9" customFormat="false" ht="15" hidden="false" customHeight="true" outlineLevel="0" collapsed="false">
      <c r="B9" s="1" t="s">
        <v>3480</v>
      </c>
      <c r="C9" s="275" t="n">
        <v>10</v>
      </c>
      <c r="D9" s="275" t="n">
        <v>15</v>
      </c>
      <c r="E9" s="275" t="n">
        <v>20</v>
      </c>
      <c r="F9" s="275" t="n">
        <v>25</v>
      </c>
      <c r="G9" s="275" t="n">
        <v>30</v>
      </c>
      <c r="H9" s="275" t="n">
        <v>35</v>
      </c>
      <c r="I9" s="275" t="n">
        <v>40</v>
      </c>
      <c r="J9" s="275" t="n">
        <v>45</v>
      </c>
      <c r="K9" s="275" t="n">
        <v>50</v>
      </c>
    </row>
    <row r="10" customFormat="false" ht="15" hidden="false" customHeight="true" outlineLevel="0" collapsed="false">
      <c r="B10" s="1" t="s">
        <v>3481</v>
      </c>
      <c r="C10" s="199" t="n">
        <v>1</v>
      </c>
      <c r="D10" s="199" t="n">
        <v>0.97</v>
      </c>
      <c r="E10" s="199" t="n">
        <v>0.945</v>
      </c>
      <c r="F10" s="199" t="n">
        <v>0.92</v>
      </c>
      <c r="G10" s="199" t="n">
        <v>0.9</v>
      </c>
      <c r="H10" s="199" t="n">
        <v>0.88</v>
      </c>
      <c r="I10" s="199" t="n">
        <v>0.865</v>
      </c>
      <c r="J10" s="199" t="n">
        <v>0.85</v>
      </c>
      <c r="K10" s="199" t="n">
        <v>0.84</v>
      </c>
    </row>
    <row r="11" customFormat="false" ht="15" hidden="false" customHeight="true" outlineLevel="0" collapsed="false">
      <c r="B11" s="1" t="s">
        <v>3482</v>
      </c>
      <c r="C11" s="569" t="n">
        <v>1</v>
      </c>
      <c r="G11" s="23" t="s">
        <v>3483</v>
      </c>
    </row>
    <row r="12" customFormat="false" ht="15" hidden="false" customHeight="true" outlineLevel="0" collapsed="false">
      <c r="B12" s="1" t="s">
        <v>3484</v>
      </c>
      <c r="C12" s="299" t="n">
        <f aca="false">1-(1-C10)*$C$11</f>
        <v>1</v>
      </c>
      <c r="D12" s="299" t="n">
        <f aca="false">1-(1-D10)*$C$11</f>
        <v>0.97</v>
      </c>
      <c r="E12" s="299" t="n">
        <f aca="false">1-(1-E10)*$C$11</f>
        <v>0.945</v>
      </c>
      <c r="F12" s="299" t="n">
        <f aca="false">1-(1-F10)*$C$11</f>
        <v>0.92</v>
      </c>
      <c r="G12" s="299" t="n">
        <f aca="false">1-(1-G10)*$C$11</f>
        <v>0.9</v>
      </c>
      <c r="H12" s="299" t="n">
        <f aca="false">1-(1-H10)*$C$11</f>
        <v>0.88</v>
      </c>
      <c r="I12" s="299" t="n">
        <f aca="false">1-(1-I10)*$C$11</f>
        <v>0.865</v>
      </c>
      <c r="J12" s="299" t="n">
        <f aca="false">1-(1-J10)*$C$11</f>
        <v>0.85</v>
      </c>
      <c r="K12" s="299" t="n">
        <f aca="false">1-(1-K10)*$C$11</f>
        <v>0.84</v>
      </c>
    </row>
    <row r="14" customFormat="false" ht="39.75" hidden="false" customHeight="true" outlineLevel="0" collapsed="false">
      <c r="B14" s="293" t="s">
        <v>3485</v>
      </c>
      <c r="C14" s="293"/>
      <c r="D14" s="293"/>
      <c r="E14" s="293"/>
      <c r="F14" s="293"/>
      <c r="G14" s="293"/>
      <c r="H14" s="293"/>
      <c r="I14" s="293"/>
      <c r="J14" s="293"/>
      <c r="K14" s="293"/>
    </row>
    <row r="15" customFormat="false" ht="39.75" hidden="false" customHeight="true" outlineLevel="0" collapsed="false">
      <c r="B15" s="293" t="s">
        <v>3486</v>
      </c>
      <c r="C15" s="293"/>
      <c r="D15" s="293"/>
      <c r="E15" s="293"/>
      <c r="F15" s="293"/>
      <c r="G15" s="293"/>
      <c r="H15" s="293"/>
      <c r="I15" s="293"/>
      <c r="J15" s="293"/>
      <c r="K15" s="293"/>
    </row>
    <row r="16" customFormat="false" ht="39.75" hidden="false" customHeight="true" outlineLevel="0" collapsed="false">
      <c r="B16" s="293" t="s">
        <v>3487</v>
      </c>
      <c r="C16" s="293"/>
      <c r="D16" s="293"/>
      <c r="E16" s="293"/>
      <c r="F16" s="293"/>
      <c r="G16" s="293"/>
      <c r="H16" s="293"/>
      <c r="I16" s="293"/>
      <c r="J16" s="293"/>
      <c r="K16" s="293"/>
    </row>
    <row r="18" customFormat="false" ht="15" hidden="false" customHeight="true" outlineLevel="0" collapsed="false">
      <c r="A18" s="186" t="s">
        <v>3488</v>
      </c>
      <c r="B18" s="25"/>
      <c r="C18" s="25"/>
      <c r="D18" s="25"/>
      <c r="E18" s="25"/>
      <c r="F18" s="25"/>
      <c r="G18" s="25"/>
      <c r="H18" s="25"/>
      <c r="I18" s="25"/>
    </row>
    <row r="19" customFormat="false" ht="15" hidden="false" customHeight="true" outlineLevel="0" collapsed="false">
      <c r="A19" s="178" t="s">
        <v>849</v>
      </c>
      <c r="B19" s="178" t="s">
        <v>3489</v>
      </c>
      <c r="C19" s="178" t="s">
        <v>3490</v>
      </c>
      <c r="D19" s="178" t="s">
        <v>3491</v>
      </c>
      <c r="E19" s="178" t="s">
        <v>3492</v>
      </c>
      <c r="F19" s="178" t="s">
        <v>3493</v>
      </c>
      <c r="G19" s="178" t="s">
        <v>3494</v>
      </c>
      <c r="H19" s="178" t="s">
        <v>3495</v>
      </c>
      <c r="I19" s="178" t="s">
        <v>3496</v>
      </c>
      <c r="J19" s="178" t="s">
        <v>3497</v>
      </c>
    </row>
    <row r="20" customFormat="false" ht="15" hidden="false" customHeight="true" outlineLevel="0" collapsed="false">
      <c r="A20" s="298" t="n">
        <v>11</v>
      </c>
      <c r="B20" s="570" t="s">
        <v>3498</v>
      </c>
      <c r="C20" s="273" t="n">
        <f aca="false">IF(B20="V",SUP_CAPEX_VENTANA!$H$42,IF(B20="D",SUP_CAPEX_DINEIN!$H$43,SUP_CAPEX_FLAGSHIP!$H$55))</f>
        <v>92556.937</v>
      </c>
      <c r="D20" s="273" t="n">
        <f aca="false">IF(B20="V",SUP_OPEX!$D$23,IF(B20="D",SUP_OPEX!$E$23,SUP_OPEX!$F$23))</f>
        <v>6439</v>
      </c>
      <c r="E20" s="273" t="n">
        <f aca="false">D20*SUP_CONTROL!$C$19</f>
        <v>6439</v>
      </c>
      <c r="F20" s="273" t="n">
        <f aca="false">C20+E20</f>
        <v>98995.937</v>
      </c>
      <c r="G20" s="267" t="n">
        <f aca="false">IFERROR(MATCH(1,CAPA3_EXPANSION!$D$25:$DS$25,0),0)</f>
        <v>16</v>
      </c>
      <c r="H20" s="298" t="n">
        <f aca="false">COUNTIF($B$20:B20,"V")</f>
        <v>1</v>
      </c>
      <c r="I20" s="298" t="n">
        <f aca="false">COUNTIF($B$20:B20,"D")</f>
        <v>0</v>
      </c>
      <c r="J20" s="298" t="n">
        <f aca="false">COUNTIF($B$20:B20,"F")</f>
        <v>0</v>
      </c>
    </row>
    <row r="21" customFormat="false" ht="15" hidden="false" customHeight="true" outlineLevel="0" collapsed="false">
      <c r="A21" s="298" t="n">
        <v>12</v>
      </c>
      <c r="B21" s="570" t="s">
        <v>3498</v>
      </c>
      <c r="C21" s="273" t="n">
        <f aca="false">IF(B21="V",SUP_CAPEX_VENTANA!$H$42,IF(B21="D",SUP_CAPEX_DINEIN!$H$43,SUP_CAPEX_FLAGSHIP!$H$55))</f>
        <v>92556.937</v>
      </c>
      <c r="D21" s="273" t="n">
        <f aca="false">IF(B21="V",SUP_OPEX!$D$23,IF(B21="D",SUP_OPEX!$E$23,SUP_OPEX!$F$23))</f>
        <v>6439</v>
      </c>
      <c r="E21" s="273" t="n">
        <f aca="false">D21*SUP_CONTROL!$C$19</f>
        <v>6439</v>
      </c>
      <c r="F21" s="273" t="n">
        <f aca="false">C21+E21</f>
        <v>98995.937</v>
      </c>
      <c r="G21" s="267" t="n">
        <f aca="false">IFERROR(MATCH(2,CAPA3_EXPANSION!$D$25:$DS$25,0),0)</f>
        <v>17</v>
      </c>
      <c r="H21" s="298" t="n">
        <f aca="false">COUNTIF($B$20:B21,"V")</f>
        <v>2</v>
      </c>
      <c r="I21" s="298" t="n">
        <f aca="false">COUNTIF($B$20:B21,"D")</f>
        <v>0</v>
      </c>
      <c r="J21" s="298" t="n">
        <f aca="false">COUNTIF($B$20:B21,"F")</f>
        <v>0</v>
      </c>
    </row>
    <row r="22" customFormat="false" ht="15" hidden="false" customHeight="true" outlineLevel="0" collapsed="false">
      <c r="A22" s="298" t="n">
        <v>13</v>
      </c>
      <c r="B22" s="570" t="s">
        <v>3498</v>
      </c>
      <c r="C22" s="273" t="n">
        <f aca="false">IF(B22="V",SUP_CAPEX_VENTANA!$H$42,IF(B22="D",SUP_CAPEX_DINEIN!$H$43,SUP_CAPEX_FLAGSHIP!$H$55))</f>
        <v>92556.937</v>
      </c>
      <c r="D22" s="273" t="n">
        <f aca="false">IF(B22="V",SUP_OPEX!$D$23,IF(B22="D",SUP_OPEX!$E$23,SUP_OPEX!$F$23))</f>
        <v>6439</v>
      </c>
      <c r="E22" s="273" t="n">
        <f aca="false">D22*SUP_CONTROL!$C$19</f>
        <v>6439</v>
      </c>
      <c r="F22" s="273" t="n">
        <f aca="false">C22+E22</f>
        <v>98995.937</v>
      </c>
      <c r="G22" s="267" t="n">
        <f aca="false">IFERROR(MATCH(3,CAPA3_EXPANSION!$D$25:$DS$25,0),0)</f>
        <v>19</v>
      </c>
      <c r="H22" s="298" t="n">
        <f aca="false">COUNTIF($B$20:B22,"V")</f>
        <v>3</v>
      </c>
      <c r="I22" s="298" t="n">
        <f aca="false">COUNTIF($B$20:B22,"D")</f>
        <v>0</v>
      </c>
      <c r="J22" s="298" t="n">
        <f aca="false">COUNTIF($B$20:B22,"F")</f>
        <v>0</v>
      </c>
    </row>
    <row r="23" customFormat="false" ht="15" hidden="false" customHeight="true" outlineLevel="0" collapsed="false">
      <c r="A23" s="298" t="n">
        <v>14</v>
      </c>
      <c r="B23" s="570" t="s">
        <v>3499</v>
      </c>
      <c r="C23" s="273" t="n">
        <f aca="false">IF(B23="V",SUP_CAPEX_VENTANA!$H$42,IF(B23="D",SUP_CAPEX_DINEIN!$H$43,SUP_CAPEX_FLAGSHIP!$H$55))</f>
        <v>138911.02225</v>
      </c>
      <c r="D23" s="273" t="n">
        <f aca="false">IF(B23="V",SUP_OPEX!$D$23,IF(B23="D",SUP_OPEX!$E$23,SUP_OPEX!$F$23))</f>
        <v>8775</v>
      </c>
      <c r="E23" s="273" t="n">
        <f aca="false">D23*SUP_CONTROL!$C$19</f>
        <v>8775</v>
      </c>
      <c r="F23" s="273" t="n">
        <f aca="false">C23+E23</f>
        <v>147686.02225</v>
      </c>
      <c r="G23" s="267" t="n">
        <f aca="false">IFERROR(MATCH(4,CAPA3_EXPANSION!$D$25:$DS$25,0),0)</f>
        <v>29</v>
      </c>
      <c r="H23" s="298" t="n">
        <f aca="false">COUNTIF($B$20:B23,"V")</f>
        <v>3</v>
      </c>
      <c r="I23" s="298" t="n">
        <f aca="false">COUNTIF($B$20:B23,"D")</f>
        <v>1</v>
      </c>
      <c r="J23" s="298" t="n">
        <f aca="false">COUNTIF($B$20:B23,"F")</f>
        <v>0</v>
      </c>
    </row>
    <row r="24" customFormat="false" ht="15" hidden="false" customHeight="true" outlineLevel="0" collapsed="false">
      <c r="A24" s="298" t="n">
        <v>15</v>
      </c>
      <c r="B24" s="570" t="s">
        <v>3498</v>
      </c>
      <c r="C24" s="273" t="n">
        <f aca="false">IF(B24="V",SUP_CAPEX_VENTANA!$H$42,IF(B24="D",SUP_CAPEX_DINEIN!$H$43,SUP_CAPEX_FLAGSHIP!$H$55))</f>
        <v>92556.937</v>
      </c>
      <c r="D24" s="273" t="n">
        <f aca="false">IF(B24="V",SUP_OPEX!$D$23,IF(B24="D",SUP_OPEX!$E$23,SUP_OPEX!$F$23))</f>
        <v>6439</v>
      </c>
      <c r="E24" s="273" t="n">
        <f aca="false">D24*SUP_CONTROL!$C$19</f>
        <v>6439</v>
      </c>
      <c r="F24" s="273" t="n">
        <f aca="false">C24+E24</f>
        <v>98995.937</v>
      </c>
      <c r="G24" s="267" t="n">
        <f aca="false">IFERROR(MATCH(5,CAPA3_EXPANSION!$D$25:$DS$25,0),0)</f>
        <v>30</v>
      </c>
      <c r="H24" s="298" t="n">
        <f aca="false">COUNTIF($B$20:B24,"V")</f>
        <v>4</v>
      </c>
      <c r="I24" s="298" t="n">
        <f aca="false">COUNTIF($B$20:B24,"D")</f>
        <v>1</v>
      </c>
      <c r="J24" s="298" t="n">
        <f aca="false">COUNTIF($B$20:B24,"F")</f>
        <v>0</v>
      </c>
    </row>
    <row r="25" customFormat="false" ht="15" hidden="false" customHeight="true" outlineLevel="0" collapsed="false">
      <c r="A25" s="298" t="n">
        <v>16</v>
      </c>
      <c r="B25" s="570" t="s">
        <v>3498</v>
      </c>
      <c r="C25" s="273" t="n">
        <f aca="false">IF(B25="V",SUP_CAPEX_VENTANA!$H$42,IF(B25="D",SUP_CAPEX_DINEIN!$H$43,SUP_CAPEX_FLAGSHIP!$H$55))</f>
        <v>92556.937</v>
      </c>
      <c r="D25" s="273" t="n">
        <f aca="false">IF(B25="V",SUP_OPEX!$D$23,IF(B25="D",SUP_OPEX!$E$23,SUP_OPEX!$F$23))</f>
        <v>6439</v>
      </c>
      <c r="E25" s="273" t="n">
        <f aca="false">D25*SUP_CONTROL!$C$19</f>
        <v>6439</v>
      </c>
      <c r="F25" s="273" t="n">
        <f aca="false">C25+E25</f>
        <v>98995.937</v>
      </c>
      <c r="G25" s="267" t="n">
        <f aca="false">IFERROR(MATCH(6,CAPA3_EXPANSION!$D$25:$DS$25,0),0)</f>
        <v>32</v>
      </c>
      <c r="H25" s="298" t="n">
        <f aca="false">COUNTIF($B$20:B25,"V")</f>
        <v>5</v>
      </c>
      <c r="I25" s="298" t="n">
        <f aca="false">COUNTIF($B$20:B25,"D")</f>
        <v>1</v>
      </c>
      <c r="J25" s="298" t="n">
        <f aca="false">COUNTIF($B$20:B25,"F")</f>
        <v>0</v>
      </c>
    </row>
    <row r="26" customFormat="false" ht="15" hidden="false" customHeight="true" outlineLevel="0" collapsed="false">
      <c r="A26" s="298" t="n">
        <v>17</v>
      </c>
      <c r="B26" s="570" t="s">
        <v>3498</v>
      </c>
      <c r="C26" s="273" t="n">
        <f aca="false">IF(B26="V",SUP_CAPEX_VENTANA!$H$42,IF(B26="D",SUP_CAPEX_DINEIN!$H$43,SUP_CAPEX_FLAGSHIP!$H$55))</f>
        <v>92556.937</v>
      </c>
      <c r="D26" s="273" t="n">
        <f aca="false">IF(B26="V",SUP_OPEX!$D$23,IF(B26="D",SUP_OPEX!$E$23,SUP_OPEX!$F$23))</f>
        <v>6439</v>
      </c>
      <c r="E26" s="273" t="n">
        <f aca="false">D26*SUP_CONTROL!$C$19</f>
        <v>6439</v>
      </c>
      <c r="F26" s="273" t="n">
        <f aca="false">C26+E26</f>
        <v>98995.937</v>
      </c>
      <c r="G26" s="267" t="n">
        <f aca="false">IFERROR(MATCH(7,CAPA3_EXPANSION!$D$25:$DS$25,0),0)</f>
        <v>34</v>
      </c>
      <c r="H26" s="298" t="n">
        <f aca="false">COUNTIF($B$20:B26,"V")</f>
        <v>6</v>
      </c>
      <c r="I26" s="298" t="n">
        <f aca="false">COUNTIF($B$20:B26,"D")</f>
        <v>1</v>
      </c>
      <c r="J26" s="298" t="n">
        <f aca="false">COUNTIF($B$20:B26,"F")</f>
        <v>0</v>
      </c>
    </row>
    <row r="27" customFormat="false" ht="15" hidden="false" customHeight="true" outlineLevel="0" collapsed="false">
      <c r="A27" s="298" t="n">
        <v>18</v>
      </c>
      <c r="B27" s="570" t="s">
        <v>3499</v>
      </c>
      <c r="C27" s="273" t="n">
        <f aca="false">IF(B27="V",SUP_CAPEX_VENTANA!$H$42,IF(B27="D",SUP_CAPEX_DINEIN!$H$43,SUP_CAPEX_FLAGSHIP!$H$55))</f>
        <v>138911.02225</v>
      </c>
      <c r="D27" s="273" t="n">
        <f aca="false">IF(B27="V",SUP_OPEX!$D$23,IF(B27="D",SUP_OPEX!$E$23,SUP_OPEX!$F$23))</f>
        <v>8775</v>
      </c>
      <c r="E27" s="273" t="n">
        <f aca="false">D27*SUP_CONTROL!$C$19</f>
        <v>8775</v>
      </c>
      <c r="F27" s="273" t="n">
        <f aca="false">C27+E27</f>
        <v>147686.02225</v>
      </c>
      <c r="G27" s="267" t="n">
        <f aca="false">IFERROR(MATCH(8,CAPA3_EXPANSION!$D$25:$DS$25,0),0)</f>
        <v>37</v>
      </c>
      <c r="H27" s="298" t="n">
        <f aca="false">COUNTIF($B$20:B27,"V")</f>
        <v>6</v>
      </c>
      <c r="I27" s="298" t="n">
        <f aca="false">COUNTIF($B$20:B27,"D")</f>
        <v>2</v>
      </c>
      <c r="J27" s="298" t="n">
        <f aca="false">COUNTIF($B$20:B27,"F")</f>
        <v>0</v>
      </c>
    </row>
    <row r="28" customFormat="false" ht="15" hidden="false" customHeight="true" outlineLevel="0" collapsed="false">
      <c r="A28" s="298" t="n">
        <v>19</v>
      </c>
      <c r="B28" s="570" t="s">
        <v>3498</v>
      </c>
      <c r="C28" s="273" t="n">
        <f aca="false">IF(B28="V",SUP_CAPEX_VENTANA!$H$42,IF(B28="D",SUP_CAPEX_DINEIN!$H$43,SUP_CAPEX_FLAGSHIP!$H$55))</f>
        <v>92556.937</v>
      </c>
      <c r="D28" s="273" t="n">
        <f aca="false">IF(B28="V",SUP_OPEX!$D$23,IF(B28="D",SUP_OPEX!$E$23,SUP_OPEX!$F$23))</f>
        <v>6439</v>
      </c>
      <c r="E28" s="273" t="n">
        <f aca="false">D28*SUP_CONTROL!$C$19</f>
        <v>6439</v>
      </c>
      <c r="F28" s="273" t="n">
        <f aca="false">C28+E28</f>
        <v>98995.937</v>
      </c>
      <c r="G28" s="267" t="n">
        <f aca="false">IFERROR(MATCH(9,CAPA3_EXPANSION!$D$25:$DS$25,0),0)</f>
        <v>38</v>
      </c>
      <c r="H28" s="298" t="n">
        <f aca="false">COUNTIF($B$20:B28,"V")</f>
        <v>7</v>
      </c>
      <c r="I28" s="298" t="n">
        <f aca="false">COUNTIF($B$20:B28,"D")</f>
        <v>2</v>
      </c>
      <c r="J28" s="298" t="n">
        <f aca="false">COUNTIF($B$20:B28,"F")</f>
        <v>0</v>
      </c>
    </row>
    <row r="29" customFormat="false" ht="15" hidden="false" customHeight="true" outlineLevel="0" collapsed="false">
      <c r="A29" s="298" t="n">
        <v>20</v>
      </c>
      <c r="B29" s="570" t="s">
        <v>3498</v>
      </c>
      <c r="C29" s="273" t="n">
        <f aca="false">IF(B29="V",SUP_CAPEX_VENTANA!$H$42,IF(B29="D",SUP_CAPEX_DINEIN!$H$43,SUP_CAPEX_FLAGSHIP!$H$55))</f>
        <v>92556.937</v>
      </c>
      <c r="D29" s="273" t="n">
        <f aca="false">IF(B29="V",SUP_OPEX!$D$23,IF(B29="D",SUP_OPEX!$E$23,SUP_OPEX!$F$23))</f>
        <v>6439</v>
      </c>
      <c r="E29" s="273" t="n">
        <f aca="false">D29*SUP_CONTROL!$C$19</f>
        <v>6439</v>
      </c>
      <c r="F29" s="273" t="n">
        <f aca="false">C29+E29</f>
        <v>98995.937</v>
      </c>
      <c r="G29" s="267" t="n">
        <f aca="false">IFERROR(MATCH(10,CAPA3_EXPANSION!$D$25:$DS$25,0),0)</f>
        <v>39</v>
      </c>
      <c r="H29" s="298" t="n">
        <f aca="false">COUNTIF($B$20:B29,"V")</f>
        <v>8</v>
      </c>
      <c r="I29" s="298" t="n">
        <f aca="false">COUNTIF($B$20:B29,"D")</f>
        <v>2</v>
      </c>
      <c r="J29" s="298" t="n">
        <f aca="false">COUNTIF($B$20:B29,"F")</f>
        <v>0</v>
      </c>
    </row>
    <row r="30" customFormat="false" ht="15" hidden="false" customHeight="true" outlineLevel="0" collapsed="false">
      <c r="A30" s="298" t="n">
        <v>21</v>
      </c>
      <c r="B30" s="570" t="s">
        <v>3498</v>
      </c>
      <c r="C30" s="273" t="n">
        <f aca="false">IF(B30="V",SUP_CAPEX_VENTANA!$H$42,IF(B30="D",SUP_CAPEX_DINEIN!$H$43,SUP_CAPEX_FLAGSHIP!$H$55))</f>
        <v>92556.937</v>
      </c>
      <c r="D30" s="273" t="n">
        <f aca="false">IF(B30="V",SUP_OPEX!$D$23,IF(B30="D",SUP_OPEX!$E$23,SUP_OPEX!$F$23))</f>
        <v>6439</v>
      </c>
      <c r="E30" s="273" t="n">
        <f aca="false">D30*SUP_CONTROL!$C$19</f>
        <v>6439</v>
      </c>
      <c r="F30" s="273" t="n">
        <f aca="false">C30+E30</f>
        <v>98995.937</v>
      </c>
      <c r="G30" s="267" t="n">
        <f aca="false">IFERROR(MATCH(11,CAPA3_EXPANSION!$D$25:$DS$25,0),0)</f>
        <v>40</v>
      </c>
      <c r="H30" s="298" t="n">
        <f aca="false">COUNTIF($B$20:B30,"V")</f>
        <v>9</v>
      </c>
      <c r="I30" s="298" t="n">
        <f aca="false">COUNTIF($B$20:B30,"D")</f>
        <v>2</v>
      </c>
      <c r="J30" s="298" t="n">
        <f aca="false">COUNTIF($B$20:B30,"F")</f>
        <v>0</v>
      </c>
    </row>
    <row r="31" customFormat="false" ht="15" hidden="false" customHeight="true" outlineLevel="0" collapsed="false">
      <c r="A31" s="298" t="n">
        <v>22</v>
      </c>
      <c r="B31" s="570" t="s">
        <v>3499</v>
      </c>
      <c r="C31" s="273" t="n">
        <f aca="false">IF(B31="V",SUP_CAPEX_VENTANA!$H$42,IF(B31="D",SUP_CAPEX_DINEIN!$H$43,SUP_CAPEX_FLAGSHIP!$H$55))</f>
        <v>138911.02225</v>
      </c>
      <c r="D31" s="273" t="n">
        <f aca="false">IF(B31="V",SUP_OPEX!$D$23,IF(B31="D",SUP_OPEX!$E$23,SUP_OPEX!$F$23))</f>
        <v>8775</v>
      </c>
      <c r="E31" s="273" t="n">
        <f aca="false">D31*SUP_CONTROL!$C$19</f>
        <v>8775</v>
      </c>
      <c r="F31" s="273" t="n">
        <f aca="false">C31+E31</f>
        <v>147686.02225</v>
      </c>
      <c r="G31" s="267" t="n">
        <f aca="false">IFERROR(MATCH(12,CAPA3_EXPANSION!$D$25:$DS$25,0),0)</f>
        <v>43</v>
      </c>
      <c r="H31" s="298" t="n">
        <f aca="false">COUNTIF($B$20:B31,"V")</f>
        <v>9</v>
      </c>
      <c r="I31" s="298" t="n">
        <f aca="false">COUNTIF($B$20:B31,"D")</f>
        <v>3</v>
      </c>
      <c r="J31" s="298" t="n">
        <f aca="false">COUNTIF($B$20:B31,"F")</f>
        <v>0</v>
      </c>
    </row>
    <row r="32" customFormat="false" ht="15" hidden="false" customHeight="true" outlineLevel="0" collapsed="false">
      <c r="A32" s="298" t="n">
        <v>23</v>
      </c>
      <c r="B32" s="570" t="s">
        <v>3498</v>
      </c>
      <c r="C32" s="273" t="n">
        <f aca="false">IF(B32="V",SUP_CAPEX_VENTANA!$H$42,IF(B32="D",SUP_CAPEX_DINEIN!$H$43,SUP_CAPEX_FLAGSHIP!$H$55))</f>
        <v>92556.937</v>
      </c>
      <c r="D32" s="273" t="n">
        <f aca="false">IF(B32="V",SUP_OPEX!$D$23,IF(B32="D",SUP_OPEX!$E$23,SUP_OPEX!$F$23))</f>
        <v>6439</v>
      </c>
      <c r="E32" s="273" t="n">
        <f aca="false">D32*SUP_CONTROL!$C$19</f>
        <v>6439</v>
      </c>
      <c r="F32" s="273" t="n">
        <f aca="false">C32+E32</f>
        <v>98995.937</v>
      </c>
      <c r="G32" s="267" t="n">
        <f aca="false">IFERROR(MATCH(13,CAPA3_EXPANSION!$D$25:$DS$25,0),0)</f>
        <v>45</v>
      </c>
      <c r="H32" s="298" t="n">
        <f aca="false">COUNTIF($B$20:B32,"V")</f>
        <v>10</v>
      </c>
      <c r="I32" s="298" t="n">
        <f aca="false">COUNTIF($B$20:B32,"D")</f>
        <v>3</v>
      </c>
      <c r="J32" s="298" t="n">
        <f aca="false">COUNTIF($B$20:B32,"F")</f>
        <v>0</v>
      </c>
    </row>
    <row r="33" customFormat="false" ht="15" hidden="false" customHeight="true" outlineLevel="0" collapsed="false">
      <c r="A33" s="298" t="n">
        <v>24</v>
      </c>
      <c r="B33" s="570" t="s">
        <v>3498</v>
      </c>
      <c r="C33" s="273" t="n">
        <f aca="false">IF(B33="V",SUP_CAPEX_VENTANA!$H$42,IF(B33="D",SUP_CAPEX_DINEIN!$H$43,SUP_CAPEX_FLAGSHIP!$H$55))</f>
        <v>92556.937</v>
      </c>
      <c r="D33" s="273" t="n">
        <f aca="false">IF(B33="V",SUP_OPEX!$D$23,IF(B33="D",SUP_OPEX!$E$23,SUP_OPEX!$F$23))</f>
        <v>6439</v>
      </c>
      <c r="E33" s="273" t="n">
        <f aca="false">D33*SUP_CONTROL!$C$19</f>
        <v>6439</v>
      </c>
      <c r="F33" s="273" t="n">
        <f aca="false">C33+E33</f>
        <v>98995.937</v>
      </c>
      <c r="G33" s="267" t="n">
        <f aca="false">IFERROR(MATCH(14,CAPA3_EXPANSION!$D$25:$DS$25,0),0)</f>
        <v>46</v>
      </c>
      <c r="H33" s="298" t="n">
        <f aca="false">COUNTIF($B$20:B33,"V")</f>
        <v>11</v>
      </c>
      <c r="I33" s="298" t="n">
        <f aca="false">COUNTIF($B$20:B33,"D")</f>
        <v>3</v>
      </c>
      <c r="J33" s="298" t="n">
        <f aca="false">COUNTIF($B$20:B33,"F")</f>
        <v>0</v>
      </c>
    </row>
    <row r="34" customFormat="false" ht="15" hidden="false" customHeight="true" outlineLevel="0" collapsed="false">
      <c r="A34" s="298" t="n">
        <v>25</v>
      </c>
      <c r="B34" s="570" t="s">
        <v>3500</v>
      </c>
      <c r="C34" s="571" t="n">
        <f aca="false">IF(B34="V",SUP_CAPEX_VENTANA!$H$42,IF(B34="D",SUP_CAPEX_DINEIN!$H$43,SUP_CAPEX_FLAGSHIP!$H$55))</f>
        <v>485628.42075</v>
      </c>
      <c r="D34" s="273" t="n">
        <f aca="false">IF(B34="V",SUP_OPEX!$D$23,IF(B34="D",SUP_OPEX!$E$23,SUP_OPEX!$F$23))</f>
        <v>20437.75</v>
      </c>
      <c r="E34" s="273" t="n">
        <f aca="false">D34*SUP_CONTROL!$C$19</f>
        <v>20437.75</v>
      </c>
      <c r="F34" s="273" t="n">
        <f aca="false">C34+E34</f>
        <v>506066.17075</v>
      </c>
      <c r="G34" s="267" t="n">
        <f aca="false">IFERROR(MATCH(15,CAPA3_EXPANSION!$D$25:$DS$25,0),0)</f>
        <v>55</v>
      </c>
      <c r="H34" s="298" t="n">
        <f aca="false">COUNTIF($B$20:B34,"V")</f>
        <v>11</v>
      </c>
      <c r="I34" s="298" t="n">
        <f aca="false">COUNTIF($B$20:B34,"D")</f>
        <v>3</v>
      </c>
      <c r="J34" s="298" t="n">
        <f aca="false">COUNTIF($B$20:B34,"F")</f>
        <v>1</v>
      </c>
    </row>
    <row r="35" customFormat="false" ht="15" hidden="false" customHeight="true" outlineLevel="0" collapsed="false">
      <c r="A35" s="298" t="n">
        <v>26</v>
      </c>
      <c r="B35" s="570" t="s">
        <v>3498</v>
      </c>
      <c r="C35" s="273" t="n">
        <f aca="false">IF(B35="V",SUP_CAPEX_VENTANA!$H$42,IF(B35="D",SUP_CAPEX_DINEIN!$H$43,SUP_CAPEX_FLAGSHIP!$H$55))</f>
        <v>92556.937</v>
      </c>
      <c r="D35" s="273" t="n">
        <f aca="false">IF(B35="V",SUP_OPEX!$D$23,IF(B35="D",SUP_OPEX!$E$23,SUP_OPEX!$F$23))</f>
        <v>6439</v>
      </c>
      <c r="E35" s="273" t="n">
        <f aca="false">D35*SUP_CONTROL!$C$19</f>
        <v>6439</v>
      </c>
      <c r="F35" s="273" t="n">
        <f aca="false">C35+E35</f>
        <v>98995.937</v>
      </c>
      <c r="G35" s="267" t="n">
        <f aca="false">IFERROR(MATCH(16,CAPA3_EXPANSION!$D$25:$DS$25,0),0)</f>
        <v>56</v>
      </c>
      <c r="H35" s="298" t="n">
        <f aca="false">COUNTIF($B$20:B35,"V")</f>
        <v>12</v>
      </c>
      <c r="I35" s="298" t="n">
        <f aca="false">COUNTIF($B$20:B35,"D")</f>
        <v>3</v>
      </c>
      <c r="J35" s="298" t="n">
        <f aca="false">COUNTIF($B$20:B35,"F")</f>
        <v>1</v>
      </c>
    </row>
    <row r="36" customFormat="false" ht="15" hidden="false" customHeight="true" outlineLevel="0" collapsed="false">
      <c r="A36" s="298" t="n">
        <v>27</v>
      </c>
      <c r="B36" s="570" t="s">
        <v>3499</v>
      </c>
      <c r="C36" s="273" t="n">
        <f aca="false">IF(B36="V",SUP_CAPEX_VENTANA!$H$42,IF(B36="D",SUP_CAPEX_DINEIN!$H$43,SUP_CAPEX_FLAGSHIP!$H$55))</f>
        <v>138911.02225</v>
      </c>
      <c r="D36" s="273" t="n">
        <f aca="false">IF(B36="V",SUP_OPEX!$D$23,IF(B36="D",SUP_OPEX!$E$23,SUP_OPEX!$F$23))</f>
        <v>8775</v>
      </c>
      <c r="E36" s="273" t="n">
        <f aca="false">D36*SUP_CONTROL!$C$19</f>
        <v>8775</v>
      </c>
      <c r="F36" s="273" t="n">
        <f aca="false">C36+E36</f>
        <v>147686.02225</v>
      </c>
      <c r="G36" s="267" t="n">
        <f aca="false">IFERROR(MATCH(17,CAPA3_EXPANSION!$D$25:$DS$25,0),0)</f>
        <v>57</v>
      </c>
      <c r="H36" s="298" t="n">
        <f aca="false">COUNTIF($B$20:B36,"V")</f>
        <v>12</v>
      </c>
      <c r="I36" s="298" t="n">
        <f aca="false">COUNTIF($B$20:B36,"D")</f>
        <v>4</v>
      </c>
      <c r="J36" s="298" t="n">
        <f aca="false">COUNTIF($B$20:B36,"F")</f>
        <v>1</v>
      </c>
    </row>
    <row r="37" customFormat="false" ht="15" hidden="false" customHeight="true" outlineLevel="0" collapsed="false">
      <c r="A37" s="298" t="n">
        <v>28</v>
      </c>
      <c r="B37" s="570" t="s">
        <v>3498</v>
      </c>
      <c r="C37" s="273" t="n">
        <f aca="false">IF(B37="V",SUP_CAPEX_VENTANA!$H$42,IF(B37="D",SUP_CAPEX_DINEIN!$H$43,SUP_CAPEX_FLAGSHIP!$H$55))</f>
        <v>92556.937</v>
      </c>
      <c r="D37" s="273" t="n">
        <f aca="false">IF(B37="V",SUP_OPEX!$D$23,IF(B37="D",SUP_OPEX!$E$23,SUP_OPEX!$F$23))</f>
        <v>6439</v>
      </c>
      <c r="E37" s="273" t="n">
        <f aca="false">D37*SUP_CONTROL!$C$19</f>
        <v>6439</v>
      </c>
      <c r="F37" s="273" t="n">
        <f aca="false">C37+E37</f>
        <v>98995.937</v>
      </c>
      <c r="G37" s="267" t="n">
        <f aca="false">IFERROR(MATCH(18,CAPA3_EXPANSION!$D$25:$DS$25,0),0)</f>
        <v>58</v>
      </c>
      <c r="H37" s="298" t="n">
        <f aca="false">COUNTIF($B$20:B37,"V")</f>
        <v>13</v>
      </c>
      <c r="I37" s="298" t="n">
        <f aca="false">COUNTIF($B$20:B37,"D")</f>
        <v>4</v>
      </c>
      <c r="J37" s="298" t="n">
        <f aca="false">COUNTIF($B$20:B37,"F")</f>
        <v>1</v>
      </c>
    </row>
    <row r="38" customFormat="false" ht="15" hidden="false" customHeight="true" outlineLevel="0" collapsed="false">
      <c r="A38" s="298" t="n">
        <v>29</v>
      </c>
      <c r="B38" s="570" t="s">
        <v>3498</v>
      </c>
      <c r="C38" s="273" t="n">
        <f aca="false">IF(B38="V",SUP_CAPEX_VENTANA!$H$42,IF(B38="D",SUP_CAPEX_DINEIN!$H$43,SUP_CAPEX_FLAGSHIP!$H$55))</f>
        <v>92556.937</v>
      </c>
      <c r="D38" s="273" t="n">
        <f aca="false">IF(B38="V",SUP_OPEX!$D$23,IF(B38="D",SUP_OPEX!$E$23,SUP_OPEX!$F$23))</f>
        <v>6439</v>
      </c>
      <c r="E38" s="273" t="n">
        <f aca="false">D38*SUP_CONTROL!$C$19</f>
        <v>6439</v>
      </c>
      <c r="F38" s="273" t="n">
        <f aca="false">C38+E38</f>
        <v>98995.937</v>
      </c>
      <c r="G38" s="267" t="n">
        <f aca="false">IFERROR(MATCH(19,CAPA3_EXPANSION!$D$25:$DS$25,0),0)</f>
        <v>59</v>
      </c>
      <c r="H38" s="298" t="n">
        <f aca="false">COUNTIF($B$20:B38,"V")</f>
        <v>14</v>
      </c>
      <c r="I38" s="298" t="n">
        <f aca="false">COUNTIF($B$20:B38,"D")</f>
        <v>4</v>
      </c>
      <c r="J38" s="298" t="n">
        <f aca="false">COUNTIF($B$20:B38,"F")</f>
        <v>1</v>
      </c>
    </row>
    <row r="39" customFormat="false" ht="15" hidden="false" customHeight="true" outlineLevel="0" collapsed="false">
      <c r="A39" s="298" t="n">
        <v>30</v>
      </c>
      <c r="B39" s="570" t="s">
        <v>3498</v>
      </c>
      <c r="C39" s="273" t="n">
        <f aca="false">IF(B39="V",SUP_CAPEX_VENTANA!$H$42,IF(B39="D",SUP_CAPEX_DINEIN!$H$43,SUP_CAPEX_FLAGSHIP!$H$55))</f>
        <v>92556.937</v>
      </c>
      <c r="D39" s="273" t="n">
        <f aca="false">IF(B39="V",SUP_OPEX!$D$23,IF(B39="D",SUP_OPEX!$E$23,SUP_OPEX!$F$23))</f>
        <v>6439</v>
      </c>
      <c r="E39" s="273" t="n">
        <f aca="false">D39*SUP_CONTROL!$C$19</f>
        <v>6439</v>
      </c>
      <c r="F39" s="273" t="n">
        <f aca="false">C39+E39</f>
        <v>98995.937</v>
      </c>
      <c r="G39" s="267" t="n">
        <f aca="false">IFERROR(MATCH(20,CAPA3_EXPANSION!$D$25:$DS$25,0),0)</f>
        <v>60</v>
      </c>
      <c r="H39" s="298" t="n">
        <f aca="false">COUNTIF($B$20:B39,"V")</f>
        <v>15</v>
      </c>
      <c r="I39" s="298" t="n">
        <f aca="false">COUNTIF($B$20:B39,"D")</f>
        <v>4</v>
      </c>
      <c r="J39" s="298" t="n">
        <f aca="false">COUNTIF($B$20:B39,"F")</f>
        <v>1</v>
      </c>
    </row>
    <row r="40" customFormat="false" ht="15" hidden="false" customHeight="true" outlineLevel="0" collapsed="false">
      <c r="A40" s="298" t="n">
        <v>31</v>
      </c>
      <c r="B40" s="570" t="s">
        <v>3499</v>
      </c>
      <c r="C40" s="273" t="n">
        <f aca="false">IF(B40="V",SUP_CAPEX_VENTANA!$H$42,IF(B40="D",SUP_CAPEX_DINEIN!$H$43,SUP_CAPEX_FLAGSHIP!$H$55))</f>
        <v>138911.02225</v>
      </c>
      <c r="D40" s="273" t="n">
        <f aca="false">IF(B40="V",SUP_OPEX!$D$23,IF(B40="D",SUP_OPEX!$E$23,SUP_OPEX!$F$23))</f>
        <v>8775</v>
      </c>
      <c r="E40" s="273" t="n">
        <f aca="false">D40*SUP_CONTROL!$C$19</f>
        <v>8775</v>
      </c>
      <c r="F40" s="273" t="n">
        <f aca="false">C40+E40</f>
        <v>147686.02225</v>
      </c>
      <c r="G40" s="267" t="n">
        <f aca="false">IFERROR(MATCH(21,CAPA3_EXPANSION!$D$25:$DS$25,0),0)</f>
        <v>62</v>
      </c>
      <c r="H40" s="298" t="n">
        <f aca="false">COUNTIF($B$20:B40,"V")</f>
        <v>15</v>
      </c>
      <c r="I40" s="298" t="n">
        <f aca="false">COUNTIF($B$20:B40,"D")</f>
        <v>5</v>
      </c>
      <c r="J40" s="298" t="n">
        <f aca="false">COUNTIF($B$20:B40,"F")</f>
        <v>1</v>
      </c>
    </row>
    <row r="41" customFormat="false" ht="15" hidden="false" customHeight="true" outlineLevel="0" collapsed="false">
      <c r="A41" s="298" t="n">
        <v>32</v>
      </c>
      <c r="B41" s="570" t="s">
        <v>3498</v>
      </c>
      <c r="C41" s="273" t="n">
        <f aca="false">IF(B41="V",SUP_CAPEX_VENTANA!$H$42,IF(B41="D",SUP_CAPEX_DINEIN!$H$43,SUP_CAPEX_FLAGSHIP!$H$55))</f>
        <v>92556.937</v>
      </c>
      <c r="D41" s="273" t="n">
        <f aca="false">IF(B41="V",SUP_OPEX!$D$23,IF(B41="D",SUP_OPEX!$E$23,SUP_OPEX!$F$23))</f>
        <v>6439</v>
      </c>
      <c r="E41" s="273" t="n">
        <f aca="false">D41*SUP_CONTROL!$C$19</f>
        <v>6439</v>
      </c>
      <c r="F41" s="273" t="n">
        <f aca="false">C41+E41</f>
        <v>98995.937</v>
      </c>
      <c r="G41" s="267" t="n">
        <f aca="false">IFERROR(MATCH(22,CAPA3_EXPANSION!$D$25:$DS$25,0),0)</f>
        <v>63</v>
      </c>
      <c r="H41" s="298" t="n">
        <f aca="false">COUNTIF($B$20:B41,"V")</f>
        <v>16</v>
      </c>
      <c r="I41" s="298" t="n">
        <f aca="false">COUNTIF($B$20:B41,"D")</f>
        <v>5</v>
      </c>
      <c r="J41" s="298" t="n">
        <f aca="false">COUNTIF($B$20:B41,"F")</f>
        <v>1</v>
      </c>
    </row>
    <row r="42" customFormat="false" ht="15" hidden="false" customHeight="true" outlineLevel="0" collapsed="false">
      <c r="A42" s="298" t="n">
        <v>33</v>
      </c>
      <c r="B42" s="570" t="s">
        <v>3498</v>
      </c>
      <c r="C42" s="273" t="n">
        <f aca="false">IF(B42="V",SUP_CAPEX_VENTANA!$H$42,IF(B42="D",SUP_CAPEX_DINEIN!$H$43,SUP_CAPEX_FLAGSHIP!$H$55))</f>
        <v>92556.937</v>
      </c>
      <c r="D42" s="273" t="n">
        <f aca="false">IF(B42="V",SUP_OPEX!$D$23,IF(B42="D",SUP_OPEX!$E$23,SUP_OPEX!$F$23))</f>
        <v>6439</v>
      </c>
      <c r="E42" s="273" t="n">
        <f aca="false">D42*SUP_CONTROL!$C$19</f>
        <v>6439</v>
      </c>
      <c r="F42" s="273" t="n">
        <f aca="false">C42+E42</f>
        <v>98995.937</v>
      </c>
      <c r="G42" s="267" t="n">
        <f aca="false">IFERROR(MATCH(23,CAPA3_EXPANSION!$D$25:$DS$25,0),0)</f>
        <v>64</v>
      </c>
      <c r="H42" s="298" t="n">
        <f aca="false">COUNTIF($B$20:B42,"V")</f>
        <v>17</v>
      </c>
      <c r="I42" s="298" t="n">
        <f aca="false">COUNTIF($B$20:B42,"D")</f>
        <v>5</v>
      </c>
      <c r="J42" s="298" t="n">
        <f aca="false">COUNTIF($B$20:B42,"F")</f>
        <v>1</v>
      </c>
    </row>
    <row r="43" customFormat="false" ht="15" hidden="false" customHeight="true" outlineLevel="0" collapsed="false">
      <c r="A43" s="298" t="n">
        <v>34</v>
      </c>
      <c r="B43" s="570" t="s">
        <v>3498</v>
      </c>
      <c r="C43" s="273" t="n">
        <f aca="false">IF(B43="V",SUP_CAPEX_VENTANA!$H$42,IF(B43="D",SUP_CAPEX_DINEIN!$H$43,SUP_CAPEX_FLAGSHIP!$H$55))</f>
        <v>92556.937</v>
      </c>
      <c r="D43" s="273" t="n">
        <f aca="false">IF(B43="V",SUP_OPEX!$D$23,IF(B43="D",SUP_OPEX!$E$23,SUP_OPEX!$F$23))</f>
        <v>6439</v>
      </c>
      <c r="E43" s="273" t="n">
        <f aca="false">D43*SUP_CONTROL!$C$19</f>
        <v>6439</v>
      </c>
      <c r="F43" s="273" t="n">
        <f aca="false">C43+E43</f>
        <v>98995.937</v>
      </c>
      <c r="G43" s="267" t="n">
        <f aca="false">IFERROR(MATCH(24,CAPA3_EXPANSION!$D$25:$DS$25,0),0)</f>
        <v>65</v>
      </c>
      <c r="H43" s="298" t="n">
        <f aca="false">COUNTIF($B$20:B43,"V")</f>
        <v>18</v>
      </c>
      <c r="I43" s="298" t="n">
        <f aca="false">COUNTIF($B$20:B43,"D")</f>
        <v>5</v>
      </c>
      <c r="J43" s="298" t="n">
        <f aca="false">COUNTIF($B$20:B43,"F")</f>
        <v>1</v>
      </c>
    </row>
    <row r="44" customFormat="false" ht="15" hidden="false" customHeight="true" outlineLevel="0" collapsed="false">
      <c r="A44" s="298" t="n">
        <v>35</v>
      </c>
      <c r="B44" s="570" t="s">
        <v>3499</v>
      </c>
      <c r="C44" s="273" t="n">
        <f aca="false">IF(B44="V",SUP_CAPEX_VENTANA!$H$42,IF(B44="D",SUP_CAPEX_DINEIN!$H$43,SUP_CAPEX_FLAGSHIP!$H$55))</f>
        <v>138911.02225</v>
      </c>
      <c r="D44" s="273" t="n">
        <f aca="false">IF(B44="V",SUP_OPEX!$D$23,IF(B44="D",SUP_OPEX!$E$23,SUP_OPEX!$F$23))</f>
        <v>8775</v>
      </c>
      <c r="E44" s="273" t="n">
        <f aca="false">D44*SUP_CONTROL!$C$19</f>
        <v>8775</v>
      </c>
      <c r="F44" s="273" t="n">
        <f aca="false">C44+E44</f>
        <v>147686.02225</v>
      </c>
      <c r="G44" s="267" t="n">
        <f aca="false">IFERROR(MATCH(25,CAPA3_EXPANSION!$D$25:$DS$25,0),0)</f>
        <v>66</v>
      </c>
      <c r="H44" s="298" t="n">
        <f aca="false">COUNTIF($B$20:B44,"V")</f>
        <v>18</v>
      </c>
      <c r="I44" s="298" t="n">
        <f aca="false">COUNTIF($B$20:B44,"D")</f>
        <v>6</v>
      </c>
      <c r="J44" s="298" t="n">
        <f aca="false">COUNTIF($B$20:B44,"F")</f>
        <v>1</v>
      </c>
    </row>
    <row r="45" customFormat="false" ht="15" hidden="false" customHeight="true" outlineLevel="0" collapsed="false">
      <c r="A45" s="298" t="n">
        <v>36</v>
      </c>
      <c r="B45" s="570" t="s">
        <v>3498</v>
      </c>
      <c r="C45" s="273" t="n">
        <f aca="false">IF(B45="V",SUP_CAPEX_VENTANA!$H$42,IF(B45="D",SUP_CAPEX_DINEIN!$H$43,SUP_CAPEX_FLAGSHIP!$H$55))</f>
        <v>92556.937</v>
      </c>
      <c r="D45" s="273" t="n">
        <f aca="false">IF(B45="V",SUP_OPEX!$D$23,IF(B45="D",SUP_OPEX!$E$23,SUP_OPEX!$F$23))</f>
        <v>6439</v>
      </c>
      <c r="E45" s="273" t="n">
        <f aca="false">D45*SUP_CONTROL!$C$19</f>
        <v>6439</v>
      </c>
      <c r="F45" s="273" t="n">
        <f aca="false">C45+E45</f>
        <v>98995.937</v>
      </c>
      <c r="G45" s="267" t="n">
        <f aca="false">IFERROR(MATCH(26,CAPA3_EXPANSION!$D$25:$DS$25,0),0)</f>
        <v>67</v>
      </c>
      <c r="H45" s="298" t="n">
        <f aca="false">COUNTIF($B$20:B45,"V")</f>
        <v>19</v>
      </c>
      <c r="I45" s="298" t="n">
        <f aca="false">COUNTIF($B$20:B45,"D")</f>
        <v>6</v>
      </c>
      <c r="J45" s="298" t="n">
        <f aca="false">COUNTIF($B$20:B45,"F")</f>
        <v>1</v>
      </c>
    </row>
    <row r="46" customFormat="false" ht="15" hidden="false" customHeight="true" outlineLevel="0" collapsed="false">
      <c r="A46" s="298" t="n">
        <v>37</v>
      </c>
      <c r="B46" s="570" t="s">
        <v>3498</v>
      </c>
      <c r="C46" s="273" t="n">
        <f aca="false">IF(B46="V",SUP_CAPEX_VENTANA!$H$42,IF(B46="D",SUP_CAPEX_DINEIN!$H$43,SUP_CAPEX_FLAGSHIP!$H$55))</f>
        <v>92556.937</v>
      </c>
      <c r="D46" s="273" t="n">
        <f aca="false">IF(B46="V",SUP_OPEX!$D$23,IF(B46="D",SUP_OPEX!$E$23,SUP_OPEX!$F$23))</f>
        <v>6439</v>
      </c>
      <c r="E46" s="273" t="n">
        <f aca="false">D46*SUP_CONTROL!$C$19</f>
        <v>6439</v>
      </c>
      <c r="F46" s="273" t="n">
        <f aca="false">C46+E46</f>
        <v>98995.937</v>
      </c>
      <c r="G46" s="267" t="n">
        <f aca="false">IFERROR(MATCH(27,CAPA3_EXPANSION!$D$25:$DS$25,0),0)</f>
        <v>68</v>
      </c>
      <c r="H46" s="298" t="n">
        <f aca="false">COUNTIF($B$20:B46,"V")</f>
        <v>20</v>
      </c>
      <c r="I46" s="298" t="n">
        <f aca="false">COUNTIF($B$20:B46,"D")</f>
        <v>6</v>
      </c>
      <c r="J46" s="298" t="n">
        <f aca="false">COUNTIF($B$20:B46,"F")</f>
        <v>1</v>
      </c>
    </row>
    <row r="47" customFormat="false" ht="15" hidden="false" customHeight="true" outlineLevel="0" collapsed="false">
      <c r="A47" s="298" t="n">
        <v>38</v>
      </c>
      <c r="B47" s="570" t="s">
        <v>3498</v>
      </c>
      <c r="C47" s="273" t="n">
        <f aca="false">IF(B47="V",SUP_CAPEX_VENTANA!$H$42,IF(B47="D",SUP_CAPEX_DINEIN!$H$43,SUP_CAPEX_FLAGSHIP!$H$55))</f>
        <v>92556.937</v>
      </c>
      <c r="D47" s="273" t="n">
        <f aca="false">IF(B47="V",SUP_OPEX!$D$23,IF(B47="D",SUP_OPEX!$E$23,SUP_OPEX!$F$23))</f>
        <v>6439</v>
      </c>
      <c r="E47" s="273" t="n">
        <f aca="false">D47*SUP_CONTROL!$C$19</f>
        <v>6439</v>
      </c>
      <c r="F47" s="273" t="n">
        <f aca="false">C47+E47</f>
        <v>98995.937</v>
      </c>
      <c r="G47" s="267" t="n">
        <f aca="false">IFERROR(MATCH(28,CAPA3_EXPANSION!$D$25:$DS$25,0),0)</f>
        <v>69</v>
      </c>
      <c r="H47" s="298" t="n">
        <f aca="false">COUNTIF($B$20:B47,"V")</f>
        <v>21</v>
      </c>
      <c r="I47" s="298" t="n">
        <f aca="false">COUNTIF($B$20:B47,"D")</f>
        <v>6</v>
      </c>
      <c r="J47" s="298" t="n">
        <f aca="false">COUNTIF($B$20:B47,"F")</f>
        <v>1</v>
      </c>
    </row>
    <row r="48" customFormat="false" ht="15" hidden="false" customHeight="true" outlineLevel="0" collapsed="false">
      <c r="A48" s="298" t="n">
        <v>39</v>
      </c>
      <c r="B48" s="570" t="s">
        <v>3499</v>
      </c>
      <c r="C48" s="273" t="n">
        <f aca="false">IF(B48="V",SUP_CAPEX_VENTANA!$H$42,IF(B48="D",SUP_CAPEX_DINEIN!$H$43,SUP_CAPEX_FLAGSHIP!$H$55))</f>
        <v>138911.02225</v>
      </c>
      <c r="D48" s="273" t="n">
        <f aca="false">IF(B48="V",SUP_OPEX!$D$23,IF(B48="D",SUP_OPEX!$E$23,SUP_OPEX!$F$23))</f>
        <v>8775</v>
      </c>
      <c r="E48" s="273" t="n">
        <f aca="false">D48*SUP_CONTROL!$C$19</f>
        <v>8775</v>
      </c>
      <c r="F48" s="273" t="n">
        <f aca="false">C48+E48</f>
        <v>147686.02225</v>
      </c>
      <c r="G48" s="267" t="n">
        <f aca="false">IFERROR(MATCH(29,CAPA3_EXPANSION!$D$25:$DS$25,0),0)</f>
        <v>70</v>
      </c>
      <c r="H48" s="298" t="n">
        <f aca="false">COUNTIF($B$20:B48,"V")</f>
        <v>21</v>
      </c>
      <c r="I48" s="298" t="n">
        <f aca="false">COUNTIF($B$20:B48,"D")</f>
        <v>7</v>
      </c>
      <c r="J48" s="298" t="n">
        <f aca="false">COUNTIF($B$20:B48,"F")</f>
        <v>1</v>
      </c>
    </row>
    <row r="49" customFormat="false" ht="15" hidden="false" customHeight="true" outlineLevel="0" collapsed="false">
      <c r="A49" s="298" t="n">
        <v>40</v>
      </c>
      <c r="B49" s="570" t="s">
        <v>3500</v>
      </c>
      <c r="C49" s="571" t="n">
        <f aca="false">IF(B49="V",SUP_CAPEX_VENTANA!$H$42,IF(B49="D",SUP_CAPEX_DINEIN!$H$43,SUP_CAPEX_FLAGSHIP!$H$55))</f>
        <v>485628.42075</v>
      </c>
      <c r="D49" s="273" t="n">
        <f aca="false">IF(B49="V",SUP_OPEX!$D$23,IF(B49="D",SUP_OPEX!$E$23,SUP_OPEX!$F$23))</f>
        <v>20437.75</v>
      </c>
      <c r="E49" s="273" t="n">
        <f aca="false">D49*SUP_CONTROL!$C$19</f>
        <v>20437.75</v>
      </c>
      <c r="F49" s="273" t="n">
        <f aca="false">C49+E49</f>
        <v>506066.17075</v>
      </c>
      <c r="G49" s="267" t="n">
        <f aca="false">IFERROR(MATCH(30,CAPA3_EXPANSION!$D$25:$DS$25,0),0)</f>
        <v>72</v>
      </c>
      <c r="H49" s="298" t="n">
        <f aca="false">COUNTIF($B$20:B49,"V")</f>
        <v>21</v>
      </c>
      <c r="I49" s="298" t="n">
        <f aca="false">COUNTIF($B$20:B49,"D")</f>
        <v>7</v>
      </c>
      <c r="J49" s="298" t="n">
        <f aca="false">COUNTIF($B$20:B49,"F")</f>
        <v>2</v>
      </c>
    </row>
    <row r="50" customFormat="false" ht="15" hidden="false" customHeight="true" outlineLevel="0" collapsed="false">
      <c r="A50" s="298" t="n">
        <v>41</v>
      </c>
      <c r="B50" s="570" t="s">
        <v>3498</v>
      </c>
      <c r="C50" s="273" t="n">
        <f aca="false">IF(B50="V",SUP_CAPEX_VENTANA!$H$42,IF(B50="D",SUP_CAPEX_DINEIN!$H$43,SUP_CAPEX_FLAGSHIP!$H$55))</f>
        <v>92556.937</v>
      </c>
      <c r="D50" s="273" t="n">
        <f aca="false">IF(B50="V",SUP_OPEX!$D$23,IF(B50="D",SUP_OPEX!$E$23,SUP_OPEX!$F$23))</f>
        <v>6439</v>
      </c>
      <c r="E50" s="273" t="n">
        <f aca="false">D50*SUP_CONTROL!$C$19</f>
        <v>6439</v>
      </c>
      <c r="F50" s="273" t="n">
        <f aca="false">C50+E50</f>
        <v>98995.937</v>
      </c>
      <c r="G50" s="267" t="n">
        <f aca="false">IFERROR(MATCH(31,CAPA3_EXPANSION!$D$25:$DS$25,0),0)</f>
        <v>73</v>
      </c>
      <c r="H50" s="298" t="n">
        <f aca="false">COUNTIF($B$20:B50,"V")</f>
        <v>22</v>
      </c>
      <c r="I50" s="298" t="n">
        <f aca="false">COUNTIF($B$20:B50,"D")</f>
        <v>7</v>
      </c>
      <c r="J50" s="298" t="n">
        <f aca="false">COUNTIF($B$20:B50,"F")</f>
        <v>2</v>
      </c>
    </row>
    <row r="51" customFormat="false" ht="15" hidden="false" customHeight="true" outlineLevel="0" collapsed="false">
      <c r="A51" s="298" t="n">
        <v>42</v>
      </c>
      <c r="B51" s="570" t="s">
        <v>3498</v>
      </c>
      <c r="C51" s="273" t="n">
        <f aca="false">IF(B51="V",SUP_CAPEX_VENTANA!$H$42,IF(B51="D",SUP_CAPEX_DINEIN!$H$43,SUP_CAPEX_FLAGSHIP!$H$55))</f>
        <v>92556.937</v>
      </c>
      <c r="D51" s="273" t="n">
        <f aca="false">IF(B51="V",SUP_OPEX!$D$23,IF(B51="D",SUP_OPEX!$E$23,SUP_OPEX!$F$23))</f>
        <v>6439</v>
      </c>
      <c r="E51" s="273" t="n">
        <f aca="false">D51*SUP_CONTROL!$C$19</f>
        <v>6439</v>
      </c>
      <c r="F51" s="273" t="n">
        <f aca="false">C51+E51</f>
        <v>98995.937</v>
      </c>
      <c r="G51" s="267" t="n">
        <f aca="false">IFERROR(MATCH(32,CAPA3_EXPANSION!$D$25:$DS$25,0),0)</f>
        <v>74</v>
      </c>
      <c r="H51" s="298" t="n">
        <f aca="false">COUNTIF($B$20:B51,"V")</f>
        <v>23</v>
      </c>
      <c r="I51" s="298" t="n">
        <f aca="false">COUNTIF($B$20:B51,"D")</f>
        <v>7</v>
      </c>
      <c r="J51" s="298" t="n">
        <f aca="false">COUNTIF($B$20:B51,"F")</f>
        <v>2</v>
      </c>
    </row>
    <row r="52" customFormat="false" ht="15" hidden="false" customHeight="true" outlineLevel="0" collapsed="false">
      <c r="A52" s="298" t="n">
        <v>43</v>
      </c>
      <c r="B52" s="570" t="s">
        <v>3498</v>
      </c>
      <c r="C52" s="273" t="n">
        <f aca="false">IF(B52="V",SUP_CAPEX_VENTANA!$H$42,IF(B52="D",SUP_CAPEX_DINEIN!$H$43,SUP_CAPEX_FLAGSHIP!$H$55))</f>
        <v>92556.937</v>
      </c>
      <c r="D52" s="273" t="n">
        <f aca="false">IF(B52="V",SUP_OPEX!$D$23,IF(B52="D",SUP_OPEX!$E$23,SUP_OPEX!$F$23))</f>
        <v>6439</v>
      </c>
      <c r="E52" s="273" t="n">
        <f aca="false">D52*SUP_CONTROL!$C$19</f>
        <v>6439</v>
      </c>
      <c r="F52" s="273" t="n">
        <f aca="false">C52+E52</f>
        <v>98995.937</v>
      </c>
      <c r="G52" s="267" t="n">
        <f aca="false">IFERROR(MATCH(33,CAPA3_EXPANSION!$D$25:$DS$25,0),0)</f>
        <v>75</v>
      </c>
      <c r="H52" s="298" t="n">
        <f aca="false">COUNTIF($B$20:B52,"V")</f>
        <v>24</v>
      </c>
      <c r="I52" s="298" t="n">
        <f aca="false">COUNTIF($B$20:B52,"D")</f>
        <v>7</v>
      </c>
      <c r="J52" s="298" t="n">
        <f aca="false">COUNTIF($B$20:B52,"F")</f>
        <v>2</v>
      </c>
    </row>
    <row r="53" customFormat="false" ht="15" hidden="false" customHeight="true" outlineLevel="0" collapsed="false">
      <c r="A53" s="298" t="n">
        <v>44</v>
      </c>
      <c r="B53" s="570" t="s">
        <v>3499</v>
      </c>
      <c r="C53" s="273" t="n">
        <f aca="false">IF(B53="V",SUP_CAPEX_VENTANA!$H$42,IF(B53="D",SUP_CAPEX_DINEIN!$H$43,SUP_CAPEX_FLAGSHIP!$H$55))</f>
        <v>138911.02225</v>
      </c>
      <c r="D53" s="273" t="n">
        <f aca="false">IF(B53="V",SUP_OPEX!$D$23,IF(B53="D",SUP_OPEX!$E$23,SUP_OPEX!$F$23))</f>
        <v>8775</v>
      </c>
      <c r="E53" s="273" t="n">
        <f aca="false">D53*SUP_CONTROL!$C$19</f>
        <v>8775</v>
      </c>
      <c r="F53" s="273" t="n">
        <f aca="false">C53+E53</f>
        <v>147686.02225</v>
      </c>
      <c r="G53" s="267" t="n">
        <f aca="false">IFERROR(MATCH(34,CAPA3_EXPANSION!$D$25:$DS$25,0),0)</f>
        <v>76</v>
      </c>
      <c r="H53" s="298" t="n">
        <f aca="false">COUNTIF($B$20:B53,"V")</f>
        <v>24</v>
      </c>
      <c r="I53" s="298" t="n">
        <f aca="false">COUNTIF($B$20:B53,"D")</f>
        <v>8</v>
      </c>
      <c r="J53" s="298" t="n">
        <f aca="false">COUNTIF($B$20:B53,"F")</f>
        <v>2</v>
      </c>
    </row>
    <row r="54" customFormat="false" ht="15" hidden="false" customHeight="true" outlineLevel="0" collapsed="false">
      <c r="A54" s="298" t="n">
        <v>45</v>
      </c>
      <c r="B54" s="570" t="s">
        <v>3498</v>
      </c>
      <c r="C54" s="273" t="n">
        <f aca="false">IF(B54="V",SUP_CAPEX_VENTANA!$H$42,IF(B54="D",SUP_CAPEX_DINEIN!$H$43,SUP_CAPEX_FLAGSHIP!$H$55))</f>
        <v>92556.937</v>
      </c>
      <c r="D54" s="273" t="n">
        <f aca="false">IF(B54="V",SUP_OPEX!$D$23,IF(B54="D",SUP_OPEX!$E$23,SUP_OPEX!$F$23))</f>
        <v>6439</v>
      </c>
      <c r="E54" s="273" t="n">
        <f aca="false">D54*SUP_CONTROL!$C$19</f>
        <v>6439</v>
      </c>
      <c r="F54" s="273" t="n">
        <f aca="false">C54+E54</f>
        <v>98995.937</v>
      </c>
      <c r="G54" s="267" t="n">
        <f aca="false">IFERROR(MATCH(35,CAPA3_EXPANSION!$D$25:$DS$25,0),0)</f>
        <v>77</v>
      </c>
      <c r="H54" s="298" t="n">
        <f aca="false">COUNTIF($B$20:B54,"V")</f>
        <v>25</v>
      </c>
      <c r="I54" s="298" t="n">
        <f aca="false">COUNTIF($B$20:B54,"D")</f>
        <v>8</v>
      </c>
      <c r="J54" s="298" t="n">
        <f aca="false">COUNTIF($B$20:B54,"F")</f>
        <v>2</v>
      </c>
    </row>
    <row r="55" customFormat="false" ht="15" hidden="false" customHeight="true" outlineLevel="0" collapsed="false">
      <c r="A55" s="298" t="n">
        <v>46</v>
      </c>
      <c r="B55" s="570" t="s">
        <v>3498</v>
      </c>
      <c r="C55" s="273" t="n">
        <f aca="false">IF(B55="V",SUP_CAPEX_VENTANA!$H$42,IF(B55="D",SUP_CAPEX_DINEIN!$H$43,SUP_CAPEX_FLAGSHIP!$H$55))</f>
        <v>92556.937</v>
      </c>
      <c r="D55" s="273" t="n">
        <f aca="false">IF(B55="V",SUP_OPEX!$D$23,IF(B55="D",SUP_OPEX!$E$23,SUP_OPEX!$F$23))</f>
        <v>6439</v>
      </c>
      <c r="E55" s="273" t="n">
        <f aca="false">D55*SUP_CONTROL!$C$19</f>
        <v>6439</v>
      </c>
      <c r="F55" s="273" t="n">
        <f aca="false">C55+E55</f>
        <v>98995.937</v>
      </c>
      <c r="G55" s="267" t="n">
        <f aca="false">IFERROR(MATCH(36,CAPA3_EXPANSION!$D$25:$DS$25,0),0)</f>
        <v>78</v>
      </c>
      <c r="H55" s="298" t="n">
        <f aca="false">COUNTIF($B$20:B55,"V")</f>
        <v>26</v>
      </c>
      <c r="I55" s="298" t="n">
        <f aca="false">COUNTIF($B$20:B55,"D")</f>
        <v>8</v>
      </c>
      <c r="J55" s="298" t="n">
        <f aca="false">COUNTIF($B$20:B55,"F")</f>
        <v>2</v>
      </c>
    </row>
    <row r="56" customFormat="false" ht="15" hidden="false" customHeight="true" outlineLevel="0" collapsed="false">
      <c r="A56" s="298" t="n">
        <v>47</v>
      </c>
      <c r="B56" s="570" t="s">
        <v>3498</v>
      </c>
      <c r="C56" s="273" t="n">
        <f aca="false">IF(B56="V",SUP_CAPEX_VENTANA!$H$42,IF(B56="D",SUP_CAPEX_DINEIN!$H$43,SUP_CAPEX_FLAGSHIP!$H$55))</f>
        <v>92556.937</v>
      </c>
      <c r="D56" s="273" t="n">
        <f aca="false">IF(B56="V",SUP_OPEX!$D$23,IF(B56="D",SUP_OPEX!$E$23,SUP_OPEX!$F$23))</f>
        <v>6439</v>
      </c>
      <c r="E56" s="273" t="n">
        <f aca="false">D56*SUP_CONTROL!$C$19</f>
        <v>6439</v>
      </c>
      <c r="F56" s="273" t="n">
        <f aca="false">C56+E56</f>
        <v>98995.937</v>
      </c>
      <c r="G56" s="267" t="n">
        <f aca="false">IFERROR(MATCH(37,CAPA3_EXPANSION!$D$25:$DS$25,0),0)</f>
        <v>79</v>
      </c>
      <c r="H56" s="298" t="n">
        <f aca="false">COUNTIF($B$20:B56,"V")</f>
        <v>27</v>
      </c>
      <c r="I56" s="298" t="n">
        <f aca="false">COUNTIF($B$20:B56,"D")</f>
        <v>8</v>
      </c>
      <c r="J56" s="298" t="n">
        <f aca="false">COUNTIF($B$20:B56,"F")</f>
        <v>2</v>
      </c>
    </row>
    <row r="57" customFormat="false" ht="15" hidden="false" customHeight="true" outlineLevel="0" collapsed="false">
      <c r="A57" s="298" t="n">
        <v>48</v>
      </c>
      <c r="B57" s="570" t="s">
        <v>3499</v>
      </c>
      <c r="C57" s="273" t="n">
        <f aca="false">IF(B57="V",SUP_CAPEX_VENTANA!$H$42,IF(B57="D",SUP_CAPEX_DINEIN!$H$43,SUP_CAPEX_FLAGSHIP!$H$55))</f>
        <v>138911.02225</v>
      </c>
      <c r="D57" s="273" t="n">
        <f aca="false">IF(B57="V",SUP_OPEX!$D$23,IF(B57="D",SUP_OPEX!$E$23,SUP_OPEX!$F$23))</f>
        <v>8775</v>
      </c>
      <c r="E57" s="273" t="n">
        <f aca="false">D57*SUP_CONTROL!$C$19</f>
        <v>8775</v>
      </c>
      <c r="F57" s="273" t="n">
        <f aca="false">C57+E57</f>
        <v>147686.02225</v>
      </c>
      <c r="G57" s="267" t="n">
        <f aca="false">IFERROR(MATCH(38,CAPA3_EXPANSION!$D$25:$DS$25,0),0)</f>
        <v>80</v>
      </c>
      <c r="H57" s="298" t="n">
        <f aca="false">COUNTIF($B$20:B57,"V")</f>
        <v>27</v>
      </c>
      <c r="I57" s="298" t="n">
        <f aca="false">COUNTIF($B$20:B57,"D")</f>
        <v>9</v>
      </c>
      <c r="J57" s="298" t="n">
        <f aca="false">COUNTIF($B$20:B57,"F")</f>
        <v>2</v>
      </c>
    </row>
    <row r="58" customFormat="false" ht="15" hidden="false" customHeight="true" outlineLevel="0" collapsed="false">
      <c r="A58" s="298" t="n">
        <v>49</v>
      </c>
      <c r="B58" s="570" t="s">
        <v>3498</v>
      </c>
      <c r="C58" s="273" t="n">
        <f aca="false">IF(B58="V",SUP_CAPEX_VENTANA!$H$42,IF(B58="D",SUP_CAPEX_DINEIN!$H$43,SUP_CAPEX_FLAGSHIP!$H$55))</f>
        <v>92556.937</v>
      </c>
      <c r="D58" s="273" t="n">
        <f aca="false">IF(B58="V",SUP_OPEX!$D$23,IF(B58="D",SUP_OPEX!$E$23,SUP_OPEX!$F$23))</f>
        <v>6439</v>
      </c>
      <c r="E58" s="273" t="n">
        <f aca="false">D58*SUP_CONTROL!$C$19</f>
        <v>6439</v>
      </c>
      <c r="F58" s="273" t="n">
        <f aca="false">C58+E58</f>
        <v>98995.937</v>
      </c>
      <c r="G58" s="267" t="n">
        <f aca="false">IFERROR(MATCH(39,CAPA3_EXPANSION!$D$25:$DS$25,0),0)</f>
        <v>81</v>
      </c>
      <c r="H58" s="298" t="n">
        <f aca="false">COUNTIF($B$20:B58,"V")</f>
        <v>28</v>
      </c>
      <c r="I58" s="298" t="n">
        <f aca="false">COUNTIF($B$20:B58,"D")</f>
        <v>9</v>
      </c>
      <c r="J58" s="298" t="n">
        <f aca="false">COUNTIF($B$20:B58,"F")</f>
        <v>2</v>
      </c>
    </row>
    <row r="59" customFormat="false" ht="15" hidden="false" customHeight="true" outlineLevel="0" collapsed="false">
      <c r="A59" s="298" t="n">
        <v>50</v>
      </c>
      <c r="B59" s="570" t="s">
        <v>3498</v>
      </c>
      <c r="C59" s="273" t="n">
        <f aca="false">IF(B59="V",SUP_CAPEX_VENTANA!$H$42,IF(B59="D",SUP_CAPEX_DINEIN!$H$43,SUP_CAPEX_FLAGSHIP!$H$55))</f>
        <v>92556.937</v>
      </c>
      <c r="D59" s="273" t="n">
        <f aca="false">IF(B59="V",SUP_OPEX!$D$23,IF(B59="D",SUP_OPEX!$E$23,SUP_OPEX!$F$23))</f>
        <v>6439</v>
      </c>
      <c r="E59" s="273" t="n">
        <f aca="false">D59*SUP_CONTROL!$C$19</f>
        <v>6439</v>
      </c>
      <c r="F59" s="273" t="n">
        <f aca="false">C59+E59</f>
        <v>98995.937</v>
      </c>
      <c r="G59" s="267" t="n">
        <f aca="false">IFERROR(MATCH(40,CAPA3_EXPANSION!$D$25:$DS$25,0),0)</f>
        <v>82</v>
      </c>
      <c r="H59" s="298" t="n">
        <f aca="false">COUNTIF($B$20:B59,"V")</f>
        <v>29</v>
      </c>
      <c r="I59" s="298" t="n">
        <f aca="false">COUNTIF($B$20:B59,"D")</f>
        <v>9</v>
      </c>
      <c r="J59" s="298" t="n">
        <f aca="false">COUNTIF($B$20:B59,"F")</f>
        <v>2</v>
      </c>
    </row>
    <row r="61" customFormat="false" ht="15" hidden="false" customHeight="true" outlineLevel="0" collapsed="false">
      <c r="B61" s="23" t="s">
        <v>3501</v>
      </c>
    </row>
    <row r="63" customFormat="false" ht="15" hidden="false" customHeight="true" outlineLevel="0" collapsed="false">
      <c r="A63" s="186" t="s">
        <v>3502</v>
      </c>
      <c r="B63" s="25"/>
      <c r="C63" s="25"/>
      <c r="D63" s="25"/>
      <c r="E63" s="25"/>
      <c r="F63" s="25"/>
      <c r="G63" s="25"/>
      <c r="H63" s="25"/>
      <c r="I63" s="25"/>
    </row>
    <row r="64" customFormat="false" ht="15" hidden="false" customHeight="true" outlineLevel="0" collapsed="false">
      <c r="B64" s="178" t="s">
        <v>3503</v>
      </c>
      <c r="C64" s="178" t="s">
        <v>3504</v>
      </c>
      <c r="D64" s="178" t="s">
        <v>3505</v>
      </c>
      <c r="E64" s="178" t="s">
        <v>3506</v>
      </c>
      <c r="F64" s="178" t="s">
        <v>3507</v>
      </c>
      <c r="G64" s="178" t="s">
        <v>3508</v>
      </c>
    </row>
    <row r="65" customFormat="false" ht="15" hidden="false" customHeight="true" outlineLevel="0" collapsed="false">
      <c r="B65" s="297" t="s">
        <v>3509</v>
      </c>
      <c r="C65" s="315" t="n">
        <v>0.5</v>
      </c>
      <c r="D65" s="299" t="n">
        <f aca="false">1-(1-$K$10)*C65</f>
        <v>0.92</v>
      </c>
      <c r="E65" s="298" t="n">
        <f aca="false">SUP_CONTROL!$C$8*D65*(SUP_VOLUMEN!$C$43+SUP_VOLUMEN!$C$44*(1+SUP_VOLUMEN!$C$26)+SUP_CONTROL!$C$12*(1+SUP_VOLUMEN!$C$27)+SUMPRODUCT((B20:B59="V")*1)+SUMPRODUCT((B20:B59="D")*1)*(1+SUP_VOLUMEN!$C$26)+SUMPRODUCT((B20:B59="F")*1)*(1+SUP_VOLUMEN!$C$27))</f>
        <v>214838.4</v>
      </c>
      <c r="F65" s="273" t="n">
        <f aca="false">E65*SUP_CONTROL!$C$26*12</f>
        <v>33319096.8110434</v>
      </c>
      <c r="G65" s="273" t="n">
        <f aca="false">E65*SUP_CONTROL!$C$27*12</f>
        <v>14653792.2634681</v>
      </c>
    </row>
    <row r="66" customFormat="false" ht="15" hidden="false" customHeight="true" outlineLevel="0" collapsed="false">
      <c r="B66" s="297" t="s">
        <v>3510</v>
      </c>
      <c r="C66" s="315" t="n">
        <v>1</v>
      </c>
      <c r="D66" s="299" t="n">
        <f aca="false">1-(1-$K$10)*C66</f>
        <v>0.84</v>
      </c>
      <c r="E66" s="298" t="n">
        <f aca="false">SUP_CONTROL!$C$8*D66*(SUP_VOLUMEN!$C$43+SUP_VOLUMEN!$C$44*(1+SUP_VOLUMEN!$C$26)+SUP_CONTROL!$C$12*(1+SUP_VOLUMEN!$C$27)+SUMPRODUCT((B20:B59="V")*1)+SUMPRODUCT((B20:B59="D")*1)*(1+SUP_VOLUMEN!$C$26)+SUMPRODUCT((B20:B59="F")*1)*(1+SUP_VOLUMEN!$C$27))</f>
        <v>196156.8</v>
      </c>
      <c r="F66" s="273" t="n">
        <f aca="false">E66*SUP_CONTROL!$C$26*12</f>
        <v>30421784.0448657</v>
      </c>
      <c r="G66" s="273" t="n">
        <f aca="false">E66*SUP_CONTROL!$C$27*12</f>
        <v>13379549.4579491</v>
      </c>
    </row>
    <row r="67" customFormat="false" ht="15" hidden="false" customHeight="true" outlineLevel="0" collapsed="false">
      <c r="B67" s="297" t="s">
        <v>3511</v>
      </c>
      <c r="C67" s="315" t="n">
        <v>1.5</v>
      </c>
      <c r="D67" s="299" t="n">
        <f aca="false">1-(1-$K$10)*C67</f>
        <v>0.76</v>
      </c>
      <c r="E67" s="298" t="n">
        <f aca="false">SUP_CONTROL!$C$8*D67*(SUP_VOLUMEN!$C$43+SUP_VOLUMEN!$C$44*(1+SUP_VOLUMEN!$C$26)+SUP_CONTROL!$C$12*(1+SUP_VOLUMEN!$C$27)+SUMPRODUCT((B20:B59="V")*1)+SUMPRODUCT((B20:B59="D")*1)*(1+SUP_VOLUMEN!$C$26)+SUMPRODUCT((B20:B59="F")*1)*(1+SUP_VOLUMEN!$C$27))</f>
        <v>177475.2</v>
      </c>
      <c r="F67" s="273" t="n">
        <f aca="false">E67*SUP_CONTROL!$C$26*12</f>
        <v>27524471.278688</v>
      </c>
      <c r="G67" s="273" t="n">
        <f aca="false">E67*SUP_CONTROL!$C$27*12</f>
        <v>12105306.6524302</v>
      </c>
    </row>
    <row r="69" customFormat="false" ht="15" hidden="false" customHeight="true" outlineLevel="0" collapsed="false">
      <c r="B69" s="23" t="s">
        <v>3512</v>
      </c>
    </row>
  </sheetData>
  <mergeCells count="3">
    <mergeCell ref="B14:K14"/>
    <mergeCell ref="B15:K15"/>
    <mergeCell ref="B16:K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DS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62"/>
    <col collapsed="false" customWidth="true" hidden="false" outlineLevel="0" max="123" min="4" style="1" width="10"/>
  </cols>
  <sheetData>
    <row r="1" customFormat="false" ht="15" hidden="false" customHeight="true" outlineLevel="0" collapsed="false">
      <c r="A1" s="185" t="s">
        <v>3513</v>
      </c>
      <c r="B1" s="126"/>
      <c r="C1" s="126"/>
      <c r="D1" s="126"/>
      <c r="E1" s="126"/>
      <c r="F1" s="126"/>
      <c r="G1" s="126"/>
      <c r="H1" s="126"/>
      <c r="I1" s="126"/>
    </row>
    <row r="2" customFormat="false" ht="15" hidden="false" customHeight="true" outlineLevel="0" collapsed="false">
      <c r="A2" s="23" t="s">
        <v>3514</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6" customFormat="false" ht="15" hidden="false" customHeight="true" outlineLevel="0" collapsed="false">
      <c r="A6" s="186" t="s">
        <v>3515</v>
      </c>
      <c r="B6" s="25"/>
      <c r="C6" s="25"/>
    </row>
    <row r="7" customFormat="false" ht="15" hidden="false" customHeight="true" outlineLevel="0" collapsed="false">
      <c r="B7" s="297" t="s">
        <v>3516</v>
      </c>
      <c r="D7" s="273" t="n">
        <f aca="false">SUP_CONTROL!$C$11*CAPA1_PILOTO!D32</f>
        <v>0</v>
      </c>
      <c r="E7" s="273" t="n">
        <f aca="false">SUP_CONTROL!$C$11*CAPA1_PILOTO!E32</f>
        <v>-15715</v>
      </c>
      <c r="F7" s="273" t="n">
        <f aca="false">SUP_CONTROL!$C$11*CAPA1_PILOTO!F32</f>
        <v>-15715</v>
      </c>
      <c r="G7" s="273" t="n">
        <f aca="false">SUP_CONTROL!$C$11*CAPA1_PILOTO!G32</f>
        <v>-14131.987880978</v>
      </c>
      <c r="H7" s="273" t="n">
        <f aca="false">SUP_CONTROL!$C$11*CAPA1_PILOTO!H32</f>
        <v>3865.14223676298</v>
      </c>
      <c r="I7" s="273" t="n">
        <f aca="false">SUP_CONTROL!$C$11*CAPA1_PILOTO!I32</f>
        <v>18835.9383002694</v>
      </c>
      <c r="J7" s="273" t="n">
        <f aca="false">SUP_CONTROL!$C$11*CAPA1_PILOTO!J32</f>
        <v>28951.5965109153</v>
      </c>
      <c r="K7" s="273" t="n">
        <f aca="false">SUP_CONTROL!$C$11*CAPA1_PILOTO!K32</f>
        <v>39851.2906689435</v>
      </c>
      <c r="L7" s="273" t="n">
        <f aca="false">SUP_CONTROL!$C$11*CAPA1_PILOTO!L32</f>
        <v>46555.0554584569</v>
      </c>
      <c r="M7" s="273" t="n">
        <f aca="false">SUP_CONTROL!$C$11*CAPA1_PILOTO!M32</f>
        <v>50112.1551426885</v>
      </c>
      <c r="N7" s="273" t="n">
        <f aca="false">SUP_CONTROL!$C$11*CAPA1_PILOTO!N32</f>
        <v>50112.1551426885</v>
      </c>
      <c r="O7" s="273" t="n">
        <f aca="false">SUP_CONTROL!$C$11*CAPA1_PILOTO!O32</f>
        <v>50112.1551426885</v>
      </c>
      <c r="P7" s="273" t="n">
        <f aca="false">SUP_CONTROL!$C$11*CAPA1_PILOTO!P32</f>
        <v>54017.1439091533</v>
      </c>
      <c r="Q7" s="273" t="n">
        <f aca="false">SUP_CONTROL!$C$11*CAPA1_PILOTO!Q32</f>
        <v>54017.1439091533</v>
      </c>
      <c r="R7" s="273" t="n">
        <f aca="false">SUP_CONTROL!$C$11*CAPA1_PILOTO!R32</f>
        <v>54017.1439091533</v>
      </c>
      <c r="S7" s="273" t="n">
        <f aca="false">SUP_CONTROL!$C$11*CAPA1_PILOTO!S32</f>
        <v>54017.1439091533</v>
      </c>
      <c r="T7" s="273" t="n">
        <f aca="false">SUP_CONTROL!$C$11*CAPA1_PILOTO!T32</f>
        <v>54017.1439091533</v>
      </c>
      <c r="U7" s="273" t="n">
        <f aca="false">SUP_CONTROL!$C$11*CAPA1_PILOTO!U32</f>
        <v>54017.1439091533</v>
      </c>
      <c r="V7" s="273" t="n">
        <f aca="false">SUP_CONTROL!$C$11*CAPA1_PILOTO!V32</f>
        <v>54424.4363466533</v>
      </c>
      <c r="W7" s="273" t="n">
        <f aca="false">SUP_CONTROL!$C$11*CAPA1_PILOTO!W32</f>
        <v>54866.8642575845</v>
      </c>
      <c r="X7" s="273" t="n">
        <f aca="false">SUP_CONTROL!$C$11*CAPA1_PILOTO!X32</f>
        <v>54993.60141957</v>
      </c>
      <c r="Y7" s="273" t="n">
        <f aca="false">SUP_CONTROL!$C$11*CAPA1_PILOTO!Y32</f>
        <v>55389.2663587351</v>
      </c>
      <c r="Z7" s="273" t="n">
        <f aca="false">SUP_CONTROL!$C$11*CAPA1_PILOTO!Z32</f>
        <v>55496.2946591533</v>
      </c>
      <c r="AA7" s="273" t="n">
        <f aca="false">SUP_CONTROL!$C$11*CAPA1_PILOTO!AA32</f>
        <v>55538.0201849685</v>
      </c>
      <c r="AB7" s="273" t="n">
        <f aca="false">SUP_CONTROL!$C$11*CAPA1_PILOTO!AB32</f>
        <v>59484.1341099706</v>
      </c>
      <c r="AC7" s="273" t="n">
        <f aca="false">SUP_CONTROL!$C$11*CAPA1_PILOTO!AC32</f>
        <v>59484.1341099706</v>
      </c>
      <c r="AD7" s="273" t="n">
        <f aca="false">SUP_CONTROL!$C$11*CAPA1_PILOTO!AD32</f>
        <v>56485.6076279562</v>
      </c>
      <c r="AE7" s="273" t="n">
        <f aca="false">SUP_CONTROL!$C$11*CAPA1_PILOTO!AE32</f>
        <v>56485.6076279562</v>
      </c>
      <c r="AF7" s="273" t="n">
        <f aca="false">SUP_CONTROL!$C$11*CAPA1_PILOTO!AF32</f>
        <v>56485.6076279562</v>
      </c>
      <c r="AG7" s="273" t="n">
        <f aca="false">SUP_CONTROL!$C$11*CAPA1_PILOTO!AG32</f>
        <v>56412.8352353121</v>
      </c>
      <c r="AH7" s="273" t="n">
        <f aca="false">SUP_CONTROL!$C$11*CAPA1_PILOTO!AH32</f>
        <v>56412.8352353121</v>
      </c>
      <c r="AI7" s="273" t="n">
        <f aca="false">SUP_CONTROL!$C$11*CAPA1_PILOTO!AI32</f>
        <v>57042.5348853507</v>
      </c>
      <c r="AJ7" s="273" t="n">
        <f aca="false">SUP_CONTROL!$C$11*CAPA1_PILOTO!AJ32</f>
        <v>57605.4181335907</v>
      </c>
      <c r="AK7" s="273" t="n">
        <f aca="false">SUP_CONTROL!$C$11*CAPA1_PILOTO!AK32</f>
        <v>57778.9887386381</v>
      </c>
      <c r="AL7" s="273" t="n">
        <f aca="false">SUP_CONTROL!$C$11*CAPA1_PILOTO!AL32</f>
        <v>58287.4632512783</v>
      </c>
      <c r="AM7" s="273" t="n">
        <f aca="false">SUP_CONTROL!$C$11*CAPA1_PILOTO!AM32</f>
        <v>58422.5010675466</v>
      </c>
      <c r="AN7" s="273" t="n">
        <f aca="false">SUP_CONTROL!$C$11*CAPA1_PILOTO!AN32</f>
        <v>60757.7109945229</v>
      </c>
      <c r="AO7" s="273" t="n">
        <f aca="false">SUP_CONTROL!$C$11*CAPA1_PILOTO!AO32</f>
        <v>60878.3258124451</v>
      </c>
      <c r="AP7" s="273" t="n">
        <f aca="false">SUP_CONTROL!$C$11*CAPA1_PILOTO!AP32</f>
        <v>60837.4151407669</v>
      </c>
      <c r="AQ7" s="273" t="n">
        <f aca="false">SUP_CONTROL!$C$11*CAPA1_PILOTO!AQ32</f>
        <v>61258.4144320013</v>
      </c>
      <c r="AR7" s="273" t="n">
        <f aca="false">SUP_CONTROL!$C$11*CAPA1_PILOTO!AR32</f>
        <v>61602.03216371</v>
      </c>
      <c r="AS7" s="273" t="n">
        <f aca="false">SUP_CONTROL!$C$11*CAPA1_PILOTO!AS32</f>
        <v>61948.9265490006</v>
      </c>
      <c r="AT7" s="273" t="n">
        <f aca="false">SUP_CONTROL!$C$11*CAPA1_PILOTO!AT32</f>
        <v>62299.6305320263</v>
      </c>
      <c r="AU7" s="273" t="n">
        <f aca="false">SUP_CONTROL!$C$11*CAPA1_PILOTO!AU32</f>
        <v>62411.5996550008</v>
      </c>
      <c r="AV7" s="273" t="n">
        <f aca="false">SUP_CONTROL!$C$11*CAPA1_PILOTO!AV32</f>
        <v>62474.0542825138</v>
      </c>
      <c r="AW7" s="273" t="n">
        <f aca="false">SUP_CONTROL!$C$11*CAPA1_PILOTO!AW32</f>
        <v>62755.0616587555</v>
      </c>
      <c r="AX7" s="273" t="n">
        <f aca="false">SUP_CONTROL!$C$11*CAPA1_PILOTO!AX32</f>
        <v>62810.3128588552</v>
      </c>
      <c r="AY7" s="273" t="n">
        <f aca="false">SUP_CONTROL!$C$11*CAPA1_PILOTO!AY32</f>
        <v>63022.6827189836</v>
      </c>
      <c r="AZ7" s="273" t="n">
        <f aca="false">SUP_CONTROL!$C$11*CAPA1_PILOTO!AZ32</f>
        <v>65211.6594988977</v>
      </c>
      <c r="BA7" s="273" t="n">
        <f aca="false">SUP_CONTROL!$C$11*CAPA1_PILOTO!BA32</f>
        <v>65272.3597475273</v>
      </c>
      <c r="BB7" s="273" t="n">
        <f aca="false">SUP_CONTROL!$C$11*CAPA1_PILOTO!BB32</f>
        <v>61956.665336426</v>
      </c>
      <c r="BC7" s="273" t="n">
        <f aca="false">SUP_CONTROL!$C$11*CAPA1_PILOTO!BC32</f>
        <v>61992.9833670705</v>
      </c>
      <c r="BD7" s="273" t="n">
        <f aca="false">SUP_CONTROL!$C$11*CAPA1_PILOTO!BD32</f>
        <v>61992.9833670705</v>
      </c>
      <c r="BE7" s="273" t="n">
        <f aca="false">SUP_CONTROL!$C$11*CAPA1_PILOTO!BE32</f>
        <v>61992.9833670705</v>
      </c>
      <c r="BF7" s="273" t="n">
        <f aca="false">SUP_CONTROL!$C$11*CAPA1_PILOTO!BF32</f>
        <v>61848.2077122287</v>
      </c>
      <c r="BG7" s="273" t="n">
        <f aca="false">SUP_CONTROL!$C$11*CAPA1_PILOTO!BG32</f>
        <v>61848.2077122287</v>
      </c>
      <c r="BH7" s="273" t="n">
        <f aca="false">SUP_CONTROL!$C$11*CAPA1_PILOTO!BH32</f>
        <v>61848.2077122287</v>
      </c>
      <c r="BI7" s="273" t="n">
        <f aca="false">SUP_CONTROL!$C$11*CAPA1_PILOTO!BI32</f>
        <v>62298.2098056505</v>
      </c>
      <c r="BJ7" s="273" t="n">
        <f aca="false">SUP_CONTROL!$C$11*CAPA1_PILOTO!BJ32</f>
        <v>62601.541532143</v>
      </c>
      <c r="BK7" s="273" t="n">
        <f aca="false">SUP_CONTROL!$C$11*CAPA1_PILOTO!BK32</f>
        <v>62840.8643506956</v>
      </c>
      <c r="BL7" s="273" t="n">
        <f aca="false">SUP_CONTROL!$C$11*CAPA1_PILOTO!BL32</f>
        <v>65109.1738273391</v>
      </c>
      <c r="BM7" s="273" t="n">
        <f aca="false">SUP_CONTROL!$C$11*CAPA1_PILOTO!BM32</f>
        <v>65374.3333363221</v>
      </c>
      <c r="BN7" s="273" t="n">
        <f aca="false">SUP_CONTROL!$C$11*CAPA1_PILOTO!BN32</f>
        <v>65623.2655559947</v>
      </c>
      <c r="BO7" s="273" t="n">
        <f aca="false">SUP_CONTROL!$C$11*CAPA1_PILOTO!BO32</f>
        <v>65704.4219932137</v>
      </c>
      <c r="BP7" s="273" t="n">
        <f aca="false">SUP_CONTROL!$C$11*CAPA1_PILOTO!BP32</f>
        <v>65937.0896038696</v>
      </c>
      <c r="BQ7" s="273" t="n">
        <f aca="false">SUP_CONTROL!$C$11*CAPA1_PILOTO!BQ32</f>
        <v>66025.4979840759</v>
      </c>
      <c r="BR7" s="273" t="n">
        <f aca="false">SUP_CONTROL!$C$11*CAPA1_PILOTO!BR32</f>
        <v>66212.5687865602</v>
      </c>
      <c r="BS7" s="273" t="n">
        <f aca="false">SUP_CONTROL!$C$11*CAPA1_PILOTO!BS32</f>
        <v>66409.1343560079</v>
      </c>
      <c r="BT7" s="273" t="n">
        <f aca="false">SUP_CONTROL!$C$11*CAPA1_PILOTO!BT32</f>
        <v>66624.3201314102</v>
      </c>
      <c r="BU7" s="273" t="n">
        <f aca="false">SUP_CONTROL!$C$11*CAPA1_PILOTO!BU32</f>
        <v>66802.0813582174</v>
      </c>
      <c r="BV7" s="273" t="n">
        <f aca="false">SUP_CONTROL!$C$11*CAPA1_PILOTO!BV32</f>
        <v>66968.5318500869</v>
      </c>
      <c r="BW7" s="273" t="n">
        <f aca="false">SUP_CONTROL!$C$11*CAPA1_PILOTO!BW32</f>
        <v>67048.8631315144</v>
      </c>
      <c r="BX7" s="273" t="n">
        <f aca="false">SUP_CONTROL!$C$11*CAPA1_PILOTO!BX32</f>
        <v>69177.0405178368</v>
      </c>
      <c r="BY7" s="273" t="n">
        <f aca="false">SUP_CONTROL!$C$11*CAPA1_PILOTO!BY32</f>
        <v>69233.0291410785</v>
      </c>
      <c r="BZ7" s="273" t="n">
        <f aca="false">SUP_CONTROL!$C$11*CAPA1_PILOTO!BZ32</f>
        <v>69440.795549166</v>
      </c>
      <c r="CA7" s="273" t="n">
        <f aca="false">SUP_CONTROL!$C$11*CAPA1_PILOTO!CA32</f>
        <v>69579.301482439</v>
      </c>
      <c r="CB7" s="273" t="n">
        <f aca="false">SUP_CONTROL!$C$11*CAPA1_PILOTO!CB32</f>
        <v>69627.393998885</v>
      </c>
      <c r="CC7" s="273" t="n">
        <f aca="false">SUP_CONTROL!$C$11*CAPA1_PILOTO!CC32</f>
        <v>69757.6501760049</v>
      </c>
      <c r="CD7" s="273" t="n">
        <f aca="false">SUP_CONTROL!$C$11*CAPA1_PILOTO!CD32</f>
        <v>69892.7209423177</v>
      </c>
      <c r="CE7" s="273" t="n">
        <f aca="false">SUP_CONTROL!$C$11*CAPA1_PILOTO!CE32</f>
        <v>70005.7010837724</v>
      </c>
      <c r="CF7" s="273" t="n">
        <f aca="false">SUP_CONTROL!$C$11*CAPA1_PILOTO!CF32</f>
        <v>70112.66183809</v>
      </c>
      <c r="CG7" s="273" t="n">
        <f aca="false">SUP_CONTROL!$C$11*CAPA1_PILOTO!CG32</f>
        <v>70231.4186224082</v>
      </c>
      <c r="CH7" s="273" t="n">
        <f aca="false">SUP_CONTROL!$C$11*CAPA1_PILOTO!CH32</f>
        <v>69387.8370348332</v>
      </c>
      <c r="CI7" s="273" t="n">
        <f aca="false">SUP_CONTROL!$C$11*CAPA1_PILOTO!CI32</f>
        <v>69510.1423310642</v>
      </c>
      <c r="CJ7" s="273" t="n">
        <f aca="false">SUP_CONTROL!$C$11*CAPA1_PILOTO!CJ32</f>
        <v>69559.9615401079</v>
      </c>
      <c r="CK7" s="273" t="n">
        <f aca="false">SUP_CONTROL!$C$11*CAPA1_PILOTO!CK32</f>
        <v>69583.538870848</v>
      </c>
      <c r="CL7" s="273" t="n">
        <f aca="false">SUP_CONTROL!$C$11*CAPA1_PILOTO!CL32</f>
        <v>69593.7312320315</v>
      </c>
      <c r="CM7" s="273" t="n">
        <f aca="false">SUP_CONTROL!$C$11*CAPA1_PILOTO!CM32</f>
        <v>69593.7312320315</v>
      </c>
      <c r="CN7" s="273" t="n">
        <f aca="false">SUP_CONTROL!$C$11*CAPA1_PILOTO!CN32</f>
        <v>69593.7312320315</v>
      </c>
      <c r="CO7" s="273" t="n">
        <f aca="false">SUP_CONTROL!$C$11*CAPA1_PILOTO!CO32</f>
        <v>69593.7312320315</v>
      </c>
      <c r="CP7" s="273" t="n">
        <f aca="false">SUP_CONTROL!$C$11*CAPA1_PILOTO!CP32</f>
        <v>69593.7312320315</v>
      </c>
      <c r="CQ7" s="273" t="n">
        <f aca="false">SUP_CONTROL!$C$11*CAPA1_PILOTO!CQ32</f>
        <v>69593.7312320315</v>
      </c>
      <c r="CR7" s="273" t="n">
        <f aca="false">SUP_CONTROL!$C$11*CAPA1_PILOTO!CR32</f>
        <v>69593.7312320315</v>
      </c>
      <c r="CS7" s="273" t="n">
        <f aca="false">SUP_CONTROL!$C$11*CAPA1_PILOTO!CS32</f>
        <v>69593.7312320315</v>
      </c>
      <c r="CT7" s="273" t="n">
        <f aca="false">SUP_CONTROL!$C$11*CAPA1_PILOTO!CT32</f>
        <v>69593.7312320315</v>
      </c>
      <c r="CU7" s="273" t="n">
        <f aca="false">SUP_CONTROL!$C$11*CAPA1_PILOTO!CU32</f>
        <v>69593.7312320315</v>
      </c>
      <c r="CV7" s="273" t="n">
        <f aca="false">SUP_CONTROL!$C$11*CAPA1_PILOTO!CV32</f>
        <v>69593.7312320315</v>
      </c>
      <c r="CW7" s="273" t="n">
        <f aca="false">SUP_CONTROL!$C$11*CAPA1_PILOTO!CW32</f>
        <v>69593.7312320315</v>
      </c>
      <c r="CX7" s="273" t="n">
        <f aca="false">SUP_CONTROL!$C$11*CAPA1_PILOTO!CX32</f>
        <v>69593.7312320315</v>
      </c>
      <c r="CY7" s="273" t="n">
        <f aca="false">SUP_CONTROL!$C$11*CAPA1_PILOTO!CY32</f>
        <v>69593.7312320315</v>
      </c>
      <c r="CZ7" s="273" t="n">
        <f aca="false">SUP_CONTROL!$C$11*CAPA1_PILOTO!CZ32</f>
        <v>69593.7312320315</v>
      </c>
      <c r="DA7" s="273" t="n">
        <f aca="false">SUP_CONTROL!$C$11*CAPA1_PILOTO!DA32</f>
        <v>69593.7312320315</v>
      </c>
      <c r="DB7" s="273" t="n">
        <f aca="false">SUP_CONTROL!$C$11*CAPA1_PILOTO!DB32</f>
        <v>69593.7312320315</v>
      </c>
      <c r="DC7" s="273" t="n">
        <f aca="false">SUP_CONTROL!$C$11*CAPA1_PILOTO!DC32</f>
        <v>69593.7312320315</v>
      </c>
      <c r="DD7" s="273" t="n">
        <f aca="false">SUP_CONTROL!$C$11*CAPA1_PILOTO!DD32</f>
        <v>69593.7312320315</v>
      </c>
      <c r="DE7" s="273" t="n">
        <f aca="false">SUP_CONTROL!$C$11*CAPA1_PILOTO!DE32</f>
        <v>69593.7312320315</v>
      </c>
      <c r="DF7" s="273" t="n">
        <f aca="false">SUP_CONTROL!$C$11*CAPA1_PILOTO!DF32</f>
        <v>69593.7312320315</v>
      </c>
      <c r="DG7" s="273" t="n">
        <f aca="false">SUP_CONTROL!$C$11*CAPA1_PILOTO!DG32</f>
        <v>69593.7312320315</v>
      </c>
      <c r="DH7" s="273" t="n">
        <f aca="false">SUP_CONTROL!$C$11*CAPA1_PILOTO!DH32</f>
        <v>69593.7312320315</v>
      </c>
      <c r="DI7" s="273" t="n">
        <f aca="false">SUP_CONTROL!$C$11*CAPA1_PILOTO!DI32</f>
        <v>69593.7312320315</v>
      </c>
      <c r="DJ7" s="273" t="n">
        <f aca="false">SUP_CONTROL!$C$11*CAPA1_PILOTO!DJ32</f>
        <v>69593.7312320315</v>
      </c>
      <c r="DK7" s="273" t="n">
        <f aca="false">SUP_CONTROL!$C$11*CAPA1_PILOTO!DK32</f>
        <v>69593.7312320315</v>
      </c>
      <c r="DL7" s="273" t="n">
        <f aca="false">SUP_CONTROL!$C$11*CAPA1_PILOTO!DL32</f>
        <v>69593.7312320315</v>
      </c>
      <c r="DM7" s="273" t="n">
        <f aca="false">SUP_CONTROL!$C$11*CAPA1_PILOTO!DM32</f>
        <v>69593.7312320315</v>
      </c>
      <c r="DN7" s="273" t="n">
        <f aca="false">SUP_CONTROL!$C$11*CAPA1_PILOTO!DN32</f>
        <v>69593.7312320315</v>
      </c>
      <c r="DO7" s="273" t="n">
        <f aca="false">SUP_CONTROL!$C$11*CAPA1_PILOTO!DO32</f>
        <v>69593.7312320315</v>
      </c>
      <c r="DP7" s="273" t="n">
        <f aca="false">SUP_CONTROL!$C$11*CAPA1_PILOTO!DP32</f>
        <v>69593.7312320315</v>
      </c>
      <c r="DQ7" s="273" t="n">
        <f aca="false">SUP_CONTROL!$C$11*CAPA1_PILOTO!DQ32</f>
        <v>69593.7312320315</v>
      </c>
      <c r="DR7" s="273" t="n">
        <f aca="false">SUP_CONTROL!$C$11*CAPA1_PILOTO!DR32</f>
        <v>69593.7312320315</v>
      </c>
      <c r="DS7" s="273" t="n">
        <f aca="false">SUP_CONTROL!$C$11*CAPA1_PILOTO!DS32</f>
        <v>69593.7312320315</v>
      </c>
    </row>
    <row r="8" customFormat="false" ht="15" hidden="false" customHeight="true" outlineLevel="0" collapsed="false">
      <c r="B8" s="297" t="s">
        <v>3517</v>
      </c>
      <c r="D8" s="273" t="n">
        <f aca="false">SUP_CONTROL!$C$12*CAPA2_FLAGSHIP!D26</f>
        <v>0</v>
      </c>
      <c r="E8" s="273" t="n">
        <f aca="false">SUP_CONTROL!$C$12*CAPA2_FLAGSHIP!E26</f>
        <v>0</v>
      </c>
      <c r="F8" s="273" t="n">
        <f aca="false">SUP_CONTROL!$C$12*CAPA2_FLAGSHIP!F26</f>
        <v>0</v>
      </c>
      <c r="G8" s="273" t="n">
        <f aca="false">SUP_CONTROL!$C$12*CAPA2_FLAGSHIP!G26</f>
        <v>0</v>
      </c>
      <c r="H8" s="273" t="n">
        <f aca="false">SUP_CONTROL!$C$12*CAPA2_FLAGSHIP!H26</f>
        <v>0</v>
      </c>
      <c r="I8" s="273" t="n">
        <f aca="false">SUP_CONTROL!$C$12*CAPA2_FLAGSHIP!I26</f>
        <v>0</v>
      </c>
      <c r="J8" s="273" t="n">
        <f aca="false">SUP_CONTROL!$C$12*CAPA2_FLAGSHIP!J26</f>
        <v>0</v>
      </c>
      <c r="K8" s="273" t="n">
        <f aca="false">SUP_CONTROL!$C$12*CAPA2_FLAGSHIP!K26</f>
        <v>0</v>
      </c>
      <c r="L8" s="273" t="n">
        <f aca="false">SUP_CONTROL!$C$12*CAPA2_FLAGSHIP!L26</f>
        <v>0</v>
      </c>
      <c r="M8" s="273" t="n">
        <f aca="false">SUP_CONTROL!$C$12*CAPA2_FLAGSHIP!M26</f>
        <v>0</v>
      </c>
      <c r="N8" s="273" t="n">
        <f aca="false">SUP_CONTROL!$C$12*CAPA2_FLAGSHIP!N26</f>
        <v>0</v>
      </c>
      <c r="O8" s="273" t="n">
        <f aca="false">SUP_CONTROL!$C$12*CAPA2_FLAGSHIP!O26</f>
        <v>0</v>
      </c>
      <c r="P8" s="273" t="n">
        <f aca="false">SUP_CONTROL!$C$12*CAPA2_FLAGSHIP!P26</f>
        <v>0</v>
      </c>
      <c r="Q8" s="273" t="n">
        <f aca="false">SUP_CONTROL!$C$12*CAPA2_FLAGSHIP!Q26</f>
        <v>0</v>
      </c>
      <c r="R8" s="273" t="n">
        <f aca="false">SUP_CONTROL!$C$12*CAPA2_FLAGSHIP!R26</f>
        <v>0</v>
      </c>
      <c r="S8" s="273" t="n">
        <f aca="false">SUP_CONTROL!$C$12*CAPA2_FLAGSHIP!S26</f>
        <v>0</v>
      </c>
      <c r="T8" s="273" t="n">
        <f aca="false">SUP_CONTROL!$C$12*CAPA2_FLAGSHIP!T26</f>
        <v>0</v>
      </c>
      <c r="U8" s="273" t="n">
        <f aca="false">SUP_CONTROL!$C$12*CAPA2_FLAGSHIP!U26</f>
        <v>0</v>
      </c>
      <c r="V8" s="273" t="n">
        <f aca="false">SUP_CONTROL!$C$12*CAPA2_FLAGSHIP!V26</f>
        <v>0</v>
      </c>
      <c r="W8" s="273" t="n">
        <f aca="false">SUP_CONTROL!$C$12*CAPA2_FLAGSHIP!W26</f>
        <v>0</v>
      </c>
      <c r="X8" s="273" t="n">
        <f aca="false">SUP_CONTROL!$C$12*CAPA2_FLAGSHIP!X26</f>
        <v>0</v>
      </c>
      <c r="Y8" s="273" t="n">
        <f aca="false">SUP_CONTROL!$C$12*CAPA2_FLAGSHIP!Y26</f>
        <v>0</v>
      </c>
      <c r="Z8" s="273" t="n">
        <f aca="false">SUP_CONTROL!$C$12*CAPA2_FLAGSHIP!Z26</f>
        <v>0</v>
      </c>
      <c r="AA8" s="273" t="n">
        <f aca="false">SUP_CONTROL!$C$12*CAPA2_FLAGSHIP!AA26</f>
        <v>0</v>
      </c>
      <c r="AB8" s="273" t="n">
        <f aca="false">SUP_CONTROL!$C$12*CAPA2_FLAGSHIP!AB26</f>
        <v>0</v>
      </c>
      <c r="AC8" s="273" t="n">
        <f aca="false">SUP_CONTROL!$C$12*CAPA2_FLAGSHIP!AC26</f>
        <v>0</v>
      </c>
      <c r="AD8" s="273" t="n">
        <f aca="false">SUP_CONTROL!$C$12*CAPA2_FLAGSHIP!AD26</f>
        <v>0</v>
      </c>
      <c r="AE8" s="273" t="n">
        <f aca="false">SUP_CONTROL!$C$12*CAPA2_FLAGSHIP!AE26</f>
        <v>0</v>
      </c>
      <c r="AF8" s="273" t="n">
        <f aca="false">SUP_CONTROL!$C$12*CAPA2_FLAGSHIP!AF26</f>
        <v>0</v>
      </c>
      <c r="AG8" s="273" t="n">
        <f aca="false">SUP_CONTROL!$C$12*CAPA2_FLAGSHIP!AG26</f>
        <v>0</v>
      </c>
      <c r="AH8" s="273" t="n">
        <f aca="false">SUP_CONTROL!$C$12*CAPA2_FLAGSHIP!AH26</f>
        <v>0</v>
      </c>
      <c r="AI8" s="273" t="n">
        <f aca="false">SUP_CONTROL!$C$12*CAPA2_FLAGSHIP!AI26</f>
        <v>0</v>
      </c>
      <c r="AJ8" s="273" t="n">
        <f aca="false">SUP_CONTROL!$C$12*CAPA2_FLAGSHIP!AJ26</f>
        <v>0</v>
      </c>
      <c r="AK8" s="273" t="n">
        <f aca="false">SUP_CONTROL!$C$12*CAPA2_FLAGSHIP!AK26</f>
        <v>0</v>
      </c>
      <c r="AL8" s="273" t="n">
        <f aca="false">SUP_CONTROL!$C$12*CAPA2_FLAGSHIP!AL26</f>
        <v>0</v>
      </c>
      <c r="AM8" s="273" t="n">
        <f aca="false">SUP_CONTROL!$C$12*CAPA2_FLAGSHIP!AM26</f>
        <v>0</v>
      </c>
      <c r="AN8" s="273" t="n">
        <f aca="false">SUP_CONTROL!$C$12*CAPA2_FLAGSHIP!AN26</f>
        <v>0</v>
      </c>
      <c r="AO8" s="273" t="n">
        <f aca="false">SUP_CONTROL!$C$12*CAPA2_FLAGSHIP!AO26</f>
        <v>0</v>
      </c>
      <c r="AP8" s="273" t="n">
        <f aca="false">SUP_CONTROL!$C$12*CAPA2_FLAGSHIP!AP26</f>
        <v>0</v>
      </c>
      <c r="AQ8" s="273" t="n">
        <f aca="false">SUP_CONTROL!$C$12*CAPA2_FLAGSHIP!AQ26</f>
        <v>0</v>
      </c>
      <c r="AR8" s="273" t="n">
        <f aca="false">SUP_CONTROL!$C$12*CAPA2_FLAGSHIP!AR26</f>
        <v>0</v>
      </c>
      <c r="AS8" s="273" t="n">
        <f aca="false">SUP_CONTROL!$C$12*CAPA2_FLAGSHIP!AS26</f>
        <v>0</v>
      </c>
      <c r="AT8" s="273" t="n">
        <f aca="false">SUP_CONTROL!$C$12*CAPA2_FLAGSHIP!AT26</f>
        <v>0</v>
      </c>
      <c r="AU8" s="273" t="n">
        <f aca="false">SUP_CONTROL!$C$12*CAPA2_FLAGSHIP!AU26</f>
        <v>0</v>
      </c>
      <c r="AV8" s="273" t="n">
        <f aca="false">SUP_CONTROL!$C$12*CAPA2_FLAGSHIP!AV26</f>
        <v>0</v>
      </c>
      <c r="AW8" s="273" t="n">
        <f aca="false">SUP_CONTROL!$C$12*CAPA2_FLAGSHIP!AW26</f>
        <v>0</v>
      </c>
      <c r="AX8" s="273" t="n">
        <f aca="false">SUP_CONTROL!$C$12*CAPA2_FLAGSHIP!AX26</f>
        <v>0</v>
      </c>
      <c r="AY8" s="273" t="n">
        <f aca="false">SUP_CONTROL!$C$12*CAPA2_FLAGSHIP!AY26</f>
        <v>0</v>
      </c>
      <c r="AZ8" s="273" t="n">
        <f aca="false">SUP_CONTROL!$C$12*CAPA2_FLAGSHIP!AZ26</f>
        <v>0</v>
      </c>
      <c r="BA8" s="273" t="n">
        <f aca="false">SUP_CONTROL!$C$12*CAPA2_FLAGSHIP!BA26</f>
        <v>0</v>
      </c>
      <c r="BB8" s="273" t="n">
        <f aca="false">SUP_CONTROL!$C$12*CAPA2_FLAGSHIP!BB26</f>
        <v>0</v>
      </c>
      <c r="BC8" s="273" t="n">
        <f aca="false">SUP_CONTROL!$C$12*CAPA2_FLAGSHIP!BC26</f>
        <v>0</v>
      </c>
      <c r="BD8" s="273" t="n">
        <f aca="false">SUP_CONTROL!$C$12*CAPA2_FLAGSHIP!BD26</f>
        <v>0</v>
      </c>
      <c r="BE8" s="273" t="n">
        <f aca="false">SUP_CONTROL!$C$12*CAPA2_FLAGSHIP!BE26</f>
        <v>0</v>
      </c>
      <c r="BF8" s="273" t="n">
        <f aca="false">SUP_CONTROL!$C$12*CAPA2_FLAGSHIP!BF26</f>
        <v>0</v>
      </c>
      <c r="BG8" s="273" t="n">
        <f aca="false">SUP_CONTROL!$C$12*CAPA2_FLAGSHIP!BG26</f>
        <v>0</v>
      </c>
      <c r="BH8" s="273" t="n">
        <f aca="false">SUP_CONTROL!$C$12*CAPA2_FLAGSHIP!BH26</f>
        <v>0</v>
      </c>
      <c r="BI8" s="273" t="n">
        <f aca="false">SUP_CONTROL!$C$12*CAPA2_FLAGSHIP!BI26</f>
        <v>0</v>
      </c>
      <c r="BJ8" s="273" t="n">
        <f aca="false">SUP_CONTROL!$C$12*CAPA2_FLAGSHIP!BJ26</f>
        <v>0</v>
      </c>
      <c r="BK8" s="273" t="n">
        <f aca="false">SUP_CONTROL!$C$12*CAPA2_FLAGSHIP!BK26</f>
        <v>0</v>
      </c>
      <c r="BL8" s="273" t="n">
        <f aca="false">SUP_CONTROL!$C$12*CAPA2_FLAGSHIP!BL26</f>
        <v>0</v>
      </c>
      <c r="BM8" s="273" t="n">
        <f aca="false">SUP_CONTROL!$C$12*CAPA2_FLAGSHIP!BM26</f>
        <v>0</v>
      </c>
      <c r="BN8" s="273" t="n">
        <f aca="false">SUP_CONTROL!$C$12*CAPA2_FLAGSHIP!BN26</f>
        <v>0</v>
      </c>
      <c r="BO8" s="273" t="n">
        <f aca="false">SUP_CONTROL!$C$12*CAPA2_FLAGSHIP!BO26</f>
        <v>0</v>
      </c>
      <c r="BP8" s="273" t="n">
        <f aca="false">SUP_CONTROL!$C$12*CAPA2_FLAGSHIP!BP26</f>
        <v>0</v>
      </c>
      <c r="BQ8" s="273" t="n">
        <f aca="false">SUP_CONTROL!$C$12*CAPA2_FLAGSHIP!BQ26</f>
        <v>0</v>
      </c>
      <c r="BR8" s="273" t="n">
        <f aca="false">SUP_CONTROL!$C$12*CAPA2_FLAGSHIP!BR26</f>
        <v>0</v>
      </c>
      <c r="BS8" s="273" t="n">
        <f aca="false">SUP_CONTROL!$C$12*CAPA2_FLAGSHIP!BS26</f>
        <v>0</v>
      </c>
      <c r="BT8" s="273" t="n">
        <f aca="false">SUP_CONTROL!$C$12*CAPA2_FLAGSHIP!BT26</f>
        <v>0</v>
      </c>
      <c r="BU8" s="273" t="n">
        <f aca="false">SUP_CONTROL!$C$12*CAPA2_FLAGSHIP!BU26</f>
        <v>0</v>
      </c>
      <c r="BV8" s="273" t="n">
        <f aca="false">SUP_CONTROL!$C$12*CAPA2_FLAGSHIP!BV26</f>
        <v>0</v>
      </c>
      <c r="BW8" s="273" t="n">
        <f aca="false">SUP_CONTROL!$C$12*CAPA2_FLAGSHIP!BW26</f>
        <v>0</v>
      </c>
      <c r="BX8" s="273" t="n">
        <f aca="false">SUP_CONTROL!$C$12*CAPA2_FLAGSHIP!BX26</f>
        <v>0</v>
      </c>
      <c r="BY8" s="273" t="n">
        <f aca="false">SUP_CONTROL!$C$12*CAPA2_FLAGSHIP!BY26</f>
        <v>0</v>
      </c>
      <c r="BZ8" s="273" t="n">
        <f aca="false">SUP_CONTROL!$C$12*CAPA2_FLAGSHIP!BZ26</f>
        <v>0</v>
      </c>
      <c r="CA8" s="273" t="n">
        <f aca="false">SUP_CONTROL!$C$12*CAPA2_FLAGSHIP!CA26</f>
        <v>0</v>
      </c>
      <c r="CB8" s="273" t="n">
        <f aca="false">SUP_CONTROL!$C$12*CAPA2_FLAGSHIP!CB26</f>
        <v>0</v>
      </c>
      <c r="CC8" s="273" t="n">
        <f aca="false">SUP_CONTROL!$C$12*CAPA2_FLAGSHIP!CC26</f>
        <v>0</v>
      </c>
      <c r="CD8" s="273" t="n">
        <f aca="false">SUP_CONTROL!$C$12*CAPA2_FLAGSHIP!CD26</f>
        <v>0</v>
      </c>
      <c r="CE8" s="273" t="n">
        <f aca="false">SUP_CONTROL!$C$12*CAPA2_FLAGSHIP!CE26</f>
        <v>0</v>
      </c>
      <c r="CF8" s="273" t="n">
        <f aca="false">SUP_CONTROL!$C$12*CAPA2_FLAGSHIP!CF26</f>
        <v>0</v>
      </c>
      <c r="CG8" s="273" t="n">
        <f aca="false">SUP_CONTROL!$C$12*CAPA2_FLAGSHIP!CG26</f>
        <v>0</v>
      </c>
      <c r="CH8" s="273" t="n">
        <f aca="false">SUP_CONTROL!$C$12*CAPA2_FLAGSHIP!CH26</f>
        <v>0</v>
      </c>
      <c r="CI8" s="273" t="n">
        <f aca="false">SUP_CONTROL!$C$12*CAPA2_FLAGSHIP!CI26</f>
        <v>0</v>
      </c>
      <c r="CJ8" s="273" t="n">
        <f aca="false">SUP_CONTROL!$C$12*CAPA2_FLAGSHIP!CJ26</f>
        <v>0</v>
      </c>
      <c r="CK8" s="273" t="n">
        <f aca="false">SUP_CONTROL!$C$12*CAPA2_FLAGSHIP!CK26</f>
        <v>0</v>
      </c>
      <c r="CL8" s="273" t="n">
        <f aca="false">SUP_CONTROL!$C$12*CAPA2_FLAGSHIP!CL26</f>
        <v>0</v>
      </c>
      <c r="CM8" s="273" t="n">
        <f aca="false">SUP_CONTROL!$C$12*CAPA2_FLAGSHIP!CM26</f>
        <v>0</v>
      </c>
      <c r="CN8" s="273" t="n">
        <f aca="false">SUP_CONTROL!$C$12*CAPA2_FLAGSHIP!CN26</f>
        <v>0</v>
      </c>
      <c r="CO8" s="273" t="n">
        <f aca="false">SUP_CONTROL!$C$12*CAPA2_FLAGSHIP!CO26</f>
        <v>0</v>
      </c>
      <c r="CP8" s="273" t="n">
        <f aca="false">SUP_CONTROL!$C$12*CAPA2_FLAGSHIP!CP26</f>
        <v>0</v>
      </c>
      <c r="CQ8" s="273" t="n">
        <f aca="false">SUP_CONTROL!$C$12*CAPA2_FLAGSHIP!CQ26</f>
        <v>0</v>
      </c>
      <c r="CR8" s="273" t="n">
        <f aca="false">SUP_CONTROL!$C$12*CAPA2_FLAGSHIP!CR26</f>
        <v>0</v>
      </c>
      <c r="CS8" s="273" t="n">
        <f aca="false">SUP_CONTROL!$C$12*CAPA2_FLAGSHIP!CS26</f>
        <v>0</v>
      </c>
      <c r="CT8" s="273" t="n">
        <f aca="false">SUP_CONTROL!$C$12*CAPA2_FLAGSHIP!CT26</f>
        <v>0</v>
      </c>
      <c r="CU8" s="273" t="n">
        <f aca="false">SUP_CONTROL!$C$12*CAPA2_FLAGSHIP!CU26</f>
        <v>0</v>
      </c>
      <c r="CV8" s="273" t="n">
        <f aca="false">SUP_CONTROL!$C$12*CAPA2_FLAGSHIP!CV26</f>
        <v>0</v>
      </c>
      <c r="CW8" s="273" t="n">
        <f aca="false">SUP_CONTROL!$C$12*CAPA2_FLAGSHIP!CW26</f>
        <v>0</v>
      </c>
      <c r="CX8" s="273" t="n">
        <f aca="false">SUP_CONTROL!$C$12*CAPA2_FLAGSHIP!CX26</f>
        <v>0</v>
      </c>
      <c r="CY8" s="273" t="n">
        <f aca="false">SUP_CONTROL!$C$12*CAPA2_FLAGSHIP!CY26</f>
        <v>0</v>
      </c>
      <c r="CZ8" s="273" t="n">
        <f aca="false">SUP_CONTROL!$C$12*CAPA2_FLAGSHIP!CZ26</f>
        <v>0</v>
      </c>
      <c r="DA8" s="273" t="n">
        <f aca="false">SUP_CONTROL!$C$12*CAPA2_FLAGSHIP!DA26</f>
        <v>0</v>
      </c>
      <c r="DB8" s="273" t="n">
        <f aca="false">SUP_CONTROL!$C$12*CAPA2_FLAGSHIP!DB26</f>
        <v>0</v>
      </c>
      <c r="DC8" s="273" t="n">
        <f aca="false">SUP_CONTROL!$C$12*CAPA2_FLAGSHIP!DC26</f>
        <v>0</v>
      </c>
      <c r="DD8" s="273" t="n">
        <f aca="false">SUP_CONTROL!$C$12*CAPA2_FLAGSHIP!DD26</f>
        <v>0</v>
      </c>
      <c r="DE8" s="273" t="n">
        <f aca="false">SUP_CONTROL!$C$12*CAPA2_FLAGSHIP!DE26</f>
        <v>0</v>
      </c>
      <c r="DF8" s="273" t="n">
        <f aca="false">SUP_CONTROL!$C$12*CAPA2_FLAGSHIP!DF26</f>
        <v>0</v>
      </c>
      <c r="DG8" s="273" t="n">
        <f aca="false">SUP_CONTROL!$C$12*CAPA2_FLAGSHIP!DG26</f>
        <v>0</v>
      </c>
      <c r="DH8" s="273" t="n">
        <f aca="false">SUP_CONTROL!$C$12*CAPA2_FLAGSHIP!DH26</f>
        <v>0</v>
      </c>
      <c r="DI8" s="273" t="n">
        <f aca="false">SUP_CONTROL!$C$12*CAPA2_FLAGSHIP!DI26</f>
        <v>0</v>
      </c>
      <c r="DJ8" s="273" t="n">
        <f aca="false">SUP_CONTROL!$C$12*CAPA2_FLAGSHIP!DJ26</f>
        <v>0</v>
      </c>
      <c r="DK8" s="273" t="n">
        <f aca="false">SUP_CONTROL!$C$12*CAPA2_FLAGSHIP!DK26</f>
        <v>0</v>
      </c>
      <c r="DL8" s="273" t="n">
        <f aca="false">SUP_CONTROL!$C$12*CAPA2_FLAGSHIP!DL26</f>
        <v>0</v>
      </c>
      <c r="DM8" s="273" t="n">
        <f aca="false">SUP_CONTROL!$C$12*CAPA2_FLAGSHIP!DM26</f>
        <v>0</v>
      </c>
      <c r="DN8" s="273" t="n">
        <f aca="false">SUP_CONTROL!$C$12*CAPA2_FLAGSHIP!DN26</f>
        <v>0</v>
      </c>
      <c r="DO8" s="273" t="n">
        <f aca="false">SUP_CONTROL!$C$12*CAPA2_FLAGSHIP!DO26</f>
        <v>0</v>
      </c>
      <c r="DP8" s="273" t="n">
        <f aca="false">SUP_CONTROL!$C$12*CAPA2_FLAGSHIP!DP26</f>
        <v>0</v>
      </c>
      <c r="DQ8" s="273" t="n">
        <f aca="false">SUP_CONTROL!$C$12*CAPA2_FLAGSHIP!DQ26</f>
        <v>0</v>
      </c>
      <c r="DR8" s="273" t="n">
        <f aca="false">SUP_CONTROL!$C$12*CAPA2_FLAGSHIP!DR26</f>
        <v>0</v>
      </c>
      <c r="DS8" s="273" t="n">
        <f aca="false">SUP_CONTROL!$C$12*CAPA2_FLAGSHIP!DS26</f>
        <v>0</v>
      </c>
    </row>
    <row r="9" customFormat="false" ht="15" hidden="false" customHeight="true" outlineLevel="0" collapsed="false">
      <c r="B9" s="297" t="s">
        <v>3518</v>
      </c>
      <c r="D9" s="273" t="n">
        <f aca="false">SUP_CONTROL!$C$14*CAPA4_RETAIL!D19</f>
        <v>0</v>
      </c>
      <c r="E9" s="273" t="n">
        <f aca="false">SUP_CONTROL!$C$14*CAPA4_RETAIL!E19</f>
        <v>0</v>
      </c>
      <c r="F9" s="273" t="n">
        <f aca="false">SUP_CONTROL!$C$14*CAPA4_RETAIL!F19</f>
        <v>0</v>
      </c>
      <c r="G9" s="273" t="n">
        <f aca="false">SUP_CONTROL!$C$14*CAPA4_RETAIL!G19</f>
        <v>0</v>
      </c>
      <c r="H9" s="273" t="n">
        <f aca="false">SUP_CONTROL!$C$14*CAPA4_RETAIL!H19</f>
        <v>0</v>
      </c>
      <c r="I9" s="273" t="n">
        <f aca="false">SUP_CONTROL!$C$14*CAPA4_RETAIL!I19</f>
        <v>0</v>
      </c>
      <c r="J9" s="273" t="n">
        <f aca="false">SUP_CONTROL!$C$14*CAPA4_RETAIL!J19</f>
        <v>0</v>
      </c>
      <c r="K9" s="273" t="n">
        <f aca="false">SUP_CONTROL!$C$14*CAPA4_RETAIL!K19</f>
        <v>0</v>
      </c>
      <c r="L9" s="273" t="n">
        <f aca="false">SUP_CONTROL!$C$14*CAPA4_RETAIL!L19</f>
        <v>0</v>
      </c>
      <c r="M9" s="273" t="n">
        <f aca="false">SUP_CONTROL!$C$14*CAPA4_RETAIL!M19</f>
        <v>0</v>
      </c>
      <c r="N9" s="273" t="n">
        <f aca="false">SUP_CONTROL!$C$14*CAPA4_RETAIL!N19</f>
        <v>0</v>
      </c>
      <c r="O9" s="273" t="n">
        <f aca="false">SUP_CONTROL!$C$14*CAPA4_RETAIL!O19</f>
        <v>0</v>
      </c>
      <c r="P9" s="273" t="n">
        <f aca="false">SUP_CONTROL!$C$14*CAPA4_RETAIL!P19</f>
        <v>0</v>
      </c>
      <c r="Q9" s="273" t="n">
        <f aca="false">SUP_CONTROL!$C$14*CAPA4_RETAIL!Q19</f>
        <v>0</v>
      </c>
      <c r="R9" s="273" t="n">
        <f aca="false">SUP_CONTROL!$C$14*CAPA4_RETAIL!R19</f>
        <v>0</v>
      </c>
      <c r="S9" s="273" t="n">
        <f aca="false">SUP_CONTROL!$C$14*CAPA4_RETAIL!S19</f>
        <v>0</v>
      </c>
      <c r="T9" s="273" t="n">
        <f aca="false">SUP_CONTROL!$C$14*CAPA4_RETAIL!T19</f>
        <v>0</v>
      </c>
      <c r="U9" s="273" t="n">
        <f aca="false">SUP_CONTROL!$C$14*CAPA4_RETAIL!U19</f>
        <v>0</v>
      </c>
      <c r="V9" s="273" t="n">
        <f aca="false">SUP_CONTROL!$C$14*CAPA4_RETAIL!V19</f>
        <v>0</v>
      </c>
      <c r="W9" s="273" t="n">
        <f aca="false">SUP_CONTROL!$C$14*CAPA4_RETAIL!W19</f>
        <v>0</v>
      </c>
      <c r="X9" s="273" t="n">
        <f aca="false">SUP_CONTROL!$C$14*CAPA4_RETAIL!X19</f>
        <v>0</v>
      </c>
      <c r="Y9" s="273" t="n">
        <f aca="false">SUP_CONTROL!$C$14*CAPA4_RETAIL!Y19</f>
        <v>0</v>
      </c>
      <c r="Z9" s="273" t="n">
        <f aca="false">SUP_CONTROL!$C$14*CAPA4_RETAIL!Z19</f>
        <v>0</v>
      </c>
      <c r="AA9" s="273" t="n">
        <f aca="false">SUP_CONTROL!$C$14*CAPA4_RETAIL!AA19</f>
        <v>0</v>
      </c>
      <c r="AB9" s="273" t="n">
        <f aca="false">SUP_CONTROL!$C$14*CAPA4_RETAIL!AB19</f>
        <v>0</v>
      </c>
      <c r="AC9" s="273" t="n">
        <f aca="false">SUP_CONTROL!$C$14*CAPA4_RETAIL!AC19</f>
        <v>0</v>
      </c>
      <c r="AD9" s="273" t="n">
        <f aca="false">SUP_CONTROL!$C$14*CAPA4_RETAIL!AD19</f>
        <v>0</v>
      </c>
      <c r="AE9" s="273" t="n">
        <f aca="false">SUP_CONTROL!$C$14*CAPA4_RETAIL!AE19</f>
        <v>0</v>
      </c>
      <c r="AF9" s="273" t="n">
        <f aca="false">SUP_CONTROL!$C$14*CAPA4_RETAIL!AF19</f>
        <v>0</v>
      </c>
      <c r="AG9" s="273" t="n">
        <f aca="false">SUP_CONTROL!$C$14*CAPA4_RETAIL!AG19</f>
        <v>0</v>
      </c>
      <c r="AH9" s="273" t="n">
        <f aca="false">SUP_CONTROL!$C$14*CAPA4_RETAIL!AH19</f>
        <v>0</v>
      </c>
      <c r="AI9" s="273" t="n">
        <f aca="false">SUP_CONTROL!$C$14*CAPA4_RETAIL!AI19</f>
        <v>0</v>
      </c>
      <c r="AJ9" s="273" t="n">
        <f aca="false">SUP_CONTROL!$C$14*CAPA4_RETAIL!AJ19</f>
        <v>0</v>
      </c>
      <c r="AK9" s="273" t="n">
        <f aca="false">SUP_CONTROL!$C$14*CAPA4_RETAIL!AK19</f>
        <v>0</v>
      </c>
      <c r="AL9" s="273" t="n">
        <f aca="false">SUP_CONTROL!$C$14*CAPA4_RETAIL!AL19</f>
        <v>0</v>
      </c>
      <c r="AM9" s="273" t="n">
        <f aca="false">SUP_CONTROL!$C$14*CAPA4_RETAIL!AM19</f>
        <v>0</v>
      </c>
      <c r="AN9" s="273" t="n">
        <f aca="false">SUP_CONTROL!$C$14*CAPA4_RETAIL!AN19</f>
        <v>0</v>
      </c>
      <c r="AO9" s="273" t="n">
        <f aca="false">SUP_CONTROL!$C$14*CAPA4_RETAIL!AO19</f>
        <v>0</v>
      </c>
      <c r="AP9" s="273" t="n">
        <f aca="false">SUP_CONTROL!$C$14*CAPA4_RETAIL!AP19</f>
        <v>0</v>
      </c>
      <c r="AQ9" s="273" t="n">
        <f aca="false">SUP_CONTROL!$C$14*CAPA4_RETAIL!AQ19</f>
        <v>0</v>
      </c>
      <c r="AR9" s="273" t="n">
        <f aca="false">SUP_CONTROL!$C$14*CAPA4_RETAIL!AR19</f>
        <v>0</v>
      </c>
      <c r="AS9" s="273" t="n">
        <f aca="false">SUP_CONTROL!$C$14*CAPA4_RETAIL!AS19</f>
        <v>0</v>
      </c>
      <c r="AT9" s="273" t="n">
        <f aca="false">SUP_CONTROL!$C$14*CAPA4_RETAIL!AT19</f>
        <v>0</v>
      </c>
      <c r="AU9" s="273" t="n">
        <f aca="false">SUP_CONTROL!$C$14*CAPA4_RETAIL!AU19</f>
        <v>0</v>
      </c>
      <c r="AV9" s="273" t="n">
        <f aca="false">SUP_CONTROL!$C$14*CAPA4_RETAIL!AV19</f>
        <v>0</v>
      </c>
      <c r="AW9" s="273" t="n">
        <f aca="false">SUP_CONTROL!$C$14*CAPA4_RETAIL!AW19</f>
        <v>0</v>
      </c>
      <c r="AX9" s="273" t="n">
        <f aca="false">SUP_CONTROL!$C$14*CAPA4_RETAIL!AX19</f>
        <v>0</v>
      </c>
      <c r="AY9" s="273" t="n">
        <f aca="false">SUP_CONTROL!$C$14*CAPA4_RETAIL!AY19</f>
        <v>0</v>
      </c>
      <c r="AZ9" s="273" t="n">
        <f aca="false">SUP_CONTROL!$C$14*CAPA4_RETAIL!AZ19</f>
        <v>0</v>
      </c>
      <c r="BA9" s="273" t="n">
        <f aca="false">SUP_CONTROL!$C$14*CAPA4_RETAIL!BA19</f>
        <v>0</v>
      </c>
      <c r="BB9" s="273" t="n">
        <f aca="false">SUP_CONTROL!$C$14*CAPA4_RETAIL!BB19</f>
        <v>0</v>
      </c>
      <c r="BC9" s="273" t="n">
        <f aca="false">SUP_CONTROL!$C$14*CAPA4_RETAIL!BC19</f>
        <v>0</v>
      </c>
      <c r="BD9" s="273" t="n">
        <f aca="false">SUP_CONTROL!$C$14*CAPA4_RETAIL!BD19</f>
        <v>0</v>
      </c>
      <c r="BE9" s="273" t="n">
        <f aca="false">SUP_CONTROL!$C$14*CAPA4_RETAIL!BE19</f>
        <v>0</v>
      </c>
      <c r="BF9" s="273" t="n">
        <f aca="false">SUP_CONTROL!$C$14*CAPA4_RETAIL!BF19</f>
        <v>0</v>
      </c>
      <c r="BG9" s="273" t="n">
        <f aca="false">SUP_CONTROL!$C$14*CAPA4_RETAIL!BG19</f>
        <v>0</v>
      </c>
      <c r="BH9" s="273" t="n">
        <f aca="false">SUP_CONTROL!$C$14*CAPA4_RETAIL!BH19</f>
        <v>0</v>
      </c>
      <c r="BI9" s="273" t="n">
        <f aca="false">SUP_CONTROL!$C$14*CAPA4_RETAIL!BI19</f>
        <v>0</v>
      </c>
      <c r="BJ9" s="273" t="n">
        <f aca="false">SUP_CONTROL!$C$14*CAPA4_RETAIL!BJ19</f>
        <v>0</v>
      </c>
      <c r="BK9" s="273" t="n">
        <f aca="false">SUP_CONTROL!$C$14*CAPA4_RETAIL!BK19</f>
        <v>0</v>
      </c>
      <c r="BL9" s="273" t="n">
        <f aca="false">SUP_CONTROL!$C$14*CAPA4_RETAIL!BL19</f>
        <v>0</v>
      </c>
      <c r="BM9" s="273" t="n">
        <f aca="false">SUP_CONTROL!$C$14*CAPA4_RETAIL!BM19</f>
        <v>0</v>
      </c>
      <c r="BN9" s="273" t="n">
        <f aca="false">SUP_CONTROL!$C$14*CAPA4_RETAIL!BN19</f>
        <v>0</v>
      </c>
      <c r="BO9" s="273" t="n">
        <f aca="false">SUP_CONTROL!$C$14*CAPA4_RETAIL!BO19</f>
        <v>0</v>
      </c>
      <c r="BP9" s="273" t="n">
        <f aca="false">SUP_CONTROL!$C$14*CAPA4_RETAIL!BP19</f>
        <v>0</v>
      </c>
      <c r="BQ9" s="273" t="n">
        <f aca="false">SUP_CONTROL!$C$14*CAPA4_RETAIL!BQ19</f>
        <v>0</v>
      </c>
      <c r="BR9" s="273" t="n">
        <f aca="false">SUP_CONTROL!$C$14*CAPA4_RETAIL!BR19</f>
        <v>0</v>
      </c>
      <c r="BS9" s="273" t="n">
        <f aca="false">SUP_CONTROL!$C$14*CAPA4_RETAIL!BS19</f>
        <v>0</v>
      </c>
      <c r="BT9" s="273" t="n">
        <f aca="false">SUP_CONTROL!$C$14*CAPA4_RETAIL!BT19</f>
        <v>0</v>
      </c>
      <c r="BU9" s="273" t="n">
        <f aca="false">SUP_CONTROL!$C$14*CAPA4_RETAIL!BU19</f>
        <v>0</v>
      </c>
      <c r="BV9" s="273" t="n">
        <f aca="false">SUP_CONTROL!$C$14*CAPA4_RETAIL!BV19</f>
        <v>0</v>
      </c>
      <c r="BW9" s="273" t="n">
        <f aca="false">SUP_CONTROL!$C$14*CAPA4_RETAIL!BW19</f>
        <v>0</v>
      </c>
      <c r="BX9" s="273" t="n">
        <f aca="false">SUP_CONTROL!$C$14*CAPA4_RETAIL!BX19</f>
        <v>0</v>
      </c>
      <c r="BY9" s="273" t="n">
        <f aca="false">SUP_CONTROL!$C$14*CAPA4_RETAIL!BY19</f>
        <v>0</v>
      </c>
      <c r="BZ9" s="273" t="n">
        <f aca="false">SUP_CONTROL!$C$14*CAPA4_RETAIL!BZ19</f>
        <v>0</v>
      </c>
      <c r="CA9" s="273" t="n">
        <f aca="false">SUP_CONTROL!$C$14*CAPA4_RETAIL!CA19</f>
        <v>0</v>
      </c>
      <c r="CB9" s="273" t="n">
        <f aca="false">SUP_CONTROL!$C$14*CAPA4_RETAIL!CB19</f>
        <v>0</v>
      </c>
      <c r="CC9" s="273" t="n">
        <f aca="false">SUP_CONTROL!$C$14*CAPA4_RETAIL!CC19</f>
        <v>0</v>
      </c>
      <c r="CD9" s="273" t="n">
        <f aca="false">SUP_CONTROL!$C$14*CAPA4_RETAIL!CD19</f>
        <v>0</v>
      </c>
      <c r="CE9" s="273" t="n">
        <f aca="false">SUP_CONTROL!$C$14*CAPA4_RETAIL!CE19</f>
        <v>0</v>
      </c>
      <c r="CF9" s="273" t="n">
        <f aca="false">SUP_CONTROL!$C$14*CAPA4_RETAIL!CF19</f>
        <v>0</v>
      </c>
      <c r="CG9" s="273" t="n">
        <f aca="false">SUP_CONTROL!$C$14*CAPA4_RETAIL!CG19</f>
        <v>0</v>
      </c>
      <c r="CH9" s="273" t="n">
        <f aca="false">SUP_CONTROL!$C$14*CAPA4_RETAIL!CH19</f>
        <v>0</v>
      </c>
      <c r="CI9" s="273" t="n">
        <f aca="false">SUP_CONTROL!$C$14*CAPA4_RETAIL!CI19</f>
        <v>0</v>
      </c>
      <c r="CJ9" s="273" t="n">
        <f aca="false">SUP_CONTROL!$C$14*CAPA4_RETAIL!CJ19</f>
        <v>0</v>
      </c>
      <c r="CK9" s="273" t="n">
        <f aca="false">SUP_CONTROL!$C$14*CAPA4_RETAIL!CK19</f>
        <v>0</v>
      </c>
      <c r="CL9" s="273" t="n">
        <f aca="false">SUP_CONTROL!$C$14*CAPA4_RETAIL!CL19</f>
        <v>0</v>
      </c>
      <c r="CM9" s="273" t="n">
        <f aca="false">SUP_CONTROL!$C$14*CAPA4_RETAIL!CM19</f>
        <v>0</v>
      </c>
      <c r="CN9" s="273" t="n">
        <f aca="false">SUP_CONTROL!$C$14*CAPA4_RETAIL!CN19</f>
        <v>0</v>
      </c>
      <c r="CO9" s="273" t="n">
        <f aca="false">SUP_CONTROL!$C$14*CAPA4_RETAIL!CO19</f>
        <v>0</v>
      </c>
      <c r="CP9" s="273" t="n">
        <f aca="false">SUP_CONTROL!$C$14*CAPA4_RETAIL!CP19</f>
        <v>0</v>
      </c>
      <c r="CQ9" s="273" t="n">
        <f aca="false">SUP_CONTROL!$C$14*CAPA4_RETAIL!CQ19</f>
        <v>0</v>
      </c>
      <c r="CR9" s="273" t="n">
        <f aca="false">SUP_CONTROL!$C$14*CAPA4_RETAIL!CR19</f>
        <v>0</v>
      </c>
      <c r="CS9" s="273" t="n">
        <f aca="false">SUP_CONTROL!$C$14*CAPA4_RETAIL!CS19</f>
        <v>0</v>
      </c>
      <c r="CT9" s="273" t="n">
        <f aca="false">SUP_CONTROL!$C$14*CAPA4_RETAIL!CT19</f>
        <v>0</v>
      </c>
      <c r="CU9" s="273" t="n">
        <f aca="false">SUP_CONTROL!$C$14*CAPA4_RETAIL!CU19</f>
        <v>0</v>
      </c>
      <c r="CV9" s="273" t="n">
        <f aca="false">SUP_CONTROL!$C$14*CAPA4_RETAIL!CV19</f>
        <v>0</v>
      </c>
      <c r="CW9" s="273" t="n">
        <f aca="false">SUP_CONTROL!$C$14*CAPA4_RETAIL!CW19</f>
        <v>0</v>
      </c>
      <c r="CX9" s="273" t="n">
        <f aca="false">SUP_CONTROL!$C$14*CAPA4_RETAIL!CX19</f>
        <v>0</v>
      </c>
      <c r="CY9" s="273" t="n">
        <f aca="false">SUP_CONTROL!$C$14*CAPA4_RETAIL!CY19</f>
        <v>0</v>
      </c>
      <c r="CZ9" s="273" t="n">
        <f aca="false">SUP_CONTROL!$C$14*CAPA4_RETAIL!CZ19</f>
        <v>0</v>
      </c>
      <c r="DA9" s="273" t="n">
        <f aca="false">SUP_CONTROL!$C$14*CAPA4_RETAIL!DA19</f>
        <v>0</v>
      </c>
      <c r="DB9" s="273" t="n">
        <f aca="false">SUP_CONTROL!$C$14*CAPA4_RETAIL!DB19</f>
        <v>0</v>
      </c>
      <c r="DC9" s="273" t="n">
        <f aca="false">SUP_CONTROL!$C$14*CAPA4_RETAIL!DC19</f>
        <v>0</v>
      </c>
      <c r="DD9" s="273" t="n">
        <f aca="false">SUP_CONTROL!$C$14*CAPA4_RETAIL!DD19</f>
        <v>0</v>
      </c>
      <c r="DE9" s="273" t="n">
        <f aca="false">SUP_CONTROL!$C$14*CAPA4_RETAIL!DE19</f>
        <v>0</v>
      </c>
      <c r="DF9" s="273" t="n">
        <f aca="false">SUP_CONTROL!$C$14*CAPA4_RETAIL!DF19</f>
        <v>0</v>
      </c>
      <c r="DG9" s="273" t="n">
        <f aca="false">SUP_CONTROL!$C$14*CAPA4_RETAIL!DG19</f>
        <v>0</v>
      </c>
      <c r="DH9" s="273" t="n">
        <f aca="false">SUP_CONTROL!$C$14*CAPA4_RETAIL!DH19</f>
        <v>0</v>
      </c>
      <c r="DI9" s="273" t="n">
        <f aca="false">SUP_CONTROL!$C$14*CAPA4_RETAIL!DI19</f>
        <v>0</v>
      </c>
      <c r="DJ9" s="273" t="n">
        <f aca="false">SUP_CONTROL!$C$14*CAPA4_RETAIL!DJ19</f>
        <v>0</v>
      </c>
      <c r="DK9" s="273" t="n">
        <f aca="false">SUP_CONTROL!$C$14*CAPA4_RETAIL!DK19</f>
        <v>0</v>
      </c>
      <c r="DL9" s="273" t="n">
        <f aca="false">SUP_CONTROL!$C$14*CAPA4_RETAIL!DL19</f>
        <v>0</v>
      </c>
      <c r="DM9" s="273" t="n">
        <f aca="false">SUP_CONTROL!$C$14*CAPA4_RETAIL!DM19</f>
        <v>0</v>
      </c>
      <c r="DN9" s="273" t="n">
        <f aca="false">SUP_CONTROL!$C$14*CAPA4_RETAIL!DN19</f>
        <v>0</v>
      </c>
      <c r="DO9" s="273" t="n">
        <f aca="false">SUP_CONTROL!$C$14*CAPA4_RETAIL!DO19</f>
        <v>0</v>
      </c>
      <c r="DP9" s="273" t="n">
        <f aca="false">SUP_CONTROL!$C$14*CAPA4_RETAIL!DP19</f>
        <v>0</v>
      </c>
      <c r="DQ9" s="273" t="n">
        <f aca="false">SUP_CONTROL!$C$14*CAPA4_RETAIL!DQ19</f>
        <v>0</v>
      </c>
      <c r="DR9" s="273" t="n">
        <f aca="false">SUP_CONTROL!$C$14*CAPA4_RETAIL!DR19</f>
        <v>0</v>
      </c>
      <c r="DS9" s="273" t="n">
        <f aca="false">SUP_CONTROL!$C$14*CAPA4_RETAIL!DS19</f>
        <v>0</v>
      </c>
    </row>
    <row r="10" customFormat="false" ht="15" hidden="false" customHeight="true" outlineLevel="0" collapsed="false">
      <c r="B10" s="297" t="s">
        <v>3519</v>
      </c>
      <c r="D10" s="273" t="n">
        <f aca="false">D51</f>
        <v>0</v>
      </c>
      <c r="E10" s="273" t="n">
        <f aca="false">E51</f>
        <v>0</v>
      </c>
      <c r="F10" s="273" t="n">
        <f aca="false">F51</f>
        <v>0</v>
      </c>
      <c r="G10" s="273" t="n">
        <f aca="false">G51</f>
        <v>0</v>
      </c>
      <c r="H10" s="273" t="n">
        <f aca="false">H51</f>
        <v>0</v>
      </c>
      <c r="I10" s="273" t="n">
        <f aca="false">I51</f>
        <v>0</v>
      </c>
      <c r="J10" s="273" t="n">
        <f aca="false">J51</f>
        <v>0</v>
      </c>
      <c r="K10" s="273" t="n">
        <f aca="false">K51</f>
        <v>0</v>
      </c>
      <c r="L10" s="273" t="n">
        <f aca="false">L51</f>
        <v>0</v>
      </c>
      <c r="M10" s="273" t="n">
        <f aca="false">M51</f>
        <v>0</v>
      </c>
      <c r="N10" s="273" t="n">
        <f aca="false">N51</f>
        <v>0</v>
      </c>
      <c r="O10" s="273" t="n">
        <f aca="false">O51</f>
        <v>0</v>
      </c>
      <c r="P10" s="273" t="n">
        <f aca="false">P51</f>
        <v>0</v>
      </c>
      <c r="Q10" s="273" t="n">
        <f aca="false">Q51</f>
        <v>0</v>
      </c>
      <c r="R10" s="273" t="n">
        <f aca="false">R51</f>
        <v>0</v>
      </c>
      <c r="S10" s="273" t="n">
        <f aca="false">S51</f>
        <v>0</v>
      </c>
      <c r="T10" s="273" t="n">
        <f aca="false">T51</f>
        <v>0</v>
      </c>
      <c r="U10" s="273" t="n">
        <f aca="false">U51</f>
        <v>0</v>
      </c>
      <c r="V10" s="273" t="n">
        <f aca="false">V51</f>
        <v>2419.10730330673</v>
      </c>
      <c r="W10" s="273" t="n">
        <f aca="false">W51</f>
        <v>5438.19880936846</v>
      </c>
      <c r="X10" s="273" t="n">
        <f aca="false">X51</f>
        <v>7681.21771519325</v>
      </c>
      <c r="Y10" s="273" t="n">
        <f aca="false">Y51</f>
        <v>11221.0234065831</v>
      </c>
      <c r="Z10" s="273" t="n">
        <f aca="false">Z51</f>
        <v>13483.7511739752</v>
      </c>
      <c r="AA10" s="273" t="n">
        <f aca="false">AA51</f>
        <v>14389.9280752841</v>
      </c>
      <c r="AB10" s="273" t="n">
        <f aca="false">AB51</f>
        <v>16371.472894274</v>
      </c>
      <c r="AC10" s="273" t="n">
        <f aca="false">AC51</f>
        <v>16371.472894274</v>
      </c>
      <c r="AD10" s="273" t="n">
        <f aca="false">AD51</f>
        <v>14867.3193656217</v>
      </c>
      <c r="AE10" s="273" t="n">
        <f aca="false">AE51</f>
        <v>14867.3193656217</v>
      </c>
      <c r="AF10" s="273" t="n">
        <f aca="false">AF51</f>
        <v>15260.9005953301</v>
      </c>
      <c r="AG10" s="273" t="n">
        <f aca="false">AG51</f>
        <v>14689.9803318837</v>
      </c>
      <c r="AH10" s="273" t="n">
        <f aca="false">AH51</f>
        <v>14689.9803318837</v>
      </c>
      <c r="AI10" s="273" t="n">
        <f aca="false">AI51</f>
        <v>16946.5977466638</v>
      </c>
      <c r="AJ10" s="273" t="n">
        <f aca="false">AJ51</f>
        <v>20512.5869084093</v>
      </c>
      <c r="AK10" s="273" t="n">
        <f aca="false">AK51</f>
        <v>23335.1784431609</v>
      </c>
      <c r="AL10" s="273" t="n">
        <f aca="false">AL51</f>
        <v>27297.3160261267</v>
      </c>
      <c r="AM10" s="273" t="n">
        <f aca="false">AM51</f>
        <v>29603.275964292</v>
      </c>
      <c r="AN10" s="273" t="n">
        <f aca="false">AN51</f>
        <v>34005.650411666</v>
      </c>
      <c r="AO10" s="273" t="n">
        <f aca="false">AO51</f>
        <v>36631.7165248396</v>
      </c>
      <c r="AP10" s="273" t="n">
        <f aca="false">AP51</f>
        <v>36084.5287134963</v>
      </c>
      <c r="AQ10" s="273" t="n">
        <f aca="false">AQ51</f>
        <v>39448.4027600198</v>
      </c>
      <c r="AR10" s="273" t="n">
        <f aca="false">AR51</f>
        <v>43164.0519458467</v>
      </c>
      <c r="AS10" s="273" t="n">
        <f aca="false">AS51</f>
        <v>47699.3619786723</v>
      </c>
      <c r="AT10" s="273" t="n">
        <f aca="false">AT51</f>
        <v>53592.6054088599</v>
      </c>
      <c r="AU10" s="273" t="n">
        <f aca="false">AU51</f>
        <v>56869.2024647463</v>
      </c>
      <c r="AV10" s="273" t="n">
        <f aca="false">AV51</f>
        <v>59005.3160228443</v>
      </c>
      <c r="AW10" s="273" t="n">
        <f aca="false">AW51</f>
        <v>62509.1819843605</v>
      </c>
      <c r="AX10" s="273" t="n">
        <f aca="false">AX51</f>
        <v>64341.8462267689</v>
      </c>
      <c r="AY10" s="273" t="n">
        <f aca="false">AY51</f>
        <v>67559.4381366735</v>
      </c>
      <c r="AZ10" s="273" t="n">
        <f aca="false">AZ51</f>
        <v>74634.2691679629</v>
      </c>
      <c r="BA10" s="273" t="n">
        <f aca="false">BA51</f>
        <v>77036.2923051024</v>
      </c>
      <c r="BB10" s="273" t="n">
        <f aca="false">BB51</f>
        <v>74763.0881301524</v>
      </c>
      <c r="BC10" s="273" t="n">
        <f aca="false">BC51</f>
        <v>75711.8594538156</v>
      </c>
      <c r="BD10" s="273" t="n">
        <f aca="false">BD51</f>
        <v>75711.8594538156</v>
      </c>
      <c r="BE10" s="273" t="n">
        <f aca="false">BE51</f>
        <v>75711.8594538156</v>
      </c>
      <c r="BF10" s="273" t="n">
        <f aca="false">BF51</f>
        <v>73349.558126395</v>
      </c>
      <c r="BG10" s="273" t="n">
        <f aca="false">BG51</f>
        <v>73611.8027812283</v>
      </c>
      <c r="BH10" s="273" t="n">
        <f aca="false">BH51</f>
        <v>74005.3840109367</v>
      </c>
      <c r="BI10" s="273" t="n">
        <f aca="false">BI51</f>
        <v>73108.9258342741</v>
      </c>
      <c r="BJ10" s="273" t="n">
        <f aca="false">BJ51</f>
        <v>78056.9122617146</v>
      </c>
      <c r="BK10" s="273" t="n">
        <f aca="false">BK51</f>
        <v>80089.0796221263</v>
      </c>
      <c r="BL10" s="273" t="n">
        <f aca="false">BL51</f>
        <v>89535.8123259596</v>
      </c>
      <c r="BM10" s="273" t="n">
        <f aca="false">BM51</f>
        <v>95371.843108812</v>
      </c>
      <c r="BN10" s="273" t="n">
        <f aca="false">BN51</f>
        <v>101092.7646061</v>
      </c>
      <c r="BO10" s="273" t="n">
        <f aca="false">BO51</f>
        <v>104613.909301136</v>
      </c>
      <c r="BP10" s="273" t="n">
        <f aca="false">BP51</f>
        <v>108989.440685044</v>
      </c>
      <c r="BQ10" s="273" t="n">
        <f aca="false">BQ51</f>
        <v>109124.7835318</v>
      </c>
      <c r="BR10" s="273" t="n">
        <f aca="false">BR51</f>
        <v>113756.042213108</v>
      </c>
      <c r="BS10" s="273" t="n">
        <f aca="false">BS51</f>
        <v>119310.901270351</v>
      </c>
      <c r="BT10" s="273" t="n">
        <f aca="false">BT51</f>
        <v>124881.947107423</v>
      </c>
      <c r="BU10" s="273" t="n">
        <f aca="false">BU51</f>
        <v>130726.911353616</v>
      </c>
      <c r="BV10" s="273" t="n">
        <f aca="false">BV51</f>
        <v>136049.640833604</v>
      </c>
      <c r="BW10" s="273" t="n">
        <f aca="false">BW51</f>
        <v>138039.069916432</v>
      </c>
      <c r="BX10" s="273" t="n">
        <f aca="false">BX51</f>
        <v>148316.324968934</v>
      </c>
      <c r="BY10" s="273" t="n">
        <f aca="false">BY51</f>
        <v>152206.685476936</v>
      </c>
      <c r="BZ10" s="273" t="n">
        <f aca="false">BZ51</f>
        <v>153355.164290537</v>
      </c>
      <c r="CA10" s="273" t="n">
        <f aca="false">CA51</f>
        <v>159561.534104753</v>
      </c>
      <c r="CB10" s="273" t="n">
        <f aca="false">CB51</f>
        <v>159263.422032935</v>
      </c>
      <c r="CC10" s="273" t="n">
        <f aca="false">CC51</f>
        <v>165355.331013886</v>
      </c>
      <c r="CD10" s="273" t="n">
        <f aca="false">CD51</f>
        <v>170808.310812742</v>
      </c>
      <c r="CE10" s="273" t="n">
        <f aca="false">CE51</f>
        <v>176544.751379071</v>
      </c>
      <c r="CF10" s="273" t="n">
        <f aca="false">CF51</f>
        <v>182018.398114436</v>
      </c>
      <c r="CG10" s="273" t="n">
        <f aca="false">CG51</f>
        <v>188973.622552099</v>
      </c>
      <c r="CH10" s="273" t="n">
        <f aca="false">CH51</f>
        <v>192183.674807101</v>
      </c>
      <c r="CI10" s="273" t="n">
        <f aca="false">CI51</f>
        <v>198310.260526927</v>
      </c>
      <c r="CJ10" s="273" t="n">
        <f aca="false">CJ51</f>
        <v>198486.237988371</v>
      </c>
      <c r="CK10" s="273" t="n">
        <f aca="false">CK51</f>
        <v>200545.836145572</v>
      </c>
      <c r="CL10" s="273" t="n">
        <f aca="false">CL51</f>
        <v>201441.372257407</v>
      </c>
      <c r="CM10" s="273" t="n">
        <f aca="false">CM51</f>
        <v>201441.372257407</v>
      </c>
      <c r="CN10" s="273" t="n">
        <f aca="false">CN51</f>
        <v>201441.372257407</v>
      </c>
      <c r="CO10" s="273" t="n">
        <f aca="false">CO51</f>
        <v>201441.372257407</v>
      </c>
      <c r="CP10" s="273" t="n">
        <f aca="false">CP51</f>
        <v>201441.372257407</v>
      </c>
      <c r="CQ10" s="273" t="n">
        <f aca="false">CQ51</f>
        <v>201441.372257407</v>
      </c>
      <c r="CR10" s="273" t="n">
        <f aca="false">CR51</f>
        <v>201441.372257407</v>
      </c>
      <c r="CS10" s="273" t="n">
        <f aca="false">CS51</f>
        <v>201441.372257407</v>
      </c>
      <c r="CT10" s="273" t="n">
        <f aca="false">CT51</f>
        <v>201441.372257407</v>
      </c>
      <c r="CU10" s="273" t="n">
        <f aca="false">CU51</f>
        <v>201441.372257407</v>
      </c>
      <c r="CV10" s="273" t="n">
        <f aca="false">CV51</f>
        <v>201441.372257407</v>
      </c>
      <c r="CW10" s="273" t="n">
        <f aca="false">CW51</f>
        <v>201441.372257407</v>
      </c>
      <c r="CX10" s="273" t="n">
        <f aca="false">CX51</f>
        <v>201441.372257407</v>
      </c>
      <c r="CY10" s="273" t="n">
        <f aca="false">CY51</f>
        <v>201441.372257407</v>
      </c>
      <c r="CZ10" s="273" t="n">
        <f aca="false">CZ51</f>
        <v>201441.372257407</v>
      </c>
      <c r="DA10" s="273" t="n">
        <f aca="false">DA51</f>
        <v>201441.372257407</v>
      </c>
      <c r="DB10" s="273" t="n">
        <f aca="false">DB51</f>
        <v>201441.372257407</v>
      </c>
      <c r="DC10" s="273" t="n">
        <f aca="false">DC51</f>
        <v>201441.372257407</v>
      </c>
      <c r="DD10" s="273" t="n">
        <f aca="false">DD51</f>
        <v>201441.372257407</v>
      </c>
      <c r="DE10" s="273" t="n">
        <f aca="false">DE51</f>
        <v>201441.372257407</v>
      </c>
      <c r="DF10" s="273" t="n">
        <f aca="false">DF51</f>
        <v>201441.372257407</v>
      </c>
      <c r="DG10" s="273" t="n">
        <f aca="false">DG51</f>
        <v>201441.372257407</v>
      </c>
      <c r="DH10" s="273" t="n">
        <f aca="false">DH51</f>
        <v>201441.372257407</v>
      </c>
      <c r="DI10" s="273" t="n">
        <f aca="false">DI51</f>
        <v>201441.372257407</v>
      </c>
      <c r="DJ10" s="273" t="n">
        <f aca="false">DJ51</f>
        <v>201441.372257407</v>
      </c>
      <c r="DK10" s="273" t="n">
        <f aca="false">DK51</f>
        <v>201441.372257407</v>
      </c>
      <c r="DL10" s="273" t="n">
        <f aca="false">DL51</f>
        <v>201441.372257407</v>
      </c>
      <c r="DM10" s="273" t="n">
        <f aca="false">DM51</f>
        <v>201441.372257407</v>
      </c>
      <c r="DN10" s="273" t="n">
        <f aca="false">DN51</f>
        <v>201441.372257407</v>
      </c>
      <c r="DO10" s="273" t="n">
        <f aca="false">DO51</f>
        <v>201441.372257407</v>
      </c>
      <c r="DP10" s="273" t="n">
        <f aca="false">DP51</f>
        <v>201441.372257407</v>
      </c>
      <c r="DQ10" s="273" t="n">
        <f aca="false">DQ51</f>
        <v>201441.372257407</v>
      </c>
      <c r="DR10" s="273" t="n">
        <f aca="false">DR51</f>
        <v>201441.372257407</v>
      </c>
      <c r="DS10" s="273" t="n">
        <f aca="false">DS51</f>
        <v>201441.372257407</v>
      </c>
    </row>
    <row r="11" customFormat="false" ht="15" hidden="false" customHeight="true" outlineLevel="0" collapsed="false">
      <c r="B11" s="178" t="s">
        <v>3520</v>
      </c>
      <c r="D11" s="268" t="n">
        <f aca="false">SUM(D7:D10)</f>
        <v>0</v>
      </c>
      <c r="E11" s="268" t="n">
        <f aca="false">SUM(E7:E10)</f>
        <v>-15715</v>
      </c>
      <c r="F11" s="268" t="n">
        <f aca="false">SUM(F7:F10)</f>
        <v>-15715</v>
      </c>
      <c r="G11" s="268" t="n">
        <f aca="false">SUM(G7:G10)</f>
        <v>-14131.987880978</v>
      </c>
      <c r="H11" s="268" t="n">
        <f aca="false">SUM(H7:H10)</f>
        <v>3865.14223676298</v>
      </c>
      <c r="I11" s="268" t="n">
        <f aca="false">SUM(I7:I10)</f>
        <v>18835.9383002694</v>
      </c>
      <c r="J11" s="268" t="n">
        <f aca="false">SUM(J7:J10)</f>
        <v>28951.5965109153</v>
      </c>
      <c r="K11" s="268" t="n">
        <f aca="false">SUM(K7:K10)</f>
        <v>39851.2906689435</v>
      </c>
      <c r="L11" s="268" t="n">
        <f aca="false">SUM(L7:L10)</f>
        <v>46555.0554584569</v>
      </c>
      <c r="M11" s="268" t="n">
        <f aca="false">SUM(M7:M10)</f>
        <v>50112.1551426885</v>
      </c>
      <c r="N11" s="268" t="n">
        <f aca="false">SUM(N7:N10)</f>
        <v>50112.1551426885</v>
      </c>
      <c r="O11" s="268" t="n">
        <f aca="false">SUM(O7:O10)</f>
        <v>50112.1551426885</v>
      </c>
      <c r="P11" s="268" t="n">
        <f aca="false">SUM(P7:P10)</f>
        <v>54017.1439091533</v>
      </c>
      <c r="Q11" s="268" t="n">
        <f aca="false">SUM(Q7:Q10)</f>
        <v>54017.1439091533</v>
      </c>
      <c r="R11" s="268" t="n">
        <f aca="false">SUM(R7:R10)</f>
        <v>54017.1439091533</v>
      </c>
      <c r="S11" s="268" t="n">
        <f aca="false">SUM(S7:S10)</f>
        <v>54017.1439091533</v>
      </c>
      <c r="T11" s="268" t="n">
        <f aca="false">SUM(T7:T10)</f>
        <v>54017.1439091533</v>
      </c>
      <c r="U11" s="268" t="n">
        <f aca="false">SUM(U7:U10)</f>
        <v>54017.1439091533</v>
      </c>
      <c r="V11" s="268" t="n">
        <f aca="false">SUM(V7:V10)</f>
        <v>56843.54364996</v>
      </c>
      <c r="W11" s="268" t="n">
        <f aca="false">SUM(W7:W10)</f>
        <v>60305.0630669529</v>
      </c>
      <c r="X11" s="268" t="n">
        <f aca="false">SUM(X7:X10)</f>
        <v>62674.8191347632</v>
      </c>
      <c r="Y11" s="268" t="n">
        <f aca="false">SUM(Y7:Y10)</f>
        <v>66610.2897653182</v>
      </c>
      <c r="Z11" s="268" t="n">
        <f aca="false">SUM(Z7:Z10)</f>
        <v>68980.0458331284</v>
      </c>
      <c r="AA11" s="268" t="n">
        <f aca="false">SUM(AA7:AA10)</f>
        <v>69927.9482602526</v>
      </c>
      <c r="AB11" s="268" t="n">
        <f aca="false">SUM(AB7:AB10)</f>
        <v>75855.6070042446</v>
      </c>
      <c r="AC11" s="268" t="n">
        <f aca="false">SUM(AC7:AC10)</f>
        <v>75855.6070042446</v>
      </c>
      <c r="AD11" s="268" t="n">
        <f aca="false">SUM(AD7:AD10)</f>
        <v>71352.9269935779</v>
      </c>
      <c r="AE11" s="268" t="n">
        <f aca="false">SUM(AE7:AE10)</f>
        <v>71352.9269935779</v>
      </c>
      <c r="AF11" s="268" t="n">
        <f aca="false">SUM(AF7:AF10)</f>
        <v>71746.5082232863</v>
      </c>
      <c r="AG11" s="268" t="n">
        <f aca="false">SUM(AG7:AG10)</f>
        <v>71102.8155671958</v>
      </c>
      <c r="AH11" s="268" t="n">
        <f aca="false">SUM(AH7:AH10)</f>
        <v>71102.8155671958</v>
      </c>
      <c r="AI11" s="268" t="n">
        <f aca="false">SUM(AI7:AI10)</f>
        <v>73989.1326320146</v>
      </c>
      <c r="AJ11" s="268" t="n">
        <f aca="false">SUM(AJ7:AJ10)</f>
        <v>78118.005042</v>
      </c>
      <c r="AK11" s="268" t="n">
        <f aca="false">SUM(AK7:AK10)</f>
        <v>81114.1671817989</v>
      </c>
      <c r="AL11" s="268" t="n">
        <f aca="false">SUM(AL7:AL10)</f>
        <v>85584.779277405</v>
      </c>
      <c r="AM11" s="268" t="n">
        <f aca="false">SUM(AM7:AM10)</f>
        <v>88025.7770318386</v>
      </c>
      <c r="AN11" s="268" t="n">
        <f aca="false">SUM(AN7:AN10)</f>
        <v>94763.3614061889</v>
      </c>
      <c r="AO11" s="268" t="n">
        <f aca="false">SUM(AO7:AO10)</f>
        <v>97510.0423372846</v>
      </c>
      <c r="AP11" s="268" t="n">
        <f aca="false">SUM(AP7:AP10)</f>
        <v>96921.9438542632</v>
      </c>
      <c r="AQ11" s="268" t="n">
        <f aca="false">SUM(AQ7:AQ10)</f>
        <v>100706.817192021</v>
      </c>
      <c r="AR11" s="268" t="n">
        <f aca="false">SUM(AR7:AR10)</f>
        <v>104766.084109557</v>
      </c>
      <c r="AS11" s="268" t="n">
        <f aca="false">SUM(AS7:AS10)</f>
        <v>109648.288527673</v>
      </c>
      <c r="AT11" s="268" t="n">
        <f aca="false">SUM(AT7:AT10)</f>
        <v>115892.235940886</v>
      </c>
      <c r="AU11" s="268" t="n">
        <f aca="false">SUM(AU7:AU10)</f>
        <v>119280.802119747</v>
      </c>
      <c r="AV11" s="268" t="n">
        <f aca="false">SUM(AV7:AV10)</f>
        <v>121479.370305358</v>
      </c>
      <c r="AW11" s="268" t="n">
        <f aca="false">SUM(AW7:AW10)</f>
        <v>125264.243643116</v>
      </c>
      <c r="AX11" s="268" t="n">
        <f aca="false">SUM(AX7:AX10)</f>
        <v>127152.159085624</v>
      </c>
      <c r="AY11" s="268" t="n">
        <f aca="false">SUM(AY7:AY10)</f>
        <v>130582.120855657</v>
      </c>
      <c r="AZ11" s="268" t="n">
        <f aca="false">SUM(AZ7:AZ10)</f>
        <v>139845.928666861</v>
      </c>
      <c r="BA11" s="268" t="n">
        <f aca="false">SUM(BA7:BA10)</f>
        <v>142308.65205263</v>
      </c>
      <c r="BB11" s="268" t="n">
        <f aca="false">SUM(BB7:BB10)</f>
        <v>136719.753466578</v>
      </c>
      <c r="BC11" s="268" t="n">
        <f aca="false">SUM(BC7:BC10)</f>
        <v>137704.842820886</v>
      </c>
      <c r="BD11" s="268" t="n">
        <f aca="false">SUM(BD7:BD10)</f>
        <v>137704.842820886</v>
      </c>
      <c r="BE11" s="268" t="n">
        <f aca="false">SUM(BE7:BE10)</f>
        <v>137704.842820886</v>
      </c>
      <c r="BF11" s="268" t="n">
        <f aca="false">SUM(BF7:BF10)</f>
        <v>135197.765838624</v>
      </c>
      <c r="BG11" s="268" t="n">
        <f aca="false">SUM(BG7:BG10)</f>
        <v>135460.010493457</v>
      </c>
      <c r="BH11" s="268" t="n">
        <f aca="false">SUM(BH7:BH10)</f>
        <v>135853.591723165</v>
      </c>
      <c r="BI11" s="268" t="n">
        <f aca="false">SUM(BI7:BI10)</f>
        <v>135407.135639925</v>
      </c>
      <c r="BJ11" s="268" t="n">
        <f aca="false">SUM(BJ7:BJ10)</f>
        <v>140658.453793857</v>
      </c>
      <c r="BK11" s="268" t="n">
        <f aca="false">SUM(BK7:BK10)</f>
        <v>142929.943972822</v>
      </c>
      <c r="BL11" s="268" t="n">
        <f aca="false">SUM(BL7:BL10)</f>
        <v>154644.986153299</v>
      </c>
      <c r="BM11" s="268" t="n">
        <f aca="false">SUM(BM7:BM10)</f>
        <v>160746.176445134</v>
      </c>
      <c r="BN11" s="268" t="n">
        <f aca="false">SUM(BN7:BN10)</f>
        <v>166716.030162094</v>
      </c>
      <c r="BO11" s="268" t="n">
        <f aca="false">SUM(BO7:BO10)</f>
        <v>170318.331294349</v>
      </c>
      <c r="BP11" s="268" t="n">
        <f aca="false">SUM(BP7:BP10)</f>
        <v>174926.530288913</v>
      </c>
      <c r="BQ11" s="268" t="n">
        <f aca="false">SUM(BQ7:BQ10)</f>
        <v>175150.281515876</v>
      </c>
      <c r="BR11" s="268" t="n">
        <f aca="false">SUM(BR7:BR10)</f>
        <v>179968.610999668</v>
      </c>
      <c r="BS11" s="268" t="n">
        <f aca="false">SUM(BS7:BS10)</f>
        <v>185720.035626359</v>
      </c>
      <c r="BT11" s="268" t="n">
        <f aca="false">SUM(BT7:BT10)</f>
        <v>191506.267238833</v>
      </c>
      <c r="BU11" s="268" t="n">
        <f aca="false">SUM(BU7:BU10)</f>
        <v>197528.992711833</v>
      </c>
      <c r="BV11" s="268" t="n">
        <f aca="false">SUM(BV7:BV10)</f>
        <v>203018.172683691</v>
      </c>
      <c r="BW11" s="268" t="n">
        <f aca="false">SUM(BW7:BW10)</f>
        <v>205087.933047946</v>
      </c>
      <c r="BX11" s="268" t="n">
        <f aca="false">SUM(BX7:BX10)</f>
        <v>217493.365486771</v>
      </c>
      <c r="BY11" s="268" t="n">
        <f aca="false">SUM(BY7:BY10)</f>
        <v>221439.714618015</v>
      </c>
      <c r="BZ11" s="268" t="n">
        <f aca="false">SUM(BZ7:BZ10)</f>
        <v>222795.959839703</v>
      </c>
      <c r="CA11" s="268" t="n">
        <f aca="false">SUM(CA7:CA10)</f>
        <v>229140.835587192</v>
      </c>
      <c r="CB11" s="268" t="n">
        <f aca="false">SUM(CB7:CB10)</f>
        <v>228890.81603182</v>
      </c>
      <c r="CC11" s="268" t="n">
        <f aca="false">SUM(CC7:CC10)</f>
        <v>235112.981189891</v>
      </c>
      <c r="CD11" s="268" t="n">
        <f aca="false">SUM(CD7:CD10)</f>
        <v>240701.03175506</v>
      </c>
      <c r="CE11" s="268" t="n">
        <f aca="false">SUM(CE7:CE10)</f>
        <v>246550.452462844</v>
      </c>
      <c r="CF11" s="268" t="n">
        <f aca="false">SUM(CF7:CF10)</f>
        <v>252131.059952526</v>
      </c>
      <c r="CG11" s="268" t="n">
        <f aca="false">SUM(CG7:CG10)</f>
        <v>259205.041174507</v>
      </c>
      <c r="CH11" s="268" t="n">
        <f aca="false">SUM(CH7:CH10)</f>
        <v>261571.511841934</v>
      </c>
      <c r="CI11" s="268" t="n">
        <f aca="false">SUM(CI7:CI10)</f>
        <v>267820.402857991</v>
      </c>
      <c r="CJ11" s="268" t="n">
        <f aca="false">SUM(CJ7:CJ10)</f>
        <v>268046.199528478</v>
      </c>
      <c r="CK11" s="268" t="n">
        <f aca="false">SUM(CK7:CK10)</f>
        <v>270129.37501642</v>
      </c>
      <c r="CL11" s="268" t="n">
        <f aca="false">SUM(CL7:CL10)</f>
        <v>271035.103489438</v>
      </c>
      <c r="CM11" s="268" t="n">
        <f aca="false">SUM(CM7:CM10)</f>
        <v>271035.103489438</v>
      </c>
      <c r="CN11" s="268" t="n">
        <f aca="false">SUM(CN7:CN10)</f>
        <v>271035.103489438</v>
      </c>
      <c r="CO11" s="268" t="n">
        <f aca="false">SUM(CO7:CO10)</f>
        <v>271035.103489438</v>
      </c>
      <c r="CP11" s="268" t="n">
        <f aca="false">SUM(CP7:CP10)</f>
        <v>271035.103489438</v>
      </c>
      <c r="CQ11" s="268" t="n">
        <f aca="false">SUM(CQ7:CQ10)</f>
        <v>271035.103489438</v>
      </c>
      <c r="CR11" s="268" t="n">
        <f aca="false">SUM(CR7:CR10)</f>
        <v>271035.103489438</v>
      </c>
      <c r="CS11" s="268" t="n">
        <f aca="false">SUM(CS7:CS10)</f>
        <v>271035.103489438</v>
      </c>
      <c r="CT11" s="268" t="n">
        <f aca="false">SUM(CT7:CT10)</f>
        <v>271035.103489438</v>
      </c>
      <c r="CU11" s="268" t="n">
        <f aca="false">SUM(CU7:CU10)</f>
        <v>271035.103489438</v>
      </c>
      <c r="CV11" s="268" t="n">
        <f aca="false">SUM(CV7:CV10)</f>
        <v>271035.103489438</v>
      </c>
      <c r="CW11" s="268" t="n">
        <f aca="false">SUM(CW7:CW10)</f>
        <v>271035.103489438</v>
      </c>
      <c r="CX11" s="268" t="n">
        <f aca="false">SUM(CX7:CX10)</f>
        <v>271035.103489438</v>
      </c>
      <c r="CY11" s="268" t="n">
        <f aca="false">SUM(CY7:CY10)</f>
        <v>271035.103489438</v>
      </c>
      <c r="CZ11" s="268" t="n">
        <f aca="false">SUM(CZ7:CZ10)</f>
        <v>271035.103489438</v>
      </c>
      <c r="DA11" s="268" t="n">
        <f aca="false">SUM(DA7:DA10)</f>
        <v>271035.103489438</v>
      </c>
      <c r="DB11" s="268" t="n">
        <f aca="false">SUM(DB7:DB10)</f>
        <v>271035.103489438</v>
      </c>
      <c r="DC11" s="268" t="n">
        <f aca="false">SUM(DC7:DC10)</f>
        <v>271035.103489438</v>
      </c>
      <c r="DD11" s="268" t="n">
        <f aca="false">SUM(DD7:DD10)</f>
        <v>271035.103489438</v>
      </c>
      <c r="DE11" s="268" t="n">
        <f aca="false">SUM(DE7:DE10)</f>
        <v>271035.103489438</v>
      </c>
      <c r="DF11" s="268" t="n">
        <f aca="false">SUM(DF7:DF10)</f>
        <v>271035.103489438</v>
      </c>
      <c r="DG11" s="268" t="n">
        <f aca="false">SUM(DG7:DG10)</f>
        <v>271035.103489438</v>
      </c>
      <c r="DH11" s="268" t="n">
        <f aca="false">SUM(DH7:DH10)</f>
        <v>271035.103489438</v>
      </c>
      <c r="DI11" s="268" t="n">
        <f aca="false">SUM(DI7:DI10)</f>
        <v>271035.103489438</v>
      </c>
      <c r="DJ11" s="268" t="n">
        <f aca="false">SUM(DJ7:DJ10)</f>
        <v>271035.103489438</v>
      </c>
      <c r="DK11" s="268" t="n">
        <f aca="false">SUM(DK7:DK10)</f>
        <v>271035.103489438</v>
      </c>
      <c r="DL11" s="268" t="n">
        <f aca="false">SUM(DL7:DL10)</f>
        <v>271035.103489438</v>
      </c>
      <c r="DM11" s="268" t="n">
        <f aca="false">SUM(DM7:DM10)</f>
        <v>271035.103489438</v>
      </c>
      <c r="DN11" s="268" t="n">
        <f aca="false">SUM(DN7:DN10)</f>
        <v>271035.103489438</v>
      </c>
      <c r="DO11" s="268" t="n">
        <f aca="false">SUM(DO7:DO10)</f>
        <v>271035.103489438</v>
      </c>
      <c r="DP11" s="268" t="n">
        <f aca="false">SUM(DP7:DP10)</f>
        <v>271035.103489438</v>
      </c>
      <c r="DQ11" s="268" t="n">
        <f aca="false">SUM(DQ7:DQ10)</f>
        <v>271035.103489438</v>
      </c>
      <c r="DR11" s="268" t="n">
        <f aca="false">SUM(DR7:DR10)</f>
        <v>271035.103489438</v>
      </c>
      <c r="DS11" s="268" t="n">
        <f aca="false">SUM(DS7:DS10)</f>
        <v>271035.103489438</v>
      </c>
    </row>
    <row r="13" customFormat="false" ht="15" hidden="false" customHeight="true" outlineLevel="0" collapsed="false">
      <c r="B13" s="297" t="s">
        <v>3521</v>
      </c>
      <c r="D13" s="273" t="n">
        <f aca="false">SUP_CONTROL!$C$11*(CAPA1_PILOTO!D15-CAPA1_PILOTO!D23)+SUP_CONTROL!$C$12*(CAPA2_FLAGSHIP!D11-CAPA2_FLAGSHIP!D18)+SUP_CONTROL!$C$14*(CAPA4_RETAIL!D8-CAPA4_RETAIL!D12)+(D39-D46)</f>
        <v>0</v>
      </c>
      <c r="E13" s="273" t="n">
        <f aca="false">SUP_CONTROL!$C$11*(CAPA1_PILOTO!E15-CAPA1_PILOTO!E23)+SUP_CONTROL!$C$12*(CAPA2_FLAGSHIP!E11-CAPA2_FLAGSHIP!E18)+SUP_CONTROL!$C$14*(CAPA4_RETAIL!E8-CAPA4_RETAIL!E12)+(E39-E46)</f>
        <v>15715</v>
      </c>
      <c r="F13" s="273" t="n">
        <f aca="false">SUP_CONTROL!$C$11*(CAPA1_PILOTO!F15-CAPA1_PILOTO!F23)+SUP_CONTROL!$C$12*(CAPA2_FLAGSHIP!F11-CAPA2_FLAGSHIP!F18)+SUP_CONTROL!$C$14*(CAPA4_RETAIL!F8-CAPA4_RETAIL!F12)+(F39-F46)</f>
        <v>15715</v>
      </c>
      <c r="G13" s="273" t="n">
        <f aca="false">SUP_CONTROL!$C$11*(CAPA1_PILOTO!G15-CAPA1_PILOTO!G23)+SUP_CONTROL!$C$12*(CAPA2_FLAGSHIP!G11-CAPA2_FLAGSHIP!G18)+SUP_CONTROL!$C$14*(CAPA4_RETAIL!G8-CAPA4_RETAIL!G12)+(G39-G46)</f>
        <v>90125.6530609983</v>
      </c>
      <c r="H13" s="273" t="n">
        <f aca="false">SUP_CONTROL!$C$11*(CAPA1_PILOTO!H15-CAPA1_PILOTO!H23)+SUP_CONTROL!$C$12*(CAPA2_FLAGSHIP!H11-CAPA2_FLAGSHIP!H18)+SUP_CONTROL!$C$14*(CAPA4_RETAIL!H8-CAPA4_RETAIL!H12)+(H39-H46)</f>
        <v>164406.544947568</v>
      </c>
      <c r="I13" s="273" t="n">
        <f aca="false">SUP_CONTROL!$C$11*(CAPA1_PILOTO!I15-CAPA1_PILOTO!I23)+SUP_CONTROL!$C$12*(CAPA2_FLAGSHIP!I11-CAPA2_FLAGSHIP!I18)+SUP_CONTROL!$C$14*(CAPA4_RETAIL!I8-CAPA4_RETAIL!I12)+(I39-I46)</f>
        <v>255954.966565743</v>
      </c>
      <c r="J13" s="273" t="n">
        <f aca="false">SUP_CONTROL!$C$11*(CAPA1_PILOTO!J15-CAPA1_PILOTO!J23)+SUP_CONTROL!$C$12*(CAPA2_FLAGSHIP!J11-CAPA2_FLAGSHIP!J18)+SUP_CONTROL!$C$14*(CAPA4_RETAIL!J8-CAPA4_RETAIL!J12)+(J39-J46)</f>
        <v>360589.640306731</v>
      </c>
      <c r="K13" s="273" t="n">
        <f aca="false">SUP_CONTROL!$C$11*(CAPA1_PILOTO!K15-CAPA1_PILOTO!K23)+SUP_CONTROL!$C$12*(CAPA2_FLAGSHIP!K11-CAPA2_FLAGSHIP!K18)+SUP_CONTROL!$C$14*(CAPA4_RETAIL!K8-CAPA4_RETAIL!K12)+(K39-K46)</f>
        <v>477878.084094757</v>
      </c>
      <c r="L13" s="273" t="n">
        <f aca="false">SUP_CONTROL!$C$11*(CAPA1_PILOTO!L15-CAPA1_PILOTO!L23)+SUP_CONTROL!$C$12*(CAPA2_FLAGSHIP!L11-CAPA2_FLAGSHIP!L18)+SUP_CONTROL!$C$14*(CAPA4_RETAIL!L8-CAPA4_RETAIL!L12)+(L39-L46)</f>
        <v>507617.538936217</v>
      </c>
      <c r="M13" s="273" t="n">
        <f aca="false">SUP_CONTROL!$C$11*(CAPA1_PILOTO!M15-CAPA1_PILOTO!M23)+SUP_CONTROL!$C$12*(CAPA2_FLAGSHIP!M11-CAPA2_FLAGSHIP!M18)+SUP_CONTROL!$C$14*(CAPA4_RETAIL!M8-CAPA4_RETAIL!M12)+(M39-M46)</f>
        <v>523397.657831685</v>
      </c>
      <c r="N13" s="273" t="n">
        <f aca="false">SUP_CONTROL!$C$11*(CAPA1_PILOTO!N15-CAPA1_PILOTO!N23)+SUP_CONTROL!$C$12*(CAPA2_FLAGSHIP!N11-CAPA2_FLAGSHIP!N18)+SUP_CONTROL!$C$14*(CAPA4_RETAIL!N8-CAPA4_RETAIL!N12)+(N39-N46)</f>
        <v>523397.657831685</v>
      </c>
      <c r="O13" s="273" t="n">
        <f aca="false">SUP_CONTROL!$C$11*(CAPA1_PILOTO!O15-CAPA1_PILOTO!O23)+SUP_CONTROL!$C$12*(CAPA2_FLAGSHIP!O11-CAPA2_FLAGSHIP!O18)+SUP_CONTROL!$C$14*(CAPA4_RETAIL!O8-CAPA4_RETAIL!O12)+(O39-O46)</f>
        <v>523397.657831685</v>
      </c>
      <c r="P13" s="273" t="n">
        <f aca="false">SUP_CONTROL!$C$11*(CAPA1_PILOTO!P15-CAPA1_PILOTO!P23)+SUP_CONTROL!$C$12*(CAPA2_FLAGSHIP!P11-CAPA2_FLAGSHIP!P18)+SUP_CONTROL!$C$14*(CAPA4_RETAIL!P8-CAPA4_RETAIL!P12)+(P39-P46)</f>
        <v>517481.008185526</v>
      </c>
      <c r="Q13" s="273" t="n">
        <f aca="false">SUP_CONTROL!$C$11*(CAPA1_PILOTO!Q15-CAPA1_PILOTO!Q23)+SUP_CONTROL!$C$12*(CAPA2_FLAGSHIP!Q11-CAPA2_FLAGSHIP!Q18)+SUP_CONTROL!$C$14*(CAPA4_RETAIL!Q8-CAPA4_RETAIL!Q12)+(Q39-Q46)</f>
        <v>517481.008185526</v>
      </c>
      <c r="R13" s="273" t="n">
        <f aca="false">SUP_CONTROL!$C$11*(CAPA1_PILOTO!R15-CAPA1_PILOTO!R23)+SUP_CONTROL!$C$12*(CAPA2_FLAGSHIP!R11-CAPA2_FLAGSHIP!R18)+SUP_CONTROL!$C$14*(CAPA4_RETAIL!R8-CAPA4_RETAIL!R12)+(R39-R46)</f>
        <v>517481.008185526</v>
      </c>
      <c r="S13" s="273" t="n">
        <f aca="false">SUP_CONTROL!$C$11*(CAPA1_PILOTO!S15-CAPA1_PILOTO!S23)+SUP_CONTROL!$C$12*(CAPA2_FLAGSHIP!S11-CAPA2_FLAGSHIP!S18)+SUP_CONTROL!$C$14*(CAPA4_RETAIL!S8-CAPA4_RETAIL!S12)+(S39-S46)</f>
        <v>517481.008185526</v>
      </c>
      <c r="T13" s="273" t="n">
        <f aca="false">SUP_CONTROL!$C$11*(CAPA1_PILOTO!T15-CAPA1_PILOTO!T23)+SUP_CONTROL!$C$12*(CAPA2_FLAGSHIP!T11-CAPA2_FLAGSHIP!T18)+SUP_CONTROL!$C$14*(CAPA4_RETAIL!T8-CAPA4_RETAIL!T12)+(T39-T46)</f>
        <v>517481.008185526</v>
      </c>
      <c r="U13" s="273" t="n">
        <f aca="false">SUP_CONTROL!$C$11*(CAPA1_PILOTO!U15-CAPA1_PILOTO!U23)+SUP_CONTROL!$C$12*(CAPA2_FLAGSHIP!U11-CAPA2_FLAGSHIP!U18)+SUP_CONTROL!$C$14*(CAPA4_RETAIL!U8-CAPA4_RETAIL!U12)+(U39-U46)</f>
        <v>517481.008185526</v>
      </c>
      <c r="V13" s="273" t="n">
        <f aca="false">SUP_CONTROL!$C$11*(CAPA1_PILOTO!V15-CAPA1_PILOTO!V23)+SUP_CONTROL!$C$12*(CAPA2_FLAGSHIP!V11-CAPA2_FLAGSHIP!V18)+SUP_CONTROL!$C$14*(CAPA4_RETAIL!V8-CAPA4_RETAIL!V12)+(V39-V46)</f>
        <v>549673.378613448</v>
      </c>
      <c r="W13" s="273" t="n">
        <f aca="false">SUP_CONTROL!$C$11*(CAPA1_PILOTO!W15-CAPA1_PILOTO!W23)+SUP_CONTROL!$C$12*(CAPA2_FLAGSHIP!W11-CAPA2_FLAGSHIP!W18)+SUP_CONTROL!$C$14*(CAPA4_RETAIL!W8-CAPA4_RETAIL!W12)+(W39-W46)</f>
        <v>587853.603755505</v>
      </c>
      <c r="X13" s="273" t="n">
        <f aca="false">SUP_CONTROL!$C$11*(CAPA1_PILOTO!X15-CAPA1_PILOTO!X23)+SUP_CONTROL!$C$12*(CAPA2_FLAGSHIP!X11-CAPA2_FLAGSHIP!X18)+SUP_CONTROL!$C$14*(CAPA4_RETAIL!X8-CAPA4_RETAIL!X12)+(X39-X46)</f>
        <v>597833.361612398</v>
      </c>
      <c r="Y13" s="273" t="n">
        <f aca="false">SUP_CONTROL!$C$11*(CAPA1_PILOTO!Y15-CAPA1_PILOTO!Y23)+SUP_CONTROL!$C$12*(CAPA2_FLAGSHIP!Y11-CAPA2_FLAGSHIP!Y18)+SUP_CONTROL!$C$14*(CAPA4_RETAIL!Y8-CAPA4_RETAIL!Y12)+(Y39-Y46)</f>
        <v>638009.538325833</v>
      </c>
      <c r="Z13" s="273" t="n">
        <f aca="false">SUP_CONTROL!$C$11*(CAPA1_PILOTO!Z15-CAPA1_PILOTO!Z23)+SUP_CONTROL!$C$12*(CAPA2_FLAGSHIP!Z11-CAPA2_FLAGSHIP!Z18)+SUP_CONTROL!$C$14*(CAPA4_RETAIL!Z8-CAPA4_RETAIL!Z12)+(Z39-Z46)</f>
        <v>647989.296182726</v>
      </c>
      <c r="AA13" s="273" t="n">
        <f aca="false">SUP_CONTROL!$C$11*(CAPA1_PILOTO!AA15-CAPA1_PILOTO!AA23)+SUP_CONTROL!$C$12*(CAPA2_FLAGSHIP!AA11-CAPA2_FLAGSHIP!AA18)+SUP_CONTROL!$C$14*(CAPA4_RETAIL!AA8-CAPA4_RETAIL!AA12)+(AA39-AA46)</f>
        <v>651981.199325483</v>
      </c>
      <c r="AB13" s="273" t="n">
        <f aca="false">SUP_CONTROL!$C$11*(CAPA1_PILOTO!AB15-CAPA1_PILOTO!AB23)+SUP_CONTROL!$C$12*(CAPA2_FLAGSHIP!AB11-CAPA2_FLAGSHIP!AB18)+SUP_CONTROL!$C$14*(CAPA4_RETAIL!AB8-CAPA4_RETAIL!AB12)+(AB39-AB46)</f>
        <v>648428.017139652</v>
      </c>
      <c r="AC13" s="273" t="n">
        <f aca="false">SUP_CONTROL!$C$11*(CAPA1_PILOTO!AC15-CAPA1_PILOTO!AC23)+SUP_CONTROL!$C$12*(CAPA2_FLAGSHIP!AC11-CAPA2_FLAGSHIP!AC18)+SUP_CONTROL!$C$14*(CAPA4_RETAIL!AC8-CAPA4_RETAIL!AC12)+(AC39-AC46)</f>
        <v>648428.017139652</v>
      </c>
      <c r="AD13" s="273" t="n">
        <f aca="false">SUP_CONTROL!$C$11*(CAPA1_PILOTO!AD15-CAPA1_PILOTO!AD23)+SUP_CONTROL!$C$12*(CAPA2_FLAGSHIP!AD11-CAPA2_FLAGSHIP!AD18)+SUP_CONTROL!$C$14*(CAPA4_RETAIL!AD8-CAPA4_RETAIL!AD12)+(AD39-AD46)</f>
        <v>656721.667139652</v>
      </c>
      <c r="AE13" s="273" t="n">
        <f aca="false">SUP_CONTROL!$C$11*(CAPA1_PILOTO!AE15-CAPA1_PILOTO!AE23)+SUP_CONTROL!$C$12*(CAPA2_FLAGSHIP!AE11-CAPA2_FLAGSHIP!AE18)+SUP_CONTROL!$C$14*(CAPA4_RETAIL!AE8-CAPA4_RETAIL!AE12)+(AE39-AE46)</f>
        <v>656721.667139652</v>
      </c>
      <c r="AF13" s="273" t="n">
        <f aca="false">SUP_CONTROL!$C$11*(CAPA1_PILOTO!AF15-CAPA1_PILOTO!AF23)+SUP_CONTROL!$C$12*(CAPA2_FLAGSHIP!AF11-CAPA2_FLAGSHIP!AF18)+SUP_CONTROL!$C$14*(CAPA4_RETAIL!AF8-CAPA4_RETAIL!AF12)+(AF39-AF46)</f>
        <v>656721.667139652</v>
      </c>
      <c r="AG13" s="273" t="n">
        <f aca="false">SUP_CONTROL!$C$11*(CAPA1_PILOTO!AG15-CAPA1_PILOTO!AG23)+SUP_CONTROL!$C$12*(CAPA2_FLAGSHIP!AG11-CAPA2_FLAGSHIP!AG18)+SUP_CONTROL!$C$14*(CAPA4_RETAIL!AG8-CAPA4_RETAIL!AG12)+(AG39-AG46)</f>
        <v>653208.992381644</v>
      </c>
      <c r="AH13" s="273" t="n">
        <f aca="false">SUP_CONTROL!$C$11*(CAPA1_PILOTO!AH15-CAPA1_PILOTO!AH23)+SUP_CONTROL!$C$12*(CAPA2_FLAGSHIP!AH11-CAPA2_FLAGSHIP!AH18)+SUP_CONTROL!$C$14*(CAPA4_RETAIL!AH8-CAPA4_RETAIL!AH12)+(AH39-AH46)</f>
        <v>653208.992381644</v>
      </c>
      <c r="AI13" s="273" t="n">
        <f aca="false">SUP_CONTROL!$C$11*(CAPA1_PILOTO!AI15-CAPA1_PILOTO!AI23)+SUP_CONTROL!$C$12*(CAPA2_FLAGSHIP!AI11-CAPA2_FLAGSHIP!AI18)+SUP_CONTROL!$C$14*(CAPA4_RETAIL!AI8-CAPA4_RETAIL!AI12)+(AI39-AI46)</f>
        <v>693724.701997218</v>
      </c>
      <c r="AJ13" s="273" t="n">
        <f aca="false">SUP_CONTROL!$C$11*(CAPA1_PILOTO!AJ15-CAPA1_PILOTO!AJ23)+SUP_CONTROL!$C$12*(CAPA2_FLAGSHIP!AJ11-CAPA2_FLAGSHIP!AJ18)+SUP_CONTROL!$C$14*(CAPA4_RETAIL!AJ8-CAPA4_RETAIL!AJ12)+(AJ39-AJ46)</f>
        <v>731960.411612793</v>
      </c>
      <c r="AK13" s="273" t="n">
        <f aca="false">SUP_CONTROL!$C$11*(CAPA1_PILOTO!AK15-CAPA1_PILOTO!AK23)+SUP_CONTROL!$C$12*(CAPA2_FLAGSHIP!AK11-CAPA2_FLAGSHIP!AK18)+SUP_CONTROL!$C$14*(CAPA4_RETAIL!AK8-CAPA4_RETAIL!AK12)+(AK39-AK46)</f>
        <v>742560.883438072</v>
      </c>
      <c r="AL13" s="273" t="n">
        <f aca="false">SUP_CONTROL!$C$11*(CAPA1_PILOTO!AL15-CAPA1_PILOTO!AL23)+SUP_CONTROL!$C$12*(CAPA2_FLAGSHIP!AL11-CAPA2_FLAGSHIP!AL18)+SUP_CONTROL!$C$14*(CAPA4_RETAIL!AL8-CAPA4_RETAIL!AL12)+(AL39-AL46)</f>
        <v>782121.652031806</v>
      </c>
      <c r="AM13" s="273" t="n">
        <f aca="false">SUP_CONTROL!$C$11*(CAPA1_PILOTO!AM15-CAPA1_PILOTO!AM23)+SUP_CONTROL!$C$12*(CAPA2_FLAGSHIP!AM11-CAPA2_FLAGSHIP!AM18)+SUP_CONTROL!$C$14*(CAPA4_RETAIL!AM8-CAPA4_RETAIL!AM12)+(AM39-AM46)</f>
        <v>791586.359018663</v>
      </c>
      <c r="AN13" s="273" t="n">
        <f aca="false">SUP_CONTROL!$C$11*(CAPA1_PILOTO!AN15-CAPA1_PILOTO!AN23)+SUP_CONTROL!$C$12*(CAPA2_FLAGSHIP!AN11-CAPA2_FLAGSHIP!AN18)+SUP_CONTROL!$C$14*(CAPA4_RETAIL!AN8-CAPA4_RETAIL!AN12)+(AN39-AN46)</f>
        <v>821463.798340836</v>
      </c>
      <c r="AO13" s="273" t="n">
        <f aca="false">SUP_CONTROL!$C$11*(CAPA1_PILOTO!AO15-CAPA1_PILOTO!AO23)+SUP_CONTROL!$C$12*(CAPA2_FLAGSHIP!AO11-CAPA2_FLAGSHIP!AO18)+SUP_CONTROL!$C$14*(CAPA4_RETAIL!AO8-CAPA4_RETAIL!AO12)+(AO39-AO46)</f>
        <v>830862.689385527</v>
      </c>
      <c r="AP13" s="273" t="n">
        <f aca="false">SUP_CONTROL!$C$11*(CAPA1_PILOTO!AP15-CAPA1_PILOTO!AP23)+SUP_CONTROL!$C$12*(CAPA2_FLAGSHIP!AP11-CAPA2_FLAGSHIP!AP18)+SUP_CONTROL!$C$14*(CAPA4_RETAIL!AP8-CAPA4_RETAIL!AP12)+(AP39-AP46)</f>
        <v>827645.749357859</v>
      </c>
      <c r="AQ13" s="273" t="n">
        <f aca="false">SUP_CONTROL!$C$11*(CAPA1_PILOTO!AQ15-CAPA1_PILOTO!AQ23)+SUP_CONTROL!$C$12*(CAPA2_FLAGSHIP!AQ11-CAPA2_FLAGSHIP!AQ18)+SUP_CONTROL!$C$14*(CAPA4_RETAIL!AQ8-CAPA4_RETAIL!AQ12)+(AQ39-AQ46)</f>
        <v>870782.892348316</v>
      </c>
      <c r="AR13" s="273" t="n">
        <f aca="false">SUP_CONTROL!$C$11*(CAPA1_PILOTO!AR15-CAPA1_PILOTO!AR23)+SUP_CONTROL!$C$12*(CAPA2_FLAGSHIP!AR11-CAPA2_FLAGSHIP!AR18)+SUP_CONTROL!$C$14*(CAPA4_RETAIL!AR8-CAPA4_RETAIL!AR12)+(AR39-AR46)</f>
        <v>907977.374704861</v>
      </c>
      <c r="AS13" s="273" t="n">
        <f aca="false">SUP_CONTROL!$C$11*(CAPA1_PILOTO!AS15-CAPA1_PILOTO!AS23)+SUP_CONTROL!$C$12*(CAPA2_FLAGSHIP!AS11-CAPA2_FLAGSHIP!AS18)+SUP_CONTROL!$C$14*(CAPA4_RETAIL!AS8-CAPA4_RETAIL!AS12)+(AS39-AS46)</f>
        <v>948285.118600231</v>
      </c>
      <c r="AT13" s="273" t="n">
        <f aca="false">SUP_CONTROL!$C$11*(CAPA1_PILOTO!AT15-CAPA1_PILOTO!AT23)+SUP_CONTROL!$C$12*(CAPA2_FLAGSHIP!AT11-CAPA2_FLAGSHIP!AT18)+SUP_CONTROL!$C$14*(CAPA4_RETAIL!AT8-CAPA4_RETAIL!AT12)+(AT39-AT46)</f>
        <v>992255.523129511</v>
      </c>
      <c r="AU13" s="273" t="n">
        <f aca="false">SUP_CONTROL!$C$11*(CAPA1_PILOTO!AU15-CAPA1_PILOTO!AU23)+SUP_CONTROL!$C$12*(CAPA2_FLAGSHIP!AU11-CAPA2_FLAGSHIP!AU18)+SUP_CONTROL!$C$14*(CAPA4_RETAIL!AU8-CAPA4_RETAIL!AU12)+(AU39-AU46)</f>
        <v>1005074.8353482</v>
      </c>
      <c r="AV13" s="273" t="n">
        <f aca="false">SUP_CONTROL!$C$11*(CAPA1_PILOTO!AV15-CAPA1_PILOTO!AV23)+SUP_CONTROL!$C$12*(CAPA2_FLAGSHIP!AV11-CAPA2_FLAGSHIP!AV18)+SUP_CONTROL!$C$14*(CAPA4_RETAIL!AV8-CAPA4_RETAIL!AV12)+(AV39-AV46)</f>
        <v>1012400.15661602</v>
      </c>
      <c r="AW13" s="273" t="n">
        <f aca="false">SUP_CONTROL!$C$11*(CAPA1_PILOTO!AW15-CAPA1_PILOTO!AW23)+SUP_CONTROL!$C$12*(CAPA2_FLAGSHIP!AW11-CAPA2_FLAGSHIP!AW18)+SUP_CONTROL!$C$14*(CAPA4_RETAIL!AW8-CAPA4_RETAIL!AW12)+(AW39-AW46)</f>
        <v>1055537.29960648</v>
      </c>
      <c r="AX13" s="273" t="n">
        <f aca="false">SUP_CONTROL!$C$11*(CAPA1_PILOTO!AX15-CAPA1_PILOTO!AX23)+SUP_CONTROL!$C$12*(CAPA2_FLAGSHIP!AX11-CAPA2_FLAGSHIP!AX18)+SUP_CONTROL!$C$14*(CAPA4_RETAIL!AX8-CAPA4_RETAIL!AX12)+(AX39-AX46)</f>
        <v>1062679.4878426</v>
      </c>
      <c r="AY13" s="273" t="n">
        <f aca="false">SUP_CONTROL!$C$11*(CAPA1_PILOTO!AY15-CAPA1_PILOTO!AY23)+SUP_CONTROL!$C$12*(CAPA2_FLAGSHIP!AY11-CAPA2_FLAGSHIP!AY18)+SUP_CONTROL!$C$14*(CAPA4_RETAIL!AY8-CAPA4_RETAIL!AY12)+(AY39-AY46)</f>
        <v>1097493.24078711</v>
      </c>
      <c r="AZ13" s="273" t="n">
        <f aca="false">SUP_CONTROL!$C$11*(CAPA1_PILOTO!AZ15-CAPA1_PILOTO!AZ23)+SUP_CONTROL!$C$12*(CAPA2_FLAGSHIP!AZ11-CAPA2_FLAGSHIP!AZ18)+SUP_CONTROL!$C$14*(CAPA4_RETAIL!AZ8-CAPA4_RETAIL!AZ12)+(AZ39-AZ46)</f>
        <v>1131162.19166265</v>
      </c>
      <c r="BA13" s="273" t="n">
        <f aca="false">SUP_CONTROL!$C$11*(CAPA1_PILOTO!BA15-CAPA1_PILOTO!BA23)+SUP_CONTROL!$C$12*(CAPA2_FLAGSHIP!BA11-CAPA2_FLAGSHIP!BA18)+SUP_CONTROL!$C$14*(CAPA4_RETAIL!BA8-CAPA4_RETAIL!BA12)+(BA39-BA46)</f>
        <v>1140254.72359243</v>
      </c>
      <c r="BB13" s="273" t="n">
        <f aca="false">SUP_CONTROL!$C$11*(CAPA1_PILOTO!BB15-CAPA1_PILOTO!BB23)+SUP_CONTROL!$C$12*(CAPA2_FLAGSHIP!BB11-CAPA2_FLAGSHIP!BB18)+SUP_CONTROL!$C$14*(CAPA4_RETAIL!BB8-CAPA4_RETAIL!BB12)+(BB39-BB46)</f>
        <v>1161663.74913625</v>
      </c>
      <c r="BC13" s="273" t="n">
        <f aca="false">SUP_CONTROL!$C$11*(CAPA1_PILOTO!BC15-CAPA1_PILOTO!BC23)+SUP_CONTROL!$C$12*(CAPA2_FLAGSHIP!BC11-CAPA2_FLAGSHIP!BC18)+SUP_CONTROL!$C$14*(CAPA4_RETAIL!BC8-CAPA4_RETAIL!BC12)+(BC39-BC46)</f>
        <v>1165300.76190816</v>
      </c>
      <c r="BD13" s="273" t="n">
        <f aca="false">SUP_CONTROL!$C$11*(CAPA1_PILOTO!BD15-CAPA1_PILOTO!BD23)+SUP_CONTROL!$C$12*(CAPA2_FLAGSHIP!BD11-CAPA2_FLAGSHIP!BD18)+SUP_CONTROL!$C$14*(CAPA4_RETAIL!BD8-CAPA4_RETAIL!BD12)+(BD39-BD46)</f>
        <v>1165300.76190816</v>
      </c>
      <c r="BE13" s="273" t="n">
        <f aca="false">SUP_CONTROL!$C$11*(CAPA1_PILOTO!BE15-CAPA1_PILOTO!BE23)+SUP_CONTROL!$C$12*(CAPA2_FLAGSHIP!BE11-CAPA2_FLAGSHIP!BE18)+SUP_CONTROL!$C$14*(CAPA4_RETAIL!BE8-CAPA4_RETAIL!BE12)+(BE39-BE46)</f>
        <v>1165300.76190816</v>
      </c>
      <c r="BF13" s="273" t="n">
        <f aca="false">SUP_CONTROL!$C$11*(CAPA1_PILOTO!BF15-CAPA1_PILOTO!BF23)+SUP_CONTROL!$C$12*(CAPA2_FLAGSHIP!BF11-CAPA2_FLAGSHIP!BF18)+SUP_CONTROL!$C$14*(CAPA4_RETAIL!BF8-CAPA4_RETAIL!BF12)+(BF39-BF46)</f>
        <v>1150964.38881253</v>
      </c>
      <c r="BG13" s="273" t="n">
        <f aca="false">SUP_CONTROL!$C$11*(CAPA1_PILOTO!BG15-CAPA1_PILOTO!BG23)+SUP_CONTROL!$C$12*(CAPA2_FLAGSHIP!BG11-CAPA2_FLAGSHIP!BG18)+SUP_CONTROL!$C$14*(CAPA4_RETAIL!BG8-CAPA4_RETAIL!BG12)+(BG39-BG46)</f>
        <v>1150964.38881253</v>
      </c>
      <c r="BH13" s="273" t="n">
        <f aca="false">SUP_CONTROL!$C$11*(CAPA1_PILOTO!BH15-CAPA1_PILOTO!BH23)+SUP_CONTROL!$C$12*(CAPA2_FLAGSHIP!BH11-CAPA2_FLAGSHIP!BH18)+SUP_CONTROL!$C$14*(CAPA4_RETAIL!BH8-CAPA4_RETAIL!BH12)+(BH39-BH46)</f>
        <v>1150964.38881253</v>
      </c>
      <c r="BI13" s="273" t="n">
        <f aca="false">SUP_CONTROL!$C$11*(CAPA1_PILOTO!BI15-CAPA1_PILOTO!BI23)+SUP_CONTROL!$C$12*(CAPA2_FLAGSHIP!BI11-CAPA2_FLAGSHIP!BI18)+SUP_CONTROL!$C$14*(CAPA4_RETAIL!BI8-CAPA4_RETAIL!BI12)+(BI39-BI46)</f>
        <v>1216958.48034912</v>
      </c>
      <c r="BJ13" s="273" t="n">
        <f aca="false">SUP_CONTROL!$C$11*(CAPA1_PILOTO!BJ15-CAPA1_PILOTO!BJ23)+SUP_CONTROL!$C$12*(CAPA2_FLAGSHIP!BJ11-CAPA2_FLAGSHIP!BJ18)+SUP_CONTROL!$C$14*(CAPA4_RETAIL!BJ8-CAPA4_RETAIL!BJ12)+(BJ39-BJ46)</f>
        <v>1256841.03762585</v>
      </c>
      <c r="BK13" s="273" t="n">
        <f aca="false">SUP_CONTROL!$C$11*(CAPA1_PILOTO!BK15-CAPA1_PILOTO!BK23)+SUP_CONTROL!$C$12*(CAPA2_FLAGSHIP!BK11-CAPA2_FLAGSHIP!BK18)+SUP_CONTROL!$C$14*(CAPA4_RETAIL!BK8-CAPA4_RETAIL!BK12)+(BK39-BK46)</f>
        <v>1293557.69747163</v>
      </c>
      <c r="BL13" s="273" t="n">
        <f aca="false">SUP_CONTROL!$C$11*(CAPA1_PILOTO!BL15-CAPA1_PILOTO!BL23)+SUP_CONTROL!$C$12*(CAPA2_FLAGSHIP!BL11-CAPA2_FLAGSHIP!BL18)+SUP_CONTROL!$C$14*(CAPA4_RETAIL!BL8-CAPA4_RETAIL!BL12)+(BL39-BL46)</f>
        <v>1331744.39925325</v>
      </c>
      <c r="BM13" s="273" t="n">
        <f aca="false">SUP_CONTROL!$C$11*(CAPA1_PILOTO!BM15-CAPA1_PILOTO!BM23)+SUP_CONTROL!$C$12*(CAPA2_FLAGSHIP!BM11-CAPA2_FLAGSHIP!BM18)+SUP_CONTROL!$C$14*(CAPA4_RETAIL!BM8-CAPA4_RETAIL!BM12)+(BM39-BM46)</f>
        <v>1373415.16932193</v>
      </c>
      <c r="BN13" s="273" t="n">
        <f aca="false">SUP_CONTROL!$C$11*(CAPA1_PILOTO!BN15-CAPA1_PILOTO!BN23)+SUP_CONTROL!$C$12*(CAPA2_FLAGSHIP!BN11-CAPA2_FLAGSHIP!BN18)+SUP_CONTROL!$C$14*(CAPA4_RETAIL!BN8-CAPA4_RETAIL!BN12)+(BN39-BN46)</f>
        <v>1415085.93939061</v>
      </c>
      <c r="BO13" s="273" t="n">
        <f aca="false">SUP_CONTROL!$C$11*(CAPA1_PILOTO!BO15-CAPA1_PILOTO!BO23)+SUP_CONTROL!$C$12*(CAPA2_FLAGSHIP!BO11-CAPA2_FLAGSHIP!BO18)+SUP_CONTROL!$C$14*(CAPA4_RETAIL!BO8-CAPA4_RETAIL!BO12)+(BO39-BO46)</f>
        <v>1427123.82242366</v>
      </c>
      <c r="BP13" s="273" t="n">
        <f aca="false">SUP_CONTROL!$C$11*(CAPA1_PILOTO!BP15-CAPA1_PILOTO!BP23)+SUP_CONTROL!$C$12*(CAPA2_FLAGSHIP!BP11-CAPA2_FLAGSHIP!BP18)+SUP_CONTROL!$C$14*(CAPA4_RETAIL!BP8-CAPA4_RETAIL!BP12)+(BP39-BP46)</f>
        <v>1471590.50176519</v>
      </c>
      <c r="BQ13" s="273" t="n">
        <f aca="false">SUP_CONTROL!$C$11*(CAPA1_PILOTO!BQ15-CAPA1_PILOTO!BQ23)+SUP_CONTROL!$C$12*(CAPA2_FLAGSHIP!BQ11-CAPA2_FLAGSHIP!BQ18)+SUP_CONTROL!$C$14*(CAPA4_RETAIL!BQ8-CAPA4_RETAIL!BQ12)+(BQ39-BQ46)</f>
        <v>1492078.41924588</v>
      </c>
      <c r="BR13" s="273" t="n">
        <f aca="false">SUP_CONTROL!$C$11*(CAPA1_PILOTO!BR15-CAPA1_PILOTO!BR23)+SUP_CONTROL!$C$12*(CAPA2_FLAGSHIP!BR11-CAPA2_FLAGSHIP!BR18)+SUP_CONTROL!$C$14*(CAPA4_RETAIL!BR8-CAPA4_RETAIL!BR12)+(BR39-BR46)</f>
        <v>1529598.98583078</v>
      </c>
      <c r="BS13" s="273" t="n">
        <f aca="false">SUP_CONTROL!$C$11*(CAPA1_PILOTO!BS15-CAPA1_PILOTO!BS23)+SUP_CONTROL!$C$12*(CAPA2_FLAGSHIP!BS11-CAPA2_FLAGSHIP!BS18)+SUP_CONTROL!$C$14*(CAPA4_RETAIL!BS8-CAPA4_RETAIL!BS12)+(BS39-BS46)</f>
        <v>1570482.51656461</v>
      </c>
      <c r="BT13" s="273" t="n">
        <f aca="false">SUP_CONTROL!$C$11*(CAPA1_PILOTO!BT15-CAPA1_PILOTO!BT23)+SUP_CONTROL!$C$12*(CAPA2_FLAGSHIP!BT11-CAPA2_FLAGSHIP!BT18)+SUP_CONTROL!$C$14*(CAPA4_RETAIL!BT8-CAPA4_RETAIL!BT12)+(BT39-BT46)</f>
        <v>1619194.93814414</v>
      </c>
      <c r="BU13" s="273" t="n">
        <f aca="false">SUP_CONTROL!$C$11*(CAPA1_PILOTO!BU15-CAPA1_PILOTO!BU23)+SUP_CONTROL!$C$12*(CAPA2_FLAGSHIP!BU11-CAPA2_FLAGSHIP!BU18)+SUP_CONTROL!$C$14*(CAPA4_RETAIL!BU8-CAPA4_RETAIL!BU12)+(BU39-BU46)</f>
        <v>1660582.9135003</v>
      </c>
      <c r="BV13" s="273" t="n">
        <f aca="false">SUP_CONTROL!$C$11*(CAPA1_PILOTO!BV15-CAPA1_PILOTO!BV23)+SUP_CONTROL!$C$12*(CAPA2_FLAGSHIP!BV11-CAPA2_FLAGSHIP!BV18)+SUP_CONTROL!$C$14*(CAPA4_RETAIL!BV8-CAPA4_RETAIL!BV12)+(BV39-BV46)</f>
        <v>1701466.44423412</v>
      </c>
      <c r="BW13" s="273" t="n">
        <f aca="false">SUP_CONTROL!$C$11*(CAPA1_PILOTO!BW15-CAPA1_PILOTO!BW23)+SUP_CONTROL!$C$12*(CAPA2_FLAGSHIP!BW11-CAPA2_FLAGSHIP!BW18)+SUP_CONTROL!$C$14*(CAPA4_RETAIL!BW8-CAPA4_RETAIL!BW12)+(BW39-BW46)</f>
        <v>1725067.01432764</v>
      </c>
      <c r="BX13" s="273" t="n">
        <f aca="false">SUP_CONTROL!$C$11*(CAPA1_PILOTO!BX15-CAPA1_PILOTO!BX23)+SUP_CONTROL!$C$12*(CAPA2_FLAGSHIP!BX11-CAPA2_FLAGSHIP!BX18)+SUP_CONTROL!$C$14*(CAPA4_RETAIL!BX8-CAPA4_RETAIL!BX12)+(BX39-BX46)</f>
        <v>1762777.35342578</v>
      </c>
      <c r="BY13" s="273" t="n">
        <f aca="false">SUP_CONTROL!$C$11*(CAPA1_PILOTO!BY15-CAPA1_PILOTO!BY23)+SUP_CONTROL!$C$12*(CAPA2_FLAGSHIP!BY11-CAPA2_FLAGSHIP!BY18)+SUP_CONTROL!$C$14*(CAPA4_RETAIL!BY8-CAPA4_RETAIL!BY12)+(BY39-BY46)</f>
        <v>1775741.9023395</v>
      </c>
      <c r="BZ13" s="273" t="n">
        <f aca="false">SUP_CONTROL!$C$11*(CAPA1_PILOTO!BZ15-CAPA1_PILOTO!BZ23)+SUP_CONTROL!$C$12*(CAPA2_FLAGSHIP!BZ11-CAPA2_FLAGSHIP!BZ18)+SUP_CONTROL!$C$14*(CAPA4_RETAIL!BZ8-CAPA4_RETAIL!BZ12)+(BZ39-BZ46)</f>
        <v>1845922.76585341</v>
      </c>
      <c r="CA13" s="273" t="n">
        <f aca="false">SUP_CONTROL!$C$11*(CAPA1_PILOTO!CA15-CAPA1_PILOTO!CA23)+SUP_CONTROL!$C$12*(CAPA2_FLAGSHIP!CA11-CAPA2_FLAGSHIP!CA18)+SUP_CONTROL!$C$14*(CAPA4_RETAIL!CA8-CAPA4_RETAIL!CA12)+(CA39-CA46)</f>
        <v>1887615.14009852</v>
      </c>
      <c r="CB13" s="273" t="n">
        <f aca="false">SUP_CONTROL!$C$11*(CAPA1_PILOTO!CB15-CAPA1_PILOTO!CB23)+SUP_CONTROL!$C$12*(CAPA2_FLAGSHIP!CB11-CAPA2_FLAGSHIP!CB18)+SUP_CONTROL!$C$14*(CAPA4_RETAIL!CB8-CAPA4_RETAIL!CB12)+(CB39-CB46)</f>
        <v>1906561.92614921</v>
      </c>
      <c r="CC13" s="273" t="n">
        <f aca="false">SUP_CONTROL!$C$11*(CAPA1_PILOTO!CC15-CAPA1_PILOTO!CC23)+SUP_CONTROL!$C$12*(CAPA2_FLAGSHIP!CC11-CAPA2_FLAGSHIP!CC18)+SUP_CONTROL!$C$14*(CAPA4_RETAIL!CC8-CAPA4_RETAIL!CC12)+(CC39-CC46)</f>
        <v>1948284.65567092</v>
      </c>
      <c r="CD13" s="273" t="n">
        <f aca="false">SUP_CONTROL!$C$11*(CAPA1_PILOTO!CD15-CAPA1_PILOTO!CD23)+SUP_CONTROL!$C$12*(CAPA2_FLAGSHIP!CD11-CAPA2_FLAGSHIP!CD18)+SUP_CONTROL!$C$14*(CAPA4_RETAIL!CD8-CAPA4_RETAIL!CD12)+(CD39-CD46)</f>
        <v>1995351.37092405</v>
      </c>
      <c r="CE13" s="273" t="n">
        <f aca="false">SUP_CONTROL!$C$11*(CAPA1_PILOTO!CE15-CAPA1_PILOTO!CE23)+SUP_CONTROL!$C$12*(CAPA2_FLAGSHIP!CE11-CAPA2_FLAGSHIP!CE18)+SUP_CONTROL!$C$14*(CAPA4_RETAIL!CE8-CAPA4_RETAIL!CE12)+(CE39-CE46)</f>
        <v>2035300.21396967</v>
      </c>
      <c r="CF13" s="273" t="n">
        <f aca="false">SUP_CONTROL!$C$11*(CAPA1_PILOTO!CF15-CAPA1_PILOTO!CF23)+SUP_CONTROL!$C$12*(CAPA2_FLAGSHIP!CF11-CAPA2_FLAGSHIP!CF18)+SUP_CONTROL!$C$14*(CAPA4_RETAIL!CF8-CAPA4_RETAIL!CF12)+(CF39-CF46)</f>
        <v>2074765.26979454</v>
      </c>
      <c r="CG13" s="273" t="n">
        <f aca="false">SUP_CONTROL!$C$11*(CAPA1_PILOTO!CG15-CAPA1_PILOTO!CG23)+SUP_CONTROL!$C$12*(CAPA2_FLAGSHIP!CG11-CAPA2_FLAGSHIP!CG18)+SUP_CONTROL!$C$14*(CAPA4_RETAIL!CG8-CAPA4_RETAIL!CG12)+(CG39-CG46)</f>
        <v>2119485.58288012</v>
      </c>
      <c r="CH13" s="273" t="n">
        <f aca="false">SUP_CONTROL!$C$11*(CAPA1_PILOTO!CH15-CAPA1_PILOTO!CH23)+SUP_CONTROL!$C$12*(CAPA2_FLAGSHIP!CH11-CAPA2_FLAGSHIP!CH18)+SUP_CONTROL!$C$14*(CAPA4_RETAIL!CH8-CAPA4_RETAIL!CH12)+(CH39-CH46)</f>
        <v>2179689.82225298</v>
      </c>
      <c r="CI13" s="273" t="n">
        <f aca="false">SUP_CONTROL!$C$11*(CAPA1_PILOTO!CI15-CAPA1_PILOTO!CI23)+SUP_CONTROL!$C$12*(CAPA2_FLAGSHIP!CI11-CAPA2_FLAGSHIP!CI18)+SUP_CONTROL!$C$14*(CAPA4_RETAIL!CI8-CAPA4_RETAIL!CI12)+(CI39-CI46)</f>
        <v>2222429.45354066</v>
      </c>
      <c r="CJ13" s="273" t="n">
        <f aca="false">SUP_CONTROL!$C$11*(CAPA1_PILOTO!CJ15-CAPA1_PILOTO!CJ23)+SUP_CONTROL!$C$12*(CAPA2_FLAGSHIP!CJ11-CAPA2_FLAGSHIP!CJ18)+SUP_CONTROL!$C$14*(CAPA4_RETAIL!CJ8-CAPA4_RETAIL!CJ12)+(CJ39-CJ46)</f>
        <v>2243973.5129451</v>
      </c>
      <c r="CK13" s="273" t="n">
        <f aca="false">SUP_CONTROL!$C$11*(CAPA1_PILOTO!CK15-CAPA1_PILOTO!CK23)+SUP_CONTROL!$C$12*(CAPA2_FLAGSHIP!CK11-CAPA2_FLAGSHIP!CK18)+SUP_CONTROL!$C$14*(CAPA4_RETAIL!CK8-CAPA4_RETAIL!CK12)+(CK39-CK46)</f>
        <v>2251304.31224306</v>
      </c>
      <c r="CL13" s="273" t="n">
        <f aca="false">SUP_CONTROL!$C$11*(CAPA1_PILOTO!CL15-CAPA1_PILOTO!CL23)+SUP_CONTROL!$C$12*(CAPA2_FLAGSHIP!CL11-CAPA2_FLAGSHIP!CL18)+SUP_CONTROL!$C$14*(CAPA4_RETAIL!CL8-CAPA4_RETAIL!CL12)+(CL39-CL46)</f>
        <v>2254491.61628565</v>
      </c>
      <c r="CM13" s="273" t="n">
        <f aca="false">SUP_CONTROL!$C$11*(CAPA1_PILOTO!CM15-CAPA1_PILOTO!CM23)+SUP_CONTROL!$C$12*(CAPA2_FLAGSHIP!CM11-CAPA2_FLAGSHIP!CM18)+SUP_CONTROL!$C$14*(CAPA4_RETAIL!CM8-CAPA4_RETAIL!CM12)+(CM39-CM46)</f>
        <v>2254491.61628565</v>
      </c>
      <c r="CN13" s="273" t="n">
        <f aca="false">SUP_CONTROL!$C$11*(CAPA1_PILOTO!CN15-CAPA1_PILOTO!CN23)+SUP_CONTROL!$C$12*(CAPA2_FLAGSHIP!CN11-CAPA2_FLAGSHIP!CN18)+SUP_CONTROL!$C$14*(CAPA4_RETAIL!CN8-CAPA4_RETAIL!CN12)+(CN39-CN46)</f>
        <v>2254491.61628565</v>
      </c>
      <c r="CO13" s="273" t="n">
        <f aca="false">SUP_CONTROL!$C$11*(CAPA1_PILOTO!CO15-CAPA1_PILOTO!CO23)+SUP_CONTROL!$C$12*(CAPA2_FLAGSHIP!CO11-CAPA2_FLAGSHIP!CO18)+SUP_CONTROL!$C$14*(CAPA4_RETAIL!CO8-CAPA4_RETAIL!CO12)+(CO39-CO46)</f>
        <v>2254491.61628565</v>
      </c>
      <c r="CP13" s="273" t="n">
        <f aca="false">SUP_CONTROL!$C$11*(CAPA1_PILOTO!CP15-CAPA1_PILOTO!CP23)+SUP_CONTROL!$C$12*(CAPA2_FLAGSHIP!CP11-CAPA2_FLAGSHIP!CP18)+SUP_CONTROL!$C$14*(CAPA4_RETAIL!CP8-CAPA4_RETAIL!CP12)+(CP39-CP46)</f>
        <v>2254491.61628565</v>
      </c>
      <c r="CQ13" s="273" t="n">
        <f aca="false">SUP_CONTROL!$C$11*(CAPA1_PILOTO!CQ15-CAPA1_PILOTO!CQ23)+SUP_CONTROL!$C$12*(CAPA2_FLAGSHIP!CQ11-CAPA2_FLAGSHIP!CQ18)+SUP_CONTROL!$C$14*(CAPA4_RETAIL!CQ8-CAPA4_RETAIL!CQ12)+(CQ39-CQ46)</f>
        <v>2254491.61628565</v>
      </c>
      <c r="CR13" s="273" t="n">
        <f aca="false">SUP_CONTROL!$C$11*(CAPA1_PILOTO!CR15-CAPA1_PILOTO!CR23)+SUP_CONTROL!$C$12*(CAPA2_FLAGSHIP!CR11-CAPA2_FLAGSHIP!CR18)+SUP_CONTROL!$C$14*(CAPA4_RETAIL!CR8-CAPA4_RETAIL!CR12)+(CR39-CR46)</f>
        <v>2254491.61628565</v>
      </c>
      <c r="CS13" s="273" t="n">
        <f aca="false">SUP_CONTROL!$C$11*(CAPA1_PILOTO!CS15-CAPA1_PILOTO!CS23)+SUP_CONTROL!$C$12*(CAPA2_FLAGSHIP!CS11-CAPA2_FLAGSHIP!CS18)+SUP_CONTROL!$C$14*(CAPA4_RETAIL!CS8-CAPA4_RETAIL!CS12)+(CS39-CS46)</f>
        <v>2254491.61628565</v>
      </c>
      <c r="CT13" s="273" t="n">
        <f aca="false">SUP_CONTROL!$C$11*(CAPA1_PILOTO!CT15-CAPA1_PILOTO!CT23)+SUP_CONTROL!$C$12*(CAPA2_FLAGSHIP!CT11-CAPA2_FLAGSHIP!CT18)+SUP_CONTROL!$C$14*(CAPA4_RETAIL!CT8-CAPA4_RETAIL!CT12)+(CT39-CT46)</f>
        <v>2254491.61628565</v>
      </c>
      <c r="CU13" s="273" t="n">
        <f aca="false">SUP_CONTROL!$C$11*(CAPA1_PILOTO!CU15-CAPA1_PILOTO!CU23)+SUP_CONTROL!$C$12*(CAPA2_FLAGSHIP!CU11-CAPA2_FLAGSHIP!CU18)+SUP_CONTROL!$C$14*(CAPA4_RETAIL!CU8-CAPA4_RETAIL!CU12)+(CU39-CU46)</f>
        <v>2254491.61628565</v>
      </c>
      <c r="CV13" s="273" t="n">
        <f aca="false">SUP_CONTROL!$C$11*(CAPA1_PILOTO!CV15-CAPA1_PILOTO!CV23)+SUP_CONTROL!$C$12*(CAPA2_FLAGSHIP!CV11-CAPA2_FLAGSHIP!CV18)+SUP_CONTROL!$C$14*(CAPA4_RETAIL!CV8-CAPA4_RETAIL!CV12)+(CV39-CV46)</f>
        <v>2254491.61628565</v>
      </c>
      <c r="CW13" s="273" t="n">
        <f aca="false">SUP_CONTROL!$C$11*(CAPA1_PILOTO!CW15-CAPA1_PILOTO!CW23)+SUP_CONTROL!$C$12*(CAPA2_FLAGSHIP!CW11-CAPA2_FLAGSHIP!CW18)+SUP_CONTROL!$C$14*(CAPA4_RETAIL!CW8-CAPA4_RETAIL!CW12)+(CW39-CW46)</f>
        <v>2254491.61628565</v>
      </c>
      <c r="CX13" s="273" t="n">
        <f aca="false">SUP_CONTROL!$C$11*(CAPA1_PILOTO!CX15-CAPA1_PILOTO!CX23)+SUP_CONTROL!$C$12*(CAPA2_FLAGSHIP!CX11-CAPA2_FLAGSHIP!CX18)+SUP_CONTROL!$C$14*(CAPA4_RETAIL!CX8-CAPA4_RETAIL!CX12)+(CX39-CX46)</f>
        <v>2254491.61628565</v>
      </c>
      <c r="CY13" s="273" t="n">
        <f aca="false">SUP_CONTROL!$C$11*(CAPA1_PILOTO!CY15-CAPA1_PILOTO!CY23)+SUP_CONTROL!$C$12*(CAPA2_FLAGSHIP!CY11-CAPA2_FLAGSHIP!CY18)+SUP_CONTROL!$C$14*(CAPA4_RETAIL!CY8-CAPA4_RETAIL!CY12)+(CY39-CY46)</f>
        <v>2254491.61628565</v>
      </c>
      <c r="CZ13" s="273" t="n">
        <f aca="false">SUP_CONTROL!$C$11*(CAPA1_PILOTO!CZ15-CAPA1_PILOTO!CZ23)+SUP_CONTROL!$C$12*(CAPA2_FLAGSHIP!CZ11-CAPA2_FLAGSHIP!CZ18)+SUP_CONTROL!$C$14*(CAPA4_RETAIL!CZ8-CAPA4_RETAIL!CZ12)+(CZ39-CZ46)</f>
        <v>2254491.61628565</v>
      </c>
      <c r="DA13" s="273" t="n">
        <f aca="false">SUP_CONTROL!$C$11*(CAPA1_PILOTO!DA15-CAPA1_PILOTO!DA23)+SUP_CONTROL!$C$12*(CAPA2_FLAGSHIP!DA11-CAPA2_FLAGSHIP!DA18)+SUP_CONTROL!$C$14*(CAPA4_RETAIL!DA8-CAPA4_RETAIL!DA12)+(DA39-DA46)</f>
        <v>2254491.61628565</v>
      </c>
      <c r="DB13" s="273" t="n">
        <f aca="false">SUP_CONTROL!$C$11*(CAPA1_PILOTO!DB15-CAPA1_PILOTO!DB23)+SUP_CONTROL!$C$12*(CAPA2_FLAGSHIP!DB11-CAPA2_FLAGSHIP!DB18)+SUP_CONTROL!$C$14*(CAPA4_RETAIL!DB8-CAPA4_RETAIL!DB12)+(DB39-DB46)</f>
        <v>2254491.61628565</v>
      </c>
      <c r="DC13" s="273" t="n">
        <f aca="false">SUP_CONTROL!$C$11*(CAPA1_PILOTO!DC15-CAPA1_PILOTO!DC23)+SUP_CONTROL!$C$12*(CAPA2_FLAGSHIP!DC11-CAPA2_FLAGSHIP!DC18)+SUP_CONTROL!$C$14*(CAPA4_RETAIL!DC8-CAPA4_RETAIL!DC12)+(DC39-DC46)</f>
        <v>2254491.61628565</v>
      </c>
      <c r="DD13" s="273" t="n">
        <f aca="false">SUP_CONTROL!$C$11*(CAPA1_PILOTO!DD15-CAPA1_PILOTO!DD23)+SUP_CONTROL!$C$12*(CAPA2_FLAGSHIP!DD11-CAPA2_FLAGSHIP!DD18)+SUP_CONTROL!$C$14*(CAPA4_RETAIL!DD8-CAPA4_RETAIL!DD12)+(DD39-DD46)</f>
        <v>2254491.61628565</v>
      </c>
      <c r="DE13" s="273" t="n">
        <f aca="false">SUP_CONTROL!$C$11*(CAPA1_PILOTO!DE15-CAPA1_PILOTO!DE23)+SUP_CONTROL!$C$12*(CAPA2_FLAGSHIP!DE11-CAPA2_FLAGSHIP!DE18)+SUP_CONTROL!$C$14*(CAPA4_RETAIL!DE8-CAPA4_RETAIL!DE12)+(DE39-DE46)</f>
        <v>2254491.61628565</v>
      </c>
      <c r="DF13" s="273" t="n">
        <f aca="false">SUP_CONTROL!$C$11*(CAPA1_PILOTO!DF15-CAPA1_PILOTO!DF23)+SUP_CONTROL!$C$12*(CAPA2_FLAGSHIP!DF11-CAPA2_FLAGSHIP!DF18)+SUP_CONTROL!$C$14*(CAPA4_RETAIL!DF8-CAPA4_RETAIL!DF12)+(DF39-DF46)</f>
        <v>2254491.61628565</v>
      </c>
      <c r="DG13" s="273" t="n">
        <f aca="false">SUP_CONTROL!$C$11*(CAPA1_PILOTO!DG15-CAPA1_PILOTO!DG23)+SUP_CONTROL!$C$12*(CAPA2_FLAGSHIP!DG11-CAPA2_FLAGSHIP!DG18)+SUP_CONTROL!$C$14*(CAPA4_RETAIL!DG8-CAPA4_RETAIL!DG12)+(DG39-DG46)</f>
        <v>2254491.61628565</v>
      </c>
      <c r="DH13" s="273" t="n">
        <f aca="false">SUP_CONTROL!$C$11*(CAPA1_PILOTO!DH15-CAPA1_PILOTO!DH23)+SUP_CONTROL!$C$12*(CAPA2_FLAGSHIP!DH11-CAPA2_FLAGSHIP!DH18)+SUP_CONTROL!$C$14*(CAPA4_RETAIL!DH8-CAPA4_RETAIL!DH12)+(DH39-DH46)</f>
        <v>2254491.61628565</v>
      </c>
      <c r="DI13" s="273" t="n">
        <f aca="false">SUP_CONTROL!$C$11*(CAPA1_PILOTO!DI15-CAPA1_PILOTO!DI23)+SUP_CONTROL!$C$12*(CAPA2_FLAGSHIP!DI11-CAPA2_FLAGSHIP!DI18)+SUP_CONTROL!$C$14*(CAPA4_RETAIL!DI8-CAPA4_RETAIL!DI12)+(DI39-DI46)</f>
        <v>2254491.61628565</v>
      </c>
      <c r="DJ13" s="273" t="n">
        <f aca="false">SUP_CONTROL!$C$11*(CAPA1_PILOTO!DJ15-CAPA1_PILOTO!DJ23)+SUP_CONTROL!$C$12*(CAPA2_FLAGSHIP!DJ11-CAPA2_FLAGSHIP!DJ18)+SUP_CONTROL!$C$14*(CAPA4_RETAIL!DJ8-CAPA4_RETAIL!DJ12)+(DJ39-DJ46)</f>
        <v>2254491.61628565</v>
      </c>
      <c r="DK13" s="273" t="n">
        <f aca="false">SUP_CONTROL!$C$11*(CAPA1_PILOTO!DK15-CAPA1_PILOTO!DK23)+SUP_CONTROL!$C$12*(CAPA2_FLAGSHIP!DK11-CAPA2_FLAGSHIP!DK18)+SUP_CONTROL!$C$14*(CAPA4_RETAIL!DK8-CAPA4_RETAIL!DK12)+(DK39-DK46)</f>
        <v>2254491.61628565</v>
      </c>
      <c r="DL13" s="273" t="n">
        <f aca="false">SUP_CONTROL!$C$11*(CAPA1_PILOTO!DL15-CAPA1_PILOTO!DL23)+SUP_CONTROL!$C$12*(CAPA2_FLAGSHIP!DL11-CAPA2_FLAGSHIP!DL18)+SUP_CONTROL!$C$14*(CAPA4_RETAIL!DL8-CAPA4_RETAIL!DL12)+(DL39-DL46)</f>
        <v>2254491.61628565</v>
      </c>
      <c r="DM13" s="273" t="n">
        <f aca="false">SUP_CONTROL!$C$11*(CAPA1_PILOTO!DM15-CAPA1_PILOTO!DM23)+SUP_CONTROL!$C$12*(CAPA2_FLAGSHIP!DM11-CAPA2_FLAGSHIP!DM18)+SUP_CONTROL!$C$14*(CAPA4_RETAIL!DM8-CAPA4_RETAIL!DM12)+(DM39-DM46)</f>
        <v>2254491.61628565</v>
      </c>
      <c r="DN13" s="273" t="n">
        <f aca="false">SUP_CONTROL!$C$11*(CAPA1_PILOTO!DN15-CAPA1_PILOTO!DN23)+SUP_CONTROL!$C$12*(CAPA2_FLAGSHIP!DN11-CAPA2_FLAGSHIP!DN18)+SUP_CONTROL!$C$14*(CAPA4_RETAIL!DN8-CAPA4_RETAIL!DN12)+(DN39-DN46)</f>
        <v>2254491.61628565</v>
      </c>
      <c r="DO13" s="273" t="n">
        <f aca="false">SUP_CONTROL!$C$11*(CAPA1_PILOTO!DO15-CAPA1_PILOTO!DO23)+SUP_CONTROL!$C$12*(CAPA2_FLAGSHIP!DO11-CAPA2_FLAGSHIP!DO18)+SUP_CONTROL!$C$14*(CAPA4_RETAIL!DO8-CAPA4_RETAIL!DO12)+(DO39-DO46)</f>
        <v>2254491.61628565</v>
      </c>
      <c r="DP13" s="273" t="n">
        <f aca="false">SUP_CONTROL!$C$11*(CAPA1_PILOTO!DP15-CAPA1_PILOTO!DP23)+SUP_CONTROL!$C$12*(CAPA2_FLAGSHIP!DP11-CAPA2_FLAGSHIP!DP18)+SUP_CONTROL!$C$14*(CAPA4_RETAIL!DP8-CAPA4_RETAIL!DP12)+(DP39-DP46)</f>
        <v>2254491.61628565</v>
      </c>
      <c r="DQ13" s="273" t="n">
        <f aca="false">SUP_CONTROL!$C$11*(CAPA1_PILOTO!DQ15-CAPA1_PILOTO!DQ23)+SUP_CONTROL!$C$12*(CAPA2_FLAGSHIP!DQ11-CAPA2_FLAGSHIP!DQ18)+SUP_CONTROL!$C$14*(CAPA4_RETAIL!DQ8-CAPA4_RETAIL!DQ12)+(DQ39-DQ46)</f>
        <v>2254491.61628565</v>
      </c>
      <c r="DR13" s="273" t="n">
        <f aca="false">SUP_CONTROL!$C$11*(CAPA1_PILOTO!DR15-CAPA1_PILOTO!DR23)+SUP_CONTROL!$C$12*(CAPA2_FLAGSHIP!DR11-CAPA2_FLAGSHIP!DR18)+SUP_CONTROL!$C$14*(CAPA4_RETAIL!DR8-CAPA4_RETAIL!DR12)+(DR39-DR46)</f>
        <v>2254491.61628565</v>
      </c>
      <c r="DS13" s="273" t="n">
        <f aca="false">SUP_CONTROL!$C$11*(CAPA1_PILOTO!DS15-CAPA1_PILOTO!DS23)+SUP_CONTROL!$C$12*(CAPA2_FLAGSHIP!DS11-CAPA2_FLAGSHIP!DS18)+SUP_CONTROL!$C$14*(CAPA4_RETAIL!DS8-CAPA4_RETAIL!DS12)+(DS39-DS46)</f>
        <v>2254491.61628565</v>
      </c>
    </row>
    <row r="14" customFormat="false" ht="15" hidden="false" customHeight="true" outlineLevel="0" collapsed="false">
      <c r="B14" s="572" t="s">
        <v>3522</v>
      </c>
      <c r="D14" s="273" t="n">
        <f aca="false">MAX(D13*SUP_CONTROL!$C$20/30,SUM($D$67:D67))</f>
        <v>259314</v>
      </c>
      <c r="E14" s="273" t="n">
        <f aca="false">MAX(E13*SUP_CONTROL!$C$20/30,SUM($D$67:E67))</f>
        <v>259314</v>
      </c>
      <c r="F14" s="273" t="n">
        <f aca="false">MAX(F13*SUP_CONTROL!$C$20/30,SUM($D$67:F67))</f>
        <v>259314</v>
      </c>
      <c r="G14" s="273" t="n">
        <f aca="false">MAX(G13*SUP_CONTROL!$C$20/30,SUM($D$67:G67))</f>
        <v>259314</v>
      </c>
      <c r="H14" s="273" t="n">
        <f aca="false">MAX(H13*SUP_CONTROL!$C$20/30,SUM($D$67:H67))</f>
        <v>259314</v>
      </c>
      <c r="I14" s="273" t="n">
        <f aca="false">MAX(I13*SUP_CONTROL!$C$20/30,SUM($D$67:I67))</f>
        <v>259314</v>
      </c>
      <c r="J14" s="273" t="n">
        <f aca="false">MAX(J13*SUP_CONTROL!$C$20/30,SUM($D$67:J67))</f>
        <v>360589.640306731</v>
      </c>
      <c r="K14" s="273" t="n">
        <f aca="false">MAX(K13*SUP_CONTROL!$C$20/30,SUM($D$67:K67))</f>
        <v>477878.084094757</v>
      </c>
      <c r="L14" s="273" t="n">
        <f aca="false">MAX(L13*SUP_CONTROL!$C$20/30,SUM($D$67:L67))</f>
        <v>507617.538936217</v>
      </c>
      <c r="M14" s="273" t="n">
        <f aca="false">MAX(M13*SUP_CONTROL!$C$20/30,SUM($D$67:M67))</f>
        <v>523397.657831685</v>
      </c>
      <c r="N14" s="273" t="n">
        <f aca="false">MAX(N13*SUP_CONTROL!$C$20/30,SUM($D$67:N67))</f>
        <v>523397.657831685</v>
      </c>
      <c r="O14" s="273" t="n">
        <f aca="false">MAX(O13*SUP_CONTROL!$C$20/30,SUM($D$67:O67))</f>
        <v>523397.657831685</v>
      </c>
      <c r="P14" s="273" t="n">
        <f aca="false">MAX(P13*SUP_CONTROL!$C$20/30,SUM($D$67:P67))</f>
        <v>517481.008185526</v>
      </c>
      <c r="Q14" s="273" t="n">
        <f aca="false">MAX(Q13*SUP_CONTROL!$C$20/30,SUM($D$67:Q67))</f>
        <v>517481.008185526</v>
      </c>
      <c r="R14" s="273" t="n">
        <f aca="false">MAX(R13*SUP_CONTROL!$C$20/30,SUM($D$67:R67))</f>
        <v>517481.008185526</v>
      </c>
      <c r="S14" s="273" t="n">
        <f aca="false">MAX(S13*SUP_CONTROL!$C$20/30,SUM($D$67:S67))</f>
        <v>517481.008185526</v>
      </c>
      <c r="T14" s="273" t="n">
        <f aca="false">MAX(T13*SUP_CONTROL!$C$20/30,SUM($D$67:T67))</f>
        <v>517481.008185526</v>
      </c>
      <c r="U14" s="273" t="n">
        <f aca="false">MAX(U13*SUP_CONTROL!$C$20/30,SUM($D$67:U67))</f>
        <v>517481.008185526</v>
      </c>
      <c r="V14" s="273" t="n">
        <f aca="false">MAX(V13*SUP_CONTROL!$C$20/30,SUM($D$67:V67))</f>
        <v>549673.378613448</v>
      </c>
      <c r="W14" s="273" t="n">
        <f aca="false">MAX(W13*SUP_CONTROL!$C$20/30,SUM($D$67:W67))</f>
        <v>587853.603755505</v>
      </c>
      <c r="X14" s="273" t="n">
        <f aca="false">MAX(X13*SUP_CONTROL!$C$20/30,SUM($D$67:X67))</f>
        <v>597833.361612398</v>
      </c>
      <c r="Y14" s="273" t="n">
        <f aca="false">MAX(Y13*SUP_CONTROL!$C$20/30,SUM($D$67:Y67))</f>
        <v>638009.538325833</v>
      </c>
      <c r="Z14" s="273" t="n">
        <f aca="false">MAX(Z13*SUP_CONTROL!$C$20/30,SUM($D$67:Z67))</f>
        <v>647989.296182726</v>
      </c>
      <c r="AA14" s="273" t="n">
        <f aca="false">MAX(AA13*SUP_CONTROL!$C$20/30,SUM($D$67:AA67))</f>
        <v>651981.199325483</v>
      </c>
      <c r="AB14" s="273" t="n">
        <f aca="false">MAX(AB13*SUP_CONTROL!$C$20/30,SUM($D$67:AB67))</f>
        <v>648428.017139652</v>
      </c>
      <c r="AC14" s="273" t="n">
        <f aca="false">MAX(AC13*SUP_CONTROL!$C$20/30,SUM($D$67:AC67))</f>
        <v>648428.017139652</v>
      </c>
      <c r="AD14" s="273" t="n">
        <f aca="false">MAX(AD13*SUP_CONTROL!$C$20/30,SUM($D$67:AD67))</f>
        <v>656721.667139652</v>
      </c>
      <c r="AE14" s="273" t="n">
        <f aca="false">MAX(AE13*SUP_CONTROL!$C$20/30,SUM($D$67:AE67))</f>
        <v>656721.667139652</v>
      </c>
      <c r="AF14" s="273" t="n">
        <f aca="false">MAX(AF13*SUP_CONTROL!$C$20/30,SUM($D$67:AF67))</f>
        <v>656721.667139652</v>
      </c>
      <c r="AG14" s="273" t="n">
        <f aca="false">MAX(AG13*SUP_CONTROL!$C$20/30,SUM($D$67:AG67))</f>
        <v>653208.992381644</v>
      </c>
      <c r="AH14" s="273" t="n">
        <f aca="false">MAX(AH13*SUP_CONTROL!$C$20/30,SUM($D$67:AH67))</f>
        <v>653208.992381644</v>
      </c>
      <c r="AI14" s="273" t="n">
        <f aca="false">MAX(AI13*SUP_CONTROL!$C$20/30,SUM($D$67:AI67))</f>
        <v>693724.701997218</v>
      </c>
      <c r="AJ14" s="273" t="n">
        <f aca="false">MAX(AJ13*SUP_CONTROL!$C$20/30,SUM($D$67:AJ67))</f>
        <v>731960.411612793</v>
      </c>
      <c r="AK14" s="273" t="n">
        <f aca="false">MAX(AK13*SUP_CONTROL!$C$20/30,SUM($D$67:AK67))</f>
        <v>742560.883438072</v>
      </c>
      <c r="AL14" s="273" t="n">
        <f aca="false">MAX(AL13*SUP_CONTROL!$C$20/30,SUM($D$67:AL67))</f>
        <v>782121.652031806</v>
      </c>
      <c r="AM14" s="273" t="n">
        <f aca="false">MAX(AM13*SUP_CONTROL!$C$20/30,SUM($D$67:AM67))</f>
        <v>791586.359018663</v>
      </c>
      <c r="AN14" s="273" t="n">
        <f aca="false">MAX(AN13*SUP_CONTROL!$C$20/30,SUM($D$67:AN67))</f>
        <v>821463.798340836</v>
      </c>
      <c r="AO14" s="273" t="n">
        <f aca="false">MAX(AO13*SUP_CONTROL!$C$20/30,SUM($D$67:AO67))</f>
        <v>830862.689385527</v>
      </c>
      <c r="AP14" s="273" t="n">
        <f aca="false">MAX(AP13*SUP_CONTROL!$C$20/30,SUM($D$67:AP67))</f>
        <v>827645.749357859</v>
      </c>
      <c r="AQ14" s="273" t="n">
        <f aca="false">MAX(AQ13*SUP_CONTROL!$C$20/30,SUM($D$67:AQ67))</f>
        <v>870782.892348316</v>
      </c>
      <c r="AR14" s="273" t="n">
        <f aca="false">MAX(AR13*SUP_CONTROL!$C$20/30,SUM($D$67:AR67))</f>
        <v>907977.374704861</v>
      </c>
      <c r="AS14" s="273" t="n">
        <f aca="false">MAX(AS13*SUP_CONTROL!$C$20/30,SUM($D$67:AS67))</f>
        <v>948285.118600231</v>
      </c>
      <c r="AT14" s="273" t="n">
        <f aca="false">MAX(AT13*SUP_CONTROL!$C$20/30,SUM($D$67:AT67))</f>
        <v>992255.523129511</v>
      </c>
      <c r="AU14" s="273" t="n">
        <f aca="false">MAX(AU13*SUP_CONTROL!$C$20/30,SUM($D$67:AU67))</f>
        <v>1005074.8353482</v>
      </c>
      <c r="AV14" s="273" t="n">
        <f aca="false">MAX(AV13*SUP_CONTROL!$C$20/30,SUM($D$67:AV67))</f>
        <v>1012400.15661602</v>
      </c>
      <c r="AW14" s="273" t="n">
        <f aca="false">MAX(AW13*SUP_CONTROL!$C$20/30,SUM($D$67:AW67))</f>
        <v>1055537.29960648</v>
      </c>
      <c r="AX14" s="273" t="n">
        <f aca="false">MAX(AX13*SUP_CONTROL!$C$20/30,SUM($D$67:AX67))</f>
        <v>1062679.4878426</v>
      </c>
      <c r="AY14" s="273" t="n">
        <f aca="false">MAX(AY13*SUP_CONTROL!$C$20/30,SUM($D$67:AY67))</f>
        <v>1097493.24078711</v>
      </c>
      <c r="AZ14" s="273" t="n">
        <f aca="false">MAX(AZ13*SUP_CONTROL!$C$20/30,SUM($D$67:AZ67))</f>
        <v>1131162.19166265</v>
      </c>
      <c r="BA14" s="273" t="n">
        <f aca="false">MAX(BA13*SUP_CONTROL!$C$20/30,SUM($D$67:BA67))</f>
        <v>1140254.72359243</v>
      </c>
      <c r="BB14" s="273" t="n">
        <f aca="false">MAX(BB13*SUP_CONTROL!$C$20/30,SUM($D$67:BB67))</f>
        <v>1161663.74913625</v>
      </c>
      <c r="BC14" s="273" t="n">
        <f aca="false">MAX(BC13*SUP_CONTROL!$C$20/30,SUM($D$67:BC67))</f>
        <v>1165300.76190816</v>
      </c>
      <c r="BD14" s="273" t="n">
        <f aca="false">MAX(BD13*SUP_CONTROL!$C$20/30,SUM($D$67:BD67))</f>
        <v>1165300.76190816</v>
      </c>
      <c r="BE14" s="273" t="n">
        <f aca="false">MAX(BE13*SUP_CONTROL!$C$20/30,SUM($D$67:BE67))</f>
        <v>1165300.76190816</v>
      </c>
      <c r="BF14" s="273" t="n">
        <f aca="false">MAX(BF13*SUP_CONTROL!$C$20/30,SUM($D$67:BF67))</f>
        <v>1150964.38881253</v>
      </c>
      <c r="BG14" s="273" t="n">
        <f aca="false">MAX(BG13*SUP_CONTROL!$C$20/30,SUM($D$67:BG67))</f>
        <v>1150964.38881253</v>
      </c>
      <c r="BH14" s="273" t="n">
        <f aca="false">MAX(BH13*SUP_CONTROL!$C$20/30,SUM($D$67:BH67))</f>
        <v>1150964.38881253</v>
      </c>
      <c r="BI14" s="273" t="n">
        <f aca="false">MAX(BI13*SUP_CONTROL!$C$20/30,SUM($D$67:BI67))</f>
        <v>1216958.48034912</v>
      </c>
      <c r="BJ14" s="273" t="n">
        <f aca="false">MAX(BJ13*SUP_CONTROL!$C$20/30,SUM($D$67:BJ67))</f>
        <v>1256841.03762585</v>
      </c>
      <c r="BK14" s="273" t="n">
        <f aca="false">MAX(BK13*SUP_CONTROL!$C$20/30,SUM($D$67:BK67))</f>
        <v>1293557.69747163</v>
      </c>
      <c r="BL14" s="273" t="n">
        <f aca="false">MAX(BL13*SUP_CONTROL!$C$20/30,SUM($D$67:BL67))</f>
        <v>1331744.39925325</v>
      </c>
      <c r="BM14" s="273" t="n">
        <f aca="false">MAX(BM13*SUP_CONTROL!$C$20/30,SUM($D$67:BM67))</f>
        <v>1373415.16932193</v>
      </c>
      <c r="BN14" s="273" t="n">
        <f aca="false">MAX(BN13*SUP_CONTROL!$C$20/30,SUM($D$67:BN67))</f>
        <v>1415085.93939061</v>
      </c>
      <c r="BO14" s="273" t="n">
        <f aca="false">MAX(BO13*SUP_CONTROL!$C$20/30,SUM($D$67:BO67))</f>
        <v>1427123.82242366</v>
      </c>
      <c r="BP14" s="273" t="n">
        <f aca="false">MAX(BP13*SUP_CONTROL!$C$20/30,SUM($D$67:BP67))</f>
        <v>1471590.50176519</v>
      </c>
      <c r="BQ14" s="273" t="n">
        <f aca="false">MAX(BQ13*SUP_CONTROL!$C$20/30,SUM($D$67:BQ67))</f>
        <v>1492078.41924588</v>
      </c>
      <c r="BR14" s="273" t="n">
        <f aca="false">MAX(BR13*SUP_CONTROL!$C$20/30,SUM($D$67:BR67))</f>
        <v>1529598.98583078</v>
      </c>
      <c r="BS14" s="273" t="n">
        <f aca="false">MAX(BS13*SUP_CONTROL!$C$20/30,SUM($D$67:BS67))</f>
        <v>1570482.51656461</v>
      </c>
      <c r="BT14" s="273" t="n">
        <f aca="false">MAX(BT13*SUP_CONTROL!$C$20/30,SUM($D$67:BT67))</f>
        <v>1619194.93814414</v>
      </c>
      <c r="BU14" s="273" t="n">
        <f aca="false">MAX(BU13*SUP_CONTROL!$C$20/30,SUM($D$67:BU67))</f>
        <v>1660582.9135003</v>
      </c>
      <c r="BV14" s="273" t="n">
        <f aca="false">MAX(BV13*SUP_CONTROL!$C$20/30,SUM($D$67:BV67))</f>
        <v>1701466.44423412</v>
      </c>
      <c r="BW14" s="273" t="n">
        <f aca="false">MAX(BW13*SUP_CONTROL!$C$20/30,SUM($D$67:BW67))</f>
        <v>1725067.01432764</v>
      </c>
      <c r="BX14" s="273" t="n">
        <f aca="false">MAX(BX13*SUP_CONTROL!$C$20/30,SUM($D$67:BX67))</f>
        <v>1762777.35342578</v>
      </c>
      <c r="BY14" s="273" t="n">
        <f aca="false">MAX(BY13*SUP_CONTROL!$C$20/30,SUM($D$67:BY67))</f>
        <v>1775741.9023395</v>
      </c>
      <c r="BZ14" s="273" t="n">
        <f aca="false">MAX(BZ13*SUP_CONTROL!$C$20/30,SUM($D$67:BZ67))</f>
        <v>1845922.76585341</v>
      </c>
      <c r="CA14" s="273" t="n">
        <f aca="false">MAX(CA13*SUP_CONTROL!$C$20/30,SUM($D$67:CA67))</f>
        <v>1887615.14009852</v>
      </c>
      <c r="CB14" s="273" t="n">
        <f aca="false">MAX(CB13*SUP_CONTROL!$C$20/30,SUM($D$67:CB67))</f>
        <v>1906561.92614921</v>
      </c>
      <c r="CC14" s="273" t="n">
        <f aca="false">MAX(CC13*SUP_CONTROL!$C$20/30,SUM($D$67:CC67))</f>
        <v>1948284.65567092</v>
      </c>
      <c r="CD14" s="273" t="n">
        <f aca="false">MAX(CD13*SUP_CONTROL!$C$20/30,SUM($D$67:CD67))</f>
        <v>1995351.37092405</v>
      </c>
      <c r="CE14" s="273" t="n">
        <f aca="false">MAX(CE13*SUP_CONTROL!$C$20/30,SUM($D$67:CE67))</f>
        <v>2035300.21396967</v>
      </c>
      <c r="CF14" s="273" t="n">
        <f aca="false">MAX(CF13*SUP_CONTROL!$C$20/30,SUM($D$67:CF67))</f>
        <v>2074765.26979454</v>
      </c>
      <c r="CG14" s="273" t="n">
        <f aca="false">MAX(CG13*SUP_CONTROL!$C$20/30,SUM($D$67:CG67))</f>
        <v>2119485.58288012</v>
      </c>
      <c r="CH14" s="273" t="n">
        <f aca="false">MAX(CH13*SUP_CONTROL!$C$20/30,SUM($D$67:CH67))</f>
        <v>2179689.82225298</v>
      </c>
      <c r="CI14" s="273" t="n">
        <f aca="false">MAX(CI13*SUP_CONTROL!$C$20/30,SUM($D$67:CI67))</f>
        <v>2222429.45354066</v>
      </c>
      <c r="CJ14" s="273" t="n">
        <f aca="false">MAX(CJ13*SUP_CONTROL!$C$20/30,SUM($D$67:CJ67))</f>
        <v>2243973.5129451</v>
      </c>
      <c r="CK14" s="273" t="n">
        <f aca="false">MAX(CK13*SUP_CONTROL!$C$20/30,SUM($D$67:CK67))</f>
        <v>2251304.31224306</v>
      </c>
      <c r="CL14" s="273" t="n">
        <f aca="false">MAX(CL13*SUP_CONTROL!$C$20/30,SUM($D$67:CL67))</f>
        <v>2254491.61628565</v>
      </c>
      <c r="CM14" s="273" t="n">
        <f aca="false">MAX(CM13*SUP_CONTROL!$C$20/30,SUM($D$67:CM67))</f>
        <v>2254491.61628565</v>
      </c>
      <c r="CN14" s="273" t="n">
        <f aca="false">MAX(CN13*SUP_CONTROL!$C$20/30,SUM($D$67:CN67))</f>
        <v>2254491.61628565</v>
      </c>
      <c r="CO14" s="273" t="n">
        <f aca="false">MAX(CO13*SUP_CONTROL!$C$20/30,SUM($D$67:CO67))</f>
        <v>2254491.61628565</v>
      </c>
      <c r="CP14" s="273" t="n">
        <f aca="false">MAX(CP13*SUP_CONTROL!$C$20/30,SUM($D$67:CP67))</f>
        <v>2254491.61628565</v>
      </c>
      <c r="CQ14" s="273" t="n">
        <f aca="false">MAX(CQ13*SUP_CONTROL!$C$20/30,SUM($D$67:CQ67))</f>
        <v>2254491.61628565</v>
      </c>
      <c r="CR14" s="273" t="n">
        <f aca="false">MAX(CR13*SUP_CONTROL!$C$20/30,SUM($D$67:CR67))</f>
        <v>2254491.61628565</v>
      </c>
      <c r="CS14" s="273" t="n">
        <f aca="false">MAX(CS13*SUP_CONTROL!$C$20/30,SUM($D$67:CS67))</f>
        <v>2254491.61628565</v>
      </c>
      <c r="CT14" s="273" t="n">
        <f aca="false">MAX(CT13*SUP_CONTROL!$C$20/30,SUM($D$67:CT67))</f>
        <v>2254491.61628565</v>
      </c>
      <c r="CU14" s="273" t="n">
        <f aca="false">MAX(CU13*SUP_CONTROL!$C$20/30,SUM($D$67:CU67))</f>
        <v>2254491.61628565</v>
      </c>
      <c r="CV14" s="273" t="n">
        <f aca="false">MAX(CV13*SUP_CONTROL!$C$20/30,SUM($D$67:CV67))</f>
        <v>2254491.61628565</v>
      </c>
      <c r="CW14" s="273" t="n">
        <f aca="false">MAX(CW13*SUP_CONTROL!$C$20/30,SUM($D$67:CW67))</f>
        <v>2254491.61628565</v>
      </c>
      <c r="CX14" s="273" t="n">
        <f aca="false">MAX(CX13*SUP_CONTROL!$C$20/30,SUM($D$67:CX67))</f>
        <v>2254491.61628565</v>
      </c>
      <c r="CY14" s="273" t="n">
        <f aca="false">MAX(CY13*SUP_CONTROL!$C$20/30,SUM($D$67:CY67))</f>
        <v>2254491.61628565</v>
      </c>
      <c r="CZ14" s="273" t="n">
        <f aca="false">MAX(CZ13*SUP_CONTROL!$C$20/30,SUM($D$67:CZ67))</f>
        <v>2254491.61628565</v>
      </c>
      <c r="DA14" s="273" t="n">
        <f aca="false">MAX(DA13*SUP_CONTROL!$C$20/30,SUM($D$67:DA67))</f>
        <v>2254491.61628565</v>
      </c>
      <c r="DB14" s="273" t="n">
        <f aca="false">MAX(DB13*SUP_CONTROL!$C$20/30,SUM($D$67:DB67))</f>
        <v>2254491.61628565</v>
      </c>
      <c r="DC14" s="273" t="n">
        <f aca="false">MAX(DC13*SUP_CONTROL!$C$20/30,SUM($D$67:DC67))</f>
        <v>2254491.61628565</v>
      </c>
      <c r="DD14" s="273" t="n">
        <f aca="false">MAX(DD13*SUP_CONTROL!$C$20/30,SUM($D$67:DD67))</f>
        <v>2254491.61628565</v>
      </c>
      <c r="DE14" s="273" t="n">
        <f aca="false">MAX(DE13*SUP_CONTROL!$C$20/30,SUM($D$67:DE67))</f>
        <v>2254491.61628565</v>
      </c>
      <c r="DF14" s="273" t="n">
        <f aca="false">MAX(DF13*SUP_CONTROL!$C$20/30,SUM($D$67:DF67))</f>
        <v>2254491.61628565</v>
      </c>
      <c r="DG14" s="273" t="n">
        <f aca="false">MAX(DG13*SUP_CONTROL!$C$20/30,SUM($D$67:DG67))</f>
        <v>2254491.61628565</v>
      </c>
      <c r="DH14" s="273" t="n">
        <f aca="false">MAX(DH13*SUP_CONTROL!$C$20/30,SUM($D$67:DH67))</f>
        <v>2254491.61628565</v>
      </c>
      <c r="DI14" s="273" t="n">
        <f aca="false">MAX(DI13*SUP_CONTROL!$C$20/30,SUM($D$67:DI67))</f>
        <v>2254491.61628565</v>
      </c>
      <c r="DJ14" s="273" t="n">
        <f aca="false">MAX(DJ13*SUP_CONTROL!$C$20/30,SUM($D$67:DJ67))</f>
        <v>2254491.61628565</v>
      </c>
      <c r="DK14" s="273" t="n">
        <f aca="false">MAX(DK13*SUP_CONTROL!$C$20/30,SUM($D$67:DK67))</f>
        <v>2254491.61628565</v>
      </c>
      <c r="DL14" s="273" t="n">
        <f aca="false">MAX(DL13*SUP_CONTROL!$C$20/30,SUM($D$67:DL67))</f>
        <v>2254491.61628565</v>
      </c>
      <c r="DM14" s="273" t="n">
        <f aca="false">MAX(DM13*SUP_CONTROL!$C$20/30,SUM($D$67:DM67))</f>
        <v>2254491.61628565</v>
      </c>
      <c r="DN14" s="273" t="n">
        <f aca="false">MAX(DN13*SUP_CONTROL!$C$20/30,SUM($D$67:DN67))</f>
        <v>2254491.61628565</v>
      </c>
      <c r="DO14" s="273" t="n">
        <f aca="false">MAX(DO13*SUP_CONTROL!$C$20/30,SUM($D$67:DO67))</f>
        <v>2254491.61628565</v>
      </c>
      <c r="DP14" s="273" t="n">
        <f aca="false">MAX(DP13*SUP_CONTROL!$C$20/30,SUM($D$67:DP67))</f>
        <v>2254491.61628565</v>
      </c>
      <c r="DQ14" s="273" t="n">
        <f aca="false">MAX(DQ13*SUP_CONTROL!$C$20/30,SUM($D$67:DQ67))</f>
        <v>2254491.61628565</v>
      </c>
      <c r="DR14" s="273" t="n">
        <f aca="false">MAX(DR13*SUP_CONTROL!$C$20/30,SUM($D$67:DR67))</f>
        <v>2254491.61628565</v>
      </c>
      <c r="DS14" s="273" t="n">
        <f aca="false">MAX(DS13*SUP_CONTROL!$C$20/30,SUM($D$67:DS67))</f>
        <v>2254491.61628565</v>
      </c>
    </row>
    <row r="16" customFormat="false" ht="15" hidden="false" customHeight="true" outlineLevel="0" collapsed="false">
      <c r="B16" s="297" t="s">
        <v>3523</v>
      </c>
      <c r="D16" s="273" t="n">
        <f aca="false">0</f>
        <v>0</v>
      </c>
      <c r="E16" s="273" t="n">
        <f aca="false">D53+IF(E$4=SUP_CONTROL!$E$24,SUP_CONTROL!$C$24,0)</f>
        <v>259314</v>
      </c>
      <c r="F16" s="273" t="n">
        <f aca="false">E53+IF(F$4=SUP_CONTROL!$E$24,SUP_CONTROL!$C$24,0)</f>
        <v>243599</v>
      </c>
      <c r="G16" s="273" t="n">
        <f aca="false">F53+IF(G$4=SUP_CONTROL!$E$24,SUP_CONTROL!$C$24,0)</f>
        <v>227884</v>
      </c>
      <c r="H16" s="273" t="n">
        <f aca="false">G53+IF(H$4=SUP_CONTROL!$E$24,SUP_CONTROL!$C$24,0)</f>
        <v>213752.012119022</v>
      </c>
      <c r="I16" s="273" t="n">
        <f aca="false">H53+IF(I$4=SUP_CONTROL!$E$24,SUP_CONTROL!$C$24,0)</f>
        <v>217617.154355785</v>
      </c>
      <c r="J16" s="273" t="n">
        <f aca="false">I53+IF(J$4=SUP_CONTROL!$E$24,SUP_CONTROL!$C$24,0)</f>
        <v>236453.092656054</v>
      </c>
      <c r="K16" s="273" t="n">
        <f aca="false">J53+IF(K$4=SUP_CONTROL!$E$24,SUP_CONTROL!$C$24,0)</f>
        <v>265404.68916697</v>
      </c>
      <c r="L16" s="273" t="n">
        <f aca="false">K53+IF(L$4=SUP_CONTROL!$E$24,SUP_CONTROL!$C$24,0)</f>
        <v>305255.979835913</v>
      </c>
      <c r="M16" s="273" t="n">
        <f aca="false">L53+IF(M$4=SUP_CONTROL!$E$24,SUP_CONTROL!$C$24,0)</f>
        <v>351811.03529437</v>
      </c>
      <c r="N16" s="273" t="n">
        <f aca="false">M53+IF(N$4=SUP_CONTROL!$E$24,SUP_CONTROL!$C$24,0)</f>
        <v>401923.190437059</v>
      </c>
      <c r="O16" s="273" t="n">
        <f aca="false">N53+IF(O$4=SUP_CONTROL!$E$24,SUP_CONTROL!$C$24,0)</f>
        <v>452035.345579747</v>
      </c>
      <c r="P16" s="273" t="n">
        <f aca="false">O53+IF(P$4=SUP_CONTROL!$E$24,SUP_CONTROL!$C$24,0)</f>
        <v>502147.500722436</v>
      </c>
      <c r="Q16" s="273" t="n">
        <f aca="false">P53+IF(Q$4=SUP_CONTROL!$E$24,SUP_CONTROL!$C$24,0)</f>
        <v>556164.644631589</v>
      </c>
      <c r="R16" s="273" t="n">
        <f aca="false">Q53+IF(R$4=SUP_CONTROL!$E$24,SUP_CONTROL!$C$24,0)</f>
        <v>610181.788540742</v>
      </c>
      <c r="S16" s="273" t="n">
        <f aca="false">R53+IF(S$4=SUP_CONTROL!$E$24,SUP_CONTROL!$C$24,0)</f>
        <v>664198.932449896</v>
      </c>
      <c r="T16" s="273" t="n">
        <f aca="false">S53+IF(T$4=SUP_CONTROL!$E$24,SUP_CONTROL!$C$24,0)</f>
        <v>619220.139359049</v>
      </c>
      <c r="U16" s="273" t="n">
        <f aca="false">T53+IF(U$4=SUP_CONTROL!$E$24,SUP_CONTROL!$C$24,0)</f>
        <v>574241.346268202</v>
      </c>
      <c r="V16" s="273" t="n">
        <f aca="false">U53+IF(V$4=SUP_CONTROL!$E$24,SUP_CONTROL!$C$24,0)</f>
        <v>628258.490177355</v>
      </c>
      <c r="W16" s="273" t="n">
        <f aca="false">V53+IF(W$4=SUP_CONTROL!$E$24,SUP_CONTROL!$C$24,0)</f>
        <v>576106.096827315</v>
      </c>
      <c r="X16" s="273" t="n">
        <f aca="false">W53+IF(X$4=SUP_CONTROL!$E$24,SUP_CONTROL!$C$24,0)</f>
        <v>628411.159894268</v>
      </c>
      <c r="Y16" s="273" t="n">
        <f aca="false">X53+IF(Y$4=SUP_CONTROL!$E$24,SUP_CONTROL!$C$24,0)</f>
        <v>695085.979029032</v>
      </c>
      <c r="Z16" s="273" t="n">
        <f aca="false">Y53+IF(Z$4=SUP_CONTROL!$E$24,SUP_CONTROL!$C$24,0)</f>
        <v>753696.26879435</v>
      </c>
      <c r="AA16" s="273" t="n">
        <f aca="false">Z53+IF(AA$4=SUP_CONTROL!$E$24,SUP_CONTROL!$C$24,0)</f>
        <v>824676.314627478</v>
      </c>
      <c r="AB16" s="273" t="n">
        <f aca="false">AA53+IF(AB$4=SUP_CONTROL!$E$24,SUP_CONTROL!$C$24,0)</f>
        <v>896604.262887731</v>
      </c>
      <c r="AC16" s="273" t="n">
        <f aca="false">AB53+IF(AC$4=SUP_CONTROL!$E$24,SUP_CONTROL!$C$24,0)</f>
        <v>972459.869891975</v>
      </c>
      <c r="AD16" s="273" t="n">
        <f aca="false">AC53+IF(AD$4=SUP_CONTROL!$E$24,SUP_CONTROL!$C$24,0)</f>
        <v>1048315.47689622</v>
      </c>
      <c r="AE16" s="273" t="n">
        <f aca="false">AD53+IF(AE$4=SUP_CONTROL!$E$24,SUP_CONTROL!$C$24,0)</f>
        <v>776916.995889798</v>
      </c>
      <c r="AF16" s="273" t="n">
        <f aca="false">AE53+IF(AF$4=SUP_CONTROL!$E$24,SUP_CONTROL!$C$24,0)</f>
        <v>848269.922883376</v>
      </c>
      <c r="AG16" s="273" t="n">
        <f aca="false">AF53+IF(AG$4=SUP_CONTROL!$E$24,SUP_CONTROL!$C$24,0)</f>
        <v>772330.408856662</v>
      </c>
      <c r="AH16" s="273" t="n">
        <f aca="false">AG53+IF(AH$4=SUP_CONTROL!$E$24,SUP_CONTROL!$C$24,0)</f>
        <v>744437.287423858</v>
      </c>
      <c r="AI16" s="273" t="n">
        <f aca="false">AH53+IF(AI$4=SUP_CONTROL!$E$24,SUP_CONTROL!$C$24,0)</f>
        <v>815540.102991053</v>
      </c>
      <c r="AJ16" s="273" t="n">
        <f aca="false">AI53+IF(AJ$4=SUP_CONTROL!$E$24,SUP_CONTROL!$C$24,0)</f>
        <v>774533.298623068</v>
      </c>
      <c r="AK16" s="273" t="n">
        <f aca="false">AJ53+IF(AK$4=SUP_CONTROL!$E$24,SUP_CONTROL!$C$24,0)</f>
        <v>845851.303665068</v>
      </c>
      <c r="AL16" s="273" t="n">
        <f aca="false">AK53+IF(AL$4=SUP_CONTROL!$E$24,SUP_CONTROL!$C$24,0)</f>
        <v>833169.533846867</v>
      </c>
      <c r="AM16" s="273" t="n">
        <f aca="false">AL53+IF(AM$4=SUP_CONTROL!$E$24,SUP_CONTROL!$C$24,0)</f>
        <v>910754.313124272</v>
      </c>
      <c r="AN16" s="273" t="n">
        <f aca="false">AM53+IF(AN$4=SUP_CONTROL!$E$24,SUP_CONTROL!$C$24,0)</f>
        <v>1000780.09015611</v>
      </c>
      <c r="AO16" s="273" t="n">
        <f aca="false">AN53+IF(AO$4=SUP_CONTROL!$E$24,SUP_CONTROL!$C$24,0)</f>
        <v>939857.429312299</v>
      </c>
      <c r="AP16" s="273" t="n">
        <f aca="false">AO53+IF(AP$4=SUP_CONTROL!$E$24,SUP_CONTROL!$C$24,0)</f>
        <v>940371.534649584</v>
      </c>
      <c r="AQ16" s="273" t="n">
        <f aca="false">AP53+IF(AQ$4=SUP_CONTROL!$E$24,SUP_CONTROL!$C$24,0)</f>
        <v>940297.541503847</v>
      </c>
      <c r="AR16" s="273" t="n">
        <f aca="false">AQ53+IF(AR$4=SUP_CONTROL!$E$24,SUP_CONTROL!$C$24,0)</f>
        <v>926008.421695868</v>
      </c>
      <c r="AS16" s="273" t="n">
        <f aca="false">AR53+IF(AS$4=SUP_CONTROL!$E$24,SUP_CONTROL!$C$24,0)</f>
        <v>1023974.50580542</v>
      </c>
      <c r="AT16" s="273" t="n">
        <f aca="false">AS53+IF(AT$4=SUP_CONTROL!$E$24,SUP_CONTROL!$C$24,0)</f>
        <v>1128822.7943331</v>
      </c>
      <c r="AU16" s="273" t="n">
        <f aca="false">AT53+IF(AU$4=SUP_CONTROL!$E$24,SUP_CONTROL!$C$24,0)</f>
        <v>1091029.00802398</v>
      </c>
      <c r="AV16" s="273" t="n">
        <f aca="false">AU53+IF(AV$4=SUP_CONTROL!$E$24,SUP_CONTROL!$C$24,0)</f>
        <v>1214309.81014373</v>
      </c>
      <c r="AW16" s="273" t="n">
        <f aca="false">AV53+IF(AW$4=SUP_CONTROL!$E$24,SUP_CONTROL!$C$24,0)</f>
        <v>1238793.24344909</v>
      </c>
      <c r="AX16" s="273" t="n">
        <f aca="false">AW53+IF(AX$4=SUP_CONTROL!$E$24,SUP_CONTROL!$C$24,0)</f>
        <v>1249061.55009221</v>
      </c>
      <c r="AY16" s="273" t="n">
        <f aca="false">AX53+IF(AY$4=SUP_CONTROL!$E$24,SUP_CONTROL!$C$24,0)</f>
        <v>1379413.70917783</v>
      </c>
      <c r="AZ16" s="273" t="n">
        <f aca="false">AY53+IF(AZ$4=SUP_CONTROL!$E$24,SUP_CONTROL!$C$24,0)</f>
        <v>1503195.83003349</v>
      </c>
      <c r="BA16" s="273" t="n">
        <f aca="false">AZ53+IF(BA$4=SUP_CONTROL!$E$24,SUP_CONTROL!$C$24,0)</f>
        <v>1635041.75870035</v>
      </c>
      <c r="BB16" s="273" t="n">
        <f aca="false">BA53+IF(BB$4=SUP_CONTROL!$E$24,SUP_CONTROL!$C$24,0)</f>
        <v>1781350.41075298</v>
      </c>
      <c r="BC16" s="273" t="n">
        <f aca="false">BB53+IF(BC$4=SUP_CONTROL!$E$24,SUP_CONTROL!$C$24,0)</f>
        <v>1295356.26821956</v>
      </c>
      <c r="BD16" s="273" t="n">
        <f aca="false">BC53+IF(BD$4=SUP_CONTROL!$E$24,SUP_CONTROL!$C$24,0)</f>
        <v>1433061.11104044</v>
      </c>
      <c r="BE16" s="273" t="n">
        <f aca="false">BD53+IF(BE$4=SUP_CONTROL!$E$24,SUP_CONTROL!$C$24,0)</f>
        <v>1570765.95386133</v>
      </c>
      <c r="BF16" s="273" t="n">
        <f aca="false">BE53+IF(BF$4=SUP_CONTROL!$E$24,SUP_CONTROL!$C$24,0)</f>
        <v>1708470.79668221</v>
      </c>
      <c r="BG16" s="273" t="n">
        <f aca="false">BF53+IF(BG$4=SUP_CONTROL!$E$24,SUP_CONTROL!$C$24,0)</f>
        <v>1337602.39177084</v>
      </c>
      <c r="BH16" s="273" t="n">
        <f aca="false">BG53+IF(BH$4=SUP_CONTROL!$E$24,SUP_CONTROL!$C$24,0)</f>
        <v>1374066.46526429</v>
      </c>
      <c r="BI16" s="273" t="n">
        <f aca="false">BH53+IF(BI$4=SUP_CONTROL!$E$24,SUP_CONTROL!$C$24,0)</f>
        <v>1362234.03473746</v>
      </c>
      <c r="BJ16" s="273" t="n">
        <f aca="false">BI53+IF(BJ$4=SUP_CONTROL!$E$24,SUP_CONTROL!$C$24,0)</f>
        <v>1348645.23337738</v>
      </c>
      <c r="BK16" s="273" t="n">
        <f aca="false">BJ53+IF(BK$4=SUP_CONTROL!$E$24,SUP_CONTROL!$C$24,0)</f>
        <v>1390307.75017124</v>
      </c>
      <c r="BL16" s="273" t="n">
        <f aca="false">BK53+IF(BL$4=SUP_CONTROL!$E$24,SUP_CONTROL!$C$24,0)</f>
        <v>1430241.75714406</v>
      </c>
      <c r="BM16" s="273" t="n">
        <f aca="false">BL53+IF(BM$4=SUP_CONTROL!$E$24,SUP_CONTROL!$C$24,0)</f>
        <v>1580086.74329736</v>
      </c>
      <c r="BN16" s="273" t="n">
        <f aca="false">BM53+IF(BN$4=SUP_CONTROL!$E$24,SUP_CONTROL!$C$24,0)</f>
        <v>1588346.8974925</v>
      </c>
      <c r="BO16" s="273" t="n">
        <f aca="false">BN53+IF(BO$4=SUP_CONTROL!$E$24,SUP_CONTROL!$C$24,0)</f>
        <v>1650066.99065459</v>
      </c>
      <c r="BP16" s="273" t="n">
        <f aca="false">BO53+IF(BP$4=SUP_CONTROL!$E$24,SUP_CONTROL!$C$24,0)</f>
        <v>1725389.38494894</v>
      </c>
      <c r="BQ16" s="273" t="n">
        <f aca="false">BP53+IF(BQ$4=SUP_CONTROL!$E$24,SUP_CONTROL!$C$24,0)</f>
        <v>1787319.97823785</v>
      </c>
      <c r="BR16" s="273" t="n">
        <f aca="false">BQ53+IF(BR$4=SUP_CONTROL!$E$24,SUP_CONTROL!$C$24,0)</f>
        <v>1807984.23750373</v>
      </c>
      <c r="BS16" s="273" t="n">
        <f aca="false">BR53+IF(BS$4=SUP_CONTROL!$E$24,SUP_CONTROL!$C$24,0)</f>
        <v>1884156.9115034</v>
      </c>
      <c r="BT16" s="273" t="n">
        <f aca="false">BS53+IF(BT$4=SUP_CONTROL!$E$24,SUP_CONTROL!$C$24,0)</f>
        <v>1964881.01012976</v>
      </c>
      <c r="BU16" s="273" t="n">
        <f aca="false">BT53+IF(BU$4=SUP_CONTROL!$E$24,SUP_CONTROL!$C$24,0)</f>
        <v>2045391.34036859</v>
      </c>
      <c r="BV16" s="273" t="n">
        <f aca="false">BU53+IF(BV$4=SUP_CONTROL!$E$24,SUP_CONTROL!$C$24,0)</f>
        <v>2090434.31083042</v>
      </c>
      <c r="BW16" s="273" t="n">
        <f aca="false">BV53+IF(BW$4=SUP_CONTROL!$E$24,SUP_CONTROL!$C$24,0)</f>
        <v>2288652.48351411</v>
      </c>
      <c r="BX16" s="273" t="n">
        <f aca="false">BW53+IF(BX$4=SUP_CONTROL!$E$24,SUP_CONTROL!$C$24,0)</f>
        <v>1981674.24581206</v>
      </c>
      <c r="BY16" s="273" t="n">
        <f aca="false">BX53+IF(BY$4=SUP_CONTROL!$E$24,SUP_CONTROL!$C$24,0)</f>
        <v>2088171.67429883</v>
      </c>
      <c r="BZ16" s="273" t="n">
        <f aca="false">BY53+IF(BZ$4=SUP_CONTROL!$E$24,SUP_CONTROL!$C$24,0)</f>
        <v>2215815.45191685</v>
      </c>
      <c r="CA16" s="273" t="n">
        <f aca="false">BZ53+IF(CA$4=SUP_CONTROL!$E$24,SUP_CONTROL!$C$24,0)</f>
        <v>2292815.47475655</v>
      </c>
      <c r="CB16" s="273" t="n">
        <f aca="false">CA53+IF(CB$4=SUP_CONTROL!$E$24,SUP_CONTROL!$C$24,0)</f>
        <v>2374270.28809374</v>
      </c>
      <c r="CC16" s="273" t="n">
        <f aca="false">CB53+IF(CC$4=SUP_CONTROL!$E$24,SUP_CONTROL!$C$24,0)</f>
        <v>2506165.16712556</v>
      </c>
      <c r="CD16" s="273" t="n">
        <f aca="false">CC53+IF(CD$4=SUP_CONTROL!$E$24,SUP_CONTROL!$C$24,0)</f>
        <v>2636282.21131545</v>
      </c>
      <c r="CE16" s="273" t="n">
        <f aca="false">CD53+IF(CE$4=SUP_CONTROL!$E$24,SUP_CONTROL!$C$24,0)</f>
        <v>2765987.30607051</v>
      </c>
      <c r="CF16" s="273" t="n">
        <f aca="false">CE53+IF(CF$4=SUP_CONTROL!$E$24,SUP_CONTROL!$C$24,0)</f>
        <v>2860051.73628336</v>
      </c>
      <c r="CG16" s="273" t="n">
        <f aca="false">CF53+IF(CG$4=SUP_CONTROL!$E$24,SUP_CONTROL!$C$24,0)</f>
        <v>3008386.85923588</v>
      </c>
      <c r="CH16" s="273" t="n">
        <f aca="false">CG53+IF(CH$4=SUP_CONTROL!$E$24,SUP_CONTROL!$C$24,0)</f>
        <v>3162595.96341039</v>
      </c>
      <c r="CI16" s="273" t="n">
        <f aca="false">CH53+IF(CI$4=SUP_CONTROL!$E$24,SUP_CONTROL!$C$24,0)</f>
        <v>2838453.57925233</v>
      </c>
      <c r="CJ16" s="273" t="n">
        <f aca="false">CI53+IF(CJ$4=SUP_CONTROL!$E$24,SUP_CONTROL!$C$24,0)</f>
        <v>3101473.98211032</v>
      </c>
      <c r="CK16" s="273" t="n">
        <f aca="false">CJ53+IF(CK$4=SUP_CONTROL!$E$24,SUP_CONTROL!$C$24,0)</f>
        <v>3364720.1816388</v>
      </c>
      <c r="CL16" s="273" t="n">
        <f aca="false">CK53+IF(CL$4=SUP_CONTROL!$E$24,SUP_CONTROL!$C$24,0)</f>
        <v>3638849.55665522</v>
      </c>
      <c r="CM16" s="273" t="n">
        <f aca="false">CL53+IF(CM$4=SUP_CONTROL!$E$24,SUP_CONTROL!$C$24,0)</f>
        <v>3911884.66014465</v>
      </c>
      <c r="CN16" s="273" t="n">
        <f aca="false">CM53+IF(CN$4=SUP_CONTROL!$E$24,SUP_CONTROL!$C$24,0)</f>
        <v>4182919.76363409</v>
      </c>
      <c r="CO16" s="273" t="n">
        <f aca="false">CN53+IF(CO$4=SUP_CONTROL!$E$24,SUP_CONTROL!$C$24,0)</f>
        <v>4453954.86712353</v>
      </c>
      <c r="CP16" s="273" t="n">
        <f aca="false">CO53+IF(CP$4=SUP_CONTROL!$E$24,SUP_CONTROL!$C$24,0)</f>
        <v>4724989.97061297</v>
      </c>
      <c r="CQ16" s="273" t="n">
        <f aca="false">CP53+IF(CQ$4=SUP_CONTROL!$E$24,SUP_CONTROL!$C$24,0)</f>
        <v>4996025.07410241</v>
      </c>
      <c r="CR16" s="273" t="n">
        <f aca="false">CQ53+IF(CR$4=SUP_CONTROL!$E$24,SUP_CONTROL!$C$24,0)</f>
        <v>5267060.17759184</v>
      </c>
      <c r="CS16" s="273" t="n">
        <f aca="false">CR53+IF(CS$4=SUP_CONTROL!$E$24,SUP_CONTROL!$C$24,0)</f>
        <v>5538095.28108128</v>
      </c>
      <c r="CT16" s="273" t="n">
        <f aca="false">CS53+IF(CT$4=SUP_CONTROL!$E$24,SUP_CONTROL!$C$24,0)</f>
        <v>5809130.38457072</v>
      </c>
      <c r="CU16" s="273" t="n">
        <f aca="false">CT53+IF(CU$4=SUP_CONTROL!$E$24,SUP_CONTROL!$C$24,0)</f>
        <v>6080165.48806016</v>
      </c>
      <c r="CV16" s="273" t="n">
        <f aca="false">CU53+IF(CV$4=SUP_CONTROL!$E$24,SUP_CONTROL!$C$24,0)</f>
        <v>6351200.5915496</v>
      </c>
      <c r="CW16" s="273" t="n">
        <f aca="false">CV53+IF(CW$4=SUP_CONTROL!$E$24,SUP_CONTROL!$C$24,0)</f>
        <v>6622235.69503903</v>
      </c>
      <c r="CX16" s="273" t="n">
        <f aca="false">CW53+IF(CX$4=SUP_CONTROL!$E$24,SUP_CONTROL!$C$24,0)</f>
        <v>6893270.79852847</v>
      </c>
      <c r="CY16" s="273" t="n">
        <f aca="false">CX53+IF(CY$4=SUP_CONTROL!$E$24,SUP_CONTROL!$C$24,0)</f>
        <v>7164305.90201791</v>
      </c>
      <c r="CZ16" s="273" t="n">
        <f aca="false">CY53+IF(CZ$4=SUP_CONTROL!$E$24,SUP_CONTROL!$C$24,0)</f>
        <v>7435341.00550735</v>
      </c>
      <c r="DA16" s="273" t="n">
        <f aca="false">CZ53+IF(DA$4=SUP_CONTROL!$E$24,SUP_CONTROL!$C$24,0)</f>
        <v>7706376.10899679</v>
      </c>
      <c r="DB16" s="273" t="n">
        <f aca="false">DA53+IF(DB$4=SUP_CONTROL!$E$24,SUP_CONTROL!$C$24,0)</f>
        <v>7977411.21248622</v>
      </c>
      <c r="DC16" s="273" t="n">
        <f aca="false">DB53+IF(DC$4=SUP_CONTROL!$E$24,SUP_CONTROL!$C$24,0)</f>
        <v>8248446.31597566</v>
      </c>
      <c r="DD16" s="273" t="n">
        <f aca="false">DC53+IF(DD$4=SUP_CONTROL!$E$24,SUP_CONTROL!$C$24,0)</f>
        <v>8519481.4194651</v>
      </c>
      <c r="DE16" s="273" t="n">
        <f aca="false">DD53+IF(DE$4=SUP_CONTROL!$E$24,SUP_CONTROL!$C$24,0)</f>
        <v>8790516.52295454</v>
      </c>
      <c r="DF16" s="273" t="n">
        <f aca="false">DE53+IF(DF$4=SUP_CONTROL!$E$24,SUP_CONTROL!$C$24,0)</f>
        <v>9061551.62644398</v>
      </c>
      <c r="DG16" s="273" t="n">
        <f aca="false">DF53+IF(DG$4=SUP_CONTROL!$E$24,SUP_CONTROL!$C$24,0)</f>
        <v>9332586.72993342</v>
      </c>
      <c r="DH16" s="273" t="n">
        <f aca="false">DG53+IF(DH$4=SUP_CONTROL!$E$24,SUP_CONTROL!$C$24,0)</f>
        <v>9603621.83342285</v>
      </c>
      <c r="DI16" s="273" t="n">
        <f aca="false">DH53+IF(DI$4=SUP_CONTROL!$E$24,SUP_CONTROL!$C$24,0)</f>
        <v>9874656.93691229</v>
      </c>
      <c r="DJ16" s="273" t="n">
        <f aca="false">DI53+IF(DJ$4=SUP_CONTROL!$E$24,SUP_CONTROL!$C$24,0)</f>
        <v>10145692.0404017</v>
      </c>
      <c r="DK16" s="273" t="n">
        <f aca="false">DJ53+IF(DK$4=SUP_CONTROL!$E$24,SUP_CONTROL!$C$24,0)</f>
        <v>10416727.1438912</v>
      </c>
      <c r="DL16" s="273" t="n">
        <f aca="false">DK53+IF(DL$4=SUP_CONTROL!$E$24,SUP_CONTROL!$C$24,0)</f>
        <v>10687762.2473806</v>
      </c>
      <c r="DM16" s="273" t="n">
        <f aca="false">DL53+IF(DM$4=SUP_CONTROL!$E$24,SUP_CONTROL!$C$24,0)</f>
        <v>10958797.35087</v>
      </c>
      <c r="DN16" s="273" t="n">
        <f aca="false">DM53+IF(DN$4=SUP_CONTROL!$E$24,SUP_CONTROL!$C$24,0)</f>
        <v>11229832.4543595</v>
      </c>
      <c r="DO16" s="273" t="n">
        <f aca="false">DN53+IF(DO$4=SUP_CONTROL!$E$24,SUP_CONTROL!$C$24,0)</f>
        <v>11500867.5578489</v>
      </c>
      <c r="DP16" s="273" t="n">
        <f aca="false">DO53+IF(DP$4=SUP_CONTROL!$E$24,SUP_CONTROL!$C$24,0)</f>
        <v>11771902.6613384</v>
      </c>
      <c r="DQ16" s="273" t="n">
        <f aca="false">DP53+IF(DQ$4=SUP_CONTROL!$E$24,SUP_CONTROL!$C$24,0)</f>
        <v>12042937.7648278</v>
      </c>
      <c r="DR16" s="273" t="n">
        <f aca="false">DQ53+IF(DR$4=SUP_CONTROL!$E$24,SUP_CONTROL!$C$24,0)</f>
        <v>12313972.8683172</v>
      </c>
      <c r="DS16" s="273" t="n">
        <f aca="false">DR53+IF(DS$4=SUP_CONTROL!$E$24,SUP_CONTROL!$C$24,0)</f>
        <v>12585007.9718067</v>
      </c>
    </row>
    <row r="17" customFormat="false" ht="15" hidden="false" customHeight="true" outlineLevel="0" collapsed="false">
      <c r="B17" s="178" t="s">
        <v>3524</v>
      </c>
      <c r="D17" s="268" t="n">
        <f aca="false">0</f>
        <v>0</v>
      </c>
      <c r="E17" s="268" t="n">
        <f aca="false">MAX(0,E16-D14)</f>
        <v>0</v>
      </c>
      <c r="F17" s="268" t="n">
        <f aca="false">MAX(0,F16-E14)</f>
        <v>0</v>
      </c>
      <c r="G17" s="268" t="n">
        <f aca="false">MAX(0,G16-F14)</f>
        <v>0</v>
      </c>
      <c r="H17" s="268" t="n">
        <f aca="false">MAX(0,H16-G14)</f>
        <v>0</v>
      </c>
      <c r="I17" s="268" t="n">
        <f aca="false">MAX(0,I16-H14)</f>
        <v>0</v>
      </c>
      <c r="J17" s="268" t="n">
        <f aca="false">MAX(0,J16-I14)</f>
        <v>0</v>
      </c>
      <c r="K17" s="268" t="n">
        <f aca="false">MAX(0,K16-J14)</f>
        <v>0</v>
      </c>
      <c r="L17" s="268" t="n">
        <f aca="false">MAX(0,L16-K14)</f>
        <v>0</v>
      </c>
      <c r="M17" s="268" t="n">
        <f aca="false">MAX(0,M16-L14)</f>
        <v>0</v>
      </c>
      <c r="N17" s="268" t="n">
        <f aca="false">MAX(0,N16-M14)</f>
        <v>0</v>
      </c>
      <c r="O17" s="268" t="n">
        <f aca="false">MAX(0,O16-N14)</f>
        <v>0</v>
      </c>
      <c r="P17" s="268" t="n">
        <f aca="false">MAX(0,P16-O14)</f>
        <v>0</v>
      </c>
      <c r="Q17" s="268" t="n">
        <f aca="false">MAX(0,Q16-P14)</f>
        <v>38683.6364460626</v>
      </c>
      <c r="R17" s="268" t="n">
        <f aca="false">MAX(0,R16-Q14)</f>
        <v>92700.7803552159</v>
      </c>
      <c r="S17" s="268" t="n">
        <f aca="false">MAX(0,S16-R14)</f>
        <v>146717.924264369</v>
      </c>
      <c r="T17" s="268" t="n">
        <f aca="false">MAX(0,T16-S14)</f>
        <v>101739.131173522</v>
      </c>
      <c r="U17" s="268" t="n">
        <f aca="false">MAX(0,U16-T14)</f>
        <v>56760.3380826757</v>
      </c>
      <c r="V17" s="268" t="n">
        <f aca="false">MAX(0,V16-U14)</f>
        <v>110777.481991829</v>
      </c>
      <c r="W17" s="268" t="n">
        <f aca="false">MAX(0,W16-V14)</f>
        <v>26432.7182138676</v>
      </c>
      <c r="X17" s="268" t="n">
        <f aca="false">MAX(0,X16-W14)</f>
        <v>40557.5561387637</v>
      </c>
      <c r="Y17" s="268" t="n">
        <f aca="false">MAX(0,Y16-X14)</f>
        <v>97252.617416634</v>
      </c>
      <c r="Z17" s="268" t="n">
        <f aca="false">MAX(0,Z16-Y14)</f>
        <v>115686.730468517</v>
      </c>
      <c r="AA17" s="268" t="n">
        <f aca="false">MAX(0,AA16-Z14)</f>
        <v>176687.018444752</v>
      </c>
      <c r="AB17" s="268" t="n">
        <f aca="false">MAX(0,AB16-AA14)</f>
        <v>244623.063562248</v>
      </c>
      <c r="AC17" s="268" t="n">
        <f aca="false">MAX(0,AC16-AB14)</f>
        <v>324031.852752323</v>
      </c>
      <c r="AD17" s="268" t="n">
        <f aca="false">MAX(0,AD16-AC14)</f>
        <v>399887.459756568</v>
      </c>
      <c r="AE17" s="268" t="n">
        <f aca="false">MAX(0,AE16-AD14)</f>
        <v>120195.328750145</v>
      </c>
      <c r="AF17" s="268" t="n">
        <f aca="false">MAX(0,AF16-AE14)</f>
        <v>191548.255743723</v>
      </c>
      <c r="AG17" s="268" t="n">
        <f aca="false">MAX(0,AG16-AF14)</f>
        <v>115608.741717009</v>
      </c>
      <c r="AH17" s="268" t="n">
        <f aca="false">MAX(0,AH16-AG14)</f>
        <v>91228.2950422138</v>
      </c>
      <c r="AI17" s="268" t="n">
        <f aca="false">MAX(0,AI16-AH14)</f>
        <v>162331.11060941</v>
      </c>
      <c r="AJ17" s="268" t="n">
        <f aca="false">MAX(0,AJ16-AI14)</f>
        <v>80808.5966258496</v>
      </c>
      <c r="AK17" s="268" t="n">
        <f aca="false">MAX(0,AK16-AJ14)</f>
        <v>113890.892052275</v>
      </c>
      <c r="AL17" s="268" t="n">
        <f aca="false">MAX(0,AL16-AK14)</f>
        <v>90608.6504087949</v>
      </c>
      <c r="AM17" s="268" t="n">
        <f aca="false">MAX(0,AM16-AL14)</f>
        <v>128632.661092466</v>
      </c>
      <c r="AN17" s="268" t="n">
        <f aca="false">MAX(0,AN16-AM14)</f>
        <v>209193.731137448</v>
      </c>
      <c r="AO17" s="268" t="n">
        <f aca="false">MAX(0,AO16-AN14)</f>
        <v>118393.630971463</v>
      </c>
      <c r="AP17" s="268" t="n">
        <f aca="false">MAX(0,AP16-AO14)</f>
        <v>109508.845264057</v>
      </c>
      <c r="AQ17" s="268" t="n">
        <f aca="false">MAX(0,AQ16-AP14)</f>
        <v>112651.792145988</v>
      </c>
      <c r="AR17" s="268" t="n">
        <f aca="false">MAX(0,AR16-AQ14)</f>
        <v>55225.5293475525</v>
      </c>
      <c r="AS17" s="268" t="n">
        <f aca="false">MAX(0,AS16-AR14)</f>
        <v>115997.131100564</v>
      </c>
      <c r="AT17" s="268" t="n">
        <f aca="false">MAX(0,AT16-AS14)</f>
        <v>180537.675732867</v>
      </c>
      <c r="AU17" s="268" t="n">
        <f aca="false">MAX(0,AU16-AT14)</f>
        <v>98773.4848944728</v>
      </c>
      <c r="AV17" s="268" t="n">
        <f aca="false">MAX(0,AV16-AU14)</f>
        <v>209234.974795532</v>
      </c>
      <c r="AW17" s="268" t="n">
        <f aca="false">MAX(0,AW16-AV14)</f>
        <v>226393.086833069</v>
      </c>
      <c r="AX17" s="268" t="n">
        <f aca="false">MAX(0,AX16-AW14)</f>
        <v>193524.250485729</v>
      </c>
      <c r="AY17" s="268" t="n">
        <f aca="false">MAX(0,AY16-AX14)</f>
        <v>316734.221335227</v>
      </c>
      <c r="AZ17" s="268" t="n">
        <f aca="false">MAX(0,AZ16-AY14)</f>
        <v>405702.589246381</v>
      </c>
      <c r="BA17" s="268" t="n">
        <f aca="false">MAX(0,BA16-AZ14)</f>
        <v>503879.567037701</v>
      </c>
      <c r="BB17" s="268" t="n">
        <f aca="false">MAX(0,BB16-BA14)</f>
        <v>641095.68716055</v>
      </c>
      <c r="BC17" s="268" t="n">
        <f aca="false">MAX(0,BC16-BB14)</f>
        <v>133692.519083303</v>
      </c>
      <c r="BD17" s="268" t="n">
        <f aca="false">MAX(0,BD16-BC14)</f>
        <v>267760.349132277</v>
      </c>
      <c r="BE17" s="268" t="n">
        <f aca="false">MAX(0,BE16-BD14)</f>
        <v>405465.191953163</v>
      </c>
      <c r="BF17" s="268" t="n">
        <f aca="false">MAX(0,BF16-BE14)</f>
        <v>543170.034774049</v>
      </c>
      <c r="BG17" s="268" t="n">
        <f aca="false">MAX(0,BG16-BF14)</f>
        <v>186638.002958306</v>
      </c>
      <c r="BH17" s="268" t="n">
        <f aca="false">MAX(0,BH16-BG14)</f>
        <v>223102.076451764</v>
      </c>
      <c r="BI17" s="268" t="n">
        <f aca="false">MAX(0,BI16-BH14)</f>
        <v>211269.645924929</v>
      </c>
      <c r="BJ17" s="268" t="n">
        <f aca="false">MAX(0,BJ16-BI14)</f>
        <v>131686.753028269</v>
      </c>
      <c r="BK17" s="268" t="n">
        <f aca="false">MAX(0,BK16-BJ14)</f>
        <v>133466.712545391</v>
      </c>
      <c r="BL17" s="268" t="n">
        <f aca="false">MAX(0,BL16-BK14)</f>
        <v>136684.059672436</v>
      </c>
      <c r="BM17" s="268" t="n">
        <f aca="false">MAX(0,BM16-BL14)</f>
        <v>248342.344044112</v>
      </c>
      <c r="BN17" s="268" t="n">
        <f aca="false">MAX(0,BN16-BM14)</f>
        <v>214931.728170564</v>
      </c>
      <c r="BO17" s="268" t="n">
        <f aca="false">MAX(0,BO16-BN14)</f>
        <v>234981.051263976</v>
      </c>
      <c r="BP17" s="268" t="n">
        <f aca="false">MAX(0,BP16-BO14)</f>
        <v>298265.562525279</v>
      </c>
      <c r="BQ17" s="268" t="n">
        <f aca="false">MAX(0,BQ16-BP14)</f>
        <v>315729.476472665</v>
      </c>
      <c r="BR17" s="268" t="n">
        <f aca="false">MAX(0,BR16-BQ14)</f>
        <v>315905.818257853</v>
      </c>
      <c r="BS17" s="268" t="n">
        <f aca="false">MAX(0,BS16-BR14)</f>
        <v>354557.925672614</v>
      </c>
      <c r="BT17" s="268" t="n">
        <f aca="false">MAX(0,BT16-BS14)</f>
        <v>394398.49356515</v>
      </c>
      <c r="BU17" s="268" t="n">
        <f aca="false">MAX(0,BU16-BT14)</f>
        <v>426196.402224451</v>
      </c>
      <c r="BV17" s="268" t="n">
        <f aca="false">MAX(0,BV16-BU14)</f>
        <v>429851.397330124</v>
      </c>
      <c r="BW17" s="268" t="n">
        <f aca="false">MAX(0,BW16-BV14)</f>
        <v>587186.039279992</v>
      </c>
      <c r="BX17" s="268" t="n">
        <f aca="false">MAX(0,BX16-BW14)</f>
        <v>256607.231484419</v>
      </c>
      <c r="BY17" s="268" t="n">
        <f aca="false">MAX(0,BY16-BX14)</f>
        <v>325394.320873049</v>
      </c>
      <c r="BZ17" s="268" t="n">
        <f aca="false">MAX(0,BZ16-BY14)</f>
        <v>440073.549577341</v>
      </c>
      <c r="CA17" s="268" t="n">
        <f aca="false">MAX(0,CA16-BZ14)</f>
        <v>446892.708903136</v>
      </c>
      <c r="CB17" s="268" t="n">
        <f aca="false">MAX(0,CB16-CA14)</f>
        <v>486655.147995217</v>
      </c>
      <c r="CC17" s="268" t="n">
        <f aca="false">MAX(0,CC16-CB14)</f>
        <v>599603.240976351</v>
      </c>
      <c r="CD17" s="268" t="n">
        <f aca="false">MAX(0,CD16-CC14)</f>
        <v>687997.555644534</v>
      </c>
      <c r="CE17" s="268" t="n">
        <f aca="false">MAX(0,CE16-CD14)</f>
        <v>770635.935146466</v>
      </c>
      <c r="CF17" s="268" t="n">
        <f aca="false">MAX(0,CF16-CE14)</f>
        <v>824751.522313687</v>
      </c>
      <c r="CG17" s="268" t="n">
        <f aca="false">MAX(0,CG16-CF14)</f>
        <v>933621.589441341</v>
      </c>
      <c r="CH17" s="268" t="n">
        <f aca="false">MAX(0,CH16-CG14)</f>
        <v>1043110.38053027</v>
      </c>
      <c r="CI17" s="268" t="n">
        <f aca="false">MAX(0,CI16-CH14)</f>
        <v>658763.756999347</v>
      </c>
      <c r="CJ17" s="268" t="n">
        <f aca="false">MAX(0,CJ16-CI14)</f>
        <v>879044.528569661</v>
      </c>
      <c r="CK17" s="268" t="n">
        <f aca="false">MAX(0,CK16-CJ14)</f>
        <v>1120746.6686937</v>
      </c>
      <c r="CL17" s="268" t="n">
        <f aca="false">MAX(0,CL16-CK14)</f>
        <v>1387545.24441216</v>
      </c>
      <c r="CM17" s="268" t="n">
        <f aca="false">MAX(0,CM16-CL14)</f>
        <v>1657393.043859</v>
      </c>
      <c r="CN17" s="268" t="n">
        <f aca="false">MAX(0,CN16-CM14)</f>
        <v>1928428.14734844</v>
      </c>
      <c r="CO17" s="268" t="n">
        <f aca="false">MAX(0,CO16-CN14)</f>
        <v>2199463.25083788</v>
      </c>
      <c r="CP17" s="268" t="n">
        <f aca="false">MAX(0,CP16-CO14)</f>
        <v>2470498.35432732</v>
      </c>
      <c r="CQ17" s="268" t="n">
        <f aca="false">MAX(0,CQ16-CP14)</f>
        <v>2741533.45781676</v>
      </c>
      <c r="CR17" s="268" t="n">
        <f aca="false">MAX(0,CR16-CQ14)</f>
        <v>3012568.56130619</v>
      </c>
      <c r="CS17" s="268" t="n">
        <f aca="false">MAX(0,CS16-CR14)</f>
        <v>3283603.66479563</v>
      </c>
      <c r="CT17" s="268" t="n">
        <f aca="false">MAX(0,CT16-CS14)</f>
        <v>3554638.76828507</v>
      </c>
      <c r="CU17" s="268" t="n">
        <f aca="false">MAX(0,CU16-CT14)</f>
        <v>3825673.87177451</v>
      </c>
      <c r="CV17" s="268" t="n">
        <f aca="false">MAX(0,CV16-CU14)</f>
        <v>4096708.97526395</v>
      </c>
      <c r="CW17" s="268" t="n">
        <f aca="false">MAX(0,CW16-CV14)</f>
        <v>4367744.07875338</v>
      </c>
      <c r="CX17" s="268" t="n">
        <f aca="false">MAX(0,CX16-CW14)</f>
        <v>4638779.18224282</v>
      </c>
      <c r="CY17" s="268" t="n">
        <f aca="false">MAX(0,CY16-CX14)</f>
        <v>4909814.28573226</v>
      </c>
      <c r="CZ17" s="268" t="n">
        <f aca="false">MAX(0,CZ16-CY14)</f>
        <v>5180849.3892217</v>
      </c>
      <c r="DA17" s="268" t="n">
        <f aca="false">MAX(0,DA16-CZ14)</f>
        <v>5451884.49271114</v>
      </c>
      <c r="DB17" s="268" t="n">
        <f aca="false">MAX(0,DB16-DA14)</f>
        <v>5722919.59620057</v>
      </c>
      <c r="DC17" s="268" t="n">
        <f aca="false">MAX(0,DC16-DB14)</f>
        <v>5993954.69969001</v>
      </c>
      <c r="DD17" s="268" t="n">
        <f aca="false">MAX(0,DD16-DC14)</f>
        <v>6264989.80317945</v>
      </c>
      <c r="DE17" s="268" t="n">
        <f aca="false">MAX(0,DE16-DD14)</f>
        <v>6536024.90666889</v>
      </c>
      <c r="DF17" s="268" t="n">
        <f aca="false">MAX(0,DF16-DE14)</f>
        <v>6807060.01015833</v>
      </c>
      <c r="DG17" s="268" t="n">
        <f aca="false">MAX(0,DG16-DF14)</f>
        <v>7078095.11364777</v>
      </c>
      <c r="DH17" s="268" t="n">
        <f aca="false">MAX(0,DH16-DG14)</f>
        <v>7349130.2171372</v>
      </c>
      <c r="DI17" s="268" t="n">
        <f aca="false">MAX(0,DI16-DH14)</f>
        <v>7620165.32062664</v>
      </c>
      <c r="DJ17" s="268" t="n">
        <f aca="false">MAX(0,DJ16-DI14)</f>
        <v>7891200.42411608</v>
      </c>
      <c r="DK17" s="268" t="n">
        <f aca="false">MAX(0,DK16-DJ14)</f>
        <v>8162235.52760552</v>
      </c>
      <c r="DL17" s="268" t="n">
        <f aca="false">MAX(0,DL16-DK14)</f>
        <v>8433270.63109496</v>
      </c>
      <c r="DM17" s="268" t="n">
        <f aca="false">MAX(0,DM16-DL14)</f>
        <v>8704305.73458439</v>
      </c>
      <c r="DN17" s="268" t="n">
        <f aca="false">MAX(0,DN16-DM14)</f>
        <v>8975340.83807383</v>
      </c>
      <c r="DO17" s="268" t="n">
        <f aca="false">MAX(0,DO16-DN14)</f>
        <v>9246375.94156327</v>
      </c>
      <c r="DP17" s="268" t="n">
        <f aca="false">MAX(0,DP16-DO14)</f>
        <v>9517411.04505271</v>
      </c>
      <c r="DQ17" s="268" t="n">
        <f aca="false">MAX(0,DQ16-DP14)</f>
        <v>9788446.14854215</v>
      </c>
      <c r="DR17" s="268" t="n">
        <f aca="false">MAX(0,DR16-DQ14)</f>
        <v>10059481.2520316</v>
      </c>
      <c r="DS17" s="268" t="n">
        <f aca="false">MAX(0,DS16-DR14)</f>
        <v>10330516.355521</v>
      </c>
    </row>
    <row r="18" customFormat="false" ht="15" hidden="false" customHeight="true" outlineLevel="0" collapsed="false">
      <c r="A18" s="186" t="s">
        <v>3525</v>
      </c>
      <c r="B18" s="25"/>
      <c r="C18" s="25"/>
    </row>
    <row r="19" customFormat="false" ht="15" hidden="false" customHeight="true" outlineLevel="0" collapsed="false">
      <c r="B19" s="297" t="s">
        <v>3526</v>
      </c>
      <c r="D19" s="298" t="n">
        <f aca="false">0</f>
        <v>0</v>
      </c>
      <c r="E19" s="298" t="n">
        <f aca="false">IF(AND(SUP_CONTROL!$C$13=1,SUM($C$19:D$19)=0,PROD_DEMANDA!D13&gt;=SUP_PRODUCCION!$C$67,E17&gt;=SUP_PRODUCCION!$C$91),1,0)</f>
        <v>0</v>
      </c>
      <c r="F19" s="298" t="n">
        <f aca="false">IF(AND(SUP_CONTROL!$C$13=1,SUM($C$19:E$19)=0,PROD_DEMANDA!E13&gt;=SUP_PRODUCCION!$C$67,F17&gt;=SUP_PRODUCCION!$C$91),1,0)</f>
        <v>0</v>
      </c>
      <c r="G19" s="298" t="n">
        <f aca="false">IF(AND(SUP_CONTROL!$C$13=1,SUM($C$19:F$19)=0,PROD_DEMANDA!F13&gt;=SUP_PRODUCCION!$C$67,G17&gt;=SUP_PRODUCCION!$C$91),1,0)</f>
        <v>0</v>
      </c>
      <c r="H19" s="298" t="n">
        <f aca="false">IF(AND(SUP_CONTROL!$C$13=1,SUM($C$19:G$19)=0,PROD_DEMANDA!G13&gt;=SUP_PRODUCCION!$C$67,H17&gt;=SUP_PRODUCCION!$C$91),1,0)</f>
        <v>0</v>
      </c>
      <c r="I19" s="298" t="n">
        <f aca="false">IF(AND(SUP_CONTROL!$C$13=1,SUM($C$19:H$19)=0,PROD_DEMANDA!H13&gt;=SUP_PRODUCCION!$C$67,I17&gt;=SUP_PRODUCCION!$C$91),1,0)</f>
        <v>0</v>
      </c>
      <c r="J19" s="298" t="n">
        <f aca="false">IF(AND(SUP_CONTROL!$C$13=1,SUM($C$19:I$19)=0,PROD_DEMANDA!I13&gt;=SUP_PRODUCCION!$C$67,J17&gt;=SUP_PRODUCCION!$C$91),1,0)</f>
        <v>0</v>
      </c>
      <c r="K19" s="298" t="n">
        <f aca="false">IF(AND(SUP_CONTROL!$C$13=1,SUM($C$19:J$19)=0,PROD_DEMANDA!J13&gt;=SUP_PRODUCCION!$C$67,K17&gt;=SUP_PRODUCCION!$C$91),1,0)</f>
        <v>0</v>
      </c>
      <c r="L19" s="298" t="n">
        <f aca="false">IF(AND(SUP_CONTROL!$C$13=1,SUM($C$19:K$19)=0,PROD_DEMANDA!K13&gt;=SUP_PRODUCCION!$C$67,L17&gt;=SUP_PRODUCCION!$C$91),1,0)</f>
        <v>0</v>
      </c>
      <c r="M19" s="298" t="n">
        <f aca="false">IF(AND(SUP_CONTROL!$C$13=1,SUM($C$19:L$19)=0,PROD_DEMANDA!L13&gt;=SUP_PRODUCCION!$C$67,M17&gt;=SUP_PRODUCCION!$C$91),1,0)</f>
        <v>0</v>
      </c>
      <c r="N19" s="298" t="n">
        <f aca="false">IF(AND(SUP_CONTROL!$C$13=1,SUM($C$19:M$19)=0,PROD_DEMANDA!M13&gt;=SUP_PRODUCCION!$C$67,N17&gt;=SUP_PRODUCCION!$C$91),1,0)</f>
        <v>0</v>
      </c>
      <c r="O19" s="298" t="n">
        <f aca="false">IF(AND(SUP_CONTROL!$C$13=1,SUM($C$19:N$19)=0,PROD_DEMANDA!N13&gt;=SUP_PRODUCCION!$C$67,O17&gt;=SUP_PRODUCCION!$C$91),1,0)</f>
        <v>0</v>
      </c>
      <c r="P19" s="298" t="n">
        <f aca="false">IF(AND(SUP_CONTROL!$C$13=1,SUM($C$19:O$19)=0,PROD_DEMANDA!O13&gt;=SUP_PRODUCCION!$C$67,P17&gt;=SUP_PRODUCCION!$C$91),1,0)</f>
        <v>0</v>
      </c>
      <c r="Q19" s="298" t="n">
        <f aca="false">IF(AND(SUP_CONTROL!$C$13=1,SUM($C$19:P$19)=0,PROD_DEMANDA!P13&gt;=SUP_PRODUCCION!$C$67,Q17&gt;=SUP_PRODUCCION!$C$91),1,0)</f>
        <v>0</v>
      </c>
      <c r="R19" s="298" t="n">
        <f aca="false">IF(AND(SUP_CONTROL!$C$13=1,SUM($C$19:Q$19)=0,PROD_DEMANDA!Q13&gt;=SUP_PRODUCCION!$C$67,R17&gt;=SUP_PRODUCCION!$C$91),1,0)</f>
        <v>0</v>
      </c>
      <c r="S19" s="298" t="n">
        <f aca="false">IF(AND(SUP_CONTROL!$C$13=1,SUM($C$19:R$19)=0,PROD_DEMANDA!R13&gt;=SUP_PRODUCCION!$C$67,S17&gt;=SUP_PRODUCCION!$C$91),1,0)</f>
        <v>0</v>
      </c>
      <c r="T19" s="298" t="n">
        <f aca="false">IF(AND(SUP_CONTROL!$C$13=1,SUM($C$19:S$19)=0,PROD_DEMANDA!S13&gt;=SUP_PRODUCCION!$C$67,T17&gt;=SUP_PRODUCCION!$C$91),1,0)</f>
        <v>0</v>
      </c>
      <c r="U19" s="298" t="n">
        <f aca="false">IF(AND(SUP_CONTROL!$C$13=1,SUM($C$19:T$19)=0,PROD_DEMANDA!T13&gt;=SUP_PRODUCCION!$C$67,U17&gt;=SUP_PRODUCCION!$C$91),1,0)</f>
        <v>0</v>
      </c>
      <c r="V19" s="298" t="n">
        <f aca="false">IF(AND(SUP_CONTROL!$C$13=1,SUM($C$19:U$19)=0,PROD_DEMANDA!U13&gt;=SUP_PRODUCCION!$C$67,V17&gt;=SUP_PRODUCCION!$C$91),1,0)</f>
        <v>0</v>
      </c>
      <c r="W19" s="298" t="n">
        <f aca="false">IF(AND(SUP_CONTROL!$C$13=1,SUM($C$19:V$19)=0,PROD_DEMANDA!V13&gt;=SUP_PRODUCCION!$C$67,W17&gt;=SUP_PRODUCCION!$C$91),1,0)</f>
        <v>0</v>
      </c>
      <c r="X19" s="298" t="n">
        <f aca="false">IF(AND(SUP_CONTROL!$C$13=1,SUM($C$19:W$19)=0,PROD_DEMANDA!W13&gt;=SUP_PRODUCCION!$C$67,X17&gt;=SUP_PRODUCCION!$C$91),1,0)</f>
        <v>0</v>
      </c>
      <c r="Y19" s="298" t="n">
        <f aca="false">IF(AND(SUP_CONTROL!$C$13=1,SUM($C$19:X$19)=0,PROD_DEMANDA!X13&gt;=SUP_PRODUCCION!$C$67,Y17&gt;=SUP_PRODUCCION!$C$91),1,0)</f>
        <v>0</v>
      </c>
      <c r="Z19" s="298" t="n">
        <f aca="false">IF(AND(SUP_CONTROL!$C$13=1,SUM($C$19:Y$19)=0,PROD_DEMANDA!Y13&gt;=SUP_PRODUCCION!$C$67,Z17&gt;=SUP_PRODUCCION!$C$91),1,0)</f>
        <v>0</v>
      </c>
      <c r="AA19" s="298" t="n">
        <f aca="false">IF(AND(SUP_CONTROL!$C$13=1,SUM($C$19:Z$19)=0,PROD_DEMANDA!Z13&gt;=SUP_PRODUCCION!$C$67,AA17&gt;=SUP_PRODUCCION!$C$91),1,0)</f>
        <v>0</v>
      </c>
      <c r="AB19" s="298" t="n">
        <f aca="false">IF(AND(SUP_CONTROL!$C$13=1,SUM($C$19:AA$19)=0,PROD_DEMANDA!AA13&gt;=SUP_PRODUCCION!$C$67,AB17&gt;=SUP_PRODUCCION!$C$91),1,0)</f>
        <v>0</v>
      </c>
      <c r="AC19" s="298" t="n">
        <f aca="false">IF(AND(SUP_CONTROL!$C$13=1,SUM($C$19:AB$19)=0,PROD_DEMANDA!AB13&gt;=SUP_PRODUCCION!$C$67,AC17&gt;=SUP_PRODUCCION!$C$91),1,0)</f>
        <v>0</v>
      </c>
      <c r="AD19" s="298" t="n">
        <f aca="false">IF(AND(SUP_CONTROL!$C$13=1,SUM($C$19:AC$19)=0,PROD_DEMANDA!AC13&gt;=SUP_PRODUCCION!$C$67,AD17&gt;=SUP_PRODUCCION!$C$91),1,0)</f>
        <v>1</v>
      </c>
      <c r="AE19" s="298" t="n">
        <f aca="false">IF(AND(SUP_CONTROL!$C$13=1,SUM($C$19:AD$19)=0,PROD_DEMANDA!AD13&gt;=SUP_PRODUCCION!$C$67,AE17&gt;=SUP_PRODUCCION!$C$91),1,0)</f>
        <v>0</v>
      </c>
      <c r="AF19" s="298" t="n">
        <f aca="false">IF(AND(SUP_CONTROL!$C$13=1,SUM($C$19:AE$19)=0,PROD_DEMANDA!AE13&gt;=SUP_PRODUCCION!$C$67,AF17&gt;=SUP_PRODUCCION!$C$91),1,0)</f>
        <v>0</v>
      </c>
      <c r="AG19" s="298" t="n">
        <f aca="false">IF(AND(SUP_CONTROL!$C$13=1,SUM($C$19:AF$19)=0,PROD_DEMANDA!AF13&gt;=SUP_PRODUCCION!$C$67,AG17&gt;=SUP_PRODUCCION!$C$91),1,0)</f>
        <v>0</v>
      </c>
      <c r="AH19" s="298" t="n">
        <f aca="false">IF(AND(SUP_CONTROL!$C$13=1,SUM($C$19:AG$19)=0,PROD_DEMANDA!AG13&gt;=SUP_PRODUCCION!$C$67,AH17&gt;=SUP_PRODUCCION!$C$91),1,0)</f>
        <v>0</v>
      </c>
      <c r="AI19" s="298" t="n">
        <f aca="false">IF(AND(SUP_CONTROL!$C$13=1,SUM($C$19:AH$19)=0,PROD_DEMANDA!AH13&gt;=SUP_PRODUCCION!$C$67,AI17&gt;=SUP_PRODUCCION!$C$91),1,0)</f>
        <v>0</v>
      </c>
      <c r="AJ19" s="298" t="n">
        <f aca="false">IF(AND(SUP_CONTROL!$C$13=1,SUM($C$19:AI$19)=0,PROD_DEMANDA!AI13&gt;=SUP_PRODUCCION!$C$67,AJ17&gt;=SUP_PRODUCCION!$C$91),1,0)</f>
        <v>0</v>
      </c>
      <c r="AK19" s="298" t="n">
        <f aca="false">IF(AND(SUP_CONTROL!$C$13=1,SUM($C$19:AJ$19)=0,PROD_DEMANDA!AJ13&gt;=SUP_PRODUCCION!$C$67,AK17&gt;=SUP_PRODUCCION!$C$91),1,0)</f>
        <v>0</v>
      </c>
      <c r="AL19" s="298" t="n">
        <f aca="false">IF(AND(SUP_CONTROL!$C$13=1,SUM($C$19:AK$19)=0,PROD_DEMANDA!AK13&gt;=SUP_PRODUCCION!$C$67,AL17&gt;=SUP_PRODUCCION!$C$91),1,0)</f>
        <v>0</v>
      </c>
      <c r="AM19" s="298" t="n">
        <f aca="false">IF(AND(SUP_CONTROL!$C$13=1,SUM($C$19:AL$19)=0,PROD_DEMANDA!AL13&gt;=SUP_PRODUCCION!$C$67,AM17&gt;=SUP_PRODUCCION!$C$91),1,0)</f>
        <v>0</v>
      </c>
      <c r="AN19" s="298" t="n">
        <f aca="false">IF(AND(SUP_CONTROL!$C$13=1,SUM($C$19:AM$19)=0,PROD_DEMANDA!AM13&gt;=SUP_PRODUCCION!$C$67,AN17&gt;=SUP_PRODUCCION!$C$91),1,0)</f>
        <v>0</v>
      </c>
      <c r="AO19" s="298" t="n">
        <f aca="false">IF(AND(SUP_CONTROL!$C$13=1,SUM($C$19:AN$19)=0,PROD_DEMANDA!AN13&gt;=SUP_PRODUCCION!$C$67,AO17&gt;=SUP_PRODUCCION!$C$91),1,0)</f>
        <v>0</v>
      </c>
      <c r="AP19" s="298" t="n">
        <f aca="false">IF(AND(SUP_CONTROL!$C$13=1,SUM($C$19:AO$19)=0,PROD_DEMANDA!AO13&gt;=SUP_PRODUCCION!$C$67,AP17&gt;=SUP_PRODUCCION!$C$91),1,0)</f>
        <v>0</v>
      </c>
      <c r="AQ19" s="298" t="n">
        <f aca="false">IF(AND(SUP_CONTROL!$C$13=1,SUM($C$19:AP$19)=0,PROD_DEMANDA!AP13&gt;=SUP_PRODUCCION!$C$67,AQ17&gt;=SUP_PRODUCCION!$C$91),1,0)</f>
        <v>0</v>
      </c>
      <c r="AR19" s="298" t="n">
        <f aca="false">IF(AND(SUP_CONTROL!$C$13=1,SUM($C$19:AQ$19)=0,PROD_DEMANDA!AQ13&gt;=SUP_PRODUCCION!$C$67,AR17&gt;=SUP_PRODUCCION!$C$91),1,0)</f>
        <v>0</v>
      </c>
      <c r="AS19" s="298" t="n">
        <f aca="false">IF(AND(SUP_CONTROL!$C$13=1,SUM($C$19:AR$19)=0,PROD_DEMANDA!AR13&gt;=SUP_PRODUCCION!$C$67,AS17&gt;=SUP_PRODUCCION!$C$91),1,0)</f>
        <v>0</v>
      </c>
      <c r="AT19" s="298" t="n">
        <f aca="false">IF(AND(SUP_CONTROL!$C$13=1,SUM($C$19:AS$19)=0,PROD_DEMANDA!AS13&gt;=SUP_PRODUCCION!$C$67,AT17&gt;=SUP_PRODUCCION!$C$91),1,0)</f>
        <v>0</v>
      </c>
      <c r="AU19" s="298" t="n">
        <f aca="false">IF(AND(SUP_CONTROL!$C$13=1,SUM($C$19:AT$19)=0,PROD_DEMANDA!AT13&gt;=SUP_PRODUCCION!$C$67,AU17&gt;=SUP_PRODUCCION!$C$91),1,0)</f>
        <v>0</v>
      </c>
      <c r="AV19" s="298" t="n">
        <f aca="false">IF(AND(SUP_CONTROL!$C$13=1,SUM($C$19:AU$19)=0,PROD_DEMANDA!AU13&gt;=SUP_PRODUCCION!$C$67,AV17&gt;=SUP_PRODUCCION!$C$91),1,0)</f>
        <v>0</v>
      </c>
      <c r="AW19" s="298" t="n">
        <f aca="false">IF(AND(SUP_CONTROL!$C$13=1,SUM($C$19:AV$19)=0,PROD_DEMANDA!AV13&gt;=SUP_PRODUCCION!$C$67,AW17&gt;=SUP_PRODUCCION!$C$91),1,0)</f>
        <v>0</v>
      </c>
      <c r="AX19" s="298" t="n">
        <f aca="false">IF(AND(SUP_CONTROL!$C$13=1,SUM($C$19:AW$19)=0,PROD_DEMANDA!AW13&gt;=SUP_PRODUCCION!$C$67,AX17&gt;=SUP_PRODUCCION!$C$91),1,0)</f>
        <v>0</v>
      </c>
      <c r="AY19" s="298" t="n">
        <f aca="false">IF(AND(SUP_CONTROL!$C$13=1,SUM($C$19:AX$19)=0,PROD_DEMANDA!AX13&gt;=SUP_PRODUCCION!$C$67,AY17&gt;=SUP_PRODUCCION!$C$91),1,0)</f>
        <v>0</v>
      </c>
      <c r="AZ19" s="298" t="n">
        <f aca="false">IF(AND(SUP_CONTROL!$C$13=1,SUM($C$19:AY$19)=0,PROD_DEMANDA!AY13&gt;=SUP_PRODUCCION!$C$67,AZ17&gt;=SUP_PRODUCCION!$C$91),1,0)</f>
        <v>0</v>
      </c>
      <c r="BA19" s="298" t="n">
        <f aca="false">IF(AND(SUP_CONTROL!$C$13=1,SUM($C$19:AZ$19)=0,PROD_DEMANDA!AZ13&gt;=SUP_PRODUCCION!$C$67,BA17&gt;=SUP_PRODUCCION!$C$91),1,0)</f>
        <v>0</v>
      </c>
      <c r="BB19" s="298" t="n">
        <f aca="false">IF(AND(SUP_CONTROL!$C$13=1,SUM($C$19:BA$19)=0,PROD_DEMANDA!BA13&gt;=SUP_PRODUCCION!$C$67,BB17&gt;=SUP_PRODUCCION!$C$91),1,0)</f>
        <v>0</v>
      </c>
      <c r="BC19" s="298" t="n">
        <f aca="false">IF(AND(SUP_CONTROL!$C$13=1,SUM($C$19:BB$19)=0,PROD_DEMANDA!BB13&gt;=SUP_PRODUCCION!$C$67,BC17&gt;=SUP_PRODUCCION!$C$91),1,0)</f>
        <v>0</v>
      </c>
      <c r="BD19" s="298" t="n">
        <f aca="false">IF(AND(SUP_CONTROL!$C$13=1,SUM($C$19:BC$19)=0,PROD_DEMANDA!BC13&gt;=SUP_PRODUCCION!$C$67,BD17&gt;=SUP_PRODUCCION!$C$91),1,0)</f>
        <v>0</v>
      </c>
      <c r="BE19" s="298" t="n">
        <f aca="false">IF(AND(SUP_CONTROL!$C$13=1,SUM($C$19:BD$19)=0,PROD_DEMANDA!BD13&gt;=SUP_PRODUCCION!$C$67,BE17&gt;=SUP_PRODUCCION!$C$91),1,0)</f>
        <v>0</v>
      </c>
      <c r="BF19" s="298" t="n">
        <f aca="false">IF(AND(SUP_CONTROL!$C$13=1,SUM($C$19:BE$19)=0,PROD_DEMANDA!BE13&gt;=SUP_PRODUCCION!$C$67,BF17&gt;=SUP_PRODUCCION!$C$91),1,0)</f>
        <v>0</v>
      </c>
      <c r="BG19" s="298" t="n">
        <f aca="false">IF(AND(SUP_CONTROL!$C$13=1,SUM($C$19:BF$19)=0,PROD_DEMANDA!BF13&gt;=SUP_PRODUCCION!$C$67,BG17&gt;=SUP_PRODUCCION!$C$91),1,0)</f>
        <v>0</v>
      </c>
      <c r="BH19" s="298" t="n">
        <f aca="false">IF(AND(SUP_CONTROL!$C$13=1,SUM($C$19:BG$19)=0,PROD_DEMANDA!BG13&gt;=SUP_PRODUCCION!$C$67,BH17&gt;=SUP_PRODUCCION!$C$91),1,0)</f>
        <v>0</v>
      </c>
      <c r="BI19" s="298" t="n">
        <f aca="false">IF(AND(SUP_CONTROL!$C$13=1,SUM($C$19:BH$19)=0,PROD_DEMANDA!BH13&gt;=SUP_PRODUCCION!$C$67,BI17&gt;=SUP_PRODUCCION!$C$91),1,0)</f>
        <v>0</v>
      </c>
      <c r="BJ19" s="298" t="n">
        <f aca="false">IF(AND(SUP_CONTROL!$C$13=1,SUM($C$19:BI$19)=0,PROD_DEMANDA!BI13&gt;=SUP_PRODUCCION!$C$67,BJ17&gt;=SUP_PRODUCCION!$C$91),1,0)</f>
        <v>0</v>
      </c>
      <c r="BK19" s="298" t="n">
        <f aca="false">IF(AND(SUP_CONTROL!$C$13=1,SUM($C$19:BJ$19)=0,PROD_DEMANDA!BJ13&gt;=SUP_PRODUCCION!$C$67,BK17&gt;=SUP_PRODUCCION!$C$91),1,0)</f>
        <v>0</v>
      </c>
      <c r="BL19" s="298" t="n">
        <f aca="false">IF(AND(SUP_CONTROL!$C$13=1,SUM($C$19:BK$19)=0,PROD_DEMANDA!BK13&gt;=SUP_PRODUCCION!$C$67,BL17&gt;=SUP_PRODUCCION!$C$91),1,0)</f>
        <v>0</v>
      </c>
      <c r="BM19" s="298" t="n">
        <f aca="false">IF(AND(SUP_CONTROL!$C$13=1,SUM($C$19:BL$19)=0,PROD_DEMANDA!BL13&gt;=SUP_PRODUCCION!$C$67,BM17&gt;=SUP_PRODUCCION!$C$91),1,0)</f>
        <v>0</v>
      </c>
      <c r="BN19" s="298" t="n">
        <f aca="false">IF(AND(SUP_CONTROL!$C$13=1,SUM($C$19:BM$19)=0,PROD_DEMANDA!BM13&gt;=SUP_PRODUCCION!$C$67,BN17&gt;=SUP_PRODUCCION!$C$91),1,0)</f>
        <v>0</v>
      </c>
      <c r="BO19" s="298" t="n">
        <f aca="false">IF(AND(SUP_CONTROL!$C$13=1,SUM($C$19:BN$19)=0,PROD_DEMANDA!BN13&gt;=SUP_PRODUCCION!$C$67,BO17&gt;=SUP_PRODUCCION!$C$91),1,0)</f>
        <v>0</v>
      </c>
      <c r="BP19" s="298" t="n">
        <f aca="false">IF(AND(SUP_CONTROL!$C$13=1,SUM($C$19:BO$19)=0,PROD_DEMANDA!BO13&gt;=SUP_PRODUCCION!$C$67,BP17&gt;=SUP_PRODUCCION!$C$91),1,0)</f>
        <v>0</v>
      </c>
      <c r="BQ19" s="298" t="n">
        <f aca="false">IF(AND(SUP_CONTROL!$C$13=1,SUM($C$19:BP$19)=0,PROD_DEMANDA!BP13&gt;=SUP_PRODUCCION!$C$67,BQ17&gt;=SUP_PRODUCCION!$C$91),1,0)</f>
        <v>0</v>
      </c>
      <c r="BR19" s="298" t="n">
        <f aca="false">IF(AND(SUP_CONTROL!$C$13=1,SUM($C$19:BQ$19)=0,PROD_DEMANDA!BQ13&gt;=SUP_PRODUCCION!$C$67,BR17&gt;=SUP_PRODUCCION!$C$91),1,0)</f>
        <v>0</v>
      </c>
      <c r="BS19" s="298" t="n">
        <f aca="false">IF(AND(SUP_CONTROL!$C$13=1,SUM($C$19:BR$19)=0,PROD_DEMANDA!BR13&gt;=SUP_PRODUCCION!$C$67,BS17&gt;=SUP_PRODUCCION!$C$91),1,0)</f>
        <v>0</v>
      </c>
      <c r="BT19" s="298" t="n">
        <f aca="false">IF(AND(SUP_CONTROL!$C$13=1,SUM($C$19:BS$19)=0,PROD_DEMANDA!BS13&gt;=SUP_PRODUCCION!$C$67,BT17&gt;=SUP_PRODUCCION!$C$91),1,0)</f>
        <v>0</v>
      </c>
      <c r="BU19" s="298" t="n">
        <f aca="false">IF(AND(SUP_CONTROL!$C$13=1,SUM($C$19:BT$19)=0,PROD_DEMANDA!BT13&gt;=SUP_PRODUCCION!$C$67,BU17&gt;=SUP_PRODUCCION!$C$91),1,0)</f>
        <v>0</v>
      </c>
      <c r="BV19" s="298" t="n">
        <f aca="false">IF(AND(SUP_CONTROL!$C$13=1,SUM($C$19:BU$19)=0,PROD_DEMANDA!BU13&gt;=SUP_PRODUCCION!$C$67,BV17&gt;=SUP_PRODUCCION!$C$91),1,0)</f>
        <v>0</v>
      </c>
      <c r="BW19" s="298" t="n">
        <f aca="false">IF(AND(SUP_CONTROL!$C$13=1,SUM($C$19:BV$19)=0,PROD_DEMANDA!BV13&gt;=SUP_PRODUCCION!$C$67,BW17&gt;=SUP_PRODUCCION!$C$91),1,0)</f>
        <v>0</v>
      </c>
      <c r="BX19" s="298" t="n">
        <f aca="false">IF(AND(SUP_CONTROL!$C$13=1,SUM($C$19:BW$19)=0,PROD_DEMANDA!BW13&gt;=SUP_PRODUCCION!$C$67,BX17&gt;=SUP_PRODUCCION!$C$91),1,0)</f>
        <v>0</v>
      </c>
      <c r="BY19" s="298" t="n">
        <f aca="false">IF(AND(SUP_CONTROL!$C$13=1,SUM($C$19:BX$19)=0,PROD_DEMANDA!BX13&gt;=SUP_PRODUCCION!$C$67,BY17&gt;=SUP_PRODUCCION!$C$91),1,0)</f>
        <v>0</v>
      </c>
      <c r="BZ19" s="298" t="n">
        <f aca="false">IF(AND(SUP_CONTROL!$C$13=1,SUM($C$19:BY$19)=0,PROD_DEMANDA!BY13&gt;=SUP_PRODUCCION!$C$67,BZ17&gt;=SUP_PRODUCCION!$C$91),1,0)</f>
        <v>0</v>
      </c>
      <c r="CA19" s="298" t="n">
        <f aca="false">IF(AND(SUP_CONTROL!$C$13=1,SUM($C$19:BZ$19)=0,PROD_DEMANDA!BZ13&gt;=SUP_PRODUCCION!$C$67,CA17&gt;=SUP_PRODUCCION!$C$91),1,0)</f>
        <v>0</v>
      </c>
      <c r="CB19" s="298" t="n">
        <f aca="false">IF(AND(SUP_CONTROL!$C$13=1,SUM($C$19:CA$19)=0,PROD_DEMANDA!CA13&gt;=SUP_PRODUCCION!$C$67,CB17&gt;=SUP_PRODUCCION!$C$91),1,0)</f>
        <v>0</v>
      </c>
      <c r="CC19" s="298" t="n">
        <f aca="false">IF(AND(SUP_CONTROL!$C$13=1,SUM($C$19:CB$19)=0,PROD_DEMANDA!CB13&gt;=SUP_PRODUCCION!$C$67,CC17&gt;=SUP_PRODUCCION!$C$91),1,0)</f>
        <v>0</v>
      </c>
      <c r="CD19" s="298" t="n">
        <f aca="false">IF(AND(SUP_CONTROL!$C$13=1,SUM($C$19:CC$19)=0,PROD_DEMANDA!CC13&gt;=SUP_PRODUCCION!$C$67,CD17&gt;=SUP_PRODUCCION!$C$91),1,0)</f>
        <v>0</v>
      </c>
      <c r="CE19" s="298" t="n">
        <f aca="false">IF(AND(SUP_CONTROL!$C$13=1,SUM($C$19:CD$19)=0,PROD_DEMANDA!CD13&gt;=SUP_PRODUCCION!$C$67,CE17&gt;=SUP_PRODUCCION!$C$91),1,0)</f>
        <v>0</v>
      </c>
      <c r="CF19" s="298" t="n">
        <f aca="false">IF(AND(SUP_CONTROL!$C$13=1,SUM($C$19:CE$19)=0,PROD_DEMANDA!CE13&gt;=SUP_PRODUCCION!$C$67,CF17&gt;=SUP_PRODUCCION!$C$91),1,0)</f>
        <v>0</v>
      </c>
      <c r="CG19" s="298" t="n">
        <f aca="false">IF(AND(SUP_CONTROL!$C$13=1,SUM($C$19:CF$19)=0,PROD_DEMANDA!CF13&gt;=SUP_PRODUCCION!$C$67,CG17&gt;=SUP_PRODUCCION!$C$91),1,0)</f>
        <v>0</v>
      </c>
      <c r="CH19" s="298" t="n">
        <f aca="false">IF(AND(SUP_CONTROL!$C$13=1,SUM($C$19:CG$19)=0,PROD_DEMANDA!CG13&gt;=SUP_PRODUCCION!$C$67,CH17&gt;=SUP_PRODUCCION!$C$91),1,0)</f>
        <v>0</v>
      </c>
      <c r="CI19" s="298" t="n">
        <f aca="false">IF(AND(SUP_CONTROL!$C$13=1,SUM($C$19:CH$19)=0,PROD_DEMANDA!CH13&gt;=SUP_PRODUCCION!$C$67,CI17&gt;=SUP_PRODUCCION!$C$91),1,0)</f>
        <v>0</v>
      </c>
      <c r="CJ19" s="298" t="n">
        <f aca="false">IF(AND(SUP_CONTROL!$C$13=1,SUM($C$19:CI$19)=0,PROD_DEMANDA!CI13&gt;=SUP_PRODUCCION!$C$67,CJ17&gt;=SUP_PRODUCCION!$C$91),1,0)</f>
        <v>0</v>
      </c>
      <c r="CK19" s="298" t="n">
        <f aca="false">IF(AND(SUP_CONTROL!$C$13=1,SUM($C$19:CJ$19)=0,PROD_DEMANDA!CJ13&gt;=SUP_PRODUCCION!$C$67,CK17&gt;=SUP_PRODUCCION!$C$91),1,0)</f>
        <v>0</v>
      </c>
      <c r="CL19" s="298" t="n">
        <f aca="false">IF(AND(SUP_CONTROL!$C$13=1,SUM($C$19:CK$19)=0,PROD_DEMANDA!CK13&gt;=SUP_PRODUCCION!$C$67,CL17&gt;=SUP_PRODUCCION!$C$91),1,0)</f>
        <v>0</v>
      </c>
      <c r="CM19" s="298" t="n">
        <f aca="false">IF(AND(SUP_CONTROL!$C$13=1,SUM($C$19:CL$19)=0,PROD_DEMANDA!CL13&gt;=SUP_PRODUCCION!$C$67,CM17&gt;=SUP_PRODUCCION!$C$91),1,0)</f>
        <v>0</v>
      </c>
      <c r="CN19" s="298" t="n">
        <f aca="false">IF(AND(SUP_CONTROL!$C$13=1,SUM($C$19:CM$19)=0,PROD_DEMANDA!CM13&gt;=SUP_PRODUCCION!$C$67,CN17&gt;=SUP_PRODUCCION!$C$91),1,0)</f>
        <v>0</v>
      </c>
      <c r="CO19" s="298" t="n">
        <f aca="false">IF(AND(SUP_CONTROL!$C$13=1,SUM($C$19:CN$19)=0,PROD_DEMANDA!CN13&gt;=SUP_PRODUCCION!$C$67,CO17&gt;=SUP_PRODUCCION!$C$91),1,0)</f>
        <v>0</v>
      </c>
      <c r="CP19" s="298" t="n">
        <f aca="false">IF(AND(SUP_CONTROL!$C$13=1,SUM($C$19:CO$19)=0,PROD_DEMANDA!CO13&gt;=SUP_PRODUCCION!$C$67,CP17&gt;=SUP_PRODUCCION!$C$91),1,0)</f>
        <v>0</v>
      </c>
      <c r="CQ19" s="298" t="n">
        <f aca="false">IF(AND(SUP_CONTROL!$C$13=1,SUM($C$19:CP$19)=0,PROD_DEMANDA!CP13&gt;=SUP_PRODUCCION!$C$67,CQ17&gt;=SUP_PRODUCCION!$C$91),1,0)</f>
        <v>0</v>
      </c>
      <c r="CR19" s="298" t="n">
        <f aca="false">IF(AND(SUP_CONTROL!$C$13=1,SUM($C$19:CQ$19)=0,PROD_DEMANDA!CQ13&gt;=SUP_PRODUCCION!$C$67,CR17&gt;=SUP_PRODUCCION!$C$91),1,0)</f>
        <v>0</v>
      </c>
      <c r="CS19" s="298" t="n">
        <f aca="false">IF(AND(SUP_CONTROL!$C$13=1,SUM($C$19:CR$19)=0,PROD_DEMANDA!CR13&gt;=SUP_PRODUCCION!$C$67,CS17&gt;=SUP_PRODUCCION!$C$91),1,0)</f>
        <v>0</v>
      </c>
      <c r="CT19" s="298" t="n">
        <f aca="false">IF(AND(SUP_CONTROL!$C$13=1,SUM($C$19:CS$19)=0,PROD_DEMANDA!CS13&gt;=SUP_PRODUCCION!$C$67,CT17&gt;=SUP_PRODUCCION!$C$91),1,0)</f>
        <v>0</v>
      </c>
      <c r="CU19" s="298" t="n">
        <f aca="false">IF(AND(SUP_CONTROL!$C$13=1,SUM($C$19:CT$19)=0,PROD_DEMANDA!CT13&gt;=SUP_PRODUCCION!$C$67,CU17&gt;=SUP_PRODUCCION!$C$91),1,0)</f>
        <v>0</v>
      </c>
      <c r="CV19" s="298" t="n">
        <f aca="false">IF(AND(SUP_CONTROL!$C$13=1,SUM($C$19:CU$19)=0,PROD_DEMANDA!CU13&gt;=SUP_PRODUCCION!$C$67,CV17&gt;=SUP_PRODUCCION!$C$91),1,0)</f>
        <v>0</v>
      </c>
      <c r="CW19" s="298" t="n">
        <f aca="false">IF(AND(SUP_CONTROL!$C$13=1,SUM($C$19:CV$19)=0,PROD_DEMANDA!CV13&gt;=SUP_PRODUCCION!$C$67,CW17&gt;=SUP_PRODUCCION!$C$91),1,0)</f>
        <v>0</v>
      </c>
      <c r="CX19" s="298" t="n">
        <f aca="false">IF(AND(SUP_CONTROL!$C$13=1,SUM($C$19:CW$19)=0,PROD_DEMANDA!CW13&gt;=SUP_PRODUCCION!$C$67,CX17&gt;=SUP_PRODUCCION!$C$91),1,0)</f>
        <v>0</v>
      </c>
      <c r="CY19" s="298" t="n">
        <f aca="false">IF(AND(SUP_CONTROL!$C$13=1,SUM($C$19:CX$19)=0,PROD_DEMANDA!CX13&gt;=SUP_PRODUCCION!$C$67,CY17&gt;=SUP_PRODUCCION!$C$91),1,0)</f>
        <v>0</v>
      </c>
      <c r="CZ19" s="298" t="n">
        <f aca="false">IF(AND(SUP_CONTROL!$C$13=1,SUM($C$19:CY$19)=0,PROD_DEMANDA!CY13&gt;=SUP_PRODUCCION!$C$67,CZ17&gt;=SUP_PRODUCCION!$C$91),1,0)</f>
        <v>0</v>
      </c>
      <c r="DA19" s="298" t="n">
        <f aca="false">IF(AND(SUP_CONTROL!$C$13=1,SUM($C$19:CZ$19)=0,PROD_DEMANDA!CZ13&gt;=SUP_PRODUCCION!$C$67,DA17&gt;=SUP_PRODUCCION!$C$91),1,0)</f>
        <v>0</v>
      </c>
      <c r="DB19" s="298" t="n">
        <f aca="false">IF(AND(SUP_CONTROL!$C$13=1,SUM($C$19:DA$19)=0,PROD_DEMANDA!DA13&gt;=SUP_PRODUCCION!$C$67,DB17&gt;=SUP_PRODUCCION!$C$91),1,0)</f>
        <v>0</v>
      </c>
      <c r="DC19" s="298" t="n">
        <f aca="false">IF(AND(SUP_CONTROL!$C$13=1,SUM($C$19:DB$19)=0,PROD_DEMANDA!DB13&gt;=SUP_PRODUCCION!$C$67,DC17&gt;=SUP_PRODUCCION!$C$91),1,0)</f>
        <v>0</v>
      </c>
      <c r="DD19" s="298" t="n">
        <f aca="false">IF(AND(SUP_CONTROL!$C$13=1,SUM($C$19:DC$19)=0,PROD_DEMANDA!DC13&gt;=SUP_PRODUCCION!$C$67,DD17&gt;=SUP_PRODUCCION!$C$91),1,0)</f>
        <v>0</v>
      </c>
      <c r="DE19" s="298" t="n">
        <f aca="false">IF(AND(SUP_CONTROL!$C$13=1,SUM($C$19:DD$19)=0,PROD_DEMANDA!DD13&gt;=SUP_PRODUCCION!$C$67,DE17&gt;=SUP_PRODUCCION!$C$91),1,0)</f>
        <v>0</v>
      </c>
      <c r="DF19" s="298" t="n">
        <f aca="false">IF(AND(SUP_CONTROL!$C$13=1,SUM($C$19:DE$19)=0,PROD_DEMANDA!DE13&gt;=SUP_PRODUCCION!$C$67,DF17&gt;=SUP_PRODUCCION!$C$91),1,0)</f>
        <v>0</v>
      </c>
      <c r="DG19" s="298" t="n">
        <f aca="false">IF(AND(SUP_CONTROL!$C$13=1,SUM($C$19:DF$19)=0,PROD_DEMANDA!DF13&gt;=SUP_PRODUCCION!$C$67,DG17&gt;=SUP_PRODUCCION!$C$91),1,0)</f>
        <v>0</v>
      </c>
      <c r="DH19" s="298" t="n">
        <f aca="false">IF(AND(SUP_CONTROL!$C$13=1,SUM($C$19:DG$19)=0,PROD_DEMANDA!DG13&gt;=SUP_PRODUCCION!$C$67,DH17&gt;=SUP_PRODUCCION!$C$91),1,0)</f>
        <v>0</v>
      </c>
      <c r="DI19" s="298" t="n">
        <f aca="false">IF(AND(SUP_CONTROL!$C$13=1,SUM($C$19:DH$19)=0,PROD_DEMANDA!DH13&gt;=SUP_PRODUCCION!$C$67,DI17&gt;=SUP_PRODUCCION!$C$91),1,0)</f>
        <v>0</v>
      </c>
      <c r="DJ19" s="298" t="n">
        <f aca="false">IF(AND(SUP_CONTROL!$C$13=1,SUM($C$19:DI$19)=0,PROD_DEMANDA!DI13&gt;=SUP_PRODUCCION!$C$67,DJ17&gt;=SUP_PRODUCCION!$C$91),1,0)</f>
        <v>0</v>
      </c>
      <c r="DK19" s="298" t="n">
        <f aca="false">IF(AND(SUP_CONTROL!$C$13=1,SUM($C$19:DJ$19)=0,PROD_DEMANDA!DJ13&gt;=SUP_PRODUCCION!$C$67,DK17&gt;=SUP_PRODUCCION!$C$91),1,0)</f>
        <v>0</v>
      </c>
      <c r="DL19" s="298" t="n">
        <f aca="false">IF(AND(SUP_CONTROL!$C$13=1,SUM($C$19:DK$19)=0,PROD_DEMANDA!DK13&gt;=SUP_PRODUCCION!$C$67,DL17&gt;=SUP_PRODUCCION!$C$91),1,0)</f>
        <v>0</v>
      </c>
      <c r="DM19" s="298" t="n">
        <f aca="false">IF(AND(SUP_CONTROL!$C$13=1,SUM($C$19:DL$19)=0,PROD_DEMANDA!DL13&gt;=SUP_PRODUCCION!$C$67,DM17&gt;=SUP_PRODUCCION!$C$91),1,0)</f>
        <v>0</v>
      </c>
      <c r="DN19" s="298" t="n">
        <f aca="false">IF(AND(SUP_CONTROL!$C$13=1,SUM($C$19:DM$19)=0,PROD_DEMANDA!DM13&gt;=SUP_PRODUCCION!$C$67,DN17&gt;=SUP_PRODUCCION!$C$91),1,0)</f>
        <v>0</v>
      </c>
      <c r="DO19" s="298" t="n">
        <f aca="false">IF(AND(SUP_CONTROL!$C$13=1,SUM($C$19:DN$19)=0,PROD_DEMANDA!DN13&gt;=SUP_PRODUCCION!$C$67,DO17&gt;=SUP_PRODUCCION!$C$91),1,0)</f>
        <v>0</v>
      </c>
      <c r="DP19" s="298" t="n">
        <f aca="false">IF(AND(SUP_CONTROL!$C$13=1,SUM($C$19:DO$19)=0,PROD_DEMANDA!DO13&gt;=SUP_PRODUCCION!$C$67,DP17&gt;=SUP_PRODUCCION!$C$91),1,0)</f>
        <v>0</v>
      </c>
      <c r="DQ19" s="298" t="n">
        <f aca="false">IF(AND(SUP_CONTROL!$C$13=1,SUM($C$19:DP$19)=0,PROD_DEMANDA!DP13&gt;=SUP_PRODUCCION!$C$67,DQ17&gt;=SUP_PRODUCCION!$C$91),1,0)</f>
        <v>0</v>
      </c>
      <c r="DR19" s="298" t="n">
        <f aca="false">IF(AND(SUP_CONTROL!$C$13=1,SUM($C$19:DQ$19)=0,PROD_DEMANDA!DQ13&gt;=SUP_PRODUCCION!$C$67,DR17&gt;=SUP_PRODUCCION!$C$91),1,0)</f>
        <v>0</v>
      </c>
      <c r="DS19" s="298" t="n">
        <f aca="false">IF(AND(SUP_CONTROL!$C$13=1,SUM($C$19:DR$19)=0,PROD_DEMANDA!DR13&gt;=SUP_PRODUCCION!$C$67,DS17&gt;=SUP_PRODUCCION!$C$91),1,0)</f>
        <v>0</v>
      </c>
    </row>
    <row r="20" customFormat="false" ht="15" hidden="false" customHeight="true" outlineLevel="0" collapsed="false">
      <c r="B20" s="297" t="s">
        <v>3527</v>
      </c>
      <c r="D20" s="298" t="n">
        <f aca="false">0</f>
        <v>0</v>
      </c>
      <c r="E20" s="298" t="n">
        <f aca="false">IF(AND(SUP_CONTROL!$C$13=1,SUM($C$20:D$20)=0,SUM($C$19:D$19)=1,PROD_DEMANDA!D13&gt;=SUP_PRODUCCION!$C$67,E17&gt;=SUP_PRODUCCION!$C$92),1,0)</f>
        <v>0</v>
      </c>
      <c r="F20" s="298" t="n">
        <f aca="false">IF(AND(SUP_CONTROL!$C$13=1,SUM($C$20:E$20)=0,SUM($C$19:E$19)=1,PROD_DEMANDA!E13&gt;=SUP_PRODUCCION!$C$67,F17&gt;=SUP_PRODUCCION!$C$92),1,0)</f>
        <v>0</v>
      </c>
      <c r="G20" s="298" t="n">
        <f aca="false">IF(AND(SUP_CONTROL!$C$13=1,SUM($C$20:F$20)=0,SUM($C$19:F$19)=1,PROD_DEMANDA!F13&gt;=SUP_PRODUCCION!$C$67,G17&gt;=SUP_PRODUCCION!$C$92),1,0)</f>
        <v>0</v>
      </c>
      <c r="H20" s="298" t="n">
        <f aca="false">IF(AND(SUP_CONTROL!$C$13=1,SUM($C$20:G$20)=0,SUM($C$19:G$19)=1,PROD_DEMANDA!G13&gt;=SUP_PRODUCCION!$C$67,H17&gt;=SUP_PRODUCCION!$C$92),1,0)</f>
        <v>0</v>
      </c>
      <c r="I20" s="298" t="n">
        <f aca="false">IF(AND(SUP_CONTROL!$C$13=1,SUM($C$20:H$20)=0,SUM($C$19:H$19)=1,PROD_DEMANDA!H13&gt;=SUP_PRODUCCION!$C$67,I17&gt;=SUP_PRODUCCION!$C$92),1,0)</f>
        <v>0</v>
      </c>
      <c r="J20" s="298" t="n">
        <f aca="false">IF(AND(SUP_CONTROL!$C$13=1,SUM($C$20:I$20)=0,SUM($C$19:I$19)=1,PROD_DEMANDA!I13&gt;=SUP_PRODUCCION!$C$67,J17&gt;=SUP_PRODUCCION!$C$92),1,0)</f>
        <v>0</v>
      </c>
      <c r="K20" s="298" t="n">
        <f aca="false">IF(AND(SUP_CONTROL!$C$13=1,SUM($C$20:J$20)=0,SUM($C$19:J$19)=1,PROD_DEMANDA!J13&gt;=SUP_PRODUCCION!$C$67,K17&gt;=SUP_PRODUCCION!$C$92),1,0)</f>
        <v>0</v>
      </c>
      <c r="L20" s="298" t="n">
        <f aca="false">IF(AND(SUP_CONTROL!$C$13=1,SUM($C$20:K$20)=0,SUM($C$19:K$19)=1,PROD_DEMANDA!K13&gt;=SUP_PRODUCCION!$C$67,L17&gt;=SUP_PRODUCCION!$C$92),1,0)</f>
        <v>0</v>
      </c>
      <c r="M20" s="298" t="n">
        <f aca="false">IF(AND(SUP_CONTROL!$C$13=1,SUM($C$20:L$20)=0,SUM($C$19:L$19)=1,PROD_DEMANDA!L13&gt;=SUP_PRODUCCION!$C$67,M17&gt;=SUP_PRODUCCION!$C$92),1,0)</f>
        <v>0</v>
      </c>
      <c r="N20" s="298" t="n">
        <f aca="false">IF(AND(SUP_CONTROL!$C$13=1,SUM($C$20:M$20)=0,SUM($C$19:M$19)=1,PROD_DEMANDA!M13&gt;=SUP_PRODUCCION!$C$67,N17&gt;=SUP_PRODUCCION!$C$92),1,0)</f>
        <v>0</v>
      </c>
      <c r="O20" s="298" t="n">
        <f aca="false">IF(AND(SUP_CONTROL!$C$13=1,SUM($C$20:N$20)=0,SUM($C$19:N$19)=1,PROD_DEMANDA!N13&gt;=SUP_PRODUCCION!$C$67,O17&gt;=SUP_PRODUCCION!$C$92),1,0)</f>
        <v>0</v>
      </c>
      <c r="P20" s="298" t="n">
        <f aca="false">IF(AND(SUP_CONTROL!$C$13=1,SUM($C$20:O$20)=0,SUM($C$19:O$19)=1,PROD_DEMANDA!O13&gt;=SUP_PRODUCCION!$C$67,P17&gt;=SUP_PRODUCCION!$C$92),1,0)</f>
        <v>0</v>
      </c>
      <c r="Q20" s="298" t="n">
        <f aca="false">IF(AND(SUP_CONTROL!$C$13=1,SUM($C$20:P$20)=0,SUM($C$19:P$19)=1,PROD_DEMANDA!P13&gt;=SUP_PRODUCCION!$C$67,Q17&gt;=SUP_PRODUCCION!$C$92),1,0)</f>
        <v>0</v>
      </c>
      <c r="R20" s="298" t="n">
        <f aca="false">IF(AND(SUP_CONTROL!$C$13=1,SUM($C$20:Q$20)=0,SUM($C$19:Q$19)=1,PROD_DEMANDA!Q13&gt;=SUP_PRODUCCION!$C$67,R17&gt;=SUP_PRODUCCION!$C$92),1,0)</f>
        <v>0</v>
      </c>
      <c r="S20" s="298" t="n">
        <f aca="false">IF(AND(SUP_CONTROL!$C$13=1,SUM($C$20:R$20)=0,SUM($C$19:R$19)=1,PROD_DEMANDA!R13&gt;=SUP_PRODUCCION!$C$67,S17&gt;=SUP_PRODUCCION!$C$92),1,0)</f>
        <v>0</v>
      </c>
      <c r="T20" s="298" t="n">
        <f aca="false">IF(AND(SUP_CONTROL!$C$13=1,SUM($C$20:S$20)=0,SUM($C$19:S$19)=1,PROD_DEMANDA!S13&gt;=SUP_PRODUCCION!$C$67,T17&gt;=SUP_PRODUCCION!$C$92),1,0)</f>
        <v>0</v>
      </c>
      <c r="U20" s="298" t="n">
        <f aca="false">IF(AND(SUP_CONTROL!$C$13=1,SUM($C$20:T$20)=0,SUM($C$19:T$19)=1,PROD_DEMANDA!T13&gt;=SUP_PRODUCCION!$C$67,U17&gt;=SUP_PRODUCCION!$C$92),1,0)</f>
        <v>0</v>
      </c>
      <c r="V20" s="298" t="n">
        <f aca="false">IF(AND(SUP_CONTROL!$C$13=1,SUM($C$20:U$20)=0,SUM($C$19:U$19)=1,PROD_DEMANDA!U13&gt;=SUP_PRODUCCION!$C$67,V17&gt;=SUP_PRODUCCION!$C$92),1,0)</f>
        <v>0</v>
      </c>
      <c r="W20" s="298" t="n">
        <f aca="false">IF(AND(SUP_CONTROL!$C$13=1,SUM($C$20:V$20)=0,SUM($C$19:V$19)=1,PROD_DEMANDA!V13&gt;=SUP_PRODUCCION!$C$67,W17&gt;=SUP_PRODUCCION!$C$92),1,0)</f>
        <v>0</v>
      </c>
      <c r="X20" s="298" t="n">
        <f aca="false">IF(AND(SUP_CONTROL!$C$13=1,SUM($C$20:W$20)=0,SUM($C$19:W$19)=1,PROD_DEMANDA!W13&gt;=SUP_PRODUCCION!$C$67,X17&gt;=SUP_PRODUCCION!$C$92),1,0)</f>
        <v>0</v>
      </c>
      <c r="Y20" s="298" t="n">
        <f aca="false">IF(AND(SUP_CONTROL!$C$13=1,SUM($C$20:X$20)=0,SUM($C$19:X$19)=1,PROD_DEMANDA!X13&gt;=SUP_PRODUCCION!$C$67,Y17&gt;=SUP_PRODUCCION!$C$92),1,0)</f>
        <v>0</v>
      </c>
      <c r="Z20" s="298" t="n">
        <f aca="false">IF(AND(SUP_CONTROL!$C$13=1,SUM($C$20:Y$20)=0,SUM($C$19:Y$19)=1,PROD_DEMANDA!Y13&gt;=SUP_PRODUCCION!$C$67,Z17&gt;=SUP_PRODUCCION!$C$92),1,0)</f>
        <v>0</v>
      </c>
      <c r="AA20" s="298" t="n">
        <f aca="false">IF(AND(SUP_CONTROL!$C$13=1,SUM($C$20:Z$20)=0,SUM($C$19:Z$19)=1,PROD_DEMANDA!Z13&gt;=SUP_PRODUCCION!$C$67,AA17&gt;=SUP_PRODUCCION!$C$92),1,0)</f>
        <v>0</v>
      </c>
      <c r="AB20" s="298" t="n">
        <f aca="false">IF(AND(SUP_CONTROL!$C$13=1,SUM($C$20:AA$20)=0,SUM($C$19:AA$19)=1,PROD_DEMANDA!AA13&gt;=SUP_PRODUCCION!$C$67,AB17&gt;=SUP_PRODUCCION!$C$92),1,0)</f>
        <v>0</v>
      </c>
      <c r="AC20" s="298" t="n">
        <f aca="false">IF(AND(SUP_CONTROL!$C$13=1,SUM($C$20:AB$20)=0,SUM($C$19:AB$19)=1,PROD_DEMANDA!AB13&gt;=SUP_PRODUCCION!$C$67,AC17&gt;=SUP_PRODUCCION!$C$92),1,0)</f>
        <v>0</v>
      </c>
      <c r="AD20" s="298" t="n">
        <f aca="false">IF(AND(SUP_CONTROL!$C$13=1,SUM($C$20:AC$20)=0,SUM($C$19:AC$19)=1,PROD_DEMANDA!AC13&gt;=SUP_PRODUCCION!$C$67,AD17&gt;=SUP_PRODUCCION!$C$92),1,0)</f>
        <v>0</v>
      </c>
      <c r="AE20" s="298" t="n">
        <f aca="false">IF(AND(SUP_CONTROL!$C$13=1,SUM($C$20:AD$20)=0,SUM($C$19:AD$19)=1,PROD_DEMANDA!AD13&gt;=SUP_PRODUCCION!$C$67,AE17&gt;=SUP_PRODUCCION!$C$92),1,0)</f>
        <v>0</v>
      </c>
      <c r="AF20" s="298" t="n">
        <f aca="false">IF(AND(SUP_CONTROL!$C$13=1,SUM($C$20:AE$20)=0,SUM($C$19:AE$19)=1,PROD_DEMANDA!AE13&gt;=SUP_PRODUCCION!$C$67,AF17&gt;=SUP_PRODUCCION!$C$92),1,0)</f>
        <v>0</v>
      </c>
      <c r="AG20" s="298" t="n">
        <f aca="false">IF(AND(SUP_CONTROL!$C$13=1,SUM($C$20:AF$20)=0,SUM($C$19:AF$19)=1,PROD_DEMANDA!AF13&gt;=SUP_PRODUCCION!$C$67,AG17&gt;=SUP_PRODUCCION!$C$92),1,0)</f>
        <v>0</v>
      </c>
      <c r="AH20" s="298" t="n">
        <f aca="false">IF(AND(SUP_CONTROL!$C$13=1,SUM($C$20:AG$20)=0,SUM($C$19:AG$19)=1,PROD_DEMANDA!AG13&gt;=SUP_PRODUCCION!$C$67,AH17&gt;=SUP_PRODUCCION!$C$92),1,0)</f>
        <v>0</v>
      </c>
      <c r="AI20" s="298" t="n">
        <f aca="false">IF(AND(SUP_CONTROL!$C$13=1,SUM($C$20:AH$20)=0,SUM($C$19:AH$19)=1,PROD_DEMANDA!AH13&gt;=SUP_PRODUCCION!$C$67,AI17&gt;=SUP_PRODUCCION!$C$92),1,0)</f>
        <v>0</v>
      </c>
      <c r="AJ20" s="298" t="n">
        <f aca="false">IF(AND(SUP_CONTROL!$C$13=1,SUM($C$20:AI$20)=0,SUM($C$19:AI$19)=1,PROD_DEMANDA!AI13&gt;=SUP_PRODUCCION!$C$67,AJ17&gt;=SUP_PRODUCCION!$C$92),1,0)</f>
        <v>0</v>
      </c>
      <c r="AK20" s="298" t="n">
        <f aca="false">IF(AND(SUP_CONTROL!$C$13=1,SUM($C$20:AJ$20)=0,SUM($C$19:AJ$19)=1,PROD_DEMANDA!AJ13&gt;=SUP_PRODUCCION!$C$67,AK17&gt;=SUP_PRODUCCION!$C$92),1,0)</f>
        <v>0</v>
      </c>
      <c r="AL20" s="298" t="n">
        <f aca="false">IF(AND(SUP_CONTROL!$C$13=1,SUM($C$20:AK$20)=0,SUM($C$19:AK$19)=1,PROD_DEMANDA!AK13&gt;=SUP_PRODUCCION!$C$67,AL17&gt;=SUP_PRODUCCION!$C$92),1,0)</f>
        <v>0</v>
      </c>
      <c r="AM20" s="298" t="n">
        <f aca="false">IF(AND(SUP_CONTROL!$C$13=1,SUM($C$20:AL$20)=0,SUM($C$19:AL$19)=1,PROD_DEMANDA!AL13&gt;=SUP_PRODUCCION!$C$67,AM17&gt;=SUP_PRODUCCION!$C$92),1,0)</f>
        <v>0</v>
      </c>
      <c r="AN20" s="298" t="n">
        <f aca="false">IF(AND(SUP_CONTROL!$C$13=1,SUM($C$20:AM$20)=0,SUM($C$19:AM$19)=1,PROD_DEMANDA!AM13&gt;=SUP_PRODUCCION!$C$67,AN17&gt;=SUP_PRODUCCION!$C$92),1,0)</f>
        <v>0</v>
      </c>
      <c r="AO20" s="298" t="n">
        <f aca="false">IF(AND(SUP_CONTROL!$C$13=1,SUM($C$20:AN$20)=0,SUM($C$19:AN$19)=1,PROD_DEMANDA!AN13&gt;=SUP_PRODUCCION!$C$67,AO17&gt;=SUP_PRODUCCION!$C$92),1,0)</f>
        <v>0</v>
      </c>
      <c r="AP20" s="298" t="n">
        <f aca="false">IF(AND(SUP_CONTROL!$C$13=1,SUM($C$20:AO$20)=0,SUM($C$19:AO$19)=1,PROD_DEMANDA!AO13&gt;=SUP_PRODUCCION!$C$67,AP17&gt;=SUP_PRODUCCION!$C$92),1,0)</f>
        <v>0</v>
      </c>
      <c r="AQ20" s="298" t="n">
        <f aca="false">IF(AND(SUP_CONTROL!$C$13=1,SUM($C$20:AP$20)=0,SUM($C$19:AP$19)=1,PROD_DEMANDA!AP13&gt;=SUP_PRODUCCION!$C$67,AQ17&gt;=SUP_PRODUCCION!$C$92),1,0)</f>
        <v>0</v>
      </c>
      <c r="AR20" s="298" t="n">
        <f aca="false">IF(AND(SUP_CONTROL!$C$13=1,SUM($C$20:AQ$20)=0,SUM($C$19:AQ$19)=1,PROD_DEMANDA!AQ13&gt;=SUP_PRODUCCION!$C$67,AR17&gt;=SUP_PRODUCCION!$C$92),1,0)</f>
        <v>0</v>
      </c>
      <c r="AS20" s="298" t="n">
        <f aca="false">IF(AND(SUP_CONTROL!$C$13=1,SUM($C$20:AR$20)=0,SUM($C$19:AR$19)=1,PROD_DEMANDA!AR13&gt;=SUP_PRODUCCION!$C$67,AS17&gt;=SUP_PRODUCCION!$C$92),1,0)</f>
        <v>0</v>
      </c>
      <c r="AT20" s="298" t="n">
        <f aca="false">IF(AND(SUP_CONTROL!$C$13=1,SUM($C$20:AS$20)=0,SUM($C$19:AS$19)=1,PROD_DEMANDA!AS13&gt;=SUP_PRODUCCION!$C$67,AT17&gt;=SUP_PRODUCCION!$C$92),1,0)</f>
        <v>0</v>
      </c>
      <c r="AU20" s="298" t="n">
        <f aca="false">IF(AND(SUP_CONTROL!$C$13=1,SUM($C$20:AT$20)=0,SUM($C$19:AT$19)=1,PROD_DEMANDA!AT13&gt;=SUP_PRODUCCION!$C$67,AU17&gt;=SUP_PRODUCCION!$C$92),1,0)</f>
        <v>0</v>
      </c>
      <c r="AV20" s="298" t="n">
        <f aca="false">IF(AND(SUP_CONTROL!$C$13=1,SUM($C$20:AU$20)=0,SUM($C$19:AU$19)=1,PROD_DEMANDA!AU13&gt;=SUP_PRODUCCION!$C$67,AV17&gt;=SUP_PRODUCCION!$C$92),1,0)</f>
        <v>0</v>
      </c>
      <c r="AW20" s="298" t="n">
        <f aca="false">IF(AND(SUP_CONTROL!$C$13=1,SUM($C$20:AV$20)=0,SUM($C$19:AV$19)=1,PROD_DEMANDA!AV13&gt;=SUP_PRODUCCION!$C$67,AW17&gt;=SUP_PRODUCCION!$C$92),1,0)</f>
        <v>0</v>
      </c>
      <c r="AX20" s="298" t="n">
        <f aca="false">IF(AND(SUP_CONTROL!$C$13=1,SUM($C$20:AW$20)=0,SUM($C$19:AW$19)=1,PROD_DEMANDA!AW13&gt;=SUP_PRODUCCION!$C$67,AX17&gt;=SUP_PRODUCCION!$C$92),1,0)</f>
        <v>0</v>
      </c>
      <c r="AY20" s="298" t="n">
        <f aca="false">IF(AND(SUP_CONTROL!$C$13=1,SUM($C$20:AX$20)=0,SUM($C$19:AX$19)=1,PROD_DEMANDA!AX13&gt;=SUP_PRODUCCION!$C$67,AY17&gt;=SUP_PRODUCCION!$C$92),1,0)</f>
        <v>0</v>
      </c>
      <c r="AZ20" s="298" t="n">
        <f aca="false">IF(AND(SUP_CONTROL!$C$13=1,SUM($C$20:AY$20)=0,SUM($C$19:AY$19)=1,PROD_DEMANDA!AY13&gt;=SUP_PRODUCCION!$C$67,AZ17&gt;=SUP_PRODUCCION!$C$92),1,0)</f>
        <v>0</v>
      </c>
      <c r="BA20" s="298" t="n">
        <f aca="false">IF(AND(SUP_CONTROL!$C$13=1,SUM($C$20:AZ$20)=0,SUM($C$19:AZ$19)=1,PROD_DEMANDA!AZ13&gt;=SUP_PRODUCCION!$C$67,BA17&gt;=SUP_PRODUCCION!$C$92),1,0)</f>
        <v>0</v>
      </c>
      <c r="BB20" s="298" t="n">
        <f aca="false">IF(AND(SUP_CONTROL!$C$13=1,SUM($C$20:BA$20)=0,SUM($C$19:BA$19)=1,PROD_DEMANDA!BA13&gt;=SUP_PRODUCCION!$C$67,BB17&gt;=SUP_PRODUCCION!$C$92),1,0)</f>
        <v>1</v>
      </c>
      <c r="BC20" s="298" t="n">
        <f aca="false">IF(AND(SUP_CONTROL!$C$13=1,SUM($C$20:BB$20)=0,SUM($C$19:BB$19)=1,PROD_DEMANDA!BB13&gt;=SUP_PRODUCCION!$C$67,BC17&gt;=SUP_PRODUCCION!$C$92),1,0)</f>
        <v>0</v>
      </c>
      <c r="BD20" s="298" t="n">
        <f aca="false">IF(AND(SUP_CONTROL!$C$13=1,SUM($C$20:BC$20)=0,SUM($C$19:BC$19)=1,PROD_DEMANDA!BC13&gt;=SUP_PRODUCCION!$C$67,BD17&gt;=SUP_PRODUCCION!$C$92),1,0)</f>
        <v>0</v>
      </c>
      <c r="BE20" s="298" t="n">
        <f aca="false">IF(AND(SUP_CONTROL!$C$13=1,SUM($C$20:BD$20)=0,SUM($C$19:BD$19)=1,PROD_DEMANDA!BD13&gt;=SUP_PRODUCCION!$C$67,BE17&gt;=SUP_PRODUCCION!$C$92),1,0)</f>
        <v>0</v>
      </c>
      <c r="BF20" s="298" t="n">
        <f aca="false">IF(AND(SUP_CONTROL!$C$13=1,SUM($C$20:BE$20)=0,SUM($C$19:BE$19)=1,PROD_DEMANDA!BE13&gt;=SUP_PRODUCCION!$C$67,BF17&gt;=SUP_PRODUCCION!$C$92),1,0)</f>
        <v>0</v>
      </c>
      <c r="BG20" s="298" t="n">
        <f aca="false">IF(AND(SUP_CONTROL!$C$13=1,SUM($C$20:BF$20)=0,SUM($C$19:BF$19)=1,PROD_DEMANDA!BF13&gt;=SUP_PRODUCCION!$C$67,BG17&gt;=SUP_PRODUCCION!$C$92),1,0)</f>
        <v>0</v>
      </c>
      <c r="BH20" s="298" t="n">
        <f aca="false">IF(AND(SUP_CONTROL!$C$13=1,SUM($C$20:BG$20)=0,SUM($C$19:BG$19)=1,PROD_DEMANDA!BG13&gt;=SUP_PRODUCCION!$C$67,BH17&gt;=SUP_PRODUCCION!$C$92),1,0)</f>
        <v>0</v>
      </c>
      <c r="BI20" s="298" t="n">
        <f aca="false">IF(AND(SUP_CONTROL!$C$13=1,SUM($C$20:BH$20)=0,SUM($C$19:BH$19)=1,PROD_DEMANDA!BH13&gt;=SUP_PRODUCCION!$C$67,BI17&gt;=SUP_PRODUCCION!$C$92),1,0)</f>
        <v>0</v>
      </c>
      <c r="BJ20" s="298" t="n">
        <f aca="false">IF(AND(SUP_CONTROL!$C$13=1,SUM($C$20:BI$20)=0,SUM($C$19:BI$19)=1,PROD_DEMANDA!BI13&gt;=SUP_PRODUCCION!$C$67,BJ17&gt;=SUP_PRODUCCION!$C$92),1,0)</f>
        <v>0</v>
      </c>
      <c r="BK20" s="298" t="n">
        <f aca="false">IF(AND(SUP_CONTROL!$C$13=1,SUM($C$20:BJ$20)=0,SUM($C$19:BJ$19)=1,PROD_DEMANDA!BJ13&gt;=SUP_PRODUCCION!$C$67,BK17&gt;=SUP_PRODUCCION!$C$92),1,0)</f>
        <v>0</v>
      </c>
      <c r="BL20" s="298" t="n">
        <f aca="false">IF(AND(SUP_CONTROL!$C$13=1,SUM($C$20:BK$20)=0,SUM($C$19:BK$19)=1,PROD_DEMANDA!BK13&gt;=SUP_PRODUCCION!$C$67,BL17&gt;=SUP_PRODUCCION!$C$92),1,0)</f>
        <v>0</v>
      </c>
      <c r="BM20" s="298" t="n">
        <f aca="false">IF(AND(SUP_CONTROL!$C$13=1,SUM($C$20:BL$20)=0,SUM($C$19:BL$19)=1,PROD_DEMANDA!BL13&gt;=SUP_PRODUCCION!$C$67,BM17&gt;=SUP_PRODUCCION!$C$92),1,0)</f>
        <v>0</v>
      </c>
      <c r="BN20" s="298" t="n">
        <f aca="false">IF(AND(SUP_CONTROL!$C$13=1,SUM($C$20:BM$20)=0,SUM($C$19:BM$19)=1,PROD_DEMANDA!BM13&gt;=SUP_PRODUCCION!$C$67,BN17&gt;=SUP_PRODUCCION!$C$92),1,0)</f>
        <v>0</v>
      </c>
      <c r="BO20" s="298" t="n">
        <f aca="false">IF(AND(SUP_CONTROL!$C$13=1,SUM($C$20:BN$20)=0,SUM($C$19:BN$19)=1,PROD_DEMANDA!BN13&gt;=SUP_PRODUCCION!$C$67,BO17&gt;=SUP_PRODUCCION!$C$92),1,0)</f>
        <v>0</v>
      </c>
      <c r="BP20" s="298" t="n">
        <f aca="false">IF(AND(SUP_CONTROL!$C$13=1,SUM($C$20:BO$20)=0,SUM($C$19:BO$19)=1,PROD_DEMANDA!BO13&gt;=SUP_PRODUCCION!$C$67,BP17&gt;=SUP_PRODUCCION!$C$92),1,0)</f>
        <v>0</v>
      </c>
      <c r="BQ20" s="298" t="n">
        <f aca="false">IF(AND(SUP_CONTROL!$C$13=1,SUM($C$20:BP$20)=0,SUM($C$19:BP$19)=1,PROD_DEMANDA!BP13&gt;=SUP_PRODUCCION!$C$67,BQ17&gt;=SUP_PRODUCCION!$C$92),1,0)</f>
        <v>0</v>
      </c>
      <c r="BR20" s="298" t="n">
        <f aca="false">IF(AND(SUP_CONTROL!$C$13=1,SUM($C$20:BQ$20)=0,SUM($C$19:BQ$19)=1,PROD_DEMANDA!BQ13&gt;=SUP_PRODUCCION!$C$67,BR17&gt;=SUP_PRODUCCION!$C$92),1,0)</f>
        <v>0</v>
      </c>
      <c r="BS20" s="298" t="n">
        <f aca="false">IF(AND(SUP_CONTROL!$C$13=1,SUM($C$20:BR$20)=0,SUM($C$19:BR$19)=1,PROD_DEMANDA!BR13&gt;=SUP_PRODUCCION!$C$67,BS17&gt;=SUP_PRODUCCION!$C$92),1,0)</f>
        <v>0</v>
      </c>
      <c r="BT20" s="298" t="n">
        <f aca="false">IF(AND(SUP_CONTROL!$C$13=1,SUM($C$20:BS$20)=0,SUM($C$19:BS$19)=1,PROD_DEMANDA!BS13&gt;=SUP_PRODUCCION!$C$67,BT17&gt;=SUP_PRODUCCION!$C$92),1,0)</f>
        <v>0</v>
      </c>
      <c r="BU20" s="298" t="n">
        <f aca="false">IF(AND(SUP_CONTROL!$C$13=1,SUM($C$20:BT$20)=0,SUM($C$19:BT$19)=1,PROD_DEMANDA!BT13&gt;=SUP_PRODUCCION!$C$67,BU17&gt;=SUP_PRODUCCION!$C$92),1,0)</f>
        <v>0</v>
      </c>
      <c r="BV20" s="298" t="n">
        <f aca="false">IF(AND(SUP_CONTROL!$C$13=1,SUM($C$20:BU$20)=0,SUM($C$19:BU$19)=1,PROD_DEMANDA!BU13&gt;=SUP_PRODUCCION!$C$67,BV17&gt;=SUP_PRODUCCION!$C$92),1,0)</f>
        <v>0</v>
      </c>
      <c r="BW20" s="298" t="n">
        <f aca="false">IF(AND(SUP_CONTROL!$C$13=1,SUM($C$20:BV$20)=0,SUM($C$19:BV$19)=1,PROD_DEMANDA!BV13&gt;=SUP_PRODUCCION!$C$67,BW17&gt;=SUP_PRODUCCION!$C$92),1,0)</f>
        <v>0</v>
      </c>
      <c r="BX20" s="298" t="n">
        <f aca="false">IF(AND(SUP_CONTROL!$C$13=1,SUM($C$20:BW$20)=0,SUM($C$19:BW$19)=1,PROD_DEMANDA!BW13&gt;=SUP_PRODUCCION!$C$67,BX17&gt;=SUP_PRODUCCION!$C$92),1,0)</f>
        <v>0</v>
      </c>
      <c r="BY20" s="298" t="n">
        <f aca="false">IF(AND(SUP_CONTROL!$C$13=1,SUM($C$20:BX$20)=0,SUM($C$19:BX$19)=1,PROD_DEMANDA!BX13&gt;=SUP_PRODUCCION!$C$67,BY17&gt;=SUP_PRODUCCION!$C$92),1,0)</f>
        <v>0</v>
      </c>
      <c r="BZ20" s="298" t="n">
        <f aca="false">IF(AND(SUP_CONTROL!$C$13=1,SUM($C$20:BY$20)=0,SUM($C$19:BY$19)=1,PROD_DEMANDA!BY13&gt;=SUP_PRODUCCION!$C$67,BZ17&gt;=SUP_PRODUCCION!$C$92),1,0)</f>
        <v>0</v>
      </c>
      <c r="CA20" s="298" t="n">
        <f aca="false">IF(AND(SUP_CONTROL!$C$13=1,SUM($C$20:BZ$20)=0,SUM($C$19:BZ$19)=1,PROD_DEMANDA!BZ13&gt;=SUP_PRODUCCION!$C$67,CA17&gt;=SUP_PRODUCCION!$C$92),1,0)</f>
        <v>0</v>
      </c>
      <c r="CB20" s="298" t="n">
        <f aca="false">IF(AND(SUP_CONTROL!$C$13=1,SUM($C$20:CA$20)=0,SUM($C$19:CA$19)=1,PROD_DEMANDA!CA13&gt;=SUP_PRODUCCION!$C$67,CB17&gt;=SUP_PRODUCCION!$C$92),1,0)</f>
        <v>0</v>
      </c>
      <c r="CC20" s="298" t="n">
        <f aca="false">IF(AND(SUP_CONTROL!$C$13=1,SUM($C$20:CB$20)=0,SUM($C$19:CB$19)=1,PROD_DEMANDA!CB13&gt;=SUP_PRODUCCION!$C$67,CC17&gt;=SUP_PRODUCCION!$C$92),1,0)</f>
        <v>0</v>
      </c>
      <c r="CD20" s="298" t="n">
        <f aca="false">IF(AND(SUP_CONTROL!$C$13=1,SUM($C$20:CC$20)=0,SUM($C$19:CC$19)=1,PROD_DEMANDA!CC13&gt;=SUP_PRODUCCION!$C$67,CD17&gt;=SUP_PRODUCCION!$C$92),1,0)</f>
        <v>0</v>
      </c>
      <c r="CE20" s="298" t="n">
        <f aca="false">IF(AND(SUP_CONTROL!$C$13=1,SUM($C$20:CD$20)=0,SUM($C$19:CD$19)=1,PROD_DEMANDA!CD13&gt;=SUP_PRODUCCION!$C$67,CE17&gt;=SUP_PRODUCCION!$C$92),1,0)</f>
        <v>0</v>
      </c>
      <c r="CF20" s="298" t="n">
        <f aca="false">IF(AND(SUP_CONTROL!$C$13=1,SUM($C$20:CE$20)=0,SUM($C$19:CE$19)=1,PROD_DEMANDA!CE13&gt;=SUP_PRODUCCION!$C$67,CF17&gt;=SUP_PRODUCCION!$C$92),1,0)</f>
        <v>0</v>
      </c>
      <c r="CG20" s="298" t="n">
        <f aca="false">IF(AND(SUP_CONTROL!$C$13=1,SUM($C$20:CF$20)=0,SUM($C$19:CF$19)=1,PROD_DEMANDA!CF13&gt;=SUP_PRODUCCION!$C$67,CG17&gt;=SUP_PRODUCCION!$C$92),1,0)</f>
        <v>0</v>
      </c>
      <c r="CH20" s="298" t="n">
        <f aca="false">IF(AND(SUP_CONTROL!$C$13=1,SUM($C$20:CG$20)=0,SUM($C$19:CG$19)=1,PROD_DEMANDA!CG13&gt;=SUP_PRODUCCION!$C$67,CH17&gt;=SUP_PRODUCCION!$C$92),1,0)</f>
        <v>0</v>
      </c>
      <c r="CI20" s="298" t="n">
        <f aca="false">IF(AND(SUP_CONTROL!$C$13=1,SUM($C$20:CH$20)=0,SUM($C$19:CH$19)=1,PROD_DEMANDA!CH13&gt;=SUP_PRODUCCION!$C$67,CI17&gt;=SUP_PRODUCCION!$C$92),1,0)</f>
        <v>0</v>
      </c>
      <c r="CJ20" s="298" t="n">
        <f aca="false">IF(AND(SUP_CONTROL!$C$13=1,SUM($C$20:CI$20)=0,SUM($C$19:CI$19)=1,PROD_DEMANDA!CI13&gt;=SUP_PRODUCCION!$C$67,CJ17&gt;=SUP_PRODUCCION!$C$92),1,0)</f>
        <v>0</v>
      </c>
      <c r="CK20" s="298" t="n">
        <f aca="false">IF(AND(SUP_CONTROL!$C$13=1,SUM($C$20:CJ$20)=0,SUM($C$19:CJ$19)=1,PROD_DEMANDA!CJ13&gt;=SUP_PRODUCCION!$C$67,CK17&gt;=SUP_PRODUCCION!$C$92),1,0)</f>
        <v>0</v>
      </c>
      <c r="CL20" s="298" t="n">
        <f aca="false">IF(AND(SUP_CONTROL!$C$13=1,SUM($C$20:CK$20)=0,SUM($C$19:CK$19)=1,PROD_DEMANDA!CK13&gt;=SUP_PRODUCCION!$C$67,CL17&gt;=SUP_PRODUCCION!$C$92),1,0)</f>
        <v>0</v>
      </c>
      <c r="CM20" s="298" t="n">
        <f aca="false">IF(AND(SUP_CONTROL!$C$13=1,SUM($C$20:CL$20)=0,SUM($C$19:CL$19)=1,PROD_DEMANDA!CL13&gt;=SUP_PRODUCCION!$C$67,CM17&gt;=SUP_PRODUCCION!$C$92),1,0)</f>
        <v>0</v>
      </c>
      <c r="CN20" s="298" t="n">
        <f aca="false">IF(AND(SUP_CONTROL!$C$13=1,SUM($C$20:CM$20)=0,SUM($C$19:CM$19)=1,PROD_DEMANDA!CM13&gt;=SUP_PRODUCCION!$C$67,CN17&gt;=SUP_PRODUCCION!$C$92),1,0)</f>
        <v>0</v>
      </c>
      <c r="CO20" s="298" t="n">
        <f aca="false">IF(AND(SUP_CONTROL!$C$13=1,SUM($C$20:CN$20)=0,SUM($C$19:CN$19)=1,PROD_DEMANDA!CN13&gt;=SUP_PRODUCCION!$C$67,CO17&gt;=SUP_PRODUCCION!$C$92),1,0)</f>
        <v>0</v>
      </c>
      <c r="CP20" s="298" t="n">
        <f aca="false">IF(AND(SUP_CONTROL!$C$13=1,SUM($C$20:CO$20)=0,SUM($C$19:CO$19)=1,PROD_DEMANDA!CO13&gt;=SUP_PRODUCCION!$C$67,CP17&gt;=SUP_PRODUCCION!$C$92),1,0)</f>
        <v>0</v>
      </c>
      <c r="CQ20" s="298" t="n">
        <f aca="false">IF(AND(SUP_CONTROL!$C$13=1,SUM($C$20:CP$20)=0,SUM($C$19:CP$19)=1,PROD_DEMANDA!CP13&gt;=SUP_PRODUCCION!$C$67,CQ17&gt;=SUP_PRODUCCION!$C$92),1,0)</f>
        <v>0</v>
      </c>
      <c r="CR20" s="298" t="n">
        <f aca="false">IF(AND(SUP_CONTROL!$C$13=1,SUM($C$20:CQ$20)=0,SUM($C$19:CQ$19)=1,PROD_DEMANDA!CQ13&gt;=SUP_PRODUCCION!$C$67,CR17&gt;=SUP_PRODUCCION!$C$92),1,0)</f>
        <v>0</v>
      </c>
      <c r="CS20" s="298" t="n">
        <f aca="false">IF(AND(SUP_CONTROL!$C$13=1,SUM($C$20:CR$20)=0,SUM($C$19:CR$19)=1,PROD_DEMANDA!CR13&gt;=SUP_PRODUCCION!$C$67,CS17&gt;=SUP_PRODUCCION!$C$92),1,0)</f>
        <v>0</v>
      </c>
      <c r="CT20" s="298" t="n">
        <f aca="false">IF(AND(SUP_CONTROL!$C$13=1,SUM($C$20:CS$20)=0,SUM($C$19:CS$19)=1,PROD_DEMANDA!CS13&gt;=SUP_PRODUCCION!$C$67,CT17&gt;=SUP_PRODUCCION!$C$92),1,0)</f>
        <v>0</v>
      </c>
      <c r="CU20" s="298" t="n">
        <f aca="false">IF(AND(SUP_CONTROL!$C$13=1,SUM($C$20:CT$20)=0,SUM($C$19:CT$19)=1,PROD_DEMANDA!CT13&gt;=SUP_PRODUCCION!$C$67,CU17&gt;=SUP_PRODUCCION!$C$92),1,0)</f>
        <v>0</v>
      </c>
      <c r="CV20" s="298" t="n">
        <f aca="false">IF(AND(SUP_CONTROL!$C$13=1,SUM($C$20:CU$20)=0,SUM($C$19:CU$19)=1,PROD_DEMANDA!CU13&gt;=SUP_PRODUCCION!$C$67,CV17&gt;=SUP_PRODUCCION!$C$92),1,0)</f>
        <v>0</v>
      </c>
      <c r="CW20" s="298" t="n">
        <f aca="false">IF(AND(SUP_CONTROL!$C$13=1,SUM($C$20:CV$20)=0,SUM($C$19:CV$19)=1,PROD_DEMANDA!CV13&gt;=SUP_PRODUCCION!$C$67,CW17&gt;=SUP_PRODUCCION!$C$92),1,0)</f>
        <v>0</v>
      </c>
      <c r="CX20" s="298" t="n">
        <f aca="false">IF(AND(SUP_CONTROL!$C$13=1,SUM($C$20:CW$20)=0,SUM($C$19:CW$19)=1,PROD_DEMANDA!CW13&gt;=SUP_PRODUCCION!$C$67,CX17&gt;=SUP_PRODUCCION!$C$92),1,0)</f>
        <v>0</v>
      </c>
      <c r="CY20" s="298" t="n">
        <f aca="false">IF(AND(SUP_CONTROL!$C$13=1,SUM($C$20:CX$20)=0,SUM($C$19:CX$19)=1,PROD_DEMANDA!CX13&gt;=SUP_PRODUCCION!$C$67,CY17&gt;=SUP_PRODUCCION!$C$92),1,0)</f>
        <v>0</v>
      </c>
      <c r="CZ20" s="298" t="n">
        <f aca="false">IF(AND(SUP_CONTROL!$C$13=1,SUM($C$20:CY$20)=0,SUM($C$19:CY$19)=1,PROD_DEMANDA!CY13&gt;=SUP_PRODUCCION!$C$67,CZ17&gt;=SUP_PRODUCCION!$C$92),1,0)</f>
        <v>0</v>
      </c>
      <c r="DA20" s="298" t="n">
        <f aca="false">IF(AND(SUP_CONTROL!$C$13=1,SUM($C$20:CZ$20)=0,SUM($C$19:CZ$19)=1,PROD_DEMANDA!CZ13&gt;=SUP_PRODUCCION!$C$67,DA17&gt;=SUP_PRODUCCION!$C$92),1,0)</f>
        <v>0</v>
      </c>
      <c r="DB20" s="298" t="n">
        <f aca="false">IF(AND(SUP_CONTROL!$C$13=1,SUM($C$20:DA$20)=0,SUM($C$19:DA$19)=1,PROD_DEMANDA!DA13&gt;=SUP_PRODUCCION!$C$67,DB17&gt;=SUP_PRODUCCION!$C$92),1,0)</f>
        <v>0</v>
      </c>
      <c r="DC20" s="298" t="n">
        <f aca="false">IF(AND(SUP_CONTROL!$C$13=1,SUM($C$20:DB$20)=0,SUM($C$19:DB$19)=1,PROD_DEMANDA!DB13&gt;=SUP_PRODUCCION!$C$67,DC17&gt;=SUP_PRODUCCION!$C$92),1,0)</f>
        <v>0</v>
      </c>
      <c r="DD20" s="298" t="n">
        <f aca="false">IF(AND(SUP_CONTROL!$C$13=1,SUM($C$20:DC$20)=0,SUM($C$19:DC$19)=1,PROD_DEMANDA!DC13&gt;=SUP_PRODUCCION!$C$67,DD17&gt;=SUP_PRODUCCION!$C$92),1,0)</f>
        <v>0</v>
      </c>
      <c r="DE20" s="298" t="n">
        <f aca="false">IF(AND(SUP_CONTROL!$C$13=1,SUM($C$20:DD$20)=0,SUM($C$19:DD$19)=1,PROD_DEMANDA!DD13&gt;=SUP_PRODUCCION!$C$67,DE17&gt;=SUP_PRODUCCION!$C$92),1,0)</f>
        <v>0</v>
      </c>
      <c r="DF20" s="298" t="n">
        <f aca="false">IF(AND(SUP_CONTROL!$C$13=1,SUM($C$20:DE$20)=0,SUM($C$19:DE$19)=1,PROD_DEMANDA!DE13&gt;=SUP_PRODUCCION!$C$67,DF17&gt;=SUP_PRODUCCION!$C$92),1,0)</f>
        <v>0</v>
      </c>
      <c r="DG20" s="298" t="n">
        <f aca="false">IF(AND(SUP_CONTROL!$C$13=1,SUM($C$20:DF$20)=0,SUM($C$19:DF$19)=1,PROD_DEMANDA!DF13&gt;=SUP_PRODUCCION!$C$67,DG17&gt;=SUP_PRODUCCION!$C$92),1,0)</f>
        <v>0</v>
      </c>
      <c r="DH20" s="298" t="n">
        <f aca="false">IF(AND(SUP_CONTROL!$C$13=1,SUM($C$20:DG$20)=0,SUM($C$19:DG$19)=1,PROD_DEMANDA!DG13&gt;=SUP_PRODUCCION!$C$67,DH17&gt;=SUP_PRODUCCION!$C$92),1,0)</f>
        <v>0</v>
      </c>
      <c r="DI20" s="298" t="n">
        <f aca="false">IF(AND(SUP_CONTROL!$C$13=1,SUM($C$20:DH$20)=0,SUM($C$19:DH$19)=1,PROD_DEMANDA!DH13&gt;=SUP_PRODUCCION!$C$67,DI17&gt;=SUP_PRODUCCION!$C$92),1,0)</f>
        <v>0</v>
      </c>
      <c r="DJ20" s="298" t="n">
        <f aca="false">IF(AND(SUP_CONTROL!$C$13=1,SUM($C$20:DI$20)=0,SUM($C$19:DI$19)=1,PROD_DEMANDA!DI13&gt;=SUP_PRODUCCION!$C$67,DJ17&gt;=SUP_PRODUCCION!$C$92),1,0)</f>
        <v>0</v>
      </c>
      <c r="DK20" s="298" t="n">
        <f aca="false">IF(AND(SUP_CONTROL!$C$13=1,SUM($C$20:DJ$20)=0,SUM($C$19:DJ$19)=1,PROD_DEMANDA!DJ13&gt;=SUP_PRODUCCION!$C$67,DK17&gt;=SUP_PRODUCCION!$C$92),1,0)</f>
        <v>0</v>
      </c>
      <c r="DL20" s="298" t="n">
        <f aca="false">IF(AND(SUP_CONTROL!$C$13=1,SUM($C$20:DK$20)=0,SUM($C$19:DK$19)=1,PROD_DEMANDA!DK13&gt;=SUP_PRODUCCION!$C$67,DL17&gt;=SUP_PRODUCCION!$C$92),1,0)</f>
        <v>0</v>
      </c>
      <c r="DM20" s="298" t="n">
        <f aca="false">IF(AND(SUP_CONTROL!$C$13=1,SUM($C$20:DL$20)=0,SUM($C$19:DL$19)=1,PROD_DEMANDA!DL13&gt;=SUP_PRODUCCION!$C$67,DM17&gt;=SUP_PRODUCCION!$C$92),1,0)</f>
        <v>0</v>
      </c>
      <c r="DN20" s="298" t="n">
        <f aca="false">IF(AND(SUP_CONTROL!$C$13=1,SUM($C$20:DM$20)=0,SUM($C$19:DM$19)=1,PROD_DEMANDA!DM13&gt;=SUP_PRODUCCION!$C$67,DN17&gt;=SUP_PRODUCCION!$C$92),1,0)</f>
        <v>0</v>
      </c>
      <c r="DO20" s="298" t="n">
        <f aca="false">IF(AND(SUP_CONTROL!$C$13=1,SUM($C$20:DN$20)=0,SUM($C$19:DN$19)=1,PROD_DEMANDA!DN13&gt;=SUP_PRODUCCION!$C$67,DO17&gt;=SUP_PRODUCCION!$C$92),1,0)</f>
        <v>0</v>
      </c>
      <c r="DP20" s="298" t="n">
        <f aca="false">IF(AND(SUP_CONTROL!$C$13=1,SUM($C$20:DO$20)=0,SUM($C$19:DO$19)=1,PROD_DEMANDA!DO13&gt;=SUP_PRODUCCION!$C$67,DP17&gt;=SUP_PRODUCCION!$C$92),1,0)</f>
        <v>0</v>
      </c>
      <c r="DQ20" s="298" t="n">
        <f aca="false">IF(AND(SUP_CONTROL!$C$13=1,SUM($C$20:DP$20)=0,SUM($C$19:DP$19)=1,PROD_DEMANDA!DP13&gt;=SUP_PRODUCCION!$C$67,DQ17&gt;=SUP_PRODUCCION!$C$92),1,0)</f>
        <v>0</v>
      </c>
      <c r="DR20" s="298" t="n">
        <f aca="false">IF(AND(SUP_CONTROL!$C$13=1,SUM($C$20:DQ$20)=0,SUM($C$19:DQ$19)=1,PROD_DEMANDA!DQ13&gt;=SUP_PRODUCCION!$C$67,DR17&gt;=SUP_PRODUCCION!$C$92),1,0)</f>
        <v>0</v>
      </c>
      <c r="DS20" s="298" t="n">
        <f aca="false">IF(AND(SUP_CONTROL!$C$13=1,SUM($C$20:DR$20)=0,SUM($C$19:DR$19)=1,PROD_DEMANDA!DR13&gt;=SUP_PRODUCCION!$C$67,DS17&gt;=SUP_PRODUCCION!$C$92),1,0)</f>
        <v>0</v>
      </c>
    </row>
    <row r="21" customFormat="false" ht="15" hidden="false" customHeight="true" outlineLevel="0" collapsed="false">
      <c r="B21" s="297" t="s">
        <v>3528</v>
      </c>
      <c r="D21" s="298" t="n">
        <f aca="false">0</f>
        <v>0</v>
      </c>
      <c r="E21" s="298" t="n">
        <f aca="false">IF(AND(SUP_CONTROL!$C$13=1,SUM($C$21:D$21)=0,SUM($C$20:D$20)=1,PROD_DEMANDA!D13&gt;=SUP_PRODUCCION!$C$67,E17&gt;=SUP_PRODUCCION!$C$93),1,0)</f>
        <v>0</v>
      </c>
      <c r="F21" s="298" t="n">
        <f aca="false">IF(AND(SUP_CONTROL!$C$13=1,SUM($C$21:E$21)=0,SUM($C$20:E$20)=1,PROD_DEMANDA!E13&gt;=SUP_PRODUCCION!$C$67,F17&gt;=SUP_PRODUCCION!$C$93),1,0)</f>
        <v>0</v>
      </c>
      <c r="G21" s="298" t="n">
        <f aca="false">IF(AND(SUP_CONTROL!$C$13=1,SUM($C$21:F$21)=0,SUM($C$20:F$20)=1,PROD_DEMANDA!F13&gt;=SUP_PRODUCCION!$C$67,G17&gt;=SUP_PRODUCCION!$C$93),1,0)</f>
        <v>0</v>
      </c>
      <c r="H21" s="298" t="n">
        <f aca="false">IF(AND(SUP_CONTROL!$C$13=1,SUM($C$21:G$21)=0,SUM($C$20:G$20)=1,PROD_DEMANDA!G13&gt;=SUP_PRODUCCION!$C$67,H17&gt;=SUP_PRODUCCION!$C$93),1,0)</f>
        <v>0</v>
      </c>
      <c r="I21" s="298" t="n">
        <f aca="false">IF(AND(SUP_CONTROL!$C$13=1,SUM($C$21:H$21)=0,SUM($C$20:H$20)=1,PROD_DEMANDA!H13&gt;=SUP_PRODUCCION!$C$67,I17&gt;=SUP_PRODUCCION!$C$93),1,0)</f>
        <v>0</v>
      </c>
      <c r="J21" s="298" t="n">
        <f aca="false">IF(AND(SUP_CONTROL!$C$13=1,SUM($C$21:I$21)=0,SUM($C$20:I$20)=1,PROD_DEMANDA!I13&gt;=SUP_PRODUCCION!$C$67,J17&gt;=SUP_PRODUCCION!$C$93),1,0)</f>
        <v>0</v>
      </c>
      <c r="K21" s="298" t="n">
        <f aca="false">IF(AND(SUP_CONTROL!$C$13=1,SUM($C$21:J$21)=0,SUM($C$20:J$20)=1,PROD_DEMANDA!J13&gt;=SUP_PRODUCCION!$C$67,K17&gt;=SUP_PRODUCCION!$C$93),1,0)</f>
        <v>0</v>
      </c>
      <c r="L21" s="298" t="n">
        <f aca="false">IF(AND(SUP_CONTROL!$C$13=1,SUM($C$21:K$21)=0,SUM($C$20:K$20)=1,PROD_DEMANDA!K13&gt;=SUP_PRODUCCION!$C$67,L17&gt;=SUP_PRODUCCION!$C$93),1,0)</f>
        <v>0</v>
      </c>
      <c r="M21" s="298" t="n">
        <f aca="false">IF(AND(SUP_CONTROL!$C$13=1,SUM($C$21:L$21)=0,SUM($C$20:L$20)=1,PROD_DEMANDA!L13&gt;=SUP_PRODUCCION!$C$67,M17&gt;=SUP_PRODUCCION!$C$93),1,0)</f>
        <v>0</v>
      </c>
      <c r="N21" s="298" t="n">
        <f aca="false">IF(AND(SUP_CONTROL!$C$13=1,SUM($C$21:M$21)=0,SUM($C$20:M$20)=1,PROD_DEMANDA!M13&gt;=SUP_PRODUCCION!$C$67,N17&gt;=SUP_PRODUCCION!$C$93),1,0)</f>
        <v>0</v>
      </c>
      <c r="O21" s="298" t="n">
        <f aca="false">IF(AND(SUP_CONTROL!$C$13=1,SUM($C$21:N$21)=0,SUM($C$20:N$20)=1,PROD_DEMANDA!N13&gt;=SUP_PRODUCCION!$C$67,O17&gt;=SUP_PRODUCCION!$C$93),1,0)</f>
        <v>0</v>
      </c>
      <c r="P21" s="298" t="n">
        <f aca="false">IF(AND(SUP_CONTROL!$C$13=1,SUM($C$21:O$21)=0,SUM($C$20:O$20)=1,PROD_DEMANDA!O13&gt;=SUP_PRODUCCION!$C$67,P17&gt;=SUP_PRODUCCION!$C$93),1,0)</f>
        <v>0</v>
      </c>
      <c r="Q21" s="298" t="n">
        <f aca="false">IF(AND(SUP_CONTROL!$C$13=1,SUM($C$21:P$21)=0,SUM($C$20:P$20)=1,PROD_DEMANDA!P13&gt;=SUP_PRODUCCION!$C$67,Q17&gt;=SUP_PRODUCCION!$C$93),1,0)</f>
        <v>0</v>
      </c>
      <c r="R21" s="298" t="n">
        <f aca="false">IF(AND(SUP_CONTROL!$C$13=1,SUM($C$21:Q$21)=0,SUM($C$20:Q$20)=1,PROD_DEMANDA!Q13&gt;=SUP_PRODUCCION!$C$67,R17&gt;=SUP_PRODUCCION!$C$93),1,0)</f>
        <v>0</v>
      </c>
      <c r="S21" s="298" t="n">
        <f aca="false">IF(AND(SUP_CONTROL!$C$13=1,SUM($C$21:R$21)=0,SUM($C$20:R$20)=1,PROD_DEMANDA!R13&gt;=SUP_PRODUCCION!$C$67,S17&gt;=SUP_PRODUCCION!$C$93),1,0)</f>
        <v>0</v>
      </c>
      <c r="T21" s="298" t="n">
        <f aca="false">IF(AND(SUP_CONTROL!$C$13=1,SUM($C$21:S$21)=0,SUM($C$20:S$20)=1,PROD_DEMANDA!S13&gt;=SUP_PRODUCCION!$C$67,T17&gt;=SUP_PRODUCCION!$C$93),1,0)</f>
        <v>0</v>
      </c>
      <c r="U21" s="298" t="n">
        <f aca="false">IF(AND(SUP_CONTROL!$C$13=1,SUM($C$21:T$21)=0,SUM($C$20:T$20)=1,PROD_DEMANDA!T13&gt;=SUP_PRODUCCION!$C$67,U17&gt;=SUP_PRODUCCION!$C$93),1,0)</f>
        <v>0</v>
      </c>
      <c r="V21" s="298" t="n">
        <f aca="false">IF(AND(SUP_CONTROL!$C$13=1,SUM($C$21:U$21)=0,SUM($C$20:U$20)=1,PROD_DEMANDA!U13&gt;=SUP_PRODUCCION!$C$67,V17&gt;=SUP_PRODUCCION!$C$93),1,0)</f>
        <v>0</v>
      </c>
      <c r="W21" s="298" t="n">
        <f aca="false">IF(AND(SUP_CONTROL!$C$13=1,SUM($C$21:V$21)=0,SUM($C$20:V$20)=1,PROD_DEMANDA!V13&gt;=SUP_PRODUCCION!$C$67,W17&gt;=SUP_PRODUCCION!$C$93),1,0)</f>
        <v>0</v>
      </c>
      <c r="X21" s="298" t="n">
        <f aca="false">IF(AND(SUP_CONTROL!$C$13=1,SUM($C$21:W$21)=0,SUM($C$20:W$20)=1,PROD_DEMANDA!W13&gt;=SUP_PRODUCCION!$C$67,X17&gt;=SUP_PRODUCCION!$C$93),1,0)</f>
        <v>0</v>
      </c>
      <c r="Y21" s="298" t="n">
        <f aca="false">IF(AND(SUP_CONTROL!$C$13=1,SUM($C$21:X$21)=0,SUM($C$20:X$20)=1,PROD_DEMANDA!X13&gt;=SUP_PRODUCCION!$C$67,Y17&gt;=SUP_PRODUCCION!$C$93),1,0)</f>
        <v>0</v>
      </c>
      <c r="Z21" s="298" t="n">
        <f aca="false">IF(AND(SUP_CONTROL!$C$13=1,SUM($C$21:Y$21)=0,SUM($C$20:Y$20)=1,PROD_DEMANDA!Y13&gt;=SUP_PRODUCCION!$C$67,Z17&gt;=SUP_PRODUCCION!$C$93),1,0)</f>
        <v>0</v>
      </c>
      <c r="AA21" s="298" t="n">
        <f aca="false">IF(AND(SUP_CONTROL!$C$13=1,SUM($C$21:Z$21)=0,SUM($C$20:Z$20)=1,PROD_DEMANDA!Z13&gt;=SUP_PRODUCCION!$C$67,AA17&gt;=SUP_PRODUCCION!$C$93),1,0)</f>
        <v>0</v>
      </c>
      <c r="AB21" s="298" t="n">
        <f aca="false">IF(AND(SUP_CONTROL!$C$13=1,SUM($C$21:AA$21)=0,SUM($C$20:AA$20)=1,PROD_DEMANDA!AA13&gt;=SUP_PRODUCCION!$C$67,AB17&gt;=SUP_PRODUCCION!$C$93),1,0)</f>
        <v>0</v>
      </c>
      <c r="AC21" s="298" t="n">
        <f aca="false">IF(AND(SUP_CONTROL!$C$13=1,SUM($C$21:AB$21)=0,SUM($C$20:AB$20)=1,PROD_DEMANDA!AB13&gt;=SUP_PRODUCCION!$C$67,AC17&gt;=SUP_PRODUCCION!$C$93),1,0)</f>
        <v>0</v>
      </c>
      <c r="AD21" s="298" t="n">
        <f aca="false">IF(AND(SUP_CONTROL!$C$13=1,SUM($C$21:AC$21)=0,SUM($C$20:AC$20)=1,PROD_DEMANDA!AC13&gt;=SUP_PRODUCCION!$C$67,AD17&gt;=SUP_PRODUCCION!$C$93),1,0)</f>
        <v>0</v>
      </c>
      <c r="AE21" s="298" t="n">
        <f aca="false">IF(AND(SUP_CONTROL!$C$13=1,SUM($C$21:AD$21)=0,SUM($C$20:AD$20)=1,PROD_DEMANDA!AD13&gt;=SUP_PRODUCCION!$C$67,AE17&gt;=SUP_PRODUCCION!$C$93),1,0)</f>
        <v>0</v>
      </c>
      <c r="AF21" s="298" t="n">
        <f aca="false">IF(AND(SUP_CONTROL!$C$13=1,SUM($C$21:AE$21)=0,SUM($C$20:AE$20)=1,PROD_DEMANDA!AE13&gt;=SUP_PRODUCCION!$C$67,AF17&gt;=SUP_PRODUCCION!$C$93),1,0)</f>
        <v>0</v>
      </c>
      <c r="AG21" s="298" t="n">
        <f aca="false">IF(AND(SUP_CONTROL!$C$13=1,SUM($C$21:AF$21)=0,SUM($C$20:AF$20)=1,PROD_DEMANDA!AF13&gt;=SUP_PRODUCCION!$C$67,AG17&gt;=SUP_PRODUCCION!$C$93),1,0)</f>
        <v>0</v>
      </c>
      <c r="AH21" s="298" t="n">
        <f aca="false">IF(AND(SUP_CONTROL!$C$13=1,SUM($C$21:AG$21)=0,SUM($C$20:AG$20)=1,PROD_DEMANDA!AG13&gt;=SUP_PRODUCCION!$C$67,AH17&gt;=SUP_PRODUCCION!$C$93),1,0)</f>
        <v>0</v>
      </c>
      <c r="AI21" s="298" t="n">
        <f aca="false">IF(AND(SUP_CONTROL!$C$13=1,SUM($C$21:AH$21)=0,SUM($C$20:AH$20)=1,PROD_DEMANDA!AH13&gt;=SUP_PRODUCCION!$C$67,AI17&gt;=SUP_PRODUCCION!$C$93),1,0)</f>
        <v>0</v>
      </c>
      <c r="AJ21" s="298" t="n">
        <f aca="false">IF(AND(SUP_CONTROL!$C$13=1,SUM($C$21:AI$21)=0,SUM($C$20:AI$20)=1,PROD_DEMANDA!AI13&gt;=SUP_PRODUCCION!$C$67,AJ17&gt;=SUP_PRODUCCION!$C$93),1,0)</f>
        <v>0</v>
      </c>
      <c r="AK21" s="298" t="n">
        <f aca="false">IF(AND(SUP_CONTROL!$C$13=1,SUM($C$21:AJ$21)=0,SUM($C$20:AJ$20)=1,PROD_DEMANDA!AJ13&gt;=SUP_PRODUCCION!$C$67,AK17&gt;=SUP_PRODUCCION!$C$93),1,0)</f>
        <v>0</v>
      </c>
      <c r="AL21" s="298" t="n">
        <f aca="false">IF(AND(SUP_CONTROL!$C$13=1,SUM($C$21:AK$21)=0,SUM($C$20:AK$20)=1,PROD_DEMANDA!AK13&gt;=SUP_PRODUCCION!$C$67,AL17&gt;=SUP_PRODUCCION!$C$93),1,0)</f>
        <v>0</v>
      </c>
      <c r="AM21" s="298" t="n">
        <f aca="false">IF(AND(SUP_CONTROL!$C$13=1,SUM($C$21:AL$21)=0,SUM($C$20:AL$20)=1,PROD_DEMANDA!AL13&gt;=SUP_PRODUCCION!$C$67,AM17&gt;=SUP_PRODUCCION!$C$93),1,0)</f>
        <v>0</v>
      </c>
      <c r="AN21" s="298" t="n">
        <f aca="false">IF(AND(SUP_CONTROL!$C$13=1,SUM($C$21:AM$21)=0,SUM($C$20:AM$20)=1,PROD_DEMANDA!AM13&gt;=SUP_PRODUCCION!$C$67,AN17&gt;=SUP_PRODUCCION!$C$93),1,0)</f>
        <v>0</v>
      </c>
      <c r="AO21" s="298" t="n">
        <f aca="false">IF(AND(SUP_CONTROL!$C$13=1,SUM($C$21:AN$21)=0,SUM($C$20:AN$20)=1,PROD_DEMANDA!AN13&gt;=SUP_PRODUCCION!$C$67,AO17&gt;=SUP_PRODUCCION!$C$93),1,0)</f>
        <v>0</v>
      </c>
      <c r="AP21" s="298" t="n">
        <f aca="false">IF(AND(SUP_CONTROL!$C$13=1,SUM($C$21:AO$21)=0,SUM($C$20:AO$20)=1,PROD_DEMANDA!AO13&gt;=SUP_PRODUCCION!$C$67,AP17&gt;=SUP_PRODUCCION!$C$93),1,0)</f>
        <v>0</v>
      </c>
      <c r="AQ21" s="298" t="n">
        <f aca="false">IF(AND(SUP_CONTROL!$C$13=1,SUM($C$21:AP$21)=0,SUM($C$20:AP$20)=1,PROD_DEMANDA!AP13&gt;=SUP_PRODUCCION!$C$67,AQ17&gt;=SUP_PRODUCCION!$C$93),1,0)</f>
        <v>0</v>
      </c>
      <c r="AR21" s="298" t="n">
        <f aca="false">IF(AND(SUP_CONTROL!$C$13=1,SUM($C$21:AQ$21)=0,SUM($C$20:AQ$20)=1,PROD_DEMANDA!AQ13&gt;=SUP_PRODUCCION!$C$67,AR17&gt;=SUP_PRODUCCION!$C$93),1,0)</f>
        <v>0</v>
      </c>
      <c r="AS21" s="298" t="n">
        <f aca="false">IF(AND(SUP_CONTROL!$C$13=1,SUM($C$21:AR$21)=0,SUM($C$20:AR$20)=1,PROD_DEMANDA!AR13&gt;=SUP_PRODUCCION!$C$67,AS17&gt;=SUP_PRODUCCION!$C$93),1,0)</f>
        <v>0</v>
      </c>
      <c r="AT21" s="298" t="n">
        <f aca="false">IF(AND(SUP_CONTROL!$C$13=1,SUM($C$21:AS$21)=0,SUM($C$20:AS$20)=1,PROD_DEMANDA!AS13&gt;=SUP_PRODUCCION!$C$67,AT17&gt;=SUP_PRODUCCION!$C$93),1,0)</f>
        <v>0</v>
      </c>
      <c r="AU21" s="298" t="n">
        <f aca="false">IF(AND(SUP_CONTROL!$C$13=1,SUM($C$21:AT$21)=0,SUM($C$20:AT$20)=1,PROD_DEMANDA!AT13&gt;=SUP_PRODUCCION!$C$67,AU17&gt;=SUP_PRODUCCION!$C$93),1,0)</f>
        <v>0</v>
      </c>
      <c r="AV21" s="298" t="n">
        <f aca="false">IF(AND(SUP_CONTROL!$C$13=1,SUM($C$21:AU$21)=0,SUM($C$20:AU$20)=1,PROD_DEMANDA!AU13&gt;=SUP_PRODUCCION!$C$67,AV17&gt;=SUP_PRODUCCION!$C$93),1,0)</f>
        <v>0</v>
      </c>
      <c r="AW21" s="298" t="n">
        <f aca="false">IF(AND(SUP_CONTROL!$C$13=1,SUM($C$21:AV$21)=0,SUM($C$20:AV$20)=1,PROD_DEMANDA!AV13&gt;=SUP_PRODUCCION!$C$67,AW17&gt;=SUP_PRODUCCION!$C$93),1,0)</f>
        <v>0</v>
      </c>
      <c r="AX21" s="298" t="n">
        <f aca="false">IF(AND(SUP_CONTROL!$C$13=1,SUM($C$21:AW$21)=0,SUM($C$20:AW$20)=1,PROD_DEMANDA!AW13&gt;=SUP_PRODUCCION!$C$67,AX17&gt;=SUP_PRODUCCION!$C$93),1,0)</f>
        <v>0</v>
      </c>
      <c r="AY21" s="298" t="n">
        <f aca="false">IF(AND(SUP_CONTROL!$C$13=1,SUM($C$21:AX$21)=0,SUM($C$20:AX$20)=1,PROD_DEMANDA!AX13&gt;=SUP_PRODUCCION!$C$67,AY17&gt;=SUP_PRODUCCION!$C$93),1,0)</f>
        <v>0</v>
      </c>
      <c r="AZ21" s="298" t="n">
        <f aca="false">IF(AND(SUP_CONTROL!$C$13=1,SUM($C$21:AY$21)=0,SUM($C$20:AY$20)=1,PROD_DEMANDA!AY13&gt;=SUP_PRODUCCION!$C$67,AZ17&gt;=SUP_PRODUCCION!$C$93),1,0)</f>
        <v>0</v>
      </c>
      <c r="BA21" s="298" t="n">
        <f aca="false">IF(AND(SUP_CONTROL!$C$13=1,SUM($C$21:AZ$21)=0,SUM($C$20:AZ$20)=1,PROD_DEMANDA!AZ13&gt;=SUP_PRODUCCION!$C$67,BA17&gt;=SUP_PRODUCCION!$C$93),1,0)</f>
        <v>0</v>
      </c>
      <c r="BB21" s="298" t="n">
        <f aca="false">IF(AND(SUP_CONTROL!$C$13=1,SUM($C$21:BA$21)=0,SUM($C$20:BA$20)=1,PROD_DEMANDA!BA13&gt;=SUP_PRODUCCION!$C$67,BB17&gt;=SUP_PRODUCCION!$C$93),1,0)</f>
        <v>0</v>
      </c>
      <c r="BC21" s="298" t="n">
        <f aca="false">IF(AND(SUP_CONTROL!$C$13=1,SUM($C$21:BB$21)=0,SUM($C$20:BB$20)=1,PROD_DEMANDA!BB13&gt;=SUP_PRODUCCION!$C$67,BC17&gt;=SUP_PRODUCCION!$C$93),1,0)</f>
        <v>0</v>
      </c>
      <c r="BD21" s="298" t="n">
        <f aca="false">IF(AND(SUP_CONTROL!$C$13=1,SUM($C$21:BC$21)=0,SUM($C$20:BC$20)=1,PROD_DEMANDA!BC13&gt;=SUP_PRODUCCION!$C$67,BD17&gt;=SUP_PRODUCCION!$C$93),1,0)</f>
        <v>0</v>
      </c>
      <c r="BE21" s="298" t="n">
        <f aca="false">IF(AND(SUP_CONTROL!$C$13=1,SUM($C$21:BD$21)=0,SUM($C$20:BD$20)=1,PROD_DEMANDA!BD13&gt;=SUP_PRODUCCION!$C$67,BE17&gt;=SUP_PRODUCCION!$C$93),1,0)</f>
        <v>0</v>
      </c>
      <c r="BF21" s="298" t="n">
        <f aca="false">IF(AND(SUP_CONTROL!$C$13=1,SUM($C$21:BE$21)=0,SUM($C$20:BE$20)=1,PROD_DEMANDA!BE13&gt;=SUP_PRODUCCION!$C$67,BF17&gt;=SUP_PRODUCCION!$C$93),1,0)</f>
        <v>0</v>
      </c>
      <c r="BG21" s="298" t="n">
        <f aca="false">IF(AND(SUP_CONTROL!$C$13=1,SUM($C$21:BF$21)=0,SUM($C$20:BF$20)=1,PROD_DEMANDA!BF13&gt;=SUP_PRODUCCION!$C$67,BG17&gt;=SUP_PRODUCCION!$C$93),1,0)</f>
        <v>0</v>
      </c>
      <c r="BH21" s="298" t="n">
        <f aca="false">IF(AND(SUP_CONTROL!$C$13=1,SUM($C$21:BG$21)=0,SUM($C$20:BG$20)=1,PROD_DEMANDA!BG13&gt;=SUP_PRODUCCION!$C$67,BH17&gt;=SUP_PRODUCCION!$C$93),1,0)</f>
        <v>0</v>
      </c>
      <c r="BI21" s="298" t="n">
        <f aca="false">IF(AND(SUP_CONTROL!$C$13=1,SUM($C$21:BH$21)=0,SUM($C$20:BH$20)=1,PROD_DEMANDA!BH13&gt;=SUP_PRODUCCION!$C$67,BI17&gt;=SUP_PRODUCCION!$C$93),1,0)</f>
        <v>0</v>
      </c>
      <c r="BJ21" s="298" t="n">
        <f aca="false">IF(AND(SUP_CONTROL!$C$13=1,SUM($C$21:BI$21)=0,SUM($C$20:BI$20)=1,PROD_DEMANDA!BI13&gt;=SUP_PRODUCCION!$C$67,BJ17&gt;=SUP_PRODUCCION!$C$93),1,0)</f>
        <v>0</v>
      </c>
      <c r="BK21" s="298" t="n">
        <f aca="false">IF(AND(SUP_CONTROL!$C$13=1,SUM($C$21:BJ$21)=0,SUM($C$20:BJ$20)=1,PROD_DEMANDA!BJ13&gt;=SUP_PRODUCCION!$C$67,BK17&gt;=SUP_PRODUCCION!$C$93),1,0)</f>
        <v>0</v>
      </c>
      <c r="BL21" s="298" t="n">
        <f aca="false">IF(AND(SUP_CONTROL!$C$13=1,SUM($C$21:BK$21)=0,SUM($C$20:BK$20)=1,PROD_DEMANDA!BK13&gt;=SUP_PRODUCCION!$C$67,BL17&gt;=SUP_PRODUCCION!$C$93),1,0)</f>
        <v>0</v>
      </c>
      <c r="BM21" s="298" t="n">
        <f aca="false">IF(AND(SUP_CONTROL!$C$13=1,SUM($C$21:BL$21)=0,SUM($C$20:BL$20)=1,PROD_DEMANDA!BL13&gt;=SUP_PRODUCCION!$C$67,BM17&gt;=SUP_PRODUCCION!$C$93),1,0)</f>
        <v>0</v>
      </c>
      <c r="BN21" s="298" t="n">
        <f aca="false">IF(AND(SUP_CONTROL!$C$13=1,SUM($C$21:BM$21)=0,SUM($C$20:BM$20)=1,PROD_DEMANDA!BM13&gt;=SUP_PRODUCCION!$C$67,BN17&gt;=SUP_PRODUCCION!$C$93),1,0)</f>
        <v>0</v>
      </c>
      <c r="BO21" s="298" t="n">
        <f aca="false">IF(AND(SUP_CONTROL!$C$13=1,SUM($C$21:BN$21)=0,SUM($C$20:BN$20)=1,PROD_DEMANDA!BN13&gt;=SUP_PRODUCCION!$C$67,BO17&gt;=SUP_PRODUCCION!$C$93),1,0)</f>
        <v>0</v>
      </c>
      <c r="BP21" s="298" t="n">
        <f aca="false">IF(AND(SUP_CONTROL!$C$13=1,SUM($C$21:BO$21)=0,SUM($C$20:BO$20)=1,PROD_DEMANDA!BO13&gt;=SUP_PRODUCCION!$C$67,BP17&gt;=SUP_PRODUCCION!$C$93),1,0)</f>
        <v>0</v>
      </c>
      <c r="BQ21" s="298" t="n">
        <f aca="false">IF(AND(SUP_CONTROL!$C$13=1,SUM($C$21:BP$21)=0,SUM($C$20:BP$20)=1,PROD_DEMANDA!BP13&gt;=SUP_PRODUCCION!$C$67,BQ17&gt;=SUP_PRODUCCION!$C$93),1,0)</f>
        <v>0</v>
      </c>
      <c r="BR21" s="298" t="n">
        <f aca="false">IF(AND(SUP_CONTROL!$C$13=1,SUM($C$21:BQ$21)=0,SUM($C$20:BQ$20)=1,PROD_DEMANDA!BQ13&gt;=SUP_PRODUCCION!$C$67,BR17&gt;=SUP_PRODUCCION!$C$93),1,0)</f>
        <v>0</v>
      </c>
      <c r="BS21" s="298" t="n">
        <f aca="false">IF(AND(SUP_CONTROL!$C$13=1,SUM($C$21:BR$21)=0,SUM($C$20:BR$20)=1,PROD_DEMANDA!BR13&gt;=SUP_PRODUCCION!$C$67,BS17&gt;=SUP_PRODUCCION!$C$93),1,0)</f>
        <v>0</v>
      </c>
      <c r="BT21" s="298" t="n">
        <f aca="false">IF(AND(SUP_CONTROL!$C$13=1,SUM($C$21:BS$21)=0,SUM($C$20:BS$20)=1,PROD_DEMANDA!BS13&gt;=SUP_PRODUCCION!$C$67,BT17&gt;=SUP_PRODUCCION!$C$93),1,0)</f>
        <v>0</v>
      </c>
      <c r="BU21" s="298" t="n">
        <f aca="false">IF(AND(SUP_CONTROL!$C$13=1,SUM($C$21:BT$21)=0,SUM($C$20:BT$20)=1,PROD_DEMANDA!BT13&gt;=SUP_PRODUCCION!$C$67,BU17&gt;=SUP_PRODUCCION!$C$93),1,0)</f>
        <v>0</v>
      </c>
      <c r="BV21" s="298" t="n">
        <f aca="false">IF(AND(SUP_CONTROL!$C$13=1,SUM($C$21:BU$21)=0,SUM($C$20:BU$20)=1,PROD_DEMANDA!BU13&gt;=SUP_PRODUCCION!$C$67,BV17&gt;=SUP_PRODUCCION!$C$93),1,0)</f>
        <v>0</v>
      </c>
      <c r="BW21" s="298" t="n">
        <f aca="false">IF(AND(SUP_CONTROL!$C$13=1,SUM($C$21:BV$21)=0,SUM($C$20:BV$20)=1,PROD_DEMANDA!BV13&gt;=SUP_PRODUCCION!$C$67,BW17&gt;=SUP_PRODUCCION!$C$93),1,0)</f>
        <v>0</v>
      </c>
      <c r="BX21" s="298" t="n">
        <f aca="false">IF(AND(SUP_CONTROL!$C$13=1,SUM($C$21:BW$21)=0,SUM($C$20:BW$20)=1,PROD_DEMANDA!BW13&gt;=SUP_PRODUCCION!$C$67,BX17&gt;=SUP_PRODUCCION!$C$93),1,0)</f>
        <v>0</v>
      </c>
      <c r="BY21" s="298" t="n">
        <f aca="false">IF(AND(SUP_CONTROL!$C$13=1,SUM($C$21:BX$21)=0,SUM($C$20:BX$20)=1,PROD_DEMANDA!BX13&gt;=SUP_PRODUCCION!$C$67,BY17&gt;=SUP_PRODUCCION!$C$93),1,0)</f>
        <v>0</v>
      </c>
      <c r="BZ21" s="298" t="n">
        <f aca="false">IF(AND(SUP_CONTROL!$C$13=1,SUM($C$21:BY$21)=0,SUM($C$20:BY$20)=1,PROD_DEMANDA!BY13&gt;=SUP_PRODUCCION!$C$67,BZ17&gt;=SUP_PRODUCCION!$C$93),1,0)</f>
        <v>0</v>
      </c>
      <c r="CA21" s="298" t="n">
        <f aca="false">IF(AND(SUP_CONTROL!$C$13=1,SUM($C$21:BZ$21)=0,SUM($C$20:BZ$20)=1,PROD_DEMANDA!BZ13&gt;=SUP_PRODUCCION!$C$67,CA17&gt;=SUP_PRODUCCION!$C$93),1,0)</f>
        <v>0</v>
      </c>
      <c r="CB21" s="298" t="n">
        <f aca="false">IF(AND(SUP_CONTROL!$C$13=1,SUM($C$21:CA$21)=0,SUM($C$20:CA$20)=1,PROD_DEMANDA!CA13&gt;=SUP_PRODUCCION!$C$67,CB17&gt;=SUP_PRODUCCION!$C$93),1,0)</f>
        <v>0</v>
      </c>
      <c r="CC21" s="298" t="n">
        <f aca="false">IF(AND(SUP_CONTROL!$C$13=1,SUM($C$21:CB$21)=0,SUM($C$20:CB$20)=1,PROD_DEMANDA!CB13&gt;=SUP_PRODUCCION!$C$67,CC17&gt;=SUP_PRODUCCION!$C$93),1,0)</f>
        <v>0</v>
      </c>
      <c r="CD21" s="298" t="n">
        <f aca="false">IF(AND(SUP_CONTROL!$C$13=1,SUM($C$21:CC$21)=0,SUM($C$20:CC$20)=1,PROD_DEMANDA!CC13&gt;=SUP_PRODUCCION!$C$67,CD17&gt;=SUP_PRODUCCION!$C$93),1,0)</f>
        <v>0</v>
      </c>
      <c r="CE21" s="298" t="n">
        <f aca="false">IF(AND(SUP_CONTROL!$C$13=1,SUM($C$21:CD$21)=0,SUM($C$20:CD$20)=1,PROD_DEMANDA!CD13&gt;=SUP_PRODUCCION!$C$67,CE17&gt;=SUP_PRODUCCION!$C$93),1,0)</f>
        <v>0</v>
      </c>
      <c r="CF21" s="298" t="n">
        <f aca="false">IF(AND(SUP_CONTROL!$C$13=1,SUM($C$21:CE$21)=0,SUM($C$20:CE$20)=1,PROD_DEMANDA!CE13&gt;=SUP_PRODUCCION!$C$67,CF17&gt;=SUP_PRODUCCION!$C$93),1,0)</f>
        <v>0</v>
      </c>
      <c r="CG21" s="298" t="n">
        <f aca="false">IF(AND(SUP_CONTROL!$C$13=1,SUM($C$21:CF$21)=0,SUM($C$20:CF$20)=1,PROD_DEMANDA!CF13&gt;=SUP_PRODUCCION!$C$67,CG17&gt;=SUP_PRODUCCION!$C$93),1,0)</f>
        <v>0</v>
      </c>
      <c r="CH21" s="298" t="n">
        <f aca="false">IF(AND(SUP_CONTROL!$C$13=1,SUM($C$21:CG$21)=0,SUM($C$20:CG$20)=1,PROD_DEMANDA!CG13&gt;=SUP_PRODUCCION!$C$67,CH17&gt;=SUP_PRODUCCION!$C$93),1,0)</f>
        <v>1</v>
      </c>
      <c r="CI21" s="298" t="n">
        <f aca="false">IF(AND(SUP_CONTROL!$C$13=1,SUM($C$21:CH$21)=0,SUM($C$20:CH$20)=1,PROD_DEMANDA!CH13&gt;=SUP_PRODUCCION!$C$67,CI17&gt;=SUP_PRODUCCION!$C$93),1,0)</f>
        <v>0</v>
      </c>
      <c r="CJ21" s="298" t="n">
        <f aca="false">IF(AND(SUP_CONTROL!$C$13=1,SUM($C$21:CI$21)=0,SUM($C$20:CI$20)=1,PROD_DEMANDA!CI13&gt;=SUP_PRODUCCION!$C$67,CJ17&gt;=SUP_PRODUCCION!$C$93),1,0)</f>
        <v>0</v>
      </c>
      <c r="CK21" s="298" t="n">
        <f aca="false">IF(AND(SUP_CONTROL!$C$13=1,SUM($C$21:CJ$21)=0,SUM($C$20:CJ$20)=1,PROD_DEMANDA!CJ13&gt;=SUP_PRODUCCION!$C$67,CK17&gt;=SUP_PRODUCCION!$C$93),1,0)</f>
        <v>0</v>
      </c>
      <c r="CL21" s="298" t="n">
        <f aca="false">IF(AND(SUP_CONTROL!$C$13=1,SUM($C$21:CK$21)=0,SUM($C$20:CK$20)=1,PROD_DEMANDA!CK13&gt;=SUP_PRODUCCION!$C$67,CL17&gt;=SUP_PRODUCCION!$C$93),1,0)</f>
        <v>0</v>
      </c>
      <c r="CM21" s="298" t="n">
        <f aca="false">IF(AND(SUP_CONTROL!$C$13=1,SUM($C$21:CL$21)=0,SUM($C$20:CL$20)=1,PROD_DEMANDA!CL13&gt;=SUP_PRODUCCION!$C$67,CM17&gt;=SUP_PRODUCCION!$C$93),1,0)</f>
        <v>0</v>
      </c>
      <c r="CN21" s="298" t="n">
        <f aca="false">IF(AND(SUP_CONTROL!$C$13=1,SUM($C$21:CM$21)=0,SUM($C$20:CM$20)=1,PROD_DEMANDA!CM13&gt;=SUP_PRODUCCION!$C$67,CN17&gt;=SUP_PRODUCCION!$C$93),1,0)</f>
        <v>0</v>
      </c>
      <c r="CO21" s="298" t="n">
        <f aca="false">IF(AND(SUP_CONTROL!$C$13=1,SUM($C$21:CN$21)=0,SUM($C$20:CN$20)=1,PROD_DEMANDA!CN13&gt;=SUP_PRODUCCION!$C$67,CO17&gt;=SUP_PRODUCCION!$C$93),1,0)</f>
        <v>0</v>
      </c>
      <c r="CP21" s="298" t="n">
        <f aca="false">IF(AND(SUP_CONTROL!$C$13=1,SUM($C$21:CO$21)=0,SUM($C$20:CO$20)=1,PROD_DEMANDA!CO13&gt;=SUP_PRODUCCION!$C$67,CP17&gt;=SUP_PRODUCCION!$C$93),1,0)</f>
        <v>0</v>
      </c>
      <c r="CQ21" s="298" t="n">
        <f aca="false">IF(AND(SUP_CONTROL!$C$13=1,SUM($C$21:CP$21)=0,SUM($C$20:CP$20)=1,PROD_DEMANDA!CP13&gt;=SUP_PRODUCCION!$C$67,CQ17&gt;=SUP_PRODUCCION!$C$93),1,0)</f>
        <v>0</v>
      </c>
      <c r="CR21" s="298" t="n">
        <f aca="false">IF(AND(SUP_CONTROL!$C$13=1,SUM($C$21:CQ$21)=0,SUM($C$20:CQ$20)=1,PROD_DEMANDA!CQ13&gt;=SUP_PRODUCCION!$C$67,CR17&gt;=SUP_PRODUCCION!$C$93),1,0)</f>
        <v>0</v>
      </c>
      <c r="CS21" s="298" t="n">
        <f aca="false">IF(AND(SUP_CONTROL!$C$13=1,SUM($C$21:CR$21)=0,SUM($C$20:CR$20)=1,PROD_DEMANDA!CR13&gt;=SUP_PRODUCCION!$C$67,CS17&gt;=SUP_PRODUCCION!$C$93),1,0)</f>
        <v>0</v>
      </c>
      <c r="CT21" s="298" t="n">
        <f aca="false">IF(AND(SUP_CONTROL!$C$13=1,SUM($C$21:CS$21)=0,SUM($C$20:CS$20)=1,PROD_DEMANDA!CS13&gt;=SUP_PRODUCCION!$C$67,CT17&gt;=SUP_PRODUCCION!$C$93),1,0)</f>
        <v>0</v>
      </c>
      <c r="CU21" s="298" t="n">
        <f aca="false">IF(AND(SUP_CONTROL!$C$13=1,SUM($C$21:CT$21)=0,SUM($C$20:CT$20)=1,PROD_DEMANDA!CT13&gt;=SUP_PRODUCCION!$C$67,CU17&gt;=SUP_PRODUCCION!$C$93),1,0)</f>
        <v>0</v>
      </c>
      <c r="CV21" s="298" t="n">
        <f aca="false">IF(AND(SUP_CONTROL!$C$13=1,SUM($C$21:CU$21)=0,SUM($C$20:CU$20)=1,PROD_DEMANDA!CU13&gt;=SUP_PRODUCCION!$C$67,CV17&gt;=SUP_PRODUCCION!$C$93),1,0)</f>
        <v>0</v>
      </c>
      <c r="CW21" s="298" t="n">
        <f aca="false">IF(AND(SUP_CONTROL!$C$13=1,SUM($C$21:CV$21)=0,SUM($C$20:CV$20)=1,PROD_DEMANDA!CV13&gt;=SUP_PRODUCCION!$C$67,CW17&gt;=SUP_PRODUCCION!$C$93),1,0)</f>
        <v>0</v>
      </c>
      <c r="CX21" s="298" t="n">
        <f aca="false">IF(AND(SUP_CONTROL!$C$13=1,SUM($C$21:CW$21)=0,SUM($C$20:CW$20)=1,PROD_DEMANDA!CW13&gt;=SUP_PRODUCCION!$C$67,CX17&gt;=SUP_PRODUCCION!$C$93),1,0)</f>
        <v>0</v>
      </c>
      <c r="CY21" s="298" t="n">
        <f aca="false">IF(AND(SUP_CONTROL!$C$13=1,SUM($C$21:CX$21)=0,SUM($C$20:CX$20)=1,PROD_DEMANDA!CX13&gt;=SUP_PRODUCCION!$C$67,CY17&gt;=SUP_PRODUCCION!$C$93),1,0)</f>
        <v>0</v>
      </c>
      <c r="CZ21" s="298" t="n">
        <f aca="false">IF(AND(SUP_CONTROL!$C$13=1,SUM($C$21:CY$21)=0,SUM($C$20:CY$20)=1,PROD_DEMANDA!CY13&gt;=SUP_PRODUCCION!$C$67,CZ17&gt;=SUP_PRODUCCION!$C$93),1,0)</f>
        <v>0</v>
      </c>
      <c r="DA21" s="298" t="n">
        <f aca="false">IF(AND(SUP_CONTROL!$C$13=1,SUM($C$21:CZ$21)=0,SUM($C$20:CZ$20)=1,PROD_DEMANDA!CZ13&gt;=SUP_PRODUCCION!$C$67,DA17&gt;=SUP_PRODUCCION!$C$93),1,0)</f>
        <v>0</v>
      </c>
      <c r="DB21" s="298" t="n">
        <f aca="false">IF(AND(SUP_CONTROL!$C$13=1,SUM($C$21:DA$21)=0,SUM($C$20:DA$20)=1,PROD_DEMANDA!DA13&gt;=SUP_PRODUCCION!$C$67,DB17&gt;=SUP_PRODUCCION!$C$93),1,0)</f>
        <v>0</v>
      </c>
      <c r="DC21" s="298" t="n">
        <f aca="false">IF(AND(SUP_CONTROL!$C$13=1,SUM($C$21:DB$21)=0,SUM($C$20:DB$20)=1,PROD_DEMANDA!DB13&gt;=SUP_PRODUCCION!$C$67,DC17&gt;=SUP_PRODUCCION!$C$93),1,0)</f>
        <v>0</v>
      </c>
      <c r="DD21" s="298" t="n">
        <f aca="false">IF(AND(SUP_CONTROL!$C$13=1,SUM($C$21:DC$21)=0,SUM($C$20:DC$20)=1,PROD_DEMANDA!DC13&gt;=SUP_PRODUCCION!$C$67,DD17&gt;=SUP_PRODUCCION!$C$93),1,0)</f>
        <v>0</v>
      </c>
      <c r="DE21" s="298" t="n">
        <f aca="false">IF(AND(SUP_CONTROL!$C$13=1,SUM($C$21:DD$21)=0,SUM($C$20:DD$20)=1,PROD_DEMANDA!DD13&gt;=SUP_PRODUCCION!$C$67,DE17&gt;=SUP_PRODUCCION!$C$93),1,0)</f>
        <v>0</v>
      </c>
      <c r="DF21" s="298" t="n">
        <f aca="false">IF(AND(SUP_CONTROL!$C$13=1,SUM($C$21:DE$21)=0,SUM($C$20:DE$20)=1,PROD_DEMANDA!DE13&gt;=SUP_PRODUCCION!$C$67,DF17&gt;=SUP_PRODUCCION!$C$93),1,0)</f>
        <v>0</v>
      </c>
      <c r="DG21" s="298" t="n">
        <f aca="false">IF(AND(SUP_CONTROL!$C$13=1,SUM($C$21:DF$21)=0,SUM($C$20:DF$20)=1,PROD_DEMANDA!DF13&gt;=SUP_PRODUCCION!$C$67,DG17&gt;=SUP_PRODUCCION!$C$93),1,0)</f>
        <v>0</v>
      </c>
      <c r="DH21" s="298" t="n">
        <f aca="false">IF(AND(SUP_CONTROL!$C$13=1,SUM($C$21:DG$21)=0,SUM($C$20:DG$20)=1,PROD_DEMANDA!DG13&gt;=SUP_PRODUCCION!$C$67,DH17&gt;=SUP_PRODUCCION!$C$93),1,0)</f>
        <v>0</v>
      </c>
      <c r="DI21" s="298" t="n">
        <f aca="false">IF(AND(SUP_CONTROL!$C$13=1,SUM($C$21:DH$21)=0,SUM($C$20:DH$20)=1,PROD_DEMANDA!DH13&gt;=SUP_PRODUCCION!$C$67,DI17&gt;=SUP_PRODUCCION!$C$93),1,0)</f>
        <v>0</v>
      </c>
      <c r="DJ21" s="298" t="n">
        <f aca="false">IF(AND(SUP_CONTROL!$C$13=1,SUM($C$21:DI$21)=0,SUM($C$20:DI$20)=1,PROD_DEMANDA!DI13&gt;=SUP_PRODUCCION!$C$67,DJ17&gt;=SUP_PRODUCCION!$C$93),1,0)</f>
        <v>0</v>
      </c>
      <c r="DK21" s="298" t="n">
        <f aca="false">IF(AND(SUP_CONTROL!$C$13=1,SUM($C$21:DJ$21)=0,SUM($C$20:DJ$20)=1,PROD_DEMANDA!DJ13&gt;=SUP_PRODUCCION!$C$67,DK17&gt;=SUP_PRODUCCION!$C$93),1,0)</f>
        <v>0</v>
      </c>
      <c r="DL21" s="298" t="n">
        <f aca="false">IF(AND(SUP_CONTROL!$C$13=1,SUM($C$21:DK$21)=0,SUM($C$20:DK$20)=1,PROD_DEMANDA!DK13&gt;=SUP_PRODUCCION!$C$67,DL17&gt;=SUP_PRODUCCION!$C$93),1,0)</f>
        <v>0</v>
      </c>
      <c r="DM21" s="298" t="n">
        <f aca="false">IF(AND(SUP_CONTROL!$C$13=1,SUM($C$21:DL$21)=0,SUM($C$20:DL$20)=1,PROD_DEMANDA!DL13&gt;=SUP_PRODUCCION!$C$67,DM17&gt;=SUP_PRODUCCION!$C$93),1,0)</f>
        <v>0</v>
      </c>
      <c r="DN21" s="298" t="n">
        <f aca="false">IF(AND(SUP_CONTROL!$C$13=1,SUM($C$21:DM$21)=0,SUM($C$20:DM$20)=1,PROD_DEMANDA!DM13&gt;=SUP_PRODUCCION!$C$67,DN17&gt;=SUP_PRODUCCION!$C$93),1,0)</f>
        <v>0</v>
      </c>
      <c r="DO21" s="298" t="n">
        <f aca="false">IF(AND(SUP_CONTROL!$C$13=1,SUM($C$21:DN$21)=0,SUM($C$20:DN$20)=1,PROD_DEMANDA!DN13&gt;=SUP_PRODUCCION!$C$67,DO17&gt;=SUP_PRODUCCION!$C$93),1,0)</f>
        <v>0</v>
      </c>
      <c r="DP21" s="298" t="n">
        <f aca="false">IF(AND(SUP_CONTROL!$C$13=1,SUM($C$21:DO$21)=0,SUM($C$20:DO$20)=1,PROD_DEMANDA!DO13&gt;=SUP_PRODUCCION!$C$67,DP17&gt;=SUP_PRODUCCION!$C$93),1,0)</f>
        <v>0</v>
      </c>
      <c r="DQ21" s="298" t="n">
        <f aca="false">IF(AND(SUP_CONTROL!$C$13=1,SUM($C$21:DP$21)=0,SUM($C$20:DP$20)=1,PROD_DEMANDA!DP13&gt;=SUP_PRODUCCION!$C$67,DQ17&gt;=SUP_PRODUCCION!$C$93),1,0)</f>
        <v>0</v>
      </c>
      <c r="DR21" s="298" t="n">
        <f aca="false">IF(AND(SUP_CONTROL!$C$13=1,SUM($C$21:DQ$21)=0,SUM($C$20:DQ$20)=1,PROD_DEMANDA!DQ13&gt;=SUP_PRODUCCION!$C$67,DR17&gt;=SUP_PRODUCCION!$C$93),1,0)</f>
        <v>0</v>
      </c>
      <c r="DS21" s="298" t="n">
        <f aca="false">IF(AND(SUP_CONTROL!$C$13=1,SUM($C$21:DR$21)=0,SUM($C$20:DR$20)=1,PROD_DEMANDA!DR13&gt;=SUP_PRODUCCION!$C$67,DS17&gt;=SUP_PRODUCCION!$C$93),1,0)</f>
        <v>0</v>
      </c>
    </row>
    <row r="22" customFormat="false" ht="15" hidden="false" customHeight="true" outlineLevel="0" collapsed="false">
      <c r="B22" s="297" t="s">
        <v>3529</v>
      </c>
      <c r="D22" s="273" t="n">
        <f aca="false">D19*SUP_PRODUCCION!$C$91+D20*SUP_PRODUCCION!$C$92+D21*SUP_PRODUCCION!$C$93+SUP_CONTROL!$C$13*IF(AND(SUP_LOGISTICA!$C$21&gt;0,D4=SUP_LOGISTICA!$C$21),SUP_PRODUCCION!$C$88,0)</f>
        <v>0</v>
      </c>
      <c r="E22" s="273" t="n">
        <f aca="false">E19*SUP_PRODUCCION!$C$91+E20*SUP_PRODUCCION!$C$92+E21*SUP_PRODUCCION!$C$93+SUP_CONTROL!$C$13*IF(AND(SUP_LOGISTICA!$C$21&gt;0,E4=SUP_LOGISTICA!$C$21),SUP_PRODUCCION!$C$88,0)</f>
        <v>0</v>
      </c>
      <c r="F22" s="273" t="n">
        <f aca="false">F19*SUP_PRODUCCION!$C$91+F20*SUP_PRODUCCION!$C$92+F21*SUP_PRODUCCION!$C$93+SUP_CONTROL!$C$13*IF(AND(SUP_LOGISTICA!$C$21&gt;0,F4=SUP_LOGISTICA!$C$21),SUP_PRODUCCION!$C$88,0)</f>
        <v>0</v>
      </c>
      <c r="G22" s="273" t="n">
        <f aca="false">G19*SUP_PRODUCCION!$C$91+G20*SUP_PRODUCCION!$C$92+G21*SUP_PRODUCCION!$C$93+SUP_CONTROL!$C$13*IF(AND(SUP_LOGISTICA!$C$21&gt;0,G4=SUP_LOGISTICA!$C$21),SUP_PRODUCCION!$C$88,0)</f>
        <v>0</v>
      </c>
      <c r="H22" s="273" t="n">
        <f aca="false">H19*SUP_PRODUCCION!$C$91+H20*SUP_PRODUCCION!$C$92+H21*SUP_PRODUCCION!$C$93+SUP_CONTROL!$C$13*IF(AND(SUP_LOGISTICA!$C$21&gt;0,H4=SUP_LOGISTICA!$C$21),SUP_PRODUCCION!$C$88,0)</f>
        <v>0</v>
      </c>
      <c r="I22" s="273" t="n">
        <f aca="false">I19*SUP_PRODUCCION!$C$91+I20*SUP_PRODUCCION!$C$92+I21*SUP_PRODUCCION!$C$93+SUP_CONTROL!$C$13*IF(AND(SUP_LOGISTICA!$C$21&gt;0,I4=SUP_LOGISTICA!$C$21),SUP_PRODUCCION!$C$88,0)</f>
        <v>0</v>
      </c>
      <c r="J22" s="273" t="n">
        <f aca="false">J19*SUP_PRODUCCION!$C$91+J20*SUP_PRODUCCION!$C$92+J21*SUP_PRODUCCION!$C$93+SUP_CONTROL!$C$13*IF(AND(SUP_LOGISTICA!$C$21&gt;0,J4=SUP_LOGISTICA!$C$21),SUP_PRODUCCION!$C$88,0)</f>
        <v>0</v>
      </c>
      <c r="K22" s="273" t="n">
        <f aca="false">K19*SUP_PRODUCCION!$C$91+K20*SUP_PRODUCCION!$C$92+K21*SUP_PRODUCCION!$C$93+SUP_CONTROL!$C$13*IF(AND(SUP_LOGISTICA!$C$21&gt;0,K4=SUP_LOGISTICA!$C$21),SUP_PRODUCCION!$C$88,0)</f>
        <v>0</v>
      </c>
      <c r="L22" s="273" t="n">
        <f aca="false">L19*SUP_PRODUCCION!$C$91+L20*SUP_PRODUCCION!$C$92+L21*SUP_PRODUCCION!$C$93+SUP_CONTROL!$C$13*IF(AND(SUP_LOGISTICA!$C$21&gt;0,L4=SUP_LOGISTICA!$C$21),SUP_PRODUCCION!$C$88,0)</f>
        <v>0</v>
      </c>
      <c r="M22" s="273" t="n">
        <f aca="false">M19*SUP_PRODUCCION!$C$91+M20*SUP_PRODUCCION!$C$92+M21*SUP_PRODUCCION!$C$93+SUP_CONTROL!$C$13*IF(AND(SUP_LOGISTICA!$C$21&gt;0,M4=SUP_LOGISTICA!$C$21),SUP_PRODUCCION!$C$88,0)</f>
        <v>0</v>
      </c>
      <c r="N22" s="273" t="n">
        <f aca="false">N19*SUP_PRODUCCION!$C$91+N20*SUP_PRODUCCION!$C$92+N21*SUP_PRODUCCION!$C$93+SUP_CONTROL!$C$13*IF(AND(SUP_LOGISTICA!$C$21&gt;0,N4=SUP_LOGISTICA!$C$21),SUP_PRODUCCION!$C$88,0)</f>
        <v>0</v>
      </c>
      <c r="O22" s="273" t="n">
        <f aca="false">O19*SUP_PRODUCCION!$C$91+O20*SUP_PRODUCCION!$C$92+O21*SUP_PRODUCCION!$C$93+SUP_CONTROL!$C$13*IF(AND(SUP_LOGISTICA!$C$21&gt;0,O4=SUP_LOGISTICA!$C$21),SUP_PRODUCCION!$C$88,0)</f>
        <v>0</v>
      </c>
      <c r="P22" s="273" t="n">
        <f aca="false">P19*SUP_PRODUCCION!$C$91+P20*SUP_PRODUCCION!$C$92+P21*SUP_PRODUCCION!$C$93+SUP_CONTROL!$C$13*IF(AND(SUP_LOGISTICA!$C$21&gt;0,P4=SUP_LOGISTICA!$C$21),SUP_PRODUCCION!$C$88,0)</f>
        <v>0</v>
      </c>
      <c r="Q22" s="273" t="n">
        <f aca="false">Q19*SUP_PRODUCCION!$C$91+Q20*SUP_PRODUCCION!$C$92+Q21*SUP_PRODUCCION!$C$93+SUP_CONTROL!$C$13*IF(AND(SUP_LOGISTICA!$C$21&gt;0,Q4=SUP_LOGISTICA!$C$21),SUP_PRODUCCION!$C$88,0)</f>
        <v>0</v>
      </c>
      <c r="R22" s="273" t="n">
        <f aca="false">R19*SUP_PRODUCCION!$C$91+R20*SUP_PRODUCCION!$C$92+R21*SUP_PRODUCCION!$C$93+SUP_CONTROL!$C$13*IF(AND(SUP_LOGISTICA!$C$21&gt;0,R4=SUP_LOGISTICA!$C$21),SUP_PRODUCCION!$C$88,0)</f>
        <v>0</v>
      </c>
      <c r="S22" s="273" t="n">
        <f aca="false">S19*SUP_PRODUCCION!$C$91+S20*SUP_PRODUCCION!$C$92+S21*SUP_PRODUCCION!$C$93+SUP_CONTROL!$C$13*IF(AND(SUP_LOGISTICA!$C$21&gt;0,S4=SUP_LOGISTICA!$C$21),SUP_PRODUCCION!$C$88,0)</f>
        <v>0</v>
      </c>
      <c r="T22" s="273" t="n">
        <f aca="false">T19*SUP_PRODUCCION!$C$91+T20*SUP_PRODUCCION!$C$92+T21*SUP_PRODUCCION!$C$93+SUP_CONTROL!$C$13*IF(AND(SUP_LOGISTICA!$C$21&gt;0,T4=SUP_LOGISTICA!$C$21),SUP_PRODUCCION!$C$88,0)</f>
        <v>0</v>
      </c>
      <c r="U22" s="273" t="n">
        <f aca="false">U19*SUP_PRODUCCION!$C$91+U20*SUP_PRODUCCION!$C$92+U21*SUP_PRODUCCION!$C$93+SUP_CONTROL!$C$13*IF(AND(SUP_LOGISTICA!$C$21&gt;0,U4=SUP_LOGISTICA!$C$21),SUP_PRODUCCION!$C$88,0)</f>
        <v>0</v>
      </c>
      <c r="V22" s="273" t="n">
        <f aca="false">V19*SUP_PRODUCCION!$C$91+V20*SUP_PRODUCCION!$C$92+V21*SUP_PRODUCCION!$C$93+SUP_CONTROL!$C$13*IF(AND(SUP_LOGISTICA!$C$21&gt;0,V4=SUP_LOGISTICA!$C$21),SUP_PRODUCCION!$C$88,0)</f>
        <v>0</v>
      </c>
      <c r="W22" s="273" t="n">
        <f aca="false">W19*SUP_PRODUCCION!$C$91+W20*SUP_PRODUCCION!$C$92+W21*SUP_PRODUCCION!$C$93+SUP_CONTROL!$C$13*IF(AND(SUP_LOGISTICA!$C$21&gt;0,W4=SUP_LOGISTICA!$C$21),SUP_PRODUCCION!$C$88,0)</f>
        <v>0</v>
      </c>
      <c r="X22" s="273" t="n">
        <f aca="false">X19*SUP_PRODUCCION!$C$91+X20*SUP_PRODUCCION!$C$92+X21*SUP_PRODUCCION!$C$93+SUP_CONTROL!$C$13*IF(AND(SUP_LOGISTICA!$C$21&gt;0,X4=SUP_LOGISTICA!$C$21),SUP_PRODUCCION!$C$88,0)</f>
        <v>0</v>
      </c>
      <c r="Y22" s="273" t="n">
        <f aca="false">Y19*SUP_PRODUCCION!$C$91+Y20*SUP_PRODUCCION!$C$92+Y21*SUP_PRODUCCION!$C$93+SUP_CONTROL!$C$13*IF(AND(SUP_LOGISTICA!$C$21&gt;0,Y4=SUP_LOGISTICA!$C$21),SUP_PRODUCCION!$C$88,0)</f>
        <v>0</v>
      </c>
      <c r="Z22" s="273" t="n">
        <f aca="false">Z19*SUP_PRODUCCION!$C$91+Z20*SUP_PRODUCCION!$C$92+Z21*SUP_PRODUCCION!$C$93+SUP_CONTROL!$C$13*IF(AND(SUP_LOGISTICA!$C$21&gt;0,Z4=SUP_LOGISTICA!$C$21),SUP_PRODUCCION!$C$88,0)</f>
        <v>0</v>
      </c>
      <c r="AA22" s="273" t="n">
        <f aca="false">AA19*SUP_PRODUCCION!$C$91+AA20*SUP_PRODUCCION!$C$92+AA21*SUP_PRODUCCION!$C$93+SUP_CONTROL!$C$13*IF(AND(SUP_LOGISTICA!$C$21&gt;0,AA4=SUP_LOGISTICA!$C$21),SUP_PRODUCCION!$C$88,0)</f>
        <v>0</v>
      </c>
      <c r="AB22" s="273" t="n">
        <f aca="false">AB19*SUP_PRODUCCION!$C$91+AB20*SUP_PRODUCCION!$C$92+AB21*SUP_PRODUCCION!$C$93+SUP_CONTROL!$C$13*IF(AND(SUP_LOGISTICA!$C$21&gt;0,AB4=SUP_LOGISTICA!$C$21),SUP_PRODUCCION!$C$88,0)</f>
        <v>0</v>
      </c>
      <c r="AC22" s="273" t="n">
        <f aca="false">AC19*SUP_PRODUCCION!$C$91+AC20*SUP_PRODUCCION!$C$92+AC21*SUP_PRODUCCION!$C$93+SUP_CONTROL!$C$13*IF(AND(SUP_LOGISTICA!$C$21&gt;0,AC4=SUP_LOGISTICA!$C$21),SUP_PRODUCCION!$C$88,0)</f>
        <v>0</v>
      </c>
      <c r="AD22" s="273" t="n">
        <f aca="false">AD19*SUP_PRODUCCION!$C$91+AD20*SUP_PRODUCCION!$C$92+AD21*SUP_PRODUCCION!$C$93+SUP_CONTROL!$C$13*IF(AND(SUP_LOGISTICA!$C$21&gt;0,AD4=SUP_LOGISTICA!$C$21),SUP_PRODUCCION!$C$88,0)</f>
        <v>342751.408</v>
      </c>
      <c r="AE22" s="273" t="n">
        <f aca="false">AE19*SUP_PRODUCCION!$C$91+AE20*SUP_PRODUCCION!$C$92+AE21*SUP_PRODUCCION!$C$93+SUP_CONTROL!$C$13*IF(AND(SUP_LOGISTICA!$C$21&gt;0,AE4=SUP_LOGISTICA!$C$21),SUP_PRODUCCION!$C$88,0)</f>
        <v>0</v>
      </c>
      <c r="AF22" s="273" t="n">
        <f aca="false">AF19*SUP_PRODUCCION!$C$91+AF20*SUP_PRODUCCION!$C$92+AF21*SUP_PRODUCCION!$C$93+SUP_CONTROL!$C$13*IF(AND(SUP_LOGISTICA!$C$21&gt;0,AF4=SUP_LOGISTICA!$C$21),SUP_PRODUCCION!$C$88,0)</f>
        <v>0</v>
      </c>
      <c r="AG22" s="273" t="n">
        <f aca="false">AG19*SUP_PRODUCCION!$C$91+AG20*SUP_PRODUCCION!$C$92+AG21*SUP_PRODUCCION!$C$93+SUP_CONTROL!$C$13*IF(AND(SUP_LOGISTICA!$C$21&gt;0,AG4=SUP_LOGISTICA!$C$21),SUP_PRODUCCION!$C$88,0)</f>
        <v>0</v>
      </c>
      <c r="AH22" s="273" t="n">
        <f aca="false">AH19*SUP_PRODUCCION!$C$91+AH20*SUP_PRODUCCION!$C$92+AH21*SUP_PRODUCCION!$C$93+SUP_CONTROL!$C$13*IF(AND(SUP_LOGISTICA!$C$21&gt;0,AH4=SUP_LOGISTICA!$C$21),SUP_PRODUCCION!$C$88,0)</f>
        <v>0</v>
      </c>
      <c r="AI22" s="273" t="n">
        <f aca="false">AI19*SUP_PRODUCCION!$C$91+AI20*SUP_PRODUCCION!$C$92+AI21*SUP_PRODUCCION!$C$93+SUP_CONTROL!$C$13*IF(AND(SUP_LOGISTICA!$C$21&gt;0,AI4=SUP_LOGISTICA!$C$21),SUP_PRODUCCION!$C$88,0)</f>
        <v>0</v>
      </c>
      <c r="AJ22" s="273" t="n">
        <f aca="false">AJ19*SUP_PRODUCCION!$C$91+AJ20*SUP_PRODUCCION!$C$92+AJ21*SUP_PRODUCCION!$C$93+SUP_CONTROL!$C$13*IF(AND(SUP_LOGISTICA!$C$21&gt;0,AJ4=SUP_LOGISTICA!$C$21),SUP_PRODUCCION!$C$88,0)</f>
        <v>0</v>
      </c>
      <c r="AK22" s="273" t="n">
        <f aca="false">AK19*SUP_PRODUCCION!$C$91+AK20*SUP_PRODUCCION!$C$92+AK21*SUP_PRODUCCION!$C$93+SUP_CONTROL!$C$13*IF(AND(SUP_LOGISTICA!$C$21&gt;0,AK4=SUP_LOGISTICA!$C$21),SUP_PRODUCCION!$C$88,0)</f>
        <v>0</v>
      </c>
      <c r="AL22" s="273" t="n">
        <f aca="false">AL19*SUP_PRODUCCION!$C$91+AL20*SUP_PRODUCCION!$C$92+AL21*SUP_PRODUCCION!$C$93+SUP_CONTROL!$C$13*IF(AND(SUP_LOGISTICA!$C$21&gt;0,AL4=SUP_LOGISTICA!$C$21),SUP_PRODUCCION!$C$88,0)</f>
        <v>0</v>
      </c>
      <c r="AM22" s="273" t="n">
        <f aca="false">AM19*SUP_PRODUCCION!$C$91+AM20*SUP_PRODUCCION!$C$92+AM21*SUP_PRODUCCION!$C$93+SUP_CONTROL!$C$13*IF(AND(SUP_LOGISTICA!$C$21&gt;0,AM4=SUP_LOGISTICA!$C$21),SUP_PRODUCCION!$C$88,0)</f>
        <v>0</v>
      </c>
      <c r="AN22" s="273" t="n">
        <f aca="false">AN19*SUP_PRODUCCION!$C$91+AN20*SUP_PRODUCCION!$C$92+AN21*SUP_PRODUCCION!$C$93+SUP_CONTROL!$C$13*IF(AND(SUP_LOGISTICA!$C$21&gt;0,AN4=SUP_LOGISTICA!$C$21),SUP_PRODUCCION!$C$88,0)</f>
        <v>0</v>
      </c>
      <c r="AO22" s="273" t="n">
        <f aca="false">AO19*SUP_PRODUCCION!$C$91+AO20*SUP_PRODUCCION!$C$92+AO21*SUP_PRODUCCION!$C$93+SUP_CONTROL!$C$13*IF(AND(SUP_LOGISTICA!$C$21&gt;0,AO4=SUP_LOGISTICA!$C$21),SUP_PRODUCCION!$C$88,0)</f>
        <v>0</v>
      </c>
      <c r="AP22" s="273" t="n">
        <f aca="false">AP19*SUP_PRODUCCION!$C$91+AP20*SUP_PRODUCCION!$C$92+AP21*SUP_PRODUCCION!$C$93+SUP_CONTROL!$C$13*IF(AND(SUP_LOGISTICA!$C$21&gt;0,AP4=SUP_LOGISTICA!$C$21),SUP_PRODUCCION!$C$88,0)</f>
        <v>0</v>
      </c>
      <c r="AQ22" s="273" t="n">
        <f aca="false">AQ19*SUP_PRODUCCION!$C$91+AQ20*SUP_PRODUCCION!$C$92+AQ21*SUP_PRODUCCION!$C$93+SUP_CONTROL!$C$13*IF(AND(SUP_LOGISTICA!$C$21&gt;0,AQ4=SUP_LOGISTICA!$C$21),SUP_PRODUCCION!$C$88,0)</f>
        <v>0</v>
      </c>
      <c r="AR22" s="273" t="n">
        <f aca="false">AR19*SUP_PRODUCCION!$C$91+AR20*SUP_PRODUCCION!$C$92+AR21*SUP_PRODUCCION!$C$93+SUP_CONTROL!$C$13*IF(AND(SUP_LOGISTICA!$C$21&gt;0,AR4=SUP_LOGISTICA!$C$21),SUP_PRODUCCION!$C$88,0)</f>
        <v>0</v>
      </c>
      <c r="AS22" s="273" t="n">
        <f aca="false">AS19*SUP_PRODUCCION!$C$91+AS20*SUP_PRODUCCION!$C$92+AS21*SUP_PRODUCCION!$C$93+SUP_CONTROL!$C$13*IF(AND(SUP_LOGISTICA!$C$21&gt;0,AS4=SUP_LOGISTICA!$C$21),SUP_PRODUCCION!$C$88,0)</f>
        <v>0</v>
      </c>
      <c r="AT22" s="273" t="n">
        <f aca="false">AT19*SUP_PRODUCCION!$C$91+AT20*SUP_PRODUCCION!$C$92+AT21*SUP_PRODUCCION!$C$93+SUP_CONTROL!$C$13*IF(AND(SUP_LOGISTICA!$C$21&gt;0,AT4=SUP_LOGISTICA!$C$21),SUP_PRODUCCION!$C$88,0)</f>
        <v>0</v>
      </c>
      <c r="AU22" s="273" t="n">
        <f aca="false">AU19*SUP_PRODUCCION!$C$91+AU20*SUP_PRODUCCION!$C$92+AU21*SUP_PRODUCCION!$C$93+SUP_CONTROL!$C$13*IF(AND(SUP_LOGISTICA!$C$21&gt;0,AU4=SUP_LOGISTICA!$C$21),SUP_PRODUCCION!$C$88,0)</f>
        <v>0</v>
      </c>
      <c r="AV22" s="273" t="n">
        <f aca="false">AV19*SUP_PRODUCCION!$C$91+AV20*SUP_PRODUCCION!$C$92+AV21*SUP_PRODUCCION!$C$93+SUP_CONTROL!$C$13*IF(AND(SUP_LOGISTICA!$C$21&gt;0,AV4=SUP_LOGISTICA!$C$21),SUP_PRODUCCION!$C$88,0)</f>
        <v>0</v>
      </c>
      <c r="AW22" s="273" t="n">
        <f aca="false">AW19*SUP_PRODUCCION!$C$91+AW20*SUP_PRODUCCION!$C$92+AW21*SUP_PRODUCCION!$C$93+SUP_CONTROL!$C$13*IF(AND(SUP_LOGISTICA!$C$21&gt;0,AW4=SUP_LOGISTICA!$C$21),SUP_PRODUCCION!$C$88,0)</f>
        <v>0</v>
      </c>
      <c r="AX22" s="273" t="n">
        <f aca="false">AX19*SUP_PRODUCCION!$C$91+AX20*SUP_PRODUCCION!$C$92+AX21*SUP_PRODUCCION!$C$93+SUP_CONTROL!$C$13*IF(AND(SUP_LOGISTICA!$C$21&gt;0,AX4=SUP_LOGISTICA!$C$21),SUP_PRODUCCION!$C$88,0)</f>
        <v>0</v>
      </c>
      <c r="AY22" s="273" t="n">
        <f aca="false">AY19*SUP_PRODUCCION!$C$91+AY20*SUP_PRODUCCION!$C$92+AY21*SUP_PRODUCCION!$C$93+SUP_CONTROL!$C$13*IF(AND(SUP_LOGISTICA!$C$21&gt;0,AY4=SUP_LOGISTICA!$C$21),SUP_PRODUCCION!$C$88,0)</f>
        <v>0</v>
      </c>
      <c r="AZ22" s="273" t="n">
        <f aca="false">AZ19*SUP_PRODUCCION!$C$91+AZ20*SUP_PRODUCCION!$C$92+AZ21*SUP_PRODUCCION!$C$93+SUP_CONTROL!$C$13*IF(AND(SUP_LOGISTICA!$C$21&gt;0,AZ4=SUP_LOGISTICA!$C$21),SUP_PRODUCCION!$C$88,0)</f>
        <v>0</v>
      </c>
      <c r="BA22" s="273" t="n">
        <f aca="false">BA19*SUP_PRODUCCION!$C$91+BA20*SUP_PRODUCCION!$C$92+BA21*SUP_PRODUCCION!$C$93+SUP_CONTROL!$C$13*IF(AND(SUP_LOGISTICA!$C$21&gt;0,BA4=SUP_LOGISTICA!$C$21),SUP_PRODUCCION!$C$88,0)</f>
        <v>0</v>
      </c>
      <c r="BB22" s="273" t="n">
        <f aca="false">BB19*SUP_PRODUCCION!$C$91+BB20*SUP_PRODUCCION!$C$92+BB21*SUP_PRODUCCION!$C$93+SUP_CONTROL!$C$13*IF(AND(SUP_LOGISTICA!$C$21&gt;0,BB4=SUP_LOGISTICA!$C$21),SUP_PRODUCCION!$C$88,0)</f>
        <v>624713.896</v>
      </c>
      <c r="BC22" s="273" t="n">
        <f aca="false">BC19*SUP_PRODUCCION!$C$91+BC20*SUP_PRODUCCION!$C$92+BC21*SUP_PRODUCCION!$C$93+SUP_CONTROL!$C$13*IF(AND(SUP_LOGISTICA!$C$21&gt;0,BC4=SUP_LOGISTICA!$C$21),SUP_PRODUCCION!$C$88,0)</f>
        <v>0</v>
      </c>
      <c r="BD22" s="273" t="n">
        <f aca="false">BD19*SUP_PRODUCCION!$C$91+BD20*SUP_PRODUCCION!$C$92+BD21*SUP_PRODUCCION!$C$93+SUP_CONTROL!$C$13*IF(AND(SUP_LOGISTICA!$C$21&gt;0,BD4=SUP_LOGISTICA!$C$21),SUP_PRODUCCION!$C$88,0)</f>
        <v>0</v>
      </c>
      <c r="BE22" s="273" t="n">
        <f aca="false">BE19*SUP_PRODUCCION!$C$91+BE20*SUP_PRODUCCION!$C$92+BE21*SUP_PRODUCCION!$C$93+SUP_CONTROL!$C$13*IF(AND(SUP_LOGISTICA!$C$21&gt;0,BE4=SUP_LOGISTICA!$C$21),SUP_PRODUCCION!$C$88,0)</f>
        <v>0</v>
      </c>
      <c r="BF22" s="273" t="n">
        <f aca="false">BF19*SUP_PRODUCCION!$C$91+BF20*SUP_PRODUCCION!$C$92+BF21*SUP_PRODUCCION!$C$93+SUP_CONTROL!$C$13*IF(AND(SUP_LOGISTICA!$C$21&gt;0,BF4=SUP_LOGISTICA!$C$21),SUP_PRODUCCION!$C$88,0)</f>
        <v>0</v>
      </c>
      <c r="BG22" s="273" t="n">
        <f aca="false">BG19*SUP_PRODUCCION!$C$91+BG20*SUP_PRODUCCION!$C$92+BG21*SUP_PRODUCCION!$C$93+SUP_CONTROL!$C$13*IF(AND(SUP_LOGISTICA!$C$21&gt;0,BG4=SUP_LOGISTICA!$C$21),SUP_PRODUCCION!$C$88,0)</f>
        <v>0</v>
      </c>
      <c r="BH22" s="273" t="n">
        <f aca="false">BH19*SUP_PRODUCCION!$C$91+BH20*SUP_PRODUCCION!$C$92+BH21*SUP_PRODUCCION!$C$93+SUP_CONTROL!$C$13*IF(AND(SUP_LOGISTICA!$C$21&gt;0,BH4=SUP_LOGISTICA!$C$21),SUP_PRODUCCION!$C$88,0)</f>
        <v>0</v>
      </c>
      <c r="BI22" s="273" t="n">
        <f aca="false">BI19*SUP_PRODUCCION!$C$91+BI20*SUP_PRODUCCION!$C$92+BI21*SUP_PRODUCCION!$C$93+SUP_CONTROL!$C$13*IF(AND(SUP_LOGISTICA!$C$21&gt;0,BI4=SUP_LOGISTICA!$C$21),SUP_PRODUCCION!$C$88,0)</f>
        <v>0</v>
      </c>
      <c r="BJ22" s="273" t="n">
        <f aca="false">BJ19*SUP_PRODUCCION!$C$91+BJ20*SUP_PRODUCCION!$C$92+BJ21*SUP_PRODUCCION!$C$93+SUP_CONTROL!$C$13*IF(AND(SUP_LOGISTICA!$C$21&gt;0,BJ4=SUP_LOGISTICA!$C$21),SUP_PRODUCCION!$C$88,0)</f>
        <v>0</v>
      </c>
      <c r="BK22" s="273" t="n">
        <f aca="false">BK19*SUP_PRODUCCION!$C$91+BK20*SUP_PRODUCCION!$C$92+BK21*SUP_PRODUCCION!$C$93+SUP_CONTROL!$C$13*IF(AND(SUP_LOGISTICA!$C$21&gt;0,BK4=SUP_LOGISTICA!$C$21),SUP_PRODUCCION!$C$88,0)</f>
        <v>0</v>
      </c>
      <c r="BL22" s="273" t="n">
        <f aca="false">BL19*SUP_PRODUCCION!$C$91+BL20*SUP_PRODUCCION!$C$92+BL21*SUP_PRODUCCION!$C$93+SUP_CONTROL!$C$13*IF(AND(SUP_LOGISTICA!$C$21&gt;0,BL4=SUP_LOGISTICA!$C$21),SUP_PRODUCCION!$C$88,0)</f>
        <v>0</v>
      </c>
      <c r="BM22" s="273" t="n">
        <f aca="false">BM19*SUP_PRODUCCION!$C$91+BM20*SUP_PRODUCCION!$C$92+BM21*SUP_PRODUCCION!$C$93+SUP_CONTROL!$C$13*IF(AND(SUP_LOGISTICA!$C$21&gt;0,BM4=SUP_LOGISTICA!$C$21),SUP_PRODUCCION!$C$88,0)</f>
        <v>0</v>
      </c>
      <c r="BN22" s="273" t="n">
        <f aca="false">BN19*SUP_PRODUCCION!$C$91+BN20*SUP_PRODUCCION!$C$92+BN21*SUP_PRODUCCION!$C$93+SUP_CONTROL!$C$13*IF(AND(SUP_LOGISTICA!$C$21&gt;0,BN4=SUP_LOGISTICA!$C$21),SUP_PRODUCCION!$C$88,0)</f>
        <v>0</v>
      </c>
      <c r="BO22" s="273" t="n">
        <f aca="false">BO19*SUP_PRODUCCION!$C$91+BO20*SUP_PRODUCCION!$C$92+BO21*SUP_PRODUCCION!$C$93+SUP_CONTROL!$C$13*IF(AND(SUP_LOGISTICA!$C$21&gt;0,BO4=SUP_LOGISTICA!$C$21),SUP_PRODUCCION!$C$88,0)</f>
        <v>0</v>
      </c>
      <c r="BP22" s="273" t="n">
        <f aca="false">BP19*SUP_PRODUCCION!$C$91+BP20*SUP_PRODUCCION!$C$92+BP21*SUP_PRODUCCION!$C$93+SUP_CONTROL!$C$13*IF(AND(SUP_LOGISTICA!$C$21&gt;0,BP4=SUP_LOGISTICA!$C$21),SUP_PRODUCCION!$C$88,0)</f>
        <v>0</v>
      </c>
      <c r="BQ22" s="273" t="n">
        <f aca="false">BQ19*SUP_PRODUCCION!$C$91+BQ20*SUP_PRODUCCION!$C$92+BQ21*SUP_PRODUCCION!$C$93+SUP_CONTROL!$C$13*IF(AND(SUP_LOGISTICA!$C$21&gt;0,BQ4=SUP_LOGISTICA!$C$21),SUP_PRODUCCION!$C$88,0)</f>
        <v>0</v>
      </c>
      <c r="BR22" s="273" t="n">
        <f aca="false">BR19*SUP_PRODUCCION!$C$91+BR20*SUP_PRODUCCION!$C$92+BR21*SUP_PRODUCCION!$C$93+SUP_CONTROL!$C$13*IF(AND(SUP_LOGISTICA!$C$21&gt;0,BR4=SUP_LOGISTICA!$C$21),SUP_PRODUCCION!$C$88,0)</f>
        <v>0</v>
      </c>
      <c r="BS22" s="273" t="n">
        <f aca="false">BS19*SUP_PRODUCCION!$C$91+BS20*SUP_PRODUCCION!$C$92+BS21*SUP_PRODUCCION!$C$93+SUP_CONTROL!$C$13*IF(AND(SUP_LOGISTICA!$C$21&gt;0,BS4=SUP_LOGISTICA!$C$21),SUP_PRODUCCION!$C$88,0)</f>
        <v>0</v>
      </c>
      <c r="BT22" s="273" t="n">
        <f aca="false">BT19*SUP_PRODUCCION!$C$91+BT20*SUP_PRODUCCION!$C$92+BT21*SUP_PRODUCCION!$C$93+SUP_CONTROL!$C$13*IF(AND(SUP_LOGISTICA!$C$21&gt;0,BT4=SUP_LOGISTICA!$C$21),SUP_PRODUCCION!$C$88,0)</f>
        <v>0</v>
      </c>
      <c r="BU22" s="273" t="n">
        <f aca="false">BU19*SUP_PRODUCCION!$C$91+BU20*SUP_PRODUCCION!$C$92+BU21*SUP_PRODUCCION!$C$93+SUP_CONTROL!$C$13*IF(AND(SUP_LOGISTICA!$C$21&gt;0,BU4=SUP_LOGISTICA!$C$21),SUP_PRODUCCION!$C$88,0)</f>
        <v>0</v>
      </c>
      <c r="BV22" s="273" t="n">
        <f aca="false">BV19*SUP_PRODUCCION!$C$91+BV20*SUP_PRODUCCION!$C$92+BV21*SUP_PRODUCCION!$C$93+SUP_CONTROL!$C$13*IF(AND(SUP_LOGISTICA!$C$21&gt;0,BV4=SUP_LOGISTICA!$C$21),SUP_PRODUCCION!$C$88,0)</f>
        <v>0</v>
      </c>
      <c r="BW22" s="273" t="n">
        <f aca="false">BW19*SUP_PRODUCCION!$C$91+BW20*SUP_PRODUCCION!$C$92+BW21*SUP_PRODUCCION!$C$93+SUP_CONTROL!$C$13*IF(AND(SUP_LOGISTICA!$C$21&gt;0,BW4=SUP_LOGISTICA!$C$21),SUP_PRODUCCION!$C$88,0)</f>
        <v>0</v>
      </c>
      <c r="BX22" s="273" t="n">
        <f aca="false">BX19*SUP_PRODUCCION!$C$91+BX20*SUP_PRODUCCION!$C$92+BX21*SUP_PRODUCCION!$C$93+SUP_CONTROL!$C$13*IF(AND(SUP_LOGISTICA!$C$21&gt;0,BX4=SUP_LOGISTICA!$C$21),SUP_PRODUCCION!$C$88,0)</f>
        <v>0</v>
      </c>
      <c r="BY22" s="273" t="n">
        <f aca="false">BY19*SUP_PRODUCCION!$C$91+BY20*SUP_PRODUCCION!$C$92+BY21*SUP_PRODUCCION!$C$93+SUP_CONTROL!$C$13*IF(AND(SUP_LOGISTICA!$C$21&gt;0,BY4=SUP_LOGISTICA!$C$21),SUP_PRODUCCION!$C$88,0)</f>
        <v>0</v>
      </c>
      <c r="BZ22" s="273" t="n">
        <f aca="false">BZ19*SUP_PRODUCCION!$C$91+BZ20*SUP_PRODUCCION!$C$92+BZ21*SUP_PRODUCCION!$C$93+SUP_CONTROL!$C$13*IF(AND(SUP_LOGISTICA!$C$21&gt;0,BZ4=SUP_LOGISTICA!$C$21),SUP_PRODUCCION!$C$88,0)</f>
        <v>0</v>
      </c>
      <c r="CA22" s="273" t="n">
        <f aca="false">CA19*SUP_PRODUCCION!$C$91+CA20*SUP_PRODUCCION!$C$92+CA21*SUP_PRODUCCION!$C$93+SUP_CONTROL!$C$13*IF(AND(SUP_LOGISTICA!$C$21&gt;0,CA4=SUP_LOGISTICA!$C$21),SUP_PRODUCCION!$C$88,0)</f>
        <v>0</v>
      </c>
      <c r="CB22" s="273" t="n">
        <f aca="false">CB19*SUP_PRODUCCION!$C$91+CB20*SUP_PRODUCCION!$C$92+CB21*SUP_PRODUCCION!$C$93+SUP_CONTROL!$C$13*IF(AND(SUP_LOGISTICA!$C$21&gt;0,CB4=SUP_LOGISTICA!$C$21),SUP_PRODUCCION!$C$88,0)</f>
        <v>0</v>
      </c>
      <c r="CC22" s="273" t="n">
        <f aca="false">CC19*SUP_PRODUCCION!$C$91+CC20*SUP_PRODUCCION!$C$92+CC21*SUP_PRODUCCION!$C$93+SUP_CONTROL!$C$13*IF(AND(SUP_LOGISTICA!$C$21&gt;0,CC4=SUP_LOGISTICA!$C$21),SUP_PRODUCCION!$C$88,0)</f>
        <v>0</v>
      </c>
      <c r="CD22" s="273" t="n">
        <f aca="false">CD19*SUP_PRODUCCION!$C$91+CD20*SUP_PRODUCCION!$C$92+CD21*SUP_PRODUCCION!$C$93+SUP_CONTROL!$C$13*IF(AND(SUP_LOGISTICA!$C$21&gt;0,CD4=SUP_LOGISTICA!$C$21),SUP_PRODUCCION!$C$88,0)</f>
        <v>0</v>
      </c>
      <c r="CE22" s="273" t="n">
        <f aca="false">CE19*SUP_PRODUCCION!$C$91+CE20*SUP_PRODUCCION!$C$92+CE21*SUP_PRODUCCION!$C$93+SUP_CONTROL!$C$13*IF(AND(SUP_LOGISTICA!$C$21&gt;0,CE4=SUP_LOGISTICA!$C$21),SUP_PRODUCCION!$C$88,0)</f>
        <v>0</v>
      </c>
      <c r="CF22" s="273" t="n">
        <f aca="false">CF19*SUP_PRODUCCION!$C$91+CF20*SUP_PRODUCCION!$C$92+CF21*SUP_PRODUCCION!$C$93+SUP_CONTROL!$C$13*IF(AND(SUP_LOGISTICA!$C$21&gt;0,CF4=SUP_LOGISTICA!$C$21),SUP_PRODUCCION!$C$88,0)</f>
        <v>0</v>
      </c>
      <c r="CG22" s="273" t="n">
        <f aca="false">CG19*SUP_PRODUCCION!$C$91+CG20*SUP_PRODUCCION!$C$92+CG21*SUP_PRODUCCION!$C$93+SUP_CONTROL!$C$13*IF(AND(SUP_LOGISTICA!$C$21&gt;0,CG4=SUP_LOGISTICA!$C$21),SUP_PRODUCCION!$C$88,0)</f>
        <v>0</v>
      </c>
      <c r="CH22" s="273" t="n">
        <f aca="false">CH19*SUP_PRODUCCION!$C$91+CH20*SUP_PRODUCCION!$C$92+CH21*SUP_PRODUCCION!$C$93+SUP_CONTROL!$C$13*IF(AND(SUP_LOGISTICA!$C$21&gt;0,CH4=SUP_LOGISTICA!$C$21),SUP_PRODUCCION!$C$88,0)</f>
        <v>573713.896</v>
      </c>
      <c r="CI22" s="273" t="n">
        <f aca="false">CI19*SUP_PRODUCCION!$C$91+CI20*SUP_PRODUCCION!$C$92+CI21*SUP_PRODUCCION!$C$93+SUP_CONTROL!$C$13*IF(AND(SUP_LOGISTICA!$C$21&gt;0,CI4=SUP_LOGISTICA!$C$21),SUP_PRODUCCION!$C$88,0)</f>
        <v>0</v>
      </c>
      <c r="CJ22" s="273" t="n">
        <f aca="false">CJ19*SUP_PRODUCCION!$C$91+CJ20*SUP_PRODUCCION!$C$92+CJ21*SUP_PRODUCCION!$C$93+SUP_CONTROL!$C$13*IF(AND(SUP_LOGISTICA!$C$21&gt;0,CJ4=SUP_LOGISTICA!$C$21),SUP_PRODUCCION!$C$88,0)</f>
        <v>0</v>
      </c>
      <c r="CK22" s="273" t="n">
        <f aca="false">CK19*SUP_PRODUCCION!$C$91+CK20*SUP_PRODUCCION!$C$92+CK21*SUP_PRODUCCION!$C$93+SUP_CONTROL!$C$13*IF(AND(SUP_LOGISTICA!$C$21&gt;0,CK4=SUP_LOGISTICA!$C$21),SUP_PRODUCCION!$C$88,0)</f>
        <v>0</v>
      </c>
      <c r="CL22" s="273" t="n">
        <f aca="false">CL19*SUP_PRODUCCION!$C$91+CL20*SUP_PRODUCCION!$C$92+CL21*SUP_PRODUCCION!$C$93+SUP_CONTROL!$C$13*IF(AND(SUP_LOGISTICA!$C$21&gt;0,CL4=SUP_LOGISTICA!$C$21),SUP_PRODUCCION!$C$88,0)</f>
        <v>0</v>
      </c>
      <c r="CM22" s="273" t="n">
        <f aca="false">CM19*SUP_PRODUCCION!$C$91+CM20*SUP_PRODUCCION!$C$92+CM21*SUP_PRODUCCION!$C$93+SUP_CONTROL!$C$13*IF(AND(SUP_LOGISTICA!$C$21&gt;0,CM4=SUP_LOGISTICA!$C$21),SUP_PRODUCCION!$C$88,0)</f>
        <v>0</v>
      </c>
      <c r="CN22" s="273" t="n">
        <f aca="false">CN19*SUP_PRODUCCION!$C$91+CN20*SUP_PRODUCCION!$C$92+CN21*SUP_PRODUCCION!$C$93+SUP_CONTROL!$C$13*IF(AND(SUP_LOGISTICA!$C$21&gt;0,CN4=SUP_LOGISTICA!$C$21),SUP_PRODUCCION!$C$88,0)</f>
        <v>0</v>
      </c>
      <c r="CO22" s="273" t="n">
        <f aca="false">CO19*SUP_PRODUCCION!$C$91+CO20*SUP_PRODUCCION!$C$92+CO21*SUP_PRODUCCION!$C$93+SUP_CONTROL!$C$13*IF(AND(SUP_LOGISTICA!$C$21&gt;0,CO4=SUP_LOGISTICA!$C$21),SUP_PRODUCCION!$C$88,0)</f>
        <v>0</v>
      </c>
      <c r="CP22" s="273" t="n">
        <f aca="false">CP19*SUP_PRODUCCION!$C$91+CP20*SUP_PRODUCCION!$C$92+CP21*SUP_PRODUCCION!$C$93+SUP_CONTROL!$C$13*IF(AND(SUP_LOGISTICA!$C$21&gt;0,CP4=SUP_LOGISTICA!$C$21),SUP_PRODUCCION!$C$88,0)</f>
        <v>0</v>
      </c>
      <c r="CQ22" s="273" t="n">
        <f aca="false">CQ19*SUP_PRODUCCION!$C$91+CQ20*SUP_PRODUCCION!$C$92+CQ21*SUP_PRODUCCION!$C$93+SUP_CONTROL!$C$13*IF(AND(SUP_LOGISTICA!$C$21&gt;0,CQ4=SUP_LOGISTICA!$C$21),SUP_PRODUCCION!$C$88,0)</f>
        <v>0</v>
      </c>
      <c r="CR22" s="273" t="n">
        <f aca="false">CR19*SUP_PRODUCCION!$C$91+CR20*SUP_PRODUCCION!$C$92+CR21*SUP_PRODUCCION!$C$93+SUP_CONTROL!$C$13*IF(AND(SUP_LOGISTICA!$C$21&gt;0,CR4=SUP_LOGISTICA!$C$21),SUP_PRODUCCION!$C$88,0)</f>
        <v>0</v>
      </c>
      <c r="CS22" s="273" t="n">
        <f aca="false">CS19*SUP_PRODUCCION!$C$91+CS20*SUP_PRODUCCION!$C$92+CS21*SUP_PRODUCCION!$C$93+SUP_CONTROL!$C$13*IF(AND(SUP_LOGISTICA!$C$21&gt;0,CS4=SUP_LOGISTICA!$C$21),SUP_PRODUCCION!$C$88,0)</f>
        <v>0</v>
      </c>
      <c r="CT22" s="273" t="n">
        <f aca="false">CT19*SUP_PRODUCCION!$C$91+CT20*SUP_PRODUCCION!$C$92+CT21*SUP_PRODUCCION!$C$93+SUP_CONTROL!$C$13*IF(AND(SUP_LOGISTICA!$C$21&gt;0,CT4=SUP_LOGISTICA!$C$21),SUP_PRODUCCION!$C$88,0)</f>
        <v>0</v>
      </c>
      <c r="CU22" s="273" t="n">
        <f aca="false">CU19*SUP_PRODUCCION!$C$91+CU20*SUP_PRODUCCION!$C$92+CU21*SUP_PRODUCCION!$C$93+SUP_CONTROL!$C$13*IF(AND(SUP_LOGISTICA!$C$21&gt;0,CU4=SUP_LOGISTICA!$C$21),SUP_PRODUCCION!$C$88,0)</f>
        <v>0</v>
      </c>
      <c r="CV22" s="273" t="n">
        <f aca="false">CV19*SUP_PRODUCCION!$C$91+CV20*SUP_PRODUCCION!$C$92+CV21*SUP_PRODUCCION!$C$93+SUP_CONTROL!$C$13*IF(AND(SUP_LOGISTICA!$C$21&gt;0,CV4=SUP_LOGISTICA!$C$21),SUP_PRODUCCION!$C$88,0)</f>
        <v>0</v>
      </c>
      <c r="CW22" s="273" t="n">
        <f aca="false">CW19*SUP_PRODUCCION!$C$91+CW20*SUP_PRODUCCION!$C$92+CW21*SUP_PRODUCCION!$C$93+SUP_CONTROL!$C$13*IF(AND(SUP_LOGISTICA!$C$21&gt;0,CW4=SUP_LOGISTICA!$C$21),SUP_PRODUCCION!$C$88,0)</f>
        <v>0</v>
      </c>
      <c r="CX22" s="273" t="n">
        <f aca="false">CX19*SUP_PRODUCCION!$C$91+CX20*SUP_PRODUCCION!$C$92+CX21*SUP_PRODUCCION!$C$93+SUP_CONTROL!$C$13*IF(AND(SUP_LOGISTICA!$C$21&gt;0,CX4=SUP_LOGISTICA!$C$21),SUP_PRODUCCION!$C$88,0)</f>
        <v>0</v>
      </c>
      <c r="CY22" s="273" t="n">
        <f aca="false">CY19*SUP_PRODUCCION!$C$91+CY20*SUP_PRODUCCION!$C$92+CY21*SUP_PRODUCCION!$C$93+SUP_CONTROL!$C$13*IF(AND(SUP_LOGISTICA!$C$21&gt;0,CY4=SUP_LOGISTICA!$C$21),SUP_PRODUCCION!$C$88,0)</f>
        <v>0</v>
      </c>
      <c r="CZ22" s="273" t="n">
        <f aca="false">CZ19*SUP_PRODUCCION!$C$91+CZ20*SUP_PRODUCCION!$C$92+CZ21*SUP_PRODUCCION!$C$93+SUP_CONTROL!$C$13*IF(AND(SUP_LOGISTICA!$C$21&gt;0,CZ4=SUP_LOGISTICA!$C$21),SUP_PRODUCCION!$C$88,0)</f>
        <v>0</v>
      </c>
      <c r="DA22" s="273" t="n">
        <f aca="false">DA19*SUP_PRODUCCION!$C$91+DA20*SUP_PRODUCCION!$C$92+DA21*SUP_PRODUCCION!$C$93+SUP_CONTROL!$C$13*IF(AND(SUP_LOGISTICA!$C$21&gt;0,DA4=SUP_LOGISTICA!$C$21),SUP_PRODUCCION!$C$88,0)</f>
        <v>0</v>
      </c>
      <c r="DB22" s="273" t="n">
        <f aca="false">DB19*SUP_PRODUCCION!$C$91+DB20*SUP_PRODUCCION!$C$92+DB21*SUP_PRODUCCION!$C$93+SUP_CONTROL!$C$13*IF(AND(SUP_LOGISTICA!$C$21&gt;0,DB4=SUP_LOGISTICA!$C$21),SUP_PRODUCCION!$C$88,0)</f>
        <v>0</v>
      </c>
      <c r="DC22" s="273" t="n">
        <f aca="false">DC19*SUP_PRODUCCION!$C$91+DC20*SUP_PRODUCCION!$C$92+DC21*SUP_PRODUCCION!$C$93+SUP_CONTROL!$C$13*IF(AND(SUP_LOGISTICA!$C$21&gt;0,DC4=SUP_LOGISTICA!$C$21),SUP_PRODUCCION!$C$88,0)</f>
        <v>0</v>
      </c>
      <c r="DD22" s="273" t="n">
        <f aca="false">DD19*SUP_PRODUCCION!$C$91+DD20*SUP_PRODUCCION!$C$92+DD21*SUP_PRODUCCION!$C$93+SUP_CONTROL!$C$13*IF(AND(SUP_LOGISTICA!$C$21&gt;0,DD4=SUP_LOGISTICA!$C$21),SUP_PRODUCCION!$C$88,0)</f>
        <v>0</v>
      </c>
      <c r="DE22" s="273" t="n">
        <f aca="false">DE19*SUP_PRODUCCION!$C$91+DE20*SUP_PRODUCCION!$C$92+DE21*SUP_PRODUCCION!$C$93+SUP_CONTROL!$C$13*IF(AND(SUP_LOGISTICA!$C$21&gt;0,DE4=SUP_LOGISTICA!$C$21),SUP_PRODUCCION!$C$88,0)</f>
        <v>0</v>
      </c>
      <c r="DF22" s="273" t="n">
        <f aca="false">DF19*SUP_PRODUCCION!$C$91+DF20*SUP_PRODUCCION!$C$92+DF21*SUP_PRODUCCION!$C$93+SUP_CONTROL!$C$13*IF(AND(SUP_LOGISTICA!$C$21&gt;0,DF4=SUP_LOGISTICA!$C$21),SUP_PRODUCCION!$C$88,0)</f>
        <v>0</v>
      </c>
      <c r="DG22" s="273" t="n">
        <f aca="false">DG19*SUP_PRODUCCION!$C$91+DG20*SUP_PRODUCCION!$C$92+DG21*SUP_PRODUCCION!$C$93+SUP_CONTROL!$C$13*IF(AND(SUP_LOGISTICA!$C$21&gt;0,DG4=SUP_LOGISTICA!$C$21),SUP_PRODUCCION!$C$88,0)</f>
        <v>0</v>
      </c>
      <c r="DH22" s="273" t="n">
        <f aca="false">DH19*SUP_PRODUCCION!$C$91+DH20*SUP_PRODUCCION!$C$92+DH21*SUP_PRODUCCION!$C$93+SUP_CONTROL!$C$13*IF(AND(SUP_LOGISTICA!$C$21&gt;0,DH4=SUP_LOGISTICA!$C$21),SUP_PRODUCCION!$C$88,0)</f>
        <v>0</v>
      </c>
      <c r="DI22" s="273" t="n">
        <f aca="false">DI19*SUP_PRODUCCION!$C$91+DI20*SUP_PRODUCCION!$C$92+DI21*SUP_PRODUCCION!$C$93+SUP_CONTROL!$C$13*IF(AND(SUP_LOGISTICA!$C$21&gt;0,DI4=SUP_LOGISTICA!$C$21),SUP_PRODUCCION!$C$88,0)</f>
        <v>0</v>
      </c>
      <c r="DJ22" s="273" t="n">
        <f aca="false">DJ19*SUP_PRODUCCION!$C$91+DJ20*SUP_PRODUCCION!$C$92+DJ21*SUP_PRODUCCION!$C$93+SUP_CONTROL!$C$13*IF(AND(SUP_LOGISTICA!$C$21&gt;0,DJ4=SUP_LOGISTICA!$C$21),SUP_PRODUCCION!$C$88,0)</f>
        <v>0</v>
      </c>
      <c r="DK22" s="273" t="n">
        <f aca="false">DK19*SUP_PRODUCCION!$C$91+DK20*SUP_PRODUCCION!$C$92+DK21*SUP_PRODUCCION!$C$93+SUP_CONTROL!$C$13*IF(AND(SUP_LOGISTICA!$C$21&gt;0,DK4=SUP_LOGISTICA!$C$21),SUP_PRODUCCION!$C$88,0)</f>
        <v>0</v>
      </c>
      <c r="DL22" s="273" t="n">
        <f aca="false">DL19*SUP_PRODUCCION!$C$91+DL20*SUP_PRODUCCION!$C$92+DL21*SUP_PRODUCCION!$C$93+SUP_CONTROL!$C$13*IF(AND(SUP_LOGISTICA!$C$21&gt;0,DL4=SUP_LOGISTICA!$C$21),SUP_PRODUCCION!$C$88,0)</f>
        <v>0</v>
      </c>
      <c r="DM22" s="273" t="n">
        <f aca="false">DM19*SUP_PRODUCCION!$C$91+DM20*SUP_PRODUCCION!$C$92+DM21*SUP_PRODUCCION!$C$93+SUP_CONTROL!$C$13*IF(AND(SUP_LOGISTICA!$C$21&gt;0,DM4=SUP_LOGISTICA!$C$21),SUP_PRODUCCION!$C$88,0)</f>
        <v>0</v>
      </c>
      <c r="DN22" s="273" t="n">
        <f aca="false">DN19*SUP_PRODUCCION!$C$91+DN20*SUP_PRODUCCION!$C$92+DN21*SUP_PRODUCCION!$C$93+SUP_CONTROL!$C$13*IF(AND(SUP_LOGISTICA!$C$21&gt;0,DN4=SUP_LOGISTICA!$C$21),SUP_PRODUCCION!$C$88,0)</f>
        <v>0</v>
      </c>
      <c r="DO22" s="273" t="n">
        <f aca="false">DO19*SUP_PRODUCCION!$C$91+DO20*SUP_PRODUCCION!$C$92+DO21*SUP_PRODUCCION!$C$93+SUP_CONTROL!$C$13*IF(AND(SUP_LOGISTICA!$C$21&gt;0,DO4=SUP_LOGISTICA!$C$21),SUP_PRODUCCION!$C$88,0)</f>
        <v>0</v>
      </c>
      <c r="DP22" s="273" t="n">
        <f aca="false">DP19*SUP_PRODUCCION!$C$91+DP20*SUP_PRODUCCION!$C$92+DP21*SUP_PRODUCCION!$C$93+SUP_CONTROL!$C$13*IF(AND(SUP_LOGISTICA!$C$21&gt;0,DP4=SUP_LOGISTICA!$C$21),SUP_PRODUCCION!$C$88,0)</f>
        <v>0</v>
      </c>
      <c r="DQ22" s="273" t="n">
        <f aca="false">DQ19*SUP_PRODUCCION!$C$91+DQ20*SUP_PRODUCCION!$C$92+DQ21*SUP_PRODUCCION!$C$93+SUP_CONTROL!$C$13*IF(AND(SUP_LOGISTICA!$C$21&gt;0,DQ4=SUP_LOGISTICA!$C$21),SUP_PRODUCCION!$C$88,0)</f>
        <v>0</v>
      </c>
      <c r="DR22" s="273" t="n">
        <f aca="false">DR19*SUP_PRODUCCION!$C$91+DR20*SUP_PRODUCCION!$C$92+DR21*SUP_PRODUCCION!$C$93+SUP_CONTROL!$C$13*IF(AND(SUP_LOGISTICA!$C$21&gt;0,DR4=SUP_LOGISTICA!$C$21),SUP_PRODUCCION!$C$88,0)</f>
        <v>0</v>
      </c>
      <c r="DS22" s="273" t="n">
        <f aca="false">DS19*SUP_PRODUCCION!$C$91+DS20*SUP_PRODUCCION!$C$92+DS21*SUP_PRODUCCION!$C$93+SUP_CONTROL!$C$13*IF(AND(SUP_LOGISTICA!$C$21&gt;0,DS4=SUP_LOGISTICA!$C$21),SUP_PRODUCCION!$C$88,0)</f>
        <v>0</v>
      </c>
    </row>
    <row r="23" customFormat="false" ht="15" hidden="false" customHeight="true" outlineLevel="0" collapsed="false">
      <c r="A23" s="186" t="s">
        <v>3530</v>
      </c>
      <c r="B23" s="25"/>
      <c r="C23" s="25"/>
    </row>
    <row r="24" customFormat="false" ht="15" hidden="false" customHeight="true" outlineLevel="0" collapsed="false">
      <c r="B24" s="297" t="s">
        <v>3531</v>
      </c>
      <c r="D24" s="298" t="n">
        <f aca="false">IF(AND(SUP_CONTROL!$C$13=1,C25&lt;$C$32,D17-D22&gt;=D27,OR(PROD_DEMANDA!C13&lt;SUP_PRODUCCION!$C$67,SUM($C$21:C$21)=1)),1,0)</f>
        <v>0</v>
      </c>
      <c r="E24" s="298" t="n">
        <f aca="false">IF(AND(SUP_CONTROL!$C$13=1,D25&lt;$C$32,E17-E22&gt;=E27,OR(PROD_DEMANDA!D13&lt;SUP_PRODUCCION!$C$67,SUM($C$21:D$21)=1)),1,0)</f>
        <v>0</v>
      </c>
      <c r="F24" s="298" t="n">
        <f aca="false">IF(AND(SUP_CONTROL!$C$13=1,E25&lt;$C$32,F17-F22&gt;=F27,OR(PROD_DEMANDA!E13&lt;SUP_PRODUCCION!$C$67,SUM($C$21:E$21)=1)),1,0)</f>
        <v>0</v>
      </c>
      <c r="G24" s="298" t="n">
        <f aca="false">IF(AND(SUP_CONTROL!$C$13=1,F25&lt;$C$32,G17-G22&gt;=G27,OR(PROD_DEMANDA!F13&lt;SUP_PRODUCCION!$C$67,SUM($C$21:F$21)=1)),1,0)</f>
        <v>0</v>
      </c>
      <c r="H24" s="298" t="n">
        <f aca="false">IF(AND(SUP_CONTROL!$C$13=1,G25&lt;$C$32,H17-H22&gt;=H27,OR(PROD_DEMANDA!G13&lt;SUP_PRODUCCION!$C$67,SUM($C$21:G$21)=1)),1,0)</f>
        <v>0</v>
      </c>
      <c r="I24" s="298" t="n">
        <f aca="false">IF(AND(SUP_CONTROL!$C$13=1,H25&lt;$C$32,I17-I22&gt;=I27,OR(PROD_DEMANDA!H13&lt;SUP_PRODUCCION!$C$67,SUM($C$21:H$21)=1)),1,0)</f>
        <v>0</v>
      </c>
      <c r="J24" s="298" t="n">
        <f aca="false">IF(AND(SUP_CONTROL!$C$13=1,I25&lt;$C$32,J17-J22&gt;=J27,OR(PROD_DEMANDA!I13&lt;SUP_PRODUCCION!$C$67,SUM($C$21:I$21)=1)),1,0)</f>
        <v>0</v>
      </c>
      <c r="K24" s="298" t="n">
        <f aca="false">IF(AND(SUP_CONTROL!$C$13=1,J25&lt;$C$32,K17-K22&gt;=K27,OR(PROD_DEMANDA!J13&lt;SUP_PRODUCCION!$C$67,SUM($C$21:J$21)=1)),1,0)</f>
        <v>0</v>
      </c>
      <c r="L24" s="298" t="n">
        <f aca="false">IF(AND(SUP_CONTROL!$C$13=1,K25&lt;$C$32,L17-L22&gt;=L27,OR(PROD_DEMANDA!K13&lt;SUP_PRODUCCION!$C$67,SUM($C$21:K$21)=1)),1,0)</f>
        <v>0</v>
      </c>
      <c r="M24" s="298" t="n">
        <f aca="false">IF(AND(SUP_CONTROL!$C$13=1,L25&lt;$C$32,M17-M22&gt;=M27,OR(PROD_DEMANDA!L13&lt;SUP_PRODUCCION!$C$67,SUM($C$21:L$21)=1)),1,0)</f>
        <v>0</v>
      </c>
      <c r="N24" s="298" t="n">
        <f aca="false">IF(AND(SUP_CONTROL!$C$13=1,M25&lt;$C$32,N17-N22&gt;=N27,OR(PROD_DEMANDA!M13&lt;SUP_PRODUCCION!$C$67,SUM($C$21:M$21)=1)),1,0)</f>
        <v>0</v>
      </c>
      <c r="O24" s="298" t="n">
        <f aca="false">IF(AND(SUP_CONTROL!$C$13=1,N25&lt;$C$32,O17-O22&gt;=O27,OR(PROD_DEMANDA!N13&lt;SUP_PRODUCCION!$C$67,SUM($C$21:N$21)=1)),1,0)</f>
        <v>0</v>
      </c>
      <c r="P24" s="298" t="n">
        <f aca="false">IF(AND(SUP_CONTROL!$C$13=1,O25&lt;$C$32,P17-P22&gt;=P27,OR(PROD_DEMANDA!O13&lt;SUP_PRODUCCION!$C$67,SUM($C$21:O$21)=1)),1,0)</f>
        <v>0</v>
      </c>
      <c r="Q24" s="298" t="n">
        <f aca="false">IF(AND(SUP_CONTROL!$C$13=1,P25&lt;$C$32,Q17-Q22&gt;=Q27,OR(PROD_DEMANDA!P13&lt;SUP_PRODUCCION!$C$67,SUM($C$21:P$21)=1)),1,0)</f>
        <v>0</v>
      </c>
      <c r="R24" s="298" t="n">
        <f aca="false">IF(AND(SUP_CONTROL!$C$13=1,Q25&lt;$C$32,R17-R22&gt;=R27,OR(PROD_DEMANDA!Q13&lt;SUP_PRODUCCION!$C$67,SUM($C$21:Q$21)=1)),1,0)</f>
        <v>0</v>
      </c>
      <c r="S24" s="298" t="n">
        <f aca="false">IF(AND(SUP_CONTROL!$C$13=1,R25&lt;$C$32,S17-S22&gt;=S27,OR(PROD_DEMANDA!R13&lt;SUP_PRODUCCION!$C$67,SUM($C$21:R$21)=1)),1,0)</f>
        <v>1</v>
      </c>
      <c r="T24" s="298" t="n">
        <f aca="false">IF(AND(SUP_CONTROL!$C$13=1,S25&lt;$C$32,T17-T22&gt;=T27,OR(PROD_DEMANDA!S13&lt;SUP_PRODUCCION!$C$67,SUM($C$21:S$21)=1)),1,0)</f>
        <v>1</v>
      </c>
      <c r="U24" s="298" t="n">
        <f aca="false">IF(AND(SUP_CONTROL!$C$13=1,T25&lt;$C$32,U17-U22&gt;=U27,OR(PROD_DEMANDA!T13&lt;SUP_PRODUCCION!$C$67,SUM($C$21:T$21)=1)),1,0)</f>
        <v>0</v>
      </c>
      <c r="V24" s="298" t="n">
        <f aca="false">IF(AND(SUP_CONTROL!$C$13=1,U25&lt;$C$32,V17-V22&gt;=V27,OR(PROD_DEMANDA!U13&lt;SUP_PRODUCCION!$C$67,SUM($C$21:U$21)=1)),1,0)</f>
        <v>1</v>
      </c>
      <c r="W24" s="298" t="n">
        <f aca="false">IF(AND(SUP_CONTROL!$C$13=1,V25&lt;$C$32,W17-W22&gt;=W27,OR(PROD_DEMANDA!V13&lt;SUP_PRODUCCION!$C$67,SUM($C$21:V$21)=1)),1,0)</f>
        <v>0</v>
      </c>
      <c r="X24" s="298" t="n">
        <f aca="false">IF(AND(SUP_CONTROL!$C$13=1,W25&lt;$C$32,X17-X22&gt;=X27,OR(PROD_DEMANDA!W13&lt;SUP_PRODUCCION!$C$67,SUM($C$21:W$21)=1)),1,0)</f>
        <v>0</v>
      </c>
      <c r="Y24" s="298" t="n">
        <f aca="false">IF(AND(SUP_CONTROL!$C$13=1,X25&lt;$C$32,Y17-Y22&gt;=Y27,OR(PROD_DEMANDA!X13&lt;SUP_PRODUCCION!$C$67,SUM($C$21:X$21)=1)),1,0)</f>
        <v>0</v>
      </c>
      <c r="Z24" s="298" t="n">
        <f aca="false">IF(AND(SUP_CONTROL!$C$13=1,Y25&lt;$C$32,Z17-Z22&gt;=Z27,OR(PROD_DEMANDA!Y13&lt;SUP_PRODUCCION!$C$67,SUM($C$21:Y$21)=1)),1,0)</f>
        <v>0</v>
      </c>
      <c r="AA24" s="298" t="n">
        <f aca="false">IF(AND(SUP_CONTROL!$C$13=1,Z25&lt;$C$32,AA17-AA22&gt;=AA27,OR(PROD_DEMANDA!Z13&lt;SUP_PRODUCCION!$C$67,SUM($C$21:Z$21)=1)),1,0)</f>
        <v>0</v>
      </c>
      <c r="AB24" s="298" t="n">
        <f aca="false">IF(AND(SUP_CONTROL!$C$13=1,AA25&lt;$C$32,AB17-AB22&gt;=AB27,OR(PROD_DEMANDA!AA13&lt;SUP_PRODUCCION!$C$67,SUM($C$21:AA$21)=1)),1,0)</f>
        <v>0</v>
      </c>
      <c r="AC24" s="298" t="n">
        <f aca="false">IF(AND(SUP_CONTROL!$C$13=1,AB25&lt;$C$32,AC17-AC22&gt;=AC27,OR(PROD_DEMANDA!AB13&lt;SUP_PRODUCCION!$C$67,SUM($C$21:AB$21)=1)),1,0)</f>
        <v>0</v>
      </c>
      <c r="AD24" s="298" t="n">
        <f aca="false">IF(AND(SUP_CONTROL!$C$13=1,AC25&lt;$C$32,AD17-AD22&gt;=AD27,OR(PROD_DEMANDA!AC13&lt;SUP_PRODUCCION!$C$67,SUM($C$21:AC$21)=1)),1,0)</f>
        <v>0</v>
      </c>
      <c r="AE24" s="298" t="n">
        <f aca="false">IF(AND(SUP_CONTROL!$C$13=1,AD25&lt;$C$32,AE17-AE22&gt;=AE27,OR(PROD_DEMANDA!AD13&lt;SUP_PRODUCCION!$C$67,SUM($C$21:AD$21)=1)),1,0)</f>
        <v>0</v>
      </c>
      <c r="AF24" s="298" t="n">
        <f aca="false">IF(AND(SUP_CONTROL!$C$13=1,AE25&lt;$C$32,AF17-AF22&gt;=AF27,OR(PROD_DEMANDA!AE13&lt;SUP_PRODUCCION!$C$67,SUM($C$21:AE$21)=1)),1,0)</f>
        <v>1</v>
      </c>
      <c r="AG24" s="298" t="n">
        <f aca="false">IF(AND(SUP_CONTROL!$C$13=1,AF25&lt;$C$32,AG17-AG22&gt;=AG27,OR(PROD_DEMANDA!AF13&lt;SUP_PRODUCCION!$C$67,SUM($C$21:AF$21)=1)),1,0)</f>
        <v>1</v>
      </c>
      <c r="AH24" s="298" t="n">
        <f aca="false">IF(AND(SUP_CONTROL!$C$13=1,AG25&lt;$C$32,AH17-AH22&gt;=AH27,OR(PROD_DEMANDA!AG13&lt;SUP_PRODUCCION!$C$67,SUM($C$21:AG$21)=1)),1,0)</f>
        <v>0</v>
      </c>
      <c r="AI24" s="298" t="n">
        <f aca="false">IF(AND(SUP_CONTROL!$C$13=1,AH25&lt;$C$32,AI17-AI22&gt;=AI27,OR(PROD_DEMANDA!AH13&lt;SUP_PRODUCCION!$C$67,SUM($C$21:AH$21)=1)),1,0)</f>
        <v>1</v>
      </c>
      <c r="AJ24" s="298" t="n">
        <f aca="false">IF(AND(SUP_CONTROL!$C$13=1,AI25&lt;$C$32,AJ17-AJ22&gt;=AJ27,OR(PROD_DEMANDA!AI13&lt;SUP_PRODUCCION!$C$67,SUM($C$21:AI$21)=1)),1,0)</f>
        <v>0</v>
      </c>
      <c r="AK24" s="298" t="n">
        <f aca="false">IF(AND(SUP_CONTROL!$C$13=1,AJ25&lt;$C$32,AK17-AK22&gt;=AK27,OR(PROD_DEMANDA!AJ13&lt;SUP_PRODUCCION!$C$67,SUM($C$21:AJ$21)=1)),1,0)</f>
        <v>1</v>
      </c>
      <c r="AL24" s="298" t="n">
        <f aca="false">IF(AND(SUP_CONTROL!$C$13=1,AK25&lt;$C$32,AL17-AL22&gt;=AL27,OR(PROD_DEMANDA!AK13&lt;SUP_PRODUCCION!$C$67,SUM($C$21:AK$21)=1)),1,0)</f>
        <v>0</v>
      </c>
      <c r="AM24" s="298" t="n">
        <f aca="false">IF(AND(SUP_CONTROL!$C$13=1,AL25&lt;$C$32,AM17-AM22&gt;=AM27,OR(PROD_DEMANDA!AL13&lt;SUP_PRODUCCION!$C$67,SUM($C$21:AL$21)=1)),1,0)</f>
        <v>0</v>
      </c>
      <c r="AN24" s="298" t="n">
        <f aca="false">IF(AND(SUP_CONTROL!$C$13=1,AM25&lt;$C$32,AN17-AN22&gt;=AN27,OR(PROD_DEMANDA!AM13&lt;SUP_PRODUCCION!$C$67,SUM($C$21:AM$21)=1)),1,0)</f>
        <v>1</v>
      </c>
      <c r="AO24" s="298" t="n">
        <f aca="false">IF(AND(SUP_CONTROL!$C$13=1,AN25&lt;$C$32,AO17-AO22&gt;=AO27,OR(PROD_DEMANDA!AN13&lt;SUP_PRODUCCION!$C$67,SUM($C$21:AN$21)=1)),1,0)</f>
        <v>1</v>
      </c>
      <c r="AP24" s="298" t="n">
        <f aca="false">IF(AND(SUP_CONTROL!$C$13=1,AO25&lt;$C$32,AP17-AP22&gt;=AP27,OR(PROD_DEMANDA!AO13&lt;SUP_PRODUCCION!$C$67,SUM($C$21:AO$21)=1)),1,0)</f>
        <v>1</v>
      </c>
      <c r="AQ24" s="298" t="n">
        <f aca="false">IF(AND(SUP_CONTROL!$C$13=1,AP25&lt;$C$32,AQ17-AQ22&gt;=AQ27,OR(PROD_DEMANDA!AP13&lt;SUP_PRODUCCION!$C$67,SUM($C$21:AP$21)=1)),1,0)</f>
        <v>1</v>
      </c>
      <c r="AR24" s="298" t="n">
        <f aca="false">IF(AND(SUP_CONTROL!$C$13=1,AQ25&lt;$C$32,AR17-AR22&gt;=AR27,OR(PROD_DEMANDA!AQ13&lt;SUP_PRODUCCION!$C$67,SUM($C$21:AQ$21)=1)),1,0)</f>
        <v>0</v>
      </c>
      <c r="AS24" s="298" t="n">
        <f aca="false">IF(AND(SUP_CONTROL!$C$13=1,AR25&lt;$C$32,AS17-AS22&gt;=AS27,OR(PROD_DEMANDA!AR13&lt;SUP_PRODUCCION!$C$67,SUM($C$21:AR$21)=1)),1,0)</f>
        <v>0</v>
      </c>
      <c r="AT24" s="298" t="n">
        <f aca="false">IF(AND(SUP_CONTROL!$C$13=1,AS25&lt;$C$32,AT17-AT22&gt;=AT27,OR(PROD_DEMANDA!AS13&lt;SUP_PRODUCCION!$C$67,SUM($C$21:AS$21)=1)),1,0)</f>
        <v>1</v>
      </c>
      <c r="AU24" s="298" t="n">
        <f aca="false">IF(AND(SUP_CONTROL!$C$13=1,AT25&lt;$C$32,AU17-AU22&gt;=AU27,OR(PROD_DEMANDA!AT13&lt;SUP_PRODUCCION!$C$67,SUM($C$21:AT$21)=1)),1,0)</f>
        <v>0</v>
      </c>
      <c r="AV24" s="298" t="n">
        <f aca="false">IF(AND(SUP_CONTROL!$C$13=1,AU25&lt;$C$32,AV17-AV22&gt;=AV27,OR(PROD_DEMANDA!AU13&lt;SUP_PRODUCCION!$C$67,SUM($C$21:AU$21)=1)),1,0)</f>
        <v>1</v>
      </c>
      <c r="AW24" s="298" t="n">
        <f aca="false">IF(AND(SUP_CONTROL!$C$13=1,AV25&lt;$C$32,AW17-AW22&gt;=AW27,OR(PROD_DEMANDA!AV13&lt;SUP_PRODUCCION!$C$67,SUM($C$21:AV$21)=1)),1,0)</f>
        <v>1</v>
      </c>
      <c r="AX24" s="298" t="n">
        <f aca="false">IF(AND(SUP_CONTROL!$C$13=1,AW25&lt;$C$32,AX17-AX22&gt;=AX27,OR(PROD_DEMANDA!AW13&lt;SUP_PRODUCCION!$C$67,SUM($C$21:AW$21)=1)),1,0)</f>
        <v>0</v>
      </c>
      <c r="AY24" s="298" t="n">
        <f aca="false">IF(AND(SUP_CONTROL!$C$13=1,AX25&lt;$C$32,AY17-AY22&gt;=AY27,OR(PROD_DEMANDA!AX13&lt;SUP_PRODUCCION!$C$67,SUM($C$21:AX$21)=1)),1,0)</f>
        <v>0</v>
      </c>
      <c r="AZ24" s="298" t="n">
        <f aca="false">IF(AND(SUP_CONTROL!$C$13=1,AY25&lt;$C$32,AZ17-AZ22&gt;=AZ27,OR(PROD_DEMANDA!AY13&lt;SUP_PRODUCCION!$C$67,SUM($C$21:AY$21)=1)),1,0)</f>
        <v>0</v>
      </c>
      <c r="BA24" s="298" t="n">
        <f aca="false">IF(AND(SUP_CONTROL!$C$13=1,AZ25&lt;$C$32,BA17-BA22&gt;=BA27,OR(PROD_DEMANDA!AZ13&lt;SUP_PRODUCCION!$C$67,SUM($C$21:AZ$21)=1)),1,0)</f>
        <v>0</v>
      </c>
      <c r="BB24" s="298" t="n">
        <f aca="false">IF(AND(SUP_CONTROL!$C$13=1,BA25&lt;$C$32,BB17-BB22&gt;=BB27,OR(PROD_DEMANDA!BA13&lt;SUP_PRODUCCION!$C$67,SUM($C$21:BA$21)=1)),1,0)</f>
        <v>0</v>
      </c>
      <c r="BC24" s="298" t="n">
        <f aca="false">IF(AND(SUP_CONTROL!$C$13=1,BB25&lt;$C$32,BC17-BC22&gt;=BC27,OR(PROD_DEMANDA!BB13&lt;SUP_PRODUCCION!$C$67,SUM($C$21:BB$21)=1)),1,0)</f>
        <v>0</v>
      </c>
      <c r="BD24" s="298" t="n">
        <f aca="false">IF(AND(SUP_CONTROL!$C$13=1,BC25&lt;$C$32,BD17-BD22&gt;=BD27,OR(PROD_DEMANDA!BC13&lt;SUP_PRODUCCION!$C$67,SUM($C$21:BC$21)=1)),1,0)</f>
        <v>0</v>
      </c>
      <c r="BE24" s="298" t="n">
        <f aca="false">IF(AND(SUP_CONTROL!$C$13=1,BD25&lt;$C$32,BE17-BE22&gt;=BE27,OR(PROD_DEMANDA!BD13&lt;SUP_PRODUCCION!$C$67,SUM($C$21:BD$21)=1)),1,0)</f>
        <v>0</v>
      </c>
      <c r="BF24" s="298" t="n">
        <f aca="false">IF(AND(SUP_CONTROL!$C$13=1,BE25&lt;$C$32,BF17-BF22&gt;=BF27,OR(PROD_DEMANDA!BE13&lt;SUP_PRODUCCION!$C$67,SUM($C$21:BE$21)=1)),1,0)</f>
        <v>1</v>
      </c>
      <c r="BG24" s="298" t="n">
        <f aca="false">IF(AND(SUP_CONTROL!$C$13=1,BF25&lt;$C$32,BG17-BG22&gt;=BG27,OR(PROD_DEMANDA!BF13&lt;SUP_PRODUCCION!$C$67,SUM($C$21:BF$21)=1)),1,0)</f>
        <v>1</v>
      </c>
      <c r="BH24" s="298" t="n">
        <f aca="false">IF(AND(SUP_CONTROL!$C$13=1,BG25&lt;$C$32,BH17-BH22&gt;=BH27,OR(PROD_DEMANDA!BG13&lt;SUP_PRODUCCION!$C$67,SUM($C$21:BG$21)=1)),1,0)</f>
        <v>1</v>
      </c>
      <c r="BI24" s="298" t="n">
        <f aca="false">IF(AND(SUP_CONTROL!$C$13=1,BH25&lt;$C$32,BI17-BI22&gt;=BI27,OR(PROD_DEMANDA!BH13&lt;SUP_PRODUCCION!$C$67,SUM($C$21:BH$21)=1)),1,0)</f>
        <v>1</v>
      </c>
      <c r="BJ24" s="298" t="n">
        <f aca="false">IF(AND(SUP_CONTROL!$C$13=1,BI25&lt;$C$32,BJ17-BJ22&gt;=BJ27,OR(PROD_DEMANDA!BI13&lt;SUP_PRODUCCION!$C$67,SUM($C$21:BI$21)=1)),1,0)</f>
        <v>1</v>
      </c>
      <c r="BK24" s="298" t="n">
        <f aca="false">IF(AND(SUP_CONTROL!$C$13=1,BJ25&lt;$C$32,BK17-BK22&gt;=BK27,OR(PROD_DEMANDA!BJ13&lt;SUP_PRODUCCION!$C$67,SUM($C$21:BJ$21)=1)),1,0)</f>
        <v>1</v>
      </c>
      <c r="BL24" s="298" t="n">
        <f aca="false">IF(AND(SUP_CONTROL!$C$13=1,BK25&lt;$C$32,BL17-BL22&gt;=BL27,OR(PROD_DEMANDA!BK13&lt;SUP_PRODUCCION!$C$67,SUM($C$21:BK$21)=1)),1,0)</f>
        <v>0</v>
      </c>
      <c r="BM24" s="298" t="n">
        <f aca="false">IF(AND(SUP_CONTROL!$C$13=1,BL25&lt;$C$32,BM17-BM22&gt;=BM27,OR(PROD_DEMANDA!BL13&lt;SUP_PRODUCCION!$C$67,SUM($C$21:BL$21)=1)),1,0)</f>
        <v>1</v>
      </c>
      <c r="BN24" s="298" t="n">
        <f aca="false">IF(AND(SUP_CONTROL!$C$13=1,BM25&lt;$C$32,BN17-BN22&gt;=BN27,OR(PROD_DEMANDA!BM13&lt;SUP_PRODUCCION!$C$67,SUM($C$21:BM$21)=1)),1,0)</f>
        <v>1</v>
      </c>
      <c r="BO24" s="298" t="n">
        <f aca="false">IF(AND(SUP_CONTROL!$C$13=1,BN25&lt;$C$32,BO17-BO22&gt;=BO27,OR(PROD_DEMANDA!BN13&lt;SUP_PRODUCCION!$C$67,SUM($C$21:BN$21)=1)),1,0)</f>
        <v>1</v>
      </c>
      <c r="BP24" s="298" t="n">
        <f aca="false">IF(AND(SUP_CONTROL!$C$13=1,BO25&lt;$C$32,BP17-BP22&gt;=BP27,OR(PROD_DEMANDA!BO13&lt;SUP_PRODUCCION!$C$67,SUM($C$21:BO$21)=1)),1,0)</f>
        <v>1</v>
      </c>
      <c r="BQ24" s="298" t="n">
        <f aca="false">IF(AND(SUP_CONTROL!$C$13=1,BP25&lt;$C$32,BQ17-BQ22&gt;=BQ27,OR(PROD_DEMANDA!BP13&lt;SUP_PRODUCCION!$C$67,SUM($C$21:BP$21)=1)),1,0)</f>
        <v>1</v>
      </c>
      <c r="BR24" s="298" t="n">
        <f aca="false">IF(AND(SUP_CONTROL!$C$13=1,BQ25&lt;$C$32,BR17-BR22&gt;=BR27,OR(PROD_DEMANDA!BQ13&lt;SUP_PRODUCCION!$C$67,SUM($C$21:BQ$21)=1)),1,0)</f>
        <v>1</v>
      </c>
      <c r="BS24" s="298" t="n">
        <f aca="false">IF(AND(SUP_CONTROL!$C$13=1,BR25&lt;$C$32,BS17-BS22&gt;=BS27,OR(PROD_DEMANDA!BR13&lt;SUP_PRODUCCION!$C$67,SUM($C$21:BR$21)=1)),1,0)</f>
        <v>1</v>
      </c>
      <c r="BT24" s="298" t="n">
        <f aca="false">IF(AND(SUP_CONTROL!$C$13=1,BS25&lt;$C$32,BT17-BT22&gt;=BT27,OR(PROD_DEMANDA!BS13&lt;SUP_PRODUCCION!$C$67,SUM($C$21:BS$21)=1)),1,0)</f>
        <v>1</v>
      </c>
      <c r="BU24" s="298" t="n">
        <f aca="false">IF(AND(SUP_CONTROL!$C$13=1,BT25&lt;$C$32,BU17-BU22&gt;=BU27,OR(PROD_DEMANDA!BT13&lt;SUP_PRODUCCION!$C$67,SUM($C$21:BT$21)=1)),1,0)</f>
        <v>1</v>
      </c>
      <c r="BV24" s="298" t="n">
        <f aca="false">IF(AND(SUP_CONTROL!$C$13=1,BU25&lt;$C$32,BV17-BV22&gt;=BV27,OR(PROD_DEMANDA!BU13&lt;SUP_PRODUCCION!$C$67,SUM($C$21:BU$21)=1)),1,0)</f>
        <v>0</v>
      </c>
      <c r="BW24" s="298" t="n">
        <f aca="false">IF(AND(SUP_CONTROL!$C$13=1,BV25&lt;$C$32,BW17-BW22&gt;=BW27,OR(PROD_DEMANDA!BV13&lt;SUP_PRODUCCION!$C$67,SUM($C$21:BV$21)=1)),1,0)</f>
        <v>1</v>
      </c>
      <c r="BX24" s="298" t="n">
        <f aca="false">IF(AND(SUP_CONTROL!$C$13=1,BW25&lt;$C$32,BX17-BX22&gt;=BX27,OR(PROD_DEMANDA!BW13&lt;SUP_PRODUCCION!$C$67,SUM($C$21:BW$21)=1)),1,0)</f>
        <v>1</v>
      </c>
      <c r="BY24" s="298" t="n">
        <f aca="false">IF(AND(SUP_CONTROL!$C$13=1,BX25&lt;$C$32,BY17-BY22&gt;=BY27,OR(PROD_DEMANDA!BX13&lt;SUP_PRODUCCION!$C$67,SUM($C$21:BX$21)=1)),1,0)</f>
        <v>1</v>
      </c>
      <c r="BZ24" s="298" t="n">
        <f aca="false">IF(AND(SUP_CONTROL!$C$13=1,BY25&lt;$C$32,BZ17-BZ22&gt;=BZ27,OR(PROD_DEMANDA!BY13&lt;SUP_PRODUCCION!$C$67,SUM($C$21:BY$21)=1)),1,0)</f>
        <v>1</v>
      </c>
      <c r="CA24" s="298" t="n">
        <f aca="false">IF(AND(SUP_CONTROL!$C$13=1,BZ25&lt;$C$32,CA17-CA22&gt;=CA27,OR(PROD_DEMANDA!BZ13&lt;SUP_PRODUCCION!$C$67,SUM($C$21:BZ$21)=1)),1,0)</f>
        <v>1</v>
      </c>
      <c r="CB24" s="298" t="n">
        <f aca="false">IF(AND(SUP_CONTROL!$C$13=1,CA25&lt;$C$32,CB17-CB22&gt;=CB27,OR(PROD_DEMANDA!CA13&lt;SUP_PRODUCCION!$C$67,SUM($C$21:CA$21)=1)),1,0)</f>
        <v>1</v>
      </c>
      <c r="CC24" s="298" t="n">
        <f aca="false">IF(AND(SUP_CONTROL!$C$13=1,CB25&lt;$C$32,CC17-CC22&gt;=CC27,OR(PROD_DEMANDA!CB13&lt;SUP_PRODUCCION!$C$67,SUM($C$21:CB$21)=1)),1,0)</f>
        <v>1</v>
      </c>
      <c r="CD24" s="298" t="n">
        <f aca="false">IF(AND(SUP_CONTROL!$C$13=1,CC25&lt;$C$32,CD17-CD22&gt;=CD27,OR(PROD_DEMANDA!CC13&lt;SUP_PRODUCCION!$C$67,SUM($C$21:CC$21)=1)),1,0)</f>
        <v>1</v>
      </c>
      <c r="CE24" s="298" t="n">
        <f aca="false">IF(AND(SUP_CONTROL!$C$13=1,CD25&lt;$C$32,CE17-CE22&gt;=CE27,OR(PROD_DEMANDA!CD13&lt;SUP_PRODUCCION!$C$67,SUM($C$21:CD$21)=1)),1,0)</f>
        <v>1</v>
      </c>
      <c r="CF24" s="298" t="n">
        <f aca="false">IF(AND(SUP_CONTROL!$C$13=1,CE25&lt;$C$32,CF17-CF22&gt;=CF27,OR(PROD_DEMANDA!CE13&lt;SUP_PRODUCCION!$C$67,SUM($C$21:CE$21)=1)),1,0)</f>
        <v>1</v>
      </c>
      <c r="CG24" s="298" t="n">
        <f aca="false">IF(AND(SUP_CONTROL!$C$13=1,CF25&lt;$C$32,CG17-CG22&gt;=CG27,OR(PROD_DEMANDA!CF13&lt;SUP_PRODUCCION!$C$67,SUM($C$21:CF$21)=1)),1,0)</f>
        <v>1</v>
      </c>
      <c r="CH24" s="298" t="n">
        <f aca="false">IF(AND(SUP_CONTROL!$C$13=1,CG25&lt;$C$32,CH17-CH22&gt;=CH27,OR(PROD_DEMANDA!CG13&lt;SUP_PRODUCCION!$C$67,SUM($C$21:CG$21)=1)),1,0)</f>
        <v>0</v>
      </c>
      <c r="CI24" s="298" t="n">
        <f aca="false">IF(AND(SUP_CONTROL!$C$13=1,CH25&lt;$C$32,CI17-CI22&gt;=CI27,OR(PROD_DEMANDA!CH13&lt;SUP_PRODUCCION!$C$67,SUM($C$21:CH$21)=1)),1,0)</f>
        <v>0</v>
      </c>
      <c r="CJ24" s="298" t="n">
        <f aca="false">IF(AND(SUP_CONTROL!$C$13=1,CI25&lt;$C$32,CJ17-CJ22&gt;=CJ27,OR(PROD_DEMANDA!CI13&lt;SUP_PRODUCCION!$C$67,SUM($C$21:CI$21)=1)),1,0)</f>
        <v>0</v>
      </c>
      <c r="CK24" s="298" t="n">
        <f aca="false">IF(AND(SUP_CONTROL!$C$13=1,CJ25&lt;$C$32,CK17-CK22&gt;=CK27,OR(PROD_DEMANDA!CJ13&lt;SUP_PRODUCCION!$C$67,SUM($C$21:CJ$21)=1)),1,0)</f>
        <v>0</v>
      </c>
      <c r="CL24" s="298" t="n">
        <f aca="false">IF(AND(SUP_CONTROL!$C$13=1,CK25&lt;$C$32,CL17-CL22&gt;=CL27,OR(PROD_DEMANDA!CK13&lt;SUP_PRODUCCION!$C$67,SUM($C$21:CK$21)=1)),1,0)</f>
        <v>0</v>
      </c>
      <c r="CM24" s="298" t="n">
        <f aca="false">IF(AND(SUP_CONTROL!$C$13=1,CL25&lt;$C$32,CM17-CM22&gt;=CM27,OR(PROD_DEMANDA!CL13&lt;SUP_PRODUCCION!$C$67,SUM($C$21:CL$21)=1)),1,0)</f>
        <v>0</v>
      </c>
      <c r="CN24" s="298" t="n">
        <f aca="false">IF(AND(SUP_CONTROL!$C$13=1,CM25&lt;$C$32,CN17-CN22&gt;=CN27,OR(PROD_DEMANDA!CM13&lt;SUP_PRODUCCION!$C$67,SUM($C$21:CM$21)=1)),1,0)</f>
        <v>0</v>
      </c>
      <c r="CO24" s="298" t="n">
        <f aca="false">IF(AND(SUP_CONTROL!$C$13=1,CN25&lt;$C$32,CO17-CO22&gt;=CO27,OR(PROD_DEMANDA!CN13&lt;SUP_PRODUCCION!$C$67,SUM($C$21:CN$21)=1)),1,0)</f>
        <v>0</v>
      </c>
      <c r="CP24" s="298" t="n">
        <f aca="false">IF(AND(SUP_CONTROL!$C$13=1,CO25&lt;$C$32,CP17-CP22&gt;=CP27,OR(PROD_DEMANDA!CO13&lt;SUP_PRODUCCION!$C$67,SUM($C$21:CO$21)=1)),1,0)</f>
        <v>0</v>
      </c>
      <c r="CQ24" s="298" t="n">
        <f aca="false">IF(AND(SUP_CONTROL!$C$13=1,CP25&lt;$C$32,CQ17-CQ22&gt;=CQ27,OR(PROD_DEMANDA!CP13&lt;SUP_PRODUCCION!$C$67,SUM($C$21:CP$21)=1)),1,0)</f>
        <v>0</v>
      </c>
      <c r="CR24" s="298" t="n">
        <f aca="false">IF(AND(SUP_CONTROL!$C$13=1,CQ25&lt;$C$32,CR17-CR22&gt;=CR27,OR(PROD_DEMANDA!CQ13&lt;SUP_PRODUCCION!$C$67,SUM($C$21:CQ$21)=1)),1,0)</f>
        <v>0</v>
      </c>
      <c r="CS24" s="298" t="n">
        <f aca="false">IF(AND(SUP_CONTROL!$C$13=1,CR25&lt;$C$32,CS17-CS22&gt;=CS27,OR(PROD_DEMANDA!CR13&lt;SUP_PRODUCCION!$C$67,SUM($C$21:CR$21)=1)),1,0)</f>
        <v>0</v>
      </c>
      <c r="CT24" s="298" t="n">
        <f aca="false">IF(AND(SUP_CONTROL!$C$13=1,CS25&lt;$C$32,CT17-CT22&gt;=CT27,OR(PROD_DEMANDA!CS13&lt;SUP_PRODUCCION!$C$67,SUM($C$21:CS$21)=1)),1,0)</f>
        <v>0</v>
      </c>
      <c r="CU24" s="298" t="n">
        <f aca="false">IF(AND(SUP_CONTROL!$C$13=1,CT25&lt;$C$32,CU17-CU22&gt;=CU27,OR(PROD_DEMANDA!CT13&lt;SUP_PRODUCCION!$C$67,SUM($C$21:CT$21)=1)),1,0)</f>
        <v>0</v>
      </c>
      <c r="CV24" s="298" t="n">
        <f aca="false">IF(AND(SUP_CONTROL!$C$13=1,CU25&lt;$C$32,CV17-CV22&gt;=CV27,OR(PROD_DEMANDA!CU13&lt;SUP_PRODUCCION!$C$67,SUM($C$21:CU$21)=1)),1,0)</f>
        <v>0</v>
      </c>
      <c r="CW24" s="298" t="n">
        <f aca="false">IF(AND(SUP_CONTROL!$C$13=1,CV25&lt;$C$32,CW17-CW22&gt;=CW27,OR(PROD_DEMANDA!CV13&lt;SUP_PRODUCCION!$C$67,SUM($C$21:CV$21)=1)),1,0)</f>
        <v>0</v>
      </c>
      <c r="CX24" s="298" t="n">
        <f aca="false">IF(AND(SUP_CONTROL!$C$13=1,CW25&lt;$C$32,CX17-CX22&gt;=CX27,OR(PROD_DEMANDA!CW13&lt;SUP_PRODUCCION!$C$67,SUM($C$21:CW$21)=1)),1,0)</f>
        <v>0</v>
      </c>
      <c r="CY24" s="298" t="n">
        <f aca="false">IF(AND(SUP_CONTROL!$C$13=1,CX25&lt;$C$32,CY17-CY22&gt;=CY27,OR(PROD_DEMANDA!CX13&lt;SUP_PRODUCCION!$C$67,SUM($C$21:CX$21)=1)),1,0)</f>
        <v>0</v>
      </c>
      <c r="CZ24" s="298" t="n">
        <f aca="false">IF(AND(SUP_CONTROL!$C$13=1,CY25&lt;$C$32,CZ17-CZ22&gt;=CZ27,OR(PROD_DEMANDA!CY13&lt;SUP_PRODUCCION!$C$67,SUM($C$21:CY$21)=1)),1,0)</f>
        <v>0</v>
      </c>
      <c r="DA24" s="298" t="n">
        <f aca="false">IF(AND(SUP_CONTROL!$C$13=1,CZ25&lt;$C$32,DA17-DA22&gt;=DA27,OR(PROD_DEMANDA!CZ13&lt;SUP_PRODUCCION!$C$67,SUM($C$21:CZ$21)=1)),1,0)</f>
        <v>0</v>
      </c>
      <c r="DB24" s="298" t="n">
        <f aca="false">IF(AND(SUP_CONTROL!$C$13=1,DA25&lt;$C$32,DB17-DB22&gt;=DB27,OR(PROD_DEMANDA!DA13&lt;SUP_PRODUCCION!$C$67,SUM($C$21:DA$21)=1)),1,0)</f>
        <v>0</v>
      </c>
      <c r="DC24" s="298" t="n">
        <f aca="false">IF(AND(SUP_CONTROL!$C$13=1,DB25&lt;$C$32,DC17-DC22&gt;=DC27,OR(PROD_DEMANDA!DB13&lt;SUP_PRODUCCION!$C$67,SUM($C$21:DB$21)=1)),1,0)</f>
        <v>0</v>
      </c>
      <c r="DD24" s="298" t="n">
        <f aca="false">IF(AND(SUP_CONTROL!$C$13=1,DC25&lt;$C$32,DD17-DD22&gt;=DD27,OR(PROD_DEMANDA!DC13&lt;SUP_PRODUCCION!$C$67,SUM($C$21:DC$21)=1)),1,0)</f>
        <v>0</v>
      </c>
      <c r="DE24" s="298" t="n">
        <f aca="false">IF(AND(SUP_CONTROL!$C$13=1,DD25&lt;$C$32,DE17-DE22&gt;=DE27,OR(PROD_DEMANDA!DD13&lt;SUP_PRODUCCION!$C$67,SUM($C$21:DD$21)=1)),1,0)</f>
        <v>0</v>
      </c>
      <c r="DF24" s="298" t="n">
        <f aca="false">IF(AND(SUP_CONTROL!$C$13=1,DE25&lt;$C$32,DF17-DF22&gt;=DF27,OR(PROD_DEMANDA!DE13&lt;SUP_PRODUCCION!$C$67,SUM($C$21:DE$21)=1)),1,0)</f>
        <v>0</v>
      </c>
      <c r="DG24" s="298" t="n">
        <f aca="false">IF(AND(SUP_CONTROL!$C$13=1,DF25&lt;$C$32,DG17-DG22&gt;=DG27,OR(PROD_DEMANDA!DF13&lt;SUP_PRODUCCION!$C$67,SUM($C$21:DF$21)=1)),1,0)</f>
        <v>0</v>
      </c>
      <c r="DH24" s="298" t="n">
        <f aca="false">IF(AND(SUP_CONTROL!$C$13=1,DG25&lt;$C$32,DH17-DH22&gt;=DH27,OR(PROD_DEMANDA!DG13&lt;SUP_PRODUCCION!$C$67,SUM($C$21:DG$21)=1)),1,0)</f>
        <v>0</v>
      </c>
      <c r="DI24" s="298" t="n">
        <f aca="false">IF(AND(SUP_CONTROL!$C$13=1,DH25&lt;$C$32,DI17-DI22&gt;=DI27,OR(PROD_DEMANDA!DH13&lt;SUP_PRODUCCION!$C$67,SUM($C$21:DH$21)=1)),1,0)</f>
        <v>0</v>
      </c>
      <c r="DJ24" s="298" t="n">
        <f aca="false">IF(AND(SUP_CONTROL!$C$13=1,DI25&lt;$C$32,DJ17-DJ22&gt;=DJ27,OR(PROD_DEMANDA!DI13&lt;SUP_PRODUCCION!$C$67,SUM($C$21:DI$21)=1)),1,0)</f>
        <v>0</v>
      </c>
      <c r="DK24" s="298" t="n">
        <f aca="false">IF(AND(SUP_CONTROL!$C$13=1,DJ25&lt;$C$32,DK17-DK22&gt;=DK27,OR(PROD_DEMANDA!DJ13&lt;SUP_PRODUCCION!$C$67,SUM($C$21:DJ$21)=1)),1,0)</f>
        <v>0</v>
      </c>
      <c r="DL24" s="298" t="n">
        <f aca="false">IF(AND(SUP_CONTROL!$C$13=1,DK25&lt;$C$32,DL17-DL22&gt;=DL27,OR(PROD_DEMANDA!DK13&lt;SUP_PRODUCCION!$C$67,SUM($C$21:DK$21)=1)),1,0)</f>
        <v>0</v>
      </c>
      <c r="DM24" s="298" t="n">
        <f aca="false">IF(AND(SUP_CONTROL!$C$13=1,DL25&lt;$C$32,DM17-DM22&gt;=DM27,OR(PROD_DEMANDA!DL13&lt;SUP_PRODUCCION!$C$67,SUM($C$21:DL$21)=1)),1,0)</f>
        <v>0</v>
      </c>
      <c r="DN24" s="298" t="n">
        <f aca="false">IF(AND(SUP_CONTROL!$C$13=1,DM25&lt;$C$32,DN17-DN22&gt;=DN27,OR(PROD_DEMANDA!DM13&lt;SUP_PRODUCCION!$C$67,SUM($C$21:DM$21)=1)),1,0)</f>
        <v>0</v>
      </c>
      <c r="DO24" s="298" t="n">
        <f aca="false">IF(AND(SUP_CONTROL!$C$13=1,DN25&lt;$C$32,DO17-DO22&gt;=DO27,OR(PROD_DEMANDA!DN13&lt;SUP_PRODUCCION!$C$67,SUM($C$21:DN$21)=1)),1,0)</f>
        <v>0</v>
      </c>
      <c r="DP24" s="298" t="n">
        <f aca="false">IF(AND(SUP_CONTROL!$C$13=1,DO25&lt;$C$32,DP17-DP22&gt;=DP27,OR(PROD_DEMANDA!DO13&lt;SUP_PRODUCCION!$C$67,SUM($C$21:DO$21)=1)),1,0)</f>
        <v>0</v>
      </c>
      <c r="DQ24" s="298" t="n">
        <f aca="false">IF(AND(SUP_CONTROL!$C$13=1,DP25&lt;$C$32,DQ17-DQ22&gt;=DQ27,OR(PROD_DEMANDA!DP13&lt;SUP_PRODUCCION!$C$67,SUM($C$21:DP$21)=1)),1,0)</f>
        <v>0</v>
      </c>
      <c r="DR24" s="298" t="n">
        <f aca="false">IF(AND(SUP_CONTROL!$C$13=1,DQ25&lt;$C$32,DR17-DR22&gt;=DR27,OR(PROD_DEMANDA!DQ13&lt;SUP_PRODUCCION!$C$67,SUM($C$21:DQ$21)=1)),1,0)</f>
        <v>0</v>
      </c>
      <c r="DS24" s="298" t="n">
        <f aca="false">IF(AND(SUP_CONTROL!$C$13=1,DR25&lt;$C$32,DS17-DS22&gt;=DS27,OR(PROD_DEMANDA!DR13&lt;SUP_PRODUCCION!$C$67,SUM($C$21:DR$21)=1)),1,0)</f>
        <v>0</v>
      </c>
    </row>
    <row r="25" customFormat="false" ht="15" hidden="false" customHeight="true" outlineLevel="0" collapsed="false">
      <c r="B25" s="178" t="s">
        <v>3532</v>
      </c>
      <c r="D25" s="275" t="n">
        <f aca="false">0</f>
        <v>0</v>
      </c>
      <c r="E25" s="275" t="n">
        <f aca="false">D25+E24</f>
        <v>0</v>
      </c>
      <c r="F25" s="275" t="n">
        <f aca="false">E25+F24</f>
        <v>0</v>
      </c>
      <c r="G25" s="275" t="n">
        <f aca="false">F25+G24</f>
        <v>0</v>
      </c>
      <c r="H25" s="275" t="n">
        <f aca="false">G25+H24</f>
        <v>0</v>
      </c>
      <c r="I25" s="275" t="n">
        <f aca="false">H25+I24</f>
        <v>0</v>
      </c>
      <c r="J25" s="275" t="n">
        <f aca="false">I25+J24</f>
        <v>0</v>
      </c>
      <c r="K25" s="275" t="n">
        <f aca="false">J25+K24</f>
        <v>0</v>
      </c>
      <c r="L25" s="275" t="n">
        <f aca="false">K25+L24</f>
        <v>0</v>
      </c>
      <c r="M25" s="275" t="n">
        <f aca="false">L25+M24</f>
        <v>0</v>
      </c>
      <c r="N25" s="275" t="n">
        <f aca="false">M25+N24</f>
        <v>0</v>
      </c>
      <c r="O25" s="275" t="n">
        <f aca="false">N25+O24</f>
        <v>0</v>
      </c>
      <c r="P25" s="275" t="n">
        <f aca="false">O25+P24</f>
        <v>0</v>
      </c>
      <c r="Q25" s="275" t="n">
        <f aca="false">P25+Q24</f>
        <v>0</v>
      </c>
      <c r="R25" s="275" t="n">
        <f aca="false">Q25+R24</f>
        <v>0</v>
      </c>
      <c r="S25" s="275" t="n">
        <f aca="false">R25+S24</f>
        <v>1</v>
      </c>
      <c r="T25" s="275" t="n">
        <f aca="false">S25+T24</f>
        <v>2</v>
      </c>
      <c r="U25" s="275" t="n">
        <f aca="false">T25+U24</f>
        <v>2</v>
      </c>
      <c r="V25" s="275" t="n">
        <f aca="false">U25+V24</f>
        <v>3</v>
      </c>
      <c r="W25" s="275" t="n">
        <f aca="false">V25+W24</f>
        <v>3</v>
      </c>
      <c r="X25" s="275" t="n">
        <f aca="false">W25+X24</f>
        <v>3</v>
      </c>
      <c r="Y25" s="275" t="n">
        <f aca="false">X25+Y24</f>
        <v>3</v>
      </c>
      <c r="Z25" s="275" t="n">
        <f aca="false">Y25+Z24</f>
        <v>3</v>
      </c>
      <c r="AA25" s="275" t="n">
        <f aca="false">Z25+AA24</f>
        <v>3</v>
      </c>
      <c r="AB25" s="275" t="n">
        <f aca="false">AA25+AB24</f>
        <v>3</v>
      </c>
      <c r="AC25" s="275" t="n">
        <f aca="false">AB25+AC24</f>
        <v>3</v>
      </c>
      <c r="AD25" s="275" t="n">
        <f aca="false">AC25+AD24</f>
        <v>3</v>
      </c>
      <c r="AE25" s="275" t="n">
        <f aca="false">AD25+AE24</f>
        <v>3</v>
      </c>
      <c r="AF25" s="275" t="n">
        <f aca="false">AE25+AF24</f>
        <v>4</v>
      </c>
      <c r="AG25" s="275" t="n">
        <f aca="false">AF25+AG24</f>
        <v>5</v>
      </c>
      <c r="AH25" s="275" t="n">
        <f aca="false">AG25+AH24</f>
        <v>5</v>
      </c>
      <c r="AI25" s="275" t="n">
        <f aca="false">AH25+AI24</f>
        <v>6</v>
      </c>
      <c r="AJ25" s="275" t="n">
        <f aca="false">AI25+AJ24</f>
        <v>6</v>
      </c>
      <c r="AK25" s="275" t="n">
        <f aca="false">AJ25+AK24</f>
        <v>7</v>
      </c>
      <c r="AL25" s="275" t="n">
        <f aca="false">AK25+AL24</f>
        <v>7</v>
      </c>
      <c r="AM25" s="275" t="n">
        <f aca="false">AL25+AM24</f>
        <v>7</v>
      </c>
      <c r="AN25" s="275" t="n">
        <f aca="false">AM25+AN24</f>
        <v>8</v>
      </c>
      <c r="AO25" s="275" t="n">
        <f aca="false">AN25+AO24</f>
        <v>9</v>
      </c>
      <c r="AP25" s="275" t="n">
        <f aca="false">AO25+AP24</f>
        <v>10</v>
      </c>
      <c r="AQ25" s="275" t="n">
        <f aca="false">AP25+AQ24</f>
        <v>11</v>
      </c>
      <c r="AR25" s="275" t="n">
        <f aca="false">AQ25+AR24</f>
        <v>11</v>
      </c>
      <c r="AS25" s="275" t="n">
        <f aca="false">AR25+AS24</f>
        <v>11</v>
      </c>
      <c r="AT25" s="275" t="n">
        <f aca="false">AS25+AT24</f>
        <v>12</v>
      </c>
      <c r="AU25" s="275" t="n">
        <f aca="false">AT25+AU24</f>
        <v>12</v>
      </c>
      <c r="AV25" s="275" t="n">
        <f aca="false">AU25+AV24</f>
        <v>13</v>
      </c>
      <c r="AW25" s="275" t="n">
        <f aca="false">AV25+AW24</f>
        <v>14</v>
      </c>
      <c r="AX25" s="275" t="n">
        <f aca="false">AW25+AX24</f>
        <v>14</v>
      </c>
      <c r="AY25" s="275" t="n">
        <f aca="false">AX25+AY24</f>
        <v>14</v>
      </c>
      <c r="AZ25" s="275" t="n">
        <f aca="false">AY25+AZ24</f>
        <v>14</v>
      </c>
      <c r="BA25" s="275" t="n">
        <f aca="false">AZ25+BA24</f>
        <v>14</v>
      </c>
      <c r="BB25" s="275" t="n">
        <f aca="false">BA25+BB24</f>
        <v>14</v>
      </c>
      <c r="BC25" s="275" t="n">
        <f aca="false">BB25+BC24</f>
        <v>14</v>
      </c>
      <c r="BD25" s="275" t="n">
        <f aca="false">BC25+BD24</f>
        <v>14</v>
      </c>
      <c r="BE25" s="275" t="n">
        <f aca="false">BD25+BE24</f>
        <v>14</v>
      </c>
      <c r="BF25" s="275" t="n">
        <f aca="false">BE25+BF24</f>
        <v>15</v>
      </c>
      <c r="BG25" s="275" t="n">
        <f aca="false">BF25+BG24</f>
        <v>16</v>
      </c>
      <c r="BH25" s="275" t="n">
        <f aca="false">BG25+BH24</f>
        <v>17</v>
      </c>
      <c r="BI25" s="275" t="n">
        <f aca="false">BH25+BI24</f>
        <v>18</v>
      </c>
      <c r="BJ25" s="275" t="n">
        <f aca="false">BI25+BJ24</f>
        <v>19</v>
      </c>
      <c r="BK25" s="275" t="n">
        <f aca="false">BJ25+BK24</f>
        <v>20</v>
      </c>
      <c r="BL25" s="275" t="n">
        <f aca="false">BK25+BL24</f>
        <v>20</v>
      </c>
      <c r="BM25" s="275" t="n">
        <f aca="false">BL25+BM24</f>
        <v>21</v>
      </c>
      <c r="BN25" s="275" t="n">
        <f aca="false">BM25+BN24</f>
        <v>22</v>
      </c>
      <c r="BO25" s="275" t="n">
        <f aca="false">BN25+BO24</f>
        <v>23</v>
      </c>
      <c r="BP25" s="275" t="n">
        <f aca="false">BO25+BP24</f>
        <v>24</v>
      </c>
      <c r="BQ25" s="275" t="n">
        <f aca="false">BP25+BQ24</f>
        <v>25</v>
      </c>
      <c r="BR25" s="275" t="n">
        <f aca="false">BQ25+BR24</f>
        <v>26</v>
      </c>
      <c r="BS25" s="275" t="n">
        <f aca="false">BR25+BS24</f>
        <v>27</v>
      </c>
      <c r="BT25" s="275" t="n">
        <f aca="false">BS25+BT24</f>
        <v>28</v>
      </c>
      <c r="BU25" s="275" t="n">
        <f aca="false">BT25+BU24</f>
        <v>29</v>
      </c>
      <c r="BV25" s="275" t="n">
        <f aca="false">BU25+BV24</f>
        <v>29</v>
      </c>
      <c r="BW25" s="275" t="n">
        <f aca="false">BV25+BW24</f>
        <v>30</v>
      </c>
      <c r="BX25" s="275" t="n">
        <f aca="false">BW25+BX24</f>
        <v>31</v>
      </c>
      <c r="BY25" s="275" t="n">
        <f aca="false">BX25+BY24</f>
        <v>32</v>
      </c>
      <c r="BZ25" s="275" t="n">
        <f aca="false">BY25+BZ24</f>
        <v>33</v>
      </c>
      <c r="CA25" s="275" t="n">
        <f aca="false">BZ25+CA24</f>
        <v>34</v>
      </c>
      <c r="CB25" s="275" t="n">
        <f aca="false">CA25+CB24</f>
        <v>35</v>
      </c>
      <c r="CC25" s="275" t="n">
        <f aca="false">CB25+CC24</f>
        <v>36</v>
      </c>
      <c r="CD25" s="275" t="n">
        <f aca="false">CC25+CD24</f>
        <v>37</v>
      </c>
      <c r="CE25" s="275" t="n">
        <f aca="false">CD25+CE24</f>
        <v>38</v>
      </c>
      <c r="CF25" s="275" t="n">
        <f aca="false">CE25+CF24</f>
        <v>39</v>
      </c>
      <c r="CG25" s="275" t="n">
        <f aca="false">CF25+CG24</f>
        <v>40</v>
      </c>
      <c r="CH25" s="275" t="n">
        <f aca="false">CG25+CH24</f>
        <v>40</v>
      </c>
      <c r="CI25" s="275" t="n">
        <f aca="false">CH25+CI24</f>
        <v>40</v>
      </c>
      <c r="CJ25" s="275" t="n">
        <f aca="false">CI25+CJ24</f>
        <v>40</v>
      </c>
      <c r="CK25" s="275" t="n">
        <f aca="false">CJ25+CK24</f>
        <v>40</v>
      </c>
      <c r="CL25" s="275" t="n">
        <f aca="false">CK25+CL24</f>
        <v>40</v>
      </c>
      <c r="CM25" s="275" t="n">
        <f aca="false">CL25+CM24</f>
        <v>40</v>
      </c>
      <c r="CN25" s="275" t="n">
        <f aca="false">CM25+CN24</f>
        <v>40</v>
      </c>
      <c r="CO25" s="275" t="n">
        <f aca="false">CN25+CO24</f>
        <v>40</v>
      </c>
      <c r="CP25" s="275" t="n">
        <f aca="false">CO25+CP24</f>
        <v>40</v>
      </c>
      <c r="CQ25" s="275" t="n">
        <f aca="false">CP25+CQ24</f>
        <v>40</v>
      </c>
      <c r="CR25" s="275" t="n">
        <f aca="false">CQ25+CR24</f>
        <v>40</v>
      </c>
      <c r="CS25" s="275" t="n">
        <f aca="false">CR25+CS24</f>
        <v>40</v>
      </c>
      <c r="CT25" s="275" t="n">
        <f aca="false">CS25+CT24</f>
        <v>40</v>
      </c>
      <c r="CU25" s="275" t="n">
        <f aca="false">CT25+CU24</f>
        <v>40</v>
      </c>
      <c r="CV25" s="275" t="n">
        <f aca="false">CU25+CV24</f>
        <v>40</v>
      </c>
      <c r="CW25" s="275" t="n">
        <f aca="false">CV25+CW24</f>
        <v>40</v>
      </c>
      <c r="CX25" s="275" t="n">
        <f aca="false">CW25+CX24</f>
        <v>40</v>
      </c>
      <c r="CY25" s="275" t="n">
        <f aca="false">CX25+CY24</f>
        <v>40</v>
      </c>
      <c r="CZ25" s="275" t="n">
        <f aca="false">CY25+CZ24</f>
        <v>40</v>
      </c>
      <c r="DA25" s="275" t="n">
        <f aca="false">CZ25+DA24</f>
        <v>40</v>
      </c>
      <c r="DB25" s="275" t="n">
        <f aca="false">DA25+DB24</f>
        <v>40</v>
      </c>
      <c r="DC25" s="275" t="n">
        <f aca="false">DB25+DC24</f>
        <v>40</v>
      </c>
      <c r="DD25" s="275" t="n">
        <f aca="false">DC25+DD24</f>
        <v>40</v>
      </c>
      <c r="DE25" s="275" t="n">
        <f aca="false">DD25+DE24</f>
        <v>40</v>
      </c>
      <c r="DF25" s="275" t="n">
        <f aca="false">DE25+DF24</f>
        <v>40</v>
      </c>
      <c r="DG25" s="275" t="n">
        <f aca="false">DF25+DG24</f>
        <v>40</v>
      </c>
      <c r="DH25" s="275" t="n">
        <f aca="false">DG25+DH24</f>
        <v>40</v>
      </c>
      <c r="DI25" s="275" t="n">
        <f aca="false">DH25+DI24</f>
        <v>40</v>
      </c>
      <c r="DJ25" s="275" t="n">
        <f aca="false">DI25+DJ24</f>
        <v>40</v>
      </c>
      <c r="DK25" s="275" t="n">
        <f aca="false">DJ25+DK24</f>
        <v>40</v>
      </c>
      <c r="DL25" s="275" t="n">
        <f aca="false">DK25+DL24</f>
        <v>40</v>
      </c>
      <c r="DM25" s="275" t="n">
        <f aca="false">DL25+DM24</f>
        <v>40</v>
      </c>
      <c r="DN25" s="275" t="n">
        <f aca="false">DM25+DN24</f>
        <v>40</v>
      </c>
      <c r="DO25" s="275" t="n">
        <f aca="false">DN25+DO24</f>
        <v>40</v>
      </c>
      <c r="DP25" s="275" t="n">
        <f aca="false">DO25+DP24</f>
        <v>40</v>
      </c>
      <c r="DQ25" s="275" t="n">
        <f aca="false">DP25+DQ24</f>
        <v>40</v>
      </c>
      <c r="DR25" s="275" t="n">
        <f aca="false">DQ25+DR24</f>
        <v>40</v>
      </c>
      <c r="DS25" s="275" t="n">
        <f aca="false">DR25+DS24</f>
        <v>40</v>
      </c>
    </row>
    <row r="27" customFormat="false" ht="15" hidden="false" customHeight="true" outlineLevel="0" collapsed="false">
      <c r="B27" s="297" t="s">
        <v>3533</v>
      </c>
      <c r="D27" s="273" t="n">
        <f aca="false">INDEX(SUP_C3_EXPANSION!$F$20:$F$59,1)</f>
        <v>98995.937</v>
      </c>
      <c r="E27" s="273" t="n">
        <f aca="false">IFERROR(INDEX(SUP_C3_EXPANSION!$F$20:$F$59,D25+1),999999999)</f>
        <v>98995.937</v>
      </c>
      <c r="F27" s="273" t="n">
        <f aca="false">IFERROR(INDEX(SUP_C3_EXPANSION!$F$20:$F$59,E25+1),999999999)</f>
        <v>98995.937</v>
      </c>
      <c r="G27" s="273" t="n">
        <f aca="false">IFERROR(INDEX(SUP_C3_EXPANSION!$F$20:$F$59,F25+1),999999999)</f>
        <v>98995.937</v>
      </c>
      <c r="H27" s="273" t="n">
        <f aca="false">IFERROR(INDEX(SUP_C3_EXPANSION!$F$20:$F$59,G25+1),999999999)</f>
        <v>98995.937</v>
      </c>
      <c r="I27" s="273" t="n">
        <f aca="false">IFERROR(INDEX(SUP_C3_EXPANSION!$F$20:$F$59,H25+1),999999999)</f>
        <v>98995.937</v>
      </c>
      <c r="J27" s="273" t="n">
        <f aca="false">IFERROR(INDEX(SUP_C3_EXPANSION!$F$20:$F$59,I25+1),999999999)</f>
        <v>98995.937</v>
      </c>
      <c r="K27" s="273" t="n">
        <f aca="false">IFERROR(INDEX(SUP_C3_EXPANSION!$F$20:$F$59,J25+1),999999999)</f>
        <v>98995.937</v>
      </c>
      <c r="L27" s="273" t="n">
        <f aca="false">IFERROR(INDEX(SUP_C3_EXPANSION!$F$20:$F$59,K25+1),999999999)</f>
        <v>98995.937</v>
      </c>
      <c r="M27" s="273" t="n">
        <f aca="false">IFERROR(INDEX(SUP_C3_EXPANSION!$F$20:$F$59,L25+1),999999999)</f>
        <v>98995.937</v>
      </c>
      <c r="N27" s="273" t="n">
        <f aca="false">IFERROR(INDEX(SUP_C3_EXPANSION!$F$20:$F$59,M25+1),999999999)</f>
        <v>98995.937</v>
      </c>
      <c r="O27" s="273" t="n">
        <f aca="false">IFERROR(INDEX(SUP_C3_EXPANSION!$F$20:$F$59,N25+1),999999999)</f>
        <v>98995.937</v>
      </c>
      <c r="P27" s="273" t="n">
        <f aca="false">IFERROR(INDEX(SUP_C3_EXPANSION!$F$20:$F$59,O25+1),999999999)</f>
        <v>98995.937</v>
      </c>
      <c r="Q27" s="273" t="n">
        <f aca="false">IFERROR(INDEX(SUP_C3_EXPANSION!$F$20:$F$59,P25+1),999999999)</f>
        <v>98995.937</v>
      </c>
      <c r="R27" s="273" t="n">
        <f aca="false">IFERROR(INDEX(SUP_C3_EXPANSION!$F$20:$F$59,Q25+1),999999999)</f>
        <v>98995.937</v>
      </c>
      <c r="S27" s="273" t="n">
        <f aca="false">IFERROR(INDEX(SUP_C3_EXPANSION!$F$20:$F$59,R25+1),999999999)</f>
        <v>98995.937</v>
      </c>
      <c r="T27" s="273" t="n">
        <f aca="false">IFERROR(INDEX(SUP_C3_EXPANSION!$F$20:$F$59,S25+1),999999999)</f>
        <v>98995.937</v>
      </c>
      <c r="U27" s="273" t="n">
        <f aca="false">IFERROR(INDEX(SUP_C3_EXPANSION!$F$20:$F$59,T25+1),999999999)</f>
        <v>98995.937</v>
      </c>
      <c r="V27" s="273" t="n">
        <f aca="false">IFERROR(INDEX(SUP_C3_EXPANSION!$F$20:$F$59,U25+1),999999999)</f>
        <v>98995.937</v>
      </c>
      <c r="W27" s="273" t="n">
        <f aca="false">IFERROR(INDEX(SUP_C3_EXPANSION!$F$20:$F$59,V25+1),999999999)</f>
        <v>147686.02225</v>
      </c>
      <c r="X27" s="273" t="n">
        <f aca="false">IFERROR(INDEX(SUP_C3_EXPANSION!$F$20:$F$59,W25+1),999999999)</f>
        <v>147686.02225</v>
      </c>
      <c r="Y27" s="273" t="n">
        <f aca="false">IFERROR(INDEX(SUP_C3_EXPANSION!$F$20:$F$59,X25+1),999999999)</f>
        <v>147686.02225</v>
      </c>
      <c r="Z27" s="273" t="n">
        <f aca="false">IFERROR(INDEX(SUP_C3_EXPANSION!$F$20:$F$59,Y25+1),999999999)</f>
        <v>147686.02225</v>
      </c>
      <c r="AA27" s="273" t="n">
        <f aca="false">IFERROR(INDEX(SUP_C3_EXPANSION!$F$20:$F$59,Z25+1),999999999)</f>
        <v>147686.02225</v>
      </c>
      <c r="AB27" s="273" t="n">
        <f aca="false">IFERROR(INDEX(SUP_C3_EXPANSION!$F$20:$F$59,AA25+1),999999999)</f>
        <v>147686.02225</v>
      </c>
      <c r="AC27" s="273" t="n">
        <f aca="false">IFERROR(INDEX(SUP_C3_EXPANSION!$F$20:$F$59,AB25+1),999999999)</f>
        <v>147686.02225</v>
      </c>
      <c r="AD27" s="273" t="n">
        <f aca="false">IFERROR(INDEX(SUP_C3_EXPANSION!$F$20:$F$59,AC25+1),999999999)</f>
        <v>147686.02225</v>
      </c>
      <c r="AE27" s="273" t="n">
        <f aca="false">IFERROR(INDEX(SUP_C3_EXPANSION!$F$20:$F$59,AD25+1),999999999)</f>
        <v>147686.02225</v>
      </c>
      <c r="AF27" s="273" t="n">
        <f aca="false">IFERROR(INDEX(SUP_C3_EXPANSION!$F$20:$F$59,AE25+1),999999999)</f>
        <v>147686.02225</v>
      </c>
      <c r="AG27" s="273" t="n">
        <f aca="false">IFERROR(INDEX(SUP_C3_EXPANSION!$F$20:$F$59,AF25+1),999999999)</f>
        <v>98995.937</v>
      </c>
      <c r="AH27" s="273" t="n">
        <f aca="false">IFERROR(INDEX(SUP_C3_EXPANSION!$F$20:$F$59,AG25+1),999999999)</f>
        <v>98995.937</v>
      </c>
      <c r="AI27" s="273" t="n">
        <f aca="false">IFERROR(INDEX(SUP_C3_EXPANSION!$F$20:$F$59,AH25+1),999999999)</f>
        <v>98995.937</v>
      </c>
      <c r="AJ27" s="273" t="n">
        <f aca="false">IFERROR(INDEX(SUP_C3_EXPANSION!$F$20:$F$59,AI25+1),999999999)</f>
        <v>98995.937</v>
      </c>
      <c r="AK27" s="273" t="n">
        <f aca="false">IFERROR(INDEX(SUP_C3_EXPANSION!$F$20:$F$59,AJ25+1),999999999)</f>
        <v>98995.937</v>
      </c>
      <c r="AL27" s="273" t="n">
        <f aca="false">IFERROR(INDEX(SUP_C3_EXPANSION!$F$20:$F$59,AK25+1),999999999)</f>
        <v>147686.02225</v>
      </c>
      <c r="AM27" s="273" t="n">
        <f aca="false">IFERROR(INDEX(SUP_C3_EXPANSION!$F$20:$F$59,AL25+1),999999999)</f>
        <v>147686.02225</v>
      </c>
      <c r="AN27" s="273" t="n">
        <f aca="false">IFERROR(INDEX(SUP_C3_EXPANSION!$F$20:$F$59,AM25+1),999999999)</f>
        <v>147686.02225</v>
      </c>
      <c r="AO27" s="273" t="n">
        <f aca="false">IFERROR(INDEX(SUP_C3_EXPANSION!$F$20:$F$59,AN25+1),999999999)</f>
        <v>98995.937</v>
      </c>
      <c r="AP27" s="273" t="n">
        <f aca="false">IFERROR(INDEX(SUP_C3_EXPANSION!$F$20:$F$59,AO25+1),999999999)</f>
        <v>98995.937</v>
      </c>
      <c r="AQ27" s="273" t="n">
        <f aca="false">IFERROR(INDEX(SUP_C3_EXPANSION!$F$20:$F$59,AP25+1),999999999)</f>
        <v>98995.937</v>
      </c>
      <c r="AR27" s="273" t="n">
        <f aca="false">IFERROR(INDEX(SUP_C3_EXPANSION!$F$20:$F$59,AQ25+1),999999999)</f>
        <v>147686.02225</v>
      </c>
      <c r="AS27" s="273" t="n">
        <f aca="false">IFERROR(INDEX(SUP_C3_EXPANSION!$F$20:$F$59,AR25+1),999999999)</f>
        <v>147686.02225</v>
      </c>
      <c r="AT27" s="273" t="n">
        <f aca="false">IFERROR(INDEX(SUP_C3_EXPANSION!$F$20:$F$59,AS25+1),999999999)</f>
        <v>147686.02225</v>
      </c>
      <c r="AU27" s="273" t="n">
        <f aca="false">IFERROR(INDEX(SUP_C3_EXPANSION!$F$20:$F$59,AT25+1),999999999)</f>
        <v>98995.937</v>
      </c>
      <c r="AV27" s="273" t="n">
        <f aca="false">IFERROR(INDEX(SUP_C3_EXPANSION!$F$20:$F$59,AU25+1),999999999)</f>
        <v>98995.937</v>
      </c>
      <c r="AW27" s="273" t="n">
        <f aca="false">IFERROR(INDEX(SUP_C3_EXPANSION!$F$20:$F$59,AV25+1),999999999)</f>
        <v>98995.937</v>
      </c>
      <c r="AX27" s="273" t="n">
        <f aca="false">IFERROR(INDEX(SUP_C3_EXPANSION!$F$20:$F$59,AW25+1),999999999)</f>
        <v>506066.17075</v>
      </c>
      <c r="AY27" s="273" t="n">
        <f aca="false">IFERROR(INDEX(SUP_C3_EXPANSION!$F$20:$F$59,AX25+1),999999999)</f>
        <v>506066.17075</v>
      </c>
      <c r="AZ27" s="273" t="n">
        <f aca="false">IFERROR(INDEX(SUP_C3_EXPANSION!$F$20:$F$59,AY25+1),999999999)</f>
        <v>506066.17075</v>
      </c>
      <c r="BA27" s="273" t="n">
        <f aca="false">IFERROR(INDEX(SUP_C3_EXPANSION!$F$20:$F$59,AZ25+1),999999999)</f>
        <v>506066.17075</v>
      </c>
      <c r="BB27" s="273" t="n">
        <f aca="false">IFERROR(INDEX(SUP_C3_EXPANSION!$F$20:$F$59,BA25+1),999999999)</f>
        <v>506066.17075</v>
      </c>
      <c r="BC27" s="273" t="n">
        <f aca="false">IFERROR(INDEX(SUP_C3_EXPANSION!$F$20:$F$59,BB25+1),999999999)</f>
        <v>506066.17075</v>
      </c>
      <c r="BD27" s="273" t="n">
        <f aca="false">IFERROR(INDEX(SUP_C3_EXPANSION!$F$20:$F$59,BC25+1),999999999)</f>
        <v>506066.17075</v>
      </c>
      <c r="BE27" s="273" t="n">
        <f aca="false">IFERROR(INDEX(SUP_C3_EXPANSION!$F$20:$F$59,BD25+1),999999999)</f>
        <v>506066.17075</v>
      </c>
      <c r="BF27" s="273" t="n">
        <f aca="false">IFERROR(INDEX(SUP_C3_EXPANSION!$F$20:$F$59,BE25+1),999999999)</f>
        <v>506066.17075</v>
      </c>
      <c r="BG27" s="273" t="n">
        <f aca="false">IFERROR(INDEX(SUP_C3_EXPANSION!$F$20:$F$59,BF25+1),999999999)</f>
        <v>98995.937</v>
      </c>
      <c r="BH27" s="273" t="n">
        <f aca="false">IFERROR(INDEX(SUP_C3_EXPANSION!$F$20:$F$59,BG25+1),999999999)</f>
        <v>147686.02225</v>
      </c>
      <c r="BI27" s="273" t="n">
        <f aca="false">IFERROR(INDEX(SUP_C3_EXPANSION!$F$20:$F$59,BH25+1),999999999)</f>
        <v>98995.937</v>
      </c>
      <c r="BJ27" s="273" t="n">
        <f aca="false">IFERROR(INDEX(SUP_C3_EXPANSION!$F$20:$F$59,BI25+1),999999999)</f>
        <v>98995.937</v>
      </c>
      <c r="BK27" s="273" t="n">
        <f aca="false">IFERROR(INDEX(SUP_C3_EXPANSION!$F$20:$F$59,BJ25+1),999999999)</f>
        <v>98995.937</v>
      </c>
      <c r="BL27" s="273" t="n">
        <f aca="false">IFERROR(INDEX(SUP_C3_EXPANSION!$F$20:$F$59,BK25+1),999999999)</f>
        <v>147686.02225</v>
      </c>
      <c r="BM27" s="273" t="n">
        <f aca="false">IFERROR(INDEX(SUP_C3_EXPANSION!$F$20:$F$59,BL25+1),999999999)</f>
        <v>147686.02225</v>
      </c>
      <c r="BN27" s="273" t="n">
        <f aca="false">IFERROR(INDEX(SUP_C3_EXPANSION!$F$20:$F$59,BM25+1),999999999)</f>
        <v>98995.937</v>
      </c>
      <c r="BO27" s="273" t="n">
        <f aca="false">IFERROR(INDEX(SUP_C3_EXPANSION!$F$20:$F$59,BN25+1),999999999)</f>
        <v>98995.937</v>
      </c>
      <c r="BP27" s="273" t="n">
        <f aca="false">IFERROR(INDEX(SUP_C3_EXPANSION!$F$20:$F$59,BO25+1),999999999)</f>
        <v>98995.937</v>
      </c>
      <c r="BQ27" s="273" t="n">
        <f aca="false">IFERROR(INDEX(SUP_C3_EXPANSION!$F$20:$F$59,BP25+1),999999999)</f>
        <v>147686.02225</v>
      </c>
      <c r="BR27" s="273" t="n">
        <f aca="false">IFERROR(INDEX(SUP_C3_EXPANSION!$F$20:$F$59,BQ25+1),999999999)</f>
        <v>98995.937</v>
      </c>
      <c r="BS27" s="273" t="n">
        <f aca="false">IFERROR(INDEX(SUP_C3_EXPANSION!$F$20:$F$59,BR25+1),999999999)</f>
        <v>98995.937</v>
      </c>
      <c r="BT27" s="273" t="n">
        <f aca="false">IFERROR(INDEX(SUP_C3_EXPANSION!$F$20:$F$59,BS25+1),999999999)</f>
        <v>98995.937</v>
      </c>
      <c r="BU27" s="273" t="n">
        <f aca="false">IFERROR(INDEX(SUP_C3_EXPANSION!$F$20:$F$59,BT25+1),999999999)</f>
        <v>147686.02225</v>
      </c>
      <c r="BV27" s="273" t="n">
        <f aca="false">IFERROR(INDEX(SUP_C3_EXPANSION!$F$20:$F$59,BU25+1),999999999)</f>
        <v>506066.17075</v>
      </c>
      <c r="BW27" s="273" t="n">
        <f aca="false">IFERROR(INDEX(SUP_C3_EXPANSION!$F$20:$F$59,BV25+1),999999999)</f>
        <v>506066.17075</v>
      </c>
      <c r="BX27" s="273" t="n">
        <f aca="false">IFERROR(INDEX(SUP_C3_EXPANSION!$F$20:$F$59,BW25+1),999999999)</f>
        <v>98995.937</v>
      </c>
      <c r="BY27" s="273" t="n">
        <f aca="false">IFERROR(INDEX(SUP_C3_EXPANSION!$F$20:$F$59,BX25+1),999999999)</f>
        <v>98995.937</v>
      </c>
      <c r="BZ27" s="273" t="n">
        <f aca="false">IFERROR(INDEX(SUP_C3_EXPANSION!$F$20:$F$59,BY25+1),999999999)</f>
        <v>98995.937</v>
      </c>
      <c r="CA27" s="273" t="n">
        <f aca="false">IFERROR(INDEX(SUP_C3_EXPANSION!$F$20:$F$59,BZ25+1),999999999)</f>
        <v>147686.02225</v>
      </c>
      <c r="CB27" s="273" t="n">
        <f aca="false">IFERROR(INDEX(SUP_C3_EXPANSION!$F$20:$F$59,CA25+1),999999999)</f>
        <v>98995.937</v>
      </c>
      <c r="CC27" s="273" t="n">
        <f aca="false">IFERROR(INDEX(SUP_C3_EXPANSION!$F$20:$F$59,CB25+1),999999999)</f>
        <v>98995.937</v>
      </c>
      <c r="CD27" s="273" t="n">
        <f aca="false">IFERROR(INDEX(SUP_C3_EXPANSION!$F$20:$F$59,CC25+1),999999999)</f>
        <v>98995.937</v>
      </c>
      <c r="CE27" s="273" t="n">
        <f aca="false">IFERROR(INDEX(SUP_C3_EXPANSION!$F$20:$F$59,CD25+1),999999999)</f>
        <v>147686.02225</v>
      </c>
      <c r="CF27" s="273" t="n">
        <f aca="false">IFERROR(INDEX(SUP_C3_EXPANSION!$F$20:$F$59,CE25+1),999999999)</f>
        <v>98995.937</v>
      </c>
      <c r="CG27" s="273" t="n">
        <f aca="false">IFERROR(INDEX(SUP_C3_EXPANSION!$F$20:$F$59,CF25+1),999999999)</f>
        <v>98995.937</v>
      </c>
      <c r="CH27" s="273" t="n">
        <f aca="false">IFERROR(INDEX(SUP_C3_EXPANSION!$F$20:$F$59,CG25+1),999999999)</f>
        <v>999999999</v>
      </c>
      <c r="CI27" s="273" t="n">
        <f aca="false">IFERROR(INDEX(SUP_C3_EXPANSION!$F$20:$F$59,CH25+1),999999999)</f>
        <v>999999999</v>
      </c>
      <c r="CJ27" s="273" t="n">
        <f aca="false">IFERROR(INDEX(SUP_C3_EXPANSION!$F$20:$F$59,CI25+1),999999999)</f>
        <v>999999999</v>
      </c>
      <c r="CK27" s="273" t="n">
        <f aca="false">IFERROR(INDEX(SUP_C3_EXPANSION!$F$20:$F$59,CJ25+1),999999999)</f>
        <v>999999999</v>
      </c>
      <c r="CL27" s="273" t="n">
        <f aca="false">IFERROR(INDEX(SUP_C3_EXPANSION!$F$20:$F$59,CK25+1),999999999)</f>
        <v>999999999</v>
      </c>
      <c r="CM27" s="273" t="n">
        <f aca="false">IFERROR(INDEX(SUP_C3_EXPANSION!$F$20:$F$59,CL25+1),999999999)</f>
        <v>999999999</v>
      </c>
      <c r="CN27" s="273" t="n">
        <f aca="false">IFERROR(INDEX(SUP_C3_EXPANSION!$F$20:$F$59,CM25+1),999999999)</f>
        <v>999999999</v>
      </c>
      <c r="CO27" s="273" t="n">
        <f aca="false">IFERROR(INDEX(SUP_C3_EXPANSION!$F$20:$F$59,CN25+1),999999999)</f>
        <v>999999999</v>
      </c>
      <c r="CP27" s="273" t="n">
        <f aca="false">IFERROR(INDEX(SUP_C3_EXPANSION!$F$20:$F$59,CO25+1),999999999)</f>
        <v>999999999</v>
      </c>
      <c r="CQ27" s="273" t="n">
        <f aca="false">IFERROR(INDEX(SUP_C3_EXPANSION!$F$20:$F$59,CP25+1),999999999)</f>
        <v>999999999</v>
      </c>
      <c r="CR27" s="273" t="n">
        <f aca="false">IFERROR(INDEX(SUP_C3_EXPANSION!$F$20:$F$59,CQ25+1),999999999)</f>
        <v>999999999</v>
      </c>
      <c r="CS27" s="273" t="n">
        <f aca="false">IFERROR(INDEX(SUP_C3_EXPANSION!$F$20:$F$59,CR25+1),999999999)</f>
        <v>999999999</v>
      </c>
      <c r="CT27" s="273" t="n">
        <f aca="false">IFERROR(INDEX(SUP_C3_EXPANSION!$F$20:$F$59,CS25+1),999999999)</f>
        <v>999999999</v>
      </c>
      <c r="CU27" s="273" t="n">
        <f aca="false">IFERROR(INDEX(SUP_C3_EXPANSION!$F$20:$F$59,CT25+1),999999999)</f>
        <v>999999999</v>
      </c>
      <c r="CV27" s="273" t="n">
        <f aca="false">IFERROR(INDEX(SUP_C3_EXPANSION!$F$20:$F$59,CU25+1),999999999)</f>
        <v>999999999</v>
      </c>
      <c r="CW27" s="273" t="n">
        <f aca="false">IFERROR(INDEX(SUP_C3_EXPANSION!$F$20:$F$59,CV25+1),999999999)</f>
        <v>999999999</v>
      </c>
      <c r="CX27" s="273" t="n">
        <f aca="false">IFERROR(INDEX(SUP_C3_EXPANSION!$F$20:$F$59,CW25+1),999999999)</f>
        <v>999999999</v>
      </c>
      <c r="CY27" s="273" t="n">
        <f aca="false">IFERROR(INDEX(SUP_C3_EXPANSION!$F$20:$F$59,CX25+1),999999999)</f>
        <v>999999999</v>
      </c>
      <c r="CZ27" s="273" t="n">
        <f aca="false">IFERROR(INDEX(SUP_C3_EXPANSION!$F$20:$F$59,CY25+1),999999999)</f>
        <v>999999999</v>
      </c>
      <c r="DA27" s="273" t="n">
        <f aca="false">IFERROR(INDEX(SUP_C3_EXPANSION!$F$20:$F$59,CZ25+1),999999999)</f>
        <v>999999999</v>
      </c>
      <c r="DB27" s="273" t="n">
        <f aca="false">IFERROR(INDEX(SUP_C3_EXPANSION!$F$20:$F$59,DA25+1),999999999)</f>
        <v>999999999</v>
      </c>
      <c r="DC27" s="273" t="n">
        <f aca="false">IFERROR(INDEX(SUP_C3_EXPANSION!$F$20:$F$59,DB25+1),999999999)</f>
        <v>999999999</v>
      </c>
      <c r="DD27" s="273" t="n">
        <f aca="false">IFERROR(INDEX(SUP_C3_EXPANSION!$F$20:$F$59,DC25+1),999999999)</f>
        <v>999999999</v>
      </c>
      <c r="DE27" s="273" t="n">
        <f aca="false">IFERROR(INDEX(SUP_C3_EXPANSION!$F$20:$F$59,DD25+1),999999999)</f>
        <v>999999999</v>
      </c>
      <c r="DF27" s="273" t="n">
        <f aca="false">IFERROR(INDEX(SUP_C3_EXPANSION!$F$20:$F$59,DE25+1),999999999)</f>
        <v>999999999</v>
      </c>
      <c r="DG27" s="273" t="n">
        <f aca="false">IFERROR(INDEX(SUP_C3_EXPANSION!$F$20:$F$59,DF25+1),999999999)</f>
        <v>999999999</v>
      </c>
      <c r="DH27" s="273" t="n">
        <f aca="false">IFERROR(INDEX(SUP_C3_EXPANSION!$F$20:$F$59,DG25+1),999999999)</f>
        <v>999999999</v>
      </c>
      <c r="DI27" s="273" t="n">
        <f aca="false">IFERROR(INDEX(SUP_C3_EXPANSION!$F$20:$F$59,DH25+1),999999999)</f>
        <v>999999999</v>
      </c>
      <c r="DJ27" s="273" t="n">
        <f aca="false">IFERROR(INDEX(SUP_C3_EXPANSION!$F$20:$F$59,DI25+1),999999999)</f>
        <v>999999999</v>
      </c>
      <c r="DK27" s="273" t="n">
        <f aca="false">IFERROR(INDEX(SUP_C3_EXPANSION!$F$20:$F$59,DJ25+1),999999999)</f>
        <v>999999999</v>
      </c>
      <c r="DL27" s="273" t="n">
        <f aca="false">IFERROR(INDEX(SUP_C3_EXPANSION!$F$20:$F$59,DK25+1),999999999)</f>
        <v>999999999</v>
      </c>
      <c r="DM27" s="273" t="n">
        <f aca="false">IFERROR(INDEX(SUP_C3_EXPANSION!$F$20:$F$59,DL25+1),999999999)</f>
        <v>999999999</v>
      </c>
      <c r="DN27" s="273" t="n">
        <f aca="false">IFERROR(INDEX(SUP_C3_EXPANSION!$F$20:$F$59,DM25+1),999999999)</f>
        <v>999999999</v>
      </c>
      <c r="DO27" s="273" t="n">
        <f aca="false">IFERROR(INDEX(SUP_C3_EXPANSION!$F$20:$F$59,DN25+1),999999999)</f>
        <v>999999999</v>
      </c>
      <c r="DP27" s="273" t="n">
        <f aca="false">IFERROR(INDEX(SUP_C3_EXPANSION!$F$20:$F$59,DO25+1),999999999)</f>
        <v>999999999</v>
      </c>
      <c r="DQ27" s="273" t="n">
        <f aca="false">IFERROR(INDEX(SUP_C3_EXPANSION!$F$20:$F$59,DP25+1),999999999)</f>
        <v>999999999</v>
      </c>
      <c r="DR27" s="273" t="n">
        <f aca="false">IFERROR(INDEX(SUP_C3_EXPANSION!$F$20:$F$59,DQ25+1),999999999)</f>
        <v>999999999</v>
      </c>
      <c r="DS27" s="273" t="n">
        <f aca="false">IFERROR(INDEX(SUP_C3_EXPANSION!$F$20:$F$59,DR25+1),999999999)</f>
        <v>999999999</v>
      </c>
    </row>
    <row r="29" customFormat="false" ht="15" hidden="false" customHeight="true" outlineLevel="0" collapsed="false">
      <c r="B29" s="297" t="s">
        <v>3534</v>
      </c>
      <c r="D29" s="273" t="n">
        <f aca="false">0</f>
        <v>0</v>
      </c>
      <c r="E29" s="273" t="n">
        <f aca="false">E24*IFERROR(INDEX(SUP_C3_EXPANSION!$C$20:$C$59,D25+1),0)</f>
        <v>0</v>
      </c>
      <c r="F29" s="273" t="n">
        <f aca="false">F24*IFERROR(INDEX(SUP_C3_EXPANSION!$C$20:$C$59,E25+1),0)</f>
        <v>0</v>
      </c>
      <c r="G29" s="273" t="n">
        <f aca="false">G24*IFERROR(INDEX(SUP_C3_EXPANSION!$C$20:$C$59,F25+1),0)</f>
        <v>0</v>
      </c>
      <c r="H29" s="273" t="n">
        <f aca="false">H24*IFERROR(INDEX(SUP_C3_EXPANSION!$C$20:$C$59,G25+1),0)</f>
        <v>0</v>
      </c>
      <c r="I29" s="273" t="n">
        <f aca="false">I24*IFERROR(INDEX(SUP_C3_EXPANSION!$C$20:$C$59,H25+1),0)</f>
        <v>0</v>
      </c>
      <c r="J29" s="273" t="n">
        <f aca="false">J24*IFERROR(INDEX(SUP_C3_EXPANSION!$C$20:$C$59,I25+1),0)</f>
        <v>0</v>
      </c>
      <c r="K29" s="273" t="n">
        <f aca="false">K24*IFERROR(INDEX(SUP_C3_EXPANSION!$C$20:$C$59,J25+1),0)</f>
        <v>0</v>
      </c>
      <c r="L29" s="273" t="n">
        <f aca="false">L24*IFERROR(INDEX(SUP_C3_EXPANSION!$C$20:$C$59,K25+1),0)</f>
        <v>0</v>
      </c>
      <c r="M29" s="273" t="n">
        <f aca="false">M24*IFERROR(INDEX(SUP_C3_EXPANSION!$C$20:$C$59,L25+1),0)</f>
        <v>0</v>
      </c>
      <c r="N29" s="273" t="n">
        <f aca="false">N24*IFERROR(INDEX(SUP_C3_EXPANSION!$C$20:$C$59,M25+1),0)</f>
        <v>0</v>
      </c>
      <c r="O29" s="273" t="n">
        <f aca="false">O24*IFERROR(INDEX(SUP_C3_EXPANSION!$C$20:$C$59,N25+1),0)</f>
        <v>0</v>
      </c>
      <c r="P29" s="273" t="n">
        <f aca="false">P24*IFERROR(INDEX(SUP_C3_EXPANSION!$C$20:$C$59,O25+1),0)</f>
        <v>0</v>
      </c>
      <c r="Q29" s="273" t="n">
        <f aca="false">Q24*IFERROR(INDEX(SUP_C3_EXPANSION!$C$20:$C$59,P25+1),0)</f>
        <v>0</v>
      </c>
      <c r="R29" s="273" t="n">
        <f aca="false">R24*IFERROR(INDEX(SUP_C3_EXPANSION!$C$20:$C$59,Q25+1),0)</f>
        <v>0</v>
      </c>
      <c r="S29" s="273" t="n">
        <f aca="false">S24*IFERROR(INDEX(SUP_C3_EXPANSION!$C$20:$C$59,R25+1),0)</f>
        <v>92556.937</v>
      </c>
      <c r="T29" s="273" t="n">
        <f aca="false">T24*IFERROR(INDEX(SUP_C3_EXPANSION!$C$20:$C$59,S25+1),0)</f>
        <v>92556.937</v>
      </c>
      <c r="U29" s="273" t="n">
        <f aca="false">U24*IFERROR(INDEX(SUP_C3_EXPANSION!$C$20:$C$59,T25+1),0)</f>
        <v>0</v>
      </c>
      <c r="V29" s="273" t="n">
        <f aca="false">V24*IFERROR(INDEX(SUP_C3_EXPANSION!$C$20:$C$59,U25+1),0)</f>
        <v>92556.937</v>
      </c>
      <c r="W29" s="273" t="n">
        <f aca="false">W24*IFERROR(INDEX(SUP_C3_EXPANSION!$C$20:$C$59,V25+1),0)</f>
        <v>0</v>
      </c>
      <c r="X29" s="273" t="n">
        <f aca="false">X24*IFERROR(INDEX(SUP_C3_EXPANSION!$C$20:$C$59,W25+1),0)</f>
        <v>0</v>
      </c>
      <c r="Y29" s="273" t="n">
        <f aca="false">Y24*IFERROR(INDEX(SUP_C3_EXPANSION!$C$20:$C$59,X25+1),0)</f>
        <v>0</v>
      </c>
      <c r="Z29" s="273" t="n">
        <f aca="false">Z24*IFERROR(INDEX(SUP_C3_EXPANSION!$C$20:$C$59,Y25+1),0)</f>
        <v>0</v>
      </c>
      <c r="AA29" s="273" t="n">
        <f aca="false">AA24*IFERROR(INDEX(SUP_C3_EXPANSION!$C$20:$C$59,Z25+1),0)</f>
        <v>0</v>
      </c>
      <c r="AB29" s="273" t="n">
        <f aca="false">AB24*IFERROR(INDEX(SUP_C3_EXPANSION!$C$20:$C$59,AA25+1),0)</f>
        <v>0</v>
      </c>
      <c r="AC29" s="273" t="n">
        <f aca="false">AC24*IFERROR(INDEX(SUP_C3_EXPANSION!$C$20:$C$59,AB25+1),0)</f>
        <v>0</v>
      </c>
      <c r="AD29" s="273" t="n">
        <f aca="false">AD24*IFERROR(INDEX(SUP_C3_EXPANSION!$C$20:$C$59,AC25+1),0)</f>
        <v>0</v>
      </c>
      <c r="AE29" s="273" t="n">
        <f aca="false">AE24*IFERROR(INDEX(SUP_C3_EXPANSION!$C$20:$C$59,AD25+1),0)</f>
        <v>0</v>
      </c>
      <c r="AF29" s="273" t="n">
        <f aca="false">AF24*IFERROR(INDEX(SUP_C3_EXPANSION!$C$20:$C$59,AE25+1),0)</f>
        <v>138911.02225</v>
      </c>
      <c r="AG29" s="273" t="n">
        <f aca="false">AG24*IFERROR(INDEX(SUP_C3_EXPANSION!$C$20:$C$59,AF25+1),0)</f>
        <v>92556.937</v>
      </c>
      <c r="AH29" s="273" t="n">
        <f aca="false">AH24*IFERROR(INDEX(SUP_C3_EXPANSION!$C$20:$C$59,AG25+1),0)</f>
        <v>0</v>
      </c>
      <c r="AI29" s="273" t="n">
        <f aca="false">AI24*IFERROR(INDEX(SUP_C3_EXPANSION!$C$20:$C$59,AH25+1),0)</f>
        <v>92556.937</v>
      </c>
      <c r="AJ29" s="273" t="n">
        <f aca="false">AJ24*IFERROR(INDEX(SUP_C3_EXPANSION!$C$20:$C$59,AI25+1),0)</f>
        <v>0</v>
      </c>
      <c r="AK29" s="273" t="n">
        <f aca="false">AK24*IFERROR(INDEX(SUP_C3_EXPANSION!$C$20:$C$59,AJ25+1),0)</f>
        <v>92556.937</v>
      </c>
      <c r="AL29" s="273" t="n">
        <f aca="false">AL24*IFERROR(INDEX(SUP_C3_EXPANSION!$C$20:$C$59,AK25+1),0)</f>
        <v>0</v>
      </c>
      <c r="AM29" s="273" t="n">
        <f aca="false">AM24*IFERROR(INDEX(SUP_C3_EXPANSION!$C$20:$C$59,AL25+1),0)</f>
        <v>0</v>
      </c>
      <c r="AN29" s="273" t="n">
        <f aca="false">AN24*IFERROR(INDEX(SUP_C3_EXPANSION!$C$20:$C$59,AM25+1),0)</f>
        <v>138911.02225</v>
      </c>
      <c r="AO29" s="273" t="n">
        <f aca="false">AO24*IFERROR(INDEX(SUP_C3_EXPANSION!$C$20:$C$59,AN25+1),0)</f>
        <v>92556.937</v>
      </c>
      <c r="AP29" s="273" t="n">
        <f aca="false">AP24*IFERROR(INDEX(SUP_C3_EXPANSION!$C$20:$C$59,AO25+1),0)</f>
        <v>92556.937</v>
      </c>
      <c r="AQ29" s="273" t="n">
        <f aca="false">AQ24*IFERROR(INDEX(SUP_C3_EXPANSION!$C$20:$C$59,AP25+1),0)</f>
        <v>92556.937</v>
      </c>
      <c r="AR29" s="273" t="n">
        <f aca="false">AR24*IFERROR(INDEX(SUP_C3_EXPANSION!$C$20:$C$59,AQ25+1),0)</f>
        <v>0</v>
      </c>
      <c r="AS29" s="273" t="n">
        <f aca="false">AS24*IFERROR(INDEX(SUP_C3_EXPANSION!$C$20:$C$59,AR25+1),0)</f>
        <v>0</v>
      </c>
      <c r="AT29" s="273" t="n">
        <f aca="false">AT24*IFERROR(INDEX(SUP_C3_EXPANSION!$C$20:$C$59,AS25+1),0)</f>
        <v>138911.02225</v>
      </c>
      <c r="AU29" s="273" t="n">
        <f aca="false">AU24*IFERROR(INDEX(SUP_C3_EXPANSION!$C$20:$C$59,AT25+1),0)</f>
        <v>0</v>
      </c>
      <c r="AV29" s="273" t="n">
        <f aca="false">AV24*IFERROR(INDEX(SUP_C3_EXPANSION!$C$20:$C$59,AU25+1),0)</f>
        <v>92556.937</v>
      </c>
      <c r="AW29" s="273" t="n">
        <f aca="false">AW24*IFERROR(INDEX(SUP_C3_EXPANSION!$C$20:$C$59,AV25+1),0)</f>
        <v>92556.937</v>
      </c>
      <c r="AX29" s="273" t="n">
        <f aca="false">AX24*IFERROR(INDEX(SUP_C3_EXPANSION!$C$20:$C$59,AW25+1),0)</f>
        <v>0</v>
      </c>
      <c r="AY29" s="273" t="n">
        <f aca="false">AY24*IFERROR(INDEX(SUP_C3_EXPANSION!$C$20:$C$59,AX25+1),0)</f>
        <v>0</v>
      </c>
      <c r="AZ29" s="273" t="n">
        <f aca="false">AZ24*IFERROR(INDEX(SUP_C3_EXPANSION!$C$20:$C$59,AY25+1),0)</f>
        <v>0</v>
      </c>
      <c r="BA29" s="273" t="n">
        <f aca="false">BA24*IFERROR(INDEX(SUP_C3_EXPANSION!$C$20:$C$59,AZ25+1),0)</f>
        <v>0</v>
      </c>
      <c r="BB29" s="273" t="n">
        <f aca="false">BB24*IFERROR(INDEX(SUP_C3_EXPANSION!$C$20:$C$59,BA25+1),0)</f>
        <v>0</v>
      </c>
      <c r="BC29" s="273" t="n">
        <f aca="false">BC24*IFERROR(INDEX(SUP_C3_EXPANSION!$C$20:$C$59,BB25+1),0)</f>
        <v>0</v>
      </c>
      <c r="BD29" s="273" t="n">
        <f aca="false">BD24*IFERROR(INDEX(SUP_C3_EXPANSION!$C$20:$C$59,BC25+1),0)</f>
        <v>0</v>
      </c>
      <c r="BE29" s="273" t="n">
        <f aca="false">BE24*IFERROR(INDEX(SUP_C3_EXPANSION!$C$20:$C$59,BD25+1),0)</f>
        <v>0</v>
      </c>
      <c r="BF29" s="273" t="n">
        <f aca="false">BF24*IFERROR(INDEX(SUP_C3_EXPANSION!$C$20:$C$59,BE25+1),0)</f>
        <v>485628.42075</v>
      </c>
      <c r="BG29" s="273" t="n">
        <f aca="false">BG24*IFERROR(INDEX(SUP_C3_EXPANSION!$C$20:$C$59,BF25+1),0)</f>
        <v>92556.937</v>
      </c>
      <c r="BH29" s="273" t="n">
        <f aca="false">BH24*IFERROR(INDEX(SUP_C3_EXPANSION!$C$20:$C$59,BG25+1),0)</f>
        <v>138911.02225</v>
      </c>
      <c r="BI29" s="273" t="n">
        <f aca="false">BI24*IFERROR(INDEX(SUP_C3_EXPANSION!$C$20:$C$59,BH25+1),0)</f>
        <v>92556.937</v>
      </c>
      <c r="BJ29" s="273" t="n">
        <f aca="false">BJ24*IFERROR(INDEX(SUP_C3_EXPANSION!$C$20:$C$59,BI25+1),0)</f>
        <v>92556.937</v>
      </c>
      <c r="BK29" s="273" t="n">
        <f aca="false">BK24*IFERROR(INDEX(SUP_C3_EXPANSION!$C$20:$C$59,BJ25+1),0)</f>
        <v>92556.937</v>
      </c>
      <c r="BL29" s="273" t="n">
        <f aca="false">BL24*IFERROR(INDEX(SUP_C3_EXPANSION!$C$20:$C$59,BK25+1),0)</f>
        <v>0</v>
      </c>
      <c r="BM29" s="273" t="n">
        <f aca="false">BM24*IFERROR(INDEX(SUP_C3_EXPANSION!$C$20:$C$59,BL25+1),0)</f>
        <v>138911.02225</v>
      </c>
      <c r="BN29" s="273" t="n">
        <f aca="false">BN24*IFERROR(INDEX(SUP_C3_EXPANSION!$C$20:$C$59,BM25+1),0)</f>
        <v>92556.937</v>
      </c>
      <c r="BO29" s="273" t="n">
        <f aca="false">BO24*IFERROR(INDEX(SUP_C3_EXPANSION!$C$20:$C$59,BN25+1),0)</f>
        <v>92556.937</v>
      </c>
      <c r="BP29" s="273" t="n">
        <f aca="false">BP24*IFERROR(INDEX(SUP_C3_EXPANSION!$C$20:$C$59,BO25+1),0)</f>
        <v>92556.937</v>
      </c>
      <c r="BQ29" s="273" t="n">
        <f aca="false">BQ24*IFERROR(INDEX(SUP_C3_EXPANSION!$C$20:$C$59,BP25+1),0)</f>
        <v>138911.02225</v>
      </c>
      <c r="BR29" s="273" t="n">
        <f aca="false">BR24*IFERROR(INDEX(SUP_C3_EXPANSION!$C$20:$C$59,BQ25+1),0)</f>
        <v>92556.937</v>
      </c>
      <c r="BS29" s="273" t="n">
        <f aca="false">BS24*IFERROR(INDEX(SUP_C3_EXPANSION!$C$20:$C$59,BR25+1),0)</f>
        <v>92556.937</v>
      </c>
      <c r="BT29" s="273" t="n">
        <f aca="false">BT24*IFERROR(INDEX(SUP_C3_EXPANSION!$C$20:$C$59,BS25+1),0)</f>
        <v>92556.937</v>
      </c>
      <c r="BU29" s="273" t="n">
        <f aca="false">BU24*IFERROR(INDEX(SUP_C3_EXPANSION!$C$20:$C$59,BT25+1),0)</f>
        <v>138911.02225</v>
      </c>
      <c r="BV29" s="273" t="n">
        <f aca="false">BV24*IFERROR(INDEX(SUP_C3_EXPANSION!$C$20:$C$59,BU25+1),0)</f>
        <v>0</v>
      </c>
      <c r="BW29" s="273" t="n">
        <f aca="false">BW24*IFERROR(INDEX(SUP_C3_EXPANSION!$C$20:$C$59,BV25+1),0)</f>
        <v>485628.42075</v>
      </c>
      <c r="BX29" s="273" t="n">
        <f aca="false">BX24*IFERROR(INDEX(SUP_C3_EXPANSION!$C$20:$C$59,BW25+1),0)</f>
        <v>92556.937</v>
      </c>
      <c r="BY29" s="273" t="n">
        <f aca="false">BY24*IFERROR(INDEX(SUP_C3_EXPANSION!$C$20:$C$59,BX25+1),0)</f>
        <v>92556.937</v>
      </c>
      <c r="BZ29" s="273" t="n">
        <f aca="false">BZ24*IFERROR(INDEX(SUP_C3_EXPANSION!$C$20:$C$59,BY25+1),0)</f>
        <v>92556.937</v>
      </c>
      <c r="CA29" s="273" t="n">
        <f aca="false">CA24*IFERROR(INDEX(SUP_C3_EXPANSION!$C$20:$C$59,BZ25+1),0)</f>
        <v>138911.02225</v>
      </c>
      <c r="CB29" s="273" t="n">
        <f aca="false">CB24*IFERROR(INDEX(SUP_C3_EXPANSION!$C$20:$C$59,CA25+1),0)</f>
        <v>92556.937</v>
      </c>
      <c r="CC29" s="273" t="n">
        <f aca="false">CC24*IFERROR(INDEX(SUP_C3_EXPANSION!$C$20:$C$59,CB25+1),0)</f>
        <v>92556.937</v>
      </c>
      <c r="CD29" s="273" t="n">
        <f aca="false">CD24*IFERROR(INDEX(SUP_C3_EXPANSION!$C$20:$C$59,CC25+1),0)</f>
        <v>92556.937</v>
      </c>
      <c r="CE29" s="273" t="n">
        <f aca="false">CE24*IFERROR(INDEX(SUP_C3_EXPANSION!$C$20:$C$59,CD25+1),0)</f>
        <v>138911.02225</v>
      </c>
      <c r="CF29" s="273" t="n">
        <f aca="false">CF24*IFERROR(INDEX(SUP_C3_EXPANSION!$C$20:$C$59,CE25+1),0)</f>
        <v>92556.937</v>
      </c>
      <c r="CG29" s="273" t="n">
        <f aca="false">CG24*IFERROR(INDEX(SUP_C3_EXPANSION!$C$20:$C$59,CF25+1),0)</f>
        <v>92556.937</v>
      </c>
      <c r="CH29" s="273" t="n">
        <f aca="false">CH24*IFERROR(INDEX(SUP_C3_EXPANSION!$C$20:$C$59,CG25+1),0)</f>
        <v>0</v>
      </c>
      <c r="CI29" s="273" t="n">
        <f aca="false">CI24*IFERROR(INDEX(SUP_C3_EXPANSION!$C$20:$C$59,CH25+1),0)</f>
        <v>0</v>
      </c>
      <c r="CJ29" s="273" t="n">
        <f aca="false">CJ24*IFERROR(INDEX(SUP_C3_EXPANSION!$C$20:$C$59,CI25+1),0)</f>
        <v>0</v>
      </c>
      <c r="CK29" s="273" t="n">
        <f aca="false">CK24*IFERROR(INDEX(SUP_C3_EXPANSION!$C$20:$C$59,CJ25+1),0)</f>
        <v>0</v>
      </c>
      <c r="CL29" s="273" t="n">
        <f aca="false">CL24*IFERROR(INDEX(SUP_C3_EXPANSION!$C$20:$C$59,CK25+1),0)</f>
        <v>0</v>
      </c>
      <c r="CM29" s="273" t="n">
        <f aca="false">CM24*IFERROR(INDEX(SUP_C3_EXPANSION!$C$20:$C$59,CL25+1),0)</f>
        <v>0</v>
      </c>
      <c r="CN29" s="273" t="n">
        <f aca="false">CN24*IFERROR(INDEX(SUP_C3_EXPANSION!$C$20:$C$59,CM25+1),0)</f>
        <v>0</v>
      </c>
      <c r="CO29" s="273" t="n">
        <f aca="false">CO24*IFERROR(INDEX(SUP_C3_EXPANSION!$C$20:$C$59,CN25+1),0)</f>
        <v>0</v>
      </c>
      <c r="CP29" s="273" t="n">
        <f aca="false">CP24*IFERROR(INDEX(SUP_C3_EXPANSION!$C$20:$C$59,CO25+1),0)</f>
        <v>0</v>
      </c>
      <c r="CQ29" s="273" t="n">
        <f aca="false">CQ24*IFERROR(INDEX(SUP_C3_EXPANSION!$C$20:$C$59,CP25+1),0)</f>
        <v>0</v>
      </c>
      <c r="CR29" s="273" t="n">
        <f aca="false">CR24*IFERROR(INDEX(SUP_C3_EXPANSION!$C$20:$C$59,CQ25+1),0)</f>
        <v>0</v>
      </c>
      <c r="CS29" s="273" t="n">
        <f aca="false">CS24*IFERROR(INDEX(SUP_C3_EXPANSION!$C$20:$C$59,CR25+1),0)</f>
        <v>0</v>
      </c>
      <c r="CT29" s="273" t="n">
        <f aca="false">CT24*IFERROR(INDEX(SUP_C3_EXPANSION!$C$20:$C$59,CS25+1),0)</f>
        <v>0</v>
      </c>
      <c r="CU29" s="273" t="n">
        <f aca="false">CU24*IFERROR(INDEX(SUP_C3_EXPANSION!$C$20:$C$59,CT25+1),0)</f>
        <v>0</v>
      </c>
      <c r="CV29" s="273" t="n">
        <f aca="false">CV24*IFERROR(INDEX(SUP_C3_EXPANSION!$C$20:$C$59,CU25+1),0)</f>
        <v>0</v>
      </c>
      <c r="CW29" s="273" t="n">
        <f aca="false">CW24*IFERROR(INDEX(SUP_C3_EXPANSION!$C$20:$C$59,CV25+1),0)</f>
        <v>0</v>
      </c>
      <c r="CX29" s="273" t="n">
        <f aca="false">CX24*IFERROR(INDEX(SUP_C3_EXPANSION!$C$20:$C$59,CW25+1),0)</f>
        <v>0</v>
      </c>
      <c r="CY29" s="273" t="n">
        <f aca="false">CY24*IFERROR(INDEX(SUP_C3_EXPANSION!$C$20:$C$59,CX25+1),0)</f>
        <v>0</v>
      </c>
      <c r="CZ29" s="273" t="n">
        <f aca="false">CZ24*IFERROR(INDEX(SUP_C3_EXPANSION!$C$20:$C$59,CY25+1),0)</f>
        <v>0</v>
      </c>
      <c r="DA29" s="273" t="n">
        <f aca="false">DA24*IFERROR(INDEX(SUP_C3_EXPANSION!$C$20:$C$59,CZ25+1),0)</f>
        <v>0</v>
      </c>
      <c r="DB29" s="273" t="n">
        <f aca="false">DB24*IFERROR(INDEX(SUP_C3_EXPANSION!$C$20:$C$59,DA25+1),0)</f>
        <v>0</v>
      </c>
      <c r="DC29" s="273" t="n">
        <f aca="false">DC24*IFERROR(INDEX(SUP_C3_EXPANSION!$C$20:$C$59,DB25+1),0)</f>
        <v>0</v>
      </c>
      <c r="DD29" s="273" t="n">
        <f aca="false">DD24*IFERROR(INDEX(SUP_C3_EXPANSION!$C$20:$C$59,DC25+1),0)</f>
        <v>0</v>
      </c>
      <c r="DE29" s="273" t="n">
        <f aca="false">DE24*IFERROR(INDEX(SUP_C3_EXPANSION!$C$20:$C$59,DD25+1),0)</f>
        <v>0</v>
      </c>
      <c r="DF29" s="273" t="n">
        <f aca="false">DF24*IFERROR(INDEX(SUP_C3_EXPANSION!$C$20:$C$59,DE25+1),0)</f>
        <v>0</v>
      </c>
      <c r="DG29" s="273" t="n">
        <f aca="false">DG24*IFERROR(INDEX(SUP_C3_EXPANSION!$C$20:$C$59,DF25+1),0)</f>
        <v>0</v>
      </c>
      <c r="DH29" s="273" t="n">
        <f aca="false">DH24*IFERROR(INDEX(SUP_C3_EXPANSION!$C$20:$C$59,DG25+1),0)</f>
        <v>0</v>
      </c>
      <c r="DI29" s="273" t="n">
        <f aca="false">DI24*IFERROR(INDEX(SUP_C3_EXPANSION!$C$20:$C$59,DH25+1),0)</f>
        <v>0</v>
      </c>
      <c r="DJ29" s="273" t="n">
        <f aca="false">DJ24*IFERROR(INDEX(SUP_C3_EXPANSION!$C$20:$C$59,DI25+1),0)</f>
        <v>0</v>
      </c>
      <c r="DK29" s="273" t="n">
        <f aca="false">DK24*IFERROR(INDEX(SUP_C3_EXPANSION!$C$20:$C$59,DJ25+1),0)</f>
        <v>0</v>
      </c>
      <c r="DL29" s="273" t="n">
        <f aca="false">DL24*IFERROR(INDEX(SUP_C3_EXPANSION!$C$20:$C$59,DK25+1),0)</f>
        <v>0</v>
      </c>
      <c r="DM29" s="273" t="n">
        <f aca="false">DM24*IFERROR(INDEX(SUP_C3_EXPANSION!$C$20:$C$59,DL25+1),0)</f>
        <v>0</v>
      </c>
      <c r="DN29" s="273" t="n">
        <f aca="false">DN24*IFERROR(INDEX(SUP_C3_EXPANSION!$C$20:$C$59,DM25+1),0)</f>
        <v>0</v>
      </c>
      <c r="DO29" s="273" t="n">
        <f aca="false">DO24*IFERROR(INDEX(SUP_C3_EXPANSION!$C$20:$C$59,DN25+1),0)</f>
        <v>0</v>
      </c>
      <c r="DP29" s="273" t="n">
        <f aca="false">DP24*IFERROR(INDEX(SUP_C3_EXPANSION!$C$20:$C$59,DO25+1),0)</f>
        <v>0</v>
      </c>
      <c r="DQ29" s="273" t="n">
        <f aca="false">DQ24*IFERROR(INDEX(SUP_C3_EXPANSION!$C$20:$C$59,DP25+1),0)</f>
        <v>0</v>
      </c>
      <c r="DR29" s="273" t="n">
        <f aca="false">DR24*IFERROR(INDEX(SUP_C3_EXPANSION!$C$20:$C$59,DQ25+1),0)</f>
        <v>0</v>
      </c>
      <c r="DS29" s="273" t="n">
        <f aca="false">DS24*IFERROR(INDEX(SUP_C3_EXPANSION!$C$20:$C$59,DR25+1),0)</f>
        <v>0</v>
      </c>
    </row>
    <row r="30" customFormat="false" ht="15" hidden="false" customHeight="true" outlineLevel="0" collapsed="false">
      <c r="B30" s="297" t="s">
        <v>3535</v>
      </c>
      <c r="D30" s="273" t="n">
        <f aca="false">0</f>
        <v>0</v>
      </c>
      <c r="E30" s="273" t="n">
        <f aca="false">E24*IFERROR(INDEX(SUP_C3_EXPANSION!$E$20:$E$59,D25+1),0)</f>
        <v>0</v>
      </c>
      <c r="F30" s="273" t="n">
        <f aca="false">F24*IFERROR(INDEX(SUP_C3_EXPANSION!$E$20:$E$59,E25+1),0)</f>
        <v>0</v>
      </c>
      <c r="G30" s="273" t="n">
        <f aca="false">G24*IFERROR(INDEX(SUP_C3_EXPANSION!$E$20:$E$59,F25+1),0)</f>
        <v>0</v>
      </c>
      <c r="H30" s="273" t="n">
        <f aca="false">H24*IFERROR(INDEX(SUP_C3_EXPANSION!$E$20:$E$59,G25+1),0)</f>
        <v>0</v>
      </c>
      <c r="I30" s="273" t="n">
        <f aca="false">I24*IFERROR(INDEX(SUP_C3_EXPANSION!$E$20:$E$59,H25+1),0)</f>
        <v>0</v>
      </c>
      <c r="J30" s="273" t="n">
        <f aca="false">J24*IFERROR(INDEX(SUP_C3_EXPANSION!$E$20:$E$59,I25+1),0)</f>
        <v>0</v>
      </c>
      <c r="K30" s="273" t="n">
        <f aca="false">K24*IFERROR(INDEX(SUP_C3_EXPANSION!$E$20:$E$59,J25+1),0)</f>
        <v>0</v>
      </c>
      <c r="L30" s="273" t="n">
        <f aca="false">L24*IFERROR(INDEX(SUP_C3_EXPANSION!$E$20:$E$59,K25+1),0)</f>
        <v>0</v>
      </c>
      <c r="M30" s="273" t="n">
        <f aca="false">M24*IFERROR(INDEX(SUP_C3_EXPANSION!$E$20:$E$59,L25+1),0)</f>
        <v>0</v>
      </c>
      <c r="N30" s="273" t="n">
        <f aca="false">N24*IFERROR(INDEX(SUP_C3_EXPANSION!$E$20:$E$59,M25+1),0)</f>
        <v>0</v>
      </c>
      <c r="O30" s="273" t="n">
        <f aca="false">O24*IFERROR(INDEX(SUP_C3_EXPANSION!$E$20:$E$59,N25+1),0)</f>
        <v>0</v>
      </c>
      <c r="P30" s="273" t="n">
        <f aca="false">P24*IFERROR(INDEX(SUP_C3_EXPANSION!$E$20:$E$59,O25+1),0)</f>
        <v>0</v>
      </c>
      <c r="Q30" s="273" t="n">
        <f aca="false">Q24*IFERROR(INDEX(SUP_C3_EXPANSION!$E$20:$E$59,P25+1),0)</f>
        <v>0</v>
      </c>
      <c r="R30" s="273" t="n">
        <f aca="false">R24*IFERROR(INDEX(SUP_C3_EXPANSION!$E$20:$E$59,Q25+1),0)</f>
        <v>0</v>
      </c>
      <c r="S30" s="273" t="n">
        <f aca="false">S24*IFERROR(INDEX(SUP_C3_EXPANSION!$E$20:$E$59,R25+1),0)</f>
        <v>6439</v>
      </c>
      <c r="T30" s="273" t="n">
        <f aca="false">T24*IFERROR(INDEX(SUP_C3_EXPANSION!$E$20:$E$59,S25+1),0)</f>
        <v>6439</v>
      </c>
      <c r="U30" s="273" t="n">
        <f aca="false">U24*IFERROR(INDEX(SUP_C3_EXPANSION!$E$20:$E$59,T25+1),0)</f>
        <v>0</v>
      </c>
      <c r="V30" s="273" t="n">
        <f aca="false">V24*IFERROR(INDEX(SUP_C3_EXPANSION!$E$20:$E$59,U25+1),0)</f>
        <v>6439</v>
      </c>
      <c r="W30" s="273" t="n">
        <f aca="false">W24*IFERROR(INDEX(SUP_C3_EXPANSION!$E$20:$E$59,V25+1),0)</f>
        <v>0</v>
      </c>
      <c r="X30" s="273" t="n">
        <f aca="false">X24*IFERROR(INDEX(SUP_C3_EXPANSION!$E$20:$E$59,W25+1),0)</f>
        <v>0</v>
      </c>
      <c r="Y30" s="273" t="n">
        <f aca="false">Y24*IFERROR(INDEX(SUP_C3_EXPANSION!$E$20:$E$59,X25+1),0)</f>
        <v>0</v>
      </c>
      <c r="Z30" s="273" t="n">
        <f aca="false">Z24*IFERROR(INDEX(SUP_C3_EXPANSION!$E$20:$E$59,Y25+1),0)</f>
        <v>0</v>
      </c>
      <c r="AA30" s="273" t="n">
        <f aca="false">AA24*IFERROR(INDEX(SUP_C3_EXPANSION!$E$20:$E$59,Z25+1),0)</f>
        <v>0</v>
      </c>
      <c r="AB30" s="273" t="n">
        <f aca="false">AB24*IFERROR(INDEX(SUP_C3_EXPANSION!$E$20:$E$59,AA25+1),0)</f>
        <v>0</v>
      </c>
      <c r="AC30" s="273" t="n">
        <f aca="false">AC24*IFERROR(INDEX(SUP_C3_EXPANSION!$E$20:$E$59,AB25+1),0)</f>
        <v>0</v>
      </c>
      <c r="AD30" s="273" t="n">
        <f aca="false">AD24*IFERROR(INDEX(SUP_C3_EXPANSION!$E$20:$E$59,AC25+1),0)</f>
        <v>0</v>
      </c>
      <c r="AE30" s="273" t="n">
        <f aca="false">AE24*IFERROR(INDEX(SUP_C3_EXPANSION!$E$20:$E$59,AD25+1),0)</f>
        <v>0</v>
      </c>
      <c r="AF30" s="273" t="n">
        <f aca="false">AF24*IFERROR(INDEX(SUP_C3_EXPANSION!$E$20:$E$59,AE25+1),0)</f>
        <v>8775</v>
      </c>
      <c r="AG30" s="273" t="n">
        <f aca="false">AG24*IFERROR(INDEX(SUP_C3_EXPANSION!$E$20:$E$59,AF25+1),0)</f>
        <v>6439</v>
      </c>
      <c r="AH30" s="273" t="n">
        <f aca="false">AH24*IFERROR(INDEX(SUP_C3_EXPANSION!$E$20:$E$59,AG25+1),0)</f>
        <v>0</v>
      </c>
      <c r="AI30" s="273" t="n">
        <f aca="false">AI24*IFERROR(INDEX(SUP_C3_EXPANSION!$E$20:$E$59,AH25+1),0)</f>
        <v>6439</v>
      </c>
      <c r="AJ30" s="273" t="n">
        <f aca="false">AJ24*IFERROR(INDEX(SUP_C3_EXPANSION!$E$20:$E$59,AI25+1),0)</f>
        <v>0</v>
      </c>
      <c r="AK30" s="273" t="n">
        <f aca="false">AK24*IFERROR(INDEX(SUP_C3_EXPANSION!$E$20:$E$59,AJ25+1),0)</f>
        <v>6439</v>
      </c>
      <c r="AL30" s="273" t="n">
        <f aca="false">AL24*IFERROR(INDEX(SUP_C3_EXPANSION!$E$20:$E$59,AK25+1),0)</f>
        <v>0</v>
      </c>
      <c r="AM30" s="273" t="n">
        <f aca="false">AM24*IFERROR(INDEX(SUP_C3_EXPANSION!$E$20:$E$59,AL25+1),0)</f>
        <v>0</v>
      </c>
      <c r="AN30" s="273" t="n">
        <f aca="false">AN24*IFERROR(INDEX(SUP_C3_EXPANSION!$E$20:$E$59,AM25+1),0)</f>
        <v>8775</v>
      </c>
      <c r="AO30" s="273" t="n">
        <f aca="false">AO24*IFERROR(INDEX(SUP_C3_EXPANSION!$E$20:$E$59,AN25+1),0)</f>
        <v>6439</v>
      </c>
      <c r="AP30" s="273" t="n">
        <f aca="false">AP24*IFERROR(INDEX(SUP_C3_EXPANSION!$E$20:$E$59,AO25+1),0)</f>
        <v>6439</v>
      </c>
      <c r="AQ30" s="273" t="n">
        <f aca="false">AQ24*IFERROR(INDEX(SUP_C3_EXPANSION!$E$20:$E$59,AP25+1),0)</f>
        <v>6439</v>
      </c>
      <c r="AR30" s="273" t="n">
        <f aca="false">AR24*IFERROR(INDEX(SUP_C3_EXPANSION!$E$20:$E$59,AQ25+1),0)</f>
        <v>0</v>
      </c>
      <c r="AS30" s="273" t="n">
        <f aca="false">AS24*IFERROR(INDEX(SUP_C3_EXPANSION!$E$20:$E$59,AR25+1),0)</f>
        <v>0</v>
      </c>
      <c r="AT30" s="273" t="n">
        <f aca="false">AT24*IFERROR(INDEX(SUP_C3_EXPANSION!$E$20:$E$59,AS25+1),0)</f>
        <v>8775</v>
      </c>
      <c r="AU30" s="273" t="n">
        <f aca="false">AU24*IFERROR(INDEX(SUP_C3_EXPANSION!$E$20:$E$59,AT25+1),0)</f>
        <v>0</v>
      </c>
      <c r="AV30" s="273" t="n">
        <f aca="false">AV24*IFERROR(INDEX(SUP_C3_EXPANSION!$E$20:$E$59,AU25+1),0)</f>
        <v>6439</v>
      </c>
      <c r="AW30" s="273" t="n">
        <f aca="false">AW24*IFERROR(INDEX(SUP_C3_EXPANSION!$E$20:$E$59,AV25+1),0)</f>
        <v>6439</v>
      </c>
      <c r="AX30" s="273" t="n">
        <f aca="false">AX24*IFERROR(INDEX(SUP_C3_EXPANSION!$E$20:$E$59,AW25+1),0)</f>
        <v>0</v>
      </c>
      <c r="AY30" s="273" t="n">
        <f aca="false">AY24*IFERROR(INDEX(SUP_C3_EXPANSION!$E$20:$E$59,AX25+1),0)</f>
        <v>0</v>
      </c>
      <c r="AZ30" s="273" t="n">
        <f aca="false">AZ24*IFERROR(INDEX(SUP_C3_EXPANSION!$E$20:$E$59,AY25+1),0)</f>
        <v>0</v>
      </c>
      <c r="BA30" s="273" t="n">
        <f aca="false">BA24*IFERROR(INDEX(SUP_C3_EXPANSION!$E$20:$E$59,AZ25+1),0)</f>
        <v>0</v>
      </c>
      <c r="BB30" s="273" t="n">
        <f aca="false">BB24*IFERROR(INDEX(SUP_C3_EXPANSION!$E$20:$E$59,BA25+1),0)</f>
        <v>0</v>
      </c>
      <c r="BC30" s="273" t="n">
        <f aca="false">BC24*IFERROR(INDEX(SUP_C3_EXPANSION!$E$20:$E$59,BB25+1),0)</f>
        <v>0</v>
      </c>
      <c r="BD30" s="273" t="n">
        <f aca="false">BD24*IFERROR(INDEX(SUP_C3_EXPANSION!$E$20:$E$59,BC25+1),0)</f>
        <v>0</v>
      </c>
      <c r="BE30" s="273" t="n">
        <f aca="false">BE24*IFERROR(INDEX(SUP_C3_EXPANSION!$E$20:$E$59,BD25+1),0)</f>
        <v>0</v>
      </c>
      <c r="BF30" s="273" t="n">
        <f aca="false">BF24*IFERROR(INDEX(SUP_C3_EXPANSION!$E$20:$E$59,BE25+1),0)</f>
        <v>20437.75</v>
      </c>
      <c r="BG30" s="273" t="n">
        <f aca="false">BG24*IFERROR(INDEX(SUP_C3_EXPANSION!$E$20:$E$59,BF25+1),0)</f>
        <v>6439</v>
      </c>
      <c r="BH30" s="273" t="n">
        <f aca="false">BH24*IFERROR(INDEX(SUP_C3_EXPANSION!$E$20:$E$59,BG25+1),0)</f>
        <v>8775</v>
      </c>
      <c r="BI30" s="273" t="n">
        <f aca="false">BI24*IFERROR(INDEX(SUP_C3_EXPANSION!$E$20:$E$59,BH25+1),0)</f>
        <v>6439</v>
      </c>
      <c r="BJ30" s="273" t="n">
        <f aca="false">BJ24*IFERROR(INDEX(SUP_C3_EXPANSION!$E$20:$E$59,BI25+1),0)</f>
        <v>6439</v>
      </c>
      <c r="BK30" s="273" t="n">
        <f aca="false">BK24*IFERROR(INDEX(SUP_C3_EXPANSION!$E$20:$E$59,BJ25+1),0)</f>
        <v>6439</v>
      </c>
      <c r="BL30" s="273" t="n">
        <f aca="false">BL24*IFERROR(INDEX(SUP_C3_EXPANSION!$E$20:$E$59,BK25+1),0)</f>
        <v>0</v>
      </c>
      <c r="BM30" s="273" t="n">
        <f aca="false">BM24*IFERROR(INDEX(SUP_C3_EXPANSION!$E$20:$E$59,BL25+1),0)</f>
        <v>8775</v>
      </c>
      <c r="BN30" s="273" t="n">
        <f aca="false">BN24*IFERROR(INDEX(SUP_C3_EXPANSION!$E$20:$E$59,BM25+1),0)</f>
        <v>6439</v>
      </c>
      <c r="BO30" s="273" t="n">
        <f aca="false">BO24*IFERROR(INDEX(SUP_C3_EXPANSION!$E$20:$E$59,BN25+1),0)</f>
        <v>6439</v>
      </c>
      <c r="BP30" s="273" t="n">
        <f aca="false">BP24*IFERROR(INDEX(SUP_C3_EXPANSION!$E$20:$E$59,BO25+1),0)</f>
        <v>6439</v>
      </c>
      <c r="BQ30" s="273" t="n">
        <f aca="false">BQ24*IFERROR(INDEX(SUP_C3_EXPANSION!$E$20:$E$59,BP25+1),0)</f>
        <v>8775</v>
      </c>
      <c r="BR30" s="273" t="n">
        <f aca="false">BR24*IFERROR(INDEX(SUP_C3_EXPANSION!$E$20:$E$59,BQ25+1),0)</f>
        <v>6439</v>
      </c>
      <c r="BS30" s="273" t="n">
        <f aca="false">BS24*IFERROR(INDEX(SUP_C3_EXPANSION!$E$20:$E$59,BR25+1),0)</f>
        <v>6439</v>
      </c>
      <c r="BT30" s="273" t="n">
        <f aca="false">BT24*IFERROR(INDEX(SUP_C3_EXPANSION!$E$20:$E$59,BS25+1),0)</f>
        <v>6439</v>
      </c>
      <c r="BU30" s="273" t="n">
        <f aca="false">BU24*IFERROR(INDEX(SUP_C3_EXPANSION!$E$20:$E$59,BT25+1),0)</f>
        <v>8775</v>
      </c>
      <c r="BV30" s="273" t="n">
        <f aca="false">BV24*IFERROR(INDEX(SUP_C3_EXPANSION!$E$20:$E$59,BU25+1),0)</f>
        <v>0</v>
      </c>
      <c r="BW30" s="273" t="n">
        <f aca="false">BW24*IFERROR(INDEX(SUP_C3_EXPANSION!$E$20:$E$59,BV25+1),0)</f>
        <v>20437.75</v>
      </c>
      <c r="BX30" s="273" t="n">
        <f aca="false">BX24*IFERROR(INDEX(SUP_C3_EXPANSION!$E$20:$E$59,BW25+1),0)</f>
        <v>6439</v>
      </c>
      <c r="BY30" s="273" t="n">
        <f aca="false">BY24*IFERROR(INDEX(SUP_C3_EXPANSION!$E$20:$E$59,BX25+1),0)</f>
        <v>6439</v>
      </c>
      <c r="BZ30" s="273" t="n">
        <f aca="false">BZ24*IFERROR(INDEX(SUP_C3_EXPANSION!$E$20:$E$59,BY25+1),0)</f>
        <v>6439</v>
      </c>
      <c r="CA30" s="273" t="n">
        <f aca="false">CA24*IFERROR(INDEX(SUP_C3_EXPANSION!$E$20:$E$59,BZ25+1),0)</f>
        <v>8775</v>
      </c>
      <c r="CB30" s="273" t="n">
        <f aca="false">CB24*IFERROR(INDEX(SUP_C3_EXPANSION!$E$20:$E$59,CA25+1),0)</f>
        <v>6439</v>
      </c>
      <c r="CC30" s="273" t="n">
        <f aca="false">CC24*IFERROR(INDEX(SUP_C3_EXPANSION!$E$20:$E$59,CB25+1),0)</f>
        <v>6439</v>
      </c>
      <c r="CD30" s="273" t="n">
        <f aca="false">CD24*IFERROR(INDEX(SUP_C3_EXPANSION!$E$20:$E$59,CC25+1),0)</f>
        <v>6439</v>
      </c>
      <c r="CE30" s="273" t="n">
        <f aca="false">CE24*IFERROR(INDEX(SUP_C3_EXPANSION!$E$20:$E$59,CD25+1),0)</f>
        <v>8775</v>
      </c>
      <c r="CF30" s="273" t="n">
        <f aca="false">CF24*IFERROR(INDEX(SUP_C3_EXPANSION!$E$20:$E$59,CE25+1),0)</f>
        <v>6439</v>
      </c>
      <c r="CG30" s="273" t="n">
        <f aca="false">CG24*IFERROR(INDEX(SUP_C3_EXPANSION!$E$20:$E$59,CF25+1),0)</f>
        <v>6439</v>
      </c>
      <c r="CH30" s="273" t="n">
        <f aca="false">CH24*IFERROR(INDEX(SUP_C3_EXPANSION!$E$20:$E$59,CG25+1),0)</f>
        <v>0</v>
      </c>
      <c r="CI30" s="273" t="n">
        <f aca="false">CI24*IFERROR(INDEX(SUP_C3_EXPANSION!$E$20:$E$59,CH25+1),0)</f>
        <v>0</v>
      </c>
      <c r="CJ30" s="273" t="n">
        <f aca="false">CJ24*IFERROR(INDEX(SUP_C3_EXPANSION!$E$20:$E$59,CI25+1),0)</f>
        <v>0</v>
      </c>
      <c r="CK30" s="273" t="n">
        <f aca="false">CK24*IFERROR(INDEX(SUP_C3_EXPANSION!$E$20:$E$59,CJ25+1),0)</f>
        <v>0</v>
      </c>
      <c r="CL30" s="273" t="n">
        <f aca="false">CL24*IFERROR(INDEX(SUP_C3_EXPANSION!$E$20:$E$59,CK25+1),0)</f>
        <v>0</v>
      </c>
      <c r="CM30" s="273" t="n">
        <f aca="false">CM24*IFERROR(INDEX(SUP_C3_EXPANSION!$E$20:$E$59,CL25+1),0)</f>
        <v>0</v>
      </c>
      <c r="CN30" s="273" t="n">
        <f aca="false">CN24*IFERROR(INDEX(SUP_C3_EXPANSION!$E$20:$E$59,CM25+1),0)</f>
        <v>0</v>
      </c>
      <c r="CO30" s="273" t="n">
        <f aca="false">CO24*IFERROR(INDEX(SUP_C3_EXPANSION!$E$20:$E$59,CN25+1),0)</f>
        <v>0</v>
      </c>
      <c r="CP30" s="273" t="n">
        <f aca="false">CP24*IFERROR(INDEX(SUP_C3_EXPANSION!$E$20:$E$59,CO25+1),0)</f>
        <v>0</v>
      </c>
      <c r="CQ30" s="273" t="n">
        <f aca="false">CQ24*IFERROR(INDEX(SUP_C3_EXPANSION!$E$20:$E$59,CP25+1),0)</f>
        <v>0</v>
      </c>
      <c r="CR30" s="273" t="n">
        <f aca="false">CR24*IFERROR(INDEX(SUP_C3_EXPANSION!$E$20:$E$59,CQ25+1),0)</f>
        <v>0</v>
      </c>
      <c r="CS30" s="273" t="n">
        <f aca="false">CS24*IFERROR(INDEX(SUP_C3_EXPANSION!$E$20:$E$59,CR25+1),0)</f>
        <v>0</v>
      </c>
      <c r="CT30" s="273" t="n">
        <f aca="false">CT24*IFERROR(INDEX(SUP_C3_EXPANSION!$E$20:$E$59,CS25+1),0)</f>
        <v>0</v>
      </c>
      <c r="CU30" s="273" t="n">
        <f aca="false">CU24*IFERROR(INDEX(SUP_C3_EXPANSION!$E$20:$E$59,CT25+1),0)</f>
        <v>0</v>
      </c>
      <c r="CV30" s="273" t="n">
        <f aca="false">CV24*IFERROR(INDEX(SUP_C3_EXPANSION!$E$20:$E$59,CU25+1),0)</f>
        <v>0</v>
      </c>
      <c r="CW30" s="273" t="n">
        <f aca="false">CW24*IFERROR(INDEX(SUP_C3_EXPANSION!$E$20:$E$59,CV25+1),0)</f>
        <v>0</v>
      </c>
      <c r="CX30" s="273" t="n">
        <f aca="false">CX24*IFERROR(INDEX(SUP_C3_EXPANSION!$E$20:$E$59,CW25+1),0)</f>
        <v>0</v>
      </c>
      <c r="CY30" s="273" t="n">
        <f aca="false">CY24*IFERROR(INDEX(SUP_C3_EXPANSION!$E$20:$E$59,CX25+1),0)</f>
        <v>0</v>
      </c>
      <c r="CZ30" s="273" t="n">
        <f aca="false">CZ24*IFERROR(INDEX(SUP_C3_EXPANSION!$E$20:$E$59,CY25+1),0)</f>
        <v>0</v>
      </c>
      <c r="DA30" s="273" t="n">
        <f aca="false">DA24*IFERROR(INDEX(SUP_C3_EXPANSION!$E$20:$E$59,CZ25+1),0)</f>
        <v>0</v>
      </c>
      <c r="DB30" s="273" t="n">
        <f aca="false">DB24*IFERROR(INDEX(SUP_C3_EXPANSION!$E$20:$E$59,DA25+1),0)</f>
        <v>0</v>
      </c>
      <c r="DC30" s="273" t="n">
        <f aca="false">DC24*IFERROR(INDEX(SUP_C3_EXPANSION!$E$20:$E$59,DB25+1),0)</f>
        <v>0</v>
      </c>
      <c r="DD30" s="273" t="n">
        <f aca="false">DD24*IFERROR(INDEX(SUP_C3_EXPANSION!$E$20:$E$59,DC25+1),0)</f>
        <v>0</v>
      </c>
      <c r="DE30" s="273" t="n">
        <f aca="false">DE24*IFERROR(INDEX(SUP_C3_EXPANSION!$E$20:$E$59,DD25+1),0)</f>
        <v>0</v>
      </c>
      <c r="DF30" s="273" t="n">
        <f aca="false">DF24*IFERROR(INDEX(SUP_C3_EXPANSION!$E$20:$E$59,DE25+1),0)</f>
        <v>0</v>
      </c>
      <c r="DG30" s="273" t="n">
        <f aca="false">DG24*IFERROR(INDEX(SUP_C3_EXPANSION!$E$20:$E$59,DF25+1),0)</f>
        <v>0</v>
      </c>
      <c r="DH30" s="273" t="n">
        <f aca="false">DH24*IFERROR(INDEX(SUP_C3_EXPANSION!$E$20:$E$59,DG25+1),0)</f>
        <v>0</v>
      </c>
      <c r="DI30" s="273" t="n">
        <f aca="false">DI24*IFERROR(INDEX(SUP_C3_EXPANSION!$E$20:$E$59,DH25+1),0)</f>
        <v>0</v>
      </c>
      <c r="DJ30" s="273" t="n">
        <f aca="false">DJ24*IFERROR(INDEX(SUP_C3_EXPANSION!$E$20:$E$59,DI25+1),0)</f>
        <v>0</v>
      </c>
      <c r="DK30" s="273" t="n">
        <f aca="false">DK24*IFERROR(INDEX(SUP_C3_EXPANSION!$E$20:$E$59,DJ25+1),0)</f>
        <v>0</v>
      </c>
      <c r="DL30" s="273" t="n">
        <f aca="false">DL24*IFERROR(INDEX(SUP_C3_EXPANSION!$E$20:$E$59,DK25+1),0)</f>
        <v>0</v>
      </c>
      <c r="DM30" s="273" t="n">
        <f aca="false">DM24*IFERROR(INDEX(SUP_C3_EXPANSION!$E$20:$E$59,DL25+1),0)</f>
        <v>0</v>
      </c>
      <c r="DN30" s="273" t="n">
        <f aca="false">DN24*IFERROR(INDEX(SUP_C3_EXPANSION!$E$20:$E$59,DM25+1),0)</f>
        <v>0</v>
      </c>
      <c r="DO30" s="273" t="n">
        <f aca="false">DO24*IFERROR(INDEX(SUP_C3_EXPANSION!$E$20:$E$59,DN25+1),0)</f>
        <v>0</v>
      </c>
      <c r="DP30" s="273" t="n">
        <f aca="false">DP24*IFERROR(INDEX(SUP_C3_EXPANSION!$E$20:$E$59,DO25+1),0)</f>
        <v>0</v>
      </c>
      <c r="DQ30" s="273" t="n">
        <f aca="false">DQ24*IFERROR(INDEX(SUP_C3_EXPANSION!$E$20:$E$59,DP25+1),0)</f>
        <v>0</v>
      </c>
      <c r="DR30" s="273" t="n">
        <f aca="false">DR24*IFERROR(INDEX(SUP_C3_EXPANSION!$E$20:$E$59,DQ25+1),0)</f>
        <v>0</v>
      </c>
      <c r="DS30" s="273" t="n">
        <f aca="false">DS24*IFERROR(INDEX(SUP_C3_EXPANSION!$E$20:$E$59,DR25+1),0)</f>
        <v>0</v>
      </c>
    </row>
    <row r="32" customFormat="false" ht="15" hidden="false" customHeight="true" outlineLevel="0" collapsed="false">
      <c r="B32" s="1" t="s">
        <v>3536</v>
      </c>
      <c r="C32" s="275" t="n">
        <f aca="false">SUP_CONTROL!$C$21-10-SUP_CONTROL!$C$12</f>
        <v>40</v>
      </c>
    </row>
    <row r="34" customFormat="false" ht="15" hidden="false" customHeight="true" outlineLevel="0" collapsed="false">
      <c r="A34" s="186" t="s">
        <v>3537</v>
      </c>
      <c r="B34" s="25"/>
      <c r="C34" s="25"/>
    </row>
    <row r="35" customFormat="false" ht="15" hidden="false" customHeight="true" outlineLevel="0" collapsed="false">
      <c r="B35" s="178" t="s">
        <v>3538</v>
      </c>
      <c r="D35" s="275" t="n">
        <f aca="false">SUP_CONTROL!$C$11*(CAPA1_PILOTO!D8+CAPA1_PILOTO!D9)+SUP_CONTROL!$C$12*CAPA2_FLAGSHIP!D6+D25</f>
        <v>0</v>
      </c>
      <c r="E35" s="275" t="n">
        <f aca="false">SUP_CONTROL!$C$11*(CAPA1_PILOTO!E8+CAPA1_PILOTO!E9)+SUP_CONTROL!$C$12*CAPA2_FLAGSHIP!E6+E25</f>
        <v>0</v>
      </c>
      <c r="F35" s="275" t="n">
        <f aca="false">SUP_CONTROL!$C$11*(CAPA1_PILOTO!F8+CAPA1_PILOTO!F9)+SUP_CONTROL!$C$12*CAPA2_FLAGSHIP!F6+F25</f>
        <v>0</v>
      </c>
      <c r="G35" s="275" t="n">
        <f aca="false">SUP_CONTROL!$C$11*(CAPA1_PILOTO!G8+CAPA1_PILOTO!G9)+SUP_CONTROL!$C$12*CAPA2_FLAGSHIP!G6+G25</f>
        <v>2</v>
      </c>
      <c r="H35" s="275" t="n">
        <f aca="false">SUP_CONTROL!$C$11*(CAPA1_PILOTO!H8+CAPA1_PILOTO!H9)+SUP_CONTROL!$C$12*CAPA2_FLAGSHIP!H6+H25</f>
        <v>4</v>
      </c>
      <c r="I35" s="275" t="n">
        <f aca="false">SUP_CONTROL!$C$11*(CAPA1_PILOTO!I8+CAPA1_PILOTO!I9)+SUP_CONTROL!$C$12*CAPA2_FLAGSHIP!I6+I25</f>
        <v>6</v>
      </c>
      <c r="J35" s="275" t="n">
        <f aca="false">SUP_CONTROL!$C$11*(CAPA1_PILOTO!J8+CAPA1_PILOTO!J9)+SUP_CONTROL!$C$12*CAPA2_FLAGSHIP!J6+J25</f>
        <v>8</v>
      </c>
      <c r="K35" s="275" t="n">
        <f aca="false">SUP_CONTROL!$C$11*(CAPA1_PILOTO!K8+CAPA1_PILOTO!K9)+SUP_CONTROL!$C$12*CAPA2_FLAGSHIP!K6+K25</f>
        <v>10</v>
      </c>
      <c r="L35" s="275" t="n">
        <f aca="false">SUP_CONTROL!$C$11*(CAPA1_PILOTO!L8+CAPA1_PILOTO!L9)+SUP_CONTROL!$C$12*CAPA2_FLAGSHIP!L6+L25</f>
        <v>10</v>
      </c>
      <c r="M35" s="275" t="n">
        <f aca="false">SUP_CONTROL!$C$11*(CAPA1_PILOTO!M8+CAPA1_PILOTO!M9)+SUP_CONTROL!$C$12*CAPA2_FLAGSHIP!M6+M25</f>
        <v>10</v>
      </c>
      <c r="N35" s="275" t="n">
        <f aca="false">SUP_CONTROL!$C$11*(CAPA1_PILOTO!N8+CAPA1_PILOTO!N9)+SUP_CONTROL!$C$12*CAPA2_FLAGSHIP!N6+N25</f>
        <v>10</v>
      </c>
      <c r="O35" s="275" t="n">
        <f aca="false">SUP_CONTROL!$C$11*(CAPA1_PILOTO!O8+CAPA1_PILOTO!O9)+SUP_CONTROL!$C$12*CAPA2_FLAGSHIP!O6+O25</f>
        <v>10</v>
      </c>
      <c r="P35" s="275" t="n">
        <f aca="false">SUP_CONTROL!$C$11*(CAPA1_PILOTO!P8+CAPA1_PILOTO!P9)+SUP_CONTROL!$C$12*CAPA2_FLAGSHIP!P6+P25</f>
        <v>10</v>
      </c>
      <c r="Q35" s="275" t="n">
        <f aca="false">SUP_CONTROL!$C$11*(CAPA1_PILOTO!Q8+CAPA1_PILOTO!Q9)+SUP_CONTROL!$C$12*CAPA2_FLAGSHIP!Q6+Q25</f>
        <v>10</v>
      </c>
      <c r="R35" s="275" t="n">
        <f aca="false">SUP_CONTROL!$C$11*(CAPA1_PILOTO!R8+CAPA1_PILOTO!R9)+SUP_CONTROL!$C$12*CAPA2_FLAGSHIP!R6+R25</f>
        <v>10</v>
      </c>
      <c r="S35" s="275" t="n">
        <f aca="false">SUP_CONTROL!$C$11*(CAPA1_PILOTO!S8+CAPA1_PILOTO!S9)+SUP_CONTROL!$C$12*CAPA2_FLAGSHIP!S6+S25</f>
        <v>11</v>
      </c>
      <c r="T35" s="275" t="n">
        <f aca="false">SUP_CONTROL!$C$11*(CAPA1_PILOTO!T8+CAPA1_PILOTO!T9)+SUP_CONTROL!$C$12*CAPA2_FLAGSHIP!T6+T25</f>
        <v>12</v>
      </c>
      <c r="U35" s="275" t="n">
        <f aca="false">SUP_CONTROL!$C$11*(CAPA1_PILOTO!U8+CAPA1_PILOTO!U9)+SUP_CONTROL!$C$12*CAPA2_FLAGSHIP!U6+U25</f>
        <v>12</v>
      </c>
      <c r="V35" s="275" t="n">
        <f aca="false">SUP_CONTROL!$C$11*(CAPA1_PILOTO!V8+CAPA1_PILOTO!V9)+SUP_CONTROL!$C$12*CAPA2_FLAGSHIP!V6+V25</f>
        <v>13</v>
      </c>
      <c r="W35" s="275" t="n">
        <f aca="false">SUP_CONTROL!$C$11*(CAPA1_PILOTO!W8+CAPA1_PILOTO!W9)+SUP_CONTROL!$C$12*CAPA2_FLAGSHIP!W6+W25</f>
        <v>13</v>
      </c>
      <c r="X35" s="275" t="n">
        <f aca="false">SUP_CONTROL!$C$11*(CAPA1_PILOTO!X8+CAPA1_PILOTO!X9)+SUP_CONTROL!$C$12*CAPA2_FLAGSHIP!X6+X25</f>
        <v>13</v>
      </c>
      <c r="Y35" s="275" t="n">
        <f aca="false">SUP_CONTROL!$C$11*(CAPA1_PILOTO!Y8+CAPA1_PILOTO!Y9)+SUP_CONTROL!$C$12*CAPA2_FLAGSHIP!Y6+Y25</f>
        <v>13</v>
      </c>
      <c r="Z35" s="275" t="n">
        <f aca="false">SUP_CONTROL!$C$11*(CAPA1_PILOTO!Z8+CAPA1_PILOTO!Z9)+SUP_CONTROL!$C$12*CAPA2_FLAGSHIP!Z6+Z25</f>
        <v>13</v>
      </c>
      <c r="AA35" s="275" t="n">
        <f aca="false">SUP_CONTROL!$C$11*(CAPA1_PILOTO!AA8+CAPA1_PILOTO!AA9)+SUP_CONTROL!$C$12*CAPA2_FLAGSHIP!AA6+AA25</f>
        <v>13</v>
      </c>
      <c r="AB35" s="275" t="n">
        <f aca="false">SUP_CONTROL!$C$11*(CAPA1_PILOTO!AB8+CAPA1_PILOTO!AB9)+SUP_CONTROL!$C$12*CAPA2_FLAGSHIP!AB6+AB25</f>
        <v>13</v>
      </c>
      <c r="AC35" s="275" t="n">
        <f aca="false">SUP_CONTROL!$C$11*(CAPA1_PILOTO!AC8+CAPA1_PILOTO!AC9)+SUP_CONTROL!$C$12*CAPA2_FLAGSHIP!AC6+AC25</f>
        <v>13</v>
      </c>
      <c r="AD35" s="275" t="n">
        <f aca="false">SUP_CONTROL!$C$11*(CAPA1_PILOTO!AD8+CAPA1_PILOTO!AD9)+SUP_CONTROL!$C$12*CAPA2_FLAGSHIP!AD6+AD25</f>
        <v>13</v>
      </c>
      <c r="AE35" s="275" t="n">
        <f aca="false">SUP_CONTROL!$C$11*(CAPA1_PILOTO!AE8+CAPA1_PILOTO!AE9)+SUP_CONTROL!$C$12*CAPA2_FLAGSHIP!AE6+AE25</f>
        <v>13</v>
      </c>
      <c r="AF35" s="275" t="n">
        <f aca="false">SUP_CONTROL!$C$11*(CAPA1_PILOTO!AF8+CAPA1_PILOTO!AF9)+SUP_CONTROL!$C$12*CAPA2_FLAGSHIP!AF6+AF25</f>
        <v>14</v>
      </c>
      <c r="AG35" s="275" t="n">
        <f aca="false">SUP_CONTROL!$C$11*(CAPA1_PILOTO!AG8+CAPA1_PILOTO!AG9)+SUP_CONTROL!$C$12*CAPA2_FLAGSHIP!AG6+AG25</f>
        <v>15</v>
      </c>
      <c r="AH35" s="275" t="n">
        <f aca="false">SUP_CONTROL!$C$11*(CAPA1_PILOTO!AH8+CAPA1_PILOTO!AH9)+SUP_CONTROL!$C$12*CAPA2_FLAGSHIP!AH6+AH25</f>
        <v>15</v>
      </c>
      <c r="AI35" s="275" t="n">
        <f aca="false">SUP_CONTROL!$C$11*(CAPA1_PILOTO!AI8+CAPA1_PILOTO!AI9)+SUP_CONTROL!$C$12*CAPA2_FLAGSHIP!AI6+AI25</f>
        <v>16</v>
      </c>
      <c r="AJ35" s="275" t="n">
        <f aca="false">SUP_CONTROL!$C$11*(CAPA1_PILOTO!AJ8+CAPA1_PILOTO!AJ9)+SUP_CONTROL!$C$12*CAPA2_FLAGSHIP!AJ6+AJ25</f>
        <v>16</v>
      </c>
      <c r="AK35" s="275" t="n">
        <f aca="false">SUP_CONTROL!$C$11*(CAPA1_PILOTO!AK8+CAPA1_PILOTO!AK9)+SUP_CONTROL!$C$12*CAPA2_FLAGSHIP!AK6+AK25</f>
        <v>17</v>
      </c>
      <c r="AL35" s="275" t="n">
        <f aca="false">SUP_CONTROL!$C$11*(CAPA1_PILOTO!AL8+CAPA1_PILOTO!AL9)+SUP_CONTROL!$C$12*CAPA2_FLAGSHIP!AL6+AL25</f>
        <v>17</v>
      </c>
      <c r="AM35" s="275" t="n">
        <f aca="false">SUP_CONTROL!$C$11*(CAPA1_PILOTO!AM8+CAPA1_PILOTO!AM9)+SUP_CONTROL!$C$12*CAPA2_FLAGSHIP!AM6+AM25</f>
        <v>17</v>
      </c>
      <c r="AN35" s="275" t="n">
        <f aca="false">SUP_CONTROL!$C$11*(CAPA1_PILOTO!AN8+CAPA1_PILOTO!AN9)+SUP_CONTROL!$C$12*CAPA2_FLAGSHIP!AN6+AN25</f>
        <v>18</v>
      </c>
      <c r="AO35" s="275" t="n">
        <f aca="false">SUP_CONTROL!$C$11*(CAPA1_PILOTO!AO8+CAPA1_PILOTO!AO9)+SUP_CONTROL!$C$12*CAPA2_FLAGSHIP!AO6+AO25</f>
        <v>19</v>
      </c>
      <c r="AP35" s="275" t="n">
        <f aca="false">SUP_CONTROL!$C$11*(CAPA1_PILOTO!AP8+CAPA1_PILOTO!AP9)+SUP_CONTROL!$C$12*CAPA2_FLAGSHIP!AP6+AP25</f>
        <v>20</v>
      </c>
      <c r="AQ35" s="275" t="n">
        <f aca="false">SUP_CONTROL!$C$11*(CAPA1_PILOTO!AQ8+CAPA1_PILOTO!AQ9)+SUP_CONTROL!$C$12*CAPA2_FLAGSHIP!AQ6+AQ25</f>
        <v>21</v>
      </c>
      <c r="AR35" s="275" t="n">
        <f aca="false">SUP_CONTROL!$C$11*(CAPA1_PILOTO!AR8+CAPA1_PILOTO!AR9)+SUP_CONTROL!$C$12*CAPA2_FLAGSHIP!AR6+AR25</f>
        <v>21</v>
      </c>
      <c r="AS35" s="275" t="n">
        <f aca="false">SUP_CONTROL!$C$11*(CAPA1_PILOTO!AS8+CAPA1_PILOTO!AS9)+SUP_CONTROL!$C$12*CAPA2_FLAGSHIP!AS6+AS25</f>
        <v>21</v>
      </c>
      <c r="AT35" s="275" t="n">
        <f aca="false">SUP_CONTROL!$C$11*(CAPA1_PILOTO!AT8+CAPA1_PILOTO!AT9)+SUP_CONTROL!$C$12*CAPA2_FLAGSHIP!AT6+AT25</f>
        <v>22</v>
      </c>
      <c r="AU35" s="275" t="n">
        <f aca="false">SUP_CONTROL!$C$11*(CAPA1_PILOTO!AU8+CAPA1_PILOTO!AU9)+SUP_CONTROL!$C$12*CAPA2_FLAGSHIP!AU6+AU25</f>
        <v>22</v>
      </c>
      <c r="AV35" s="275" t="n">
        <f aca="false">SUP_CONTROL!$C$11*(CAPA1_PILOTO!AV8+CAPA1_PILOTO!AV9)+SUP_CONTROL!$C$12*CAPA2_FLAGSHIP!AV6+AV25</f>
        <v>23</v>
      </c>
      <c r="AW35" s="275" t="n">
        <f aca="false">SUP_CONTROL!$C$11*(CAPA1_PILOTO!AW8+CAPA1_PILOTO!AW9)+SUP_CONTROL!$C$12*CAPA2_FLAGSHIP!AW6+AW25</f>
        <v>24</v>
      </c>
      <c r="AX35" s="275" t="n">
        <f aca="false">SUP_CONTROL!$C$11*(CAPA1_PILOTO!AX8+CAPA1_PILOTO!AX9)+SUP_CONTROL!$C$12*CAPA2_FLAGSHIP!AX6+AX25</f>
        <v>24</v>
      </c>
      <c r="AY35" s="275" t="n">
        <f aca="false">SUP_CONTROL!$C$11*(CAPA1_PILOTO!AY8+CAPA1_PILOTO!AY9)+SUP_CONTROL!$C$12*CAPA2_FLAGSHIP!AY6+AY25</f>
        <v>24</v>
      </c>
      <c r="AZ35" s="275" t="n">
        <f aca="false">SUP_CONTROL!$C$11*(CAPA1_PILOTO!AZ8+CAPA1_PILOTO!AZ9)+SUP_CONTROL!$C$12*CAPA2_FLAGSHIP!AZ6+AZ25</f>
        <v>24</v>
      </c>
      <c r="BA35" s="275" t="n">
        <f aca="false">SUP_CONTROL!$C$11*(CAPA1_PILOTO!BA8+CAPA1_PILOTO!BA9)+SUP_CONTROL!$C$12*CAPA2_FLAGSHIP!BA6+BA25</f>
        <v>24</v>
      </c>
      <c r="BB35" s="275" t="n">
        <f aca="false">SUP_CONTROL!$C$11*(CAPA1_PILOTO!BB8+CAPA1_PILOTO!BB9)+SUP_CONTROL!$C$12*CAPA2_FLAGSHIP!BB6+BB25</f>
        <v>24</v>
      </c>
      <c r="BC35" s="275" t="n">
        <f aca="false">SUP_CONTROL!$C$11*(CAPA1_PILOTO!BC8+CAPA1_PILOTO!BC9)+SUP_CONTROL!$C$12*CAPA2_FLAGSHIP!BC6+BC25</f>
        <v>24</v>
      </c>
      <c r="BD35" s="275" t="n">
        <f aca="false">SUP_CONTROL!$C$11*(CAPA1_PILOTO!BD8+CAPA1_PILOTO!BD9)+SUP_CONTROL!$C$12*CAPA2_FLAGSHIP!BD6+BD25</f>
        <v>24</v>
      </c>
      <c r="BE35" s="275" t="n">
        <f aca="false">SUP_CONTROL!$C$11*(CAPA1_PILOTO!BE8+CAPA1_PILOTO!BE9)+SUP_CONTROL!$C$12*CAPA2_FLAGSHIP!BE6+BE25</f>
        <v>24</v>
      </c>
      <c r="BF35" s="275" t="n">
        <f aca="false">SUP_CONTROL!$C$11*(CAPA1_PILOTO!BF8+CAPA1_PILOTO!BF9)+SUP_CONTROL!$C$12*CAPA2_FLAGSHIP!BF6+BF25</f>
        <v>25</v>
      </c>
      <c r="BG35" s="275" t="n">
        <f aca="false">SUP_CONTROL!$C$11*(CAPA1_PILOTO!BG8+CAPA1_PILOTO!BG9)+SUP_CONTROL!$C$12*CAPA2_FLAGSHIP!BG6+BG25</f>
        <v>26</v>
      </c>
      <c r="BH35" s="275" t="n">
        <f aca="false">SUP_CONTROL!$C$11*(CAPA1_PILOTO!BH8+CAPA1_PILOTO!BH9)+SUP_CONTROL!$C$12*CAPA2_FLAGSHIP!BH6+BH25</f>
        <v>27</v>
      </c>
      <c r="BI35" s="275" t="n">
        <f aca="false">SUP_CONTROL!$C$11*(CAPA1_PILOTO!BI8+CAPA1_PILOTO!BI9)+SUP_CONTROL!$C$12*CAPA2_FLAGSHIP!BI6+BI25</f>
        <v>28</v>
      </c>
      <c r="BJ35" s="275" t="n">
        <f aca="false">SUP_CONTROL!$C$11*(CAPA1_PILOTO!BJ8+CAPA1_PILOTO!BJ9)+SUP_CONTROL!$C$12*CAPA2_FLAGSHIP!BJ6+BJ25</f>
        <v>29</v>
      </c>
      <c r="BK35" s="275" t="n">
        <f aca="false">SUP_CONTROL!$C$11*(CAPA1_PILOTO!BK8+CAPA1_PILOTO!BK9)+SUP_CONTROL!$C$12*CAPA2_FLAGSHIP!BK6+BK25</f>
        <v>30</v>
      </c>
      <c r="BL35" s="275" t="n">
        <f aca="false">SUP_CONTROL!$C$11*(CAPA1_PILOTO!BL8+CAPA1_PILOTO!BL9)+SUP_CONTROL!$C$12*CAPA2_FLAGSHIP!BL6+BL25</f>
        <v>30</v>
      </c>
      <c r="BM35" s="275" t="n">
        <f aca="false">SUP_CONTROL!$C$11*(CAPA1_PILOTO!BM8+CAPA1_PILOTO!BM9)+SUP_CONTROL!$C$12*CAPA2_FLAGSHIP!BM6+BM25</f>
        <v>31</v>
      </c>
      <c r="BN35" s="275" t="n">
        <f aca="false">SUP_CONTROL!$C$11*(CAPA1_PILOTO!BN8+CAPA1_PILOTO!BN9)+SUP_CONTROL!$C$12*CAPA2_FLAGSHIP!BN6+BN25</f>
        <v>32</v>
      </c>
      <c r="BO35" s="275" t="n">
        <f aca="false">SUP_CONTROL!$C$11*(CAPA1_PILOTO!BO8+CAPA1_PILOTO!BO9)+SUP_CONTROL!$C$12*CAPA2_FLAGSHIP!BO6+BO25</f>
        <v>33</v>
      </c>
      <c r="BP35" s="275" t="n">
        <f aca="false">SUP_CONTROL!$C$11*(CAPA1_PILOTO!BP8+CAPA1_PILOTO!BP9)+SUP_CONTROL!$C$12*CAPA2_FLAGSHIP!BP6+BP25</f>
        <v>34</v>
      </c>
      <c r="BQ35" s="275" t="n">
        <f aca="false">SUP_CONTROL!$C$11*(CAPA1_PILOTO!BQ8+CAPA1_PILOTO!BQ9)+SUP_CONTROL!$C$12*CAPA2_FLAGSHIP!BQ6+BQ25</f>
        <v>35</v>
      </c>
      <c r="BR35" s="275" t="n">
        <f aca="false">SUP_CONTROL!$C$11*(CAPA1_PILOTO!BR8+CAPA1_PILOTO!BR9)+SUP_CONTROL!$C$12*CAPA2_FLAGSHIP!BR6+BR25</f>
        <v>36</v>
      </c>
      <c r="BS35" s="275" t="n">
        <f aca="false">SUP_CONTROL!$C$11*(CAPA1_PILOTO!BS8+CAPA1_PILOTO!BS9)+SUP_CONTROL!$C$12*CAPA2_FLAGSHIP!BS6+BS25</f>
        <v>37</v>
      </c>
      <c r="BT35" s="275" t="n">
        <f aca="false">SUP_CONTROL!$C$11*(CAPA1_PILOTO!BT8+CAPA1_PILOTO!BT9)+SUP_CONTROL!$C$12*CAPA2_FLAGSHIP!BT6+BT25</f>
        <v>38</v>
      </c>
      <c r="BU35" s="275" t="n">
        <f aca="false">SUP_CONTROL!$C$11*(CAPA1_PILOTO!BU8+CAPA1_PILOTO!BU9)+SUP_CONTROL!$C$12*CAPA2_FLAGSHIP!BU6+BU25</f>
        <v>39</v>
      </c>
      <c r="BV35" s="275" t="n">
        <f aca="false">SUP_CONTROL!$C$11*(CAPA1_PILOTO!BV8+CAPA1_PILOTO!BV9)+SUP_CONTROL!$C$12*CAPA2_FLAGSHIP!BV6+BV25</f>
        <v>39</v>
      </c>
      <c r="BW35" s="275" t="n">
        <f aca="false">SUP_CONTROL!$C$11*(CAPA1_PILOTO!BW8+CAPA1_PILOTO!BW9)+SUP_CONTROL!$C$12*CAPA2_FLAGSHIP!BW6+BW25</f>
        <v>40</v>
      </c>
      <c r="BX35" s="275" t="n">
        <f aca="false">SUP_CONTROL!$C$11*(CAPA1_PILOTO!BX8+CAPA1_PILOTO!BX9)+SUP_CONTROL!$C$12*CAPA2_FLAGSHIP!BX6+BX25</f>
        <v>41</v>
      </c>
      <c r="BY35" s="275" t="n">
        <f aca="false">SUP_CONTROL!$C$11*(CAPA1_PILOTO!BY8+CAPA1_PILOTO!BY9)+SUP_CONTROL!$C$12*CAPA2_FLAGSHIP!BY6+BY25</f>
        <v>42</v>
      </c>
      <c r="BZ35" s="275" t="n">
        <f aca="false">SUP_CONTROL!$C$11*(CAPA1_PILOTO!BZ8+CAPA1_PILOTO!BZ9)+SUP_CONTROL!$C$12*CAPA2_FLAGSHIP!BZ6+BZ25</f>
        <v>43</v>
      </c>
      <c r="CA35" s="275" t="n">
        <f aca="false">SUP_CONTROL!$C$11*(CAPA1_PILOTO!CA8+CAPA1_PILOTO!CA9)+SUP_CONTROL!$C$12*CAPA2_FLAGSHIP!CA6+CA25</f>
        <v>44</v>
      </c>
      <c r="CB35" s="275" t="n">
        <f aca="false">SUP_CONTROL!$C$11*(CAPA1_PILOTO!CB8+CAPA1_PILOTO!CB9)+SUP_CONTROL!$C$12*CAPA2_FLAGSHIP!CB6+CB25</f>
        <v>45</v>
      </c>
      <c r="CC35" s="275" t="n">
        <f aca="false">SUP_CONTROL!$C$11*(CAPA1_PILOTO!CC8+CAPA1_PILOTO!CC9)+SUP_CONTROL!$C$12*CAPA2_FLAGSHIP!CC6+CC25</f>
        <v>46</v>
      </c>
      <c r="CD35" s="275" t="n">
        <f aca="false">SUP_CONTROL!$C$11*(CAPA1_PILOTO!CD8+CAPA1_PILOTO!CD9)+SUP_CONTROL!$C$12*CAPA2_FLAGSHIP!CD6+CD25</f>
        <v>47</v>
      </c>
      <c r="CE35" s="275" t="n">
        <f aca="false">SUP_CONTROL!$C$11*(CAPA1_PILOTO!CE8+CAPA1_PILOTO!CE9)+SUP_CONTROL!$C$12*CAPA2_FLAGSHIP!CE6+CE25</f>
        <v>48</v>
      </c>
      <c r="CF35" s="275" t="n">
        <f aca="false">SUP_CONTROL!$C$11*(CAPA1_PILOTO!CF8+CAPA1_PILOTO!CF9)+SUP_CONTROL!$C$12*CAPA2_FLAGSHIP!CF6+CF25</f>
        <v>49</v>
      </c>
      <c r="CG35" s="275" t="n">
        <f aca="false">SUP_CONTROL!$C$11*(CAPA1_PILOTO!CG8+CAPA1_PILOTO!CG9)+SUP_CONTROL!$C$12*CAPA2_FLAGSHIP!CG6+CG25</f>
        <v>50</v>
      </c>
      <c r="CH35" s="275" t="n">
        <f aca="false">SUP_CONTROL!$C$11*(CAPA1_PILOTO!CH8+CAPA1_PILOTO!CH9)+SUP_CONTROL!$C$12*CAPA2_FLAGSHIP!CH6+CH25</f>
        <v>50</v>
      </c>
      <c r="CI35" s="275" t="n">
        <f aca="false">SUP_CONTROL!$C$11*(CAPA1_PILOTO!CI8+CAPA1_PILOTO!CI9)+SUP_CONTROL!$C$12*CAPA2_FLAGSHIP!CI6+CI25</f>
        <v>50</v>
      </c>
      <c r="CJ35" s="275" t="n">
        <f aca="false">SUP_CONTROL!$C$11*(CAPA1_PILOTO!CJ8+CAPA1_PILOTO!CJ9)+SUP_CONTROL!$C$12*CAPA2_FLAGSHIP!CJ6+CJ25</f>
        <v>50</v>
      </c>
      <c r="CK35" s="275" t="n">
        <f aca="false">SUP_CONTROL!$C$11*(CAPA1_PILOTO!CK8+CAPA1_PILOTO!CK9)+SUP_CONTROL!$C$12*CAPA2_FLAGSHIP!CK6+CK25</f>
        <v>50</v>
      </c>
      <c r="CL35" s="275" t="n">
        <f aca="false">SUP_CONTROL!$C$11*(CAPA1_PILOTO!CL8+CAPA1_PILOTO!CL9)+SUP_CONTROL!$C$12*CAPA2_FLAGSHIP!CL6+CL25</f>
        <v>50</v>
      </c>
      <c r="CM35" s="275" t="n">
        <f aca="false">SUP_CONTROL!$C$11*(CAPA1_PILOTO!CM8+CAPA1_PILOTO!CM9)+SUP_CONTROL!$C$12*CAPA2_FLAGSHIP!CM6+CM25</f>
        <v>50</v>
      </c>
      <c r="CN35" s="275" t="n">
        <f aca="false">SUP_CONTROL!$C$11*(CAPA1_PILOTO!CN8+CAPA1_PILOTO!CN9)+SUP_CONTROL!$C$12*CAPA2_FLAGSHIP!CN6+CN25</f>
        <v>50</v>
      </c>
      <c r="CO35" s="275" t="n">
        <f aca="false">SUP_CONTROL!$C$11*(CAPA1_PILOTO!CO8+CAPA1_PILOTO!CO9)+SUP_CONTROL!$C$12*CAPA2_FLAGSHIP!CO6+CO25</f>
        <v>50</v>
      </c>
      <c r="CP35" s="275" t="n">
        <f aca="false">SUP_CONTROL!$C$11*(CAPA1_PILOTO!CP8+CAPA1_PILOTO!CP9)+SUP_CONTROL!$C$12*CAPA2_FLAGSHIP!CP6+CP25</f>
        <v>50</v>
      </c>
      <c r="CQ35" s="275" t="n">
        <f aca="false">SUP_CONTROL!$C$11*(CAPA1_PILOTO!CQ8+CAPA1_PILOTO!CQ9)+SUP_CONTROL!$C$12*CAPA2_FLAGSHIP!CQ6+CQ25</f>
        <v>50</v>
      </c>
      <c r="CR35" s="275" t="n">
        <f aca="false">SUP_CONTROL!$C$11*(CAPA1_PILOTO!CR8+CAPA1_PILOTO!CR9)+SUP_CONTROL!$C$12*CAPA2_FLAGSHIP!CR6+CR25</f>
        <v>50</v>
      </c>
      <c r="CS35" s="275" t="n">
        <f aca="false">SUP_CONTROL!$C$11*(CAPA1_PILOTO!CS8+CAPA1_PILOTO!CS9)+SUP_CONTROL!$C$12*CAPA2_FLAGSHIP!CS6+CS25</f>
        <v>50</v>
      </c>
      <c r="CT35" s="275" t="n">
        <f aca="false">SUP_CONTROL!$C$11*(CAPA1_PILOTO!CT8+CAPA1_PILOTO!CT9)+SUP_CONTROL!$C$12*CAPA2_FLAGSHIP!CT6+CT25</f>
        <v>50</v>
      </c>
      <c r="CU35" s="275" t="n">
        <f aca="false">SUP_CONTROL!$C$11*(CAPA1_PILOTO!CU8+CAPA1_PILOTO!CU9)+SUP_CONTROL!$C$12*CAPA2_FLAGSHIP!CU6+CU25</f>
        <v>50</v>
      </c>
      <c r="CV35" s="275" t="n">
        <f aca="false">SUP_CONTROL!$C$11*(CAPA1_PILOTO!CV8+CAPA1_PILOTO!CV9)+SUP_CONTROL!$C$12*CAPA2_FLAGSHIP!CV6+CV25</f>
        <v>50</v>
      </c>
      <c r="CW35" s="275" t="n">
        <f aca="false">SUP_CONTROL!$C$11*(CAPA1_PILOTO!CW8+CAPA1_PILOTO!CW9)+SUP_CONTROL!$C$12*CAPA2_FLAGSHIP!CW6+CW25</f>
        <v>50</v>
      </c>
      <c r="CX35" s="275" t="n">
        <f aca="false">SUP_CONTROL!$C$11*(CAPA1_PILOTO!CX8+CAPA1_PILOTO!CX9)+SUP_CONTROL!$C$12*CAPA2_FLAGSHIP!CX6+CX25</f>
        <v>50</v>
      </c>
      <c r="CY35" s="275" t="n">
        <f aca="false">SUP_CONTROL!$C$11*(CAPA1_PILOTO!CY8+CAPA1_PILOTO!CY9)+SUP_CONTROL!$C$12*CAPA2_FLAGSHIP!CY6+CY25</f>
        <v>50</v>
      </c>
      <c r="CZ35" s="275" t="n">
        <f aca="false">SUP_CONTROL!$C$11*(CAPA1_PILOTO!CZ8+CAPA1_PILOTO!CZ9)+SUP_CONTROL!$C$12*CAPA2_FLAGSHIP!CZ6+CZ25</f>
        <v>50</v>
      </c>
      <c r="DA35" s="275" t="n">
        <f aca="false">SUP_CONTROL!$C$11*(CAPA1_PILOTO!DA8+CAPA1_PILOTO!DA9)+SUP_CONTROL!$C$12*CAPA2_FLAGSHIP!DA6+DA25</f>
        <v>50</v>
      </c>
      <c r="DB35" s="275" t="n">
        <f aca="false">SUP_CONTROL!$C$11*(CAPA1_PILOTO!DB8+CAPA1_PILOTO!DB9)+SUP_CONTROL!$C$12*CAPA2_FLAGSHIP!DB6+DB25</f>
        <v>50</v>
      </c>
      <c r="DC35" s="275" t="n">
        <f aca="false">SUP_CONTROL!$C$11*(CAPA1_PILOTO!DC8+CAPA1_PILOTO!DC9)+SUP_CONTROL!$C$12*CAPA2_FLAGSHIP!DC6+DC25</f>
        <v>50</v>
      </c>
      <c r="DD35" s="275" t="n">
        <f aca="false">SUP_CONTROL!$C$11*(CAPA1_PILOTO!DD8+CAPA1_PILOTO!DD9)+SUP_CONTROL!$C$12*CAPA2_FLAGSHIP!DD6+DD25</f>
        <v>50</v>
      </c>
      <c r="DE35" s="275" t="n">
        <f aca="false">SUP_CONTROL!$C$11*(CAPA1_PILOTO!DE8+CAPA1_PILOTO!DE9)+SUP_CONTROL!$C$12*CAPA2_FLAGSHIP!DE6+DE25</f>
        <v>50</v>
      </c>
      <c r="DF35" s="275" t="n">
        <f aca="false">SUP_CONTROL!$C$11*(CAPA1_PILOTO!DF8+CAPA1_PILOTO!DF9)+SUP_CONTROL!$C$12*CAPA2_FLAGSHIP!DF6+DF25</f>
        <v>50</v>
      </c>
      <c r="DG35" s="275" t="n">
        <f aca="false">SUP_CONTROL!$C$11*(CAPA1_PILOTO!DG8+CAPA1_PILOTO!DG9)+SUP_CONTROL!$C$12*CAPA2_FLAGSHIP!DG6+DG25</f>
        <v>50</v>
      </c>
      <c r="DH35" s="275" t="n">
        <f aca="false">SUP_CONTROL!$C$11*(CAPA1_PILOTO!DH8+CAPA1_PILOTO!DH9)+SUP_CONTROL!$C$12*CAPA2_FLAGSHIP!DH6+DH25</f>
        <v>50</v>
      </c>
      <c r="DI35" s="275" t="n">
        <f aca="false">SUP_CONTROL!$C$11*(CAPA1_PILOTO!DI8+CAPA1_PILOTO!DI9)+SUP_CONTROL!$C$12*CAPA2_FLAGSHIP!DI6+DI25</f>
        <v>50</v>
      </c>
      <c r="DJ35" s="275" t="n">
        <f aca="false">SUP_CONTROL!$C$11*(CAPA1_PILOTO!DJ8+CAPA1_PILOTO!DJ9)+SUP_CONTROL!$C$12*CAPA2_FLAGSHIP!DJ6+DJ25</f>
        <v>50</v>
      </c>
      <c r="DK35" s="275" t="n">
        <f aca="false">SUP_CONTROL!$C$11*(CAPA1_PILOTO!DK8+CAPA1_PILOTO!DK9)+SUP_CONTROL!$C$12*CAPA2_FLAGSHIP!DK6+DK25</f>
        <v>50</v>
      </c>
      <c r="DL35" s="275" t="n">
        <f aca="false">SUP_CONTROL!$C$11*(CAPA1_PILOTO!DL8+CAPA1_PILOTO!DL9)+SUP_CONTROL!$C$12*CAPA2_FLAGSHIP!DL6+DL25</f>
        <v>50</v>
      </c>
      <c r="DM35" s="275" t="n">
        <f aca="false">SUP_CONTROL!$C$11*(CAPA1_PILOTO!DM8+CAPA1_PILOTO!DM9)+SUP_CONTROL!$C$12*CAPA2_FLAGSHIP!DM6+DM25</f>
        <v>50</v>
      </c>
      <c r="DN35" s="275" t="n">
        <f aca="false">SUP_CONTROL!$C$11*(CAPA1_PILOTO!DN8+CAPA1_PILOTO!DN9)+SUP_CONTROL!$C$12*CAPA2_FLAGSHIP!DN6+DN25</f>
        <v>50</v>
      </c>
      <c r="DO35" s="275" t="n">
        <f aca="false">SUP_CONTROL!$C$11*(CAPA1_PILOTO!DO8+CAPA1_PILOTO!DO9)+SUP_CONTROL!$C$12*CAPA2_FLAGSHIP!DO6+DO25</f>
        <v>50</v>
      </c>
      <c r="DP35" s="275" t="n">
        <f aca="false">SUP_CONTROL!$C$11*(CAPA1_PILOTO!DP8+CAPA1_PILOTO!DP9)+SUP_CONTROL!$C$12*CAPA2_FLAGSHIP!DP6+DP25</f>
        <v>50</v>
      </c>
      <c r="DQ35" s="275" t="n">
        <f aca="false">SUP_CONTROL!$C$11*(CAPA1_PILOTO!DQ8+CAPA1_PILOTO!DQ9)+SUP_CONTROL!$C$12*CAPA2_FLAGSHIP!DQ6+DQ25</f>
        <v>50</v>
      </c>
      <c r="DR35" s="275" t="n">
        <f aca="false">SUP_CONTROL!$C$11*(CAPA1_PILOTO!DR8+CAPA1_PILOTO!DR9)+SUP_CONTROL!$C$12*CAPA2_FLAGSHIP!DR6+DR25</f>
        <v>50</v>
      </c>
      <c r="DS35" s="275" t="n">
        <f aca="false">SUP_CONTROL!$C$11*(CAPA1_PILOTO!DS8+CAPA1_PILOTO!DS9)+SUP_CONTROL!$C$12*CAPA2_FLAGSHIP!DS6+DS25</f>
        <v>50</v>
      </c>
    </row>
    <row r="36" customFormat="false" ht="15" hidden="false" customHeight="true" outlineLevel="0" collapsed="false">
      <c r="B36" s="297" t="s">
        <v>3539</v>
      </c>
      <c r="D36" s="299" t="n">
        <f aca="false">IFERROR(INDEX(SUP_C3_EXPANSION!$C$12:$K$12,MATCH(D35,SUP_C3_EXPANSION!$C$9:$K$9,1)),1)</f>
        <v>1</v>
      </c>
      <c r="E36" s="299" t="n">
        <f aca="false">IFERROR(INDEX(SUP_C3_EXPANSION!$C$12:$K$12,MATCH(E35,SUP_C3_EXPANSION!$C$9:$K$9,1)),1)</f>
        <v>1</v>
      </c>
      <c r="F36" s="299" t="n">
        <f aca="false">IFERROR(INDEX(SUP_C3_EXPANSION!$C$12:$K$12,MATCH(F35,SUP_C3_EXPANSION!$C$9:$K$9,1)),1)</f>
        <v>1</v>
      </c>
      <c r="G36" s="299" t="n">
        <f aca="false">IFERROR(INDEX(SUP_C3_EXPANSION!$C$12:$K$12,MATCH(G35,SUP_C3_EXPANSION!$C$9:$K$9,1)),1)</f>
        <v>1</v>
      </c>
      <c r="H36" s="299" t="n">
        <f aca="false">IFERROR(INDEX(SUP_C3_EXPANSION!$C$12:$K$12,MATCH(H35,SUP_C3_EXPANSION!$C$9:$K$9,1)),1)</f>
        <v>1</v>
      </c>
      <c r="I36" s="299" t="n">
        <f aca="false">IFERROR(INDEX(SUP_C3_EXPANSION!$C$12:$K$12,MATCH(I35,SUP_C3_EXPANSION!$C$9:$K$9,1)),1)</f>
        <v>1</v>
      </c>
      <c r="J36" s="299" t="n">
        <f aca="false">IFERROR(INDEX(SUP_C3_EXPANSION!$C$12:$K$12,MATCH(J35,SUP_C3_EXPANSION!$C$9:$K$9,1)),1)</f>
        <v>1</v>
      </c>
      <c r="K36" s="299" t="n">
        <f aca="false">IFERROR(INDEX(SUP_C3_EXPANSION!$C$12:$K$12,MATCH(K35,SUP_C3_EXPANSION!$C$9:$K$9,1)),1)</f>
        <v>1</v>
      </c>
      <c r="L36" s="299" t="n">
        <f aca="false">IFERROR(INDEX(SUP_C3_EXPANSION!$C$12:$K$12,MATCH(L35,SUP_C3_EXPANSION!$C$9:$K$9,1)),1)</f>
        <v>1</v>
      </c>
      <c r="M36" s="299" t="n">
        <f aca="false">IFERROR(INDEX(SUP_C3_EXPANSION!$C$12:$K$12,MATCH(M35,SUP_C3_EXPANSION!$C$9:$K$9,1)),1)</f>
        <v>1</v>
      </c>
      <c r="N36" s="299" t="n">
        <f aca="false">IFERROR(INDEX(SUP_C3_EXPANSION!$C$12:$K$12,MATCH(N35,SUP_C3_EXPANSION!$C$9:$K$9,1)),1)</f>
        <v>1</v>
      </c>
      <c r="O36" s="299" t="n">
        <f aca="false">IFERROR(INDEX(SUP_C3_EXPANSION!$C$12:$K$12,MATCH(O35,SUP_C3_EXPANSION!$C$9:$K$9,1)),1)</f>
        <v>1</v>
      </c>
      <c r="P36" s="299" t="n">
        <f aca="false">IFERROR(INDEX(SUP_C3_EXPANSION!$C$12:$K$12,MATCH(P35,SUP_C3_EXPANSION!$C$9:$K$9,1)),1)</f>
        <v>1</v>
      </c>
      <c r="Q36" s="299" t="n">
        <f aca="false">IFERROR(INDEX(SUP_C3_EXPANSION!$C$12:$K$12,MATCH(Q35,SUP_C3_EXPANSION!$C$9:$K$9,1)),1)</f>
        <v>1</v>
      </c>
      <c r="R36" s="299" t="n">
        <f aca="false">IFERROR(INDEX(SUP_C3_EXPANSION!$C$12:$K$12,MATCH(R35,SUP_C3_EXPANSION!$C$9:$K$9,1)),1)</f>
        <v>1</v>
      </c>
      <c r="S36" s="299" t="n">
        <f aca="false">IFERROR(INDEX(SUP_C3_EXPANSION!$C$12:$K$12,MATCH(S35,SUP_C3_EXPANSION!$C$9:$K$9,1)),1)</f>
        <v>1</v>
      </c>
      <c r="T36" s="299" t="n">
        <f aca="false">IFERROR(INDEX(SUP_C3_EXPANSION!$C$12:$K$12,MATCH(T35,SUP_C3_EXPANSION!$C$9:$K$9,1)),1)</f>
        <v>1</v>
      </c>
      <c r="U36" s="299" t="n">
        <f aca="false">IFERROR(INDEX(SUP_C3_EXPANSION!$C$12:$K$12,MATCH(U35,SUP_C3_EXPANSION!$C$9:$K$9,1)),1)</f>
        <v>1</v>
      </c>
      <c r="V36" s="299" t="n">
        <f aca="false">IFERROR(INDEX(SUP_C3_EXPANSION!$C$12:$K$12,MATCH(V35,SUP_C3_EXPANSION!$C$9:$K$9,1)),1)</f>
        <v>1</v>
      </c>
      <c r="W36" s="299" t="n">
        <f aca="false">IFERROR(INDEX(SUP_C3_EXPANSION!$C$12:$K$12,MATCH(W35,SUP_C3_EXPANSION!$C$9:$K$9,1)),1)</f>
        <v>1</v>
      </c>
      <c r="X36" s="299" t="n">
        <f aca="false">IFERROR(INDEX(SUP_C3_EXPANSION!$C$12:$K$12,MATCH(X35,SUP_C3_EXPANSION!$C$9:$K$9,1)),1)</f>
        <v>1</v>
      </c>
      <c r="Y36" s="299" t="n">
        <f aca="false">IFERROR(INDEX(SUP_C3_EXPANSION!$C$12:$K$12,MATCH(Y35,SUP_C3_EXPANSION!$C$9:$K$9,1)),1)</f>
        <v>1</v>
      </c>
      <c r="Z36" s="299" t="n">
        <f aca="false">IFERROR(INDEX(SUP_C3_EXPANSION!$C$12:$K$12,MATCH(Z35,SUP_C3_EXPANSION!$C$9:$K$9,1)),1)</f>
        <v>1</v>
      </c>
      <c r="AA36" s="299" t="n">
        <f aca="false">IFERROR(INDEX(SUP_C3_EXPANSION!$C$12:$K$12,MATCH(AA35,SUP_C3_EXPANSION!$C$9:$K$9,1)),1)</f>
        <v>1</v>
      </c>
      <c r="AB36" s="299" t="n">
        <f aca="false">IFERROR(INDEX(SUP_C3_EXPANSION!$C$12:$K$12,MATCH(AB35,SUP_C3_EXPANSION!$C$9:$K$9,1)),1)</f>
        <v>1</v>
      </c>
      <c r="AC36" s="299" t="n">
        <f aca="false">IFERROR(INDEX(SUP_C3_EXPANSION!$C$12:$K$12,MATCH(AC35,SUP_C3_EXPANSION!$C$9:$K$9,1)),1)</f>
        <v>1</v>
      </c>
      <c r="AD36" s="299" t="n">
        <f aca="false">IFERROR(INDEX(SUP_C3_EXPANSION!$C$12:$K$12,MATCH(AD35,SUP_C3_EXPANSION!$C$9:$K$9,1)),1)</f>
        <v>1</v>
      </c>
      <c r="AE36" s="299" t="n">
        <f aca="false">IFERROR(INDEX(SUP_C3_EXPANSION!$C$12:$K$12,MATCH(AE35,SUP_C3_EXPANSION!$C$9:$K$9,1)),1)</f>
        <v>1</v>
      </c>
      <c r="AF36" s="299" t="n">
        <f aca="false">IFERROR(INDEX(SUP_C3_EXPANSION!$C$12:$K$12,MATCH(AF35,SUP_C3_EXPANSION!$C$9:$K$9,1)),1)</f>
        <v>1</v>
      </c>
      <c r="AG36" s="299" t="n">
        <f aca="false">IFERROR(INDEX(SUP_C3_EXPANSION!$C$12:$K$12,MATCH(AG35,SUP_C3_EXPANSION!$C$9:$K$9,1)),1)</f>
        <v>0.97</v>
      </c>
      <c r="AH36" s="299" t="n">
        <f aca="false">IFERROR(INDEX(SUP_C3_EXPANSION!$C$12:$K$12,MATCH(AH35,SUP_C3_EXPANSION!$C$9:$K$9,1)),1)</f>
        <v>0.97</v>
      </c>
      <c r="AI36" s="299" t="n">
        <f aca="false">IFERROR(INDEX(SUP_C3_EXPANSION!$C$12:$K$12,MATCH(AI35,SUP_C3_EXPANSION!$C$9:$K$9,1)),1)</f>
        <v>0.97</v>
      </c>
      <c r="AJ36" s="299" t="n">
        <f aca="false">IFERROR(INDEX(SUP_C3_EXPANSION!$C$12:$K$12,MATCH(AJ35,SUP_C3_EXPANSION!$C$9:$K$9,1)),1)</f>
        <v>0.97</v>
      </c>
      <c r="AK36" s="299" t="n">
        <f aca="false">IFERROR(INDEX(SUP_C3_EXPANSION!$C$12:$K$12,MATCH(AK35,SUP_C3_EXPANSION!$C$9:$K$9,1)),1)</f>
        <v>0.97</v>
      </c>
      <c r="AL36" s="299" t="n">
        <f aca="false">IFERROR(INDEX(SUP_C3_EXPANSION!$C$12:$K$12,MATCH(AL35,SUP_C3_EXPANSION!$C$9:$K$9,1)),1)</f>
        <v>0.97</v>
      </c>
      <c r="AM36" s="299" t="n">
        <f aca="false">IFERROR(INDEX(SUP_C3_EXPANSION!$C$12:$K$12,MATCH(AM35,SUP_C3_EXPANSION!$C$9:$K$9,1)),1)</f>
        <v>0.97</v>
      </c>
      <c r="AN36" s="299" t="n">
        <f aca="false">IFERROR(INDEX(SUP_C3_EXPANSION!$C$12:$K$12,MATCH(AN35,SUP_C3_EXPANSION!$C$9:$K$9,1)),1)</f>
        <v>0.97</v>
      </c>
      <c r="AO36" s="299" t="n">
        <f aca="false">IFERROR(INDEX(SUP_C3_EXPANSION!$C$12:$K$12,MATCH(AO35,SUP_C3_EXPANSION!$C$9:$K$9,1)),1)</f>
        <v>0.97</v>
      </c>
      <c r="AP36" s="299" t="n">
        <f aca="false">IFERROR(INDEX(SUP_C3_EXPANSION!$C$12:$K$12,MATCH(AP35,SUP_C3_EXPANSION!$C$9:$K$9,1)),1)</f>
        <v>0.945</v>
      </c>
      <c r="AQ36" s="299" t="n">
        <f aca="false">IFERROR(INDEX(SUP_C3_EXPANSION!$C$12:$K$12,MATCH(AQ35,SUP_C3_EXPANSION!$C$9:$K$9,1)),1)</f>
        <v>0.945</v>
      </c>
      <c r="AR36" s="299" t="n">
        <f aca="false">IFERROR(INDEX(SUP_C3_EXPANSION!$C$12:$K$12,MATCH(AR35,SUP_C3_EXPANSION!$C$9:$K$9,1)),1)</f>
        <v>0.945</v>
      </c>
      <c r="AS36" s="299" t="n">
        <f aca="false">IFERROR(INDEX(SUP_C3_EXPANSION!$C$12:$K$12,MATCH(AS35,SUP_C3_EXPANSION!$C$9:$K$9,1)),1)</f>
        <v>0.945</v>
      </c>
      <c r="AT36" s="299" t="n">
        <f aca="false">IFERROR(INDEX(SUP_C3_EXPANSION!$C$12:$K$12,MATCH(AT35,SUP_C3_EXPANSION!$C$9:$K$9,1)),1)</f>
        <v>0.945</v>
      </c>
      <c r="AU36" s="299" t="n">
        <f aca="false">IFERROR(INDEX(SUP_C3_EXPANSION!$C$12:$K$12,MATCH(AU35,SUP_C3_EXPANSION!$C$9:$K$9,1)),1)</f>
        <v>0.945</v>
      </c>
      <c r="AV36" s="299" t="n">
        <f aca="false">IFERROR(INDEX(SUP_C3_EXPANSION!$C$12:$K$12,MATCH(AV35,SUP_C3_EXPANSION!$C$9:$K$9,1)),1)</f>
        <v>0.945</v>
      </c>
      <c r="AW36" s="299" t="n">
        <f aca="false">IFERROR(INDEX(SUP_C3_EXPANSION!$C$12:$K$12,MATCH(AW35,SUP_C3_EXPANSION!$C$9:$K$9,1)),1)</f>
        <v>0.945</v>
      </c>
      <c r="AX36" s="299" t="n">
        <f aca="false">IFERROR(INDEX(SUP_C3_EXPANSION!$C$12:$K$12,MATCH(AX35,SUP_C3_EXPANSION!$C$9:$K$9,1)),1)</f>
        <v>0.945</v>
      </c>
      <c r="AY36" s="299" t="n">
        <f aca="false">IFERROR(INDEX(SUP_C3_EXPANSION!$C$12:$K$12,MATCH(AY35,SUP_C3_EXPANSION!$C$9:$K$9,1)),1)</f>
        <v>0.945</v>
      </c>
      <c r="AZ36" s="299" t="n">
        <f aca="false">IFERROR(INDEX(SUP_C3_EXPANSION!$C$12:$K$12,MATCH(AZ35,SUP_C3_EXPANSION!$C$9:$K$9,1)),1)</f>
        <v>0.945</v>
      </c>
      <c r="BA36" s="299" t="n">
        <f aca="false">IFERROR(INDEX(SUP_C3_EXPANSION!$C$12:$K$12,MATCH(BA35,SUP_C3_EXPANSION!$C$9:$K$9,1)),1)</f>
        <v>0.945</v>
      </c>
      <c r="BB36" s="299" t="n">
        <f aca="false">IFERROR(INDEX(SUP_C3_EXPANSION!$C$12:$K$12,MATCH(BB35,SUP_C3_EXPANSION!$C$9:$K$9,1)),1)</f>
        <v>0.945</v>
      </c>
      <c r="BC36" s="299" t="n">
        <f aca="false">IFERROR(INDEX(SUP_C3_EXPANSION!$C$12:$K$12,MATCH(BC35,SUP_C3_EXPANSION!$C$9:$K$9,1)),1)</f>
        <v>0.945</v>
      </c>
      <c r="BD36" s="299" t="n">
        <f aca="false">IFERROR(INDEX(SUP_C3_EXPANSION!$C$12:$K$12,MATCH(BD35,SUP_C3_EXPANSION!$C$9:$K$9,1)),1)</f>
        <v>0.945</v>
      </c>
      <c r="BE36" s="299" t="n">
        <f aca="false">IFERROR(INDEX(SUP_C3_EXPANSION!$C$12:$K$12,MATCH(BE35,SUP_C3_EXPANSION!$C$9:$K$9,1)),1)</f>
        <v>0.945</v>
      </c>
      <c r="BF36" s="299" t="n">
        <f aca="false">IFERROR(INDEX(SUP_C3_EXPANSION!$C$12:$K$12,MATCH(BF35,SUP_C3_EXPANSION!$C$9:$K$9,1)),1)</f>
        <v>0.92</v>
      </c>
      <c r="BG36" s="299" t="n">
        <f aca="false">IFERROR(INDEX(SUP_C3_EXPANSION!$C$12:$K$12,MATCH(BG35,SUP_C3_EXPANSION!$C$9:$K$9,1)),1)</f>
        <v>0.92</v>
      </c>
      <c r="BH36" s="299" t="n">
        <f aca="false">IFERROR(INDEX(SUP_C3_EXPANSION!$C$12:$K$12,MATCH(BH35,SUP_C3_EXPANSION!$C$9:$K$9,1)),1)</f>
        <v>0.92</v>
      </c>
      <c r="BI36" s="299" t="n">
        <f aca="false">IFERROR(INDEX(SUP_C3_EXPANSION!$C$12:$K$12,MATCH(BI35,SUP_C3_EXPANSION!$C$9:$K$9,1)),1)</f>
        <v>0.92</v>
      </c>
      <c r="BJ36" s="299" t="n">
        <f aca="false">IFERROR(INDEX(SUP_C3_EXPANSION!$C$12:$K$12,MATCH(BJ35,SUP_C3_EXPANSION!$C$9:$K$9,1)),1)</f>
        <v>0.92</v>
      </c>
      <c r="BK36" s="299" t="n">
        <f aca="false">IFERROR(INDEX(SUP_C3_EXPANSION!$C$12:$K$12,MATCH(BK35,SUP_C3_EXPANSION!$C$9:$K$9,1)),1)</f>
        <v>0.9</v>
      </c>
      <c r="BL36" s="299" t="n">
        <f aca="false">IFERROR(INDEX(SUP_C3_EXPANSION!$C$12:$K$12,MATCH(BL35,SUP_C3_EXPANSION!$C$9:$K$9,1)),1)</f>
        <v>0.9</v>
      </c>
      <c r="BM36" s="299" t="n">
        <f aca="false">IFERROR(INDEX(SUP_C3_EXPANSION!$C$12:$K$12,MATCH(BM35,SUP_C3_EXPANSION!$C$9:$K$9,1)),1)</f>
        <v>0.9</v>
      </c>
      <c r="BN36" s="299" t="n">
        <f aca="false">IFERROR(INDEX(SUP_C3_EXPANSION!$C$12:$K$12,MATCH(BN35,SUP_C3_EXPANSION!$C$9:$K$9,1)),1)</f>
        <v>0.9</v>
      </c>
      <c r="BO36" s="299" t="n">
        <f aca="false">IFERROR(INDEX(SUP_C3_EXPANSION!$C$12:$K$12,MATCH(BO35,SUP_C3_EXPANSION!$C$9:$K$9,1)),1)</f>
        <v>0.9</v>
      </c>
      <c r="BP36" s="299" t="n">
        <f aca="false">IFERROR(INDEX(SUP_C3_EXPANSION!$C$12:$K$12,MATCH(BP35,SUP_C3_EXPANSION!$C$9:$K$9,1)),1)</f>
        <v>0.9</v>
      </c>
      <c r="BQ36" s="299" t="n">
        <f aca="false">IFERROR(INDEX(SUP_C3_EXPANSION!$C$12:$K$12,MATCH(BQ35,SUP_C3_EXPANSION!$C$9:$K$9,1)),1)</f>
        <v>0.88</v>
      </c>
      <c r="BR36" s="299" t="n">
        <f aca="false">IFERROR(INDEX(SUP_C3_EXPANSION!$C$12:$K$12,MATCH(BR35,SUP_C3_EXPANSION!$C$9:$K$9,1)),1)</f>
        <v>0.88</v>
      </c>
      <c r="BS36" s="299" t="n">
        <f aca="false">IFERROR(INDEX(SUP_C3_EXPANSION!$C$12:$K$12,MATCH(BS35,SUP_C3_EXPANSION!$C$9:$K$9,1)),1)</f>
        <v>0.88</v>
      </c>
      <c r="BT36" s="299" t="n">
        <f aca="false">IFERROR(INDEX(SUP_C3_EXPANSION!$C$12:$K$12,MATCH(BT35,SUP_C3_EXPANSION!$C$9:$K$9,1)),1)</f>
        <v>0.88</v>
      </c>
      <c r="BU36" s="299" t="n">
        <f aca="false">IFERROR(INDEX(SUP_C3_EXPANSION!$C$12:$K$12,MATCH(BU35,SUP_C3_EXPANSION!$C$9:$K$9,1)),1)</f>
        <v>0.88</v>
      </c>
      <c r="BV36" s="299" t="n">
        <f aca="false">IFERROR(INDEX(SUP_C3_EXPANSION!$C$12:$K$12,MATCH(BV35,SUP_C3_EXPANSION!$C$9:$K$9,1)),1)</f>
        <v>0.88</v>
      </c>
      <c r="BW36" s="299" t="n">
        <f aca="false">IFERROR(INDEX(SUP_C3_EXPANSION!$C$12:$K$12,MATCH(BW35,SUP_C3_EXPANSION!$C$9:$K$9,1)),1)</f>
        <v>0.865</v>
      </c>
      <c r="BX36" s="299" t="n">
        <f aca="false">IFERROR(INDEX(SUP_C3_EXPANSION!$C$12:$K$12,MATCH(BX35,SUP_C3_EXPANSION!$C$9:$K$9,1)),1)</f>
        <v>0.865</v>
      </c>
      <c r="BY36" s="299" t="n">
        <f aca="false">IFERROR(INDEX(SUP_C3_EXPANSION!$C$12:$K$12,MATCH(BY35,SUP_C3_EXPANSION!$C$9:$K$9,1)),1)</f>
        <v>0.865</v>
      </c>
      <c r="BZ36" s="299" t="n">
        <f aca="false">IFERROR(INDEX(SUP_C3_EXPANSION!$C$12:$K$12,MATCH(BZ35,SUP_C3_EXPANSION!$C$9:$K$9,1)),1)</f>
        <v>0.865</v>
      </c>
      <c r="CA36" s="299" t="n">
        <f aca="false">IFERROR(INDEX(SUP_C3_EXPANSION!$C$12:$K$12,MATCH(CA35,SUP_C3_EXPANSION!$C$9:$K$9,1)),1)</f>
        <v>0.865</v>
      </c>
      <c r="CB36" s="299" t="n">
        <f aca="false">IFERROR(INDEX(SUP_C3_EXPANSION!$C$12:$K$12,MATCH(CB35,SUP_C3_EXPANSION!$C$9:$K$9,1)),1)</f>
        <v>0.85</v>
      </c>
      <c r="CC36" s="299" t="n">
        <f aca="false">IFERROR(INDEX(SUP_C3_EXPANSION!$C$12:$K$12,MATCH(CC35,SUP_C3_EXPANSION!$C$9:$K$9,1)),1)</f>
        <v>0.85</v>
      </c>
      <c r="CD36" s="299" t="n">
        <f aca="false">IFERROR(INDEX(SUP_C3_EXPANSION!$C$12:$K$12,MATCH(CD35,SUP_C3_EXPANSION!$C$9:$K$9,1)),1)</f>
        <v>0.85</v>
      </c>
      <c r="CE36" s="299" t="n">
        <f aca="false">IFERROR(INDEX(SUP_C3_EXPANSION!$C$12:$K$12,MATCH(CE35,SUP_C3_EXPANSION!$C$9:$K$9,1)),1)</f>
        <v>0.85</v>
      </c>
      <c r="CF36" s="299" t="n">
        <f aca="false">IFERROR(INDEX(SUP_C3_EXPANSION!$C$12:$K$12,MATCH(CF35,SUP_C3_EXPANSION!$C$9:$K$9,1)),1)</f>
        <v>0.85</v>
      </c>
      <c r="CG36" s="299" t="n">
        <f aca="false">IFERROR(INDEX(SUP_C3_EXPANSION!$C$12:$K$12,MATCH(CG35,SUP_C3_EXPANSION!$C$9:$K$9,1)),1)</f>
        <v>0.84</v>
      </c>
      <c r="CH36" s="299" t="n">
        <f aca="false">IFERROR(INDEX(SUP_C3_EXPANSION!$C$12:$K$12,MATCH(CH35,SUP_C3_EXPANSION!$C$9:$K$9,1)),1)</f>
        <v>0.84</v>
      </c>
      <c r="CI36" s="299" t="n">
        <f aca="false">IFERROR(INDEX(SUP_C3_EXPANSION!$C$12:$K$12,MATCH(CI35,SUP_C3_EXPANSION!$C$9:$K$9,1)),1)</f>
        <v>0.84</v>
      </c>
      <c r="CJ36" s="299" t="n">
        <f aca="false">IFERROR(INDEX(SUP_C3_EXPANSION!$C$12:$K$12,MATCH(CJ35,SUP_C3_EXPANSION!$C$9:$K$9,1)),1)</f>
        <v>0.84</v>
      </c>
      <c r="CK36" s="299" t="n">
        <f aca="false">IFERROR(INDEX(SUP_C3_EXPANSION!$C$12:$K$12,MATCH(CK35,SUP_C3_EXPANSION!$C$9:$K$9,1)),1)</f>
        <v>0.84</v>
      </c>
      <c r="CL36" s="299" t="n">
        <f aca="false">IFERROR(INDEX(SUP_C3_EXPANSION!$C$12:$K$12,MATCH(CL35,SUP_C3_EXPANSION!$C$9:$K$9,1)),1)</f>
        <v>0.84</v>
      </c>
      <c r="CM36" s="299" t="n">
        <f aca="false">IFERROR(INDEX(SUP_C3_EXPANSION!$C$12:$K$12,MATCH(CM35,SUP_C3_EXPANSION!$C$9:$K$9,1)),1)</f>
        <v>0.84</v>
      </c>
      <c r="CN36" s="299" t="n">
        <f aca="false">IFERROR(INDEX(SUP_C3_EXPANSION!$C$12:$K$12,MATCH(CN35,SUP_C3_EXPANSION!$C$9:$K$9,1)),1)</f>
        <v>0.84</v>
      </c>
      <c r="CO36" s="299" t="n">
        <f aca="false">IFERROR(INDEX(SUP_C3_EXPANSION!$C$12:$K$12,MATCH(CO35,SUP_C3_EXPANSION!$C$9:$K$9,1)),1)</f>
        <v>0.84</v>
      </c>
      <c r="CP36" s="299" t="n">
        <f aca="false">IFERROR(INDEX(SUP_C3_EXPANSION!$C$12:$K$12,MATCH(CP35,SUP_C3_EXPANSION!$C$9:$K$9,1)),1)</f>
        <v>0.84</v>
      </c>
      <c r="CQ36" s="299" t="n">
        <f aca="false">IFERROR(INDEX(SUP_C3_EXPANSION!$C$12:$K$12,MATCH(CQ35,SUP_C3_EXPANSION!$C$9:$K$9,1)),1)</f>
        <v>0.84</v>
      </c>
      <c r="CR36" s="299" t="n">
        <f aca="false">IFERROR(INDEX(SUP_C3_EXPANSION!$C$12:$K$12,MATCH(CR35,SUP_C3_EXPANSION!$C$9:$K$9,1)),1)</f>
        <v>0.84</v>
      </c>
      <c r="CS36" s="299" t="n">
        <f aca="false">IFERROR(INDEX(SUP_C3_EXPANSION!$C$12:$K$12,MATCH(CS35,SUP_C3_EXPANSION!$C$9:$K$9,1)),1)</f>
        <v>0.84</v>
      </c>
      <c r="CT36" s="299" t="n">
        <f aca="false">IFERROR(INDEX(SUP_C3_EXPANSION!$C$12:$K$12,MATCH(CT35,SUP_C3_EXPANSION!$C$9:$K$9,1)),1)</f>
        <v>0.84</v>
      </c>
      <c r="CU36" s="299" t="n">
        <f aca="false">IFERROR(INDEX(SUP_C3_EXPANSION!$C$12:$K$12,MATCH(CU35,SUP_C3_EXPANSION!$C$9:$K$9,1)),1)</f>
        <v>0.84</v>
      </c>
      <c r="CV36" s="299" t="n">
        <f aca="false">IFERROR(INDEX(SUP_C3_EXPANSION!$C$12:$K$12,MATCH(CV35,SUP_C3_EXPANSION!$C$9:$K$9,1)),1)</f>
        <v>0.84</v>
      </c>
      <c r="CW36" s="299" t="n">
        <f aca="false">IFERROR(INDEX(SUP_C3_EXPANSION!$C$12:$K$12,MATCH(CW35,SUP_C3_EXPANSION!$C$9:$K$9,1)),1)</f>
        <v>0.84</v>
      </c>
      <c r="CX36" s="299" t="n">
        <f aca="false">IFERROR(INDEX(SUP_C3_EXPANSION!$C$12:$K$12,MATCH(CX35,SUP_C3_EXPANSION!$C$9:$K$9,1)),1)</f>
        <v>0.84</v>
      </c>
      <c r="CY36" s="299" t="n">
        <f aca="false">IFERROR(INDEX(SUP_C3_EXPANSION!$C$12:$K$12,MATCH(CY35,SUP_C3_EXPANSION!$C$9:$K$9,1)),1)</f>
        <v>0.84</v>
      </c>
      <c r="CZ36" s="299" t="n">
        <f aca="false">IFERROR(INDEX(SUP_C3_EXPANSION!$C$12:$K$12,MATCH(CZ35,SUP_C3_EXPANSION!$C$9:$K$9,1)),1)</f>
        <v>0.84</v>
      </c>
      <c r="DA36" s="299" t="n">
        <f aca="false">IFERROR(INDEX(SUP_C3_EXPANSION!$C$12:$K$12,MATCH(DA35,SUP_C3_EXPANSION!$C$9:$K$9,1)),1)</f>
        <v>0.84</v>
      </c>
      <c r="DB36" s="299" t="n">
        <f aca="false">IFERROR(INDEX(SUP_C3_EXPANSION!$C$12:$K$12,MATCH(DB35,SUP_C3_EXPANSION!$C$9:$K$9,1)),1)</f>
        <v>0.84</v>
      </c>
      <c r="DC36" s="299" t="n">
        <f aca="false">IFERROR(INDEX(SUP_C3_EXPANSION!$C$12:$K$12,MATCH(DC35,SUP_C3_EXPANSION!$C$9:$K$9,1)),1)</f>
        <v>0.84</v>
      </c>
      <c r="DD36" s="299" t="n">
        <f aca="false">IFERROR(INDEX(SUP_C3_EXPANSION!$C$12:$K$12,MATCH(DD35,SUP_C3_EXPANSION!$C$9:$K$9,1)),1)</f>
        <v>0.84</v>
      </c>
      <c r="DE36" s="299" t="n">
        <f aca="false">IFERROR(INDEX(SUP_C3_EXPANSION!$C$12:$K$12,MATCH(DE35,SUP_C3_EXPANSION!$C$9:$K$9,1)),1)</f>
        <v>0.84</v>
      </c>
      <c r="DF36" s="299" t="n">
        <f aca="false">IFERROR(INDEX(SUP_C3_EXPANSION!$C$12:$K$12,MATCH(DF35,SUP_C3_EXPANSION!$C$9:$K$9,1)),1)</f>
        <v>0.84</v>
      </c>
      <c r="DG36" s="299" t="n">
        <f aca="false">IFERROR(INDEX(SUP_C3_EXPANSION!$C$12:$K$12,MATCH(DG35,SUP_C3_EXPANSION!$C$9:$K$9,1)),1)</f>
        <v>0.84</v>
      </c>
      <c r="DH36" s="299" t="n">
        <f aca="false">IFERROR(INDEX(SUP_C3_EXPANSION!$C$12:$K$12,MATCH(DH35,SUP_C3_EXPANSION!$C$9:$K$9,1)),1)</f>
        <v>0.84</v>
      </c>
      <c r="DI36" s="299" t="n">
        <f aca="false">IFERROR(INDEX(SUP_C3_EXPANSION!$C$12:$K$12,MATCH(DI35,SUP_C3_EXPANSION!$C$9:$K$9,1)),1)</f>
        <v>0.84</v>
      </c>
      <c r="DJ36" s="299" t="n">
        <f aca="false">IFERROR(INDEX(SUP_C3_EXPANSION!$C$12:$K$12,MATCH(DJ35,SUP_C3_EXPANSION!$C$9:$K$9,1)),1)</f>
        <v>0.84</v>
      </c>
      <c r="DK36" s="299" t="n">
        <f aca="false">IFERROR(INDEX(SUP_C3_EXPANSION!$C$12:$K$12,MATCH(DK35,SUP_C3_EXPANSION!$C$9:$K$9,1)),1)</f>
        <v>0.84</v>
      </c>
      <c r="DL36" s="299" t="n">
        <f aca="false">IFERROR(INDEX(SUP_C3_EXPANSION!$C$12:$K$12,MATCH(DL35,SUP_C3_EXPANSION!$C$9:$K$9,1)),1)</f>
        <v>0.84</v>
      </c>
      <c r="DM36" s="299" t="n">
        <f aca="false">IFERROR(INDEX(SUP_C3_EXPANSION!$C$12:$K$12,MATCH(DM35,SUP_C3_EXPANSION!$C$9:$K$9,1)),1)</f>
        <v>0.84</v>
      </c>
      <c r="DN36" s="299" t="n">
        <f aca="false">IFERROR(INDEX(SUP_C3_EXPANSION!$C$12:$K$12,MATCH(DN35,SUP_C3_EXPANSION!$C$9:$K$9,1)),1)</f>
        <v>0.84</v>
      </c>
      <c r="DO36" s="299" t="n">
        <f aca="false">IFERROR(INDEX(SUP_C3_EXPANSION!$C$12:$K$12,MATCH(DO35,SUP_C3_EXPANSION!$C$9:$K$9,1)),1)</f>
        <v>0.84</v>
      </c>
      <c r="DP36" s="299" t="n">
        <f aca="false">IFERROR(INDEX(SUP_C3_EXPANSION!$C$12:$K$12,MATCH(DP35,SUP_C3_EXPANSION!$C$9:$K$9,1)),1)</f>
        <v>0.84</v>
      </c>
      <c r="DQ36" s="299" t="n">
        <f aca="false">IFERROR(INDEX(SUP_C3_EXPANSION!$C$12:$K$12,MATCH(DQ35,SUP_C3_EXPANSION!$C$9:$K$9,1)),1)</f>
        <v>0.84</v>
      </c>
      <c r="DR36" s="299" t="n">
        <f aca="false">IFERROR(INDEX(SUP_C3_EXPANSION!$C$12:$K$12,MATCH(DR35,SUP_C3_EXPANSION!$C$9:$K$9,1)),1)</f>
        <v>0.84</v>
      </c>
      <c r="DS36" s="299" t="n">
        <f aca="false">IFERROR(INDEX(SUP_C3_EXPANSION!$C$12:$K$12,MATCH(DS35,SUP_C3_EXPANSION!$C$9:$K$9,1)),1)</f>
        <v>0.84</v>
      </c>
    </row>
    <row r="38" customFormat="false" ht="15" hidden="false" customHeight="true" outlineLevel="0" collapsed="false">
      <c r="B38" s="297" t="s">
        <v>3540</v>
      </c>
      <c r="D38" s="298" t="n">
        <f aca="false">SUM(CAPA3_PDV_DETALLE!D8:D47)</f>
        <v>0</v>
      </c>
      <c r="E38" s="298" t="n">
        <f aca="false">SUM(CAPA3_PDV_DETALLE!E8:E47)</f>
        <v>0</v>
      </c>
      <c r="F38" s="298" t="n">
        <f aca="false">SUM(CAPA3_PDV_DETALLE!F8:F47)</f>
        <v>0</v>
      </c>
      <c r="G38" s="298" t="n">
        <f aca="false">SUM(CAPA3_PDV_DETALLE!G8:G47)</f>
        <v>0</v>
      </c>
      <c r="H38" s="298" t="n">
        <f aca="false">SUM(CAPA3_PDV_DETALLE!H8:H47)</f>
        <v>0</v>
      </c>
      <c r="I38" s="298" t="n">
        <f aca="false">SUM(CAPA3_PDV_DETALLE!I8:I47)</f>
        <v>0</v>
      </c>
      <c r="J38" s="298" t="n">
        <f aca="false">SUM(CAPA3_PDV_DETALLE!J8:J47)</f>
        <v>0</v>
      </c>
      <c r="K38" s="298" t="n">
        <f aca="false">SUM(CAPA3_PDV_DETALLE!K8:K47)</f>
        <v>0</v>
      </c>
      <c r="L38" s="298" t="n">
        <f aca="false">SUM(CAPA3_PDV_DETALLE!L8:L47)</f>
        <v>0</v>
      </c>
      <c r="M38" s="298" t="n">
        <f aca="false">SUM(CAPA3_PDV_DETALLE!M8:M47)</f>
        <v>0</v>
      </c>
      <c r="N38" s="298" t="n">
        <f aca="false">SUM(CAPA3_PDV_DETALLE!N8:N47)</f>
        <v>0</v>
      </c>
      <c r="O38" s="298" t="n">
        <f aca="false">SUM(CAPA3_PDV_DETALLE!O8:O47)</f>
        <v>0</v>
      </c>
      <c r="P38" s="298" t="n">
        <f aca="false">SUM(CAPA3_PDV_DETALLE!P8:P47)</f>
        <v>0</v>
      </c>
      <c r="Q38" s="298" t="n">
        <f aca="false">SUM(CAPA3_PDV_DETALLE!Q8:Q47)</f>
        <v>0</v>
      </c>
      <c r="R38" s="298" t="n">
        <f aca="false">SUM(CAPA3_PDV_DETALLE!R8:R47)</f>
        <v>0</v>
      </c>
      <c r="S38" s="298" t="n">
        <f aca="false">SUM(CAPA3_PDV_DETALLE!S8:S47)</f>
        <v>0</v>
      </c>
      <c r="T38" s="298" t="n">
        <f aca="false">SUM(CAPA3_PDV_DETALLE!T8:T47)</f>
        <v>0</v>
      </c>
      <c r="U38" s="298" t="n">
        <f aca="false">SUM(CAPA3_PDV_DETALLE!U8:U47)</f>
        <v>0</v>
      </c>
      <c r="V38" s="298" t="n">
        <f aca="false">SUM(CAPA3_PDV_DETALLE!V8:V47)</f>
        <v>2730</v>
      </c>
      <c r="W38" s="298" t="n">
        <f aca="false">SUM(CAPA3_PDV_DETALLE!W8:W47)</f>
        <v>6090</v>
      </c>
      <c r="X38" s="298" t="n">
        <f aca="false">SUM(CAPA3_PDV_DETALLE!X8:X47)</f>
        <v>7140</v>
      </c>
      <c r="Y38" s="298" t="n">
        <f aca="false">SUM(CAPA3_PDV_DETALLE!Y8:Y47)</f>
        <v>10710</v>
      </c>
      <c r="Z38" s="298" t="n">
        <f aca="false">SUM(CAPA3_PDV_DETALLE!Z8:Z47)</f>
        <v>11760</v>
      </c>
      <c r="AA38" s="298" t="n">
        <f aca="false">SUM(CAPA3_PDV_DETALLE!AA8:AA47)</f>
        <v>12180</v>
      </c>
      <c r="AB38" s="298" t="n">
        <f aca="false">SUM(CAPA3_PDV_DETALLE!AB8:AB47)</f>
        <v>12600</v>
      </c>
      <c r="AC38" s="298" t="n">
        <f aca="false">SUM(CAPA3_PDV_DETALLE!AC8:AC47)</f>
        <v>12600</v>
      </c>
      <c r="AD38" s="298" t="n">
        <f aca="false">SUM(CAPA3_PDV_DETALLE!AD8:AD47)</f>
        <v>12600</v>
      </c>
      <c r="AE38" s="298" t="n">
        <f aca="false">SUM(CAPA3_PDV_DETALLE!AE8:AE47)</f>
        <v>12600</v>
      </c>
      <c r="AF38" s="298" t="n">
        <f aca="false">SUM(CAPA3_PDV_DETALLE!AF8:AF47)</f>
        <v>12600</v>
      </c>
      <c r="AG38" s="298" t="n">
        <f aca="false">SUM(CAPA3_PDV_DETALLE!AG8:AG47)</f>
        <v>12222</v>
      </c>
      <c r="AH38" s="298" t="n">
        <f aca="false">SUM(CAPA3_PDV_DETALLE!AH8:AH47)</f>
        <v>12222</v>
      </c>
      <c r="AI38" s="298" t="n">
        <f aca="false">SUM(CAPA3_PDV_DETALLE!AI8:AI47)</f>
        <v>15664.53</v>
      </c>
      <c r="AJ38" s="298" t="n">
        <f aca="false">SUM(CAPA3_PDV_DETALLE!AJ8:AJ47)</f>
        <v>19107.06</v>
      </c>
      <c r="AK38" s="298" t="n">
        <f aca="false">SUM(CAPA3_PDV_DETALLE!AK8:AK47)</f>
        <v>20247.78</v>
      </c>
      <c r="AL38" s="298" t="n">
        <f aca="false">SUM(CAPA3_PDV_DETALLE!AL8:AL47)</f>
        <v>23832.9</v>
      </c>
      <c r="AM38" s="298" t="n">
        <f aca="false">SUM(CAPA3_PDV_DETALLE!AM8:AM47)</f>
        <v>24851.4</v>
      </c>
      <c r="AN38" s="298" t="n">
        <f aca="false">SUM(CAPA3_PDV_DETALLE!AN8:AN47)</f>
        <v>27906.9</v>
      </c>
      <c r="AO38" s="298" t="n">
        <f aca="false">SUM(CAPA3_PDV_DETALLE!AO8:AO47)</f>
        <v>28925.4</v>
      </c>
      <c r="AP38" s="298" t="n">
        <f aca="false">SUM(CAPA3_PDV_DETALLE!AP8:AP47)</f>
        <v>28576.8</v>
      </c>
      <c r="AQ38" s="298" t="n">
        <f aca="false">SUM(CAPA3_PDV_DETALLE!AQ8:AQ47)</f>
        <v>32327.505</v>
      </c>
      <c r="AR38" s="298" t="n">
        <f aca="false">SUM(CAPA3_PDV_DETALLE!AR8:AR47)</f>
        <v>35681.31</v>
      </c>
      <c r="AS38" s="298" t="n">
        <f aca="false">SUM(CAPA3_PDV_DETALLE!AS8:AS47)</f>
        <v>39372.48</v>
      </c>
      <c r="AT38" s="298" t="n">
        <f aca="false">SUM(CAPA3_PDV_DETALLE!AT8:AT47)</f>
        <v>43460.55</v>
      </c>
      <c r="AU38" s="298" t="n">
        <f aca="false">SUM(CAPA3_PDV_DETALLE!AU8:AU47)</f>
        <v>44849.7</v>
      </c>
      <c r="AV38" s="298" t="n">
        <f aca="false">SUM(CAPA3_PDV_DETALLE!AV8:AV47)</f>
        <v>45643.5</v>
      </c>
      <c r="AW38" s="298" t="n">
        <f aca="false">SUM(CAPA3_PDV_DETALLE!AW8:AW47)</f>
        <v>49394.205</v>
      </c>
      <c r="AX38" s="298" t="n">
        <f aca="false">SUM(CAPA3_PDV_DETALLE!AX8:AX47)</f>
        <v>50168.16</v>
      </c>
      <c r="AY38" s="298" t="n">
        <f aca="false">SUM(CAPA3_PDV_DETALLE!AY8:AY47)</f>
        <v>53263.98</v>
      </c>
      <c r="AZ38" s="298" t="n">
        <f aca="false">SUM(CAPA3_PDV_DETALLE!AZ8:AZ47)</f>
        <v>56955.15</v>
      </c>
      <c r="BA38" s="298" t="n">
        <f aca="false">SUM(CAPA3_PDV_DETALLE!BA8:BA47)</f>
        <v>57947.4</v>
      </c>
      <c r="BB38" s="298" t="n">
        <f aca="false">SUM(CAPA3_PDV_DETALLE!BB8:BB47)</f>
        <v>58741.2</v>
      </c>
      <c r="BC38" s="298" t="n">
        <f aca="false">SUM(CAPA3_PDV_DETALLE!BC8:BC47)</f>
        <v>59138.1</v>
      </c>
      <c r="BD38" s="298" t="n">
        <f aca="false">SUM(CAPA3_PDV_DETALLE!BD8:BD47)</f>
        <v>59138.1</v>
      </c>
      <c r="BE38" s="298" t="n">
        <f aca="false">SUM(CAPA3_PDV_DETALLE!BE8:BE47)</f>
        <v>59138.1</v>
      </c>
      <c r="BF38" s="298" t="n">
        <f aca="false">SUM(CAPA3_PDV_DETALLE!BF8:BF47)</f>
        <v>57573.6</v>
      </c>
      <c r="BG38" s="298" t="n">
        <f aca="false">SUM(CAPA3_PDV_DETALLE!BG8:BG47)</f>
        <v>57573.6</v>
      </c>
      <c r="BH38" s="298" t="n">
        <f aca="false">SUM(CAPA3_PDV_DETALLE!BH8:BH47)</f>
        <v>57573.6</v>
      </c>
      <c r="BI38" s="298" t="n">
        <f aca="false">SUM(CAPA3_PDV_DETALLE!BI8:BI47)</f>
        <v>62596.8</v>
      </c>
      <c r="BJ38" s="298" t="n">
        <f aca="false">SUM(CAPA3_PDV_DETALLE!BJ8:BJ47)</f>
        <v>66267.6</v>
      </c>
      <c r="BK38" s="298" t="n">
        <f aca="false">SUM(CAPA3_PDV_DETALLE!BK8:BK47)</f>
        <v>69344.1</v>
      </c>
      <c r="BL38" s="298" t="n">
        <f aca="false">SUM(CAPA3_PDV_DETALLE!BL8:BL47)</f>
        <v>73672.2</v>
      </c>
      <c r="BM38" s="298" t="n">
        <f aca="false">SUM(CAPA3_PDV_DETALLE!BM8:BM47)</f>
        <v>77565.6</v>
      </c>
      <c r="BN38" s="298" t="n">
        <f aca="false">SUM(CAPA3_PDV_DETALLE!BN8:BN47)</f>
        <v>81459</v>
      </c>
      <c r="BO38" s="298" t="n">
        <f aca="false">SUM(CAPA3_PDV_DETALLE!BO8:BO47)</f>
        <v>82782</v>
      </c>
      <c r="BP38" s="298" t="n">
        <f aca="false">SUM(CAPA3_PDV_DETALLE!BP8:BP47)</f>
        <v>86732.1</v>
      </c>
      <c r="BQ38" s="298" t="n">
        <f aca="false">SUM(CAPA3_PDV_DETALLE!BQ8:BQ47)</f>
        <v>88297.44</v>
      </c>
      <c r="BR38" s="298" t="n">
        <f aca="false">SUM(CAPA3_PDV_DETALLE!BR8:BR47)</f>
        <v>91734.72</v>
      </c>
      <c r="BS38" s="298" t="n">
        <f aca="false">SUM(CAPA3_PDV_DETALLE!BS8:BS47)</f>
        <v>95541.6</v>
      </c>
      <c r="BT38" s="298" t="n">
        <f aca="false">SUM(CAPA3_PDV_DETALLE!BT8:BT47)</f>
        <v>99958.32</v>
      </c>
      <c r="BU38" s="298" t="n">
        <f aca="false">SUM(CAPA3_PDV_DETALLE!BU8:BU47)</f>
        <v>103820.64</v>
      </c>
      <c r="BV38" s="298" t="n">
        <f aca="false">SUM(CAPA3_PDV_DETALLE!BV8:BV47)</f>
        <v>107627.52</v>
      </c>
      <c r="BW38" s="298" t="n">
        <f aca="false">SUM(CAPA3_PDV_DETALLE!BW8:BW47)</f>
        <v>109534.95</v>
      </c>
      <c r="BX38" s="298" t="n">
        <f aca="false">SUM(CAPA3_PDV_DETALLE!BX8:BX47)</f>
        <v>113876.385</v>
      </c>
      <c r="BY38" s="298" t="n">
        <f aca="false">SUM(CAPA3_PDV_DETALLE!BY8:BY47)</f>
        <v>115311.42</v>
      </c>
      <c r="BZ38" s="298" t="n">
        <f aca="false">SUM(CAPA3_PDV_DETALLE!BZ8:BZ47)</f>
        <v>120869.91</v>
      </c>
      <c r="CA38" s="298" t="n">
        <f aca="false">SUM(CAPA3_PDV_DETALLE!CA8:CA47)</f>
        <v>124793.55</v>
      </c>
      <c r="CB38" s="298" t="n">
        <f aca="false">SUM(CAPA3_PDV_DETALLE!CB8:CB47)</f>
        <v>126199.5</v>
      </c>
      <c r="CC38" s="298" t="n">
        <f aca="false">SUM(CAPA3_PDV_DETALLE!CC8:CC47)</f>
        <v>130126.5</v>
      </c>
      <c r="CD38" s="298" t="n">
        <f aca="false">SUM(CAPA3_PDV_DETALLE!CD8:CD47)</f>
        <v>134392.65</v>
      </c>
      <c r="CE38" s="298" t="n">
        <f aca="false">SUM(CAPA3_PDV_DETALLE!CE8:CE47)</f>
        <v>138123.3</v>
      </c>
      <c r="CF38" s="298" t="n">
        <f aca="false">SUM(CAPA3_PDV_DETALLE!CF8:CF47)</f>
        <v>141800.4</v>
      </c>
      <c r="CG38" s="298" t="n">
        <f aca="false">SUM(CAPA3_PDV_DETALLE!CG8:CG47)</f>
        <v>146059.2</v>
      </c>
      <c r="CH38" s="298" t="n">
        <f aca="false">SUM(CAPA3_PDV_DETALLE!CH8:CH47)</f>
        <v>150804.36</v>
      </c>
      <c r="CI38" s="298" t="n">
        <f aca="false">SUM(CAPA3_PDV_DETALLE!CI8:CI47)</f>
        <v>154843.92</v>
      </c>
      <c r="CJ38" s="298" t="n">
        <f aca="false">SUM(CAPA3_PDV_DETALLE!CJ8:CJ47)</f>
        <v>156537.36</v>
      </c>
      <c r="CK38" s="298" t="n">
        <f aca="false">SUM(CAPA3_PDV_DETALLE!CK8:CK47)</f>
        <v>157348.8</v>
      </c>
      <c r="CL38" s="298" t="n">
        <f aca="false">SUM(CAPA3_PDV_DETALLE!CL8:CL47)</f>
        <v>157701.6</v>
      </c>
      <c r="CM38" s="298" t="n">
        <f aca="false">SUM(CAPA3_PDV_DETALLE!CM8:CM47)</f>
        <v>157701.6</v>
      </c>
      <c r="CN38" s="298" t="n">
        <f aca="false">SUM(CAPA3_PDV_DETALLE!CN8:CN47)</f>
        <v>157701.6</v>
      </c>
      <c r="CO38" s="298" t="n">
        <f aca="false">SUM(CAPA3_PDV_DETALLE!CO8:CO47)</f>
        <v>157701.6</v>
      </c>
      <c r="CP38" s="298" t="n">
        <f aca="false">SUM(CAPA3_PDV_DETALLE!CP8:CP47)</f>
        <v>157701.6</v>
      </c>
      <c r="CQ38" s="298" t="n">
        <f aca="false">SUM(CAPA3_PDV_DETALLE!CQ8:CQ47)</f>
        <v>157701.6</v>
      </c>
      <c r="CR38" s="298" t="n">
        <f aca="false">SUM(CAPA3_PDV_DETALLE!CR8:CR47)</f>
        <v>157701.6</v>
      </c>
      <c r="CS38" s="298" t="n">
        <f aca="false">SUM(CAPA3_PDV_DETALLE!CS8:CS47)</f>
        <v>157701.6</v>
      </c>
      <c r="CT38" s="298" t="n">
        <f aca="false">SUM(CAPA3_PDV_DETALLE!CT8:CT47)</f>
        <v>157701.6</v>
      </c>
      <c r="CU38" s="298" t="n">
        <f aca="false">SUM(CAPA3_PDV_DETALLE!CU8:CU47)</f>
        <v>157701.6</v>
      </c>
      <c r="CV38" s="298" t="n">
        <f aca="false">SUM(CAPA3_PDV_DETALLE!CV8:CV47)</f>
        <v>157701.6</v>
      </c>
      <c r="CW38" s="298" t="n">
        <f aca="false">SUM(CAPA3_PDV_DETALLE!CW8:CW47)</f>
        <v>157701.6</v>
      </c>
      <c r="CX38" s="298" t="n">
        <f aca="false">SUM(CAPA3_PDV_DETALLE!CX8:CX47)</f>
        <v>157701.6</v>
      </c>
      <c r="CY38" s="298" t="n">
        <f aca="false">SUM(CAPA3_PDV_DETALLE!CY8:CY47)</f>
        <v>157701.6</v>
      </c>
      <c r="CZ38" s="298" t="n">
        <f aca="false">SUM(CAPA3_PDV_DETALLE!CZ8:CZ47)</f>
        <v>157701.6</v>
      </c>
      <c r="DA38" s="298" t="n">
        <f aca="false">SUM(CAPA3_PDV_DETALLE!DA8:DA47)</f>
        <v>157701.6</v>
      </c>
      <c r="DB38" s="298" t="n">
        <f aca="false">SUM(CAPA3_PDV_DETALLE!DB8:DB47)</f>
        <v>157701.6</v>
      </c>
      <c r="DC38" s="298" t="n">
        <f aca="false">SUM(CAPA3_PDV_DETALLE!DC8:DC47)</f>
        <v>157701.6</v>
      </c>
      <c r="DD38" s="298" t="n">
        <f aca="false">SUM(CAPA3_PDV_DETALLE!DD8:DD47)</f>
        <v>157701.6</v>
      </c>
      <c r="DE38" s="298" t="n">
        <f aca="false">SUM(CAPA3_PDV_DETALLE!DE8:DE47)</f>
        <v>157701.6</v>
      </c>
      <c r="DF38" s="298" t="n">
        <f aca="false">SUM(CAPA3_PDV_DETALLE!DF8:DF47)</f>
        <v>157701.6</v>
      </c>
      <c r="DG38" s="298" t="n">
        <f aca="false">SUM(CAPA3_PDV_DETALLE!DG8:DG47)</f>
        <v>157701.6</v>
      </c>
      <c r="DH38" s="298" t="n">
        <f aca="false">SUM(CAPA3_PDV_DETALLE!DH8:DH47)</f>
        <v>157701.6</v>
      </c>
      <c r="DI38" s="298" t="n">
        <f aca="false">SUM(CAPA3_PDV_DETALLE!DI8:DI47)</f>
        <v>157701.6</v>
      </c>
      <c r="DJ38" s="298" t="n">
        <f aca="false">SUM(CAPA3_PDV_DETALLE!DJ8:DJ47)</f>
        <v>157701.6</v>
      </c>
      <c r="DK38" s="298" t="n">
        <f aca="false">SUM(CAPA3_PDV_DETALLE!DK8:DK47)</f>
        <v>157701.6</v>
      </c>
      <c r="DL38" s="298" t="n">
        <f aca="false">SUM(CAPA3_PDV_DETALLE!DL8:DL47)</f>
        <v>157701.6</v>
      </c>
      <c r="DM38" s="298" t="n">
        <f aca="false">SUM(CAPA3_PDV_DETALLE!DM8:DM47)</f>
        <v>157701.6</v>
      </c>
      <c r="DN38" s="298" t="n">
        <f aca="false">SUM(CAPA3_PDV_DETALLE!DN8:DN47)</f>
        <v>157701.6</v>
      </c>
      <c r="DO38" s="298" t="n">
        <f aca="false">SUM(CAPA3_PDV_DETALLE!DO8:DO47)</f>
        <v>157701.6</v>
      </c>
      <c r="DP38" s="298" t="n">
        <f aca="false">SUM(CAPA3_PDV_DETALLE!DP8:DP47)</f>
        <v>157701.6</v>
      </c>
      <c r="DQ38" s="298" t="n">
        <f aca="false">SUM(CAPA3_PDV_DETALLE!DQ8:DQ47)</f>
        <v>157701.6</v>
      </c>
      <c r="DR38" s="298" t="n">
        <f aca="false">SUM(CAPA3_PDV_DETALLE!DR8:DR47)</f>
        <v>157701.6</v>
      </c>
      <c r="DS38" s="298" t="n">
        <f aca="false">SUM(CAPA3_PDV_DETALLE!DS8:DS47)</f>
        <v>157701.6</v>
      </c>
    </row>
    <row r="39" customFormat="false" ht="15" hidden="false" customHeight="true" outlineLevel="0" collapsed="false">
      <c r="B39" s="297" t="s">
        <v>3541</v>
      </c>
      <c r="D39" s="273" t="n">
        <f aca="false">D38*SUP_CONTROL!$C$26</f>
        <v>0</v>
      </c>
      <c r="E39" s="273" t="n">
        <f aca="false">E38*SUP_CONTROL!$C$26</f>
        <v>0</v>
      </c>
      <c r="F39" s="273" t="n">
        <f aca="false">F38*SUP_CONTROL!$C$26</f>
        <v>0</v>
      </c>
      <c r="G39" s="273" t="n">
        <f aca="false">G38*SUP_CONTROL!$C$26</f>
        <v>0</v>
      </c>
      <c r="H39" s="273" t="n">
        <f aca="false">H38*SUP_CONTROL!$C$26</f>
        <v>0</v>
      </c>
      <c r="I39" s="273" t="n">
        <f aca="false">I38*SUP_CONTROL!$C$26</f>
        <v>0</v>
      </c>
      <c r="J39" s="273" t="n">
        <f aca="false">J38*SUP_CONTROL!$C$26</f>
        <v>0</v>
      </c>
      <c r="K39" s="273" t="n">
        <f aca="false">K38*SUP_CONTROL!$C$26</f>
        <v>0</v>
      </c>
      <c r="L39" s="273" t="n">
        <f aca="false">L38*SUP_CONTROL!$C$26</f>
        <v>0</v>
      </c>
      <c r="M39" s="273" t="n">
        <f aca="false">M38*SUP_CONTROL!$C$26</f>
        <v>0</v>
      </c>
      <c r="N39" s="273" t="n">
        <f aca="false">N38*SUP_CONTROL!$C$26</f>
        <v>0</v>
      </c>
      <c r="O39" s="273" t="n">
        <f aca="false">O38*SUP_CONTROL!$C$26</f>
        <v>0</v>
      </c>
      <c r="P39" s="273" t="n">
        <f aca="false">P38*SUP_CONTROL!$C$26</f>
        <v>0</v>
      </c>
      <c r="Q39" s="273" t="n">
        <f aca="false">Q38*SUP_CONTROL!$C$26</f>
        <v>0</v>
      </c>
      <c r="R39" s="273" t="n">
        <f aca="false">R38*SUP_CONTROL!$C$26</f>
        <v>0</v>
      </c>
      <c r="S39" s="273" t="n">
        <f aca="false">S38*SUP_CONTROL!$C$26</f>
        <v>0</v>
      </c>
      <c r="T39" s="273" t="n">
        <f aca="false">T38*SUP_CONTROL!$C$26</f>
        <v>0</v>
      </c>
      <c r="U39" s="273" t="n">
        <f aca="false">U38*SUP_CONTROL!$C$26</f>
        <v>0</v>
      </c>
      <c r="V39" s="273" t="n">
        <f aca="false">V38*SUP_CONTROL!$C$26</f>
        <v>35282.7731192951</v>
      </c>
      <c r="W39" s="273" t="n">
        <f aca="false">W38*SUP_CONTROL!$C$26</f>
        <v>78707.7246507353</v>
      </c>
      <c r="X39" s="273" t="n">
        <f aca="false">X38*SUP_CONTROL!$C$26</f>
        <v>92278.0220043104</v>
      </c>
      <c r="Y39" s="273" t="n">
        <f aca="false">Y38*SUP_CONTROL!$C$26</f>
        <v>138417.033006466</v>
      </c>
      <c r="Z39" s="273" t="n">
        <f aca="false">Z38*SUP_CONTROL!$C$26</f>
        <v>151987.330360041</v>
      </c>
      <c r="AA39" s="273" t="n">
        <f aca="false">AA38*SUP_CONTROL!$C$26</f>
        <v>157415.449301471</v>
      </c>
      <c r="AB39" s="273" t="n">
        <f aca="false">AB38*SUP_CONTROL!$C$26</f>
        <v>162843.568242901</v>
      </c>
      <c r="AC39" s="273" t="n">
        <f aca="false">AC38*SUP_CONTROL!$C$26</f>
        <v>162843.568242901</v>
      </c>
      <c r="AD39" s="273" t="n">
        <f aca="false">AD38*SUP_CONTROL!$C$26</f>
        <v>162843.568242901</v>
      </c>
      <c r="AE39" s="273" t="n">
        <f aca="false">AE38*SUP_CONTROL!$C$26</f>
        <v>162843.568242901</v>
      </c>
      <c r="AF39" s="273" t="n">
        <f aca="false">AF38*SUP_CONTROL!$C$26</f>
        <v>162843.568242901</v>
      </c>
      <c r="AG39" s="273" t="n">
        <f aca="false">AG38*SUP_CONTROL!$C$26</f>
        <v>157958.261195614</v>
      </c>
      <c r="AH39" s="273" t="n">
        <f aca="false">AH38*SUP_CONTROL!$C$26</f>
        <v>157958.261195614</v>
      </c>
      <c r="AI39" s="273" t="n">
        <f aca="false">AI38*SUP_CONTROL!$C$26</f>
        <v>202449.838099045</v>
      </c>
      <c r="AJ39" s="273" t="n">
        <f aca="false">AJ38*SUP_CONTROL!$C$26</f>
        <v>246941.415002476</v>
      </c>
      <c r="AK39" s="273" t="n">
        <f aca="false">AK38*SUP_CONTROL!$C$26</f>
        <v>261684.1860474</v>
      </c>
      <c r="AL39" s="273" t="n">
        <f aca="false">AL38*SUP_CONTROL!$C$26</f>
        <v>308018.609331447</v>
      </c>
      <c r="AM39" s="273" t="n">
        <f aca="false">AM38*SUP_CONTROL!$C$26</f>
        <v>321181.797764414</v>
      </c>
      <c r="AN39" s="273" t="n">
        <f aca="false">AN38*SUP_CONTROL!$C$26</f>
        <v>360671.363063318</v>
      </c>
      <c r="AO39" s="273" t="n">
        <f aca="false">AO38*SUP_CONTROL!$C$26</f>
        <v>373834.551496286</v>
      </c>
      <c r="AP39" s="273" t="n">
        <f aca="false">AP38*SUP_CONTROL!$C$26</f>
        <v>369329.212774899</v>
      </c>
      <c r="AQ39" s="273" t="n">
        <f aca="false">AQ38*SUP_CONTROL!$C$26</f>
        <v>417803.671951604</v>
      </c>
      <c r="AR39" s="273" t="n">
        <f aca="false">AR38*SUP_CONTROL!$C$26</f>
        <v>461148.558728658</v>
      </c>
      <c r="AS39" s="273" t="n">
        <f aca="false">AS38*SUP_CONTROL!$C$26</f>
        <v>508853.582045416</v>
      </c>
      <c r="AT39" s="273" t="n">
        <f aca="false">AT38*SUP_CONTROL!$C$26</f>
        <v>561688.177761825</v>
      </c>
      <c r="AU39" s="273" t="n">
        <f aca="false">AU38*SUP_CONTROL!$C$26</f>
        <v>579641.681160605</v>
      </c>
      <c r="AV39" s="273" t="n">
        <f aca="false">AV38*SUP_CONTROL!$C$26</f>
        <v>589900.825959908</v>
      </c>
      <c r="AW39" s="273" t="n">
        <f aca="false">AW38*SUP_CONTROL!$C$26</f>
        <v>638375.285136613</v>
      </c>
      <c r="AX39" s="273" t="n">
        <f aca="false">AX38*SUP_CONTROL!$C$26</f>
        <v>648377.951315933</v>
      </c>
      <c r="AY39" s="273" t="n">
        <f aca="false">AY38*SUP_CONTROL!$C$26</f>
        <v>688388.616033214</v>
      </c>
      <c r="AZ39" s="273" t="n">
        <f aca="false">AZ38*SUP_CONTROL!$C$26</f>
        <v>736093.639349972</v>
      </c>
      <c r="BA39" s="273" t="n">
        <f aca="false">BA38*SUP_CONTROL!$C$26</f>
        <v>748917.5703491</v>
      </c>
      <c r="BB39" s="273" t="n">
        <f aca="false">BB38*SUP_CONTROL!$C$26</f>
        <v>759176.715148403</v>
      </c>
      <c r="BC39" s="273" t="n">
        <f aca="false">BC38*SUP_CONTROL!$C$26</f>
        <v>764306.287548054</v>
      </c>
      <c r="BD39" s="273" t="n">
        <f aca="false">BD38*SUP_CONTROL!$C$26</f>
        <v>764306.287548054</v>
      </c>
      <c r="BE39" s="273" t="n">
        <f aca="false">BE38*SUP_CONTROL!$C$26</f>
        <v>764306.287548054</v>
      </c>
      <c r="BF39" s="273" t="n">
        <f aca="false">BF38*SUP_CONTROL!$C$26</f>
        <v>744086.544491227</v>
      </c>
      <c r="BG39" s="273" t="n">
        <f aca="false">BG38*SUP_CONTROL!$C$26</f>
        <v>744086.544491227</v>
      </c>
      <c r="BH39" s="273" t="n">
        <f aca="false">BH38*SUP_CONTROL!$C$26</f>
        <v>744086.544491227</v>
      </c>
      <c r="BI39" s="273" t="n">
        <f aca="false">BI38*SUP_CONTROL!$C$26</f>
        <v>809006.84703073</v>
      </c>
      <c r="BJ39" s="273" t="n">
        <f aca="false">BJ38*SUP_CONTROL!$C$26</f>
        <v>856448.606578829</v>
      </c>
      <c r="BK39" s="273" t="n">
        <f aca="false">BK38*SUP_CONTROL!$C$26</f>
        <v>896209.577824804</v>
      </c>
      <c r="BL39" s="273" t="n">
        <f aca="false">BL38*SUP_CONTROL!$C$26</f>
        <v>952146.34351624</v>
      </c>
      <c r="BM39" s="273" t="n">
        <f aca="false">BM38*SUP_CONTROL!$C$26</f>
        <v>1002465.0061033</v>
      </c>
      <c r="BN39" s="273" t="n">
        <f aca="false">BN38*SUP_CONTROL!$C$26</f>
        <v>1052783.66869035</v>
      </c>
      <c r="BO39" s="273" t="n">
        <f aca="false">BO38*SUP_CONTROL!$C$26</f>
        <v>1069882.24335586</v>
      </c>
      <c r="BP39" s="273" t="n">
        <f aca="false">BP38*SUP_CONTROL!$C$26</f>
        <v>1120933.70200001</v>
      </c>
      <c r="BQ39" s="273" t="n">
        <f aca="false">BQ38*SUP_CONTROL!$C$26</f>
        <v>1141164.30129472</v>
      </c>
      <c r="BR39" s="273" t="n">
        <f aca="false">BR38*SUP_CONTROL!$C$26</f>
        <v>1185588.02671138</v>
      </c>
      <c r="BS39" s="273" t="n">
        <f aca="false">BS38*SUP_CONTROL!$C$26</f>
        <v>1234788.4967965</v>
      </c>
      <c r="BT39" s="273" t="n">
        <f aca="false">BT38*SUP_CONTROL!$C$26</f>
        <v>1291870.59558458</v>
      </c>
      <c r="BU39" s="273" t="n">
        <f aca="false">BU38*SUP_CONTROL!$C$26</f>
        <v>1341787.57736997</v>
      </c>
      <c r="BV39" s="273" t="n">
        <f aca="false">BV38*SUP_CONTROL!$C$26</f>
        <v>1390988.04745509</v>
      </c>
      <c r="BW39" s="273" t="n">
        <f aca="false">BW38*SUP_CONTROL!$C$26</f>
        <v>1415639.8496276</v>
      </c>
      <c r="BX39" s="273" t="n">
        <f aca="false">BX38*SUP_CONTROL!$C$26</f>
        <v>1471748.95809542</v>
      </c>
      <c r="BY39" s="273" t="n">
        <f aca="false">BY38*SUP_CONTROL!$C$26</f>
        <v>1490295.48348855</v>
      </c>
      <c r="BZ39" s="273" t="n">
        <f aca="false">BZ38*SUP_CONTROL!$C$26</f>
        <v>1562133.92361891</v>
      </c>
      <c r="CA39" s="273" t="n">
        <f aca="false">CA38*SUP_CONTROL!$C$26</f>
        <v>1612843.41076975</v>
      </c>
      <c r="CB39" s="273" t="n">
        <f aca="false">CB38*SUP_CONTROL!$C$26</f>
        <v>1631014.03892619</v>
      </c>
      <c r="CC39" s="273" t="n">
        <f aca="false">CC38*SUP_CONTROL!$C$26</f>
        <v>1681766.95102856</v>
      </c>
      <c r="CD39" s="273" t="n">
        <f aca="false">CD38*SUP_CONTROL!$C$26</f>
        <v>1736903.06917613</v>
      </c>
      <c r="CE39" s="273" t="n">
        <f aca="false">CE38*SUP_CONTROL!$C$26</f>
        <v>1785118.33567338</v>
      </c>
      <c r="CF39" s="273" t="n">
        <f aca="false">CF38*SUP_CONTROL!$C$26</f>
        <v>1832641.5170056</v>
      </c>
      <c r="CG39" s="273" t="n">
        <f aca="false">CG38*SUP_CONTROL!$C$26</f>
        <v>1887682.6430717</v>
      </c>
      <c r="CH39" s="273" t="n">
        <f aca="false">CH38*SUP_CONTROL!$C$26</f>
        <v>1949009.53087198</v>
      </c>
      <c r="CI39" s="273" t="n">
        <f aca="false">CI38*SUP_CONTROL!$C$26</f>
        <v>2001217.17885065</v>
      </c>
      <c r="CJ39" s="273" t="n">
        <f aca="false">CJ38*SUP_CONTROL!$C$26</f>
        <v>2023103.3544225</v>
      </c>
      <c r="CK39" s="273" t="n">
        <f aca="false">CK38*SUP_CONTROL!$C$26</f>
        <v>2033590.48021734</v>
      </c>
      <c r="CL39" s="273" t="n">
        <f aca="false">CL38*SUP_CONTROL!$C$26</f>
        <v>2038150.10012814</v>
      </c>
      <c r="CM39" s="273" t="n">
        <f aca="false">CM38*SUP_CONTROL!$C$26</f>
        <v>2038150.10012814</v>
      </c>
      <c r="CN39" s="273" t="n">
        <f aca="false">CN38*SUP_CONTROL!$C$26</f>
        <v>2038150.10012814</v>
      </c>
      <c r="CO39" s="273" t="n">
        <f aca="false">CO38*SUP_CONTROL!$C$26</f>
        <v>2038150.10012814</v>
      </c>
      <c r="CP39" s="273" t="n">
        <f aca="false">CP38*SUP_CONTROL!$C$26</f>
        <v>2038150.10012814</v>
      </c>
      <c r="CQ39" s="273" t="n">
        <f aca="false">CQ38*SUP_CONTROL!$C$26</f>
        <v>2038150.10012814</v>
      </c>
      <c r="CR39" s="273" t="n">
        <f aca="false">CR38*SUP_CONTROL!$C$26</f>
        <v>2038150.10012814</v>
      </c>
      <c r="CS39" s="273" t="n">
        <f aca="false">CS38*SUP_CONTROL!$C$26</f>
        <v>2038150.10012814</v>
      </c>
      <c r="CT39" s="273" t="n">
        <f aca="false">CT38*SUP_CONTROL!$C$26</f>
        <v>2038150.10012814</v>
      </c>
      <c r="CU39" s="273" t="n">
        <f aca="false">CU38*SUP_CONTROL!$C$26</f>
        <v>2038150.10012814</v>
      </c>
      <c r="CV39" s="273" t="n">
        <f aca="false">CV38*SUP_CONTROL!$C$26</f>
        <v>2038150.10012814</v>
      </c>
      <c r="CW39" s="273" t="n">
        <f aca="false">CW38*SUP_CONTROL!$C$26</f>
        <v>2038150.10012814</v>
      </c>
      <c r="CX39" s="273" t="n">
        <f aca="false">CX38*SUP_CONTROL!$C$26</f>
        <v>2038150.10012814</v>
      </c>
      <c r="CY39" s="273" t="n">
        <f aca="false">CY38*SUP_CONTROL!$C$26</f>
        <v>2038150.10012814</v>
      </c>
      <c r="CZ39" s="273" t="n">
        <f aca="false">CZ38*SUP_CONTROL!$C$26</f>
        <v>2038150.10012814</v>
      </c>
      <c r="DA39" s="273" t="n">
        <f aca="false">DA38*SUP_CONTROL!$C$26</f>
        <v>2038150.10012814</v>
      </c>
      <c r="DB39" s="273" t="n">
        <f aca="false">DB38*SUP_CONTROL!$C$26</f>
        <v>2038150.10012814</v>
      </c>
      <c r="DC39" s="273" t="n">
        <f aca="false">DC38*SUP_CONTROL!$C$26</f>
        <v>2038150.10012814</v>
      </c>
      <c r="DD39" s="273" t="n">
        <f aca="false">DD38*SUP_CONTROL!$C$26</f>
        <v>2038150.10012814</v>
      </c>
      <c r="DE39" s="273" t="n">
        <f aca="false">DE38*SUP_CONTROL!$C$26</f>
        <v>2038150.10012814</v>
      </c>
      <c r="DF39" s="273" t="n">
        <f aca="false">DF38*SUP_CONTROL!$C$26</f>
        <v>2038150.10012814</v>
      </c>
      <c r="DG39" s="273" t="n">
        <f aca="false">DG38*SUP_CONTROL!$C$26</f>
        <v>2038150.10012814</v>
      </c>
      <c r="DH39" s="273" t="n">
        <f aca="false">DH38*SUP_CONTROL!$C$26</f>
        <v>2038150.10012814</v>
      </c>
      <c r="DI39" s="273" t="n">
        <f aca="false">DI38*SUP_CONTROL!$C$26</f>
        <v>2038150.10012814</v>
      </c>
      <c r="DJ39" s="273" t="n">
        <f aca="false">DJ38*SUP_CONTROL!$C$26</f>
        <v>2038150.10012814</v>
      </c>
      <c r="DK39" s="273" t="n">
        <f aca="false">DK38*SUP_CONTROL!$C$26</f>
        <v>2038150.10012814</v>
      </c>
      <c r="DL39" s="273" t="n">
        <f aca="false">DL38*SUP_CONTROL!$C$26</f>
        <v>2038150.10012814</v>
      </c>
      <c r="DM39" s="273" t="n">
        <f aca="false">DM38*SUP_CONTROL!$C$26</f>
        <v>2038150.10012814</v>
      </c>
      <c r="DN39" s="273" t="n">
        <f aca="false">DN38*SUP_CONTROL!$C$26</f>
        <v>2038150.10012814</v>
      </c>
      <c r="DO39" s="273" t="n">
        <f aca="false">DO38*SUP_CONTROL!$C$26</f>
        <v>2038150.10012814</v>
      </c>
      <c r="DP39" s="273" t="n">
        <f aca="false">DP38*SUP_CONTROL!$C$26</f>
        <v>2038150.10012814</v>
      </c>
      <c r="DQ39" s="273" t="n">
        <f aca="false">DQ38*SUP_CONTROL!$C$26</f>
        <v>2038150.10012814</v>
      </c>
      <c r="DR39" s="273" t="n">
        <f aca="false">DR38*SUP_CONTROL!$C$26</f>
        <v>2038150.10012814</v>
      </c>
      <c r="DS39" s="273" t="n">
        <f aca="false">DS38*SUP_CONTROL!$C$26</f>
        <v>2038150.10012814</v>
      </c>
    </row>
    <row r="40" customFormat="false" ht="15" hidden="false" customHeight="true" outlineLevel="0" collapsed="false">
      <c r="B40" s="297" t="s">
        <v>3455</v>
      </c>
      <c r="D40" s="273" t="n">
        <f aca="false">D38*SUP_CONTROL!$C$27</f>
        <v>0</v>
      </c>
      <c r="E40" s="273" t="n">
        <f aca="false">E38*SUP_CONTROL!$C$27</f>
        <v>0</v>
      </c>
      <c r="F40" s="273" t="n">
        <f aca="false">F38*SUP_CONTROL!$C$27</f>
        <v>0</v>
      </c>
      <c r="G40" s="273" t="n">
        <f aca="false">G38*SUP_CONTROL!$C$27</f>
        <v>0</v>
      </c>
      <c r="H40" s="273" t="n">
        <f aca="false">H38*SUP_CONTROL!$C$27</f>
        <v>0</v>
      </c>
      <c r="I40" s="273" t="n">
        <f aca="false">I38*SUP_CONTROL!$C$27</f>
        <v>0</v>
      </c>
      <c r="J40" s="273" t="n">
        <f aca="false">J38*SUP_CONTROL!$C$27</f>
        <v>0</v>
      </c>
      <c r="K40" s="273" t="n">
        <f aca="false">K38*SUP_CONTROL!$C$27</f>
        <v>0</v>
      </c>
      <c r="L40" s="273" t="n">
        <f aca="false">L38*SUP_CONTROL!$C$27</f>
        <v>0</v>
      </c>
      <c r="M40" s="273" t="n">
        <f aca="false">M38*SUP_CONTROL!$C$27</f>
        <v>0</v>
      </c>
      <c r="N40" s="273" t="n">
        <f aca="false">N38*SUP_CONTROL!$C$27</f>
        <v>0</v>
      </c>
      <c r="O40" s="273" t="n">
        <f aca="false">O38*SUP_CONTROL!$C$27</f>
        <v>0</v>
      </c>
      <c r="P40" s="273" t="n">
        <f aca="false">P38*SUP_CONTROL!$C$27</f>
        <v>0</v>
      </c>
      <c r="Q40" s="273" t="n">
        <f aca="false">Q38*SUP_CONTROL!$C$27</f>
        <v>0</v>
      </c>
      <c r="R40" s="273" t="n">
        <f aca="false">R38*SUP_CONTROL!$C$27</f>
        <v>0</v>
      </c>
      <c r="S40" s="273" t="n">
        <f aca="false">S38*SUP_CONTROL!$C$27</f>
        <v>0</v>
      </c>
      <c r="T40" s="273" t="n">
        <f aca="false">T38*SUP_CONTROL!$C$27</f>
        <v>0</v>
      </c>
      <c r="U40" s="273" t="n">
        <f aca="false">U38*SUP_CONTROL!$C$27</f>
        <v>0</v>
      </c>
      <c r="V40" s="273" t="n">
        <f aca="false">V38*SUP_CONTROL!$C$27</f>
        <v>15517.4202560575</v>
      </c>
      <c r="W40" s="273" t="n">
        <f aca="false">W38*SUP_CONTROL!$C$27</f>
        <v>34615.7836481283</v>
      </c>
      <c r="X40" s="273" t="n">
        <f aca="false">X38*SUP_CONTROL!$C$27</f>
        <v>40584.0222081505</v>
      </c>
      <c r="Y40" s="273" t="n">
        <f aca="false">Y38*SUP_CONTROL!$C$27</f>
        <v>60876.0333122257</v>
      </c>
      <c r="Z40" s="273" t="n">
        <f aca="false">Z38*SUP_CONTROL!$C$27</f>
        <v>66844.2718722479</v>
      </c>
      <c r="AA40" s="273" t="n">
        <f aca="false">AA38*SUP_CONTROL!$C$27</f>
        <v>69231.5672962567</v>
      </c>
      <c r="AB40" s="273" t="n">
        <f aca="false">AB38*SUP_CONTROL!$C$27</f>
        <v>71618.8627202656</v>
      </c>
      <c r="AC40" s="273" t="n">
        <f aca="false">AC38*SUP_CONTROL!$C$27</f>
        <v>71618.8627202656</v>
      </c>
      <c r="AD40" s="273" t="n">
        <f aca="false">AD38*SUP_CONTROL!$C$27</f>
        <v>71618.8627202656</v>
      </c>
      <c r="AE40" s="273" t="n">
        <f aca="false">AE38*SUP_CONTROL!$C$27</f>
        <v>71618.8627202656</v>
      </c>
      <c r="AF40" s="273" t="n">
        <f aca="false">AF38*SUP_CONTROL!$C$27</f>
        <v>71618.8627202656</v>
      </c>
      <c r="AG40" s="273" t="n">
        <f aca="false">AG38*SUP_CONTROL!$C$27</f>
        <v>69470.2968386576</v>
      </c>
      <c r="AH40" s="273" t="n">
        <f aca="false">AH38*SUP_CONTROL!$C$27</f>
        <v>69470.2968386576</v>
      </c>
      <c r="AI40" s="273" t="n">
        <f aca="false">AI38*SUP_CONTROL!$C$27</f>
        <v>89037.7637815461</v>
      </c>
      <c r="AJ40" s="273" t="n">
        <f aca="false">AJ38*SUP_CONTROL!$C$27</f>
        <v>108605.230724435</v>
      </c>
      <c r="AK40" s="273" t="n">
        <f aca="false">AK38*SUP_CONTROL!$C$27</f>
        <v>115089.125096043</v>
      </c>
      <c r="AL40" s="273" t="n">
        <f aca="false">AL38*SUP_CONTROL!$C$27</f>
        <v>135467.078835382</v>
      </c>
      <c r="AM40" s="273" t="n">
        <f aca="false">AM38*SUP_CONTROL!$C$27</f>
        <v>141256.270238604</v>
      </c>
      <c r="AN40" s="273" t="n">
        <f aca="false">AN38*SUP_CONTROL!$C$27</f>
        <v>158623.844448268</v>
      </c>
      <c r="AO40" s="273" t="n">
        <f aca="false">AO38*SUP_CONTROL!$C$27</f>
        <v>164413.03585149</v>
      </c>
      <c r="AP40" s="273" t="n">
        <f aca="false">AP38*SUP_CONTROL!$C$27</f>
        <v>162431.580649562</v>
      </c>
      <c r="AQ40" s="273" t="n">
        <f aca="false">AQ38*SUP_CONTROL!$C$27</f>
        <v>183750.725609817</v>
      </c>
      <c r="AR40" s="273" t="n">
        <f aca="false">AR38*SUP_CONTROL!$C$27</f>
        <v>202813.876394384</v>
      </c>
      <c r="AS40" s="273" t="n">
        <f aca="false">AS38*SUP_CONTROL!$C$27</f>
        <v>223794.622228286</v>
      </c>
      <c r="AT40" s="273" t="n">
        <f aca="false">AT38*SUP_CONTROL!$C$27</f>
        <v>247031.362237876</v>
      </c>
      <c r="AU40" s="273" t="n">
        <f aca="false">AU38*SUP_CONTROL!$C$27</f>
        <v>254927.341852785</v>
      </c>
      <c r="AV40" s="273" t="n">
        <f aca="false">AV38*SUP_CONTROL!$C$27</f>
        <v>259439.330204162</v>
      </c>
      <c r="AW40" s="273" t="n">
        <f aca="false">AW38*SUP_CONTROL!$C$27</f>
        <v>280758.475164417</v>
      </c>
      <c r="AX40" s="273" t="n">
        <f aca="false">AX38*SUP_CONTROL!$C$27</f>
        <v>285157.663807009</v>
      </c>
      <c r="AY40" s="273" t="n">
        <f aca="false">AY38*SUP_CONTROL!$C$27</f>
        <v>302754.418377379</v>
      </c>
      <c r="AZ40" s="273" t="n">
        <f aca="false">AZ38*SUP_CONTROL!$C$27</f>
        <v>323735.16421128</v>
      </c>
      <c r="BA40" s="273" t="n">
        <f aca="false">BA38*SUP_CONTROL!$C$27</f>
        <v>329375.149650501</v>
      </c>
      <c r="BB40" s="273" t="n">
        <f aca="false">BB38*SUP_CONTROL!$C$27</f>
        <v>333887.138001878</v>
      </c>
      <c r="BC40" s="273" t="n">
        <f aca="false">BC38*SUP_CONTROL!$C$27</f>
        <v>336143.132177566</v>
      </c>
      <c r="BD40" s="273" t="n">
        <f aca="false">BD38*SUP_CONTROL!$C$27</f>
        <v>336143.132177566</v>
      </c>
      <c r="BE40" s="273" t="n">
        <f aca="false">BE38*SUP_CONTROL!$C$27</f>
        <v>336143.132177566</v>
      </c>
      <c r="BF40" s="273" t="n">
        <f aca="false">BF38*SUP_CONTROL!$C$27</f>
        <v>327250.456723133</v>
      </c>
      <c r="BG40" s="273" t="n">
        <f aca="false">BG38*SUP_CONTROL!$C$27</f>
        <v>327250.456723133</v>
      </c>
      <c r="BH40" s="273" t="n">
        <f aca="false">BH38*SUP_CONTROL!$C$27</f>
        <v>327250.456723133</v>
      </c>
      <c r="BI40" s="273" t="n">
        <f aca="false">BI38*SUP_CONTROL!$C$27</f>
        <v>355802.509994279</v>
      </c>
      <c r="BJ40" s="273" t="n">
        <f aca="false">BJ38*SUP_CONTROL!$C$27</f>
        <v>376667.472000117</v>
      </c>
      <c r="BK40" s="273" t="n">
        <f aca="false">BK38*SUP_CONTROL!$C$27</f>
        <v>394154.410980982</v>
      </c>
      <c r="BL40" s="273" t="n">
        <f aca="false">BL38*SUP_CONTROL!$C$27</f>
        <v>418755.490325393</v>
      </c>
      <c r="BM40" s="273" t="n">
        <f aca="false">BM38*SUP_CONTROL!$C$27</f>
        <v>440885.718905955</v>
      </c>
      <c r="BN40" s="273" t="n">
        <f aca="false">BN38*SUP_CONTROL!$C$27</f>
        <v>463015.947486517</v>
      </c>
      <c r="BO40" s="273" t="n">
        <f aca="false">BO38*SUP_CONTROL!$C$27</f>
        <v>470535.928072145</v>
      </c>
      <c r="BP40" s="273" t="n">
        <f aca="false">BP38*SUP_CONTROL!$C$27</f>
        <v>492988.441534948</v>
      </c>
      <c r="BQ40" s="273" t="n">
        <f aca="false">BQ38*SUP_CONTROL!$C$27</f>
        <v>501885.891580229</v>
      </c>
      <c r="BR40" s="273" t="n">
        <f aca="false">BR38*SUP_CONTROL!$C$27</f>
        <v>521423.517330317</v>
      </c>
      <c r="BS40" s="273" t="n">
        <f aca="false">BS38*SUP_CONTROL!$C$27</f>
        <v>543061.963053534</v>
      </c>
      <c r="BT40" s="273" t="n">
        <f aca="false">BT38*SUP_CONTROL!$C$27</f>
        <v>568166.761732411</v>
      </c>
      <c r="BU40" s="273" t="n">
        <f aca="false">BU38*SUP_CONTROL!$C$27</f>
        <v>590120.330451596</v>
      </c>
      <c r="BV40" s="273" t="n">
        <f aca="false">BV38*SUP_CONTROL!$C$27</f>
        <v>611758.776174812</v>
      </c>
      <c r="BW40" s="273" t="n">
        <f aca="false">BW38*SUP_CONTROL!$C$27</f>
        <v>622600.678342948</v>
      </c>
      <c r="BX40" s="273" t="n">
        <f aca="false">BX38*SUP_CONTROL!$C$27</f>
        <v>647277.554317072</v>
      </c>
      <c r="BY40" s="273" t="n">
        <f aca="false">BY38*SUP_CONTROL!$C$27</f>
        <v>655434.345957054</v>
      </c>
      <c r="BZ40" s="273" t="n">
        <f aca="false">BZ38*SUP_CONTROL!$C$27</f>
        <v>687029.007246099</v>
      </c>
      <c r="CA40" s="273" t="n">
        <f aca="false">CA38*SUP_CONTROL!$C$27</f>
        <v>709331.12109719</v>
      </c>
      <c r="CB40" s="273" t="n">
        <f aca="false">CB38*SUP_CONTROL!$C$27</f>
        <v>717322.59252906</v>
      </c>
      <c r="CC40" s="273" t="n">
        <f aca="false">CC38*SUP_CONTROL!$C$27</f>
        <v>739643.804743543</v>
      </c>
      <c r="CD40" s="273" t="n">
        <f aca="false">CD38*SUP_CONTROL!$C$27</f>
        <v>763892.758012912</v>
      </c>
      <c r="CE40" s="273" t="n">
        <f aca="false">CE38*SUP_CONTROL!$C$27</f>
        <v>785097.909616671</v>
      </c>
      <c r="CF40" s="273" t="n">
        <f aca="false">CF38*SUP_CONTROL!$C$27</f>
        <v>805998.681053868</v>
      </c>
      <c r="CG40" s="273" t="n">
        <f aca="false">CG38*SUP_CONTROL!$C$27</f>
        <v>830205.856653318</v>
      </c>
      <c r="CH40" s="273" t="n">
        <f aca="false">CH38*SUP_CONTROL!$C$27</f>
        <v>857177.52035377</v>
      </c>
      <c r="CI40" s="273" t="n">
        <f aca="false">CI38*SUP_CONTROL!$C$27</f>
        <v>880138.527741887</v>
      </c>
      <c r="CJ40" s="273" t="n">
        <f aca="false">CJ38*SUP_CONTROL!$C$27</f>
        <v>889764.102891491</v>
      </c>
      <c r="CK40" s="273" t="n">
        <f aca="false">CK38*SUP_CONTROL!$C$27</f>
        <v>894376.357650676</v>
      </c>
      <c r="CL40" s="273" t="n">
        <f aca="false">CL38*SUP_CONTROL!$C$27</f>
        <v>896381.685806844</v>
      </c>
      <c r="CM40" s="273" t="n">
        <f aca="false">CM38*SUP_CONTROL!$C$27</f>
        <v>896381.685806844</v>
      </c>
      <c r="CN40" s="273" t="n">
        <f aca="false">CN38*SUP_CONTROL!$C$27</f>
        <v>896381.685806844</v>
      </c>
      <c r="CO40" s="273" t="n">
        <f aca="false">CO38*SUP_CONTROL!$C$27</f>
        <v>896381.685806844</v>
      </c>
      <c r="CP40" s="273" t="n">
        <f aca="false">CP38*SUP_CONTROL!$C$27</f>
        <v>896381.685806844</v>
      </c>
      <c r="CQ40" s="273" t="n">
        <f aca="false">CQ38*SUP_CONTROL!$C$27</f>
        <v>896381.685806844</v>
      </c>
      <c r="CR40" s="273" t="n">
        <f aca="false">CR38*SUP_CONTROL!$C$27</f>
        <v>896381.685806844</v>
      </c>
      <c r="CS40" s="273" t="n">
        <f aca="false">CS38*SUP_CONTROL!$C$27</f>
        <v>896381.685806844</v>
      </c>
      <c r="CT40" s="273" t="n">
        <f aca="false">CT38*SUP_CONTROL!$C$27</f>
        <v>896381.685806844</v>
      </c>
      <c r="CU40" s="273" t="n">
        <f aca="false">CU38*SUP_CONTROL!$C$27</f>
        <v>896381.685806844</v>
      </c>
      <c r="CV40" s="273" t="n">
        <f aca="false">CV38*SUP_CONTROL!$C$27</f>
        <v>896381.685806844</v>
      </c>
      <c r="CW40" s="273" t="n">
        <f aca="false">CW38*SUP_CONTROL!$C$27</f>
        <v>896381.685806844</v>
      </c>
      <c r="CX40" s="273" t="n">
        <f aca="false">CX38*SUP_CONTROL!$C$27</f>
        <v>896381.685806844</v>
      </c>
      <c r="CY40" s="273" t="n">
        <f aca="false">CY38*SUP_CONTROL!$C$27</f>
        <v>896381.685806844</v>
      </c>
      <c r="CZ40" s="273" t="n">
        <f aca="false">CZ38*SUP_CONTROL!$C$27</f>
        <v>896381.685806844</v>
      </c>
      <c r="DA40" s="273" t="n">
        <f aca="false">DA38*SUP_CONTROL!$C$27</f>
        <v>896381.685806844</v>
      </c>
      <c r="DB40" s="273" t="n">
        <f aca="false">DB38*SUP_CONTROL!$C$27</f>
        <v>896381.685806844</v>
      </c>
      <c r="DC40" s="273" t="n">
        <f aca="false">DC38*SUP_CONTROL!$C$27</f>
        <v>896381.685806844</v>
      </c>
      <c r="DD40" s="273" t="n">
        <f aca="false">DD38*SUP_CONTROL!$C$27</f>
        <v>896381.685806844</v>
      </c>
      <c r="DE40" s="273" t="n">
        <f aca="false">DE38*SUP_CONTROL!$C$27</f>
        <v>896381.685806844</v>
      </c>
      <c r="DF40" s="273" t="n">
        <f aca="false">DF38*SUP_CONTROL!$C$27</f>
        <v>896381.685806844</v>
      </c>
      <c r="DG40" s="273" t="n">
        <f aca="false">DG38*SUP_CONTROL!$C$27</f>
        <v>896381.685806844</v>
      </c>
      <c r="DH40" s="273" t="n">
        <f aca="false">DH38*SUP_CONTROL!$C$27</f>
        <v>896381.685806844</v>
      </c>
      <c r="DI40" s="273" t="n">
        <f aca="false">DI38*SUP_CONTROL!$C$27</f>
        <v>896381.685806844</v>
      </c>
      <c r="DJ40" s="273" t="n">
        <f aca="false">DJ38*SUP_CONTROL!$C$27</f>
        <v>896381.685806844</v>
      </c>
      <c r="DK40" s="273" t="n">
        <f aca="false">DK38*SUP_CONTROL!$C$27</f>
        <v>896381.685806844</v>
      </c>
      <c r="DL40" s="273" t="n">
        <f aca="false">DL38*SUP_CONTROL!$C$27</f>
        <v>896381.685806844</v>
      </c>
      <c r="DM40" s="273" t="n">
        <f aca="false">DM38*SUP_CONTROL!$C$27</f>
        <v>896381.685806844</v>
      </c>
      <c r="DN40" s="273" t="n">
        <f aca="false">DN38*SUP_CONTROL!$C$27</f>
        <v>896381.685806844</v>
      </c>
      <c r="DO40" s="273" t="n">
        <f aca="false">DO38*SUP_CONTROL!$C$27</f>
        <v>896381.685806844</v>
      </c>
      <c r="DP40" s="273" t="n">
        <f aca="false">DP38*SUP_CONTROL!$C$27</f>
        <v>896381.685806844</v>
      </c>
      <c r="DQ40" s="273" t="n">
        <f aca="false">DQ38*SUP_CONTROL!$C$27</f>
        <v>896381.685806844</v>
      </c>
      <c r="DR40" s="273" t="n">
        <f aca="false">DR38*SUP_CONTROL!$C$27</f>
        <v>896381.685806844</v>
      </c>
      <c r="DS40" s="273" t="n">
        <f aca="false">DS38*SUP_CONTROL!$C$27</f>
        <v>896381.685806844</v>
      </c>
    </row>
    <row r="41" customFormat="false" ht="15" hidden="false" customHeight="true" outlineLevel="0" collapsed="false">
      <c r="B41" s="297" t="s">
        <v>3542</v>
      </c>
      <c r="D41" s="298" t="n">
        <f aca="false">D38*SUP_CONTROL!$C$28</f>
        <v>0</v>
      </c>
      <c r="E41" s="298" t="n">
        <f aca="false">E38*SUP_CONTROL!$C$28</f>
        <v>0</v>
      </c>
      <c r="F41" s="298" t="n">
        <f aca="false">F38*SUP_CONTROL!$C$28</f>
        <v>0</v>
      </c>
      <c r="G41" s="298" t="n">
        <f aca="false">G38*SUP_CONTROL!$C$28</f>
        <v>0</v>
      </c>
      <c r="H41" s="298" t="n">
        <f aca="false">H38*SUP_CONTROL!$C$28</f>
        <v>0</v>
      </c>
      <c r="I41" s="298" t="n">
        <f aca="false">I38*SUP_CONTROL!$C$28</f>
        <v>0</v>
      </c>
      <c r="J41" s="298" t="n">
        <f aca="false">J38*SUP_CONTROL!$C$28</f>
        <v>0</v>
      </c>
      <c r="K41" s="298" t="n">
        <f aca="false">K38*SUP_CONTROL!$C$28</f>
        <v>0</v>
      </c>
      <c r="L41" s="298" t="n">
        <f aca="false">L38*SUP_CONTROL!$C$28</f>
        <v>0</v>
      </c>
      <c r="M41" s="298" t="n">
        <f aca="false">M38*SUP_CONTROL!$C$28</f>
        <v>0</v>
      </c>
      <c r="N41" s="298" t="n">
        <f aca="false">N38*SUP_CONTROL!$C$28</f>
        <v>0</v>
      </c>
      <c r="O41" s="298" t="n">
        <f aca="false">O38*SUP_CONTROL!$C$28</f>
        <v>0</v>
      </c>
      <c r="P41" s="298" t="n">
        <f aca="false">P38*SUP_CONTROL!$C$28</f>
        <v>0</v>
      </c>
      <c r="Q41" s="298" t="n">
        <f aca="false">Q38*SUP_CONTROL!$C$28</f>
        <v>0</v>
      </c>
      <c r="R41" s="298" t="n">
        <f aca="false">R38*SUP_CONTROL!$C$28</f>
        <v>0</v>
      </c>
      <c r="S41" s="298" t="n">
        <f aca="false">S38*SUP_CONTROL!$C$28</f>
        <v>0</v>
      </c>
      <c r="T41" s="298" t="n">
        <f aca="false">T38*SUP_CONTROL!$C$28</f>
        <v>0</v>
      </c>
      <c r="U41" s="298" t="n">
        <f aca="false">U38*SUP_CONTROL!$C$28</f>
        <v>0</v>
      </c>
      <c r="V41" s="298" t="n">
        <f aca="false">V38*SUP_CONTROL!$C$28</f>
        <v>4504.5</v>
      </c>
      <c r="W41" s="298" t="n">
        <f aca="false">W38*SUP_CONTROL!$C$28</f>
        <v>10048.5</v>
      </c>
      <c r="X41" s="298" t="n">
        <f aca="false">X38*SUP_CONTROL!$C$28</f>
        <v>11781</v>
      </c>
      <c r="Y41" s="298" t="n">
        <f aca="false">Y38*SUP_CONTROL!$C$28</f>
        <v>17671.5</v>
      </c>
      <c r="Z41" s="298" t="n">
        <f aca="false">Z38*SUP_CONTROL!$C$28</f>
        <v>19404</v>
      </c>
      <c r="AA41" s="298" t="n">
        <f aca="false">AA38*SUP_CONTROL!$C$28</f>
        <v>20097</v>
      </c>
      <c r="AB41" s="298" t="n">
        <f aca="false">AB38*SUP_CONTROL!$C$28</f>
        <v>20790</v>
      </c>
      <c r="AC41" s="298" t="n">
        <f aca="false">AC38*SUP_CONTROL!$C$28</f>
        <v>20790</v>
      </c>
      <c r="AD41" s="298" t="n">
        <f aca="false">AD38*SUP_CONTROL!$C$28</f>
        <v>20790</v>
      </c>
      <c r="AE41" s="298" t="n">
        <f aca="false">AE38*SUP_CONTROL!$C$28</f>
        <v>20790</v>
      </c>
      <c r="AF41" s="298" t="n">
        <f aca="false">AF38*SUP_CONTROL!$C$28</f>
        <v>20790</v>
      </c>
      <c r="AG41" s="298" t="n">
        <f aca="false">AG38*SUP_CONTROL!$C$28</f>
        <v>20166.3</v>
      </c>
      <c r="AH41" s="298" t="n">
        <f aca="false">AH38*SUP_CONTROL!$C$28</f>
        <v>20166.3</v>
      </c>
      <c r="AI41" s="298" t="n">
        <f aca="false">AI38*SUP_CONTROL!$C$28</f>
        <v>25846.4745</v>
      </c>
      <c r="AJ41" s="298" t="n">
        <f aca="false">AJ38*SUP_CONTROL!$C$28</f>
        <v>31526.649</v>
      </c>
      <c r="AK41" s="298" t="n">
        <f aca="false">AK38*SUP_CONTROL!$C$28</f>
        <v>33408.837</v>
      </c>
      <c r="AL41" s="298" t="n">
        <f aca="false">AL38*SUP_CONTROL!$C$28</f>
        <v>39324.285</v>
      </c>
      <c r="AM41" s="298" t="n">
        <f aca="false">AM38*SUP_CONTROL!$C$28</f>
        <v>41004.81</v>
      </c>
      <c r="AN41" s="298" t="n">
        <f aca="false">AN38*SUP_CONTROL!$C$28</f>
        <v>46046.385</v>
      </c>
      <c r="AO41" s="298" t="n">
        <f aca="false">AO38*SUP_CONTROL!$C$28</f>
        <v>47726.91</v>
      </c>
      <c r="AP41" s="298" t="n">
        <f aca="false">AP38*SUP_CONTROL!$C$28</f>
        <v>47151.72</v>
      </c>
      <c r="AQ41" s="298" t="n">
        <f aca="false">AQ38*SUP_CONTROL!$C$28</f>
        <v>53340.38325</v>
      </c>
      <c r="AR41" s="298" t="n">
        <f aca="false">AR38*SUP_CONTROL!$C$28</f>
        <v>58874.1615</v>
      </c>
      <c r="AS41" s="298" t="n">
        <f aca="false">AS38*SUP_CONTROL!$C$28</f>
        <v>64964.592</v>
      </c>
      <c r="AT41" s="298" t="n">
        <f aca="false">AT38*SUP_CONTROL!$C$28</f>
        <v>71709.9075</v>
      </c>
      <c r="AU41" s="298" t="n">
        <f aca="false">AU38*SUP_CONTROL!$C$28</f>
        <v>74002.005</v>
      </c>
      <c r="AV41" s="298" t="n">
        <f aca="false">AV38*SUP_CONTROL!$C$28</f>
        <v>75311.775</v>
      </c>
      <c r="AW41" s="298" t="n">
        <f aca="false">AW38*SUP_CONTROL!$C$28</f>
        <v>81500.43825</v>
      </c>
      <c r="AX41" s="298" t="n">
        <f aca="false">AX38*SUP_CONTROL!$C$28</f>
        <v>82777.464</v>
      </c>
      <c r="AY41" s="298" t="n">
        <f aca="false">AY38*SUP_CONTROL!$C$28</f>
        <v>87885.567</v>
      </c>
      <c r="AZ41" s="298" t="n">
        <f aca="false">AZ38*SUP_CONTROL!$C$28</f>
        <v>93975.9975</v>
      </c>
      <c r="BA41" s="298" t="n">
        <f aca="false">BA38*SUP_CONTROL!$C$28</f>
        <v>95613.21</v>
      </c>
      <c r="BB41" s="298" t="n">
        <f aca="false">BB38*SUP_CONTROL!$C$28</f>
        <v>96922.98</v>
      </c>
      <c r="BC41" s="298" t="n">
        <f aca="false">BC38*SUP_CONTROL!$C$28</f>
        <v>97577.865</v>
      </c>
      <c r="BD41" s="298" t="n">
        <f aca="false">BD38*SUP_CONTROL!$C$28</f>
        <v>97577.865</v>
      </c>
      <c r="BE41" s="298" t="n">
        <f aca="false">BE38*SUP_CONTROL!$C$28</f>
        <v>97577.865</v>
      </c>
      <c r="BF41" s="298" t="n">
        <f aca="false">BF38*SUP_CONTROL!$C$28</f>
        <v>94996.44</v>
      </c>
      <c r="BG41" s="298" t="n">
        <f aca="false">BG38*SUP_CONTROL!$C$28</f>
        <v>94996.44</v>
      </c>
      <c r="BH41" s="298" t="n">
        <f aca="false">BH38*SUP_CONTROL!$C$28</f>
        <v>94996.44</v>
      </c>
      <c r="BI41" s="298" t="n">
        <f aca="false">BI38*SUP_CONTROL!$C$28</f>
        <v>103284.72</v>
      </c>
      <c r="BJ41" s="298" t="n">
        <f aca="false">BJ38*SUP_CONTROL!$C$28</f>
        <v>109341.54</v>
      </c>
      <c r="BK41" s="298" t="n">
        <f aca="false">BK38*SUP_CONTROL!$C$28</f>
        <v>114417.765</v>
      </c>
      <c r="BL41" s="298" t="n">
        <f aca="false">BL38*SUP_CONTROL!$C$28</f>
        <v>121559.13</v>
      </c>
      <c r="BM41" s="298" t="n">
        <f aca="false">BM38*SUP_CONTROL!$C$28</f>
        <v>127983.24</v>
      </c>
      <c r="BN41" s="298" t="n">
        <f aca="false">BN38*SUP_CONTROL!$C$28</f>
        <v>134407.35</v>
      </c>
      <c r="BO41" s="298" t="n">
        <f aca="false">BO38*SUP_CONTROL!$C$28</f>
        <v>136590.3</v>
      </c>
      <c r="BP41" s="298" t="n">
        <f aca="false">BP38*SUP_CONTROL!$C$28</f>
        <v>143107.965</v>
      </c>
      <c r="BQ41" s="298" t="n">
        <f aca="false">BQ38*SUP_CONTROL!$C$28</f>
        <v>145690.776</v>
      </c>
      <c r="BR41" s="298" t="n">
        <f aca="false">BR38*SUP_CONTROL!$C$28</f>
        <v>151362.288</v>
      </c>
      <c r="BS41" s="298" t="n">
        <f aca="false">BS38*SUP_CONTROL!$C$28</f>
        <v>157643.64</v>
      </c>
      <c r="BT41" s="298" t="n">
        <f aca="false">BT38*SUP_CONTROL!$C$28</f>
        <v>164931.228</v>
      </c>
      <c r="BU41" s="298" t="n">
        <f aca="false">BU38*SUP_CONTROL!$C$28</f>
        <v>171304.056</v>
      </c>
      <c r="BV41" s="298" t="n">
        <f aca="false">BV38*SUP_CONTROL!$C$28</f>
        <v>177585.408</v>
      </c>
      <c r="BW41" s="298" t="n">
        <f aca="false">BW38*SUP_CONTROL!$C$28</f>
        <v>180732.6675</v>
      </c>
      <c r="BX41" s="298" t="n">
        <f aca="false">BX38*SUP_CONTROL!$C$28</f>
        <v>187896.03525</v>
      </c>
      <c r="BY41" s="298" t="n">
        <f aca="false">BY38*SUP_CONTROL!$C$28</f>
        <v>190263.843</v>
      </c>
      <c r="BZ41" s="298" t="n">
        <f aca="false">BZ38*SUP_CONTROL!$C$28</f>
        <v>199435.3515</v>
      </c>
      <c r="CA41" s="298" t="n">
        <f aca="false">CA38*SUP_CONTROL!$C$28</f>
        <v>205909.3575</v>
      </c>
      <c r="CB41" s="298" t="n">
        <f aca="false">CB38*SUP_CONTROL!$C$28</f>
        <v>208229.175</v>
      </c>
      <c r="CC41" s="298" t="n">
        <f aca="false">CC38*SUP_CONTROL!$C$28</f>
        <v>214708.725</v>
      </c>
      <c r="CD41" s="298" t="n">
        <f aca="false">CD38*SUP_CONTROL!$C$28</f>
        <v>221747.8725</v>
      </c>
      <c r="CE41" s="298" t="n">
        <f aca="false">CE38*SUP_CONTROL!$C$28</f>
        <v>227903.445</v>
      </c>
      <c r="CF41" s="298" t="n">
        <f aca="false">CF38*SUP_CONTROL!$C$28</f>
        <v>233970.66</v>
      </c>
      <c r="CG41" s="298" t="n">
        <f aca="false">CG38*SUP_CONTROL!$C$28</f>
        <v>240997.68</v>
      </c>
      <c r="CH41" s="298" t="n">
        <f aca="false">CH38*SUP_CONTROL!$C$28</f>
        <v>248827.194</v>
      </c>
      <c r="CI41" s="298" t="n">
        <f aca="false">CI38*SUP_CONTROL!$C$28</f>
        <v>255492.468</v>
      </c>
      <c r="CJ41" s="298" t="n">
        <f aca="false">CJ38*SUP_CONTROL!$C$28</f>
        <v>258286.644</v>
      </c>
      <c r="CK41" s="298" t="n">
        <f aca="false">CK38*SUP_CONTROL!$C$28</f>
        <v>259625.52</v>
      </c>
      <c r="CL41" s="298" t="n">
        <f aca="false">CL38*SUP_CONTROL!$C$28</f>
        <v>260207.64</v>
      </c>
      <c r="CM41" s="298" t="n">
        <f aca="false">CM38*SUP_CONTROL!$C$28</f>
        <v>260207.64</v>
      </c>
      <c r="CN41" s="298" t="n">
        <f aca="false">CN38*SUP_CONTROL!$C$28</f>
        <v>260207.64</v>
      </c>
      <c r="CO41" s="298" t="n">
        <f aca="false">CO38*SUP_CONTROL!$C$28</f>
        <v>260207.64</v>
      </c>
      <c r="CP41" s="298" t="n">
        <f aca="false">CP38*SUP_CONTROL!$C$28</f>
        <v>260207.64</v>
      </c>
      <c r="CQ41" s="298" t="n">
        <f aca="false">CQ38*SUP_CONTROL!$C$28</f>
        <v>260207.64</v>
      </c>
      <c r="CR41" s="298" t="n">
        <f aca="false">CR38*SUP_CONTROL!$C$28</f>
        <v>260207.64</v>
      </c>
      <c r="CS41" s="298" t="n">
        <f aca="false">CS38*SUP_CONTROL!$C$28</f>
        <v>260207.64</v>
      </c>
      <c r="CT41" s="298" t="n">
        <f aca="false">CT38*SUP_CONTROL!$C$28</f>
        <v>260207.64</v>
      </c>
      <c r="CU41" s="298" t="n">
        <f aca="false">CU38*SUP_CONTROL!$C$28</f>
        <v>260207.64</v>
      </c>
      <c r="CV41" s="298" t="n">
        <f aca="false">CV38*SUP_CONTROL!$C$28</f>
        <v>260207.64</v>
      </c>
      <c r="CW41" s="298" t="n">
        <f aca="false">CW38*SUP_CONTROL!$C$28</f>
        <v>260207.64</v>
      </c>
      <c r="CX41" s="298" t="n">
        <f aca="false">CX38*SUP_CONTROL!$C$28</f>
        <v>260207.64</v>
      </c>
      <c r="CY41" s="298" t="n">
        <f aca="false">CY38*SUP_CONTROL!$C$28</f>
        <v>260207.64</v>
      </c>
      <c r="CZ41" s="298" t="n">
        <f aca="false">CZ38*SUP_CONTROL!$C$28</f>
        <v>260207.64</v>
      </c>
      <c r="DA41" s="298" t="n">
        <f aca="false">DA38*SUP_CONTROL!$C$28</f>
        <v>260207.64</v>
      </c>
      <c r="DB41" s="298" t="n">
        <f aca="false">DB38*SUP_CONTROL!$C$28</f>
        <v>260207.64</v>
      </c>
      <c r="DC41" s="298" t="n">
        <f aca="false">DC38*SUP_CONTROL!$C$28</f>
        <v>260207.64</v>
      </c>
      <c r="DD41" s="298" t="n">
        <f aca="false">DD38*SUP_CONTROL!$C$28</f>
        <v>260207.64</v>
      </c>
      <c r="DE41" s="298" t="n">
        <f aca="false">DE38*SUP_CONTROL!$C$28</f>
        <v>260207.64</v>
      </c>
      <c r="DF41" s="298" t="n">
        <f aca="false">DF38*SUP_CONTROL!$C$28</f>
        <v>260207.64</v>
      </c>
      <c r="DG41" s="298" t="n">
        <f aca="false">DG38*SUP_CONTROL!$C$28</f>
        <v>260207.64</v>
      </c>
      <c r="DH41" s="298" t="n">
        <f aca="false">DH38*SUP_CONTROL!$C$28</f>
        <v>260207.64</v>
      </c>
      <c r="DI41" s="298" t="n">
        <f aca="false">DI38*SUP_CONTROL!$C$28</f>
        <v>260207.64</v>
      </c>
      <c r="DJ41" s="298" t="n">
        <f aca="false">DJ38*SUP_CONTROL!$C$28</f>
        <v>260207.64</v>
      </c>
      <c r="DK41" s="298" t="n">
        <f aca="false">DK38*SUP_CONTROL!$C$28</f>
        <v>260207.64</v>
      </c>
      <c r="DL41" s="298" t="n">
        <f aca="false">DL38*SUP_CONTROL!$C$28</f>
        <v>260207.64</v>
      </c>
      <c r="DM41" s="298" t="n">
        <f aca="false">DM38*SUP_CONTROL!$C$28</f>
        <v>260207.64</v>
      </c>
      <c r="DN41" s="298" t="n">
        <f aca="false">DN38*SUP_CONTROL!$C$28</f>
        <v>260207.64</v>
      </c>
      <c r="DO41" s="298" t="n">
        <f aca="false">DO38*SUP_CONTROL!$C$28</f>
        <v>260207.64</v>
      </c>
      <c r="DP41" s="298" t="n">
        <f aca="false">DP38*SUP_CONTROL!$C$28</f>
        <v>260207.64</v>
      </c>
      <c r="DQ41" s="298" t="n">
        <f aca="false">DQ38*SUP_CONTROL!$C$28</f>
        <v>260207.64</v>
      </c>
      <c r="DR41" s="298" t="n">
        <f aca="false">DR38*SUP_CONTROL!$C$28</f>
        <v>260207.64</v>
      </c>
      <c r="DS41" s="298" t="n">
        <f aca="false">DS38*SUP_CONTROL!$C$28</f>
        <v>260207.64</v>
      </c>
    </row>
    <row r="42" customFormat="false" ht="15" hidden="false" customHeight="true" outlineLevel="0" collapsed="false">
      <c r="B42" s="297" t="s">
        <v>3543</v>
      </c>
      <c r="D42" s="273" t="n">
        <f aca="false">D39*SUP_OPEX!$C$30</f>
        <v>0</v>
      </c>
      <c r="E42" s="273" t="n">
        <f aca="false">E39*SUP_OPEX!$C$30</f>
        <v>0</v>
      </c>
      <c r="F42" s="273" t="n">
        <f aca="false">F39*SUP_OPEX!$C$30</f>
        <v>0</v>
      </c>
      <c r="G42" s="273" t="n">
        <f aca="false">G39*SUP_OPEX!$C$30</f>
        <v>0</v>
      </c>
      <c r="H42" s="273" t="n">
        <f aca="false">H39*SUP_OPEX!$C$30</f>
        <v>0</v>
      </c>
      <c r="I42" s="273" t="n">
        <f aca="false">I39*SUP_OPEX!$C$30</f>
        <v>0</v>
      </c>
      <c r="J42" s="273" t="n">
        <f aca="false">J39*SUP_OPEX!$C$30</f>
        <v>0</v>
      </c>
      <c r="K42" s="273" t="n">
        <f aca="false">K39*SUP_OPEX!$C$30</f>
        <v>0</v>
      </c>
      <c r="L42" s="273" t="n">
        <f aca="false">L39*SUP_OPEX!$C$30</f>
        <v>0</v>
      </c>
      <c r="M42" s="273" t="n">
        <f aca="false">M39*SUP_OPEX!$C$30</f>
        <v>0</v>
      </c>
      <c r="N42" s="273" t="n">
        <f aca="false">N39*SUP_OPEX!$C$30</f>
        <v>0</v>
      </c>
      <c r="O42" s="273" t="n">
        <f aca="false">O39*SUP_OPEX!$C$30</f>
        <v>0</v>
      </c>
      <c r="P42" s="273" t="n">
        <f aca="false">P39*SUP_OPEX!$C$30</f>
        <v>0</v>
      </c>
      <c r="Q42" s="273" t="n">
        <f aca="false">Q39*SUP_OPEX!$C$30</f>
        <v>0</v>
      </c>
      <c r="R42" s="273" t="n">
        <f aca="false">R39*SUP_OPEX!$C$30</f>
        <v>0</v>
      </c>
      <c r="S42" s="273" t="n">
        <f aca="false">S39*SUP_OPEX!$C$30</f>
        <v>0</v>
      </c>
      <c r="T42" s="273" t="n">
        <f aca="false">T39*SUP_OPEX!$C$30</f>
        <v>0</v>
      </c>
      <c r="U42" s="273" t="n">
        <f aca="false">U39*SUP_OPEX!$C$30</f>
        <v>0</v>
      </c>
      <c r="V42" s="273" t="n">
        <f aca="false">V39*SUP_OPEX!$C$30</f>
        <v>3351.86344633304</v>
      </c>
      <c r="W42" s="273" t="n">
        <f aca="false">W39*SUP_OPEX!$C$30</f>
        <v>7477.23384181985</v>
      </c>
      <c r="X42" s="273" t="n">
        <f aca="false">X39*SUP_OPEX!$C$30</f>
        <v>8766.41209040948</v>
      </c>
      <c r="Y42" s="273" t="n">
        <f aca="false">Y39*SUP_OPEX!$C$30</f>
        <v>13149.6181356142</v>
      </c>
      <c r="Z42" s="273" t="n">
        <f aca="false">Z39*SUP_OPEX!$C$30</f>
        <v>14438.7963842039</v>
      </c>
      <c r="AA42" s="273" t="n">
        <f aca="false">AA39*SUP_OPEX!$C$30</f>
        <v>14954.4676836397</v>
      </c>
      <c r="AB42" s="273" t="n">
        <f aca="false">AB39*SUP_OPEX!$C$30</f>
        <v>15470.1389830756</v>
      </c>
      <c r="AC42" s="273" t="n">
        <f aca="false">AC39*SUP_OPEX!$C$30</f>
        <v>15470.1389830756</v>
      </c>
      <c r="AD42" s="273" t="n">
        <f aca="false">AD39*SUP_OPEX!$C$30</f>
        <v>15470.1389830756</v>
      </c>
      <c r="AE42" s="273" t="n">
        <f aca="false">AE39*SUP_OPEX!$C$30</f>
        <v>15470.1389830756</v>
      </c>
      <c r="AF42" s="273" t="n">
        <f aca="false">AF39*SUP_OPEX!$C$30</f>
        <v>15470.1389830756</v>
      </c>
      <c r="AG42" s="273" t="n">
        <f aca="false">AG39*SUP_OPEX!$C$30</f>
        <v>15006.0348135833</v>
      </c>
      <c r="AH42" s="273" t="n">
        <f aca="false">AH39*SUP_OPEX!$C$30</f>
        <v>15006.0348135833</v>
      </c>
      <c r="AI42" s="273" t="n">
        <f aca="false">AI39*SUP_OPEX!$C$30</f>
        <v>19232.7346194093</v>
      </c>
      <c r="AJ42" s="273" t="n">
        <f aca="false">AJ39*SUP_OPEX!$C$30</f>
        <v>23459.4344252352</v>
      </c>
      <c r="AK42" s="273" t="n">
        <f aca="false">AK39*SUP_OPEX!$C$30</f>
        <v>24859.997674503</v>
      </c>
      <c r="AL42" s="273" t="n">
        <f aca="false">AL39*SUP_OPEX!$C$30</f>
        <v>29261.7678864874</v>
      </c>
      <c r="AM42" s="273" t="n">
        <f aca="false">AM39*SUP_OPEX!$C$30</f>
        <v>30512.2707876194</v>
      </c>
      <c r="AN42" s="273" t="n">
        <f aca="false">AN39*SUP_OPEX!$C$30</f>
        <v>34263.7794910152</v>
      </c>
      <c r="AO42" s="273" t="n">
        <f aca="false">AO39*SUP_OPEX!$C$30</f>
        <v>35514.2823921471</v>
      </c>
      <c r="AP42" s="273" t="n">
        <f aca="false">AP39*SUP_OPEX!$C$30</f>
        <v>35086.2752136154</v>
      </c>
      <c r="AQ42" s="273" t="n">
        <f aca="false">AQ39*SUP_OPEX!$C$30</f>
        <v>39691.3488354024</v>
      </c>
      <c r="AR42" s="273" t="n">
        <f aca="false">AR39*SUP_OPEX!$C$30</f>
        <v>43809.1130792225</v>
      </c>
      <c r="AS42" s="273" t="n">
        <f aca="false">AS39*SUP_OPEX!$C$30</f>
        <v>48341.0902943145</v>
      </c>
      <c r="AT42" s="273" t="n">
        <f aca="false">AT39*SUP_OPEX!$C$30</f>
        <v>53360.3768873734</v>
      </c>
      <c r="AU42" s="273" t="n">
        <f aca="false">AU39*SUP_OPEX!$C$30</f>
        <v>55065.9597102575</v>
      </c>
      <c r="AV42" s="273" t="n">
        <f aca="false">AV39*SUP_OPEX!$C$30</f>
        <v>56040.5784661912</v>
      </c>
      <c r="AW42" s="273" t="n">
        <f aca="false">AW39*SUP_OPEX!$C$30</f>
        <v>60645.6520879782</v>
      </c>
      <c r="AX42" s="273" t="n">
        <f aca="false">AX39*SUP_OPEX!$C$30</f>
        <v>61595.9053750137</v>
      </c>
      <c r="AY42" s="273" t="n">
        <f aca="false">AY39*SUP_OPEX!$C$30</f>
        <v>65396.9185231553</v>
      </c>
      <c r="AZ42" s="273" t="n">
        <f aca="false">AZ39*SUP_OPEX!$C$30</f>
        <v>69928.8957382473</v>
      </c>
      <c r="BA42" s="273" t="n">
        <f aca="false">BA39*SUP_OPEX!$C$30</f>
        <v>71147.1691831645</v>
      </c>
      <c r="BB42" s="273" t="n">
        <f aca="false">BB39*SUP_OPEX!$C$30</f>
        <v>72121.7879390982</v>
      </c>
      <c r="BC42" s="273" t="n">
        <f aca="false">BC39*SUP_OPEX!$C$30</f>
        <v>72609.0973170651</v>
      </c>
      <c r="BD42" s="273" t="n">
        <f aca="false">BD39*SUP_OPEX!$C$30</f>
        <v>72609.0973170651</v>
      </c>
      <c r="BE42" s="273" t="n">
        <f aca="false">BE39*SUP_OPEX!$C$30</f>
        <v>72609.0973170651</v>
      </c>
      <c r="BF42" s="273" t="n">
        <f aca="false">BF39*SUP_OPEX!$C$30</f>
        <v>70688.2217266666</v>
      </c>
      <c r="BG42" s="273" t="n">
        <f aca="false">BG39*SUP_OPEX!$C$30</f>
        <v>70688.2217266666</v>
      </c>
      <c r="BH42" s="273" t="n">
        <f aca="false">BH39*SUP_OPEX!$C$30</f>
        <v>70688.2217266666</v>
      </c>
      <c r="BI42" s="273" t="n">
        <f aca="false">BI39*SUP_OPEX!$C$30</f>
        <v>76855.6504679194</v>
      </c>
      <c r="BJ42" s="273" t="n">
        <f aca="false">BJ39*SUP_OPEX!$C$30</f>
        <v>81362.6176249887</v>
      </c>
      <c r="BK42" s="273" t="n">
        <f aca="false">BK39*SUP_OPEX!$C$30</f>
        <v>85139.9098933564</v>
      </c>
      <c r="BL42" s="273" t="n">
        <f aca="false">BL39*SUP_OPEX!$C$30</f>
        <v>90453.9026340428</v>
      </c>
      <c r="BM42" s="273" t="n">
        <f aca="false">BM39*SUP_OPEX!$C$30</f>
        <v>95234.1755798132</v>
      </c>
      <c r="BN42" s="273" t="n">
        <f aca="false">BN39*SUP_OPEX!$C$30</f>
        <v>100014.448525583</v>
      </c>
      <c r="BO42" s="273" t="n">
        <f aca="false">BO39*SUP_OPEX!$C$30</f>
        <v>101638.813118806</v>
      </c>
      <c r="BP42" s="273" t="n">
        <f aca="false">BP39*SUP_OPEX!$C$30</f>
        <v>106488.701690001</v>
      </c>
      <c r="BQ42" s="273" t="n">
        <f aca="false">BQ39*SUP_OPEX!$C$30</f>
        <v>108410.608622998</v>
      </c>
      <c r="BR42" s="273" t="n">
        <f aca="false">BR39*SUP_OPEX!$C$30</f>
        <v>112630.862537581</v>
      </c>
      <c r="BS42" s="273" t="n">
        <f aca="false">BS39*SUP_OPEX!$C$30</f>
        <v>117304.907195668</v>
      </c>
      <c r="BT42" s="273" t="n">
        <f aca="false">BT39*SUP_OPEX!$C$30</f>
        <v>122727.706580535</v>
      </c>
      <c r="BU42" s="273" t="n">
        <f aca="false">BU39*SUP_OPEX!$C$30</f>
        <v>127469.819850147</v>
      </c>
      <c r="BV42" s="273" t="n">
        <f aca="false">BV39*SUP_OPEX!$C$30</f>
        <v>132143.864508234</v>
      </c>
      <c r="BW42" s="273" t="n">
        <f aca="false">BW39*SUP_OPEX!$C$30</f>
        <v>134485.785714622</v>
      </c>
      <c r="BX42" s="273" t="n">
        <f aca="false">BX39*SUP_OPEX!$C$30</f>
        <v>139816.151019065</v>
      </c>
      <c r="BY42" s="273" t="n">
        <f aca="false">BY39*SUP_OPEX!$C$30</f>
        <v>141578.070931413</v>
      </c>
      <c r="BZ42" s="273" t="n">
        <f aca="false">BZ39*SUP_OPEX!$C$30</f>
        <v>148402.722743796</v>
      </c>
      <c r="CA42" s="273" t="n">
        <f aca="false">CA39*SUP_OPEX!$C$30</f>
        <v>153220.124023126</v>
      </c>
      <c r="CB42" s="273" t="n">
        <f aca="false">CB39*SUP_OPEX!$C$30</f>
        <v>154946.333697988</v>
      </c>
      <c r="CC42" s="273" t="n">
        <f aca="false">CC39*SUP_OPEX!$C$30</f>
        <v>159767.860347713</v>
      </c>
      <c r="CD42" s="273" t="n">
        <f aca="false">CD39*SUP_OPEX!$C$30</f>
        <v>165005.791571733</v>
      </c>
      <c r="CE42" s="273" t="n">
        <f aca="false">CE39*SUP_OPEX!$C$30</f>
        <v>169586.241888971</v>
      </c>
      <c r="CF42" s="273" t="n">
        <f aca="false">CF39*SUP_OPEX!$C$30</f>
        <v>174100.944115532</v>
      </c>
      <c r="CG42" s="273" t="n">
        <f aca="false">CG39*SUP_OPEX!$C$30</f>
        <v>179329.851091812</v>
      </c>
      <c r="CH42" s="273" t="n">
        <f aca="false">CH39*SUP_OPEX!$C$30</f>
        <v>185155.905432838</v>
      </c>
      <c r="CI42" s="273" t="n">
        <f aca="false">CI39*SUP_OPEX!$C$30</f>
        <v>190115.631990812</v>
      </c>
      <c r="CJ42" s="273" t="n">
        <f aca="false">CJ39*SUP_OPEX!$C$30</f>
        <v>192194.818670138</v>
      </c>
      <c r="CK42" s="273" t="n">
        <f aca="false">CK39*SUP_OPEX!$C$30</f>
        <v>193191.095620648</v>
      </c>
      <c r="CL42" s="273" t="n">
        <f aca="false">CL39*SUP_OPEX!$C$30</f>
        <v>193624.259512174</v>
      </c>
      <c r="CM42" s="273" t="n">
        <f aca="false">CM39*SUP_OPEX!$C$30</f>
        <v>193624.259512174</v>
      </c>
      <c r="CN42" s="273" t="n">
        <f aca="false">CN39*SUP_OPEX!$C$30</f>
        <v>193624.259512174</v>
      </c>
      <c r="CO42" s="273" t="n">
        <f aca="false">CO39*SUP_OPEX!$C$30</f>
        <v>193624.259512174</v>
      </c>
      <c r="CP42" s="273" t="n">
        <f aca="false">CP39*SUP_OPEX!$C$30</f>
        <v>193624.259512174</v>
      </c>
      <c r="CQ42" s="273" t="n">
        <f aca="false">CQ39*SUP_OPEX!$C$30</f>
        <v>193624.259512174</v>
      </c>
      <c r="CR42" s="273" t="n">
        <f aca="false">CR39*SUP_OPEX!$C$30</f>
        <v>193624.259512174</v>
      </c>
      <c r="CS42" s="273" t="n">
        <f aca="false">CS39*SUP_OPEX!$C$30</f>
        <v>193624.259512174</v>
      </c>
      <c r="CT42" s="273" t="n">
        <f aca="false">CT39*SUP_OPEX!$C$30</f>
        <v>193624.259512174</v>
      </c>
      <c r="CU42" s="273" t="n">
        <f aca="false">CU39*SUP_OPEX!$C$30</f>
        <v>193624.259512174</v>
      </c>
      <c r="CV42" s="273" t="n">
        <f aca="false">CV39*SUP_OPEX!$C$30</f>
        <v>193624.259512174</v>
      </c>
      <c r="CW42" s="273" t="n">
        <f aca="false">CW39*SUP_OPEX!$C$30</f>
        <v>193624.259512174</v>
      </c>
      <c r="CX42" s="273" t="n">
        <f aca="false">CX39*SUP_OPEX!$C$30</f>
        <v>193624.259512174</v>
      </c>
      <c r="CY42" s="273" t="n">
        <f aca="false">CY39*SUP_OPEX!$C$30</f>
        <v>193624.259512174</v>
      </c>
      <c r="CZ42" s="273" t="n">
        <f aca="false">CZ39*SUP_OPEX!$C$30</f>
        <v>193624.259512174</v>
      </c>
      <c r="DA42" s="273" t="n">
        <f aca="false">DA39*SUP_OPEX!$C$30</f>
        <v>193624.259512174</v>
      </c>
      <c r="DB42" s="273" t="n">
        <f aca="false">DB39*SUP_OPEX!$C$30</f>
        <v>193624.259512174</v>
      </c>
      <c r="DC42" s="273" t="n">
        <f aca="false">DC39*SUP_OPEX!$C$30</f>
        <v>193624.259512174</v>
      </c>
      <c r="DD42" s="273" t="n">
        <f aca="false">DD39*SUP_OPEX!$C$30</f>
        <v>193624.259512174</v>
      </c>
      <c r="DE42" s="273" t="n">
        <f aca="false">DE39*SUP_OPEX!$C$30</f>
        <v>193624.259512174</v>
      </c>
      <c r="DF42" s="273" t="n">
        <f aca="false">DF39*SUP_OPEX!$C$30</f>
        <v>193624.259512174</v>
      </c>
      <c r="DG42" s="273" t="n">
        <f aca="false">DG39*SUP_OPEX!$C$30</f>
        <v>193624.259512174</v>
      </c>
      <c r="DH42" s="273" t="n">
        <f aca="false">DH39*SUP_OPEX!$C$30</f>
        <v>193624.259512174</v>
      </c>
      <c r="DI42" s="273" t="n">
        <f aca="false">DI39*SUP_OPEX!$C$30</f>
        <v>193624.259512174</v>
      </c>
      <c r="DJ42" s="273" t="n">
        <f aca="false">DJ39*SUP_OPEX!$C$30</f>
        <v>193624.259512174</v>
      </c>
      <c r="DK42" s="273" t="n">
        <f aca="false">DK39*SUP_OPEX!$C$30</f>
        <v>193624.259512174</v>
      </c>
      <c r="DL42" s="273" t="n">
        <f aca="false">DL39*SUP_OPEX!$C$30</f>
        <v>193624.259512174</v>
      </c>
      <c r="DM42" s="273" t="n">
        <f aca="false">DM39*SUP_OPEX!$C$30</f>
        <v>193624.259512174</v>
      </c>
      <c r="DN42" s="273" t="n">
        <f aca="false">DN39*SUP_OPEX!$C$30</f>
        <v>193624.259512174</v>
      </c>
      <c r="DO42" s="273" t="n">
        <f aca="false">DO39*SUP_OPEX!$C$30</f>
        <v>193624.259512174</v>
      </c>
      <c r="DP42" s="273" t="n">
        <f aca="false">DP39*SUP_OPEX!$C$30</f>
        <v>193624.259512174</v>
      </c>
      <c r="DQ42" s="273" t="n">
        <f aca="false">DQ39*SUP_OPEX!$C$30</f>
        <v>193624.259512174</v>
      </c>
      <c r="DR42" s="273" t="n">
        <f aca="false">DR39*SUP_OPEX!$C$30</f>
        <v>193624.259512174</v>
      </c>
      <c r="DS42" s="273" t="n">
        <f aca="false">DS39*SUP_OPEX!$C$30</f>
        <v>193624.259512174</v>
      </c>
    </row>
    <row r="43" customFormat="false" ht="15" hidden="false" customHeight="true" outlineLevel="0" collapsed="false">
      <c r="B43" s="297" t="s">
        <v>3544</v>
      </c>
      <c r="D43" s="273" t="n">
        <f aca="false">IF(D56=0,0,IF(D56=0,0,INDEX(SUP_C3_EXPANSION!$H$20:$H$59,D56))*SUP_OPEX!$D$15+IF(D56=0,0,INDEX(SUP_C3_EXPANSION!$I$20:$I$59,D56))*SUP_OPEX!$E$15+IF(D56=0,0,INDEX(SUP_C3_EXPANSION!$J$20:$J$59,D56))*SUP_OPEX!$F$15+IF(D56=0,0,INDEX(SUP_C3_EXPANSION!$H$20:$H$59,D56))*SUP_OPEX!$D$20+IF(D56=0,0,INDEX(SUP_C3_EXPANSION!$I$20:$I$59,D56))*SUP_OPEX!$E$20+IF(D56=0,0,INDEX(SUP_C3_EXPANSION!$J$20:$J$59,D56))*SUP_OPEX!$F$20)</f>
        <v>0</v>
      </c>
      <c r="E43" s="273" t="n">
        <f aca="false">IF(E56=0,0,IF(E56=0,0,INDEX(SUP_C3_EXPANSION!$H$20:$H$59,E56))*SUP_OPEX!$D$15+IF(E56=0,0,INDEX(SUP_C3_EXPANSION!$I$20:$I$59,E56))*SUP_OPEX!$E$15+IF(E56=0,0,INDEX(SUP_C3_EXPANSION!$J$20:$J$59,E56))*SUP_OPEX!$F$15+IF(E56=0,0,INDEX(SUP_C3_EXPANSION!$H$20:$H$59,E56))*SUP_OPEX!$D$20+IF(E56=0,0,INDEX(SUP_C3_EXPANSION!$I$20:$I$59,E56))*SUP_OPEX!$E$20+IF(E56=0,0,INDEX(SUP_C3_EXPANSION!$J$20:$J$59,E56))*SUP_OPEX!$F$20)</f>
        <v>0</v>
      </c>
      <c r="F43" s="273" t="n">
        <f aca="false">IF(F56=0,0,IF(F56=0,0,INDEX(SUP_C3_EXPANSION!$H$20:$H$59,F56))*SUP_OPEX!$D$15+IF(F56=0,0,INDEX(SUP_C3_EXPANSION!$I$20:$I$59,F56))*SUP_OPEX!$E$15+IF(F56=0,0,INDEX(SUP_C3_EXPANSION!$J$20:$J$59,F56))*SUP_OPEX!$F$15+IF(F56=0,0,INDEX(SUP_C3_EXPANSION!$H$20:$H$59,F56))*SUP_OPEX!$D$20+IF(F56=0,0,INDEX(SUP_C3_EXPANSION!$I$20:$I$59,F56))*SUP_OPEX!$E$20+IF(F56=0,0,INDEX(SUP_C3_EXPANSION!$J$20:$J$59,F56))*SUP_OPEX!$F$20)</f>
        <v>0</v>
      </c>
      <c r="G43" s="273" t="n">
        <f aca="false">IF(G56=0,0,IF(G56=0,0,INDEX(SUP_C3_EXPANSION!$H$20:$H$59,G56))*SUP_OPEX!$D$15+IF(G56=0,0,INDEX(SUP_C3_EXPANSION!$I$20:$I$59,G56))*SUP_OPEX!$E$15+IF(G56=0,0,INDEX(SUP_C3_EXPANSION!$J$20:$J$59,G56))*SUP_OPEX!$F$15+IF(G56=0,0,INDEX(SUP_C3_EXPANSION!$H$20:$H$59,G56))*SUP_OPEX!$D$20+IF(G56=0,0,INDEX(SUP_C3_EXPANSION!$I$20:$I$59,G56))*SUP_OPEX!$E$20+IF(G56=0,0,INDEX(SUP_C3_EXPANSION!$J$20:$J$59,G56))*SUP_OPEX!$F$20)</f>
        <v>0</v>
      </c>
      <c r="H43" s="273" t="n">
        <f aca="false">IF(H56=0,0,IF(H56=0,0,INDEX(SUP_C3_EXPANSION!$H$20:$H$59,H56))*SUP_OPEX!$D$15+IF(H56=0,0,INDEX(SUP_C3_EXPANSION!$I$20:$I$59,H56))*SUP_OPEX!$E$15+IF(H56=0,0,INDEX(SUP_C3_EXPANSION!$J$20:$J$59,H56))*SUP_OPEX!$F$15+IF(H56=0,0,INDEX(SUP_C3_EXPANSION!$H$20:$H$59,H56))*SUP_OPEX!$D$20+IF(H56=0,0,INDEX(SUP_C3_EXPANSION!$I$20:$I$59,H56))*SUP_OPEX!$E$20+IF(H56=0,0,INDEX(SUP_C3_EXPANSION!$J$20:$J$59,H56))*SUP_OPEX!$F$20)</f>
        <v>0</v>
      </c>
      <c r="I43" s="273" t="n">
        <f aca="false">IF(I56=0,0,IF(I56=0,0,INDEX(SUP_C3_EXPANSION!$H$20:$H$59,I56))*SUP_OPEX!$D$15+IF(I56=0,0,INDEX(SUP_C3_EXPANSION!$I$20:$I$59,I56))*SUP_OPEX!$E$15+IF(I56=0,0,INDEX(SUP_C3_EXPANSION!$J$20:$J$59,I56))*SUP_OPEX!$F$15+IF(I56=0,0,INDEX(SUP_C3_EXPANSION!$H$20:$H$59,I56))*SUP_OPEX!$D$20+IF(I56=0,0,INDEX(SUP_C3_EXPANSION!$I$20:$I$59,I56))*SUP_OPEX!$E$20+IF(I56=0,0,INDEX(SUP_C3_EXPANSION!$J$20:$J$59,I56))*SUP_OPEX!$F$20)</f>
        <v>0</v>
      </c>
      <c r="J43" s="273" t="n">
        <f aca="false">IF(J56=0,0,IF(J56=0,0,INDEX(SUP_C3_EXPANSION!$H$20:$H$59,J56))*SUP_OPEX!$D$15+IF(J56=0,0,INDEX(SUP_C3_EXPANSION!$I$20:$I$59,J56))*SUP_OPEX!$E$15+IF(J56=0,0,INDEX(SUP_C3_EXPANSION!$J$20:$J$59,J56))*SUP_OPEX!$F$15+IF(J56=0,0,INDEX(SUP_C3_EXPANSION!$H$20:$H$59,J56))*SUP_OPEX!$D$20+IF(J56=0,0,INDEX(SUP_C3_EXPANSION!$I$20:$I$59,J56))*SUP_OPEX!$E$20+IF(J56=0,0,INDEX(SUP_C3_EXPANSION!$J$20:$J$59,J56))*SUP_OPEX!$F$20)</f>
        <v>0</v>
      </c>
      <c r="K43" s="273" t="n">
        <f aca="false">IF(K56=0,0,IF(K56=0,0,INDEX(SUP_C3_EXPANSION!$H$20:$H$59,K56))*SUP_OPEX!$D$15+IF(K56=0,0,INDEX(SUP_C3_EXPANSION!$I$20:$I$59,K56))*SUP_OPEX!$E$15+IF(K56=0,0,INDEX(SUP_C3_EXPANSION!$J$20:$J$59,K56))*SUP_OPEX!$F$15+IF(K56=0,0,INDEX(SUP_C3_EXPANSION!$H$20:$H$59,K56))*SUP_OPEX!$D$20+IF(K56=0,0,INDEX(SUP_C3_EXPANSION!$I$20:$I$59,K56))*SUP_OPEX!$E$20+IF(K56=0,0,INDEX(SUP_C3_EXPANSION!$J$20:$J$59,K56))*SUP_OPEX!$F$20)</f>
        <v>0</v>
      </c>
      <c r="L43" s="273" t="n">
        <f aca="false">IF(L56=0,0,IF(L56=0,0,INDEX(SUP_C3_EXPANSION!$H$20:$H$59,L56))*SUP_OPEX!$D$15+IF(L56=0,0,INDEX(SUP_C3_EXPANSION!$I$20:$I$59,L56))*SUP_OPEX!$E$15+IF(L56=0,0,INDEX(SUP_C3_EXPANSION!$J$20:$J$59,L56))*SUP_OPEX!$F$15+IF(L56=0,0,INDEX(SUP_C3_EXPANSION!$H$20:$H$59,L56))*SUP_OPEX!$D$20+IF(L56=0,0,INDEX(SUP_C3_EXPANSION!$I$20:$I$59,L56))*SUP_OPEX!$E$20+IF(L56=0,0,INDEX(SUP_C3_EXPANSION!$J$20:$J$59,L56))*SUP_OPEX!$F$20)</f>
        <v>0</v>
      </c>
      <c r="M43" s="273" t="n">
        <f aca="false">IF(M56=0,0,IF(M56=0,0,INDEX(SUP_C3_EXPANSION!$H$20:$H$59,M56))*SUP_OPEX!$D$15+IF(M56=0,0,INDEX(SUP_C3_EXPANSION!$I$20:$I$59,M56))*SUP_OPEX!$E$15+IF(M56=0,0,INDEX(SUP_C3_EXPANSION!$J$20:$J$59,M56))*SUP_OPEX!$F$15+IF(M56=0,0,INDEX(SUP_C3_EXPANSION!$H$20:$H$59,M56))*SUP_OPEX!$D$20+IF(M56=0,0,INDEX(SUP_C3_EXPANSION!$I$20:$I$59,M56))*SUP_OPEX!$E$20+IF(M56=0,0,INDEX(SUP_C3_EXPANSION!$J$20:$J$59,M56))*SUP_OPEX!$F$20)</f>
        <v>0</v>
      </c>
      <c r="N43" s="273" t="n">
        <f aca="false">IF(N56=0,0,IF(N56=0,0,INDEX(SUP_C3_EXPANSION!$H$20:$H$59,N56))*SUP_OPEX!$D$15+IF(N56=0,0,INDEX(SUP_C3_EXPANSION!$I$20:$I$59,N56))*SUP_OPEX!$E$15+IF(N56=0,0,INDEX(SUP_C3_EXPANSION!$J$20:$J$59,N56))*SUP_OPEX!$F$15+IF(N56=0,0,INDEX(SUP_C3_EXPANSION!$H$20:$H$59,N56))*SUP_OPEX!$D$20+IF(N56=0,0,INDEX(SUP_C3_EXPANSION!$I$20:$I$59,N56))*SUP_OPEX!$E$20+IF(N56=0,0,INDEX(SUP_C3_EXPANSION!$J$20:$J$59,N56))*SUP_OPEX!$F$20)</f>
        <v>0</v>
      </c>
      <c r="O43" s="273" t="n">
        <f aca="false">IF(O56=0,0,IF(O56=0,0,INDEX(SUP_C3_EXPANSION!$H$20:$H$59,O56))*SUP_OPEX!$D$15+IF(O56=0,0,INDEX(SUP_C3_EXPANSION!$I$20:$I$59,O56))*SUP_OPEX!$E$15+IF(O56=0,0,INDEX(SUP_C3_EXPANSION!$J$20:$J$59,O56))*SUP_OPEX!$F$15+IF(O56=0,0,INDEX(SUP_C3_EXPANSION!$H$20:$H$59,O56))*SUP_OPEX!$D$20+IF(O56=0,0,INDEX(SUP_C3_EXPANSION!$I$20:$I$59,O56))*SUP_OPEX!$E$20+IF(O56=0,0,INDEX(SUP_C3_EXPANSION!$J$20:$J$59,O56))*SUP_OPEX!$F$20)</f>
        <v>0</v>
      </c>
      <c r="P43" s="273" t="n">
        <f aca="false">IF(P56=0,0,IF(P56=0,0,INDEX(SUP_C3_EXPANSION!$H$20:$H$59,P56))*SUP_OPEX!$D$15+IF(P56=0,0,INDEX(SUP_C3_EXPANSION!$I$20:$I$59,P56))*SUP_OPEX!$E$15+IF(P56=0,0,INDEX(SUP_C3_EXPANSION!$J$20:$J$59,P56))*SUP_OPEX!$F$15+IF(P56=0,0,INDEX(SUP_C3_EXPANSION!$H$20:$H$59,P56))*SUP_OPEX!$D$20+IF(P56=0,0,INDEX(SUP_C3_EXPANSION!$I$20:$I$59,P56))*SUP_OPEX!$E$20+IF(P56=0,0,INDEX(SUP_C3_EXPANSION!$J$20:$J$59,P56))*SUP_OPEX!$F$20)</f>
        <v>0</v>
      </c>
      <c r="Q43" s="273" t="n">
        <f aca="false">IF(Q56=0,0,IF(Q56=0,0,INDEX(SUP_C3_EXPANSION!$H$20:$H$59,Q56))*SUP_OPEX!$D$15+IF(Q56=0,0,INDEX(SUP_C3_EXPANSION!$I$20:$I$59,Q56))*SUP_OPEX!$E$15+IF(Q56=0,0,INDEX(SUP_C3_EXPANSION!$J$20:$J$59,Q56))*SUP_OPEX!$F$15+IF(Q56=0,0,INDEX(SUP_C3_EXPANSION!$H$20:$H$59,Q56))*SUP_OPEX!$D$20+IF(Q56=0,0,INDEX(SUP_C3_EXPANSION!$I$20:$I$59,Q56))*SUP_OPEX!$E$20+IF(Q56=0,0,INDEX(SUP_C3_EXPANSION!$J$20:$J$59,Q56))*SUP_OPEX!$F$20)</f>
        <v>0</v>
      </c>
      <c r="R43" s="273" t="n">
        <f aca="false">IF(R56=0,0,IF(R56=0,0,INDEX(SUP_C3_EXPANSION!$H$20:$H$59,R56))*SUP_OPEX!$D$15+IF(R56=0,0,INDEX(SUP_C3_EXPANSION!$I$20:$I$59,R56))*SUP_OPEX!$E$15+IF(R56=0,0,INDEX(SUP_C3_EXPANSION!$J$20:$J$59,R56))*SUP_OPEX!$F$15+IF(R56=0,0,INDEX(SUP_C3_EXPANSION!$H$20:$H$59,R56))*SUP_OPEX!$D$20+IF(R56=0,0,INDEX(SUP_C3_EXPANSION!$I$20:$I$59,R56))*SUP_OPEX!$E$20+IF(R56=0,0,INDEX(SUP_C3_EXPANSION!$J$20:$J$59,R56))*SUP_OPEX!$F$20)</f>
        <v>0</v>
      </c>
      <c r="S43" s="273" t="n">
        <f aca="false">IF(S56=0,0,IF(S56=0,0,INDEX(SUP_C3_EXPANSION!$H$20:$H$59,S56))*SUP_OPEX!$D$15+IF(S56=0,0,INDEX(SUP_C3_EXPANSION!$I$20:$I$59,S56))*SUP_OPEX!$E$15+IF(S56=0,0,INDEX(SUP_C3_EXPANSION!$J$20:$J$59,S56))*SUP_OPEX!$F$15+IF(S56=0,0,INDEX(SUP_C3_EXPANSION!$H$20:$H$59,S56))*SUP_OPEX!$D$20+IF(S56=0,0,INDEX(SUP_C3_EXPANSION!$I$20:$I$59,S56))*SUP_OPEX!$E$20+IF(S56=0,0,INDEX(SUP_C3_EXPANSION!$J$20:$J$59,S56))*SUP_OPEX!$F$20)</f>
        <v>0</v>
      </c>
      <c r="T43" s="273" t="n">
        <f aca="false">IF(T56=0,0,IF(T56=0,0,INDEX(SUP_C3_EXPANSION!$H$20:$H$59,T56))*SUP_OPEX!$D$15+IF(T56=0,0,INDEX(SUP_C3_EXPANSION!$I$20:$I$59,T56))*SUP_OPEX!$E$15+IF(T56=0,0,INDEX(SUP_C3_EXPANSION!$J$20:$J$59,T56))*SUP_OPEX!$F$15+IF(T56=0,0,INDEX(SUP_C3_EXPANSION!$H$20:$H$59,T56))*SUP_OPEX!$D$20+IF(T56=0,0,INDEX(SUP_C3_EXPANSION!$I$20:$I$59,T56))*SUP_OPEX!$E$20+IF(T56=0,0,INDEX(SUP_C3_EXPANSION!$J$20:$J$59,T56))*SUP_OPEX!$F$20)</f>
        <v>0</v>
      </c>
      <c r="U43" s="273" t="n">
        <f aca="false">IF(U56=0,0,IF(U56=0,0,INDEX(SUP_C3_EXPANSION!$H$20:$H$59,U56))*SUP_OPEX!$D$15+IF(U56=0,0,INDEX(SUP_C3_EXPANSION!$I$20:$I$59,U56))*SUP_OPEX!$E$15+IF(U56=0,0,INDEX(SUP_C3_EXPANSION!$J$20:$J$59,U56))*SUP_OPEX!$F$15+IF(U56=0,0,INDEX(SUP_C3_EXPANSION!$H$20:$H$59,U56))*SUP_OPEX!$D$20+IF(U56=0,0,INDEX(SUP_C3_EXPANSION!$I$20:$I$59,U56))*SUP_OPEX!$E$20+IF(U56=0,0,INDEX(SUP_C3_EXPANSION!$J$20:$J$59,U56))*SUP_OPEX!$F$20)</f>
        <v>0</v>
      </c>
      <c r="V43" s="273" t="n">
        <f aca="false">IF(V56=0,0,IF(V56=0,0,INDEX(SUP_C3_EXPANSION!$H$20:$H$59,V56))*SUP_OPEX!$D$15+IF(V56=0,0,INDEX(SUP_C3_EXPANSION!$I$20:$I$59,V56))*SUP_OPEX!$E$15+IF(V56=0,0,INDEX(SUP_C3_EXPANSION!$J$20:$J$59,V56))*SUP_OPEX!$F$15+IF(V56=0,0,INDEX(SUP_C3_EXPANSION!$H$20:$H$59,V56))*SUP_OPEX!$D$20+IF(V56=0,0,INDEX(SUP_C3_EXPANSION!$I$20:$I$59,V56))*SUP_OPEX!$E$20+IF(V56=0,0,INDEX(SUP_C3_EXPANSION!$J$20:$J$59,V56))*SUP_OPEX!$F$20)</f>
        <v>6245</v>
      </c>
      <c r="W43" s="273" t="n">
        <f aca="false">IF(W56=0,0,IF(W56=0,0,INDEX(SUP_C3_EXPANSION!$H$20:$H$59,W56))*SUP_OPEX!$D$15+IF(W56=0,0,INDEX(SUP_C3_EXPANSION!$I$20:$I$59,W56))*SUP_OPEX!$E$15+IF(W56=0,0,INDEX(SUP_C3_EXPANSION!$J$20:$J$59,W56))*SUP_OPEX!$F$15+IF(W56=0,0,INDEX(SUP_C3_EXPANSION!$H$20:$H$59,W56))*SUP_OPEX!$D$20+IF(W56=0,0,INDEX(SUP_C3_EXPANSION!$I$20:$I$59,W56))*SUP_OPEX!$E$20+IF(W56=0,0,INDEX(SUP_C3_EXPANSION!$J$20:$J$59,W56))*SUP_OPEX!$F$20)</f>
        <v>12490</v>
      </c>
      <c r="X43" s="273" t="n">
        <f aca="false">IF(X56=0,0,IF(X56=0,0,INDEX(SUP_C3_EXPANSION!$H$20:$H$59,X56))*SUP_OPEX!$D$15+IF(X56=0,0,INDEX(SUP_C3_EXPANSION!$I$20:$I$59,X56))*SUP_OPEX!$E$15+IF(X56=0,0,INDEX(SUP_C3_EXPANSION!$J$20:$J$59,X56))*SUP_OPEX!$F$15+IF(X56=0,0,INDEX(SUP_C3_EXPANSION!$H$20:$H$59,X56))*SUP_OPEX!$D$20+IF(X56=0,0,INDEX(SUP_C3_EXPANSION!$I$20:$I$59,X56))*SUP_OPEX!$E$20+IF(X56=0,0,INDEX(SUP_C3_EXPANSION!$J$20:$J$59,X56))*SUP_OPEX!$F$20)</f>
        <v>12490</v>
      </c>
      <c r="Y43" s="273" t="n">
        <f aca="false">IF(Y56=0,0,IF(Y56=0,0,INDEX(SUP_C3_EXPANSION!$H$20:$H$59,Y56))*SUP_OPEX!$D$15+IF(Y56=0,0,INDEX(SUP_C3_EXPANSION!$I$20:$I$59,Y56))*SUP_OPEX!$E$15+IF(Y56=0,0,INDEX(SUP_C3_EXPANSION!$J$20:$J$59,Y56))*SUP_OPEX!$F$15+IF(Y56=0,0,INDEX(SUP_C3_EXPANSION!$H$20:$H$59,Y56))*SUP_OPEX!$D$20+IF(Y56=0,0,INDEX(SUP_C3_EXPANSION!$I$20:$I$59,Y56))*SUP_OPEX!$E$20+IF(Y56=0,0,INDEX(SUP_C3_EXPANSION!$J$20:$J$59,Y56))*SUP_OPEX!$F$20)</f>
        <v>18735</v>
      </c>
      <c r="Z43" s="273" t="n">
        <f aca="false">IF(Z56=0,0,IF(Z56=0,0,INDEX(SUP_C3_EXPANSION!$H$20:$H$59,Z56))*SUP_OPEX!$D$15+IF(Z56=0,0,INDEX(SUP_C3_EXPANSION!$I$20:$I$59,Z56))*SUP_OPEX!$E$15+IF(Z56=0,0,INDEX(SUP_C3_EXPANSION!$J$20:$J$59,Z56))*SUP_OPEX!$F$15+IF(Z56=0,0,INDEX(SUP_C3_EXPANSION!$H$20:$H$59,Z56))*SUP_OPEX!$D$20+IF(Z56=0,0,INDEX(SUP_C3_EXPANSION!$I$20:$I$59,Z56))*SUP_OPEX!$E$20+IF(Z56=0,0,INDEX(SUP_C3_EXPANSION!$J$20:$J$59,Z56))*SUP_OPEX!$F$20)</f>
        <v>18735</v>
      </c>
      <c r="AA43" s="273" t="n">
        <f aca="false">IF(AA56=0,0,IF(AA56=0,0,INDEX(SUP_C3_EXPANSION!$H$20:$H$59,AA56))*SUP_OPEX!$D$15+IF(AA56=0,0,INDEX(SUP_C3_EXPANSION!$I$20:$I$59,AA56))*SUP_OPEX!$E$15+IF(AA56=0,0,INDEX(SUP_C3_EXPANSION!$J$20:$J$59,AA56))*SUP_OPEX!$F$15+IF(AA56=0,0,INDEX(SUP_C3_EXPANSION!$H$20:$H$59,AA56))*SUP_OPEX!$D$20+IF(AA56=0,0,INDEX(SUP_C3_EXPANSION!$I$20:$I$59,AA56))*SUP_OPEX!$E$20+IF(AA56=0,0,INDEX(SUP_C3_EXPANSION!$J$20:$J$59,AA56))*SUP_OPEX!$F$20)</f>
        <v>18735</v>
      </c>
      <c r="AB43" s="273" t="n">
        <f aca="false">IF(AB56=0,0,IF(AB56=0,0,INDEX(SUP_C3_EXPANSION!$H$20:$H$59,AB56))*SUP_OPEX!$D$15+IF(AB56=0,0,INDEX(SUP_C3_EXPANSION!$I$20:$I$59,AB56))*SUP_OPEX!$E$15+IF(AB56=0,0,INDEX(SUP_C3_EXPANSION!$J$20:$J$59,AB56))*SUP_OPEX!$F$15+IF(AB56=0,0,INDEX(SUP_C3_EXPANSION!$H$20:$H$59,AB56))*SUP_OPEX!$D$20+IF(AB56=0,0,INDEX(SUP_C3_EXPANSION!$I$20:$I$59,AB56))*SUP_OPEX!$E$20+IF(AB56=0,0,INDEX(SUP_C3_EXPANSION!$J$20:$J$59,AB56))*SUP_OPEX!$F$20)</f>
        <v>18735</v>
      </c>
      <c r="AC43" s="273" t="n">
        <f aca="false">IF(AC56=0,0,IF(AC56=0,0,INDEX(SUP_C3_EXPANSION!$H$20:$H$59,AC56))*SUP_OPEX!$D$15+IF(AC56=0,0,INDEX(SUP_C3_EXPANSION!$I$20:$I$59,AC56))*SUP_OPEX!$E$15+IF(AC56=0,0,INDEX(SUP_C3_EXPANSION!$J$20:$J$59,AC56))*SUP_OPEX!$F$15+IF(AC56=0,0,INDEX(SUP_C3_EXPANSION!$H$20:$H$59,AC56))*SUP_OPEX!$D$20+IF(AC56=0,0,INDEX(SUP_C3_EXPANSION!$I$20:$I$59,AC56))*SUP_OPEX!$E$20+IF(AC56=0,0,INDEX(SUP_C3_EXPANSION!$J$20:$J$59,AC56))*SUP_OPEX!$F$20)</f>
        <v>18735</v>
      </c>
      <c r="AD43" s="273" t="n">
        <f aca="false">IF(AD56=0,0,IF(AD56=0,0,INDEX(SUP_C3_EXPANSION!$H$20:$H$59,AD56))*SUP_OPEX!$D$15+IF(AD56=0,0,INDEX(SUP_C3_EXPANSION!$I$20:$I$59,AD56))*SUP_OPEX!$E$15+IF(AD56=0,0,INDEX(SUP_C3_EXPANSION!$J$20:$J$59,AD56))*SUP_OPEX!$F$15+IF(AD56=0,0,INDEX(SUP_C3_EXPANSION!$H$20:$H$59,AD56))*SUP_OPEX!$D$20+IF(AD56=0,0,INDEX(SUP_C3_EXPANSION!$I$20:$I$59,AD56))*SUP_OPEX!$E$20+IF(AD56=0,0,INDEX(SUP_C3_EXPANSION!$J$20:$J$59,AD56))*SUP_OPEX!$F$20)</f>
        <v>18735</v>
      </c>
      <c r="AE43" s="273" t="n">
        <f aca="false">IF(AE56=0,0,IF(AE56=0,0,INDEX(SUP_C3_EXPANSION!$H$20:$H$59,AE56))*SUP_OPEX!$D$15+IF(AE56=0,0,INDEX(SUP_C3_EXPANSION!$I$20:$I$59,AE56))*SUP_OPEX!$E$15+IF(AE56=0,0,INDEX(SUP_C3_EXPANSION!$J$20:$J$59,AE56))*SUP_OPEX!$F$15+IF(AE56=0,0,INDEX(SUP_C3_EXPANSION!$H$20:$H$59,AE56))*SUP_OPEX!$D$20+IF(AE56=0,0,INDEX(SUP_C3_EXPANSION!$I$20:$I$59,AE56))*SUP_OPEX!$E$20+IF(AE56=0,0,INDEX(SUP_C3_EXPANSION!$J$20:$J$59,AE56))*SUP_OPEX!$F$20)</f>
        <v>18735</v>
      </c>
      <c r="AF43" s="273" t="n">
        <f aca="false">IF(AF56=0,0,IF(AF56=0,0,INDEX(SUP_C3_EXPANSION!$H$20:$H$59,AF56))*SUP_OPEX!$D$15+IF(AF56=0,0,INDEX(SUP_C3_EXPANSION!$I$20:$I$59,AF56))*SUP_OPEX!$E$15+IF(AF56=0,0,INDEX(SUP_C3_EXPANSION!$J$20:$J$59,AF56))*SUP_OPEX!$F$15+IF(AF56=0,0,INDEX(SUP_C3_EXPANSION!$H$20:$H$59,AF56))*SUP_OPEX!$D$20+IF(AF56=0,0,INDEX(SUP_C3_EXPANSION!$I$20:$I$59,AF56))*SUP_OPEX!$E$20+IF(AF56=0,0,INDEX(SUP_C3_EXPANSION!$J$20:$J$59,AF56))*SUP_OPEX!$F$20)</f>
        <v>18735</v>
      </c>
      <c r="AG43" s="273" t="n">
        <f aca="false">IF(AG56=0,0,IF(AG56=0,0,INDEX(SUP_C3_EXPANSION!$H$20:$H$59,AG56))*SUP_OPEX!$D$15+IF(AG56=0,0,INDEX(SUP_C3_EXPANSION!$I$20:$I$59,AG56))*SUP_OPEX!$E$15+IF(AG56=0,0,INDEX(SUP_C3_EXPANSION!$J$20:$J$59,AG56))*SUP_OPEX!$F$15+IF(AG56=0,0,INDEX(SUP_C3_EXPANSION!$H$20:$H$59,AG56))*SUP_OPEX!$D$20+IF(AG56=0,0,INDEX(SUP_C3_EXPANSION!$I$20:$I$59,AG56))*SUP_OPEX!$E$20+IF(AG56=0,0,INDEX(SUP_C3_EXPANSION!$J$20:$J$59,AG56))*SUP_OPEX!$F$20)</f>
        <v>18735</v>
      </c>
      <c r="AH43" s="273" t="n">
        <f aca="false">IF(AH56=0,0,IF(AH56=0,0,INDEX(SUP_C3_EXPANSION!$H$20:$H$59,AH56))*SUP_OPEX!$D$15+IF(AH56=0,0,INDEX(SUP_C3_EXPANSION!$I$20:$I$59,AH56))*SUP_OPEX!$E$15+IF(AH56=0,0,INDEX(SUP_C3_EXPANSION!$J$20:$J$59,AH56))*SUP_OPEX!$F$15+IF(AH56=0,0,INDEX(SUP_C3_EXPANSION!$H$20:$H$59,AH56))*SUP_OPEX!$D$20+IF(AH56=0,0,INDEX(SUP_C3_EXPANSION!$I$20:$I$59,AH56))*SUP_OPEX!$E$20+IF(AH56=0,0,INDEX(SUP_C3_EXPANSION!$J$20:$J$59,AH56))*SUP_OPEX!$F$20)</f>
        <v>18735</v>
      </c>
      <c r="AI43" s="273" t="n">
        <f aca="false">IF(AI56=0,0,IF(AI56=0,0,INDEX(SUP_C3_EXPANSION!$H$20:$H$59,AI56))*SUP_OPEX!$D$15+IF(AI56=0,0,INDEX(SUP_C3_EXPANSION!$I$20:$I$59,AI56))*SUP_OPEX!$E$15+IF(AI56=0,0,INDEX(SUP_C3_EXPANSION!$J$20:$J$59,AI56))*SUP_OPEX!$F$15+IF(AI56=0,0,INDEX(SUP_C3_EXPANSION!$H$20:$H$59,AI56))*SUP_OPEX!$D$20+IF(AI56=0,0,INDEX(SUP_C3_EXPANSION!$I$20:$I$59,AI56))*SUP_OPEX!$E$20+IF(AI56=0,0,INDEX(SUP_C3_EXPANSION!$J$20:$J$59,AI56))*SUP_OPEX!$F$20)</f>
        <v>27260</v>
      </c>
      <c r="AJ43" s="273" t="n">
        <f aca="false">IF(AJ56=0,0,IF(AJ56=0,0,INDEX(SUP_C3_EXPANSION!$H$20:$H$59,AJ56))*SUP_OPEX!$D$15+IF(AJ56=0,0,INDEX(SUP_C3_EXPANSION!$I$20:$I$59,AJ56))*SUP_OPEX!$E$15+IF(AJ56=0,0,INDEX(SUP_C3_EXPANSION!$J$20:$J$59,AJ56))*SUP_OPEX!$F$15+IF(AJ56=0,0,INDEX(SUP_C3_EXPANSION!$H$20:$H$59,AJ56))*SUP_OPEX!$D$20+IF(AJ56=0,0,INDEX(SUP_C3_EXPANSION!$I$20:$I$59,AJ56))*SUP_OPEX!$E$20+IF(AJ56=0,0,INDEX(SUP_C3_EXPANSION!$J$20:$J$59,AJ56))*SUP_OPEX!$F$20)</f>
        <v>33505</v>
      </c>
      <c r="AK43" s="273" t="n">
        <f aca="false">IF(AK56=0,0,IF(AK56=0,0,INDEX(SUP_C3_EXPANSION!$H$20:$H$59,AK56))*SUP_OPEX!$D$15+IF(AK56=0,0,INDEX(SUP_C3_EXPANSION!$I$20:$I$59,AK56))*SUP_OPEX!$E$15+IF(AK56=0,0,INDEX(SUP_C3_EXPANSION!$J$20:$J$59,AK56))*SUP_OPEX!$F$15+IF(AK56=0,0,INDEX(SUP_C3_EXPANSION!$H$20:$H$59,AK56))*SUP_OPEX!$D$20+IF(AK56=0,0,INDEX(SUP_C3_EXPANSION!$I$20:$I$59,AK56))*SUP_OPEX!$E$20+IF(AK56=0,0,INDEX(SUP_C3_EXPANSION!$J$20:$J$59,AK56))*SUP_OPEX!$F$20)</f>
        <v>33505</v>
      </c>
      <c r="AL43" s="273" t="n">
        <f aca="false">IF(AL56=0,0,IF(AL56=0,0,INDEX(SUP_C3_EXPANSION!$H$20:$H$59,AL56))*SUP_OPEX!$D$15+IF(AL56=0,0,INDEX(SUP_C3_EXPANSION!$I$20:$I$59,AL56))*SUP_OPEX!$E$15+IF(AL56=0,0,INDEX(SUP_C3_EXPANSION!$J$20:$J$59,AL56))*SUP_OPEX!$F$15+IF(AL56=0,0,INDEX(SUP_C3_EXPANSION!$H$20:$H$59,AL56))*SUP_OPEX!$D$20+IF(AL56=0,0,INDEX(SUP_C3_EXPANSION!$I$20:$I$59,AL56))*SUP_OPEX!$E$20+IF(AL56=0,0,INDEX(SUP_C3_EXPANSION!$J$20:$J$59,AL56))*SUP_OPEX!$F$20)</f>
        <v>39750</v>
      </c>
      <c r="AM43" s="273" t="n">
        <f aca="false">IF(AM56=0,0,IF(AM56=0,0,INDEX(SUP_C3_EXPANSION!$H$20:$H$59,AM56))*SUP_OPEX!$D$15+IF(AM56=0,0,INDEX(SUP_C3_EXPANSION!$I$20:$I$59,AM56))*SUP_OPEX!$E$15+IF(AM56=0,0,INDEX(SUP_C3_EXPANSION!$J$20:$J$59,AM56))*SUP_OPEX!$F$15+IF(AM56=0,0,INDEX(SUP_C3_EXPANSION!$H$20:$H$59,AM56))*SUP_OPEX!$D$20+IF(AM56=0,0,INDEX(SUP_C3_EXPANSION!$I$20:$I$59,AM56))*SUP_OPEX!$E$20+IF(AM56=0,0,INDEX(SUP_C3_EXPANSION!$J$20:$J$59,AM56))*SUP_OPEX!$F$20)</f>
        <v>39750</v>
      </c>
      <c r="AN43" s="273" t="n">
        <f aca="false">IF(AN56=0,0,IF(AN56=0,0,INDEX(SUP_C3_EXPANSION!$H$20:$H$59,AN56))*SUP_OPEX!$D$15+IF(AN56=0,0,INDEX(SUP_C3_EXPANSION!$I$20:$I$59,AN56))*SUP_OPEX!$E$15+IF(AN56=0,0,INDEX(SUP_C3_EXPANSION!$J$20:$J$59,AN56))*SUP_OPEX!$F$15+IF(AN56=0,0,INDEX(SUP_C3_EXPANSION!$H$20:$H$59,AN56))*SUP_OPEX!$D$20+IF(AN56=0,0,INDEX(SUP_C3_EXPANSION!$I$20:$I$59,AN56))*SUP_OPEX!$E$20+IF(AN56=0,0,INDEX(SUP_C3_EXPANSION!$J$20:$J$59,AN56))*SUP_OPEX!$F$20)</f>
        <v>45995</v>
      </c>
      <c r="AO43" s="273" t="n">
        <f aca="false">IF(AO56=0,0,IF(AO56=0,0,INDEX(SUP_C3_EXPANSION!$H$20:$H$59,AO56))*SUP_OPEX!$D$15+IF(AO56=0,0,INDEX(SUP_C3_EXPANSION!$I$20:$I$59,AO56))*SUP_OPEX!$E$15+IF(AO56=0,0,INDEX(SUP_C3_EXPANSION!$J$20:$J$59,AO56))*SUP_OPEX!$F$15+IF(AO56=0,0,INDEX(SUP_C3_EXPANSION!$H$20:$H$59,AO56))*SUP_OPEX!$D$20+IF(AO56=0,0,INDEX(SUP_C3_EXPANSION!$I$20:$I$59,AO56))*SUP_OPEX!$E$20+IF(AO56=0,0,INDEX(SUP_C3_EXPANSION!$J$20:$J$59,AO56))*SUP_OPEX!$F$20)</f>
        <v>45995</v>
      </c>
      <c r="AP43" s="273" t="n">
        <f aca="false">IF(AP56=0,0,IF(AP56=0,0,INDEX(SUP_C3_EXPANSION!$H$20:$H$59,AP56))*SUP_OPEX!$D$15+IF(AP56=0,0,INDEX(SUP_C3_EXPANSION!$I$20:$I$59,AP56))*SUP_OPEX!$E$15+IF(AP56=0,0,INDEX(SUP_C3_EXPANSION!$J$20:$J$59,AP56))*SUP_OPEX!$F$15+IF(AP56=0,0,INDEX(SUP_C3_EXPANSION!$H$20:$H$59,AP56))*SUP_OPEX!$D$20+IF(AP56=0,0,INDEX(SUP_C3_EXPANSION!$I$20:$I$59,AP56))*SUP_OPEX!$E$20+IF(AP56=0,0,INDEX(SUP_C3_EXPANSION!$J$20:$J$59,AP56))*SUP_OPEX!$F$20)</f>
        <v>45995</v>
      </c>
      <c r="AQ43" s="273" t="n">
        <f aca="false">IF(AQ56=0,0,IF(AQ56=0,0,INDEX(SUP_C3_EXPANSION!$H$20:$H$59,AQ56))*SUP_OPEX!$D$15+IF(AQ56=0,0,INDEX(SUP_C3_EXPANSION!$I$20:$I$59,AQ56))*SUP_OPEX!$E$15+IF(AQ56=0,0,INDEX(SUP_C3_EXPANSION!$J$20:$J$59,AQ56))*SUP_OPEX!$F$15+IF(AQ56=0,0,INDEX(SUP_C3_EXPANSION!$H$20:$H$59,AQ56))*SUP_OPEX!$D$20+IF(AQ56=0,0,INDEX(SUP_C3_EXPANSION!$I$20:$I$59,AQ56))*SUP_OPEX!$E$20+IF(AQ56=0,0,INDEX(SUP_C3_EXPANSION!$J$20:$J$59,AQ56))*SUP_OPEX!$F$20)</f>
        <v>54520</v>
      </c>
      <c r="AR43" s="273" t="n">
        <f aca="false">IF(AR56=0,0,IF(AR56=0,0,INDEX(SUP_C3_EXPANSION!$H$20:$H$59,AR56))*SUP_OPEX!$D$15+IF(AR56=0,0,INDEX(SUP_C3_EXPANSION!$I$20:$I$59,AR56))*SUP_OPEX!$E$15+IF(AR56=0,0,INDEX(SUP_C3_EXPANSION!$J$20:$J$59,AR56))*SUP_OPEX!$F$15+IF(AR56=0,0,INDEX(SUP_C3_EXPANSION!$H$20:$H$59,AR56))*SUP_OPEX!$D$20+IF(AR56=0,0,INDEX(SUP_C3_EXPANSION!$I$20:$I$59,AR56))*SUP_OPEX!$E$20+IF(AR56=0,0,INDEX(SUP_C3_EXPANSION!$J$20:$J$59,AR56))*SUP_OPEX!$F$20)</f>
        <v>60765</v>
      </c>
      <c r="AS43" s="273" t="n">
        <f aca="false">IF(AS56=0,0,IF(AS56=0,0,INDEX(SUP_C3_EXPANSION!$H$20:$H$59,AS56))*SUP_OPEX!$D$15+IF(AS56=0,0,INDEX(SUP_C3_EXPANSION!$I$20:$I$59,AS56))*SUP_OPEX!$E$15+IF(AS56=0,0,INDEX(SUP_C3_EXPANSION!$J$20:$J$59,AS56))*SUP_OPEX!$F$15+IF(AS56=0,0,INDEX(SUP_C3_EXPANSION!$H$20:$H$59,AS56))*SUP_OPEX!$D$20+IF(AS56=0,0,INDEX(SUP_C3_EXPANSION!$I$20:$I$59,AS56))*SUP_OPEX!$E$20+IF(AS56=0,0,INDEX(SUP_C3_EXPANSION!$J$20:$J$59,AS56))*SUP_OPEX!$F$20)</f>
        <v>67010</v>
      </c>
      <c r="AT43" s="273" t="n">
        <f aca="false">IF(AT56=0,0,IF(AT56=0,0,INDEX(SUP_C3_EXPANSION!$H$20:$H$59,AT56))*SUP_OPEX!$D$15+IF(AT56=0,0,INDEX(SUP_C3_EXPANSION!$I$20:$I$59,AT56))*SUP_OPEX!$E$15+IF(AT56=0,0,INDEX(SUP_C3_EXPANSION!$J$20:$J$59,AT56))*SUP_OPEX!$F$15+IF(AT56=0,0,INDEX(SUP_C3_EXPANSION!$H$20:$H$59,AT56))*SUP_OPEX!$D$20+IF(AT56=0,0,INDEX(SUP_C3_EXPANSION!$I$20:$I$59,AT56))*SUP_OPEX!$E$20+IF(AT56=0,0,INDEX(SUP_C3_EXPANSION!$J$20:$J$59,AT56))*SUP_OPEX!$F$20)</f>
        <v>73255</v>
      </c>
      <c r="AU43" s="273" t="n">
        <f aca="false">IF(AU56=0,0,IF(AU56=0,0,INDEX(SUP_C3_EXPANSION!$H$20:$H$59,AU56))*SUP_OPEX!$D$15+IF(AU56=0,0,INDEX(SUP_C3_EXPANSION!$I$20:$I$59,AU56))*SUP_OPEX!$E$15+IF(AU56=0,0,INDEX(SUP_C3_EXPANSION!$J$20:$J$59,AU56))*SUP_OPEX!$F$15+IF(AU56=0,0,INDEX(SUP_C3_EXPANSION!$H$20:$H$59,AU56))*SUP_OPEX!$D$20+IF(AU56=0,0,INDEX(SUP_C3_EXPANSION!$I$20:$I$59,AU56))*SUP_OPEX!$E$20+IF(AU56=0,0,INDEX(SUP_C3_EXPANSION!$J$20:$J$59,AU56))*SUP_OPEX!$F$20)</f>
        <v>73255</v>
      </c>
      <c r="AV43" s="273" t="n">
        <f aca="false">IF(AV56=0,0,IF(AV56=0,0,INDEX(SUP_C3_EXPANSION!$H$20:$H$59,AV56))*SUP_OPEX!$D$15+IF(AV56=0,0,INDEX(SUP_C3_EXPANSION!$I$20:$I$59,AV56))*SUP_OPEX!$E$15+IF(AV56=0,0,INDEX(SUP_C3_EXPANSION!$J$20:$J$59,AV56))*SUP_OPEX!$F$15+IF(AV56=0,0,INDEX(SUP_C3_EXPANSION!$H$20:$H$59,AV56))*SUP_OPEX!$D$20+IF(AV56=0,0,INDEX(SUP_C3_EXPANSION!$I$20:$I$59,AV56))*SUP_OPEX!$E$20+IF(AV56=0,0,INDEX(SUP_C3_EXPANSION!$J$20:$J$59,AV56))*SUP_OPEX!$F$20)</f>
        <v>73255</v>
      </c>
      <c r="AW43" s="273" t="n">
        <f aca="false">IF(AW56=0,0,IF(AW56=0,0,INDEX(SUP_C3_EXPANSION!$H$20:$H$59,AW56))*SUP_OPEX!$D$15+IF(AW56=0,0,INDEX(SUP_C3_EXPANSION!$I$20:$I$59,AW56))*SUP_OPEX!$E$15+IF(AW56=0,0,INDEX(SUP_C3_EXPANSION!$J$20:$J$59,AW56))*SUP_OPEX!$F$15+IF(AW56=0,0,INDEX(SUP_C3_EXPANSION!$H$20:$H$59,AW56))*SUP_OPEX!$D$20+IF(AW56=0,0,INDEX(SUP_C3_EXPANSION!$I$20:$I$59,AW56))*SUP_OPEX!$E$20+IF(AW56=0,0,INDEX(SUP_C3_EXPANSION!$J$20:$J$59,AW56))*SUP_OPEX!$F$20)</f>
        <v>81780</v>
      </c>
      <c r="AX43" s="273" t="n">
        <f aca="false">IF(AX56=0,0,IF(AX56=0,0,INDEX(SUP_C3_EXPANSION!$H$20:$H$59,AX56))*SUP_OPEX!$D$15+IF(AX56=0,0,INDEX(SUP_C3_EXPANSION!$I$20:$I$59,AX56))*SUP_OPEX!$E$15+IF(AX56=0,0,INDEX(SUP_C3_EXPANSION!$J$20:$J$59,AX56))*SUP_OPEX!$F$15+IF(AX56=0,0,INDEX(SUP_C3_EXPANSION!$H$20:$H$59,AX56))*SUP_OPEX!$D$20+IF(AX56=0,0,INDEX(SUP_C3_EXPANSION!$I$20:$I$59,AX56))*SUP_OPEX!$E$20+IF(AX56=0,0,INDEX(SUP_C3_EXPANSION!$J$20:$J$59,AX56))*SUP_OPEX!$F$20)</f>
        <v>81780</v>
      </c>
      <c r="AY43" s="273" t="n">
        <f aca="false">IF(AY56=0,0,IF(AY56=0,0,INDEX(SUP_C3_EXPANSION!$H$20:$H$59,AY56))*SUP_OPEX!$D$15+IF(AY56=0,0,INDEX(SUP_C3_EXPANSION!$I$20:$I$59,AY56))*SUP_OPEX!$E$15+IF(AY56=0,0,INDEX(SUP_C3_EXPANSION!$J$20:$J$59,AY56))*SUP_OPEX!$F$15+IF(AY56=0,0,INDEX(SUP_C3_EXPANSION!$H$20:$H$59,AY56))*SUP_OPEX!$D$20+IF(AY56=0,0,INDEX(SUP_C3_EXPANSION!$I$20:$I$59,AY56))*SUP_OPEX!$E$20+IF(AY56=0,0,INDEX(SUP_C3_EXPANSION!$J$20:$J$59,AY56))*SUP_OPEX!$F$20)</f>
        <v>88025</v>
      </c>
      <c r="AZ43" s="273" t="n">
        <f aca="false">IF(AZ56=0,0,IF(AZ56=0,0,INDEX(SUP_C3_EXPANSION!$H$20:$H$59,AZ56))*SUP_OPEX!$D$15+IF(AZ56=0,0,INDEX(SUP_C3_EXPANSION!$I$20:$I$59,AZ56))*SUP_OPEX!$E$15+IF(AZ56=0,0,INDEX(SUP_C3_EXPANSION!$J$20:$J$59,AZ56))*SUP_OPEX!$F$15+IF(AZ56=0,0,INDEX(SUP_C3_EXPANSION!$H$20:$H$59,AZ56))*SUP_OPEX!$D$20+IF(AZ56=0,0,INDEX(SUP_C3_EXPANSION!$I$20:$I$59,AZ56))*SUP_OPEX!$E$20+IF(AZ56=0,0,INDEX(SUP_C3_EXPANSION!$J$20:$J$59,AZ56))*SUP_OPEX!$F$20)</f>
        <v>94270</v>
      </c>
      <c r="BA43" s="273" t="n">
        <f aca="false">IF(BA56=0,0,IF(BA56=0,0,INDEX(SUP_C3_EXPANSION!$H$20:$H$59,BA56))*SUP_OPEX!$D$15+IF(BA56=0,0,INDEX(SUP_C3_EXPANSION!$I$20:$I$59,BA56))*SUP_OPEX!$E$15+IF(BA56=0,0,INDEX(SUP_C3_EXPANSION!$J$20:$J$59,BA56))*SUP_OPEX!$F$15+IF(BA56=0,0,INDEX(SUP_C3_EXPANSION!$H$20:$H$59,BA56))*SUP_OPEX!$D$20+IF(BA56=0,0,INDEX(SUP_C3_EXPANSION!$I$20:$I$59,BA56))*SUP_OPEX!$E$20+IF(BA56=0,0,INDEX(SUP_C3_EXPANSION!$J$20:$J$59,BA56))*SUP_OPEX!$F$20)</f>
        <v>94270</v>
      </c>
      <c r="BB43" s="273" t="n">
        <f aca="false">IF(BB56=0,0,IF(BB56=0,0,INDEX(SUP_C3_EXPANSION!$H$20:$H$59,BB56))*SUP_OPEX!$D$15+IF(BB56=0,0,INDEX(SUP_C3_EXPANSION!$I$20:$I$59,BB56))*SUP_OPEX!$E$15+IF(BB56=0,0,INDEX(SUP_C3_EXPANSION!$J$20:$J$59,BB56))*SUP_OPEX!$F$15+IF(BB56=0,0,INDEX(SUP_C3_EXPANSION!$H$20:$H$59,BB56))*SUP_OPEX!$D$20+IF(BB56=0,0,INDEX(SUP_C3_EXPANSION!$I$20:$I$59,BB56))*SUP_OPEX!$E$20+IF(BB56=0,0,INDEX(SUP_C3_EXPANSION!$J$20:$J$59,BB56))*SUP_OPEX!$F$20)</f>
        <v>94270</v>
      </c>
      <c r="BC43" s="273" t="n">
        <f aca="false">IF(BC56=0,0,IF(BC56=0,0,INDEX(SUP_C3_EXPANSION!$H$20:$H$59,BC56))*SUP_OPEX!$D$15+IF(BC56=0,0,INDEX(SUP_C3_EXPANSION!$I$20:$I$59,BC56))*SUP_OPEX!$E$15+IF(BC56=0,0,INDEX(SUP_C3_EXPANSION!$J$20:$J$59,BC56))*SUP_OPEX!$F$15+IF(BC56=0,0,INDEX(SUP_C3_EXPANSION!$H$20:$H$59,BC56))*SUP_OPEX!$D$20+IF(BC56=0,0,INDEX(SUP_C3_EXPANSION!$I$20:$I$59,BC56))*SUP_OPEX!$E$20+IF(BC56=0,0,INDEX(SUP_C3_EXPANSION!$J$20:$J$59,BC56))*SUP_OPEX!$F$20)</f>
        <v>94270</v>
      </c>
      <c r="BD43" s="273" t="n">
        <f aca="false">IF(BD56=0,0,IF(BD56=0,0,INDEX(SUP_C3_EXPANSION!$H$20:$H$59,BD56))*SUP_OPEX!$D$15+IF(BD56=0,0,INDEX(SUP_C3_EXPANSION!$I$20:$I$59,BD56))*SUP_OPEX!$E$15+IF(BD56=0,0,INDEX(SUP_C3_EXPANSION!$J$20:$J$59,BD56))*SUP_OPEX!$F$15+IF(BD56=0,0,INDEX(SUP_C3_EXPANSION!$H$20:$H$59,BD56))*SUP_OPEX!$D$20+IF(BD56=0,0,INDEX(SUP_C3_EXPANSION!$I$20:$I$59,BD56))*SUP_OPEX!$E$20+IF(BD56=0,0,INDEX(SUP_C3_EXPANSION!$J$20:$J$59,BD56))*SUP_OPEX!$F$20)</f>
        <v>94270</v>
      </c>
      <c r="BE43" s="273" t="n">
        <f aca="false">IF(BE56=0,0,IF(BE56=0,0,INDEX(SUP_C3_EXPANSION!$H$20:$H$59,BE56))*SUP_OPEX!$D$15+IF(BE56=0,0,INDEX(SUP_C3_EXPANSION!$I$20:$I$59,BE56))*SUP_OPEX!$E$15+IF(BE56=0,0,INDEX(SUP_C3_EXPANSION!$J$20:$J$59,BE56))*SUP_OPEX!$F$15+IF(BE56=0,0,INDEX(SUP_C3_EXPANSION!$H$20:$H$59,BE56))*SUP_OPEX!$D$20+IF(BE56=0,0,INDEX(SUP_C3_EXPANSION!$I$20:$I$59,BE56))*SUP_OPEX!$E$20+IF(BE56=0,0,INDEX(SUP_C3_EXPANSION!$J$20:$J$59,BE56))*SUP_OPEX!$F$20)</f>
        <v>94270</v>
      </c>
      <c r="BF43" s="273" t="n">
        <f aca="false">IF(BF56=0,0,IF(BF56=0,0,INDEX(SUP_C3_EXPANSION!$H$20:$H$59,BF56))*SUP_OPEX!$D$15+IF(BF56=0,0,INDEX(SUP_C3_EXPANSION!$I$20:$I$59,BF56))*SUP_OPEX!$E$15+IF(BF56=0,0,INDEX(SUP_C3_EXPANSION!$J$20:$J$59,BF56))*SUP_OPEX!$F$15+IF(BF56=0,0,INDEX(SUP_C3_EXPANSION!$H$20:$H$59,BF56))*SUP_OPEX!$D$20+IF(BF56=0,0,INDEX(SUP_C3_EXPANSION!$I$20:$I$59,BF56))*SUP_OPEX!$E$20+IF(BF56=0,0,INDEX(SUP_C3_EXPANSION!$J$20:$J$59,BF56))*SUP_OPEX!$F$20)</f>
        <v>94270</v>
      </c>
      <c r="BG43" s="273" t="n">
        <f aca="false">IF(BG56=0,0,IF(BG56=0,0,INDEX(SUP_C3_EXPANSION!$H$20:$H$59,BG56))*SUP_OPEX!$D$15+IF(BG56=0,0,INDEX(SUP_C3_EXPANSION!$I$20:$I$59,BG56))*SUP_OPEX!$E$15+IF(BG56=0,0,INDEX(SUP_C3_EXPANSION!$J$20:$J$59,BG56))*SUP_OPEX!$F$15+IF(BG56=0,0,INDEX(SUP_C3_EXPANSION!$H$20:$H$59,BG56))*SUP_OPEX!$D$20+IF(BG56=0,0,INDEX(SUP_C3_EXPANSION!$I$20:$I$59,BG56))*SUP_OPEX!$E$20+IF(BG56=0,0,INDEX(SUP_C3_EXPANSION!$J$20:$J$59,BG56))*SUP_OPEX!$F$20)</f>
        <v>94270</v>
      </c>
      <c r="BH43" s="273" t="n">
        <f aca="false">IF(BH56=0,0,IF(BH56=0,0,INDEX(SUP_C3_EXPANSION!$H$20:$H$59,BH56))*SUP_OPEX!$D$15+IF(BH56=0,0,INDEX(SUP_C3_EXPANSION!$I$20:$I$59,BH56))*SUP_OPEX!$E$15+IF(BH56=0,0,INDEX(SUP_C3_EXPANSION!$J$20:$J$59,BH56))*SUP_OPEX!$F$15+IF(BH56=0,0,INDEX(SUP_C3_EXPANSION!$H$20:$H$59,BH56))*SUP_OPEX!$D$20+IF(BH56=0,0,INDEX(SUP_C3_EXPANSION!$I$20:$I$59,BH56))*SUP_OPEX!$E$20+IF(BH56=0,0,INDEX(SUP_C3_EXPANSION!$J$20:$J$59,BH56))*SUP_OPEX!$F$20)</f>
        <v>94270</v>
      </c>
      <c r="BI43" s="273" t="n">
        <f aca="false">IF(BI56=0,0,IF(BI56=0,0,INDEX(SUP_C3_EXPANSION!$H$20:$H$59,BI56))*SUP_OPEX!$D$15+IF(BI56=0,0,INDEX(SUP_C3_EXPANSION!$I$20:$I$59,BI56))*SUP_OPEX!$E$15+IF(BI56=0,0,INDEX(SUP_C3_EXPANSION!$J$20:$J$59,BI56))*SUP_OPEX!$F$15+IF(BI56=0,0,INDEX(SUP_C3_EXPANSION!$H$20:$H$59,BI56))*SUP_OPEX!$D$20+IF(BI56=0,0,INDEX(SUP_C3_EXPANSION!$I$20:$I$59,BI56))*SUP_OPEX!$E$20+IF(BI56=0,0,INDEX(SUP_C3_EXPANSION!$J$20:$J$59,BI56))*SUP_OPEX!$F$20)</f>
        <v>114233.75</v>
      </c>
      <c r="BJ43" s="273" t="n">
        <f aca="false">IF(BJ56=0,0,IF(BJ56=0,0,INDEX(SUP_C3_EXPANSION!$H$20:$H$59,BJ56))*SUP_OPEX!$D$15+IF(BJ56=0,0,INDEX(SUP_C3_EXPANSION!$I$20:$I$59,BJ56))*SUP_OPEX!$E$15+IF(BJ56=0,0,INDEX(SUP_C3_EXPANSION!$J$20:$J$59,BJ56))*SUP_OPEX!$F$15+IF(BJ56=0,0,INDEX(SUP_C3_EXPANSION!$H$20:$H$59,BJ56))*SUP_OPEX!$D$20+IF(BJ56=0,0,INDEX(SUP_C3_EXPANSION!$I$20:$I$59,BJ56))*SUP_OPEX!$E$20+IF(BJ56=0,0,INDEX(SUP_C3_EXPANSION!$J$20:$J$59,BJ56))*SUP_OPEX!$F$20)</f>
        <v>120478.75</v>
      </c>
      <c r="BK43" s="273" t="n">
        <f aca="false">IF(BK56=0,0,IF(BK56=0,0,INDEX(SUP_C3_EXPANSION!$H$20:$H$59,BK56))*SUP_OPEX!$D$15+IF(BK56=0,0,INDEX(SUP_C3_EXPANSION!$I$20:$I$59,BK56))*SUP_OPEX!$E$15+IF(BK56=0,0,INDEX(SUP_C3_EXPANSION!$J$20:$J$59,BK56))*SUP_OPEX!$F$15+IF(BK56=0,0,INDEX(SUP_C3_EXPANSION!$H$20:$H$59,BK56))*SUP_OPEX!$D$20+IF(BK56=0,0,INDEX(SUP_C3_EXPANSION!$I$20:$I$59,BK56))*SUP_OPEX!$E$20+IF(BK56=0,0,INDEX(SUP_C3_EXPANSION!$J$20:$J$59,BK56))*SUP_OPEX!$F$20)</f>
        <v>129003.75</v>
      </c>
      <c r="BL43" s="273" t="n">
        <f aca="false">IF(BL56=0,0,IF(BL56=0,0,INDEX(SUP_C3_EXPANSION!$H$20:$H$59,BL56))*SUP_OPEX!$D$15+IF(BL56=0,0,INDEX(SUP_C3_EXPANSION!$I$20:$I$59,BL56))*SUP_OPEX!$E$15+IF(BL56=0,0,INDEX(SUP_C3_EXPANSION!$J$20:$J$59,BL56))*SUP_OPEX!$F$15+IF(BL56=0,0,INDEX(SUP_C3_EXPANSION!$H$20:$H$59,BL56))*SUP_OPEX!$D$20+IF(BL56=0,0,INDEX(SUP_C3_EXPANSION!$I$20:$I$59,BL56))*SUP_OPEX!$E$20+IF(BL56=0,0,INDEX(SUP_C3_EXPANSION!$J$20:$J$59,BL56))*SUP_OPEX!$F$20)</f>
        <v>135248.75</v>
      </c>
      <c r="BM43" s="273" t="n">
        <f aca="false">IF(BM56=0,0,IF(BM56=0,0,INDEX(SUP_C3_EXPANSION!$H$20:$H$59,BM56))*SUP_OPEX!$D$15+IF(BM56=0,0,INDEX(SUP_C3_EXPANSION!$I$20:$I$59,BM56))*SUP_OPEX!$E$15+IF(BM56=0,0,INDEX(SUP_C3_EXPANSION!$J$20:$J$59,BM56))*SUP_OPEX!$F$15+IF(BM56=0,0,INDEX(SUP_C3_EXPANSION!$H$20:$H$59,BM56))*SUP_OPEX!$D$20+IF(BM56=0,0,INDEX(SUP_C3_EXPANSION!$I$20:$I$59,BM56))*SUP_OPEX!$E$20+IF(BM56=0,0,INDEX(SUP_C3_EXPANSION!$J$20:$J$59,BM56))*SUP_OPEX!$F$20)</f>
        <v>141493.75</v>
      </c>
      <c r="BN43" s="273" t="n">
        <f aca="false">IF(BN56=0,0,IF(BN56=0,0,INDEX(SUP_C3_EXPANSION!$H$20:$H$59,BN56))*SUP_OPEX!$D$15+IF(BN56=0,0,INDEX(SUP_C3_EXPANSION!$I$20:$I$59,BN56))*SUP_OPEX!$E$15+IF(BN56=0,0,INDEX(SUP_C3_EXPANSION!$J$20:$J$59,BN56))*SUP_OPEX!$F$15+IF(BN56=0,0,INDEX(SUP_C3_EXPANSION!$H$20:$H$59,BN56))*SUP_OPEX!$D$20+IF(BN56=0,0,INDEX(SUP_C3_EXPANSION!$I$20:$I$59,BN56))*SUP_OPEX!$E$20+IF(BN56=0,0,INDEX(SUP_C3_EXPANSION!$J$20:$J$59,BN56))*SUP_OPEX!$F$20)</f>
        <v>147738.75</v>
      </c>
      <c r="BO43" s="273" t="n">
        <f aca="false">IF(BO56=0,0,IF(BO56=0,0,INDEX(SUP_C3_EXPANSION!$H$20:$H$59,BO56))*SUP_OPEX!$D$15+IF(BO56=0,0,INDEX(SUP_C3_EXPANSION!$I$20:$I$59,BO56))*SUP_OPEX!$E$15+IF(BO56=0,0,INDEX(SUP_C3_EXPANSION!$J$20:$J$59,BO56))*SUP_OPEX!$F$15+IF(BO56=0,0,INDEX(SUP_C3_EXPANSION!$H$20:$H$59,BO56))*SUP_OPEX!$D$20+IF(BO56=0,0,INDEX(SUP_C3_EXPANSION!$I$20:$I$59,BO56))*SUP_OPEX!$E$20+IF(BO56=0,0,INDEX(SUP_C3_EXPANSION!$J$20:$J$59,BO56))*SUP_OPEX!$F$20)</f>
        <v>147738.75</v>
      </c>
      <c r="BP43" s="273" t="n">
        <f aca="false">IF(BP56=0,0,IF(BP56=0,0,INDEX(SUP_C3_EXPANSION!$H$20:$H$59,BP56))*SUP_OPEX!$D$15+IF(BP56=0,0,INDEX(SUP_C3_EXPANSION!$I$20:$I$59,BP56))*SUP_OPEX!$E$15+IF(BP56=0,0,INDEX(SUP_C3_EXPANSION!$J$20:$J$59,BP56))*SUP_OPEX!$F$15+IF(BP56=0,0,INDEX(SUP_C3_EXPANSION!$H$20:$H$59,BP56))*SUP_OPEX!$D$20+IF(BP56=0,0,INDEX(SUP_C3_EXPANSION!$I$20:$I$59,BP56))*SUP_OPEX!$E$20+IF(BP56=0,0,INDEX(SUP_C3_EXPANSION!$J$20:$J$59,BP56))*SUP_OPEX!$F$20)</f>
        <v>156263.75</v>
      </c>
      <c r="BQ43" s="273" t="n">
        <f aca="false">IF(BQ56=0,0,IF(BQ56=0,0,INDEX(SUP_C3_EXPANSION!$H$20:$H$59,BQ56))*SUP_OPEX!$D$15+IF(BQ56=0,0,INDEX(SUP_C3_EXPANSION!$I$20:$I$59,BQ56))*SUP_OPEX!$E$15+IF(BQ56=0,0,INDEX(SUP_C3_EXPANSION!$J$20:$J$59,BQ56))*SUP_OPEX!$F$15+IF(BQ56=0,0,INDEX(SUP_C3_EXPANSION!$H$20:$H$59,BQ56))*SUP_OPEX!$D$20+IF(BQ56=0,0,INDEX(SUP_C3_EXPANSION!$I$20:$I$59,BQ56))*SUP_OPEX!$E$20+IF(BQ56=0,0,INDEX(SUP_C3_EXPANSION!$J$20:$J$59,BQ56))*SUP_OPEX!$F$20)</f>
        <v>162508.75</v>
      </c>
      <c r="BR43" s="273" t="n">
        <f aca="false">IF(BR56=0,0,IF(BR56=0,0,INDEX(SUP_C3_EXPANSION!$H$20:$H$59,BR56))*SUP_OPEX!$D$15+IF(BR56=0,0,INDEX(SUP_C3_EXPANSION!$I$20:$I$59,BR56))*SUP_OPEX!$E$15+IF(BR56=0,0,INDEX(SUP_C3_EXPANSION!$J$20:$J$59,BR56))*SUP_OPEX!$F$15+IF(BR56=0,0,INDEX(SUP_C3_EXPANSION!$H$20:$H$59,BR56))*SUP_OPEX!$D$20+IF(BR56=0,0,INDEX(SUP_C3_EXPANSION!$I$20:$I$59,BR56))*SUP_OPEX!$E$20+IF(BR56=0,0,INDEX(SUP_C3_EXPANSION!$J$20:$J$59,BR56))*SUP_OPEX!$F$20)</f>
        <v>168753.75</v>
      </c>
      <c r="BS43" s="273" t="n">
        <f aca="false">IF(BS56=0,0,IF(BS56=0,0,INDEX(SUP_C3_EXPANSION!$H$20:$H$59,BS56))*SUP_OPEX!$D$15+IF(BS56=0,0,INDEX(SUP_C3_EXPANSION!$I$20:$I$59,BS56))*SUP_OPEX!$E$15+IF(BS56=0,0,INDEX(SUP_C3_EXPANSION!$J$20:$J$59,BS56))*SUP_OPEX!$F$15+IF(BS56=0,0,INDEX(SUP_C3_EXPANSION!$H$20:$H$59,BS56))*SUP_OPEX!$D$20+IF(BS56=0,0,INDEX(SUP_C3_EXPANSION!$I$20:$I$59,BS56))*SUP_OPEX!$E$20+IF(BS56=0,0,INDEX(SUP_C3_EXPANSION!$J$20:$J$59,BS56))*SUP_OPEX!$F$20)</f>
        <v>174998.75</v>
      </c>
      <c r="BT43" s="273" t="n">
        <f aca="false">IF(BT56=0,0,IF(BT56=0,0,INDEX(SUP_C3_EXPANSION!$H$20:$H$59,BT56))*SUP_OPEX!$D$15+IF(BT56=0,0,INDEX(SUP_C3_EXPANSION!$I$20:$I$59,BT56))*SUP_OPEX!$E$15+IF(BT56=0,0,INDEX(SUP_C3_EXPANSION!$J$20:$J$59,BT56))*SUP_OPEX!$F$15+IF(BT56=0,0,INDEX(SUP_C3_EXPANSION!$H$20:$H$59,BT56))*SUP_OPEX!$D$20+IF(BT56=0,0,INDEX(SUP_C3_EXPANSION!$I$20:$I$59,BT56))*SUP_OPEX!$E$20+IF(BT56=0,0,INDEX(SUP_C3_EXPANSION!$J$20:$J$59,BT56))*SUP_OPEX!$F$20)</f>
        <v>183523.75</v>
      </c>
      <c r="BU43" s="273" t="n">
        <f aca="false">IF(BU56=0,0,IF(BU56=0,0,INDEX(SUP_C3_EXPANSION!$H$20:$H$59,BU56))*SUP_OPEX!$D$15+IF(BU56=0,0,INDEX(SUP_C3_EXPANSION!$I$20:$I$59,BU56))*SUP_OPEX!$E$15+IF(BU56=0,0,INDEX(SUP_C3_EXPANSION!$J$20:$J$59,BU56))*SUP_OPEX!$F$15+IF(BU56=0,0,INDEX(SUP_C3_EXPANSION!$H$20:$H$59,BU56))*SUP_OPEX!$D$20+IF(BU56=0,0,INDEX(SUP_C3_EXPANSION!$I$20:$I$59,BU56))*SUP_OPEX!$E$20+IF(BU56=0,0,INDEX(SUP_C3_EXPANSION!$J$20:$J$59,BU56))*SUP_OPEX!$F$20)</f>
        <v>189768.75</v>
      </c>
      <c r="BV43" s="273" t="n">
        <f aca="false">IF(BV56=0,0,IF(BV56=0,0,INDEX(SUP_C3_EXPANSION!$H$20:$H$59,BV56))*SUP_OPEX!$D$15+IF(BV56=0,0,INDEX(SUP_C3_EXPANSION!$I$20:$I$59,BV56))*SUP_OPEX!$E$15+IF(BV56=0,0,INDEX(SUP_C3_EXPANSION!$J$20:$J$59,BV56))*SUP_OPEX!$F$15+IF(BV56=0,0,INDEX(SUP_C3_EXPANSION!$H$20:$H$59,BV56))*SUP_OPEX!$D$20+IF(BV56=0,0,INDEX(SUP_C3_EXPANSION!$I$20:$I$59,BV56))*SUP_OPEX!$E$20+IF(BV56=0,0,INDEX(SUP_C3_EXPANSION!$J$20:$J$59,BV56))*SUP_OPEX!$F$20)</f>
        <v>196013.75</v>
      </c>
      <c r="BW43" s="273" t="n">
        <f aca="false">IF(BW56=0,0,IF(BW56=0,0,INDEX(SUP_C3_EXPANSION!$H$20:$H$59,BW56))*SUP_OPEX!$D$15+IF(BW56=0,0,INDEX(SUP_C3_EXPANSION!$I$20:$I$59,BW56))*SUP_OPEX!$E$15+IF(BW56=0,0,INDEX(SUP_C3_EXPANSION!$J$20:$J$59,BW56))*SUP_OPEX!$F$15+IF(BW56=0,0,INDEX(SUP_C3_EXPANSION!$H$20:$H$59,BW56))*SUP_OPEX!$D$20+IF(BW56=0,0,INDEX(SUP_C3_EXPANSION!$I$20:$I$59,BW56))*SUP_OPEX!$E$20+IF(BW56=0,0,INDEX(SUP_C3_EXPANSION!$J$20:$J$59,BW56))*SUP_OPEX!$F$20)</f>
        <v>202258.75</v>
      </c>
      <c r="BX43" s="273" t="n">
        <f aca="false">IF(BX56=0,0,IF(BX56=0,0,INDEX(SUP_C3_EXPANSION!$H$20:$H$59,BX56))*SUP_OPEX!$D$15+IF(BX56=0,0,INDEX(SUP_C3_EXPANSION!$I$20:$I$59,BX56))*SUP_OPEX!$E$15+IF(BX56=0,0,INDEX(SUP_C3_EXPANSION!$J$20:$J$59,BX56))*SUP_OPEX!$F$15+IF(BX56=0,0,INDEX(SUP_C3_EXPANSION!$H$20:$H$59,BX56))*SUP_OPEX!$D$20+IF(BX56=0,0,INDEX(SUP_C3_EXPANSION!$I$20:$I$59,BX56))*SUP_OPEX!$E$20+IF(BX56=0,0,INDEX(SUP_C3_EXPANSION!$J$20:$J$59,BX56))*SUP_OPEX!$F$20)</f>
        <v>210783.75</v>
      </c>
      <c r="BY43" s="273" t="n">
        <f aca="false">IF(BY56=0,0,IF(BY56=0,0,INDEX(SUP_C3_EXPANSION!$H$20:$H$59,BY56))*SUP_OPEX!$D$15+IF(BY56=0,0,INDEX(SUP_C3_EXPANSION!$I$20:$I$59,BY56))*SUP_OPEX!$E$15+IF(BY56=0,0,INDEX(SUP_C3_EXPANSION!$J$20:$J$59,BY56))*SUP_OPEX!$F$15+IF(BY56=0,0,INDEX(SUP_C3_EXPANSION!$H$20:$H$59,BY56))*SUP_OPEX!$D$20+IF(BY56=0,0,INDEX(SUP_C3_EXPANSION!$I$20:$I$59,BY56))*SUP_OPEX!$E$20+IF(BY56=0,0,INDEX(SUP_C3_EXPANSION!$J$20:$J$59,BY56))*SUP_OPEX!$F$20)</f>
        <v>210783.75</v>
      </c>
      <c r="BZ43" s="273" t="n">
        <f aca="false">IF(BZ56=0,0,IF(BZ56=0,0,INDEX(SUP_C3_EXPANSION!$H$20:$H$59,BZ56))*SUP_OPEX!$D$15+IF(BZ56=0,0,INDEX(SUP_C3_EXPANSION!$I$20:$I$59,BZ56))*SUP_OPEX!$E$15+IF(BZ56=0,0,INDEX(SUP_C3_EXPANSION!$J$20:$J$59,BZ56))*SUP_OPEX!$F$15+IF(BZ56=0,0,INDEX(SUP_C3_EXPANSION!$H$20:$H$59,BZ56))*SUP_OPEX!$D$20+IF(BZ56=0,0,INDEX(SUP_C3_EXPANSION!$I$20:$I$59,BZ56))*SUP_OPEX!$E$20+IF(BZ56=0,0,INDEX(SUP_C3_EXPANSION!$J$20:$J$59,BZ56))*SUP_OPEX!$F$20)</f>
        <v>230747.5</v>
      </c>
      <c r="CA43" s="273" t="n">
        <f aca="false">IF(CA56=0,0,IF(CA56=0,0,INDEX(SUP_C3_EXPANSION!$H$20:$H$59,CA56))*SUP_OPEX!$D$15+IF(CA56=0,0,INDEX(SUP_C3_EXPANSION!$I$20:$I$59,CA56))*SUP_OPEX!$E$15+IF(CA56=0,0,INDEX(SUP_C3_EXPANSION!$J$20:$J$59,CA56))*SUP_OPEX!$F$15+IF(CA56=0,0,INDEX(SUP_C3_EXPANSION!$H$20:$H$59,CA56))*SUP_OPEX!$D$20+IF(CA56=0,0,INDEX(SUP_C3_EXPANSION!$I$20:$I$59,CA56))*SUP_OPEX!$E$20+IF(CA56=0,0,INDEX(SUP_C3_EXPANSION!$J$20:$J$59,CA56))*SUP_OPEX!$F$20)</f>
        <v>236992.5</v>
      </c>
      <c r="CB43" s="273" t="n">
        <f aca="false">IF(CB56=0,0,IF(CB56=0,0,INDEX(SUP_C3_EXPANSION!$H$20:$H$59,CB56))*SUP_OPEX!$D$15+IF(CB56=0,0,INDEX(SUP_C3_EXPANSION!$I$20:$I$59,CB56))*SUP_OPEX!$E$15+IF(CB56=0,0,INDEX(SUP_C3_EXPANSION!$J$20:$J$59,CB56))*SUP_OPEX!$F$15+IF(CB56=0,0,INDEX(SUP_C3_EXPANSION!$H$20:$H$59,CB56))*SUP_OPEX!$D$20+IF(CB56=0,0,INDEX(SUP_C3_EXPANSION!$I$20:$I$59,CB56))*SUP_OPEX!$E$20+IF(CB56=0,0,INDEX(SUP_C3_EXPANSION!$J$20:$J$59,CB56))*SUP_OPEX!$F$20)</f>
        <v>243237.5</v>
      </c>
      <c r="CC43" s="273" t="n">
        <f aca="false">IF(CC56=0,0,IF(CC56=0,0,INDEX(SUP_C3_EXPANSION!$H$20:$H$59,CC56))*SUP_OPEX!$D$15+IF(CC56=0,0,INDEX(SUP_C3_EXPANSION!$I$20:$I$59,CC56))*SUP_OPEX!$E$15+IF(CC56=0,0,INDEX(SUP_C3_EXPANSION!$J$20:$J$59,CC56))*SUP_OPEX!$F$15+IF(CC56=0,0,INDEX(SUP_C3_EXPANSION!$H$20:$H$59,CC56))*SUP_OPEX!$D$20+IF(CC56=0,0,INDEX(SUP_C3_EXPANSION!$I$20:$I$59,CC56))*SUP_OPEX!$E$20+IF(CC56=0,0,INDEX(SUP_C3_EXPANSION!$J$20:$J$59,CC56))*SUP_OPEX!$F$20)</f>
        <v>249482.5</v>
      </c>
      <c r="CD43" s="273" t="n">
        <f aca="false">IF(CD56=0,0,IF(CD56=0,0,INDEX(SUP_C3_EXPANSION!$H$20:$H$59,CD56))*SUP_OPEX!$D$15+IF(CD56=0,0,INDEX(SUP_C3_EXPANSION!$I$20:$I$59,CD56))*SUP_OPEX!$E$15+IF(CD56=0,0,INDEX(SUP_C3_EXPANSION!$J$20:$J$59,CD56))*SUP_OPEX!$F$15+IF(CD56=0,0,INDEX(SUP_C3_EXPANSION!$H$20:$H$59,CD56))*SUP_OPEX!$D$20+IF(CD56=0,0,INDEX(SUP_C3_EXPANSION!$I$20:$I$59,CD56))*SUP_OPEX!$E$20+IF(CD56=0,0,INDEX(SUP_C3_EXPANSION!$J$20:$J$59,CD56))*SUP_OPEX!$F$20)</f>
        <v>258007.5</v>
      </c>
      <c r="CE43" s="273" t="n">
        <f aca="false">IF(CE56=0,0,IF(CE56=0,0,INDEX(SUP_C3_EXPANSION!$H$20:$H$59,CE56))*SUP_OPEX!$D$15+IF(CE56=0,0,INDEX(SUP_C3_EXPANSION!$I$20:$I$59,CE56))*SUP_OPEX!$E$15+IF(CE56=0,0,INDEX(SUP_C3_EXPANSION!$J$20:$J$59,CE56))*SUP_OPEX!$F$15+IF(CE56=0,0,INDEX(SUP_C3_EXPANSION!$H$20:$H$59,CE56))*SUP_OPEX!$D$20+IF(CE56=0,0,INDEX(SUP_C3_EXPANSION!$I$20:$I$59,CE56))*SUP_OPEX!$E$20+IF(CE56=0,0,INDEX(SUP_C3_EXPANSION!$J$20:$J$59,CE56))*SUP_OPEX!$F$20)</f>
        <v>264252.5</v>
      </c>
      <c r="CF43" s="273" t="n">
        <f aca="false">IF(CF56=0,0,IF(CF56=0,0,INDEX(SUP_C3_EXPANSION!$H$20:$H$59,CF56))*SUP_OPEX!$D$15+IF(CF56=0,0,INDEX(SUP_C3_EXPANSION!$I$20:$I$59,CF56))*SUP_OPEX!$E$15+IF(CF56=0,0,INDEX(SUP_C3_EXPANSION!$J$20:$J$59,CF56))*SUP_OPEX!$F$15+IF(CF56=0,0,INDEX(SUP_C3_EXPANSION!$H$20:$H$59,CF56))*SUP_OPEX!$D$20+IF(CF56=0,0,INDEX(SUP_C3_EXPANSION!$I$20:$I$59,CF56))*SUP_OPEX!$E$20+IF(CF56=0,0,INDEX(SUP_C3_EXPANSION!$J$20:$J$59,CF56))*SUP_OPEX!$F$20)</f>
        <v>270497.5</v>
      </c>
      <c r="CG43" s="273" t="n">
        <f aca="false">IF(CG56=0,0,IF(CG56=0,0,INDEX(SUP_C3_EXPANSION!$H$20:$H$59,CG56))*SUP_OPEX!$D$15+IF(CG56=0,0,INDEX(SUP_C3_EXPANSION!$I$20:$I$59,CG56))*SUP_OPEX!$E$15+IF(CG56=0,0,INDEX(SUP_C3_EXPANSION!$J$20:$J$59,CG56))*SUP_OPEX!$F$15+IF(CG56=0,0,INDEX(SUP_C3_EXPANSION!$H$20:$H$59,CG56))*SUP_OPEX!$D$20+IF(CG56=0,0,INDEX(SUP_C3_EXPANSION!$I$20:$I$59,CG56))*SUP_OPEX!$E$20+IF(CG56=0,0,INDEX(SUP_C3_EXPANSION!$J$20:$J$59,CG56))*SUP_OPEX!$F$20)</f>
        <v>276742.5</v>
      </c>
      <c r="CH43" s="273" t="n">
        <f aca="false">IF(CH56=0,0,IF(CH56=0,0,INDEX(SUP_C3_EXPANSION!$H$20:$H$59,CH56))*SUP_OPEX!$D$15+IF(CH56=0,0,INDEX(SUP_C3_EXPANSION!$I$20:$I$59,CH56))*SUP_OPEX!$E$15+IF(CH56=0,0,INDEX(SUP_C3_EXPANSION!$J$20:$J$59,CH56))*SUP_OPEX!$F$15+IF(CH56=0,0,INDEX(SUP_C3_EXPANSION!$H$20:$H$59,CH56))*SUP_OPEX!$D$20+IF(CH56=0,0,INDEX(SUP_C3_EXPANSION!$I$20:$I$59,CH56))*SUP_OPEX!$E$20+IF(CH56=0,0,INDEX(SUP_C3_EXPANSION!$J$20:$J$59,CH56))*SUP_OPEX!$F$20)</f>
        <v>285267.5</v>
      </c>
      <c r="CI43" s="273" t="n">
        <f aca="false">IF(CI56=0,0,IF(CI56=0,0,INDEX(SUP_C3_EXPANSION!$H$20:$H$59,CI56))*SUP_OPEX!$D$15+IF(CI56=0,0,INDEX(SUP_C3_EXPANSION!$I$20:$I$59,CI56))*SUP_OPEX!$E$15+IF(CI56=0,0,INDEX(SUP_C3_EXPANSION!$J$20:$J$59,CI56))*SUP_OPEX!$F$15+IF(CI56=0,0,INDEX(SUP_C3_EXPANSION!$H$20:$H$59,CI56))*SUP_OPEX!$D$20+IF(CI56=0,0,INDEX(SUP_C3_EXPANSION!$I$20:$I$59,CI56))*SUP_OPEX!$E$20+IF(CI56=0,0,INDEX(SUP_C3_EXPANSION!$J$20:$J$59,CI56))*SUP_OPEX!$F$20)</f>
        <v>291512.5</v>
      </c>
      <c r="CJ43" s="273" t="n">
        <f aca="false">IF(CJ56=0,0,IF(CJ56=0,0,INDEX(SUP_C3_EXPANSION!$H$20:$H$59,CJ56))*SUP_OPEX!$D$15+IF(CJ56=0,0,INDEX(SUP_C3_EXPANSION!$I$20:$I$59,CJ56))*SUP_OPEX!$E$15+IF(CJ56=0,0,INDEX(SUP_C3_EXPANSION!$J$20:$J$59,CJ56))*SUP_OPEX!$F$15+IF(CJ56=0,0,INDEX(SUP_C3_EXPANSION!$H$20:$H$59,CJ56))*SUP_OPEX!$D$20+IF(CJ56=0,0,INDEX(SUP_C3_EXPANSION!$I$20:$I$59,CJ56))*SUP_OPEX!$E$20+IF(CJ56=0,0,INDEX(SUP_C3_EXPANSION!$J$20:$J$59,CJ56))*SUP_OPEX!$F$20)</f>
        <v>297757.5</v>
      </c>
      <c r="CK43" s="273" t="n">
        <f aca="false">IF(CK56=0,0,IF(CK56=0,0,INDEX(SUP_C3_EXPANSION!$H$20:$H$59,CK56))*SUP_OPEX!$D$15+IF(CK56=0,0,INDEX(SUP_C3_EXPANSION!$I$20:$I$59,CK56))*SUP_OPEX!$E$15+IF(CK56=0,0,INDEX(SUP_C3_EXPANSION!$J$20:$J$59,CK56))*SUP_OPEX!$F$15+IF(CK56=0,0,INDEX(SUP_C3_EXPANSION!$H$20:$H$59,CK56))*SUP_OPEX!$D$20+IF(CK56=0,0,INDEX(SUP_C3_EXPANSION!$I$20:$I$59,CK56))*SUP_OPEX!$E$20+IF(CK56=0,0,INDEX(SUP_C3_EXPANSION!$J$20:$J$59,CK56))*SUP_OPEX!$F$20)</f>
        <v>297757.5</v>
      </c>
      <c r="CL43" s="273" t="n">
        <f aca="false">IF(CL56=0,0,IF(CL56=0,0,INDEX(SUP_C3_EXPANSION!$H$20:$H$59,CL56))*SUP_OPEX!$D$15+IF(CL56=0,0,INDEX(SUP_C3_EXPANSION!$I$20:$I$59,CL56))*SUP_OPEX!$E$15+IF(CL56=0,0,INDEX(SUP_C3_EXPANSION!$J$20:$J$59,CL56))*SUP_OPEX!$F$15+IF(CL56=0,0,INDEX(SUP_C3_EXPANSION!$H$20:$H$59,CL56))*SUP_OPEX!$D$20+IF(CL56=0,0,INDEX(SUP_C3_EXPANSION!$I$20:$I$59,CL56))*SUP_OPEX!$E$20+IF(CL56=0,0,INDEX(SUP_C3_EXPANSION!$J$20:$J$59,CL56))*SUP_OPEX!$F$20)</f>
        <v>297757.5</v>
      </c>
      <c r="CM43" s="273" t="n">
        <f aca="false">IF(CM56=0,0,IF(CM56=0,0,INDEX(SUP_C3_EXPANSION!$H$20:$H$59,CM56))*SUP_OPEX!$D$15+IF(CM56=0,0,INDEX(SUP_C3_EXPANSION!$I$20:$I$59,CM56))*SUP_OPEX!$E$15+IF(CM56=0,0,INDEX(SUP_C3_EXPANSION!$J$20:$J$59,CM56))*SUP_OPEX!$F$15+IF(CM56=0,0,INDEX(SUP_C3_EXPANSION!$H$20:$H$59,CM56))*SUP_OPEX!$D$20+IF(CM56=0,0,INDEX(SUP_C3_EXPANSION!$I$20:$I$59,CM56))*SUP_OPEX!$E$20+IF(CM56=0,0,INDEX(SUP_C3_EXPANSION!$J$20:$J$59,CM56))*SUP_OPEX!$F$20)</f>
        <v>297757.5</v>
      </c>
      <c r="CN43" s="273" t="n">
        <f aca="false">IF(CN56=0,0,IF(CN56=0,0,INDEX(SUP_C3_EXPANSION!$H$20:$H$59,CN56))*SUP_OPEX!$D$15+IF(CN56=0,0,INDEX(SUP_C3_EXPANSION!$I$20:$I$59,CN56))*SUP_OPEX!$E$15+IF(CN56=0,0,INDEX(SUP_C3_EXPANSION!$J$20:$J$59,CN56))*SUP_OPEX!$F$15+IF(CN56=0,0,INDEX(SUP_C3_EXPANSION!$H$20:$H$59,CN56))*SUP_OPEX!$D$20+IF(CN56=0,0,INDEX(SUP_C3_EXPANSION!$I$20:$I$59,CN56))*SUP_OPEX!$E$20+IF(CN56=0,0,INDEX(SUP_C3_EXPANSION!$J$20:$J$59,CN56))*SUP_OPEX!$F$20)</f>
        <v>297757.5</v>
      </c>
      <c r="CO43" s="273" t="n">
        <f aca="false">IF(CO56=0,0,IF(CO56=0,0,INDEX(SUP_C3_EXPANSION!$H$20:$H$59,CO56))*SUP_OPEX!$D$15+IF(CO56=0,0,INDEX(SUP_C3_EXPANSION!$I$20:$I$59,CO56))*SUP_OPEX!$E$15+IF(CO56=0,0,INDEX(SUP_C3_EXPANSION!$J$20:$J$59,CO56))*SUP_OPEX!$F$15+IF(CO56=0,0,INDEX(SUP_C3_EXPANSION!$H$20:$H$59,CO56))*SUP_OPEX!$D$20+IF(CO56=0,0,INDEX(SUP_C3_EXPANSION!$I$20:$I$59,CO56))*SUP_OPEX!$E$20+IF(CO56=0,0,INDEX(SUP_C3_EXPANSION!$J$20:$J$59,CO56))*SUP_OPEX!$F$20)</f>
        <v>297757.5</v>
      </c>
      <c r="CP43" s="273" t="n">
        <f aca="false">IF(CP56=0,0,IF(CP56=0,0,INDEX(SUP_C3_EXPANSION!$H$20:$H$59,CP56))*SUP_OPEX!$D$15+IF(CP56=0,0,INDEX(SUP_C3_EXPANSION!$I$20:$I$59,CP56))*SUP_OPEX!$E$15+IF(CP56=0,0,INDEX(SUP_C3_EXPANSION!$J$20:$J$59,CP56))*SUP_OPEX!$F$15+IF(CP56=0,0,INDEX(SUP_C3_EXPANSION!$H$20:$H$59,CP56))*SUP_OPEX!$D$20+IF(CP56=0,0,INDEX(SUP_C3_EXPANSION!$I$20:$I$59,CP56))*SUP_OPEX!$E$20+IF(CP56=0,0,INDEX(SUP_C3_EXPANSION!$J$20:$J$59,CP56))*SUP_OPEX!$F$20)</f>
        <v>297757.5</v>
      </c>
      <c r="CQ43" s="273" t="n">
        <f aca="false">IF(CQ56=0,0,IF(CQ56=0,0,INDEX(SUP_C3_EXPANSION!$H$20:$H$59,CQ56))*SUP_OPEX!$D$15+IF(CQ56=0,0,INDEX(SUP_C3_EXPANSION!$I$20:$I$59,CQ56))*SUP_OPEX!$E$15+IF(CQ56=0,0,INDEX(SUP_C3_EXPANSION!$J$20:$J$59,CQ56))*SUP_OPEX!$F$15+IF(CQ56=0,0,INDEX(SUP_C3_EXPANSION!$H$20:$H$59,CQ56))*SUP_OPEX!$D$20+IF(CQ56=0,0,INDEX(SUP_C3_EXPANSION!$I$20:$I$59,CQ56))*SUP_OPEX!$E$20+IF(CQ56=0,0,INDEX(SUP_C3_EXPANSION!$J$20:$J$59,CQ56))*SUP_OPEX!$F$20)</f>
        <v>297757.5</v>
      </c>
      <c r="CR43" s="273" t="n">
        <f aca="false">IF(CR56=0,0,IF(CR56=0,0,INDEX(SUP_C3_EXPANSION!$H$20:$H$59,CR56))*SUP_OPEX!$D$15+IF(CR56=0,0,INDEX(SUP_C3_EXPANSION!$I$20:$I$59,CR56))*SUP_OPEX!$E$15+IF(CR56=0,0,INDEX(SUP_C3_EXPANSION!$J$20:$J$59,CR56))*SUP_OPEX!$F$15+IF(CR56=0,0,INDEX(SUP_C3_EXPANSION!$H$20:$H$59,CR56))*SUP_OPEX!$D$20+IF(CR56=0,0,INDEX(SUP_C3_EXPANSION!$I$20:$I$59,CR56))*SUP_OPEX!$E$20+IF(CR56=0,0,INDEX(SUP_C3_EXPANSION!$J$20:$J$59,CR56))*SUP_OPEX!$F$20)</f>
        <v>297757.5</v>
      </c>
      <c r="CS43" s="273" t="n">
        <f aca="false">IF(CS56=0,0,IF(CS56=0,0,INDEX(SUP_C3_EXPANSION!$H$20:$H$59,CS56))*SUP_OPEX!$D$15+IF(CS56=0,0,INDEX(SUP_C3_EXPANSION!$I$20:$I$59,CS56))*SUP_OPEX!$E$15+IF(CS56=0,0,INDEX(SUP_C3_EXPANSION!$J$20:$J$59,CS56))*SUP_OPEX!$F$15+IF(CS56=0,0,INDEX(SUP_C3_EXPANSION!$H$20:$H$59,CS56))*SUP_OPEX!$D$20+IF(CS56=0,0,INDEX(SUP_C3_EXPANSION!$I$20:$I$59,CS56))*SUP_OPEX!$E$20+IF(CS56=0,0,INDEX(SUP_C3_EXPANSION!$J$20:$J$59,CS56))*SUP_OPEX!$F$20)</f>
        <v>297757.5</v>
      </c>
      <c r="CT43" s="273" t="n">
        <f aca="false">IF(CT56=0,0,IF(CT56=0,0,INDEX(SUP_C3_EXPANSION!$H$20:$H$59,CT56))*SUP_OPEX!$D$15+IF(CT56=0,0,INDEX(SUP_C3_EXPANSION!$I$20:$I$59,CT56))*SUP_OPEX!$E$15+IF(CT56=0,0,INDEX(SUP_C3_EXPANSION!$J$20:$J$59,CT56))*SUP_OPEX!$F$15+IF(CT56=0,0,INDEX(SUP_C3_EXPANSION!$H$20:$H$59,CT56))*SUP_OPEX!$D$20+IF(CT56=0,0,INDEX(SUP_C3_EXPANSION!$I$20:$I$59,CT56))*SUP_OPEX!$E$20+IF(CT56=0,0,INDEX(SUP_C3_EXPANSION!$J$20:$J$59,CT56))*SUP_OPEX!$F$20)</f>
        <v>297757.5</v>
      </c>
      <c r="CU43" s="273" t="n">
        <f aca="false">IF(CU56=0,0,IF(CU56=0,0,INDEX(SUP_C3_EXPANSION!$H$20:$H$59,CU56))*SUP_OPEX!$D$15+IF(CU56=0,0,INDEX(SUP_C3_EXPANSION!$I$20:$I$59,CU56))*SUP_OPEX!$E$15+IF(CU56=0,0,INDEX(SUP_C3_EXPANSION!$J$20:$J$59,CU56))*SUP_OPEX!$F$15+IF(CU56=0,0,INDEX(SUP_C3_EXPANSION!$H$20:$H$59,CU56))*SUP_OPEX!$D$20+IF(CU56=0,0,INDEX(SUP_C3_EXPANSION!$I$20:$I$59,CU56))*SUP_OPEX!$E$20+IF(CU56=0,0,INDEX(SUP_C3_EXPANSION!$J$20:$J$59,CU56))*SUP_OPEX!$F$20)</f>
        <v>297757.5</v>
      </c>
      <c r="CV43" s="273" t="n">
        <f aca="false">IF(CV56=0,0,IF(CV56=0,0,INDEX(SUP_C3_EXPANSION!$H$20:$H$59,CV56))*SUP_OPEX!$D$15+IF(CV56=0,0,INDEX(SUP_C3_EXPANSION!$I$20:$I$59,CV56))*SUP_OPEX!$E$15+IF(CV56=0,0,INDEX(SUP_C3_EXPANSION!$J$20:$J$59,CV56))*SUP_OPEX!$F$15+IF(CV56=0,0,INDEX(SUP_C3_EXPANSION!$H$20:$H$59,CV56))*SUP_OPEX!$D$20+IF(CV56=0,0,INDEX(SUP_C3_EXPANSION!$I$20:$I$59,CV56))*SUP_OPEX!$E$20+IF(CV56=0,0,INDEX(SUP_C3_EXPANSION!$J$20:$J$59,CV56))*SUP_OPEX!$F$20)</f>
        <v>297757.5</v>
      </c>
      <c r="CW43" s="273" t="n">
        <f aca="false">IF(CW56=0,0,IF(CW56=0,0,INDEX(SUP_C3_EXPANSION!$H$20:$H$59,CW56))*SUP_OPEX!$D$15+IF(CW56=0,0,INDEX(SUP_C3_EXPANSION!$I$20:$I$59,CW56))*SUP_OPEX!$E$15+IF(CW56=0,0,INDEX(SUP_C3_EXPANSION!$J$20:$J$59,CW56))*SUP_OPEX!$F$15+IF(CW56=0,0,INDEX(SUP_C3_EXPANSION!$H$20:$H$59,CW56))*SUP_OPEX!$D$20+IF(CW56=0,0,INDEX(SUP_C3_EXPANSION!$I$20:$I$59,CW56))*SUP_OPEX!$E$20+IF(CW56=0,0,INDEX(SUP_C3_EXPANSION!$J$20:$J$59,CW56))*SUP_OPEX!$F$20)</f>
        <v>297757.5</v>
      </c>
      <c r="CX43" s="273" t="n">
        <f aca="false">IF(CX56=0,0,IF(CX56=0,0,INDEX(SUP_C3_EXPANSION!$H$20:$H$59,CX56))*SUP_OPEX!$D$15+IF(CX56=0,0,INDEX(SUP_C3_EXPANSION!$I$20:$I$59,CX56))*SUP_OPEX!$E$15+IF(CX56=0,0,INDEX(SUP_C3_EXPANSION!$J$20:$J$59,CX56))*SUP_OPEX!$F$15+IF(CX56=0,0,INDEX(SUP_C3_EXPANSION!$H$20:$H$59,CX56))*SUP_OPEX!$D$20+IF(CX56=0,0,INDEX(SUP_C3_EXPANSION!$I$20:$I$59,CX56))*SUP_OPEX!$E$20+IF(CX56=0,0,INDEX(SUP_C3_EXPANSION!$J$20:$J$59,CX56))*SUP_OPEX!$F$20)</f>
        <v>297757.5</v>
      </c>
      <c r="CY43" s="273" t="n">
        <f aca="false">IF(CY56=0,0,IF(CY56=0,0,INDEX(SUP_C3_EXPANSION!$H$20:$H$59,CY56))*SUP_OPEX!$D$15+IF(CY56=0,0,INDEX(SUP_C3_EXPANSION!$I$20:$I$59,CY56))*SUP_OPEX!$E$15+IF(CY56=0,0,INDEX(SUP_C3_EXPANSION!$J$20:$J$59,CY56))*SUP_OPEX!$F$15+IF(CY56=0,0,INDEX(SUP_C3_EXPANSION!$H$20:$H$59,CY56))*SUP_OPEX!$D$20+IF(CY56=0,0,INDEX(SUP_C3_EXPANSION!$I$20:$I$59,CY56))*SUP_OPEX!$E$20+IF(CY56=0,0,INDEX(SUP_C3_EXPANSION!$J$20:$J$59,CY56))*SUP_OPEX!$F$20)</f>
        <v>297757.5</v>
      </c>
      <c r="CZ43" s="273" t="n">
        <f aca="false">IF(CZ56=0,0,IF(CZ56=0,0,INDEX(SUP_C3_EXPANSION!$H$20:$H$59,CZ56))*SUP_OPEX!$D$15+IF(CZ56=0,0,INDEX(SUP_C3_EXPANSION!$I$20:$I$59,CZ56))*SUP_OPEX!$E$15+IF(CZ56=0,0,INDEX(SUP_C3_EXPANSION!$J$20:$J$59,CZ56))*SUP_OPEX!$F$15+IF(CZ56=0,0,INDEX(SUP_C3_EXPANSION!$H$20:$H$59,CZ56))*SUP_OPEX!$D$20+IF(CZ56=0,0,INDEX(SUP_C3_EXPANSION!$I$20:$I$59,CZ56))*SUP_OPEX!$E$20+IF(CZ56=0,0,INDEX(SUP_C3_EXPANSION!$J$20:$J$59,CZ56))*SUP_OPEX!$F$20)</f>
        <v>297757.5</v>
      </c>
      <c r="DA43" s="273" t="n">
        <f aca="false">IF(DA56=0,0,IF(DA56=0,0,INDEX(SUP_C3_EXPANSION!$H$20:$H$59,DA56))*SUP_OPEX!$D$15+IF(DA56=0,0,INDEX(SUP_C3_EXPANSION!$I$20:$I$59,DA56))*SUP_OPEX!$E$15+IF(DA56=0,0,INDEX(SUP_C3_EXPANSION!$J$20:$J$59,DA56))*SUP_OPEX!$F$15+IF(DA56=0,0,INDEX(SUP_C3_EXPANSION!$H$20:$H$59,DA56))*SUP_OPEX!$D$20+IF(DA56=0,0,INDEX(SUP_C3_EXPANSION!$I$20:$I$59,DA56))*SUP_OPEX!$E$20+IF(DA56=0,0,INDEX(SUP_C3_EXPANSION!$J$20:$J$59,DA56))*SUP_OPEX!$F$20)</f>
        <v>297757.5</v>
      </c>
      <c r="DB43" s="273" t="n">
        <f aca="false">IF(DB56=0,0,IF(DB56=0,0,INDEX(SUP_C3_EXPANSION!$H$20:$H$59,DB56))*SUP_OPEX!$D$15+IF(DB56=0,0,INDEX(SUP_C3_EXPANSION!$I$20:$I$59,DB56))*SUP_OPEX!$E$15+IF(DB56=0,0,INDEX(SUP_C3_EXPANSION!$J$20:$J$59,DB56))*SUP_OPEX!$F$15+IF(DB56=0,0,INDEX(SUP_C3_EXPANSION!$H$20:$H$59,DB56))*SUP_OPEX!$D$20+IF(DB56=0,0,INDEX(SUP_C3_EXPANSION!$I$20:$I$59,DB56))*SUP_OPEX!$E$20+IF(DB56=0,0,INDEX(SUP_C3_EXPANSION!$J$20:$J$59,DB56))*SUP_OPEX!$F$20)</f>
        <v>297757.5</v>
      </c>
      <c r="DC43" s="273" t="n">
        <f aca="false">IF(DC56=0,0,IF(DC56=0,0,INDEX(SUP_C3_EXPANSION!$H$20:$H$59,DC56))*SUP_OPEX!$D$15+IF(DC56=0,0,INDEX(SUP_C3_EXPANSION!$I$20:$I$59,DC56))*SUP_OPEX!$E$15+IF(DC56=0,0,INDEX(SUP_C3_EXPANSION!$J$20:$J$59,DC56))*SUP_OPEX!$F$15+IF(DC56=0,0,INDEX(SUP_C3_EXPANSION!$H$20:$H$59,DC56))*SUP_OPEX!$D$20+IF(DC56=0,0,INDEX(SUP_C3_EXPANSION!$I$20:$I$59,DC56))*SUP_OPEX!$E$20+IF(DC56=0,0,INDEX(SUP_C3_EXPANSION!$J$20:$J$59,DC56))*SUP_OPEX!$F$20)</f>
        <v>297757.5</v>
      </c>
      <c r="DD43" s="273" t="n">
        <f aca="false">IF(DD56=0,0,IF(DD56=0,0,INDEX(SUP_C3_EXPANSION!$H$20:$H$59,DD56))*SUP_OPEX!$D$15+IF(DD56=0,0,INDEX(SUP_C3_EXPANSION!$I$20:$I$59,DD56))*SUP_OPEX!$E$15+IF(DD56=0,0,INDEX(SUP_C3_EXPANSION!$J$20:$J$59,DD56))*SUP_OPEX!$F$15+IF(DD56=0,0,INDEX(SUP_C3_EXPANSION!$H$20:$H$59,DD56))*SUP_OPEX!$D$20+IF(DD56=0,0,INDEX(SUP_C3_EXPANSION!$I$20:$I$59,DD56))*SUP_OPEX!$E$20+IF(DD56=0,0,INDEX(SUP_C3_EXPANSION!$J$20:$J$59,DD56))*SUP_OPEX!$F$20)</f>
        <v>297757.5</v>
      </c>
      <c r="DE43" s="273" t="n">
        <f aca="false">IF(DE56=0,0,IF(DE56=0,0,INDEX(SUP_C3_EXPANSION!$H$20:$H$59,DE56))*SUP_OPEX!$D$15+IF(DE56=0,0,INDEX(SUP_C3_EXPANSION!$I$20:$I$59,DE56))*SUP_OPEX!$E$15+IF(DE56=0,0,INDEX(SUP_C3_EXPANSION!$J$20:$J$59,DE56))*SUP_OPEX!$F$15+IF(DE56=0,0,INDEX(SUP_C3_EXPANSION!$H$20:$H$59,DE56))*SUP_OPEX!$D$20+IF(DE56=0,0,INDEX(SUP_C3_EXPANSION!$I$20:$I$59,DE56))*SUP_OPEX!$E$20+IF(DE56=0,0,INDEX(SUP_C3_EXPANSION!$J$20:$J$59,DE56))*SUP_OPEX!$F$20)</f>
        <v>297757.5</v>
      </c>
      <c r="DF43" s="273" t="n">
        <f aca="false">IF(DF56=0,0,IF(DF56=0,0,INDEX(SUP_C3_EXPANSION!$H$20:$H$59,DF56))*SUP_OPEX!$D$15+IF(DF56=0,0,INDEX(SUP_C3_EXPANSION!$I$20:$I$59,DF56))*SUP_OPEX!$E$15+IF(DF56=0,0,INDEX(SUP_C3_EXPANSION!$J$20:$J$59,DF56))*SUP_OPEX!$F$15+IF(DF56=0,0,INDEX(SUP_C3_EXPANSION!$H$20:$H$59,DF56))*SUP_OPEX!$D$20+IF(DF56=0,0,INDEX(SUP_C3_EXPANSION!$I$20:$I$59,DF56))*SUP_OPEX!$E$20+IF(DF56=0,0,INDEX(SUP_C3_EXPANSION!$J$20:$J$59,DF56))*SUP_OPEX!$F$20)</f>
        <v>297757.5</v>
      </c>
      <c r="DG43" s="273" t="n">
        <f aca="false">IF(DG56=0,0,IF(DG56=0,0,INDEX(SUP_C3_EXPANSION!$H$20:$H$59,DG56))*SUP_OPEX!$D$15+IF(DG56=0,0,INDEX(SUP_C3_EXPANSION!$I$20:$I$59,DG56))*SUP_OPEX!$E$15+IF(DG56=0,0,INDEX(SUP_C3_EXPANSION!$J$20:$J$59,DG56))*SUP_OPEX!$F$15+IF(DG56=0,0,INDEX(SUP_C3_EXPANSION!$H$20:$H$59,DG56))*SUP_OPEX!$D$20+IF(DG56=0,0,INDEX(SUP_C3_EXPANSION!$I$20:$I$59,DG56))*SUP_OPEX!$E$20+IF(DG56=0,0,INDEX(SUP_C3_EXPANSION!$J$20:$J$59,DG56))*SUP_OPEX!$F$20)</f>
        <v>297757.5</v>
      </c>
      <c r="DH43" s="273" t="n">
        <f aca="false">IF(DH56=0,0,IF(DH56=0,0,INDEX(SUP_C3_EXPANSION!$H$20:$H$59,DH56))*SUP_OPEX!$D$15+IF(DH56=0,0,INDEX(SUP_C3_EXPANSION!$I$20:$I$59,DH56))*SUP_OPEX!$E$15+IF(DH56=0,0,INDEX(SUP_C3_EXPANSION!$J$20:$J$59,DH56))*SUP_OPEX!$F$15+IF(DH56=0,0,INDEX(SUP_C3_EXPANSION!$H$20:$H$59,DH56))*SUP_OPEX!$D$20+IF(DH56=0,0,INDEX(SUP_C3_EXPANSION!$I$20:$I$59,DH56))*SUP_OPEX!$E$20+IF(DH56=0,0,INDEX(SUP_C3_EXPANSION!$J$20:$J$59,DH56))*SUP_OPEX!$F$20)</f>
        <v>297757.5</v>
      </c>
      <c r="DI43" s="273" t="n">
        <f aca="false">IF(DI56=0,0,IF(DI56=0,0,INDEX(SUP_C3_EXPANSION!$H$20:$H$59,DI56))*SUP_OPEX!$D$15+IF(DI56=0,0,INDEX(SUP_C3_EXPANSION!$I$20:$I$59,DI56))*SUP_OPEX!$E$15+IF(DI56=0,0,INDEX(SUP_C3_EXPANSION!$J$20:$J$59,DI56))*SUP_OPEX!$F$15+IF(DI56=0,0,INDEX(SUP_C3_EXPANSION!$H$20:$H$59,DI56))*SUP_OPEX!$D$20+IF(DI56=0,0,INDEX(SUP_C3_EXPANSION!$I$20:$I$59,DI56))*SUP_OPEX!$E$20+IF(DI56=0,0,INDEX(SUP_C3_EXPANSION!$J$20:$J$59,DI56))*SUP_OPEX!$F$20)</f>
        <v>297757.5</v>
      </c>
      <c r="DJ43" s="273" t="n">
        <f aca="false">IF(DJ56=0,0,IF(DJ56=0,0,INDEX(SUP_C3_EXPANSION!$H$20:$H$59,DJ56))*SUP_OPEX!$D$15+IF(DJ56=0,0,INDEX(SUP_C3_EXPANSION!$I$20:$I$59,DJ56))*SUP_OPEX!$E$15+IF(DJ56=0,0,INDEX(SUP_C3_EXPANSION!$J$20:$J$59,DJ56))*SUP_OPEX!$F$15+IF(DJ56=0,0,INDEX(SUP_C3_EXPANSION!$H$20:$H$59,DJ56))*SUP_OPEX!$D$20+IF(DJ56=0,0,INDEX(SUP_C3_EXPANSION!$I$20:$I$59,DJ56))*SUP_OPEX!$E$20+IF(DJ56=0,0,INDEX(SUP_C3_EXPANSION!$J$20:$J$59,DJ56))*SUP_OPEX!$F$20)</f>
        <v>297757.5</v>
      </c>
      <c r="DK43" s="273" t="n">
        <f aca="false">IF(DK56=0,0,IF(DK56=0,0,INDEX(SUP_C3_EXPANSION!$H$20:$H$59,DK56))*SUP_OPEX!$D$15+IF(DK56=0,0,INDEX(SUP_C3_EXPANSION!$I$20:$I$59,DK56))*SUP_OPEX!$E$15+IF(DK56=0,0,INDEX(SUP_C3_EXPANSION!$J$20:$J$59,DK56))*SUP_OPEX!$F$15+IF(DK56=0,0,INDEX(SUP_C3_EXPANSION!$H$20:$H$59,DK56))*SUP_OPEX!$D$20+IF(DK56=0,0,INDEX(SUP_C3_EXPANSION!$I$20:$I$59,DK56))*SUP_OPEX!$E$20+IF(DK56=0,0,INDEX(SUP_C3_EXPANSION!$J$20:$J$59,DK56))*SUP_OPEX!$F$20)</f>
        <v>297757.5</v>
      </c>
      <c r="DL43" s="273" t="n">
        <f aca="false">IF(DL56=0,0,IF(DL56=0,0,INDEX(SUP_C3_EXPANSION!$H$20:$H$59,DL56))*SUP_OPEX!$D$15+IF(DL56=0,0,INDEX(SUP_C3_EXPANSION!$I$20:$I$59,DL56))*SUP_OPEX!$E$15+IF(DL56=0,0,INDEX(SUP_C3_EXPANSION!$J$20:$J$59,DL56))*SUP_OPEX!$F$15+IF(DL56=0,0,INDEX(SUP_C3_EXPANSION!$H$20:$H$59,DL56))*SUP_OPEX!$D$20+IF(DL56=0,0,INDEX(SUP_C3_EXPANSION!$I$20:$I$59,DL56))*SUP_OPEX!$E$20+IF(DL56=0,0,INDEX(SUP_C3_EXPANSION!$J$20:$J$59,DL56))*SUP_OPEX!$F$20)</f>
        <v>297757.5</v>
      </c>
      <c r="DM43" s="273" t="n">
        <f aca="false">IF(DM56=0,0,IF(DM56=0,0,INDEX(SUP_C3_EXPANSION!$H$20:$H$59,DM56))*SUP_OPEX!$D$15+IF(DM56=0,0,INDEX(SUP_C3_EXPANSION!$I$20:$I$59,DM56))*SUP_OPEX!$E$15+IF(DM56=0,0,INDEX(SUP_C3_EXPANSION!$J$20:$J$59,DM56))*SUP_OPEX!$F$15+IF(DM56=0,0,INDEX(SUP_C3_EXPANSION!$H$20:$H$59,DM56))*SUP_OPEX!$D$20+IF(DM56=0,0,INDEX(SUP_C3_EXPANSION!$I$20:$I$59,DM56))*SUP_OPEX!$E$20+IF(DM56=0,0,INDEX(SUP_C3_EXPANSION!$J$20:$J$59,DM56))*SUP_OPEX!$F$20)</f>
        <v>297757.5</v>
      </c>
      <c r="DN43" s="273" t="n">
        <f aca="false">IF(DN56=0,0,IF(DN56=0,0,INDEX(SUP_C3_EXPANSION!$H$20:$H$59,DN56))*SUP_OPEX!$D$15+IF(DN56=0,0,INDEX(SUP_C3_EXPANSION!$I$20:$I$59,DN56))*SUP_OPEX!$E$15+IF(DN56=0,0,INDEX(SUP_C3_EXPANSION!$J$20:$J$59,DN56))*SUP_OPEX!$F$15+IF(DN56=0,0,INDEX(SUP_C3_EXPANSION!$H$20:$H$59,DN56))*SUP_OPEX!$D$20+IF(DN56=0,0,INDEX(SUP_C3_EXPANSION!$I$20:$I$59,DN56))*SUP_OPEX!$E$20+IF(DN56=0,0,INDEX(SUP_C3_EXPANSION!$J$20:$J$59,DN56))*SUP_OPEX!$F$20)</f>
        <v>297757.5</v>
      </c>
      <c r="DO43" s="273" t="n">
        <f aca="false">IF(DO56=0,0,IF(DO56=0,0,INDEX(SUP_C3_EXPANSION!$H$20:$H$59,DO56))*SUP_OPEX!$D$15+IF(DO56=0,0,INDEX(SUP_C3_EXPANSION!$I$20:$I$59,DO56))*SUP_OPEX!$E$15+IF(DO56=0,0,INDEX(SUP_C3_EXPANSION!$J$20:$J$59,DO56))*SUP_OPEX!$F$15+IF(DO56=0,0,INDEX(SUP_C3_EXPANSION!$H$20:$H$59,DO56))*SUP_OPEX!$D$20+IF(DO56=0,0,INDEX(SUP_C3_EXPANSION!$I$20:$I$59,DO56))*SUP_OPEX!$E$20+IF(DO56=0,0,INDEX(SUP_C3_EXPANSION!$J$20:$J$59,DO56))*SUP_OPEX!$F$20)</f>
        <v>297757.5</v>
      </c>
      <c r="DP43" s="273" t="n">
        <f aca="false">IF(DP56=0,0,IF(DP56=0,0,INDEX(SUP_C3_EXPANSION!$H$20:$H$59,DP56))*SUP_OPEX!$D$15+IF(DP56=0,0,INDEX(SUP_C3_EXPANSION!$I$20:$I$59,DP56))*SUP_OPEX!$E$15+IF(DP56=0,0,INDEX(SUP_C3_EXPANSION!$J$20:$J$59,DP56))*SUP_OPEX!$F$15+IF(DP56=0,0,INDEX(SUP_C3_EXPANSION!$H$20:$H$59,DP56))*SUP_OPEX!$D$20+IF(DP56=0,0,INDEX(SUP_C3_EXPANSION!$I$20:$I$59,DP56))*SUP_OPEX!$E$20+IF(DP56=0,0,INDEX(SUP_C3_EXPANSION!$J$20:$J$59,DP56))*SUP_OPEX!$F$20)</f>
        <v>297757.5</v>
      </c>
      <c r="DQ43" s="273" t="n">
        <f aca="false">IF(DQ56=0,0,IF(DQ56=0,0,INDEX(SUP_C3_EXPANSION!$H$20:$H$59,DQ56))*SUP_OPEX!$D$15+IF(DQ56=0,0,INDEX(SUP_C3_EXPANSION!$I$20:$I$59,DQ56))*SUP_OPEX!$E$15+IF(DQ56=0,0,INDEX(SUP_C3_EXPANSION!$J$20:$J$59,DQ56))*SUP_OPEX!$F$15+IF(DQ56=0,0,INDEX(SUP_C3_EXPANSION!$H$20:$H$59,DQ56))*SUP_OPEX!$D$20+IF(DQ56=0,0,INDEX(SUP_C3_EXPANSION!$I$20:$I$59,DQ56))*SUP_OPEX!$E$20+IF(DQ56=0,0,INDEX(SUP_C3_EXPANSION!$J$20:$J$59,DQ56))*SUP_OPEX!$F$20)</f>
        <v>297757.5</v>
      </c>
      <c r="DR43" s="273" t="n">
        <f aca="false">IF(DR56=0,0,IF(DR56=0,0,INDEX(SUP_C3_EXPANSION!$H$20:$H$59,DR56))*SUP_OPEX!$D$15+IF(DR56=0,0,INDEX(SUP_C3_EXPANSION!$I$20:$I$59,DR56))*SUP_OPEX!$E$15+IF(DR56=0,0,INDEX(SUP_C3_EXPANSION!$J$20:$J$59,DR56))*SUP_OPEX!$F$15+IF(DR56=0,0,INDEX(SUP_C3_EXPANSION!$H$20:$H$59,DR56))*SUP_OPEX!$D$20+IF(DR56=0,0,INDEX(SUP_C3_EXPANSION!$I$20:$I$59,DR56))*SUP_OPEX!$E$20+IF(DR56=0,0,INDEX(SUP_C3_EXPANSION!$J$20:$J$59,DR56))*SUP_OPEX!$F$20)</f>
        <v>297757.5</v>
      </c>
      <c r="DS43" s="273" t="n">
        <f aca="false">IF(DS56=0,0,IF(DS56=0,0,INDEX(SUP_C3_EXPANSION!$H$20:$H$59,DS56))*SUP_OPEX!$D$15+IF(DS56=0,0,INDEX(SUP_C3_EXPANSION!$I$20:$I$59,DS56))*SUP_OPEX!$E$15+IF(DS56=0,0,INDEX(SUP_C3_EXPANSION!$J$20:$J$59,DS56))*SUP_OPEX!$F$15+IF(DS56=0,0,INDEX(SUP_C3_EXPANSION!$H$20:$H$59,DS56))*SUP_OPEX!$D$20+IF(DS56=0,0,INDEX(SUP_C3_EXPANSION!$I$20:$I$59,DS56))*SUP_OPEX!$E$20+IF(DS56=0,0,INDEX(SUP_C3_EXPANSION!$J$20:$J$59,DS56))*SUP_OPEX!$F$20)</f>
        <v>297757.5</v>
      </c>
    </row>
    <row r="44" customFormat="false" ht="15" hidden="false" customHeight="true" outlineLevel="0" collapsed="false">
      <c r="B44" s="297" t="s">
        <v>3420</v>
      </c>
      <c r="D44" s="273" t="n">
        <f aca="false">D41*PROD_DEMANDA!D16</f>
        <v>0</v>
      </c>
      <c r="E44" s="273" t="n">
        <f aca="false">E41*PROD_DEMANDA!E16</f>
        <v>0</v>
      </c>
      <c r="F44" s="273" t="n">
        <f aca="false">F41*PROD_DEMANDA!F16</f>
        <v>0</v>
      </c>
      <c r="G44" s="273" t="n">
        <f aca="false">G41*PROD_DEMANDA!G16</f>
        <v>0</v>
      </c>
      <c r="H44" s="273" t="n">
        <f aca="false">H41*PROD_DEMANDA!H16</f>
        <v>0</v>
      </c>
      <c r="I44" s="273" t="n">
        <f aca="false">I41*PROD_DEMANDA!I16</f>
        <v>0</v>
      </c>
      <c r="J44" s="273" t="n">
        <f aca="false">J41*PROD_DEMANDA!J16</f>
        <v>0</v>
      </c>
      <c r="K44" s="273" t="n">
        <f aca="false">K41*PROD_DEMANDA!K16</f>
        <v>0</v>
      </c>
      <c r="L44" s="273" t="n">
        <f aca="false">L41*PROD_DEMANDA!L16</f>
        <v>0</v>
      </c>
      <c r="M44" s="273" t="n">
        <f aca="false">M41*PROD_DEMANDA!M16</f>
        <v>0</v>
      </c>
      <c r="N44" s="273" t="n">
        <f aca="false">N41*PROD_DEMANDA!N16</f>
        <v>0</v>
      </c>
      <c r="O44" s="273" t="n">
        <f aca="false">O41*PROD_DEMANDA!O16</f>
        <v>0</v>
      </c>
      <c r="P44" s="273" t="n">
        <f aca="false">P41*PROD_DEMANDA!P16</f>
        <v>0</v>
      </c>
      <c r="Q44" s="273" t="n">
        <f aca="false">Q41*PROD_DEMANDA!Q16</f>
        <v>0</v>
      </c>
      <c r="R44" s="273" t="n">
        <f aca="false">R41*PROD_DEMANDA!R16</f>
        <v>0</v>
      </c>
      <c r="S44" s="273" t="n">
        <f aca="false">S41*PROD_DEMANDA!S16</f>
        <v>0</v>
      </c>
      <c r="T44" s="273" t="n">
        <f aca="false">T41*PROD_DEMANDA!T16</f>
        <v>0</v>
      </c>
      <c r="U44" s="273" t="n">
        <f aca="false">U41*PROD_DEMANDA!U16</f>
        <v>0</v>
      </c>
      <c r="V44" s="273" t="n">
        <f aca="false">V41*PROD_DEMANDA!V16</f>
        <v>270.27</v>
      </c>
      <c r="W44" s="273" t="n">
        <f aca="false">W41*PROD_DEMANDA!W16</f>
        <v>602.91</v>
      </c>
      <c r="X44" s="273" t="n">
        <f aca="false">X41*PROD_DEMANDA!X16</f>
        <v>706.86</v>
      </c>
      <c r="Y44" s="273" t="n">
        <f aca="false">Y41*PROD_DEMANDA!Y16</f>
        <v>1060.29</v>
      </c>
      <c r="Z44" s="273" t="n">
        <f aca="false">Z41*PROD_DEMANDA!Z16</f>
        <v>1164.24</v>
      </c>
      <c r="AA44" s="273" t="n">
        <f aca="false">AA41*PROD_DEMANDA!AA16</f>
        <v>1205.82</v>
      </c>
      <c r="AB44" s="273" t="n">
        <f aca="false">AB41*PROD_DEMANDA!AB16</f>
        <v>1247.4</v>
      </c>
      <c r="AC44" s="273" t="n">
        <f aca="false">AC41*PROD_DEMANDA!AC16</f>
        <v>1247.4</v>
      </c>
      <c r="AD44" s="273" t="n">
        <f aca="false">AD41*PROD_DEMANDA!AD16</f>
        <v>1632.36043165468</v>
      </c>
      <c r="AE44" s="273" t="n">
        <f aca="false">AE41*PROD_DEMANDA!AE16</f>
        <v>1632.36043165468</v>
      </c>
      <c r="AF44" s="273" t="n">
        <f aca="false">AF41*PROD_DEMANDA!AF16</f>
        <v>1632.36043165468</v>
      </c>
      <c r="AG44" s="273" t="n">
        <f aca="false">AG41*PROD_DEMANDA!AG16</f>
        <v>1592.39435409124</v>
      </c>
      <c r="AH44" s="273" t="n">
        <f aca="false">AH41*PROD_DEMANDA!AH16</f>
        <v>1592.39435409124</v>
      </c>
      <c r="AI44" s="273" t="n">
        <f aca="false">AI41*PROD_DEMANDA!AI16</f>
        <v>1941.05387050881</v>
      </c>
      <c r="AJ44" s="273" t="n">
        <f aca="false">AJ41*PROD_DEMANDA!AJ16</f>
        <v>2258.7448352972</v>
      </c>
      <c r="AK44" s="273" t="n">
        <f aca="false">AK41*PROD_DEMANDA!AK16</f>
        <v>2358.01448110051</v>
      </c>
      <c r="AL44" s="273" t="n">
        <f aca="false">AL41*PROD_DEMANDA!AL16</f>
        <v>2652.84042458747</v>
      </c>
      <c r="AM44" s="273" t="n">
        <f aca="false">AM41*PROD_DEMANDA!AM16</f>
        <v>2732.23398333234</v>
      </c>
      <c r="AN44" s="273" t="n">
        <f aca="false">AN41*PROD_DEMANDA!AN16</f>
        <v>2960.0335157072</v>
      </c>
      <c r="AO44" s="273" t="n">
        <f aca="false">AO41*PROD_DEMANDA!AO16</f>
        <v>3032.74219833024</v>
      </c>
      <c r="AP44" s="273" t="n">
        <f aca="false">AP41*PROD_DEMANDA!AP16</f>
        <v>3008.0287228197</v>
      </c>
      <c r="AQ44" s="273" t="n">
        <f aca="false">AQ41*PROD_DEMANDA!AQ16</f>
        <v>3265.04316728607</v>
      </c>
      <c r="AR44" s="273" t="n">
        <f aca="false">AR41*PROD_DEMANDA!AR16</f>
        <v>3479.64339401632</v>
      </c>
      <c r="AS44" s="273" t="n">
        <f aca="false">AS41*PROD_DEMANDA!AS16</f>
        <v>3701.32883046837</v>
      </c>
      <c r="AT44" s="273" t="n">
        <f aca="false">AT41*PROD_DEMANDA!AT16</f>
        <v>3931.32881697268</v>
      </c>
      <c r="AU44" s="273" t="n">
        <f aca="false">AU41*PROD_DEMANDA!AU16</f>
        <v>4006.14605505132</v>
      </c>
      <c r="AV44" s="273" t="n">
        <f aca="false">AV41*PROD_DEMANDA!AV16</f>
        <v>4048.19067982658</v>
      </c>
      <c r="AW44" s="273" t="n">
        <f aca="false">AW41*PROD_DEMANDA!AW16</f>
        <v>4240.32065385735</v>
      </c>
      <c r="AX44" s="273" t="n">
        <f aca="false">AX41*PROD_DEMANDA!AX16</f>
        <v>4278.69913922959</v>
      </c>
      <c r="AY44" s="273" t="n">
        <f aca="false">AY41*PROD_DEMANDA!AY16</f>
        <v>4428.21089582998</v>
      </c>
      <c r="AZ44" s="273" t="n">
        <f aca="false">AZ41*PROD_DEMANDA!AZ16</f>
        <v>4598.72178115885</v>
      </c>
      <c r="BA44" s="273" t="n">
        <f aca="false">BA41*PROD_DEMANDA!BA16</f>
        <v>4643.22769865571</v>
      </c>
      <c r="BB44" s="273" t="n">
        <f aca="false">BB41*PROD_DEMANDA!BB16</f>
        <v>7151.25985706019</v>
      </c>
      <c r="BC44" s="273" t="n">
        <f aca="false">BC41*PROD_DEMANDA!BC16</f>
        <v>7176.03484983587</v>
      </c>
      <c r="BD44" s="273" t="n">
        <f aca="false">BD41*PROD_DEMANDA!BD16</f>
        <v>7176.03484983587</v>
      </c>
      <c r="BE44" s="273" t="n">
        <f aca="false">BE41*PROD_DEMANDA!BE16</f>
        <v>7176.03484983587</v>
      </c>
      <c r="BF44" s="273" t="n">
        <f aca="false">BF41*PROD_DEMANDA!BF16</f>
        <v>7077.56518023407</v>
      </c>
      <c r="BG44" s="273" t="n">
        <f aca="false">BG41*PROD_DEMANDA!BG16</f>
        <v>7077.56518023407</v>
      </c>
      <c r="BH44" s="273" t="n">
        <f aca="false">BH41*PROD_DEMANDA!BH16</f>
        <v>7077.56518023407</v>
      </c>
      <c r="BI44" s="273" t="n">
        <f aca="false">BI41*PROD_DEMANDA!BI16</f>
        <v>7386.28077618974</v>
      </c>
      <c r="BJ44" s="273" t="n">
        <f aca="false">BJ41*PROD_DEMANDA!BJ16</f>
        <v>7599.07549445985</v>
      </c>
      <c r="BK44" s="273" t="n">
        <f aca="false">BK41*PROD_DEMANDA!BK16</f>
        <v>7769.94149961967</v>
      </c>
      <c r="BL44" s="273" t="n">
        <f aca="false">BL41*PROD_DEMANDA!BL16</f>
        <v>7999.846424644</v>
      </c>
      <c r="BM44" s="273" t="n">
        <f aca="false">BM41*PROD_DEMANDA!BM16</f>
        <v>8197.1573795696</v>
      </c>
      <c r="BN44" s="273" t="n">
        <f aca="false">BN41*PROD_DEMANDA!BN16</f>
        <v>8386.32469656709</v>
      </c>
      <c r="BO44" s="273" t="n">
        <f aca="false">BO41*PROD_DEMANDA!BO16</f>
        <v>8448.88241849069</v>
      </c>
      <c r="BP44" s="273" t="n">
        <f aca="false">BP41*PROD_DEMANDA!BP16</f>
        <v>8630.82291872791</v>
      </c>
      <c r="BQ44" s="273" t="n">
        <f aca="false">BQ41*PROD_DEMANDA!BQ16</f>
        <v>8701.01862607859</v>
      </c>
      <c r="BR44" s="273" t="n">
        <f aca="false">BR41*PROD_DEMANDA!BR16</f>
        <v>8851.61491459819</v>
      </c>
      <c r="BS44" s="273" t="n">
        <f aca="false">BS41*PROD_DEMANDA!BS16</f>
        <v>9013.0745359962</v>
      </c>
      <c r="BT44" s="273" t="n">
        <f aca="false">BT41*PROD_DEMANDA!BT16</f>
        <v>9193.94103652745</v>
      </c>
      <c r="BU44" s="273" t="n">
        <f aca="false">BU41*PROD_DEMANDA!BU16</f>
        <v>9346.87849010511</v>
      </c>
      <c r="BV44" s="273" t="n">
        <f aca="false">BV41*PROD_DEMANDA!BV16</f>
        <v>9493.22491032175</v>
      </c>
      <c r="BW44" s="273" t="n">
        <f aca="false">BW41*PROD_DEMANDA!BW16</f>
        <v>9565.01162419517</v>
      </c>
      <c r="BX44" s="273" t="n">
        <f aca="false">BX41*PROD_DEMANDA!BX16</f>
        <v>9724.81152218545</v>
      </c>
      <c r="BY44" s="273" t="n">
        <f aca="false">BY41*PROD_DEMANDA!BY16</f>
        <v>9776.58739636953</v>
      </c>
      <c r="BZ44" s="273" t="n">
        <f aca="false">BZ41*PROD_DEMANDA!BZ16</f>
        <v>9972.56970485573</v>
      </c>
      <c r="CA44" s="273" t="n">
        <f aca="false">CA41*PROD_DEMANDA!CA16</f>
        <v>10106.8187352022</v>
      </c>
      <c r="CB44" s="273" t="n">
        <f aca="false">CB41*PROD_DEMANDA!CB16</f>
        <v>10154.1520589322</v>
      </c>
      <c r="CC44" s="273" t="n">
        <f aca="false">CC41*PROD_DEMANDA!CC16</f>
        <v>10284.3164029875</v>
      </c>
      <c r="CD44" s="273" t="n">
        <f aca="false">CD41*PROD_DEMANDA!CD16</f>
        <v>10422.4929155556</v>
      </c>
      <c r="CE44" s="273" t="n">
        <f aca="false">CE41*PROD_DEMANDA!CE16</f>
        <v>10540.7475350833</v>
      </c>
      <c r="CF44" s="273" t="n">
        <f aca="false">CF41*PROD_DEMANDA!CF16</f>
        <v>10655.0977602705</v>
      </c>
      <c r="CG44" s="273" t="n">
        <f aca="false">CG41*PROD_DEMANDA!CG16</f>
        <v>10784.9658533322</v>
      </c>
      <c r="CH44" s="273" t="n">
        <f aca="false">CH41*PROD_DEMANDA!CH16</f>
        <v>12614.2939287279</v>
      </c>
      <c r="CI44" s="273" t="n">
        <f aca="false">CI41*PROD_DEMANDA!CI16</f>
        <v>12742.8411757</v>
      </c>
      <c r="CJ44" s="273" t="n">
        <f aca="false">CJ41*PROD_DEMANDA!CJ16</f>
        <v>12795.9947251852</v>
      </c>
      <c r="CK44" s="273" t="n">
        <f aca="false">CK41*PROD_DEMANDA!CK16</f>
        <v>12821.3151619552</v>
      </c>
      <c r="CL44" s="273" t="n">
        <f aca="false">CL41*PROD_DEMANDA!CL16</f>
        <v>12832.2943656539</v>
      </c>
      <c r="CM44" s="273" t="n">
        <f aca="false">CM41*PROD_DEMANDA!CM16</f>
        <v>12832.2943656539</v>
      </c>
      <c r="CN44" s="273" t="n">
        <f aca="false">CN41*PROD_DEMANDA!CN16</f>
        <v>12832.2943656539</v>
      </c>
      <c r="CO44" s="273" t="n">
        <f aca="false">CO41*PROD_DEMANDA!CO16</f>
        <v>12832.2943656539</v>
      </c>
      <c r="CP44" s="273" t="n">
        <f aca="false">CP41*PROD_DEMANDA!CP16</f>
        <v>12832.2943656539</v>
      </c>
      <c r="CQ44" s="273" t="n">
        <f aca="false">CQ41*PROD_DEMANDA!CQ16</f>
        <v>12832.2943656539</v>
      </c>
      <c r="CR44" s="273" t="n">
        <f aca="false">CR41*PROD_DEMANDA!CR16</f>
        <v>12832.2943656539</v>
      </c>
      <c r="CS44" s="273" t="n">
        <f aca="false">CS41*PROD_DEMANDA!CS16</f>
        <v>12832.2943656539</v>
      </c>
      <c r="CT44" s="273" t="n">
        <f aca="false">CT41*PROD_DEMANDA!CT16</f>
        <v>12832.2943656539</v>
      </c>
      <c r="CU44" s="273" t="n">
        <f aca="false">CU41*PROD_DEMANDA!CU16</f>
        <v>12832.2943656539</v>
      </c>
      <c r="CV44" s="273" t="n">
        <f aca="false">CV41*PROD_DEMANDA!CV16</f>
        <v>12832.2943656539</v>
      </c>
      <c r="CW44" s="273" t="n">
        <f aca="false">CW41*PROD_DEMANDA!CW16</f>
        <v>12832.2943656539</v>
      </c>
      <c r="CX44" s="273" t="n">
        <f aca="false">CX41*PROD_DEMANDA!CX16</f>
        <v>12832.2943656539</v>
      </c>
      <c r="CY44" s="273" t="n">
        <f aca="false">CY41*PROD_DEMANDA!CY16</f>
        <v>12832.2943656539</v>
      </c>
      <c r="CZ44" s="273" t="n">
        <f aca="false">CZ41*PROD_DEMANDA!CZ16</f>
        <v>12832.2943656539</v>
      </c>
      <c r="DA44" s="273" t="n">
        <f aca="false">DA41*PROD_DEMANDA!DA16</f>
        <v>12832.2943656539</v>
      </c>
      <c r="DB44" s="273" t="n">
        <f aca="false">DB41*PROD_DEMANDA!DB16</f>
        <v>12832.2943656539</v>
      </c>
      <c r="DC44" s="273" t="n">
        <f aca="false">DC41*PROD_DEMANDA!DC16</f>
        <v>12832.2943656539</v>
      </c>
      <c r="DD44" s="273" t="n">
        <f aca="false">DD41*PROD_DEMANDA!DD16</f>
        <v>12832.2943656539</v>
      </c>
      <c r="DE44" s="273" t="n">
        <f aca="false">DE41*PROD_DEMANDA!DE16</f>
        <v>12832.2943656539</v>
      </c>
      <c r="DF44" s="273" t="n">
        <f aca="false">DF41*PROD_DEMANDA!DF16</f>
        <v>12832.2943656539</v>
      </c>
      <c r="DG44" s="273" t="n">
        <f aca="false">DG41*PROD_DEMANDA!DG16</f>
        <v>12832.2943656539</v>
      </c>
      <c r="DH44" s="273" t="n">
        <f aca="false">DH41*PROD_DEMANDA!DH16</f>
        <v>12832.2943656539</v>
      </c>
      <c r="DI44" s="273" t="n">
        <f aca="false">DI41*PROD_DEMANDA!DI16</f>
        <v>12832.2943656539</v>
      </c>
      <c r="DJ44" s="273" t="n">
        <f aca="false">DJ41*PROD_DEMANDA!DJ16</f>
        <v>12832.2943656539</v>
      </c>
      <c r="DK44" s="273" t="n">
        <f aca="false">DK41*PROD_DEMANDA!DK16</f>
        <v>12832.2943656539</v>
      </c>
      <c r="DL44" s="273" t="n">
        <f aca="false">DL41*PROD_DEMANDA!DL16</f>
        <v>12832.2943656539</v>
      </c>
      <c r="DM44" s="273" t="n">
        <f aca="false">DM41*PROD_DEMANDA!DM16</f>
        <v>12832.2943656539</v>
      </c>
      <c r="DN44" s="273" t="n">
        <f aca="false">DN41*PROD_DEMANDA!DN16</f>
        <v>12832.2943656539</v>
      </c>
      <c r="DO44" s="273" t="n">
        <f aca="false">DO41*PROD_DEMANDA!DO16</f>
        <v>12832.2943656539</v>
      </c>
      <c r="DP44" s="273" t="n">
        <f aca="false">DP41*PROD_DEMANDA!DP16</f>
        <v>12832.2943656539</v>
      </c>
      <c r="DQ44" s="273" t="n">
        <f aca="false">DQ41*PROD_DEMANDA!DQ16</f>
        <v>12832.2943656539</v>
      </c>
      <c r="DR44" s="273" t="n">
        <f aca="false">DR41*PROD_DEMANDA!DR16</f>
        <v>12832.2943656539</v>
      </c>
      <c r="DS44" s="273" t="n">
        <f aca="false">DS41*PROD_DEMANDA!DS16</f>
        <v>12832.2943656539</v>
      </c>
    </row>
    <row r="45" customFormat="false" ht="15" hidden="false" customHeight="true" outlineLevel="0" collapsed="false">
      <c r="B45" s="297" t="s">
        <v>3421</v>
      </c>
      <c r="D45" s="273" t="n">
        <f aca="false">D41*PROD_DEMANDA!D18</f>
        <v>0</v>
      </c>
      <c r="E45" s="273" t="n">
        <f aca="false">E41*PROD_DEMANDA!E18</f>
        <v>0</v>
      </c>
      <c r="F45" s="273" t="n">
        <f aca="false">F41*PROD_DEMANDA!F18</f>
        <v>0</v>
      </c>
      <c r="G45" s="273" t="n">
        <f aca="false">G41*PROD_DEMANDA!G18</f>
        <v>0</v>
      </c>
      <c r="H45" s="273" t="n">
        <f aca="false">H41*PROD_DEMANDA!H18</f>
        <v>0</v>
      </c>
      <c r="I45" s="273" t="n">
        <f aca="false">I41*PROD_DEMANDA!I18</f>
        <v>0</v>
      </c>
      <c r="J45" s="273" t="n">
        <f aca="false">J41*PROD_DEMANDA!J18</f>
        <v>0</v>
      </c>
      <c r="K45" s="273" t="n">
        <f aca="false">K41*PROD_DEMANDA!K18</f>
        <v>0</v>
      </c>
      <c r="L45" s="273" t="n">
        <f aca="false">L41*PROD_DEMANDA!L18</f>
        <v>0</v>
      </c>
      <c r="M45" s="273" t="n">
        <f aca="false">M41*PROD_DEMANDA!M18</f>
        <v>0</v>
      </c>
      <c r="N45" s="273" t="n">
        <f aca="false">N41*PROD_DEMANDA!N18</f>
        <v>0</v>
      </c>
      <c r="O45" s="273" t="n">
        <f aca="false">O41*PROD_DEMANDA!O18</f>
        <v>0</v>
      </c>
      <c r="P45" s="273" t="n">
        <f aca="false">P41*PROD_DEMANDA!P18</f>
        <v>0</v>
      </c>
      <c r="Q45" s="273" t="n">
        <f aca="false">Q41*PROD_DEMANDA!Q18</f>
        <v>0</v>
      </c>
      <c r="R45" s="273" t="n">
        <f aca="false">R41*PROD_DEMANDA!R18</f>
        <v>0</v>
      </c>
      <c r="S45" s="273" t="n">
        <f aca="false">S41*PROD_DEMANDA!S18</f>
        <v>0</v>
      </c>
      <c r="T45" s="273" t="n">
        <f aca="false">T41*PROD_DEMANDA!T18</f>
        <v>0</v>
      </c>
      <c r="U45" s="273" t="n">
        <f aca="false">U41*PROD_DEMANDA!U18</f>
        <v>0</v>
      </c>
      <c r="V45" s="273" t="n">
        <f aca="false">V41*PROD_DEMANDA!V18</f>
        <v>707.199753787879</v>
      </c>
      <c r="W45" s="273" t="n">
        <f aca="false">W41*PROD_DEMANDA!W18</f>
        <v>1488.42507338057</v>
      </c>
      <c r="X45" s="273" t="n">
        <f aca="false">X41*PROD_DEMANDA!X18</f>
        <v>1715.10107638889</v>
      </c>
      <c r="Y45" s="273" t="n">
        <f aca="false">Y41*PROD_DEMANDA!Y18</f>
        <v>2432.40340845725</v>
      </c>
      <c r="Z45" s="273" t="n">
        <f aca="false">Z41*PROD_DEMANDA!Z18</f>
        <v>2629.2175</v>
      </c>
      <c r="AA45" s="273" t="n">
        <f aca="false">AA41*PROD_DEMANDA!AA18</f>
        <v>2706.29799365942</v>
      </c>
      <c r="AB45" s="273" t="n">
        <f aca="false">AB41*PROD_DEMANDA!AB18</f>
        <v>2782.46883992806</v>
      </c>
      <c r="AC45" s="273" t="n">
        <f aca="false">AC41*PROD_DEMANDA!AC18</f>
        <v>2782.46883992806</v>
      </c>
      <c r="AD45" s="273" t="n">
        <f aca="false">AD41*PROD_DEMANDA!AD18</f>
        <v>3647.93646582734</v>
      </c>
      <c r="AE45" s="273" t="n">
        <f aca="false">AE41*PROD_DEMANDA!AE18</f>
        <v>3647.93646582734</v>
      </c>
      <c r="AF45" s="273" t="n">
        <f aca="false">AF41*PROD_DEMANDA!AF18</f>
        <v>3647.93646582734</v>
      </c>
      <c r="AG45" s="273" t="n">
        <f aca="false">AG41*PROD_DEMANDA!AG18</f>
        <v>3558.93034241492</v>
      </c>
      <c r="AH45" s="273" t="n">
        <f aca="false">AH41*PROD_DEMANDA!AH18</f>
        <v>3558.93034241492</v>
      </c>
      <c r="AI45" s="273" t="n">
        <f aca="false">AI41*PROD_DEMANDA!AI18</f>
        <v>4334.76643984372</v>
      </c>
      <c r="AJ45" s="273" t="n">
        <f aca="false">AJ41*PROD_DEMANDA!AJ18</f>
        <v>5040.33411647948</v>
      </c>
      <c r="AK45" s="273" t="n">
        <f aca="false">AK41*PROD_DEMANDA!AK18</f>
        <v>5260.5158758995</v>
      </c>
      <c r="AL45" s="273" t="n">
        <f aca="false">AL41*PROD_DEMANDA!AL18</f>
        <v>5913.56930065537</v>
      </c>
      <c r="AM45" s="273" t="n">
        <f aca="false">AM41*PROD_DEMANDA!AM18</f>
        <v>6089.19424383213</v>
      </c>
      <c r="AN45" s="273" t="n">
        <f aca="false">AN41*PROD_DEMANDA!AN18</f>
        <v>6592.51399743296</v>
      </c>
      <c r="AO45" s="273" t="n">
        <f aca="false">AO41*PROD_DEMANDA!AO18</f>
        <v>6752.97078893433</v>
      </c>
      <c r="AP45" s="273" t="n">
        <f aca="false">AP41*PROD_DEMANDA!AP18</f>
        <v>6698.44269826593</v>
      </c>
      <c r="AQ45" s="273" t="n">
        <f aca="false">AQ41*PROD_DEMANDA!AQ18</f>
        <v>7264.96586529094</v>
      </c>
      <c r="AR45" s="273" t="n">
        <f aca="false">AR41*PROD_DEMANDA!AR18</f>
        <v>7737.01191289214</v>
      </c>
      <c r="AS45" s="273" t="n">
        <f aca="false">AS41*PROD_DEMANDA!AS18</f>
        <v>8223.63694491062</v>
      </c>
      <c r="AT45" s="273" t="n">
        <f aca="false">AT41*PROD_DEMANDA!AT18</f>
        <v>8727.36609465738</v>
      </c>
      <c r="AU45" s="273" t="n">
        <f aca="false">AU41*PROD_DEMANDA!AU18</f>
        <v>8890.96196790382</v>
      </c>
      <c r="AV45" s="273" t="n">
        <f aca="false">AV41*PROD_DEMANDA!AV18</f>
        <v>8982.83866663317</v>
      </c>
      <c r="AW45" s="273" t="n">
        <f aca="false">AW41*PROD_DEMANDA!AW18</f>
        <v>9402.13734198368</v>
      </c>
      <c r="AX45" s="273" t="n">
        <f aca="false">AX41*PROD_DEMANDA!AX18</f>
        <v>9485.7835686565</v>
      </c>
      <c r="AY45" s="273" t="n">
        <f aca="false">AY41*PROD_DEMANDA!AY18</f>
        <v>9811.28741740205</v>
      </c>
      <c r="AZ45" s="273" t="n">
        <f aca="false">AZ41*PROD_DEMANDA!AZ18</f>
        <v>10181.7961087122</v>
      </c>
      <c r="BA45" s="273" t="n">
        <f aca="false">BA41*PROD_DEMANDA!BA18</f>
        <v>10278.3766398965</v>
      </c>
      <c r="BB45" s="273" t="n">
        <f aca="false">BB41*PROD_DEMANDA!BB18</f>
        <v>14420.8581707325</v>
      </c>
      <c r="BC45" s="273" t="n">
        <f aca="false">BC41*PROD_DEMANDA!BC18</f>
        <v>14470.7570471152</v>
      </c>
      <c r="BD45" s="273" t="n">
        <f aca="false">BD41*PROD_DEMANDA!BD18</f>
        <v>14470.7570471152</v>
      </c>
      <c r="BE45" s="273" t="n">
        <f aca="false">BE41*PROD_DEMANDA!BE18</f>
        <v>14470.7570471152</v>
      </c>
      <c r="BF45" s="273" t="n">
        <f aca="false">BF41*PROD_DEMANDA!BF18</f>
        <v>14272.4269139264</v>
      </c>
      <c r="BG45" s="273" t="n">
        <f aca="false">BG41*PROD_DEMANDA!BG18</f>
        <v>14272.4269139264</v>
      </c>
      <c r="BH45" s="273" t="n">
        <f aca="false">BH41*PROD_DEMANDA!BH18</f>
        <v>14272.4269139264</v>
      </c>
      <c r="BI45" s="273" t="n">
        <f aca="false">BI41*PROD_DEMANDA!BI18</f>
        <v>14894.1810716401</v>
      </c>
      <c r="BJ45" s="273" t="n">
        <f aca="false">BJ41*PROD_DEMANDA!BJ18</f>
        <v>15322.6844783586</v>
      </c>
      <c r="BK45" s="273" t="n">
        <f aca="false">BK41*PROD_DEMANDA!BK18</f>
        <v>15666.7155543391</v>
      </c>
      <c r="BL45" s="273" t="n">
        <f aca="false">BL41*PROD_DEMANDA!BL18</f>
        <v>16129.5592966044</v>
      </c>
      <c r="BM45" s="273" t="n">
        <f aca="false">BM41*PROD_DEMANDA!BM18</f>
        <v>16526.7284734711</v>
      </c>
      <c r="BN45" s="273" t="n">
        <f aca="false">BN41*PROD_DEMANDA!BN18</f>
        <v>16907.4544862807</v>
      </c>
      <c r="BO45" s="273" t="n">
        <f aca="false">BO41*PROD_DEMANDA!BO18</f>
        <v>17033.3495631738</v>
      </c>
      <c r="BP45" s="273" t="n">
        <f aca="false">BP41*PROD_DEMANDA!BP18</f>
        <v>17399.4656957485</v>
      </c>
      <c r="BQ45" s="273" t="n">
        <f aca="false">BQ41*PROD_DEMANDA!BQ18</f>
        <v>17540.7064096195</v>
      </c>
      <c r="BR45" s="273" t="n">
        <f aca="false">BR41*PROD_DEMANDA!BR18</f>
        <v>17843.6960909246</v>
      </c>
      <c r="BS45" s="273" t="n">
        <f aca="false">BS41*PROD_DEMANDA!BS18</f>
        <v>18168.5036499019</v>
      </c>
      <c r="BT45" s="273" t="n">
        <f aca="false">BT41*PROD_DEMANDA!BT18</f>
        <v>18532.3038430105</v>
      </c>
      <c r="BU45" s="273" t="n">
        <f aca="false">BU41*PROD_DEMANDA!BU18</f>
        <v>18839.8864215649</v>
      </c>
      <c r="BV45" s="273" t="n">
        <f aca="false">BV41*PROD_DEMANDA!BV18</f>
        <v>19134.178276302</v>
      </c>
      <c r="BW45" s="273" t="n">
        <f aca="false">BW41*PROD_DEMANDA!BW18</f>
        <v>19278.5234101976</v>
      </c>
      <c r="BX45" s="273" t="n">
        <f aca="false">BX41*PROD_DEMANDA!BX18</f>
        <v>19599.8109130256</v>
      </c>
      <c r="BY45" s="273" t="n">
        <f aca="false">BY41*PROD_DEMANDA!BY18</f>
        <v>19703.9005186774</v>
      </c>
      <c r="BZ45" s="273" t="n">
        <f aca="false">BZ41*PROD_DEMANDA!BZ18</f>
        <v>20097.8610532026</v>
      </c>
      <c r="CA45" s="273" t="n">
        <f aca="false">CA41*PROD_DEMANDA!CA18</f>
        <v>20367.6896775121</v>
      </c>
      <c r="CB45" s="273" t="n">
        <f aca="false">CB41*PROD_DEMANDA!CB18</f>
        <v>20462.8183279428</v>
      </c>
      <c r="CC45" s="273" t="n">
        <f aca="false">CC41*PROD_DEMANDA!CC18</f>
        <v>20724.3983280084</v>
      </c>
      <c r="CD45" s="273" t="n">
        <f aca="false">CD41*PROD_DEMANDA!CD18</f>
        <v>21002.0489166719</v>
      </c>
      <c r="CE45" s="273" t="n">
        <f aca="false">CE41*PROD_DEMANDA!CE18</f>
        <v>21239.6435046513</v>
      </c>
      <c r="CF45" s="273" t="n">
        <f aca="false">CF41*PROD_DEMANDA!CF18</f>
        <v>21469.3714784302</v>
      </c>
      <c r="CG45" s="273" t="n">
        <f aca="false">CG41*PROD_DEMANDA!CG18</f>
        <v>21730.2485070628</v>
      </c>
      <c r="CH45" s="273" t="n">
        <f aca="false">CH41*PROD_DEMANDA!CH18</f>
        <v>25167.6519310989</v>
      </c>
      <c r="CI45" s="273" t="n">
        <f aca="false">CI41*PROD_DEMANDA!CI18</f>
        <v>25424.3739590221</v>
      </c>
      <c r="CJ45" s="273" t="n">
        <f aca="false">CJ41*PROD_DEMANDA!CJ18</f>
        <v>25530.5293396031</v>
      </c>
      <c r="CK45" s="273" t="n">
        <f aca="false">CK41*PROD_DEMANDA!CK18</f>
        <v>25581.0984112274</v>
      </c>
      <c r="CL45" s="273" t="n">
        <f aca="false">CL41*PROD_DEMANDA!CL18</f>
        <v>25603.0257790187</v>
      </c>
      <c r="CM45" s="273" t="n">
        <f aca="false">CM41*PROD_DEMANDA!CM18</f>
        <v>25603.0257790187</v>
      </c>
      <c r="CN45" s="273" t="n">
        <f aca="false">CN41*PROD_DEMANDA!CN18</f>
        <v>25603.0257790187</v>
      </c>
      <c r="CO45" s="273" t="n">
        <f aca="false">CO41*PROD_DEMANDA!CO18</f>
        <v>25603.0257790187</v>
      </c>
      <c r="CP45" s="273" t="n">
        <f aca="false">CP41*PROD_DEMANDA!CP18</f>
        <v>25603.0257790187</v>
      </c>
      <c r="CQ45" s="273" t="n">
        <f aca="false">CQ41*PROD_DEMANDA!CQ18</f>
        <v>25603.0257790187</v>
      </c>
      <c r="CR45" s="273" t="n">
        <f aca="false">CR41*PROD_DEMANDA!CR18</f>
        <v>25603.0257790187</v>
      </c>
      <c r="CS45" s="273" t="n">
        <f aca="false">CS41*PROD_DEMANDA!CS18</f>
        <v>25603.0257790187</v>
      </c>
      <c r="CT45" s="273" t="n">
        <f aca="false">CT41*PROD_DEMANDA!CT18</f>
        <v>25603.0257790187</v>
      </c>
      <c r="CU45" s="273" t="n">
        <f aca="false">CU41*PROD_DEMANDA!CU18</f>
        <v>25603.0257790187</v>
      </c>
      <c r="CV45" s="273" t="n">
        <f aca="false">CV41*PROD_DEMANDA!CV18</f>
        <v>25603.0257790187</v>
      </c>
      <c r="CW45" s="273" t="n">
        <f aca="false">CW41*PROD_DEMANDA!CW18</f>
        <v>25603.0257790187</v>
      </c>
      <c r="CX45" s="273" t="n">
        <f aca="false">CX41*PROD_DEMANDA!CX18</f>
        <v>25603.0257790187</v>
      </c>
      <c r="CY45" s="273" t="n">
        <f aca="false">CY41*PROD_DEMANDA!CY18</f>
        <v>25603.0257790187</v>
      </c>
      <c r="CZ45" s="273" t="n">
        <f aca="false">CZ41*PROD_DEMANDA!CZ18</f>
        <v>25603.0257790187</v>
      </c>
      <c r="DA45" s="273" t="n">
        <f aca="false">DA41*PROD_DEMANDA!DA18</f>
        <v>25603.0257790187</v>
      </c>
      <c r="DB45" s="273" t="n">
        <f aca="false">DB41*PROD_DEMANDA!DB18</f>
        <v>25603.0257790187</v>
      </c>
      <c r="DC45" s="273" t="n">
        <f aca="false">DC41*PROD_DEMANDA!DC18</f>
        <v>25603.0257790187</v>
      </c>
      <c r="DD45" s="273" t="n">
        <f aca="false">DD41*PROD_DEMANDA!DD18</f>
        <v>25603.0257790187</v>
      </c>
      <c r="DE45" s="273" t="n">
        <f aca="false">DE41*PROD_DEMANDA!DE18</f>
        <v>25603.0257790187</v>
      </c>
      <c r="DF45" s="273" t="n">
        <f aca="false">DF41*PROD_DEMANDA!DF18</f>
        <v>25603.0257790187</v>
      </c>
      <c r="DG45" s="273" t="n">
        <f aca="false">DG41*PROD_DEMANDA!DG18</f>
        <v>25603.0257790187</v>
      </c>
      <c r="DH45" s="273" t="n">
        <f aca="false">DH41*PROD_DEMANDA!DH18</f>
        <v>25603.0257790187</v>
      </c>
      <c r="DI45" s="273" t="n">
        <f aca="false">DI41*PROD_DEMANDA!DI18</f>
        <v>25603.0257790187</v>
      </c>
      <c r="DJ45" s="273" t="n">
        <f aca="false">DJ41*PROD_DEMANDA!DJ18</f>
        <v>25603.0257790187</v>
      </c>
      <c r="DK45" s="273" t="n">
        <f aca="false">DK41*PROD_DEMANDA!DK18</f>
        <v>25603.0257790187</v>
      </c>
      <c r="DL45" s="273" t="n">
        <f aca="false">DL41*PROD_DEMANDA!DL18</f>
        <v>25603.0257790187</v>
      </c>
      <c r="DM45" s="273" t="n">
        <f aca="false">DM41*PROD_DEMANDA!DM18</f>
        <v>25603.0257790187</v>
      </c>
      <c r="DN45" s="273" t="n">
        <f aca="false">DN41*PROD_DEMANDA!DN18</f>
        <v>25603.0257790187</v>
      </c>
      <c r="DO45" s="273" t="n">
        <f aca="false">DO41*PROD_DEMANDA!DO18</f>
        <v>25603.0257790187</v>
      </c>
      <c r="DP45" s="273" t="n">
        <f aca="false">DP41*PROD_DEMANDA!DP18</f>
        <v>25603.0257790187</v>
      </c>
      <c r="DQ45" s="273" t="n">
        <f aca="false">DQ41*PROD_DEMANDA!DQ18</f>
        <v>25603.0257790187</v>
      </c>
      <c r="DR45" s="273" t="n">
        <f aca="false">DR41*PROD_DEMANDA!DR18</f>
        <v>25603.0257790187</v>
      </c>
      <c r="DS45" s="273" t="n">
        <f aca="false">DS41*PROD_DEMANDA!DS18</f>
        <v>25603.0257790187</v>
      </c>
    </row>
    <row r="46" customFormat="false" ht="15" hidden="false" customHeight="true" outlineLevel="0" collapsed="false">
      <c r="B46" s="178" t="s">
        <v>3545</v>
      </c>
      <c r="D46" s="268" t="n">
        <f aca="false">D40-D42-D43-SUP_PRODUCCION!$C$68*(SUM($C$19:D19)+SUM($C$20:D20)+SUM($C$21:D21))-SUP_OVERHEAD!D40-D44-D45</f>
        <v>0</v>
      </c>
      <c r="E46" s="268" t="n">
        <f aca="false">E40-E42-E43-SUP_PRODUCCION!$C$68*(SUM($C$19:E19)+SUM($C$20:E20)+SUM($C$21:E21))-SUP_OVERHEAD!E40-E44-E45</f>
        <v>0</v>
      </c>
      <c r="F46" s="268" t="n">
        <f aca="false">F40-F42-F43-SUP_PRODUCCION!$C$68*(SUM($C$19:F19)+SUM($C$20:F20)+SUM($C$21:F21))-SUP_OVERHEAD!F40-F44-F45</f>
        <v>0</v>
      </c>
      <c r="G46" s="268" t="n">
        <f aca="false">G40-G42-G43-SUP_PRODUCCION!$C$68*(SUM($C$19:G19)+SUM($C$20:G20)+SUM($C$21:G21))-SUP_OVERHEAD!G40-G44-G45</f>
        <v>0</v>
      </c>
      <c r="H46" s="268" t="n">
        <f aca="false">H40-H42-H43-SUP_PRODUCCION!$C$68*(SUM($C$19:H19)+SUM($C$20:H20)+SUM($C$21:H21))-SUP_OVERHEAD!H40-H44-H45</f>
        <v>0</v>
      </c>
      <c r="I46" s="268" t="n">
        <f aca="false">I40-I42-I43-SUP_PRODUCCION!$C$68*(SUM($C$19:I19)+SUM($C$20:I20)+SUM($C$21:I21))-SUP_OVERHEAD!I40-I44-I45</f>
        <v>0</v>
      </c>
      <c r="J46" s="268" t="n">
        <f aca="false">J40-J42-J43-SUP_PRODUCCION!$C$68*(SUM($C$19:J19)+SUM($C$20:J20)+SUM($C$21:J21))-SUP_OVERHEAD!J40-J44-J45</f>
        <v>0</v>
      </c>
      <c r="K46" s="268" t="n">
        <f aca="false">K40-K42-K43-SUP_PRODUCCION!$C$68*(SUM($C$19:K19)+SUM($C$20:K20)+SUM($C$21:K21))-SUP_OVERHEAD!K40-K44-K45</f>
        <v>0</v>
      </c>
      <c r="L46" s="268" t="n">
        <f aca="false">L40-L42-L43-SUP_PRODUCCION!$C$68*(SUM($C$19:L19)+SUM($C$20:L20)+SUM($C$21:L21))-SUP_OVERHEAD!L40-L44-L45</f>
        <v>0</v>
      </c>
      <c r="M46" s="268" t="n">
        <f aca="false">M40-M42-M43-SUP_PRODUCCION!$C$68*(SUM($C$19:M19)+SUM($C$20:M20)+SUM($C$21:M21))-SUP_OVERHEAD!M40-M44-M45</f>
        <v>0</v>
      </c>
      <c r="N46" s="268" t="n">
        <f aca="false">N40-N42-N43-SUP_PRODUCCION!$C$68*(SUM($C$19:N19)+SUM($C$20:N20)+SUM($C$21:N21))-SUP_OVERHEAD!N40-N44-N45</f>
        <v>0</v>
      </c>
      <c r="O46" s="268" t="n">
        <f aca="false">O40-O42-O43-SUP_PRODUCCION!$C$68*(SUM($C$19:O19)+SUM($C$20:O20)+SUM($C$21:O21))-SUP_OVERHEAD!O40-O44-O45</f>
        <v>0</v>
      </c>
      <c r="P46" s="268" t="n">
        <f aca="false">P40-P42-P43-SUP_PRODUCCION!$C$68*(SUM($C$19:P19)+SUM($C$20:P20)+SUM($C$21:P21))-SUP_OVERHEAD!P40-P44-P45</f>
        <v>0</v>
      </c>
      <c r="Q46" s="268" t="n">
        <f aca="false">Q40-Q42-Q43-SUP_PRODUCCION!$C$68*(SUM($C$19:Q19)+SUM($C$20:Q20)+SUM($C$21:Q21))-SUP_OVERHEAD!Q40-Q44-Q45</f>
        <v>0</v>
      </c>
      <c r="R46" s="268" t="n">
        <f aca="false">R40-R42-R43-SUP_PRODUCCION!$C$68*(SUM($C$19:R19)+SUM($C$20:R20)+SUM($C$21:R21))-SUP_OVERHEAD!R40-R44-R45</f>
        <v>0</v>
      </c>
      <c r="S46" s="268" t="n">
        <f aca="false">S40-S42-S43-SUP_PRODUCCION!$C$68*(SUM($C$19:S19)+SUM($C$20:S20)+SUM($C$21:S21))-SUP_OVERHEAD!S40-S44-S45</f>
        <v>0</v>
      </c>
      <c r="T46" s="268" t="n">
        <f aca="false">T40-T42-T43-SUP_PRODUCCION!$C$68*(SUM($C$19:T19)+SUM($C$20:T20)+SUM($C$21:T21))-SUP_OVERHEAD!T40-T44-T45</f>
        <v>0</v>
      </c>
      <c r="U46" s="268" t="n">
        <f aca="false">U40-U42-U43-SUP_PRODUCCION!$C$68*(SUM($C$19:U19)+SUM($C$20:U20)+SUM($C$21:U21))-SUP_OVERHEAD!U40-U44-U45</f>
        <v>0</v>
      </c>
      <c r="V46" s="268" t="n">
        <f aca="false">V40-V42-V43-SUP_PRODUCCION!$C$68*(SUM($C$19:V19)+SUM($C$20:V20)+SUM($C$21:V21))-SUP_OVERHEAD!V40-V44-V45</f>
        <v>2473.29293758596</v>
      </c>
      <c r="W46" s="268" t="n">
        <f aca="false">W40-W42-W43-SUP_PRODUCCION!$C$68*(SUM($C$19:W19)+SUM($C$20:W20)+SUM($C$21:W21))-SUP_OVERHEAD!W40-W44-W45</f>
        <v>7047.67400737646</v>
      </c>
      <c r="X46" s="268" t="n">
        <f aca="false">X40-X42-X43-SUP_PRODUCCION!$C$68*(SUM($C$19:X19)+SUM($C$20:X20)+SUM($C$21:X21))-SUP_OVERHEAD!X40-X44-X45</f>
        <v>10446.1875010504</v>
      </c>
      <c r="Y46" s="268" t="n">
        <f aca="false">Y40-Y42-Y43-SUP_PRODUCCION!$C$68*(SUM($C$19:Y19)+SUM($C$20:Y20)+SUM($C$21:Y21))-SUP_OVERHEAD!Y40-Y44-Y45</f>
        <v>15809.5294577017</v>
      </c>
      <c r="Z46" s="268" t="n">
        <f aca="false">Z40-Z42-Z43-SUP_PRODUCCION!$C$68*(SUM($C$19:Z19)+SUM($C$20:Z20)+SUM($C$21:Z21))-SUP_OVERHEAD!Z40-Z44-Z45</f>
        <v>19237.9048628411</v>
      </c>
      <c r="AA46" s="268" t="n">
        <f aca="false">AA40-AA42-AA43-SUP_PRODUCCION!$C$68*(SUM($C$19:AA19)+SUM($C$20:AA20)+SUM($C$21:AA21))-SUP_OVERHEAD!AA40-AA44-AA45</f>
        <v>20610.9001678546</v>
      </c>
      <c r="AB46" s="268" t="n">
        <f aca="false">AB40-AB42-AB43-SUP_PRODUCCION!$C$68*(SUM($C$19:AB19)+SUM($C$20:AB20)+SUM($C$21:AB21))-SUP_OVERHEAD!AB40-AB44-AB45</f>
        <v>23613.2408026879</v>
      </c>
      <c r="AC46" s="268" t="n">
        <f aca="false">AC40-AC42-AC43-SUP_PRODUCCION!$C$68*(SUM($C$19:AC19)+SUM($C$20:AC20)+SUM($C$21:AC21))-SUP_OVERHEAD!AC40-AC44-AC45</f>
        <v>23613.2408026879</v>
      </c>
      <c r="AD46" s="268" t="n">
        <f aca="false">AD40-AD42-AD43-SUP_PRODUCCION!$C$68*(SUM($C$19:AD19)+SUM($C$20:AD20)+SUM($C$21:AD21))-SUP_OVERHEAD!AD40-AD44-AD45</f>
        <v>19862.8127451339</v>
      </c>
      <c r="AE46" s="268" t="n">
        <f aca="false">AE40-AE42-AE43-SUP_PRODUCCION!$C$68*(SUM($C$19:AE19)+SUM($C$20:AE20)+SUM($C$21:AE21))-SUP_OVERHEAD!AE40-AE44-AE45</f>
        <v>19862.8127451339</v>
      </c>
      <c r="AF46" s="268" t="n">
        <f aca="false">AF40-AF42-AF43-SUP_PRODUCCION!$C$68*(SUM($C$19:AF19)+SUM($C$20:AF20)+SUM($C$21:AF21))-SUP_OVERHEAD!AF40-AF44-AF45</f>
        <v>19862.8127451339</v>
      </c>
      <c r="AG46" s="268" t="n">
        <f aca="false">AG40-AG42-AG43-SUP_PRODUCCION!$C$68*(SUM($C$19:AG19)+SUM($C$20:AG20)+SUM($C$21:AG21))-SUP_OVERHEAD!AG40-AG44-AG45</f>
        <v>18600.4416568313</v>
      </c>
      <c r="AH46" s="268" t="n">
        <f aca="false">AH40-AH42-AH43-SUP_PRODUCCION!$C$68*(SUM($C$19:AH19)+SUM($C$20:AH20)+SUM($C$21:AH21))-SUP_OVERHEAD!AH40-AH44-AH45</f>
        <v>18600.4416568313</v>
      </c>
      <c r="AI46" s="268" t="n">
        <f aca="false">AI40-AI42-AI43-SUP_PRODUCCION!$C$68*(SUM($C$19:AI19)+SUM($C$20:AI20)+SUM($C$21:AI21))-SUP_OVERHEAD!AI40-AI44-AI45</f>
        <v>21622.2185658416</v>
      </c>
      <c r="AJ46" s="268" t="n">
        <f aca="false">AJ40-AJ42-AJ43-SUP_PRODUCCION!$C$68*(SUM($C$19:AJ19)+SUM($C$20:AJ20)+SUM($C$21:AJ21))-SUP_OVERHEAD!AJ40-AJ44-AJ45</f>
        <v>27025.2324472742</v>
      </c>
      <c r="AK46" s="268" t="n">
        <f aca="false">AK40-AK42-AK43-SUP_PRODUCCION!$C$68*(SUM($C$19:AK19)+SUM($C$20:AK20)+SUM($C$21:AK21))-SUP_OVERHEAD!AK40-AK44-AK45</f>
        <v>30904.5459016957</v>
      </c>
      <c r="AL46" s="268" t="n">
        <f aca="false">AL40-AL42-AL43-SUP_PRODUCCION!$C$68*(SUM($C$19:AL19)+SUM($C$20:AL20)+SUM($C$21:AL21))-SUP_OVERHEAD!AL40-AL44-AL45</f>
        <v>36907.7846637652</v>
      </c>
      <c r="AM46" s="268" t="n">
        <f aca="false">AM40-AM42-AM43-SUP_PRODUCCION!$C$68*(SUM($C$19:AM19)+SUM($C$20:AM20)+SUM($C$21:AM21))-SUP_OVERHEAD!AM40-AM44-AM45</f>
        <v>40401.6633579551</v>
      </c>
      <c r="AN46" s="268" t="n">
        <f aca="false">AN40-AN42-AN43-SUP_PRODUCCION!$C$68*(SUM($C$19:AN19)+SUM($C$20:AN20)+SUM($C$21:AN21))-SUP_OVERHEAD!AN40-AN44-AN45</f>
        <v>46475.5924756303</v>
      </c>
      <c r="AO46" s="268" t="n">
        <f aca="false">AO40-AO42-AO43-SUP_PRODUCCION!$C$68*(SUM($C$19:AO19)+SUM($C$20:AO20)+SUM($C$21:AO21))-SUP_OVERHEAD!AO40-AO44-AO45</f>
        <v>50057.1401397822</v>
      </c>
      <c r="AP46" s="268" t="n">
        <f aca="false">AP40-AP42-AP43-SUP_PRODUCCION!$C$68*(SUM($C$19:AP19)+SUM($C$20:AP20)+SUM($C$21:AP21))-SUP_OVERHEAD!AP40-AP44-AP45</f>
        <v>48830.7273122419</v>
      </c>
      <c r="AQ46" s="268" t="n">
        <f aca="false">AQ40-AQ42-AQ43-SUP_PRODUCCION!$C$68*(SUM($C$19:AQ19)+SUM($C$20:AQ20)+SUM($C$21:AQ21))-SUP_OVERHEAD!AQ40-AQ44-AQ45</f>
        <v>53530.1657844997</v>
      </c>
      <c r="AR46" s="268" t="n">
        <f aca="false">AR40-AR42-AR43-SUP_PRODUCCION!$C$68*(SUM($C$19:AR19)+SUM($C$20:AR20)+SUM($C$21:AR21))-SUP_OVERHEAD!AR40-AR44-AR45</f>
        <v>59159.9372781768</v>
      </c>
      <c r="AS46" s="268" t="n">
        <f aca="false">AS40-AS42-AS43-SUP_PRODUCCION!$C$68*(SUM($C$19:AS19)+SUM($C$20:AS20)+SUM($C$21:AS21))-SUP_OVERHEAD!AS40-AS44-AS45</f>
        <v>66031.6191460944</v>
      </c>
      <c r="AT46" s="268" t="n">
        <f aca="false">AT40-AT42-AT43-SUP_PRODUCCION!$C$68*(SUM($C$19:AT19)+SUM($C$20:AT20)+SUM($C$21:AT21))-SUP_OVERHEAD!AT40-AT44-AT45</f>
        <v>74364.4406619721</v>
      </c>
      <c r="AU46" s="268" t="n">
        <f aca="false">AU40-AU42-AU43-SUP_PRODUCCION!$C$68*(SUM($C$19:AU19)+SUM($C$20:AU20)+SUM($C$21:AU21))-SUP_OVERHEAD!AU40-AU44-AU45</f>
        <v>79328.9816557394</v>
      </c>
      <c r="AV46" s="268" t="n">
        <f aca="false">AV40-AV42-AV43-SUP_PRODUCCION!$C$68*(SUM($C$19:AV19)+SUM($C$20:AV20)+SUM($C$21:AV21))-SUP_OVERHEAD!AV40-AV44-AV45</f>
        <v>82168.1769637161</v>
      </c>
      <c r="AW46" s="268" t="n">
        <f aca="false">AW40-AW42-AW43-SUP_PRODUCCION!$C$68*(SUM($C$19:AW19)+SUM($C$20:AW20)+SUM($C$21:AW21))-SUP_OVERHEAD!AW40-AW44-AW45</f>
        <v>87079.724398084</v>
      </c>
      <c r="AX46" s="268" t="n">
        <f aca="false">AX40-AX42-AX43-SUP_PRODUCCION!$C$68*(SUM($C$19:AX19)+SUM($C$20:AX20)+SUM($C$21:AX21))-SUP_OVERHEAD!AX40-AX44-AX45</f>
        <v>89856.4884017332</v>
      </c>
      <c r="AY46" s="268" t="n">
        <f aca="false">AY40-AY42-AY43-SUP_PRODUCCION!$C$68*(SUM($C$19:AY19)+SUM($C$20:AY20)+SUM($C$21:AY21))-SUP_OVERHEAD!AY40-AY44-AY45</f>
        <v>94731.6276591644</v>
      </c>
      <c r="AZ46" s="268" t="n">
        <f aca="false">AZ40-AZ42-AZ43-SUP_PRODUCCION!$C$68*(SUM($C$19:AZ19)+SUM($C$20:AZ20)+SUM($C$21:AZ21))-SUP_OVERHEAD!AZ40-AZ44-AZ45</f>
        <v>105451.068615663</v>
      </c>
      <c r="BA46" s="268" t="n">
        <f aca="false">BA40-BA42-BA43-SUP_PRODUCCION!$C$68*(SUM($C$19:BA19)+SUM($C$20:BA20)+SUM($C$21:BA21))-SUP_OVERHEAD!BA40-BA44-BA45</f>
        <v>109090.497611329</v>
      </c>
      <c r="BB46" s="268" t="n">
        <f aca="false">BB40-BB42-BB43-SUP_PRODUCCION!$C$68*(SUM($C$19:BB19)+SUM($C$20:BB20)+SUM($C$21:BB21))-SUP_OVERHEAD!BB40-BB44-BB45</f>
        <v>102964.396277567</v>
      </c>
      <c r="BC46" s="268" t="n">
        <f aca="false">BC40-BC42-BC43-SUP_PRODUCCION!$C$68*(SUM($C$19:BC19)+SUM($C$20:BC20)+SUM($C$21:BC21))-SUP_OVERHEAD!BC40-BC44-BC45</f>
        <v>104401.928586147</v>
      </c>
      <c r="BD46" s="268" t="n">
        <f aca="false">BD40-BD42-BD43-SUP_PRODUCCION!$C$68*(SUM($C$19:BD19)+SUM($C$20:BD20)+SUM($C$21:BD21))-SUP_OVERHEAD!BD40-BD44-BD45</f>
        <v>104401.928586147</v>
      </c>
      <c r="BE46" s="268" t="n">
        <f aca="false">BE40-BE42-BE43-SUP_PRODUCCION!$C$68*(SUM($C$19:BE19)+SUM($C$20:BE20)+SUM($C$21:BE21))-SUP_OVERHEAD!BE40-BE44-BE45</f>
        <v>104401.928586147</v>
      </c>
      <c r="BF46" s="268" t="n">
        <f aca="false">BF40-BF42-BF43-SUP_PRODUCCION!$C$68*(SUM($C$19:BF19)+SUM($C$20:BF20)+SUM($C$21:BF21))-SUP_OVERHEAD!BF40-BF44-BF45</f>
        <v>98737.915677745</v>
      </c>
      <c r="BG46" s="268" t="n">
        <f aca="false">BG40-BG42-BG43-SUP_PRODUCCION!$C$68*(SUM($C$19:BG19)+SUM($C$20:BG20)+SUM($C$21:BG21))-SUP_OVERHEAD!BG40-BG44-BG45</f>
        <v>98737.915677745</v>
      </c>
      <c r="BH46" s="268" t="n">
        <f aca="false">BH40-BH42-BH43-SUP_PRODUCCION!$C$68*(SUM($C$19:BH19)+SUM($C$20:BH20)+SUM($C$21:BH21))-SUP_OVERHEAD!BH40-BH44-BH45</f>
        <v>98737.915677745</v>
      </c>
      <c r="BI46" s="268" t="n">
        <f aca="false">BI40-BI42-BI43-SUP_PRODUCCION!$C$68*(SUM($C$19:BI19)+SUM($C$20:BI20)+SUM($C$21:BI21))-SUP_OVERHEAD!BI40-BI44-BI45</f>
        <v>96982.3053269935</v>
      </c>
      <c r="BJ46" s="268" t="n">
        <f aca="false">BJ40-BJ42-BJ43-SUP_PRODUCCION!$C$68*(SUM($C$19:BJ19)+SUM($C$20:BJ20)+SUM($C$21:BJ21))-SUP_OVERHEAD!BJ40-BJ44-BJ45</f>
        <v>104081.914073368</v>
      </c>
      <c r="BK46" s="268" t="n">
        <f aca="false">BK40-BK42-BK43-SUP_PRODUCCION!$C$68*(SUM($C$19:BK19)+SUM($C$20:BK20)+SUM($C$21:BK21))-SUP_OVERHEAD!BK40-BK44-BK45</f>
        <v>106763.615142426</v>
      </c>
      <c r="BL46" s="268" t="n">
        <f aca="false">BL40-BL42-BL43-SUP_PRODUCCION!$C$68*(SUM($C$19:BL19)+SUM($C$20:BL20)+SUM($C$21:BL21))-SUP_OVERHEAD!BL40-BL44-BL45</f>
        <v>121076.846511871</v>
      </c>
      <c r="BM46" s="268" t="n">
        <f aca="false">BM40-BM42-BM43-SUP_PRODUCCION!$C$68*(SUM($C$19:BM19)+SUM($C$20:BM20)+SUM($C$21:BM21))-SUP_OVERHEAD!BM40-BM44-BM45</f>
        <v>129322.982198453</v>
      </c>
      <c r="BN46" s="268" t="n">
        <f aca="false">BN40-BN42-BN43-SUP_PRODUCCION!$C$68*(SUM($C$19:BN19)+SUM($C$20:BN20)+SUM($C$21:BN21))-SUP_OVERHEAD!BN40-BN44-BN45</f>
        <v>137593.70468702</v>
      </c>
      <c r="BO46" s="268" t="n">
        <f aca="false">BO40-BO42-BO43-SUP_PRODUCCION!$C$68*(SUM($C$19:BO19)+SUM($C$20:BO20)+SUM($C$21:BO21))-SUP_OVERHEAD!BO40-BO44-BO45</f>
        <v>142531.43202066</v>
      </c>
      <c r="BP46" s="268" t="n">
        <f aca="false">BP40-BP42-BP43-SUP_PRODUCCION!$C$68*(SUM($C$19:BP19)+SUM($C$20:BP20)+SUM($C$21:BP21))-SUP_OVERHEAD!BP40-BP44-BP45</f>
        <v>148763.684640471</v>
      </c>
      <c r="BQ46" s="268" t="n">
        <f aca="false">BQ40-BQ42-BQ43-SUP_PRODUCCION!$C$68*(SUM($C$19:BQ19)+SUM($C$20:BQ20)+SUM($C$21:BQ21))-SUP_OVERHEAD!BQ40-BQ44-BQ45</f>
        <v>148372.414363271</v>
      </c>
      <c r="BR46" s="268" t="n">
        <f aca="false">BR40-BR42-BR43-SUP_PRODUCCION!$C$68*(SUM($C$19:BR19)+SUM($C$20:BR20)+SUM($C$21:BR21))-SUP_OVERHEAD!BR40-BR44-BR45</f>
        <v>154992.132585201</v>
      </c>
      <c r="BS46" s="268" t="n">
        <f aca="false">BS40-BS42-BS43-SUP_PRODUCCION!$C$68*(SUM($C$19:BS19)+SUM($C$20:BS20)+SUM($C$21:BS21))-SUP_OVERHEAD!BS40-BS44-BS45</f>
        <v>163011.245316125</v>
      </c>
      <c r="BT46" s="268" t="n">
        <f aca="false">BT40-BT42-BT43-SUP_PRODUCCION!$C$68*(SUM($C$19:BT19)+SUM($C$20:BT20)+SUM($C$21:BT21))-SUP_OVERHEAD!BT40-BT44-BT45</f>
        <v>171054.883471032</v>
      </c>
      <c r="BU46" s="268" t="n">
        <f aca="false">BU40-BU42-BU43-SUP_PRODUCCION!$C$68*(SUM($C$19:BU19)+SUM($C$20:BU20)+SUM($C$21:BU21))-SUP_OVERHEAD!BU40-BU44-BU45</f>
        <v>179314.55470813</v>
      </c>
      <c r="BV46" s="268" t="n">
        <f aca="false">BV40-BV42-BV43-SUP_PRODUCCION!$C$68*(SUM($C$19:BV19)+SUM($C$20:BV20)+SUM($C$21:BV21))-SUP_OVERHEAD!BV40-BV44-BV45</f>
        <v>187379.296344476</v>
      </c>
      <c r="BW46" s="268" t="n">
        <f aca="false">BW40-BW42-BW43-SUP_PRODUCCION!$C$68*(SUM($C$19:BW19)+SUM($C$20:BW20)+SUM($C$21:BW21))-SUP_OVERHEAD!BW40-BW44-BW45</f>
        <v>188308.814360692</v>
      </c>
      <c r="BX46" s="268" t="n">
        <f aca="false">BX40-BX42-BX43-SUP_PRODUCCION!$C$68*(SUM($C$19:BX19)+SUM($C$20:BX20)+SUM($C$21:BX21))-SUP_OVERHEAD!BX40-BX44-BX45</f>
        <v>203483.072538979</v>
      </c>
      <c r="BY46" s="268" t="n">
        <f aca="false">BY40-BY42-BY43-SUP_PRODUCCION!$C$68*(SUM($C$19:BY19)+SUM($C$20:BY20)+SUM($C$21:BY21))-SUP_OVERHEAD!BY40-BY44-BY45</f>
        <v>208980.217771052</v>
      </c>
      <c r="BZ46" s="268" t="n">
        <f aca="false">BZ40-BZ42-BZ43-SUP_PRODUCCION!$C$68*(SUM($C$19:BZ19)+SUM($C$20:BZ20)+SUM($C$21:BZ21))-SUP_OVERHEAD!BZ40-BZ44-BZ45</f>
        <v>210322.996799488</v>
      </c>
      <c r="CA46" s="268" t="n">
        <f aca="false">CA40-CA42-CA43-SUP_PRODUCCION!$C$68*(SUM($C$19:CA19)+SUM($C$20:CA20)+SUM($C$21:CA21))-SUP_OVERHEAD!CA40-CA44-CA45</f>
        <v>219130.25223056</v>
      </c>
      <c r="CB46" s="268" t="n">
        <f aca="false">CB40-CB42-CB43-SUP_PRODUCCION!$C$68*(SUM($C$19:CB19)+SUM($C$20:CB20)+SUM($C$21:CB21))-SUP_OVERHEAD!CB40-CB44-CB45</f>
        <v>218281.22688715</v>
      </c>
      <c r="CC46" s="268" t="n">
        <f aca="false">CC40-CC42-CC43-SUP_PRODUCCION!$C$68*(SUM($C$19:CC19)+SUM($C$20:CC20)+SUM($C$21:CC21))-SUP_OVERHEAD!CC40-CC44-CC45</f>
        <v>227114.051623692</v>
      </c>
      <c r="CD46" s="268" t="n">
        <f aca="false">CD40-CD42-CD43-SUP_PRODUCCION!$C$68*(SUM($C$19:CD19)+SUM($C$20:CD20)+SUM($C$21:CD21))-SUP_OVERHEAD!CD40-CD44-CD45</f>
        <v>234978.801841907</v>
      </c>
      <c r="CE46" s="268" t="n">
        <f aca="false">CE40-CE42-CE43-SUP_PRODUCCION!$C$68*(SUM($C$19:CE19)+SUM($C$20:CE20)+SUM($C$21:CE21))-SUP_OVERHEAD!CE40-CE44-CE45</f>
        <v>243074.04326103</v>
      </c>
      <c r="CF46" s="268" t="n">
        <f aca="false">CF40-CF42-CF43-SUP_PRODUCCION!$C$68*(SUM($C$19:CF19)+SUM($C$20:CF20)+SUM($C$21:CF21))-SUP_OVERHEAD!CF40-CF44-CF45</f>
        <v>250970.107019411</v>
      </c>
      <c r="CG46" s="268" t="n">
        <f aca="false">CG40-CG42-CG43-SUP_PRODUCCION!$C$68*(SUM($C$19:CG19)+SUM($C$20:CG20)+SUM($C$21:CG21))-SUP_OVERHEAD!CG40-CG44-CG45</f>
        <v>261110.985478243</v>
      </c>
      <c r="CH46" s="268" t="n">
        <f aca="false">CH40-CH42-CH43-SUP_PRODUCCION!$C$68*(SUM($C$19:CH19)+SUM($C$20:CH20)+SUM($C$21:CH21))-SUP_OVERHEAD!CH40-CH44-CH45</f>
        <v>263511.787826226</v>
      </c>
      <c r="CI46" s="268" t="n">
        <f aca="false">CI40-CI42-CI43-SUP_PRODUCCION!$C$68*(SUM($C$19:CI19)+SUM($C$20:CI20)+SUM($C$21:CI21))-SUP_OVERHEAD!CI40-CI44-CI45</f>
        <v>272794.493462327</v>
      </c>
      <c r="CJ46" s="268" t="n">
        <f aca="false">CJ40-CJ42-CJ43-SUP_PRODUCCION!$C$68*(SUM($C$19:CJ19)+SUM($C$20:CJ20)+SUM($C$21:CJ21))-SUP_OVERHEAD!CJ40-CJ44-CJ45</f>
        <v>273061.125979665</v>
      </c>
      <c r="CK46" s="268" t="n">
        <f aca="false">CK40-CK42-CK43-SUP_PRODUCCION!$C$68*(SUM($C$19:CK19)+SUM($C$20:CK20)+SUM($C$21:CK21))-SUP_OVERHEAD!CK40-CK44-CK45</f>
        <v>276181.729248152</v>
      </c>
      <c r="CL46" s="268" t="n">
        <f aca="false">CL40-CL42-CL43-SUP_PRODUCCION!$C$68*(SUM($C$19:CL19)+SUM($C$20:CL20)+SUM($C$21:CL21))-SUP_OVERHEAD!CL40-CL44-CL45</f>
        <v>277538.602144871</v>
      </c>
      <c r="CM46" s="268" t="n">
        <f aca="false">CM40-CM42-CM43-SUP_PRODUCCION!$C$68*(SUM($C$19:CM19)+SUM($C$20:CM20)+SUM($C$21:CM21))-SUP_OVERHEAD!CM40-CM44-CM45</f>
        <v>277538.602144871</v>
      </c>
      <c r="CN46" s="268" t="n">
        <f aca="false">CN40-CN42-CN43-SUP_PRODUCCION!$C$68*(SUM($C$19:CN19)+SUM($C$20:CN20)+SUM($C$21:CN21))-SUP_OVERHEAD!CN40-CN44-CN45</f>
        <v>277538.602144871</v>
      </c>
      <c r="CO46" s="268" t="n">
        <f aca="false">CO40-CO42-CO43-SUP_PRODUCCION!$C$68*(SUM($C$19:CO19)+SUM($C$20:CO20)+SUM($C$21:CO21))-SUP_OVERHEAD!CO40-CO44-CO45</f>
        <v>277538.602144871</v>
      </c>
      <c r="CP46" s="268" t="n">
        <f aca="false">CP40-CP42-CP43-SUP_PRODUCCION!$C$68*(SUM($C$19:CP19)+SUM($C$20:CP20)+SUM($C$21:CP21))-SUP_OVERHEAD!CP40-CP44-CP45</f>
        <v>277538.602144871</v>
      </c>
      <c r="CQ46" s="268" t="n">
        <f aca="false">CQ40-CQ42-CQ43-SUP_PRODUCCION!$C$68*(SUM($C$19:CQ19)+SUM($C$20:CQ20)+SUM($C$21:CQ21))-SUP_OVERHEAD!CQ40-CQ44-CQ45</f>
        <v>277538.602144871</v>
      </c>
      <c r="CR46" s="268" t="n">
        <f aca="false">CR40-CR42-CR43-SUP_PRODUCCION!$C$68*(SUM($C$19:CR19)+SUM($C$20:CR20)+SUM($C$21:CR21))-SUP_OVERHEAD!CR40-CR44-CR45</f>
        <v>277538.602144871</v>
      </c>
      <c r="CS46" s="268" t="n">
        <f aca="false">CS40-CS42-CS43-SUP_PRODUCCION!$C$68*(SUM($C$19:CS19)+SUM($C$20:CS20)+SUM($C$21:CS21))-SUP_OVERHEAD!CS40-CS44-CS45</f>
        <v>277538.602144871</v>
      </c>
      <c r="CT46" s="268" t="n">
        <f aca="false">CT40-CT42-CT43-SUP_PRODUCCION!$C$68*(SUM($C$19:CT19)+SUM($C$20:CT20)+SUM($C$21:CT21))-SUP_OVERHEAD!CT40-CT44-CT45</f>
        <v>277538.602144871</v>
      </c>
      <c r="CU46" s="268" t="n">
        <f aca="false">CU40-CU42-CU43-SUP_PRODUCCION!$C$68*(SUM($C$19:CU19)+SUM($C$20:CU20)+SUM($C$21:CU21))-SUP_OVERHEAD!CU40-CU44-CU45</f>
        <v>277538.602144871</v>
      </c>
      <c r="CV46" s="268" t="n">
        <f aca="false">CV40-CV42-CV43-SUP_PRODUCCION!$C$68*(SUM($C$19:CV19)+SUM($C$20:CV20)+SUM($C$21:CV21))-SUP_OVERHEAD!CV40-CV44-CV45</f>
        <v>277538.602144871</v>
      </c>
      <c r="CW46" s="268" t="n">
        <f aca="false">CW40-CW42-CW43-SUP_PRODUCCION!$C$68*(SUM($C$19:CW19)+SUM($C$20:CW20)+SUM($C$21:CW21))-SUP_OVERHEAD!CW40-CW44-CW45</f>
        <v>277538.602144871</v>
      </c>
      <c r="CX46" s="268" t="n">
        <f aca="false">CX40-CX42-CX43-SUP_PRODUCCION!$C$68*(SUM($C$19:CX19)+SUM($C$20:CX20)+SUM($C$21:CX21))-SUP_OVERHEAD!CX40-CX44-CX45</f>
        <v>277538.602144871</v>
      </c>
      <c r="CY46" s="268" t="n">
        <f aca="false">CY40-CY42-CY43-SUP_PRODUCCION!$C$68*(SUM($C$19:CY19)+SUM($C$20:CY20)+SUM($C$21:CY21))-SUP_OVERHEAD!CY40-CY44-CY45</f>
        <v>277538.602144871</v>
      </c>
      <c r="CZ46" s="268" t="n">
        <f aca="false">CZ40-CZ42-CZ43-SUP_PRODUCCION!$C$68*(SUM($C$19:CZ19)+SUM($C$20:CZ20)+SUM($C$21:CZ21))-SUP_OVERHEAD!CZ40-CZ44-CZ45</f>
        <v>277538.602144871</v>
      </c>
      <c r="DA46" s="268" t="n">
        <f aca="false">DA40-DA42-DA43-SUP_PRODUCCION!$C$68*(SUM($C$19:DA19)+SUM($C$20:DA20)+SUM($C$21:DA21))-SUP_OVERHEAD!DA40-DA44-DA45</f>
        <v>277538.602144871</v>
      </c>
      <c r="DB46" s="268" t="n">
        <f aca="false">DB40-DB42-DB43-SUP_PRODUCCION!$C$68*(SUM($C$19:DB19)+SUM($C$20:DB20)+SUM($C$21:DB21))-SUP_OVERHEAD!DB40-DB44-DB45</f>
        <v>277538.602144871</v>
      </c>
      <c r="DC46" s="268" t="n">
        <f aca="false">DC40-DC42-DC43-SUP_PRODUCCION!$C$68*(SUM($C$19:DC19)+SUM($C$20:DC20)+SUM($C$21:DC21))-SUP_OVERHEAD!DC40-DC44-DC45</f>
        <v>277538.602144871</v>
      </c>
      <c r="DD46" s="268" t="n">
        <f aca="false">DD40-DD42-DD43-SUP_PRODUCCION!$C$68*(SUM($C$19:DD19)+SUM($C$20:DD20)+SUM($C$21:DD21))-SUP_OVERHEAD!DD40-DD44-DD45</f>
        <v>277538.602144871</v>
      </c>
      <c r="DE46" s="268" t="n">
        <f aca="false">DE40-DE42-DE43-SUP_PRODUCCION!$C$68*(SUM($C$19:DE19)+SUM($C$20:DE20)+SUM($C$21:DE21))-SUP_OVERHEAD!DE40-DE44-DE45</f>
        <v>277538.602144871</v>
      </c>
      <c r="DF46" s="268" t="n">
        <f aca="false">DF40-DF42-DF43-SUP_PRODUCCION!$C$68*(SUM($C$19:DF19)+SUM($C$20:DF20)+SUM($C$21:DF21))-SUP_OVERHEAD!DF40-DF44-DF45</f>
        <v>277538.602144871</v>
      </c>
      <c r="DG46" s="268" t="n">
        <f aca="false">DG40-DG42-DG43-SUP_PRODUCCION!$C$68*(SUM($C$19:DG19)+SUM($C$20:DG20)+SUM($C$21:DG21))-SUP_OVERHEAD!DG40-DG44-DG45</f>
        <v>277538.602144871</v>
      </c>
      <c r="DH46" s="268" t="n">
        <f aca="false">DH40-DH42-DH43-SUP_PRODUCCION!$C$68*(SUM($C$19:DH19)+SUM($C$20:DH20)+SUM($C$21:DH21))-SUP_OVERHEAD!DH40-DH44-DH45</f>
        <v>277538.602144871</v>
      </c>
      <c r="DI46" s="268" t="n">
        <f aca="false">DI40-DI42-DI43-SUP_PRODUCCION!$C$68*(SUM($C$19:DI19)+SUM($C$20:DI20)+SUM($C$21:DI21))-SUP_OVERHEAD!DI40-DI44-DI45</f>
        <v>277538.602144871</v>
      </c>
      <c r="DJ46" s="268" t="n">
        <f aca="false">DJ40-DJ42-DJ43-SUP_PRODUCCION!$C$68*(SUM($C$19:DJ19)+SUM($C$20:DJ20)+SUM($C$21:DJ21))-SUP_OVERHEAD!DJ40-DJ44-DJ45</f>
        <v>277538.602144871</v>
      </c>
      <c r="DK46" s="268" t="n">
        <f aca="false">DK40-DK42-DK43-SUP_PRODUCCION!$C$68*(SUM($C$19:DK19)+SUM($C$20:DK20)+SUM($C$21:DK21))-SUP_OVERHEAD!DK40-DK44-DK45</f>
        <v>277538.602144871</v>
      </c>
      <c r="DL46" s="268" t="n">
        <f aca="false">DL40-DL42-DL43-SUP_PRODUCCION!$C$68*(SUM($C$19:DL19)+SUM($C$20:DL20)+SUM($C$21:DL21))-SUP_OVERHEAD!DL40-DL44-DL45</f>
        <v>277538.602144871</v>
      </c>
      <c r="DM46" s="268" t="n">
        <f aca="false">DM40-DM42-DM43-SUP_PRODUCCION!$C$68*(SUM($C$19:DM19)+SUM($C$20:DM20)+SUM($C$21:DM21))-SUP_OVERHEAD!DM40-DM44-DM45</f>
        <v>277538.602144871</v>
      </c>
      <c r="DN46" s="268" t="n">
        <f aca="false">DN40-DN42-DN43-SUP_PRODUCCION!$C$68*(SUM($C$19:DN19)+SUM($C$20:DN20)+SUM($C$21:DN21))-SUP_OVERHEAD!DN40-DN44-DN45</f>
        <v>277538.602144871</v>
      </c>
      <c r="DO46" s="268" t="n">
        <f aca="false">DO40-DO42-DO43-SUP_PRODUCCION!$C$68*(SUM($C$19:DO19)+SUM($C$20:DO20)+SUM($C$21:DO21))-SUP_OVERHEAD!DO40-DO44-DO45</f>
        <v>277538.602144871</v>
      </c>
      <c r="DP46" s="268" t="n">
        <f aca="false">DP40-DP42-DP43-SUP_PRODUCCION!$C$68*(SUM($C$19:DP19)+SUM($C$20:DP20)+SUM($C$21:DP21))-SUP_OVERHEAD!DP40-DP44-DP45</f>
        <v>277538.602144871</v>
      </c>
      <c r="DQ46" s="268" t="n">
        <f aca="false">DQ40-DQ42-DQ43-SUP_PRODUCCION!$C$68*(SUM($C$19:DQ19)+SUM($C$20:DQ20)+SUM($C$21:DQ21))-SUP_OVERHEAD!DQ40-DQ44-DQ45</f>
        <v>277538.602144871</v>
      </c>
      <c r="DR46" s="268" t="n">
        <f aca="false">DR40-DR42-DR43-SUP_PRODUCCION!$C$68*(SUM($C$19:DR19)+SUM($C$20:DR20)+SUM($C$21:DR21))-SUP_OVERHEAD!DR40-DR44-DR45</f>
        <v>277538.602144871</v>
      </c>
      <c r="DS46" s="268" t="n">
        <f aca="false">DS40-DS42-DS43-SUP_PRODUCCION!$C$68*(SUM($C$19:DS19)+SUM($C$20:DS20)+SUM($C$21:DS21))-SUP_OVERHEAD!DS40-DS44-DS45</f>
        <v>277538.602144871</v>
      </c>
    </row>
    <row r="47" customFormat="false" ht="15" hidden="false" customHeight="true" outlineLevel="0" collapsed="false">
      <c r="B47" s="297" t="s">
        <v>3546</v>
      </c>
      <c r="D47" s="273" t="n">
        <f aca="false">0</f>
        <v>0</v>
      </c>
      <c r="E47" s="273" t="n">
        <f aca="false">D47+E29+E22</f>
        <v>0</v>
      </c>
      <c r="F47" s="273" t="n">
        <f aca="false">E47+F29+F22</f>
        <v>0</v>
      </c>
      <c r="G47" s="273" t="n">
        <f aca="false">F47+G29+G22</f>
        <v>0</v>
      </c>
      <c r="H47" s="273" t="n">
        <f aca="false">G47+H29+H22</f>
        <v>0</v>
      </c>
      <c r="I47" s="273" t="n">
        <f aca="false">H47+I29+I22</f>
        <v>0</v>
      </c>
      <c r="J47" s="273" t="n">
        <f aca="false">I47+J29+J22</f>
        <v>0</v>
      </c>
      <c r="K47" s="273" t="n">
        <f aca="false">J47+K29+K22</f>
        <v>0</v>
      </c>
      <c r="L47" s="273" t="n">
        <f aca="false">K47+L29+L22</f>
        <v>0</v>
      </c>
      <c r="M47" s="273" t="n">
        <f aca="false">L47+M29+M22</f>
        <v>0</v>
      </c>
      <c r="N47" s="273" t="n">
        <f aca="false">M47+N29+N22</f>
        <v>0</v>
      </c>
      <c r="O47" s="273" t="n">
        <f aca="false">N47+O29+O22</f>
        <v>0</v>
      </c>
      <c r="P47" s="273" t="n">
        <f aca="false">O47+P29+P22</f>
        <v>0</v>
      </c>
      <c r="Q47" s="273" t="n">
        <f aca="false">P47+Q29+Q22</f>
        <v>0</v>
      </c>
      <c r="R47" s="273" t="n">
        <f aca="false">Q47+R29+R22</f>
        <v>0</v>
      </c>
      <c r="S47" s="273" t="n">
        <f aca="false">R47+S29+S22</f>
        <v>92556.937</v>
      </c>
      <c r="T47" s="273" t="n">
        <f aca="false">S47+T29+T22</f>
        <v>185113.874</v>
      </c>
      <c r="U47" s="273" t="n">
        <f aca="false">T47+U29+U22</f>
        <v>185113.874</v>
      </c>
      <c r="V47" s="273" t="n">
        <f aca="false">U47+V29+V22</f>
        <v>277670.811</v>
      </c>
      <c r="W47" s="273" t="n">
        <f aca="false">V47+W29+W22</f>
        <v>277670.811</v>
      </c>
      <c r="X47" s="273" t="n">
        <f aca="false">W47+X29+X22</f>
        <v>277670.811</v>
      </c>
      <c r="Y47" s="273" t="n">
        <f aca="false">X47+Y29+Y22</f>
        <v>277670.811</v>
      </c>
      <c r="Z47" s="273" t="n">
        <f aca="false">Y47+Z29+Z22</f>
        <v>277670.811</v>
      </c>
      <c r="AA47" s="273" t="n">
        <f aca="false">Z47+AA29+AA22</f>
        <v>277670.811</v>
      </c>
      <c r="AB47" s="273" t="n">
        <f aca="false">AA47+AB29+AB22</f>
        <v>277670.811</v>
      </c>
      <c r="AC47" s="273" t="n">
        <f aca="false">AB47+AC29+AC22</f>
        <v>277670.811</v>
      </c>
      <c r="AD47" s="273" t="n">
        <f aca="false">AC47+AD29+AD22</f>
        <v>620422.219</v>
      </c>
      <c r="AE47" s="273" t="n">
        <f aca="false">AD47+AE29+AE22</f>
        <v>620422.219</v>
      </c>
      <c r="AF47" s="273" t="n">
        <f aca="false">AE47+AF29+AF22</f>
        <v>759333.24125</v>
      </c>
      <c r="AG47" s="273" t="n">
        <f aca="false">AF47+AG29+AG22</f>
        <v>851890.17825</v>
      </c>
      <c r="AH47" s="273" t="n">
        <f aca="false">AG47+AH29+AH22</f>
        <v>851890.17825</v>
      </c>
      <c r="AI47" s="273" t="n">
        <f aca="false">AH47+AI29+AI22</f>
        <v>944447.11525</v>
      </c>
      <c r="AJ47" s="273" t="n">
        <f aca="false">AI47+AJ29+AJ22</f>
        <v>944447.11525</v>
      </c>
      <c r="AK47" s="273" t="n">
        <f aca="false">AJ47+AK29+AK22</f>
        <v>1037004.05225</v>
      </c>
      <c r="AL47" s="273" t="n">
        <f aca="false">AK47+AL29+AL22</f>
        <v>1037004.05225</v>
      </c>
      <c r="AM47" s="273" t="n">
        <f aca="false">AL47+AM29+AM22</f>
        <v>1037004.05225</v>
      </c>
      <c r="AN47" s="273" t="n">
        <f aca="false">AM47+AN29+AN22</f>
        <v>1175915.0745</v>
      </c>
      <c r="AO47" s="273" t="n">
        <f aca="false">AN47+AO29+AO22</f>
        <v>1268472.0115</v>
      </c>
      <c r="AP47" s="273" t="n">
        <f aca="false">AO47+AP29+AP22</f>
        <v>1361028.9485</v>
      </c>
      <c r="AQ47" s="273" t="n">
        <f aca="false">AP47+AQ29+AQ22</f>
        <v>1453585.8855</v>
      </c>
      <c r="AR47" s="273" t="n">
        <f aca="false">AQ47+AR29+AR22</f>
        <v>1453585.8855</v>
      </c>
      <c r="AS47" s="273" t="n">
        <f aca="false">AR47+AS29+AS22</f>
        <v>1453585.8855</v>
      </c>
      <c r="AT47" s="273" t="n">
        <f aca="false">AS47+AT29+AT22</f>
        <v>1592496.90775</v>
      </c>
      <c r="AU47" s="273" t="n">
        <f aca="false">AT47+AU29+AU22</f>
        <v>1592496.90775</v>
      </c>
      <c r="AV47" s="273" t="n">
        <f aca="false">AU47+AV29+AV22</f>
        <v>1685053.84475</v>
      </c>
      <c r="AW47" s="273" t="n">
        <f aca="false">AV47+AW29+AW22</f>
        <v>1777610.78175</v>
      </c>
      <c r="AX47" s="273" t="n">
        <f aca="false">AW47+AX29+AX22</f>
        <v>1777610.78175</v>
      </c>
      <c r="AY47" s="273" t="n">
        <f aca="false">AX47+AY29+AY22</f>
        <v>1777610.78175</v>
      </c>
      <c r="AZ47" s="273" t="n">
        <f aca="false">AY47+AZ29+AZ22</f>
        <v>1777610.78175</v>
      </c>
      <c r="BA47" s="273" t="n">
        <f aca="false">AZ47+BA29+BA22</f>
        <v>1777610.78175</v>
      </c>
      <c r="BB47" s="273" t="n">
        <f aca="false">BA47+BB29+BB22</f>
        <v>2402324.67775</v>
      </c>
      <c r="BC47" s="273" t="n">
        <f aca="false">BB47+BC29+BC22</f>
        <v>2402324.67775</v>
      </c>
      <c r="BD47" s="273" t="n">
        <f aca="false">BC47+BD29+BD22</f>
        <v>2402324.67775</v>
      </c>
      <c r="BE47" s="273" t="n">
        <f aca="false">BD47+BE29+BE22</f>
        <v>2402324.67775</v>
      </c>
      <c r="BF47" s="273" t="n">
        <f aca="false">BE47+BF29+BF22</f>
        <v>2887953.0985</v>
      </c>
      <c r="BG47" s="273" t="n">
        <f aca="false">BF47+BG29+BG22</f>
        <v>2980510.0355</v>
      </c>
      <c r="BH47" s="273" t="n">
        <f aca="false">BG47+BH29+BH22</f>
        <v>3119421.05775</v>
      </c>
      <c r="BI47" s="273" t="n">
        <f aca="false">BH47+BI29+BI22</f>
        <v>3211977.99475</v>
      </c>
      <c r="BJ47" s="273" t="n">
        <f aca="false">BI47+BJ29+BJ22</f>
        <v>3304534.93175</v>
      </c>
      <c r="BK47" s="273" t="n">
        <f aca="false">BJ47+BK29+BK22</f>
        <v>3397091.86875</v>
      </c>
      <c r="BL47" s="273" t="n">
        <f aca="false">BK47+BL29+BL22</f>
        <v>3397091.86875</v>
      </c>
      <c r="BM47" s="273" t="n">
        <f aca="false">BL47+BM29+BM22</f>
        <v>3536002.891</v>
      </c>
      <c r="BN47" s="273" t="n">
        <f aca="false">BM47+BN29+BN22</f>
        <v>3628559.828</v>
      </c>
      <c r="BO47" s="273" t="n">
        <f aca="false">BN47+BO29+BO22</f>
        <v>3721116.765</v>
      </c>
      <c r="BP47" s="273" t="n">
        <f aca="false">BO47+BP29+BP22</f>
        <v>3813673.702</v>
      </c>
      <c r="BQ47" s="273" t="n">
        <f aca="false">BP47+BQ29+BQ22</f>
        <v>3952584.72425</v>
      </c>
      <c r="BR47" s="273" t="n">
        <f aca="false">BQ47+BR29+BR22</f>
        <v>4045141.66125</v>
      </c>
      <c r="BS47" s="273" t="n">
        <f aca="false">BR47+BS29+BS22</f>
        <v>4137698.59825</v>
      </c>
      <c r="BT47" s="273" t="n">
        <f aca="false">BS47+BT29+BT22</f>
        <v>4230255.53525</v>
      </c>
      <c r="BU47" s="273" t="n">
        <f aca="false">BT47+BU29+BU22</f>
        <v>4369166.5575</v>
      </c>
      <c r="BV47" s="273" t="n">
        <f aca="false">BU47+BV29+BV22</f>
        <v>4369166.5575</v>
      </c>
      <c r="BW47" s="273" t="n">
        <f aca="false">BV47+BW29+BW22</f>
        <v>4854794.97825</v>
      </c>
      <c r="BX47" s="273" t="n">
        <f aca="false">BW47+BX29+BX22</f>
        <v>4947351.91525</v>
      </c>
      <c r="BY47" s="273" t="n">
        <f aca="false">BX47+BY29+BY22</f>
        <v>5039908.85225</v>
      </c>
      <c r="BZ47" s="273" t="n">
        <f aca="false">BY47+BZ29+BZ22</f>
        <v>5132465.78925</v>
      </c>
      <c r="CA47" s="273" t="n">
        <f aca="false">BZ47+CA29+CA22</f>
        <v>5271376.8115</v>
      </c>
      <c r="CB47" s="273" t="n">
        <f aca="false">CA47+CB29+CB22</f>
        <v>5363933.7485</v>
      </c>
      <c r="CC47" s="273" t="n">
        <f aca="false">CB47+CC29+CC22</f>
        <v>5456490.6855</v>
      </c>
      <c r="CD47" s="273" t="n">
        <f aca="false">CC47+CD29+CD22</f>
        <v>5549047.6225</v>
      </c>
      <c r="CE47" s="273" t="n">
        <f aca="false">CD47+CE29+CE22</f>
        <v>5687958.64475</v>
      </c>
      <c r="CF47" s="273" t="n">
        <f aca="false">CE47+CF29+CF22</f>
        <v>5780515.58175</v>
      </c>
      <c r="CG47" s="273" t="n">
        <f aca="false">CF47+CG29+CG22</f>
        <v>5873072.51875</v>
      </c>
      <c r="CH47" s="273" t="n">
        <f aca="false">CG47+CH29+CH22</f>
        <v>6446786.41475</v>
      </c>
      <c r="CI47" s="273" t="n">
        <f aca="false">CH47+CI29+CI22</f>
        <v>6446786.41475</v>
      </c>
      <c r="CJ47" s="273" t="n">
        <f aca="false">CI47+CJ29+CJ22</f>
        <v>6446786.41475</v>
      </c>
      <c r="CK47" s="273" t="n">
        <f aca="false">CJ47+CK29+CK22</f>
        <v>6446786.41475</v>
      </c>
      <c r="CL47" s="273" t="n">
        <f aca="false">CK47+CL29+CL22</f>
        <v>6446786.41475</v>
      </c>
      <c r="CM47" s="273" t="n">
        <f aca="false">CL47+CM29+CM22</f>
        <v>6446786.41475</v>
      </c>
      <c r="CN47" s="273" t="n">
        <f aca="false">CM47+CN29+CN22</f>
        <v>6446786.41475</v>
      </c>
      <c r="CO47" s="273" t="n">
        <f aca="false">CN47+CO29+CO22</f>
        <v>6446786.41475</v>
      </c>
      <c r="CP47" s="273" t="n">
        <f aca="false">CO47+CP29+CP22</f>
        <v>6446786.41475</v>
      </c>
      <c r="CQ47" s="273" t="n">
        <f aca="false">CP47+CQ29+CQ22</f>
        <v>6446786.41475</v>
      </c>
      <c r="CR47" s="273" t="n">
        <f aca="false">CQ47+CR29+CR22</f>
        <v>6446786.41475</v>
      </c>
      <c r="CS47" s="273" t="n">
        <f aca="false">CR47+CS29+CS22</f>
        <v>6446786.41475</v>
      </c>
      <c r="CT47" s="273" t="n">
        <f aca="false">CS47+CT29+CT22</f>
        <v>6446786.41475</v>
      </c>
      <c r="CU47" s="273" t="n">
        <f aca="false">CT47+CU29+CU22</f>
        <v>6446786.41475</v>
      </c>
      <c r="CV47" s="273" t="n">
        <f aca="false">CU47+CV29+CV22</f>
        <v>6446786.41475</v>
      </c>
      <c r="CW47" s="273" t="n">
        <f aca="false">CV47+CW29+CW22</f>
        <v>6446786.41475</v>
      </c>
      <c r="CX47" s="273" t="n">
        <f aca="false">CW47+CX29+CX22</f>
        <v>6446786.41475</v>
      </c>
      <c r="CY47" s="273" t="n">
        <f aca="false">CX47+CY29+CY22</f>
        <v>6446786.41475</v>
      </c>
      <c r="CZ47" s="273" t="n">
        <f aca="false">CY47+CZ29+CZ22</f>
        <v>6446786.41475</v>
      </c>
      <c r="DA47" s="273" t="n">
        <f aca="false">CZ47+DA29+DA22</f>
        <v>6446786.41475</v>
      </c>
      <c r="DB47" s="273" t="n">
        <f aca="false">DA47+DB29+DB22</f>
        <v>6446786.41475</v>
      </c>
      <c r="DC47" s="273" t="n">
        <f aca="false">DB47+DC29+DC22</f>
        <v>6446786.41475</v>
      </c>
      <c r="DD47" s="273" t="n">
        <f aca="false">DC47+DD29+DD22</f>
        <v>6446786.41475</v>
      </c>
      <c r="DE47" s="273" t="n">
        <f aca="false">DD47+DE29+DE22</f>
        <v>6446786.41475</v>
      </c>
      <c r="DF47" s="273" t="n">
        <f aca="false">DE47+DF29+DF22</f>
        <v>6446786.41475</v>
      </c>
      <c r="DG47" s="273" t="n">
        <f aca="false">DF47+DG29+DG22</f>
        <v>6446786.41475</v>
      </c>
      <c r="DH47" s="273" t="n">
        <f aca="false">DG47+DH29+DH22</f>
        <v>6446786.41475</v>
      </c>
      <c r="DI47" s="273" t="n">
        <f aca="false">DH47+DI29+DI22</f>
        <v>6446786.41475</v>
      </c>
      <c r="DJ47" s="273" t="n">
        <f aca="false">DI47+DJ29+DJ22</f>
        <v>6446786.41475</v>
      </c>
      <c r="DK47" s="273" t="n">
        <f aca="false">DJ47+DK29+DK22</f>
        <v>6446786.41475</v>
      </c>
      <c r="DL47" s="273" t="n">
        <f aca="false">DK47+DL29+DL22</f>
        <v>6446786.41475</v>
      </c>
      <c r="DM47" s="273" t="n">
        <f aca="false">DL47+DM29+DM22</f>
        <v>6446786.41475</v>
      </c>
      <c r="DN47" s="273" t="n">
        <f aca="false">DM47+DN29+DN22</f>
        <v>6446786.41475</v>
      </c>
      <c r="DO47" s="273" t="n">
        <f aca="false">DN47+DO29+DO22</f>
        <v>6446786.41475</v>
      </c>
      <c r="DP47" s="273" t="n">
        <f aca="false">DO47+DP29+DP22</f>
        <v>6446786.41475</v>
      </c>
      <c r="DQ47" s="273" t="n">
        <f aca="false">DP47+DQ29+DQ22</f>
        <v>6446786.41475</v>
      </c>
      <c r="DR47" s="273" t="n">
        <f aca="false">DQ47+DR29+DR22</f>
        <v>6446786.41475</v>
      </c>
      <c r="DS47" s="273" t="n">
        <f aca="false">DR47+DS29+DS22</f>
        <v>6446786.41475</v>
      </c>
    </row>
    <row r="48" customFormat="false" ht="15" hidden="false" customHeight="true" outlineLevel="0" collapsed="false">
      <c r="B48" s="297" t="s">
        <v>3463</v>
      </c>
      <c r="D48" s="273" t="n">
        <f aca="false">D47/(SUP_OPEX!$C$43*12)</f>
        <v>0</v>
      </c>
      <c r="E48" s="273" t="n">
        <f aca="false">E47/(SUP_OPEX!$C$43*12)</f>
        <v>0</v>
      </c>
      <c r="F48" s="273" t="n">
        <f aca="false">F47/(SUP_OPEX!$C$43*12)</f>
        <v>0</v>
      </c>
      <c r="G48" s="273" t="n">
        <f aca="false">G47/(SUP_OPEX!$C$43*12)</f>
        <v>0</v>
      </c>
      <c r="H48" s="273" t="n">
        <f aca="false">H47/(SUP_OPEX!$C$43*12)</f>
        <v>0</v>
      </c>
      <c r="I48" s="273" t="n">
        <f aca="false">I47/(SUP_OPEX!$C$43*12)</f>
        <v>0</v>
      </c>
      <c r="J48" s="273" t="n">
        <f aca="false">J47/(SUP_OPEX!$C$43*12)</f>
        <v>0</v>
      </c>
      <c r="K48" s="273" t="n">
        <f aca="false">K47/(SUP_OPEX!$C$43*12)</f>
        <v>0</v>
      </c>
      <c r="L48" s="273" t="n">
        <f aca="false">L47/(SUP_OPEX!$C$43*12)</f>
        <v>0</v>
      </c>
      <c r="M48" s="273" t="n">
        <f aca="false">M47/(SUP_OPEX!$C$43*12)</f>
        <v>0</v>
      </c>
      <c r="N48" s="273" t="n">
        <f aca="false">N47/(SUP_OPEX!$C$43*12)</f>
        <v>0</v>
      </c>
      <c r="O48" s="273" t="n">
        <f aca="false">O47/(SUP_OPEX!$C$43*12)</f>
        <v>0</v>
      </c>
      <c r="P48" s="273" t="n">
        <f aca="false">P47/(SUP_OPEX!$C$43*12)</f>
        <v>0</v>
      </c>
      <c r="Q48" s="273" t="n">
        <f aca="false">Q47/(SUP_OPEX!$C$43*12)</f>
        <v>0</v>
      </c>
      <c r="R48" s="273" t="n">
        <f aca="false">R47/(SUP_OPEX!$C$43*12)</f>
        <v>0</v>
      </c>
      <c r="S48" s="273" t="n">
        <f aca="false">S47/(SUP_OPEX!$C$43*12)</f>
        <v>771.307808333333</v>
      </c>
      <c r="T48" s="273" t="n">
        <f aca="false">T47/(SUP_OPEX!$C$43*12)</f>
        <v>1542.61561666667</v>
      </c>
      <c r="U48" s="273" t="n">
        <f aca="false">U47/(SUP_OPEX!$C$43*12)</f>
        <v>1542.61561666667</v>
      </c>
      <c r="V48" s="273" t="n">
        <f aca="false">V47/(SUP_OPEX!$C$43*12)</f>
        <v>2313.923425</v>
      </c>
      <c r="W48" s="273" t="n">
        <f aca="false">W47/(SUP_OPEX!$C$43*12)</f>
        <v>2313.923425</v>
      </c>
      <c r="X48" s="273" t="n">
        <f aca="false">X47/(SUP_OPEX!$C$43*12)</f>
        <v>2313.923425</v>
      </c>
      <c r="Y48" s="273" t="n">
        <f aca="false">Y47/(SUP_OPEX!$C$43*12)</f>
        <v>2313.923425</v>
      </c>
      <c r="Z48" s="273" t="n">
        <f aca="false">Z47/(SUP_OPEX!$C$43*12)</f>
        <v>2313.923425</v>
      </c>
      <c r="AA48" s="273" t="n">
        <f aca="false">AA47/(SUP_OPEX!$C$43*12)</f>
        <v>2313.923425</v>
      </c>
      <c r="AB48" s="273" t="n">
        <f aca="false">AB47/(SUP_OPEX!$C$43*12)</f>
        <v>2313.923425</v>
      </c>
      <c r="AC48" s="273" t="n">
        <f aca="false">AC47/(SUP_OPEX!$C$43*12)</f>
        <v>2313.923425</v>
      </c>
      <c r="AD48" s="273" t="n">
        <f aca="false">AD47/(SUP_OPEX!$C$43*12)</f>
        <v>5170.18515833333</v>
      </c>
      <c r="AE48" s="273" t="n">
        <f aca="false">AE47/(SUP_OPEX!$C$43*12)</f>
        <v>5170.18515833333</v>
      </c>
      <c r="AF48" s="273" t="n">
        <f aca="false">AF47/(SUP_OPEX!$C$43*12)</f>
        <v>6327.77701041667</v>
      </c>
      <c r="AG48" s="273" t="n">
        <f aca="false">AG47/(SUP_OPEX!$C$43*12)</f>
        <v>7099.08481875</v>
      </c>
      <c r="AH48" s="273" t="n">
        <f aca="false">AH47/(SUP_OPEX!$C$43*12)</f>
        <v>7099.08481875</v>
      </c>
      <c r="AI48" s="273" t="n">
        <f aca="false">AI47/(SUP_OPEX!$C$43*12)</f>
        <v>7870.39262708333</v>
      </c>
      <c r="AJ48" s="273" t="n">
        <f aca="false">AJ47/(SUP_OPEX!$C$43*12)</f>
        <v>7870.39262708333</v>
      </c>
      <c r="AK48" s="273" t="n">
        <f aca="false">AK47/(SUP_OPEX!$C$43*12)</f>
        <v>8641.70043541667</v>
      </c>
      <c r="AL48" s="273" t="n">
        <f aca="false">AL47/(SUP_OPEX!$C$43*12)</f>
        <v>8641.70043541667</v>
      </c>
      <c r="AM48" s="273" t="n">
        <f aca="false">AM47/(SUP_OPEX!$C$43*12)</f>
        <v>8641.70043541667</v>
      </c>
      <c r="AN48" s="273" t="n">
        <f aca="false">AN47/(SUP_OPEX!$C$43*12)</f>
        <v>9799.2922875</v>
      </c>
      <c r="AO48" s="273" t="n">
        <f aca="false">AO47/(SUP_OPEX!$C$43*12)</f>
        <v>10570.6000958333</v>
      </c>
      <c r="AP48" s="273" t="n">
        <f aca="false">AP47/(SUP_OPEX!$C$43*12)</f>
        <v>11341.9079041667</v>
      </c>
      <c r="AQ48" s="273" t="n">
        <f aca="false">AQ47/(SUP_OPEX!$C$43*12)</f>
        <v>12113.2157125</v>
      </c>
      <c r="AR48" s="273" t="n">
        <f aca="false">AR47/(SUP_OPEX!$C$43*12)</f>
        <v>12113.2157125</v>
      </c>
      <c r="AS48" s="273" t="n">
        <f aca="false">AS47/(SUP_OPEX!$C$43*12)</f>
        <v>12113.2157125</v>
      </c>
      <c r="AT48" s="273" t="n">
        <f aca="false">AT47/(SUP_OPEX!$C$43*12)</f>
        <v>13270.8075645833</v>
      </c>
      <c r="AU48" s="273" t="n">
        <f aca="false">AU47/(SUP_OPEX!$C$43*12)</f>
        <v>13270.8075645833</v>
      </c>
      <c r="AV48" s="273" t="n">
        <f aca="false">AV47/(SUP_OPEX!$C$43*12)</f>
        <v>14042.1153729167</v>
      </c>
      <c r="AW48" s="273" t="n">
        <f aca="false">AW47/(SUP_OPEX!$C$43*12)</f>
        <v>14813.42318125</v>
      </c>
      <c r="AX48" s="273" t="n">
        <f aca="false">AX47/(SUP_OPEX!$C$43*12)</f>
        <v>14813.42318125</v>
      </c>
      <c r="AY48" s="273" t="n">
        <f aca="false">AY47/(SUP_OPEX!$C$43*12)</f>
        <v>14813.42318125</v>
      </c>
      <c r="AZ48" s="273" t="n">
        <f aca="false">AZ47/(SUP_OPEX!$C$43*12)</f>
        <v>14813.42318125</v>
      </c>
      <c r="BA48" s="273" t="n">
        <f aca="false">BA47/(SUP_OPEX!$C$43*12)</f>
        <v>14813.42318125</v>
      </c>
      <c r="BB48" s="273" t="n">
        <f aca="false">BB47/(SUP_OPEX!$C$43*12)</f>
        <v>20019.3723145833</v>
      </c>
      <c r="BC48" s="273" t="n">
        <f aca="false">BC47/(SUP_OPEX!$C$43*12)</f>
        <v>20019.3723145833</v>
      </c>
      <c r="BD48" s="273" t="n">
        <f aca="false">BD47/(SUP_OPEX!$C$43*12)</f>
        <v>20019.3723145833</v>
      </c>
      <c r="BE48" s="273" t="n">
        <f aca="false">BE47/(SUP_OPEX!$C$43*12)</f>
        <v>20019.3723145833</v>
      </c>
      <c r="BF48" s="273" t="n">
        <f aca="false">BF47/(SUP_OPEX!$C$43*12)</f>
        <v>24066.2758208333</v>
      </c>
      <c r="BG48" s="273" t="n">
        <f aca="false">BG47/(SUP_OPEX!$C$43*12)</f>
        <v>24837.5836291667</v>
      </c>
      <c r="BH48" s="273" t="n">
        <f aca="false">BH47/(SUP_OPEX!$C$43*12)</f>
        <v>25995.17548125</v>
      </c>
      <c r="BI48" s="273" t="n">
        <f aca="false">BI47/(SUP_OPEX!$C$43*12)</f>
        <v>26766.4832895833</v>
      </c>
      <c r="BJ48" s="273" t="n">
        <f aca="false">BJ47/(SUP_OPEX!$C$43*12)</f>
        <v>27537.7910979167</v>
      </c>
      <c r="BK48" s="273" t="n">
        <f aca="false">BK47/(SUP_OPEX!$C$43*12)</f>
        <v>28309.09890625</v>
      </c>
      <c r="BL48" s="273" t="n">
        <f aca="false">BL47/(SUP_OPEX!$C$43*12)</f>
        <v>28309.09890625</v>
      </c>
      <c r="BM48" s="273" t="n">
        <f aca="false">BM47/(SUP_OPEX!$C$43*12)</f>
        <v>29466.6907583333</v>
      </c>
      <c r="BN48" s="273" t="n">
        <f aca="false">BN47/(SUP_OPEX!$C$43*12)</f>
        <v>30237.9985666667</v>
      </c>
      <c r="BO48" s="273" t="n">
        <f aca="false">BO47/(SUP_OPEX!$C$43*12)</f>
        <v>31009.306375</v>
      </c>
      <c r="BP48" s="273" t="n">
        <f aca="false">BP47/(SUP_OPEX!$C$43*12)</f>
        <v>31780.6141833333</v>
      </c>
      <c r="BQ48" s="273" t="n">
        <f aca="false">BQ47/(SUP_OPEX!$C$43*12)</f>
        <v>32938.2060354167</v>
      </c>
      <c r="BR48" s="273" t="n">
        <f aca="false">BR47/(SUP_OPEX!$C$43*12)</f>
        <v>33709.51384375</v>
      </c>
      <c r="BS48" s="273" t="n">
        <f aca="false">BS47/(SUP_OPEX!$C$43*12)</f>
        <v>34480.8216520833</v>
      </c>
      <c r="BT48" s="273" t="n">
        <f aca="false">BT47/(SUP_OPEX!$C$43*12)</f>
        <v>35252.1294604167</v>
      </c>
      <c r="BU48" s="273" t="n">
        <f aca="false">BU47/(SUP_OPEX!$C$43*12)</f>
        <v>36409.7213125</v>
      </c>
      <c r="BV48" s="273" t="n">
        <f aca="false">BV47/(SUP_OPEX!$C$43*12)</f>
        <v>36409.7213125</v>
      </c>
      <c r="BW48" s="273" t="n">
        <f aca="false">BW47/(SUP_OPEX!$C$43*12)</f>
        <v>40456.62481875</v>
      </c>
      <c r="BX48" s="273" t="n">
        <f aca="false">BX47/(SUP_OPEX!$C$43*12)</f>
        <v>41227.9326270833</v>
      </c>
      <c r="BY48" s="273" t="n">
        <f aca="false">BY47/(SUP_OPEX!$C$43*12)</f>
        <v>41999.2404354167</v>
      </c>
      <c r="BZ48" s="273" t="n">
        <f aca="false">BZ47/(SUP_OPEX!$C$43*12)</f>
        <v>42770.54824375</v>
      </c>
      <c r="CA48" s="273" t="n">
        <f aca="false">CA47/(SUP_OPEX!$C$43*12)</f>
        <v>43928.1400958333</v>
      </c>
      <c r="CB48" s="273" t="n">
        <f aca="false">CB47/(SUP_OPEX!$C$43*12)</f>
        <v>44699.4479041667</v>
      </c>
      <c r="CC48" s="273" t="n">
        <f aca="false">CC47/(SUP_OPEX!$C$43*12)</f>
        <v>45470.7557125</v>
      </c>
      <c r="CD48" s="273" t="n">
        <f aca="false">CD47/(SUP_OPEX!$C$43*12)</f>
        <v>46242.0635208333</v>
      </c>
      <c r="CE48" s="273" t="n">
        <f aca="false">CE47/(SUP_OPEX!$C$43*12)</f>
        <v>47399.6553729167</v>
      </c>
      <c r="CF48" s="273" t="n">
        <f aca="false">CF47/(SUP_OPEX!$C$43*12)</f>
        <v>48170.96318125</v>
      </c>
      <c r="CG48" s="273" t="n">
        <f aca="false">CG47/(SUP_OPEX!$C$43*12)</f>
        <v>48942.2709895833</v>
      </c>
      <c r="CH48" s="273" t="n">
        <f aca="false">CH47/(SUP_OPEX!$C$43*12)</f>
        <v>53723.2201229167</v>
      </c>
      <c r="CI48" s="273" t="n">
        <f aca="false">CI47/(SUP_OPEX!$C$43*12)</f>
        <v>53723.2201229167</v>
      </c>
      <c r="CJ48" s="273" t="n">
        <f aca="false">CJ47/(SUP_OPEX!$C$43*12)</f>
        <v>53723.2201229167</v>
      </c>
      <c r="CK48" s="273" t="n">
        <f aca="false">CK47/(SUP_OPEX!$C$43*12)</f>
        <v>53723.2201229167</v>
      </c>
      <c r="CL48" s="273" t="n">
        <f aca="false">CL47/(SUP_OPEX!$C$43*12)</f>
        <v>53723.2201229167</v>
      </c>
      <c r="CM48" s="273" t="n">
        <f aca="false">CM47/(SUP_OPEX!$C$43*12)</f>
        <v>53723.2201229167</v>
      </c>
      <c r="CN48" s="273" t="n">
        <f aca="false">CN47/(SUP_OPEX!$C$43*12)</f>
        <v>53723.2201229167</v>
      </c>
      <c r="CO48" s="273" t="n">
        <f aca="false">CO47/(SUP_OPEX!$C$43*12)</f>
        <v>53723.2201229167</v>
      </c>
      <c r="CP48" s="273" t="n">
        <f aca="false">CP47/(SUP_OPEX!$C$43*12)</f>
        <v>53723.2201229167</v>
      </c>
      <c r="CQ48" s="273" t="n">
        <f aca="false">CQ47/(SUP_OPEX!$C$43*12)</f>
        <v>53723.2201229167</v>
      </c>
      <c r="CR48" s="273" t="n">
        <f aca="false">CR47/(SUP_OPEX!$C$43*12)</f>
        <v>53723.2201229167</v>
      </c>
      <c r="CS48" s="273" t="n">
        <f aca="false">CS47/(SUP_OPEX!$C$43*12)</f>
        <v>53723.2201229167</v>
      </c>
      <c r="CT48" s="273" t="n">
        <f aca="false">CT47/(SUP_OPEX!$C$43*12)</f>
        <v>53723.2201229167</v>
      </c>
      <c r="CU48" s="273" t="n">
        <f aca="false">CU47/(SUP_OPEX!$C$43*12)</f>
        <v>53723.2201229167</v>
      </c>
      <c r="CV48" s="273" t="n">
        <f aca="false">CV47/(SUP_OPEX!$C$43*12)</f>
        <v>53723.2201229167</v>
      </c>
      <c r="CW48" s="273" t="n">
        <f aca="false">CW47/(SUP_OPEX!$C$43*12)</f>
        <v>53723.2201229167</v>
      </c>
      <c r="CX48" s="273" t="n">
        <f aca="false">CX47/(SUP_OPEX!$C$43*12)</f>
        <v>53723.2201229167</v>
      </c>
      <c r="CY48" s="273" t="n">
        <f aca="false">CY47/(SUP_OPEX!$C$43*12)</f>
        <v>53723.2201229167</v>
      </c>
      <c r="CZ48" s="273" t="n">
        <f aca="false">CZ47/(SUP_OPEX!$C$43*12)</f>
        <v>53723.2201229167</v>
      </c>
      <c r="DA48" s="273" t="n">
        <f aca="false">DA47/(SUP_OPEX!$C$43*12)</f>
        <v>53723.2201229167</v>
      </c>
      <c r="DB48" s="273" t="n">
        <f aca="false">DB47/(SUP_OPEX!$C$43*12)</f>
        <v>53723.2201229167</v>
      </c>
      <c r="DC48" s="273" t="n">
        <f aca="false">DC47/(SUP_OPEX!$C$43*12)</f>
        <v>53723.2201229167</v>
      </c>
      <c r="DD48" s="273" t="n">
        <f aca="false">DD47/(SUP_OPEX!$C$43*12)</f>
        <v>53723.2201229167</v>
      </c>
      <c r="DE48" s="273" t="n">
        <f aca="false">DE47/(SUP_OPEX!$C$43*12)</f>
        <v>53723.2201229167</v>
      </c>
      <c r="DF48" s="273" t="n">
        <f aca="false">DF47/(SUP_OPEX!$C$43*12)</f>
        <v>53723.2201229167</v>
      </c>
      <c r="DG48" s="273" t="n">
        <f aca="false">DG47/(SUP_OPEX!$C$43*12)</f>
        <v>53723.2201229167</v>
      </c>
      <c r="DH48" s="273" t="n">
        <f aca="false">DH47/(SUP_OPEX!$C$43*12)</f>
        <v>53723.2201229167</v>
      </c>
      <c r="DI48" s="273" t="n">
        <f aca="false">DI47/(SUP_OPEX!$C$43*12)</f>
        <v>53723.2201229167</v>
      </c>
      <c r="DJ48" s="273" t="n">
        <f aca="false">DJ47/(SUP_OPEX!$C$43*12)</f>
        <v>53723.2201229167</v>
      </c>
      <c r="DK48" s="273" t="n">
        <f aca="false">DK47/(SUP_OPEX!$C$43*12)</f>
        <v>53723.2201229167</v>
      </c>
      <c r="DL48" s="273" t="n">
        <f aca="false">DL47/(SUP_OPEX!$C$43*12)</f>
        <v>53723.2201229167</v>
      </c>
      <c r="DM48" s="273" t="n">
        <f aca="false">DM47/(SUP_OPEX!$C$43*12)</f>
        <v>53723.2201229167</v>
      </c>
      <c r="DN48" s="273" t="n">
        <f aca="false">DN47/(SUP_OPEX!$C$43*12)</f>
        <v>53723.2201229167</v>
      </c>
      <c r="DO48" s="273" t="n">
        <f aca="false">DO47/(SUP_OPEX!$C$43*12)</f>
        <v>53723.2201229167</v>
      </c>
      <c r="DP48" s="273" t="n">
        <f aca="false">DP47/(SUP_OPEX!$C$43*12)</f>
        <v>53723.2201229167</v>
      </c>
      <c r="DQ48" s="273" t="n">
        <f aca="false">DQ47/(SUP_OPEX!$C$43*12)</f>
        <v>53723.2201229167</v>
      </c>
      <c r="DR48" s="273" t="n">
        <f aca="false">DR47/(SUP_OPEX!$C$43*12)</f>
        <v>53723.2201229167</v>
      </c>
      <c r="DS48" s="273" t="n">
        <f aca="false">DS47/(SUP_OPEX!$C$43*12)</f>
        <v>53723.2201229167</v>
      </c>
    </row>
    <row r="49" customFormat="false" ht="15" hidden="false" customHeight="true" outlineLevel="0" collapsed="false">
      <c r="B49" s="297" t="s">
        <v>3428</v>
      </c>
      <c r="D49" s="273" t="n">
        <f aca="false">D46-D48</f>
        <v>0</v>
      </c>
      <c r="E49" s="273" t="n">
        <f aca="false">E46-E48</f>
        <v>0</v>
      </c>
      <c r="F49" s="273" t="n">
        <f aca="false">F46-F48</f>
        <v>0</v>
      </c>
      <c r="G49" s="273" t="n">
        <f aca="false">G46-G48</f>
        <v>0</v>
      </c>
      <c r="H49" s="273" t="n">
        <f aca="false">H46-H48</f>
        <v>0</v>
      </c>
      <c r="I49" s="273" t="n">
        <f aca="false">I46-I48</f>
        <v>0</v>
      </c>
      <c r="J49" s="273" t="n">
        <f aca="false">J46-J48</f>
        <v>0</v>
      </c>
      <c r="K49" s="273" t="n">
        <f aca="false">K46-K48</f>
        <v>0</v>
      </c>
      <c r="L49" s="273" t="n">
        <f aca="false">L46-L48</f>
        <v>0</v>
      </c>
      <c r="M49" s="273" t="n">
        <f aca="false">M46-M48</f>
        <v>0</v>
      </c>
      <c r="N49" s="273" t="n">
        <f aca="false">N46-N48</f>
        <v>0</v>
      </c>
      <c r="O49" s="273" t="n">
        <f aca="false">O46-O48</f>
        <v>0</v>
      </c>
      <c r="P49" s="273" t="n">
        <f aca="false">P46-P48</f>
        <v>0</v>
      </c>
      <c r="Q49" s="273" t="n">
        <f aca="false">Q46-Q48</f>
        <v>0</v>
      </c>
      <c r="R49" s="273" t="n">
        <f aca="false">R46-R48</f>
        <v>0</v>
      </c>
      <c r="S49" s="273" t="n">
        <f aca="false">S46-S48</f>
        <v>-771.307808333333</v>
      </c>
      <c r="T49" s="273" t="n">
        <f aca="false">T46-T48</f>
        <v>-1542.61561666667</v>
      </c>
      <c r="U49" s="273" t="n">
        <f aca="false">U46-U48</f>
        <v>-1542.61561666667</v>
      </c>
      <c r="V49" s="273" t="n">
        <f aca="false">V46-V48</f>
        <v>159.369512585958</v>
      </c>
      <c r="W49" s="273" t="n">
        <f aca="false">W46-W48</f>
        <v>4733.75058237646</v>
      </c>
      <c r="X49" s="273" t="n">
        <f aca="false">X46-X48</f>
        <v>8132.26407605038</v>
      </c>
      <c r="Y49" s="273" t="n">
        <f aca="false">Y46-Y48</f>
        <v>13495.6060327017</v>
      </c>
      <c r="Z49" s="273" t="n">
        <f aca="false">Z46-Z48</f>
        <v>16923.9814378411</v>
      </c>
      <c r="AA49" s="273" t="n">
        <f aca="false">AA46-AA48</f>
        <v>18296.9767428546</v>
      </c>
      <c r="AB49" s="273" t="n">
        <f aca="false">AB46-AB48</f>
        <v>21299.3173776879</v>
      </c>
      <c r="AC49" s="273" t="n">
        <f aca="false">AC46-AC48</f>
        <v>21299.3173776879</v>
      </c>
      <c r="AD49" s="273" t="n">
        <f aca="false">AD46-AD48</f>
        <v>14692.6275868006</v>
      </c>
      <c r="AE49" s="273" t="n">
        <f aca="false">AE46-AE48</f>
        <v>14692.6275868006</v>
      </c>
      <c r="AF49" s="273" t="n">
        <f aca="false">AF46-AF48</f>
        <v>13535.0357347173</v>
      </c>
      <c r="AG49" s="273" t="n">
        <f aca="false">AG46-AG48</f>
        <v>11501.3568380813</v>
      </c>
      <c r="AH49" s="273" t="n">
        <f aca="false">AH46-AH48</f>
        <v>11501.3568380813</v>
      </c>
      <c r="AI49" s="273" t="n">
        <f aca="false">AI46-AI48</f>
        <v>13751.8259387583</v>
      </c>
      <c r="AJ49" s="273" t="n">
        <f aca="false">AJ46-AJ48</f>
        <v>19154.8398201909</v>
      </c>
      <c r="AK49" s="273" t="n">
        <f aca="false">AK46-AK48</f>
        <v>22262.8454662791</v>
      </c>
      <c r="AL49" s="273" t="n">
        <f aca="false">AL46-AL48</f>
        <v>28266.0842283486</v>
      </c>
      <c r="AM49" s="273" t="n">
        <f aca="false">AM46-AM48</f>
        <v>31759.9629225384</v>
      </c>
      <c r="AN49" s="273" t="n">
        <f aca="false">AN46-AN48</f>
        <v>36676.3001881303</v>
      </c>
      <c r="AO49" s="273" t="n">
        <f aca="false">AO46-AO48</f>
        <v>39486.5400439489</v>
      </c>
      <c r="AP49" s="273" t="n">
        <f aca="false">AP46-AP48</f>
        <v>37488.8194080752</v>
      </c>
      <c r="AQ49" s="273" t="n">
        <f aca="false">AQ46-AQ48</f>
        <v>41416.9500719997</v>
      </c>
      <c r="AR49" s="273" t="n">
        <f aca="false">AR46-AR48</f>
        <v>47046.7215656768</v>
      </c>
      <c r="AS49" s="273" t="n">
        <f aca="false">AS46-AS48</f>
        <v>53918.4034335944</v>
      </c>
      <c r="AT49" s="273" t="n">
        <f aca="false">AT46-AT48</f>
        <v>61093.6330973888</v>
      </c>
      <c r="AU49" s="273" t="n">
        <f aca="false">AU46-AU48</f>
        <v>66058.174091156</v>
      </c>
      <c r="AV49" s="273" t="n">
        <f aca="false">AV46-AV48</f>
        <v>68126.0615907994</v>
      </c>
      <c r="AW49" s="273" t="n">
        <f aca="false">AW46-AW48</f>
        <v>72266.3012168341</v>
      </c>
      <c r="AX49" s="273" t="n">
        <f aca="false">AX46-AX48</f>
        <v>75043.0652204832</v>
      </c>
      <c r="AY49" s="273" t="n">
        <f aca="false">AY46-AY48</f>
        <v>79918.2044779144</v>
      </c>
      <c r="AZ49" s="273" t="n">
        <f aca="false">AZ46-AZ48</f>
        <v>90637.6454344135</v>
      </c>
      <c r="BA49" s="273" t="n">
        <f aca="false">BA46-BA48</f>
        <v>94277.0744300795</v>
      </c>
      <c r="BB49" s="273" t="n">
        <f aca="false">BB46-BB48</f>
        <v>82945.0239629835</v>
      </c>
      <c r="BC49" s="273" t="n">
        <f aca="false">BC46-BC48</f>
        <v>84382.5562715641</v>
      </c>
      <c r="BD49" s="273" t="n">
        <f aca="false">BD46-BD48</f>
        <v>84382.5562715641</v>
      </c>
      <c r="BE49" s="273" t="n">
        <f aca="false">BE46-BE48</f>
        <v>84382.5562715641</v>
      </c>
      <c r="BF49" s="273" t="n">
        <f aca="false">BF46-BF48</f>
        <v>74671.6398569116</v>
      </c>
      <c r="BG49" s="273" t="n">
        <f aca="false">BG46-BG48</f>
        <v>73900.3320485783</v>
      </c>
      <c r="BH49" s="273" t="n">
        <f aca="false">BH46-BH48</f>
        <v>72742.740196495</v>
      </c>
      <c r="BI49" s="273" t="n">
        <f aca="false">BI46-BI48</f>
        <v>70215.8220374102</v>
      </c>
      <c r="BJ49" s="273" t="n">
        <f aca="false">BJ46-BJ48</f>
        <v>76544.1229754514</v>
      </c>
      <c r="BK49" s="273" t="n">
        <f aca="false">BK46-BK48</f>
        <v>78454.5162361762</v>
      </c>
      <c r="BL49" s="273" t="n">
        <f aca="false">BL46-BL48</f>
        <v>92767.7476056207</v>
      </c>
      <c r="BM49" s="273" t="n">
        <f aca="false">BM46-BM48</f>
        <v>99856.2914401192</v>
      </c>
      <c r="BN49" s="273" t="n">
        <f aca="false">BN46-BN48</f>
        <v>107355.706120353</v>
      </c>
      <c r="BO49" s="273" t="n">
        <f aca="false">BO46-BO48</f>
        <v>111522.12564566</v>
      </c>
      <c r="BP49" s="273" t="n">
        <f aca="false">BP46-BP48</f>
        <v>116983.070457137</v>
      </c>
      <c r="BQ49" s="273" t="n">
        <f aca="false">BQ46-BQ48</f>
        <v>115434.208327854</v>
      </c>
      <c r="BR49" s="273" t="n">
        <f aca="false">BR46-BR48</f>
        <v>121282.618741451</v>
      </c>
      <c r="BS49" s="273" t="n">
        <f aca="false">BS46-BS48</f>
        <v>128530.423664042</v>
      </c>
      <c r="BT49" s="273" t="n">
        <f aca="false">BT46-BT48</f>
        <v>135802.754010615</v>
      </c>
      <c r="BU49" s="273" t="n">
        <f aca="false">BU46-BU48</f>
        <v>142904.83339563</v>
      </c>
      <c r="BV49" s="273" t="n">
        <f aca="false">BV46-BV48</f>
        <v>150969.575031976</v>
      </c>
      <c r="BW49" s="273" t="n">
        <f aca="false">BW46-BW48</f>
        <v>147852.189541942</v>
      </c>
      <c r="BX49" s="273" t="n">
        <f aca="false">BX46-BX48</f>
        <v>162255.139911895</v>
      </c>
      <c r="BY49" s="273" t="n">
        <f aca="false">BY46-BY48</f>
        <v>166980.977335636</v>
      </c>
      <c r="BZ49" s="273" t="n">
        <f aca="false">BZ46-BZ48</f>
        <v>167552.448555738</v>
      </c>
      <c r="CA49" s="273" t="n">
        <f aca="false">CA46-CA48</f>
        <v>175202.112134726</v>
      </c>
      <c r="CB49" s="273" t="n">
        <f aca="false">CB46-CB48</f>
        <v>173581.778982983</v>
      </c>
      <c r="CC49" s="273" t="n">
        <f aca="false">CC46-CC48</f>
        <v>181643.295911192</v>
      </c>
      <c r="CD49" s="273" t="n">
        <f aca="false">CD46-CD48</f>
        <v>188736.738321074</v>
      </c>
      <c r="CE49" s="273" t="n">
        <f aca="false">CE46-CE48</f>
        <v>195674.387888113</v>
      </c>
      <c r="CF49" s="273" t="n">
        <f aca="false">CF46-CF48</f>
        <v>202799.143838161</v>
      </c>
      <c r="CG49" s="273" t="n">
        <f aca="false">CG46-CG48</f>
        <v>212168.71448866</v>
      </c>
      <c r="CH49" s="273" t="n">
        <f aca="false">CH46-CH48</f>
        <v>209788.567703309</v>
      </c>
      <c r="CI49" s="273" t="n">
        <f aca="false">CI46-CI48</f>
        <v>219071.27333941</v>
      </c>
      <c r="CJ49" s="273" t="n">
        <f aca="false">CJ46-CJ48</f>
        <v>219337.905856748</v>
      </c>
      <c r="CK49" s="273" t="n">
        <f aca="false">CK46-CK48</f>
        <v>222458.509125236</v>
      </c>
      <c r="CL49" s="273" t="n">
        <f aca="false">CL46-CL48</f>
        <v>223815.382021955</v>
      </c>
      <c r="CM49" s="273" t="n">
        <f aca="false">CM46-CM48</f>
        <v>223815.382021955</v>
      </c>
      <c r="CN49" s="273" t="n">
        <f aca="false">CN46-CN48</f>
        <v>223815.382021955</v>
      </c>
      <c r="CO49" s="273" t="n">
        <f aca="false">CO46-CO48</f>
        <v>223815.382021955</v>
      </c>
      <c r="CP49" s="273" t="n">
        <f aca="false">CP46-CP48</f>
        <v>223815.382021955</v>
      </c>
      <c r="CQ49" s="273" t="n">
        <f aca="false">CQ46-CQ48</f>
        <v>223815.382021955</v>
      </c>
      <c r="CR49" s="273" t="n">
        <f aca="false">CR46-CR48</f>
        <v>223815.382021955</v>
      </c>
      <c r="CS49" s="273" t="n">
        <f aca="false">CS46-CS48</f>
        <v>223815.382021955</v>
      </c>
      <c r="CT49" s="273" t="n">
        <f aca="false">CT46-CT48</f>
        <v>223815.382021955</v>
      </c>
      <c r="CU49" s="273" t="n">
        <f aca="false">CU46-CU48</f>
        <v>223815.382021955</v>
      </c>
      <c r="CV49" s="273" t="n">
        <f aca="false">CV46-CV48</f>
        <v>223815.382021955</v>
      </c>
      <c r="CW49" s="273" t="n">
        <f aca="false">CW46-CW48</f>
        <v>223815.382021955</v>
      </c>
      <c r="CX49" s="273" t="n">
        <f aca="false">CX46-CX48</f>
        <v>223815.382021955</v>
      </c>
      <c r="CY49" s="273" t="n">
        <f aca="false">CY46-CY48</f>
        <v>223815.382021955</v>
      </c>
      <c r="CZ49" s="273" t="n">
        <f aca="false">CZ46-CZ48</f>
        <v>223815.382021955</v>
      </c>
      <c r="DA49" s="273" t="n">
        <f aca="false">DA46-DA48</f>
        <v>223815.382021955</v>
      </c>
      <c r="DB49" s="273" t="n">
        <f aca="false">DB46-DB48</f>
        <v>223815.382021955</v>
      </c>
      <c r="DC49" s="273" t="n">
        <f aca="false">DC46-DC48</f>
        <v>223815.382021955</v>
      </c>
      <c r="DD49" s="273" t="n">
        <f aca="false">DD46-DD48</f>
        <v>223815.382021955</v>
      </c>
      <c r="DE49" s="273" t="n">
        <f aca="false">DE46-DE48</f>
        <v>223815.382021955</v>
      </c>
      <c r="DF49" s="273" t="n">
        <f aca="false">DF46-DF48</f>
        <v>223815.382021955</v>
      </c>
      <c r="DG49" s="273" t="n">
        <f aca="false">DG46-DG48</f>
        <v>223815.382021955</v>
      </c>
      <c r="DH49" s="273" t="n">
        <f aca="false">DH46-DH48</f>
        <v>223815.382021955</v>
      </c>
      <c r="DI49" s="273" t="n">
        <f aca="false">DI46-DI48</f>
        <v>223815.382021955</v>
      </c>
      <c r="DJ49" s="273" t="n">
        <f aca="false">DJ46-DJ48</f>
        <v>223815.382021955</v>
      </c>
      <c r="DK49" s="273" t="n">
        <f aca="false">DK46-DK48</f>
        <v>223815.382021955</v>
      </c>
      <c r="DL49" s="273" t="n">
        <f aca="false">DL46-DL48</f>
        <v>223815.382021955</v>
      </c>
      <c r="DM49" s="273" t="n">
        <f aca="false">DM46-DM48</f>
        <v>223815.382021955</v>
      </c>
      <c r="DN49" s="273" t="n">
        <f aca="false">DN46-DN48</f>
        <v>223815.382021955</v>
      </c>
      <c r="DO49" s="273" t="n">
        <f aca="false">DO46-DO48</f>
        <v>223815.382021955</v>
      </c>
      <c r="DP49" s="273" t="n">
        <f aca="false">DP46-DP48</f>
        <v>223815.382021955</v>
      </c>
      <c r="DQ49" s="273" t="n">
        <f aca="false">DQ46-DQ48</f>
        <v>223815.382021955</v>
      </c>
      <c r="DR49" s="273" t="n">
        <f aca="false">DR46-DR48</f>
        <v>223815.382021955</v>
      </c>
      <c r="DS49" s="273" t="n">
        <f aca="false">DS46-DS48</f>
        <v>223815.382021955</v>
      </c>
    </row>
    <row r="50" customFormat="false" ht="15" hidden="false" customHeight="true" outlineLevel="0" collapsed="false">
      <c r="B50" s="297" t="s">
        <v>3464</v>
      </c>
      <c r="D50" s="273" t="n">
        <f aca="false">MAX(0,D49)*SUP_CONTROL!$C$33</f>
        <v>0</v>
      </c>
      <c r="E50" s="273" t="n">
        <f aca="false">MAX(0,E49)*SUP_CONTROL!$C$33</f>
        <v>0</v>
      </c>
      <c r="F50" s="273" t="n">
        <f aca="false">MAX(0,F49)*SUP_CONTROL!$C$33</f>
        <v>0</v>
      </c>
      <c r="G50" s="273" t="n">
        <f aca="false">MAX(0,G49)*SUP_CONTROL!$C$33</f>
        <v>0</v>
      </c>
      <c r="H50" s="273" t="n">
        <f aca="false">MAX(0,H49)*SUP_CONTROL!$C$33</f>
        <v>0</v>
      </c>
      <c r="I50" s="273" t="n">
        <f aca="false">MAX(0,I49)*SUP_CONTROL!$C$33</f>
        <v>0</v>
      </c>
      <c r="J50" s="273" t="n">
        <f aca="false">MAX(0,J49)*SUP_CONTROL!$C$33</f>
        <v>0</v>
      </c>
      <c r="K50" s="273" t="n">
        <f aca="false">MAX(0,K49)*SUP_CONTROL!$C$33</f>
        <v>0</v>
      </c>
      <c r="L50" s="273" t="n">
        <f aca="false">MAX(0,L49)*SUP_CONTROL!$C$33</f>
        <v>0</v>
      </c>
      <c r="M50" s="273" t="n">
        <f aca="false">MAX(0,M49)*SUP_CONTROL!$C$33</f>
        <v>0</v>
      </c>
      <c r="N50" s="273" t="n">
        <f aca="false">MAX(0,N49)*SUP_CONTROL!$C$33</f>
        <v>0</v>
      </c>
      <c r="O50" s="273" t="n">
        <f aca="false">MAX(0,O49)*SUP_CONTROL!$C$33</f>
        <v>0</v>
      </c>
      <c r="P50" s="273" t="n">
        <f aca="false">MAX(0,P49)*SUP_CONTROL!$C$33</f>
        <v>0</v>
      </c>
      <c r="Q50" s="273" t="n">
        <f aca="false">MAX(0,Q49)*SUP_CONTROL!$C$33</f>
        <v>0</v>
      </c>
      <c r="R50" s="273" t="n">
        <f aca="false">MAX(0,R49)*SUP_CONTROL!$C$33</f>
        <v>0</v>
      </c>
      <c r="S50" s="273" t="n">
        <f aca="false">MAX(0,S49)*SUP_CONTROL!$C$33</f>
        <v>0</v>
      </c>
      <c r="T50" s="273" t="n">
        <f aca="false">MAX(0,T49)*SUP_CONTROL!$C$33</f>
        <v>0</v>
      </c>
      <c r="U50" s="273" t="n">
        <f aca="false">MAX(0,U49)*SUP_CONTROL!$C$33</f>
        <v>0</v>
      </c>
      <c r="V50" s="273" t="n">
        <f aca="false">MAX(0,V49)*SUP_CONTROL!$C$33</f>
        <v>54.1856342792256</v>
      </c>
      <c r="W50" s="273" t="n">
        <f aca="false">MAX(0,W49)*SUP_CONTROL!$C$33</f>
        <v>1609.47519800799</v>
      </c>
      <c r="X50" s="273" t="n">
        <f aca="false">MAX(0,X49)*SUP_CONTROL!$C$33</f>
        <v>2764.96978585713</v>
      </c>
      <c r="Y50" s="273" t="n">
        <f aca="false">MAX(0,Y49)*SUP_CONTROL!$C$33</f>
        <v>4588.50605111856</v>
      </c>
      <c r="Z50" s="273" t="n">
        <f aca="false">MAX(0,Z49)*SUP_CONTROL!$C$33</f>
        <v>5754.15368886599</v>
      </c>
      <c r="AA50" s="273" t="n">
        <f aca="false">MAX(0,AA49)*SUP_CONTROL!$C$33</f>
        <v>6220.97209257057</v>
      </c>
      <c r="AB50" s="273" t="n">
        <f aca="false">MAX(0,AB49)*SUP_CONTROL!$C$33</f>
        <v>7241.76790841388</v>
      </c>
      <c r="AC50" s="273" t="n">
        <f aca="false">MAX(0,AC49)*SUP_CONTROL!$C$33</f>
        <v>7241.76790841388</v>
      </c>
      <c r="AD50" s="273" t="n">
        <f aca="false">MAX(0,AD49)*SUP_CONTROL!$C$33</f>
        <v>4995.49337951221</v>
      </c>
      <c r="AE50" s="273" t="n">
        <f aca="false">MAX(0,AE49)*SUP_CONTROL!$C$33</f>
        <v>4995.49337951221</v>
      </c>
      <c r="AF50" s="273" t="n">
        <f aca="false">MAX(0,AF49)*SUP_CONTROL!$C$33</f>
        <v>4601.91214980387</v>
      </c>
      <c r="AG50" s="273" t="n">
        <f aca="false">MAX(0,AG49)*SUP_CONTROL!$C$33</f>
        <v>3910.46132494765</v>
      </c>
      <c r="AH50" s="273" t="n">
        <f aca="false">MAX(0,AH49)*SUP_CONTROL!$C$33</f>
        <v>3910.46132494765</v>
      </c>
      <c r="AI50" s="273" t="n">
        <f aca="false">MAX(0,AI49)*SUP_CONTROL!$C$33</f>
        <v>4675.62081917783</v>
      </c>
      <c r="AJ50" s="273" t="n">
        <f aca="false">MAX(0,AJ49)*SUP_CONTROL!$C$33</f>
        <v>6512.6455388649</v>
      </c>
      <c r="AK50" s="273" t="n">
        <f aca="false">MAX(0,AK49)*SUP_CONTROL!$C$33</f>
        <v>7569.36745853489</v>
      </c>
      <c r="AL50" s="273" t="n">
        <f aca="false">MAX(0,AL49)*SUP_CONTROL!$C$33</f>
        <v>9610.46863763851</v>
      </c>
      <c r="AM50" s="273" t="n">
        <f aca="false">MAX(0,AM49)*SUP_CONTROL!$C$33</f>
        <v>10798.3873936631</v>
      </c>
      <c r="AN50" s="273" t="n">
        <f aca="false">MAX(0,AN49)*SUP_CONTROL!$C$33</f>
        <v>12469.9420639643</v>
      </c>
      <c r="AO50" s="273" t="n">
        <f aca="false">MAX(0,AO49)*SUP_CONTROL!$C$33</f>
        <v>13425.4236149426</v>
      </c>
      <c r="AP50" s="273" t="n">
        <f aca="false">MAX(0,AP49)*SUP_CONTROL!$C$33</f>
        <v>12746.1985987456</v>
      </c>
      <c r="AQ50" s="273" t="n">
        <f aca="false">MAX(0,AQ49)*SUP_CONTROL!$C$33</f>
        <v>14081.7630244799</v>
      </c>
      <c r="AR50" s="273" t="n">
        <f aca="false">MAX(0,AR49)*SUP_CONTROL!$C$33</f>
        <v>15995.8853323301</v>
      </c>
      <c r="AS50" s="273" t="n">
        <f aca="false">MAX(0,AS49)*SUP_CONTROL!$C$33</f>
        <v>18332.2571674221</v>
      </c>
      <c r="AT50" s="273" t="n">
        <f aca="false">MAX(0,AT49)*SUP_CONTROL!$C$33</f>
        <v>20771.8352531122</v>
      </c>
      <c r="AU50" s="273" t="n">
        <f aca="false">MAX(0,AU49)*SUP_CONTROL!$C$33</f>
        <v>22459.7791909931</v>
      </c>
      <c r="AV50" s="273" t="n">
        <f aca="false">MAX(0,AV49)*SUP_CONTROL!$C$33</f>
        <v>23162.8609408718</v>
      </c>
      <c r="AW50" s="273" t="n">
        <f aca="false">MAX(0,AW49)*SUP_CONTROL!$C$33</f>
        <v>24570.5424137236</v>
      </c>
      <c r="AX50" s="273" t="n">
        <f aca="false">MAX(0,AX49)*SUP_CONTROL!$C$33</f>
        <v>25514.6421749643</v>
      </c>
      <c r="AY50" s="273" t="n">
        <f aca="false">MAX(0,AY49)*SUP_CONTROL!$C$33</f>
        <v>27172.1895224909</v>
      </c>
      <c r="AZ50" s="273" t="n">
        <f aca="false">MAX(0,AZ49)*SUP_CONTROL!$C$33</f>
        <v>30816.7994477006</v>
      </c>
      <c r="BA50" s="273" t="n">
        <f aca="false">MAX(0,BA49)*SUP_CONTROL!$C$33</f>
        <v>32054.205306227</v>
      </c>
      <c r="BB50" s="273" t="n">
        <f aca="false">MAX(0,BB49)*SUP_CONTROL!$C$33</f>
        <v>28201.3081474144</v>
      </c>
      <c r="BC50" s="273" t="n">
        <f aca="false">MAX(0,BC49)*SUP_CONTROL!$C$33</f>
        <v>28690.0691323318</v>
      </c>
      <c r="BD50" s="273" t="n">
        <f aca="false">MAX(0,BD49)*SUP_CONTROL!$C$33</f>
        <v>28690.0691323318</v>
      </c>
      <c r="BE50" s="273" t="n">
        <f aca="false">MAX(0,BE49)*SUP_CONTROL!$C$33</f>
        <v>28690.0691323318</v>
      </c>
      <c r="BF50" s="273" t="n">
        <f aca="false">MAX(0,BF49)*SUP_CONTROL!$C$33</f>
        <v>25388.35755135</v>
      </c>
      <c r="BG50" s="273" t="n">
        <f aca="false">MAX(0,BG49)*SUP_CONTROL!$C$33</f>
        <v>25126.1128965166</v>
      </c>
      <c r="BH50" s="273" t="n">
        <f aca="false">MAX(0,BH49)*SUP_CONTROL!$C$33</f>
        <v>24732.5316668083</v>
      </c>
      <c r="BI50" s="273" t="n">
        <f aca="false">MAX(0,BI49)*SUP_CONTROL!$C$33</f>
        <v>23873.3794927195</v>
      </c>
      <c r="BJ50" s="273" t="n">
        <f aca="false">MAX(0,BJ49)*SUP_CONTROL!$C$33</f>
        <v>26025.0018116535</v>
      </c>
      <c r="BK50" s="273" t="n">
        <f aca="false">MAX(0,BK49)*SUP_CONTROL!$C$33</f>
        <v>26674.5355202999</v>
      </c>
      <c r="BL50" s="273" t="n">
        <f aca="false">MAX(0,BL49)*SUP_CONTROL!$C$33</f>
        <v>31541.034185911</v>
      </c>
      <c r="BM50" s="273" t="n">
        <f aca="false">MAX(0,BM49)*SUP_CONTROL!$C$33</f>
        <v>33951.1390896405</v>
      </c>
      <c r="BN50" s="273" t="n">
        <f aca="false">MAX(0,BN49)*SUP_CONTROL!$C$33</f>
        <v>36500.94008092</v>
      </c>
      <c r="BO50" s="273" t="n">
        <f aca="false">MAX(0,BO49)*SUP_CONTROL!$C$33</f>
        <v>37917.5227195245</v>
      </c>
      <c r="BP50" s="273" t="n">
        <f aca="false">MAX(0,BP49)*SUP_CONTROL!$C$33</f>
        <v>39774.2439554267</v>
      </c>
      <c r="BQ50" s="273" t="n">
        <f aca="false">MAX(0,BQ49)*SUP_CONTROL!$C$33</f>
        <v>39247.6308314703</v>
      </c>
      <c r="BR50" s="273" t="n">
        <f aca="false">MAX(0,BR49)*SUP_CONTROL!$C$33</f>
        <v>41236.0903720935</v>
      </c>
      <c r="BS50" s="273" t="n">
        <f aca="false">MAX(0,BS49)*SUP_CONTROL!$C$33</f>
        <v>43700.3440457742</v>
      </c>
      <c r="BT50" s="273" t="n">
        <f aca="false">MAX(0,BT49)*SUP_CONTROL!$C$33</f>
        <v>46172.9363636091</v>
      </c>
      <c r="BU50" s="273" t="n">
        <f aca="false">MAX(0,BU49)*SUP_CONTROL!$C$33</f>
        <v>48587.6433545143</v>
      </c>
      <c r="BV50" s="273" t="n">
        <f aca="false">MAX(0,BV49)*SUP_CONTROL!$C$33</f>
        <v>51329.6555108718</v>
      </c>
      <c r="BW50" s="273" t="n">
        <f aca="false">MAX(0,BW49)*SUP_CONTROL!$C$33</f>
        <v>50269.7444442604</v>
      </c>
      <c r="BX50" s="273" t="n">
        <f aca="false">MAX(0,BX49)*SUP_CONTROL!$C$33</f>
        <v>55166.7475700445</v>
      </c>
      <c r="BY50" s="273" t="n">
        <f aca="false">MAX(0,BY49)*SUP_CONTROL!$C$33</f>
        <v>56773.5322941162</v>
      </c>
      <c r="BZ50" s="273" t="n">
        <f aca="false">MAX(0,BZ49)*SUP_CONTROL!$C$33</f>
        <v>56967.832508951</v>
      </c>
      <c r="CA50" s="273" t="n">
        <f aca="false">MAX(0,CA49)*SUP_CONTROL!$C$33</f>
        <v>59568.718125807</v>
      </c>
      <c r="CB50" s="273" t="n">
        <f aca="false">MAX(0,CB49)*SUP_CONTROL!$C$33</f>
        <v>59017.8048542142</v>
      </c>
      <c r="CC50" s="273" t="n">
        <f aca="false">MAX(0,CC49)*SUP_CONTROL!$C$33</f>
        <v>61758.7206098051</v>
      </c>
      <c r="CD50" s="273" t="n">
        <f aca="false">MAX(0,CD49)*SUP_CONTROL!$C$33</f>
        <v>64170.4910291651</v>
      </c>
      <c r="CE50" s="273" t="n">
        <f aca="false">MAX(0,CE49)*SUP_CONTROL!$C$33</f>
        <v>66529.2918819584</v>
      </c>
      <c r="CF50" s="273" t="n">
        <f aca="false">MAX(0,CF49)*SUP_CONTROL!$C$33</f>
        <v>68951.7089049748</v>
      </c>
      <c r="CG50" s="273" t="n">
        <f aca="false">MAX(0,CG49)*SUP_CONTROL!$C$33</f>
        <v>72137.3629261444</v>
      </c>
      <c r="CH50" s="273" t="n">
        <f aca="false">MAX(0,CH49)*SUP_CONTROL!$C$33</f>
        <v>71328.1130191252</v>
      </c>
      <c r="CI50" s="273" t="n">
        <f aca="false">MAX(0,CI49)*SUP_CONTROL!$C$33</f>
        <v>74484.2329353994</v>
      </c>
      <c r="CJ50" s="273" t="n">
        <f aca="false">MAX(0,CJ49)*SUP_CONTROL!$C$33</f>
        <v>74574.8879912945</v>
      </c>
      <c r="CK50" s="273" t="n">
        <f aca="false">MAX(0,CK49)*SUP_CONTROL!$C$33</f>
        <v>75635.8931025801</v>
      </c>
      <c r="CL50" s="273" t="n">
        <f aca="false">MAX(0,CL49)*SUP_CONTROL!$C$33</f>
        <v>76097.2298874646</v>
      </c>
      <c r="CM50" s="273" t="n">
        <f aca="false">MAX(0,CM49)*SUP_CONTROL!$C$33</f>
        <v>76097.2298874646</v>
      </c>
      <c r="CN50" s="273" t="n">
        <f aca="false">MAX(0,CN49)*SUP_CONTROL!$C$33</f>
        <v>76097.2298874646</v>
      </c>
      <c r="CO50" s="273" t="n">
        <f aca="false">MAX(0,CO49)*SUP_CONTROL!$C$33</f>
        <v>76097.2298874646</v>
      </c>
      <c r="CP50" s="273" t="n">
        <f aca="false">MAX(0,CP49)*SUP_CONTROL!$C$33</f>
        <v>76097.2298874646</v>
      </c>
      <c r="CQ50" s="273" t="n">
        <f aca="false">MAX(0,CQ49)*SUP_CONTROL!$C$33</f>
        <v>76097.2298874646</v>
      </c>
      <c r="CR50" s="273" t="n">
        <f aca="false">MAX(0,CR49)*SUP_CONTROL!$C$33</f>
        <v>76097.2298874646</v>
      </c>
      <c r="CS50" s="273" t="n">
        <f aca="false">MAX(0,CS49)*SUP_CONTROL!$C$33</f>
        <v>76097.2298874646</v>
      </c>
      <c r="CT50" s="273" t="n">
        <f aca="false">MAX(0,CT49)*SUP_CONTROL!$C$33</f>
        <v>76097.2298874646</v>
      </c>
      <c r="CU50" s="273" t="n">
        <f aca="false">MAX(0,CU49)*SUP_CONTROL!$C$33</f>
        <v>76097.2298874646</v>
      </c>
      <c r="CV50" s="273" t="n">
        <f aca="false">MAX(0,CV49)*SUP_CONTROL!$C$33</f>
        <v>76097.2298874646</v>
      </c>
      <c r="CW50" s="273" t="n">
        <f aca="false">MAX(0,CW49)*SUP_CONTROL!$C$33</f>
        <v>76097.2298874646</v>
      </c>
      <c r="CX50" s="273" t="n">
        <f aca="false">MAX(0,CX49)*SUP_CONTROL!$C$33</f>
        <v>76097.2298874646</v>
      </c>
      <c r="CY50" s="273" t="n">
        <f aca="false">MAX(0,CY49)*SUP_CONTROL!$C$33</f>
        <v>76097.2298874646</v>
      </c>
      <c r="CZ50" s="273" t="n">
        <f aca="false">MAX(0,CZ49)*SUP_CONTROL!$C$33</f>
        <v>76097.2298874646</v>
      </c>
      <c r="DA50" s="273" t="n">
        <f aca="false">MAX(0,DA49)*SUP_CONTROL!$C$33</f>
        <v>76097.2298874646</v>
      </c>
      <c r="DB50" s="273" t="n">
        <f aca="false">MAX(0,DB49)*SUP_CONTROL!$C$33</f>
        <v>76097.2298874646</v>
      </c>
      <c r="DC50" s="273" t="n">
        <f aca="false">MAX(0,DC49)*SUP_CONTROL!$C$33</f>
        <v>76097.2298874646</v>
      </c>
      <c r="DD50" s="273" t="n">
        <f aca="false">MAX(0,DD49)*SUP_CONTROL!$C$33</f>
        <v>76097.2298874646</v>
      </c>
      <c r="DE50" s="273" t="n">
        <f aca="false">MAX(0,DE49)*SUP_CONTROL!$C$33</f>
        <v>76097.2298874646</v>
      </c>
      <c r="DF50" s="273" t="n">
        <f aca="false">MAX(0,DF49)*SUP_CONTROL!$C$33</f>
        <v>76097.2298874646</v>
      </c>
      <c r="DG50" s="273" t="n">
        <f aca="false">MAX(0,DG49)*SUP_CONTROL!$C$33</f>
        <v>76097.2298874646</v>
      </c>
      <c r="DH50" s="273" t="n">
        <f aca="false">MAX(0,DH49)*SUP_CONTROL!$C$33</f>
        <v>76097.2298874646</v>
      </c>
      <c r="DI50" s="273" t="n">
        <f aca="false">MAX(0,DI49)*SUP_CONTROL!$C$33</f>
        <v>76097.2298874646</v>
      </c>
      <c r="DJ50" s="273" t="n">
        <f aca="false">MAX(0,DJ49)*SUP_CONTROL!$C$33</f>
        <v>76097.2298874646</v>
      </c>
      <c r="DK50" s="273" t="n">
        <f aca="false">MAX(0,DK49)*SUP_CONTROL!$C$33</f>
        <v>76097.2298874646</v>
      </c>
      <c r="DL50" s="273" t="n">
        <f aca="false">MAX(0,DL49)*SUP_CONTROL!$C$33</f>
        <v>76097.2298874646</v>
      </c>
      <c r="DM50" s="273" t="n">
        <f aca="false">MAX(0,DM49)*SUP_CONTROL!$C$33</f>
        <v>76097.2298874646</v>
      </c>
      <c r="DN50" s="273" t="n">
        <f aca="false">MAX(0,DN49)*SUP_CONTROL!$C$33</f>
        <v>76097.2298874646</v>
      </c>
      <c r="DO50" s="273" t="n">
        <f aca="false">MAX(0,DO49)*SUP_CONTROL!$C$33</f>
        <v>76097.2298874646</v>
      </c>
      <c r="DP50" s="273" t="n">
        <f aca="false">MAX(0,DP49)*SUP_CONTROL!$C$33</f>
        <v>76097.2298874646</v>
      </c>
      <c r="DQ50" s="273" t="n">
        <f aca="false">MAX(0,DQ49)*SUP_CONTROL!$C$33</f>
        <v>76097.2298874646</v>
      </c>
      <c r="DR50" s="273" t="n">
        <f aca="false">MAX(0,DR49)*SUP_CONTROL!$C$33</f>
        <v>76097.2298874646</v>
      </c>
      <c r="DS50" s="273" t="n">
        <f aca="false">MAX(0,DS49)*SUP_CONTROL!$C$33</f>
        <v>76097.2298874646</v>
      </c>
    </row>
    <row r="51" customFormat="false" ht="15" hidden="false" customHeight="true" outlineLevel="0" collapsed="false">
      <c r="B51" s="178" t="s">
        <v>3547</v>
      </c>
      <c r="D51" s="268" t="n">
        <f aca="false">D46-D50</f>
        <v>0</v>
      </c>
      <c r="E51" s="268" t="n">
        <f aca="false">E46-E50</f>
        <v>0</v>
      </c>
      <c r="F51" s="268" t="n">
        <f aca="false">F46-F50</f>
        <v>0</v>
      </c>
      <c r="G51" s="268" t="n">
        <f aca="false">G46-G50</f>
        <v>0</v>
      </c>
      <c r="H51" s="268" t="n">
        <f aca="false">H46-H50</f>
        <v>0</v>
      </c>
      <c r="I51" s="268" t="n">
        <f aca="false">I46-I50</f>
        <v>0</v>
      </c>
      <c r="J51" s="268" t="n">
        <f aca="false">J46-J50</f>
        <v>0</v>
      </c>
      <c r="K51" s="268" t="n">
        <f aca="false">K46-K50</f>
        <v>0</v>
      </c>
      <c r="L51" s="268" t="n">
        <f aca="false">L46-L50</f>
        <v>0</v>
      </c>
      <c r="M51" s="268" t="n">
        <f aca="false">M46-M50</f>
        <v>0</v>
      </c>
      <c r="N51" s="268" t="n">
        <f aca="false">N46-N50</f>
        <v>0</v>
      </c>
      <c r="O51" s="268" t="n">
        <f aca="false">O46-O50</f>
        <v>0</v>
      </c>
      <c r="P51" s="268" t="n">
        <f aca="false">P46-P50</f>
        <v>0</v>
      </c>
      <c r="Q51" s="268" t="n">
        <f aca="false">Q46-Q50</f>
        <v>0</v>
      </c>
      <c r="R51" s="268" t="n">
        <f aca="false">R46-R50</f>
        <v>0</v>
      </c>
      <c r="S51" s="268" t="n">
        <f aca="false">S46-S50</f>
        <v>0</v>
      </c>
      <c r="T51" s="268" t="n">
        <f aca="false">T46-T50</f>
        <v>0</v>
      </c>
      <c r="U51" s="268" t="n">
        <f aca="false">U46-U50</f>
        <v>0</v>
      </c>
      <c r="V51" s="268" t="n">
        <f aca="false">V46-V50</f>
        <v>2419.10730330673</v>
      </c>
      <c r="W51" s="268" t="n">
        <f aca="false">W46-W50</f>
        <v>5438.19880936846</v>
      </c>
      <c r="X51" s="268" t="n">
        <f aca="false">X46-X50</f>
        <v>7681.21771519325</v>
      </c>
      <c r="Y51" s="268" t="n">
        <f aca="false">Y46-Y50</f>
        <v>11221.0234065831</v>
      </c>
      <c r="Z51" s="268" t="n">
        <f aca="false">Z46-Z50</f>
        <v>13483.7511739752</v>
      </c>
      <c r="AA51" s="268" t="n">
        <f aca="false">AA46-AA50</f>
        <v>14389.9280752841</v>
      </c>
      <c r="AB51" s="268" t="n">
        <f aca="false">AB46-AB50</f>
        <v>16371.472894274</v>
      </c>
      <c r="AC51" s="268" t="n">
        <f aca="false">AC46-AC50</f>
        <v>16371.472894274</v>
      </c>
      <c r="AD51" s="268" t="n">
        <f aca="false">AD46-AD50</f>
        <v>14867.3193656217</v>
      </c>
      <c r="AE51" s="268" t="n">
        <f aca="false">AE46-AE50</f>
        <v>14867.3193656217</v>
      </c>
      <c r="AF51" s="268" t="n">
        <f aca="false">AF46-AF50</f>
        <v>15260.9005953301</v>
      </c>
      <c r="AG51" s="268" t="n">
        <f aca="false">AG46-AG50</f>
        <v>14689.9803318837</v>
      </c>
      <c r="AH51" s="268" t="n">
        <f aca="false">AH46-AH50</f>
        <v>14689.9803318837</v>
      </c>
      <c r="AI51" s="268" t="n">
        <f aca="false">AI46-AI50</f>
        <v>16946.5977466638</v>
      </c>
      <c r="AJ51" s="268" t="n">
        <f aca="false">AJ46-AJ50</f>
        <v>20512.5869084093</v>
      </c>
      <c r="AK51" s="268" t="n">
        <f aca="false">AK46-AK50</f>
        <v>23335.1784431609</v>
      </c>
      <c r="AL51" s="268" t="n">
        <f aca="false">AL46-AL50</f>
        <v>27297.3160261267</v>
      </c>
      <c r="AM51" s="268" t="n">
        <f aca="false">AM46-AM50</f>
        <v>29603.275964292</v>
      </c>
      <c r="AN51" s="268" t="n">
        <f aca="false">AN46-AN50</f>
        <v>34005.650411666</v>
      </c>
      <c r="AO51" s="268" t="n">
        <f aca="false">AO46-AO50</f>
        <v>36631.7165248396</v>
      </c>
      <c r="AP51" s="268" t="n">
        <f aca="false">AP46-AP50</f>
        <v>36084.5287134963</v>
      </c>
      <c r="AQ51" s="268" t="n">
        <f aca="false">AQ46-AQ50</f>
        <v>39448.4027600198</v>
      </c>
      <c r="AR51" s="268" t="n">
        <f aca="false">AR46-AR50</f>
        <v>43164.0519458467</v>
      </c>
      <c r="AS51" s="268" t="n">
        <f aca="false">AS46-AS50</f>
        <v>47699.3619786723</v>
      </c>
      <c r="AT51" s="268" t="n">
        <f aca="false">AT46-AT50</f>
        <v>53592.6054088599</v>
      </c>
      <c r="AU51" s="268" t="n">
        <f aca="false">AU46-AU50</f>
        <v>56869.2024647463</v>
      </c>
      <c r="AV51" s="268" t="n">
        <f aca="false">AV46-AV50</f>
        <v>59005.3160228443</v>
      </c>
      <c r="AW51" s="268" t="n">
        <f aca="false">AW46-AW50</f>
        <v>62509.1819843605</v>
      </c>
      <c r="AX51" s="268" t="n">
        <f aca="false">AX46-AX50</f>
        <v>64341.8462267689</v>
      </c>
      <c r="AY51" s="268" t="n">
        <f aca="false">AY46-AY50</f>
        <v>67559.4381366735</v>
      </c>
      <c r="AZ51" s="268" t="n">
        <f aca="false">AZ46-AZ50</f>
        <v>74634.2691679629</v>
      </c>
      <c r="BA51" s="268" t="n">
        <f aca="false">BA46-BA50</f>
        <v>77036.2923051024</v>
      </c>
      <c r="BB51" s="268" t="n">
        <f aca="false">BB46-BB50</f>
        <v>74763.0881301524</v>
      </c>
      <c r="BC51" s="268" t="n">
        <f aca="false">BC46-BC50</f>
        <v>75711.8594538156</v>
      </c>
      <c r="BD51" s="268" t="n">
        <f aca="false">BD46-BD50</f>
        <v>75711.8594538156</v>
      </c>
      <c r="BE51" s="268" t="n">
        <f aca="false">BE46-BE50</f>
        <v>75711.8594538156</v>
      </c>
      <c r="BF51" s="268" t="n">
        <f aca="false">BF46-BF50</f>
        <v>73349.558126395</v>
      </c>
      <c r="BG51" s="268" t="n">
        <f aca="false">BG46-BG50</f>
        <v>73611.8027812283</v>
      </c>
      <c r="BH51" s="268" t="n">
        <f aca="false">BH46-BH50</f>
        <v>74005.3840109367</v>
      </c>
      <c r="BI51" s="268" t="n">
        <f aca="false">BI46-BI50</f>
        <v>73108.9258342741</v>
      </c>
      <c r="BJ51" s="268" t="n">
        <f aca="false">BJ46-BJ50</f>
        <v>78056.9122617146</v>
      </c>
      <c r="BK51" s="268" t="n">
        <f aca="false">BK46-BK50</f>
        <v>80089.0796221263</v>
      </c>
      <c r="BL51" s="268" t="n">
        <f aca="false">BL46-BL50</f>
        <v>89535.8123259596</v>
      </c>
      <c r="BM51" s="268" t="n">
        <f aca="false">BM46-BM50</f>
        <v>95371.843108812</v>
      </c>
      <c r="BN51" s="268" t="n">
        <f aca="false">BN46-BN50</f>
        <v>101092.7646061</v>
      </c>
      <c r="BO51" s="268" t="n">
        <f aca="false">BO46-BO50</f>
        <v>104613.909301136</v>
      </c>
      <c r="BP51" s="268" t="n">
        <f aca="false">BP46-BP50</f>
        <v>108989.440685044</v>
      </c>
      <c r="BQ51" s="268" t="n">
        <f aca="false">BQ46-BQ50</f>
        <v>109124.7835318</v>
      </c>
      <c r="BR51" s="268" t="n">
        <f aca="false">BR46-BR50</f>
        <v>113756.042213108</v>
      </c>
      <c r="BS51" s="268" t="n">
        <f aca="false">BS46-BS50</f>
        <v>119310.901270351</v>
      </c>
      <c r="BT51" s="268" t="n">
        <f aca="false">BT46-BT50</f>
        <v>124881.947107423</v>
      </c>
      <c r="BU51" s="268" t="n">
        <f aca="false">BU46-BU50</f>
        <v>130726.911353616</v>
      </c>
      <c r="BV51" s="268" t="n">
        <f aca="false">BV46-BV50</f>
        <v>136049.640833604</v>
      </c>
      <c r="BW51" s="268" t="n">
        <f aca="false">BW46-BW50</f>
        <v>138039.069916432</v>
      </c>
      <c r="BX51" s="268" t="n">
        <f aca="false">BX46-BX50</f>
        <v>148316.324968934</v>
      </c>
      <c r="BY51" s="268" t="n">
        <f aca="false">BY46-BY50</f>
        <v>152206.685476936</v>
      </c>
      <c r="BZ51" s="268" t="n">
        <f aca="false">BZ46-BZ50</f>
        <v>153355.164290537</v>
      </c>
      <c r="CA51" s="268" t="n">
        <f aca="false">CA46-CA50</f>
        <v>159561.534104753</v>
      </c>
      <c r="CB51" s="268" t="n">
        <f aca="false">CB46-CB50</f>
        <v>159263.422032935</v>
      </c>
      <c r="CC51" s="268" t="n">
        <f aca="false">CC46-CC50</f>
        <v>165355.331013886</v>
      </c>
      <c r="CD51" s="268" t="n">
        <f aca="false">CD46-CD50</f>
        <v>170808.310812742</v>
      </c>
      <c r="CE51" s="268" t="n">
        <f aca="false">CE46-CE50</f>
        <v>176544.751379071</v>
      </c>
      <c r="CF51" s="268" t="n">
        <f aca="false">CF46-CF50</f>
        <v>182018.398114436</v>
      </c>
      <c r="CG51" s="268" t="n">
        <f aca="false">CG46-CG50</f>
        <v>188973.622552099</v>
      </c>
      <c r="CH51" s="268" t="n">
        <f aca="false">CH46-CH50</f>
        <v>192183.674807101</v>
      </c>
      <c r="CI51" s="268" t="n">
        <f aca="false">CI46-CI50</f>
        <v>198310.260526927</v>
      </c>
      <c r="CJ51" s="268" t="n">
        <f aca="false">CJ46-CJ50</f>
        <v>198486.237988371</v>
      </c>
      <c r="CK51" s="268" t="n">
        <f aca="false">CK46-CK50</f>
        <v>200545.836145572</v>
      </c>
      <c r="CL51" s="268" t="n">
        <f aca="false">CL46-CL50</f>
        <v>201441.372257407</v>
      </c>
      <c r="CM51" s="268" t="n">
        <f aca="false">CM46-CM50</f>
        <v>201441.372257407</v>
      </c>
      <c r="CN51" s="268" t="n">
        <f aca="false">CN46-CN50</f>
        <v>201441.372257407</v>
      </c>
      <c r="CO51" s="268" t="n">
        <f aca="false">CO46-CO50</f>
        <v>201441.372257407</v>
      </c>
      <c r="CP51" s="268" t="n">
        <f aca="false">CP46-CP50</f>
        <v>201441.372257407</v>
      </c>
      <c r="CQ51" s="268" t="n">
        <f aca="false">CQ46-CQ50</f>
        <v>201441.372257407</v>
      </c>
      <c r="CR51" s="268" t="n">
        <f aca="false">CR46-CR50</f>
        <v>201441.372257407</v>
      </c>
      <c r="CS51" s="268" t="n">
        <f aca="false">CS46-CS50</f>
        <v>201441.372257407</v>
      </c>
      <c r="CT51" s="268" t="n">
        <f aca="false">CT46-CT50</f>
        <v>201441.372257407</v>
      </c>
      <c r="CU51" s="268" t="n">
        <f aca="false">CU46-CU50</f>
        <v>201441.372257407</v>
      </c>
      <c r="CV51" s="268" t="n">
        <f aca="false">CV46-CV50</f>
        <v>201441.372257407</v>
      </c>
      <c r="CW51" s="268" t="n">
        <f aca="false">CW46-CW50</f>
        <v>201441.372257407</v>
      </c>
      <c r="CX51" s="268" t="n">
        <f aca="false">CX46-CX50</f>
        <v>201441.372257407</v>
      </c>
      <c r="CY51" s="268" t="n">
        <f aca="false">CY46-CY50</f>
        <v>201441.372257407</v>
      </c>
      <c r="CZ51" s="268" t="n">
        <f aca="false">CZ46-CZ50</f>
        <v>201441.372257407</v>
      </c>
      <c r="DA51" s="268" t="n">
        <f aca="false">DA46-DA50</f>
        <v>201441.372257407</v>
      </c>
      <c r="DB51" s="268" t="n">
        <f aca="false">DB46-DB50</f>
        <v>201441.372257407</v>
      </c>
      <c r="DC51" s="268" t="n">
        <f aca="false">DC46-DC50</f>
        <v>201441.372257407</v>
      </c>
      <c r="DD51" s="268" t="n">
        <f aca="false">DD46-DD50</f>
        <v>201441.372257407</v>
      </c>
      <c r="DE51" s="268" t="n">
        <f aca="false">DE46-DE50</f>
        <v>201441.372257407</v>
      </c>
      <c r="DF51" s="268" t="n">
        <f aca="false">DF46-DF50</f>
        <v>201441.372257407</v>
      </c>
      <c r="DG51" s="268" t="n">
        <f aca="false">DG46-DG50</f>
        <v>201441.372257407</v>
      </c>
      <c r="DH51" s="268" t="n">
        <f aca="false">DH46-DH50</f>
        <v>201441.372257407</v>
      </c>
      <c r="DI51" s="268" t="n">
        <f aca="false">DI46-DI50</f>
        <v>201441.372257407</v>
      </c>
      <c r="DJ51" s="268" t="n">
        <f aca="false">DJ46-DJ50</f>
        <v>201441.372257407</v>
      </c>
      <c r="DK51" s="268" t="n">
        <f aca="false">DK46-DK50</f>
        <v>201441.372257407</v>
      </c>
      <c r="DL51" s="268" t="n">
        <f aca="false">DL46-DL50</f>
        <v>201441.372257407</v>
      </c>
      <c r="DM51" s="268" t="n">
        <f aca="false">DM46-DM50</f>
        <v>201441.372257407</v>
      </c>
      <c r="DN51" s="268" t="n">
        <f aca="false">DN46-DN50</f>
        <v>201441.372257407</v>
      </c>
      <c r="DO51" s="268" t="n">
        <f aca="false">DO46-DO50</f>
        <v>201441.372257407</v>
      </c>
      <c r="DP51" s="268" t="n">
        <f aca="false">DP46-DP50</f>
        <v>201441.372257407</v>
      </c>
      <c r="DQ51" s="268" t="n">
        <f aca="false">DQ46-DQ50</f>
        <v>201441.372257407</v>
      </c>
      <c r="DR51" s="268" t="n">
        <f aca="false">DR46-DR50</f>
        <v>201441.372257407</v>
      </c>
      <c r="DS51" s="268" t="n">
        <f aca="false">DS46-DS50</f>
        <v>201441.372257407</v>
      </c>
    </row>
    <row r="53" customFormat="false" ht="15" hidden="false" customHeight="true" outlineLevel="0" collapsed="false">
      <c r="B53" s="178" t="s">
        <v>3548</v>
      </c>
      <c r="D53" s="268" t="n">
        <f aca="false">D16+D11+D67-D22-D29-D30-D59</f>
        <v>259314</v>
      </c>
      <c r="E53" s="268" t="n">
        <f aca="false">E16+E11+E67-E22-E29-E30-E59</f>
        <v>243599</v>
      </c>
      <c r="F53" s="268" t="n">
        <f aca="false">F16+F11+F67-F22-F29-F30-F59</f>
        <v>227884</v>
      </c>
      <c r="G53" s="268" t="n">
        <f aca="false">G16+G11+G67-G22-G29-G30-G59</f>
        <v>213752.012119022</v>
      </c>
      <c r="H53" s="268" t="n">
        <f aca="false">H16+H11+H67-H22-H29-H30-H59</f>
        <v>217617.154355785</v>
      </c>
      <c r="I53" s="268" t="n">
        <f aca="false">I16+I11+I67-I22-I29-I30-I59</f>
        <v>236453.092656054</v>
      </c>
      <c r="J53" s="268" t="n">
        <f aca="false">J16+J11+J67-J22-J29-J30-J59</f>
        <v>265404.68916697</v>
      </c>
      <c r="K53" s="268" t="n">
        <f aca="false">K16+K11+K67-K22-K29-K30-K59</f>
        <v>305255.979835913</v>
      </c>
      <c r="L53" s="268" t="n">
        <f aca="false">L16+L11+L67-L22-L29-L30-L59</f>
        <v>351811.03529437</v>
      </c>
      <c r="M53" s="268" t="n">
        <f aca="false">M16+M11+M67-M22-M29-M30-M59</f>
        <v>401923.190437059</v>
      </c>
      <c r="N53" s="268" t="n">
        <f aca="false">N16+N11+N67-N22-N29-N30-N59</f>
        <v>452035.345579747</v>
      </c>
      <c r="O53" s="268" t="n">
        <f aca="false">O16+O11+O67-O22-O29-O30-O59</f>
        <v>502147.500722436</v>
      </c>
      <c r="P53" s="268" t="n">
        <f aca="false">P16+P11+P67-P22-P29-P30-P59</f>
        <v>556164.644631589</v>
      </c>
      <c r="Q53" s="268" t="n">
        <f aca="false">Q16+Q11+Q67-Q22-Q29-Q30-Q59</f>
        <v>610181.788540742</v>
      </c>
      <c r="R53" s="268" t="n">
        <f aca="false">R16+R11+R67-R22-R29-R30-R59</f>
        <v>664198.932449896</v>
      </c>
      <c r="S53" s="268" t="n">
        <f aca="false">S16+S11+S67-S22-S29-S30-S59</f>
        <v>619220.139359049</v>
      </c>
      <c r="T53" s="268" t="n">
        <f aca="false">T16+T11+T67-T22-T29-T30-T59</f>
        <v>574241.346268202</v>
      </c>
      <c r="U53" s="268" t="n">
        <f aca="false">U16+U11+U67-U22-U29-U30-U59</f>
        <v>628258.490177355</v>
      </c>
      <c r="V53" s="268" t="n">
        <f aca="false">V16+V11+V67-V22-V29-V30-V59</f>
        <v>576106.096827315</v>
      </c>
      <c r="W53" s="268" t="n">
        <f aca="false">W16+W11+W67-W22-W29-W30-W59</f>
        <v>628411.159894268</v>
      </c>
      <c r="X53" s="268" t="n">
        <f aca="false">X16+X11+X67-X22-X29-X30-X59</f>
        <v>695085.979029032</v>
      </c>
      <c r="Y53" s="268" t="n">
        <f aca="false">Y16+Y11+Y67-Y22-Y29-Y30-Y59</f>
        <v>753696.26879435</v>
      </c>
      <c r="Z53" s="268" t="n">
        <f aca="false">Z16+Z11+Z67-Z22-Z29-Z30-Z59</f>
        <v>824676.314627478</v>
      </c>
      <c r="AA53" s="268" t="n">
        <f aca="false">AA16+AA11+AA67-AA22-AA29-AA30-AA59</f>
        <v>896604.262887731</v>
      </c>
      <c r="AB53" s="268" t="n">
        <f aca="false">AB16+AB11+AB67-AB22-AB29-AB30-AB59</f>
        <v>972459.869891975</v>
      </c>
      <c r="AC53" s="268" t="n">
        <f aca="false">AC16+AC11+AC67-AC22-AC29-AC30-AC59</f>
        <v>1048315.47689622</v>
      </c>
      <c r="AD53" s="268" t="n">
        <f aca="false">AD16+AD11+AD67-AD22-AD29-AD30-AD59</f>
        <v>776916.995889798</v>
      </c>
      <c r="AE53" s="268" t="n">
        <f aca="false">AE16+AE11+AE67-AE22-AE29-AE30-AE59</f>
        <v>848269.922883376</v>
      </c>
      <c r="AF53" s="268" t="n">
        <f aca="false">AF16+AF11+AF67-AF22-AF29-AF30-AF59</f>
        <v>772330.408856662</v>
      </c>
      <c r="AG53" s="268" t="n">
        <f aca="false">AG16+AG11+AG67-AG22-AG29-AG30-AG59</f>
        <v>744437.287423858</v>
      </c>
      <c r="AH53" s="268" t="n">
        <f aca="false">AH16+AH11+AH67-AH22-AH29-AH30-AH59</f>
        <v>815540.102991053</v>
      </c>
      <c r="AI53" s="268" t="n">
        <f aca="false">AI16+AI11+AI67-AI22-AI29-AI30-AI59</f>
        <v>774533.298623068</v>
      </c>
      <c r="AJ53" s="268" t="n">
        <f aca="false">AJ16+AJ11+AJ67-AJ22-AJ29-AJ30-AJ59</f>
        <v>845851.303665068</v>
      </c>
      <c r="AK53" s="268" t="n">
        <f aca="false">AK16+AK11+AK67-AK22-AK29-AK30-AK59</f>
        <v>833169.533846867</v>
      </c>
      <c r="AL53" s="268" t="n">
        <f aca="false">AL16+AL11+AL67-AL22-AL29-AL30-AL59</f>
        <v>910754.313124272</v>
      </c>
      <c r="AM53" s="268" t="n">
        <f aca="false">AM16+AM11+AM67-AM22-AM29-AM30-AM59</f>
        <v>1000780.09015611</v>
      </c>
      <c r="AN53" s="268" t="n">
        <f aca="false">AN16+AN11+AN67-AN22-AN29-AN30-AN59</f>
        <v>939857.429312299</v>
      </c>
      <c r="AO53" s="268" t="n">
        <f aca="false">AO16+AO11+AO67-AO22-AO29-AO30-AO59</f>
        <v>940371.534649584</v>
      </c>
      <c r="AP53" s="268" t="n">
        <f aca="false">AP16+AP11+AP67-AP22-AP29-AP30-AP59</f>
        <v>940297.541503847</v>
      </c>
      <c r="AQ53" s="268" t="n">
        <f aca="false">AQ16+AQ11+AQ67-AQ22-AQ29-AQ30-AQ59</f>
        <v>926008.421695868</v>
      </c>
      <c r="AR53" s="268" t="n">
        <f aca="false">AR16+AR11+AR67-AR22-AR29-AR30-AR59</f>
        <v>1023974.50580542</v>
      </c>
      <c r="AS53" s="268" t="n">
        <f aca="false">AS16+AS11+AS67-AS22-AS29-AS30-AS59</f>
        <v>1128822.7943331</v>
      </c>
      <c r="AT53" s="268" t="n">
        <f aca="false">AT16+AT11+AT67-AT22-AT29-AT30-AT59</f>
        <v>1091029.00802398</v>
      </c>
      <c r="AU53" s="268" t="n">
        <f aca="false">AU16+AU11+AU67-AU22-AU29-AU30-AU59</f>
        <v>1214309.81014373</v>
      </c>
      <c r="AV53" s="268" t="n">
        <f aca="false">AV16+AV11+AV67-AV22-AV29-AV30-AV59</f>
        <v>1238793.24344909</v>
      </c>
      <c r="AW53" s="268" t="n">
        <f aca="false">AW16+AW11+AW67-AW22-AW29-AW30-AW59</f>
        <v>1249061.55009221</v>
      </c>
      <c r="AX53" s="268" t="n">
        <f aca="false">AX16+AX11+AX67-AX22-AX29-AX30-AX59</f>
        <v>1379413.70917783</v>
      </c>
      <c r="AY53" s="268" t="n">
        <f aca="false">AY16+AY11+AY67-AY22-AY29-AY30-AY59</f>
        <v>1503195.83003349</v>
      </c>
      <c r="AZ53" s="268" t="n">
        <f aca="false">AZ16+AZ11+AZ67-AZ22-AZ29-AZ30-AZ59</f>
        <v>1635041.75870035</v>
      </c>
      <c r="BA53" s="268" t="n">
        <f aca="false">BA16+BA11+BA67-BA22-BA29-BA30-BA59</f>
        <v>1781350.41075298</v>
      </c>
      <c r="BB53" s="268" t="n">
        <f aca="false">BB16+BB11+BB67-BB22-BB29-BB30-BB59</f>
        <v>1295356.26821956</v>
      </c>
      <c r="BC53" s="268" t="n">
        <f aca="false">BC16+BC11+BC67-BC22-BC29-BC30-BC59</f>
        <v>1433061.11104044</v>
      </c>
      <c r="BD53" s="268" t="n">
        <f aca="false">BD16+BD11+BD67-BD22-BD29-BD30-BD59</f>
        <v>1570765.95386133</v>
      </c>
      <c r="BE53" s="268" t="n">
        <f aca="false">BE16+BE11+BE67-BE22-BE29-BE30-BE59</f>
        <v>1708470.79668221</v>
      </c>
      <c r="BF53" s="268" t="n">
        <f aca="false">BF16+BF11+BF67-BF22-BF29-BF30-BF59</f>
        <v>1337602.39177084</v>
      </c>
      <c r="BG53" s="268" t="n">
        <f aca="false">BG16+BG11+BG67-BG22-BG29-BG30-BG59</f>
        <v>1374066.46526429</v>
      </c>
      <c r="BH53" s="268" t="n">
        <f aca="false">BH16+BH11+BH67-BH22-BH29-BH30-BH59</f>
        <v>1362234.03473746</v>
      </c>
      <c r="BI53" s="268" t="n">
        <f aca="false">BI16+BI11+BI67-BI22-BI29-BI30-BI59</f>
        <v>1348645.23337738</v>
      </c>
      <c r="BJ53" s="268" t="n">
        <f aca="false">BJ16+BJ11+BJ67-BJ22-BJ29-BJ30-BJ59</f>
        <v>1390307.75017124</v>
      </c>
      <c r="BK53" s="268" t="n">
        <f aca="false">BK16+BK11+BK67-BK22-BK29-BK30-BK59</f>
        <v>1430241.75714406</v>
      </c>
      <c r="BL53" s="268" t="n">
        <f aca="false">BL16+BL11+BL67-BL22-BL29-BL30-BL59</f>
        <v>1580086.74329736</v>
      </c>
      <c r="BM53" s="268" t="n">
        <f aca="false">BM16+BM11+BM67-BM22-BM29-BM30-BM59</f>
        <v>1588346.8974925</v>
      </c>
      <c r="BN53" s="268" t="n">
        <f aca="false">BN16+BN11+BN67-BN22-BN29-BN30-BN59</f>
        <v>1650066.99065459</v>
      </c>
      <c r="BO53" s="268" t="n">
        <f aca="false">BO16+BO11+BO67-BO22-BO29-BO30-BO59</f>
        <v>1725389.38494894</v>
      </c>
      <c r="BP53" s="268" t="n">
        <f aca="false">BP16+BP11+BP67-BP22-BP29-BP30-BP59</f>
        <v>1787319.97823785</v>
      </c>
      <c r="BQ53" s="268" t="n">
        <f aca="false">BQ16+BQ11+BQ67-BQ22-BQ29-BQ30-BQ59</f>
        <v>1807984.23750373</v>
      </c>
      <c r="BR53" s="268" t="n">
        <f aca="false">BR16+BR11+BR67-BR22-BR29-BR30-BR59</f>
        <v>1884156.9115034</v>
      </c>
      <c r="BS53" s="268" t="n">
        <f aca="false">BS16+BS11+BS67-BS22-BS29-BS30-BS59</f>
        <v>1964881.01012976</v>
      </c>
      <c r="BT53" s="268" t="n">
        <f aca="false">BT16+BT11+BT67-BT22-BT29-BT30-BT59</f>
        <v>2045391.34036859</v>
      </c>
      <c r="BU53" s="268" t="n">
        <f aca="false">BU16+BU11+BU67-BU22-BU29-BU30-BU59</f>
        <v>2090434.31083042</v>
      </c>
      <c r="BV53" s="268" t="n">
        <f aca="false">BV16+BV11+BV67-BV22-BV29-BV30-BV59</f>
        <v>2288652.48351411</v>
      </c>
      <c r="BW53" s="268" t="n">
        <f aca="false">BW16+BW11+BW67-BW22-BW29-BW30-BW59</f>
        <v>1981674.24581206</v>
      </c>
      <c r="BX53" s="268" t="n">
        <f aca="false">BX16+BX11+BX67-BX22-BX29-BX30-BX59</f>
        <v>2088171.67429883</v>
      </c>
      <c r="BY53" s="268" t="n">
        <f aca="false">BY16+BY11+BY67-BY22-BY29-BY30-BY59</f>
        <v>2215815.45191685</v>
      </c>
      <c r="BZ53" s="268" t="n">
        <f aca="false">BZ16+BZ11+BZ67-BZ22-BZ29-BZ30-BZ59</f>
        <v>2292815.47475655</v>
      </c>
      <c r="CA53" s="268" t="n">
        <f aca="false">CA16+CA11+CA67-CA22-CA29-CA30-CA59</f>
        <v>2374270.28809374</v>
      </c>
      <c r="CB53" s="268" t="n">
        <f aca="false">CB16+CB11+CB67-CB22-CB29-CB30-CB59</f>
        <v>2506165.16712556</v>
      </c>
      <c r="CC53" s="268" t="n">
        <f aca="false">CC16+CC11+CC67-CC22-CC29-CC30-CC59</f>
        <v>2636282.21131545</v>
      </c>
      <c r="CD53" s="268" t="n">
        <f aca="false">CD16+CD11+CD67-CD22-CD29-CD30-CD59</f>
        <v>2765987.30607051</v>
      </c>
      <c r="CE53" s="268" t="n">
        <f aca="false">CE16+CE11+CE67-CE22-CE29-CE30-CE59</f>
        <v>2860051.73628336</v>
      </c>
      <c r="CF53" s="268" t="n">
        <f aca="false">CF16+CF11+CF67-CF22-CF29-CF30-CF59</f>
        <v>3008386.85923588</v>
      </c>
      <c r="CG53" s="268" t="n">
        <f aca="false">CG16+CG11+CG67-CG22-CG29-CG30-CG59</f>
        <v>3162595.96341039</v>
      </c>
      <c r="CH53" s="268" t="n">
        <f aca="false">CH16+CH11+CH67-CH22-CH29-CH30-CH59</f>
        <v>2838453.57925233</v>
      </c>
      <c r="CI53" s="268" t="n">
        <f aca="false">CI16+CI11+CI67-CI22-CI29-CI30-CI59</f>
        <v>3101473.98211032</v>
      </c>
      <c r="CJ53" s="268" t="n">
        <f aca="false">CJ16+CJ11+CJ67-CJ22-CJ29-CJ30-CJ59</f>
        <v>3364720.1816388</v>
      </c>
      <c r="CK53" s="268" t="n">
        <f aca="false">CK16+CK11+CK67-CK22-CK29-CK30-CK59</f>
        <v>3638849.55665522</v>
      </c>
      <c r="CL53" s="268" t="n">
        <f aca="false">CL16+CL11+CL67-CL22-CL29-CL30-CL59</f>
        <v>3911884.66014465</v>
      </c>
      <c r="CM53" s="268" t="n">
        <f aca="false">CM16+CM11+CM67-CM22-CM29-CM30-CM59</f>
        <v>4182919.76363409</v>
      </c>
      <c r="CN53" s="268" t="n">
        <f aca="false">CN16+CN11+CN67-CN22-CN29-CN30-CN59</f>
        <v>4453954.86712353</v>
      </c>
      <c r="CO53" s="268" t="n">
        <f aca="false">CO16+CO11+CO67-CO22-CO29-CO30-CO59</f>
        <v>4724989.97061297</v>
      </c>
      <c r="CP53" s="268" t="n">
        <f aca="false">CP16+CP11+CP67-CP22-CP29-CP30-CP59</f>
        <v>4996025.07410241</v>
      </c>
      <c r="CQ53" s="268" t="n">
        <f aca="false">CQ16+CQ11+CQ67-CQ22-CQ29-CQ30-CQ59</f>
        <v>5267060.17759184</v>
      </c>
      <c r="CR53" s="268" t="n">
        <f aca="false">CR16+CR11+CR67-CR22-CR29-CR30-CR59</f>
        <v>5538095.28108128</v>
      </c>
      <c r="CS53" s="268" t="n">
        <f aca="false">CS16+CS11+CS67-CS22-CS29-CS30-CS59</f>
        <v>5809130.38457072</v>
      </c>
      <c r="CT53" s="268" t="n">
        <f aca="false">CT16+CT11+CT67-CT22-CT29-CT30-CT59</f>
        <v>6080165.48806016</v>
      </c>
      <c r="CU53" s="268" t="n">
        <f aca="false">CU16+CU11+CU67-CU22-CU29-CU30-CU59</f>
        <v>6351200.5915496</v>
      </c>
      <c r="CV53" s="268" t="n">
        <f aca="false">CV16+CV11+CV67-CV22-CV29-CV30-CV59</f>
        <v>6622235.69503903</v>
      </c>
      <c r="CW53" s="268" t="n">
        <f aca="false">CW16+CW11+CW67-CW22-CW29-CW30-CW59</f>
        <v>6893270.79852847</v>
      </c>
      <c r="CX53" s="268" t="n">
        <f aca="false">CX16+CX11+CX67-CX22-CX29-CX30-CX59</f>
        <v>7164305.90201791</v>
      </c>
      <c r="CY53" s="268" t="n">
        <f aca="false">CY16+CY11+CY67-CY22-CY29-CY30-CY59</f>
        <v>7435341.00550735</v>
      </c>
      <c r="CZ53" s="268" t="n">
        <f aca="false">CZ16+CZ11+CZ67-CZ22-CZ29-CZ30-CZ59</f>
        <v>7706376.10899679</v>
      </c>
      <c r="DA53" s="268" t="n">
        <f aca="false">DA16+DA11+DA67-DA22-DA29-DA30-DA59</f>
        <v>7977411.21248622</v>
      </c>
      <c r="DB53" s="268" t="n">
        <f aca="false">DB16+DB11+DB67-DB22-DB29-DB30-DB59</f>
        <v>8248446.31597566</v>
      </c>
      <c r="DC53" s="268" t="n">
        <f aca="false">DC16+DC11+DC67-DC22-DC29-DC30-DC59</f>
        <v>8519481.4194651</v>
      </c>
      <c r="DD53" s="268" t="n">
        <f aca="false">DD16+DD11+DD67-DD22-DD29-DD30-DD59</f>
        <v>8790516.52295454</v>
      </c>
      <c r="DE53" s="268" t="n">
        <f aca="false">DE16+DE11+DE67-DE22-DE29-DE30-DE59</f>
        <v>9061551.62644398</v>
      </c>
      <c r="DF53" s="268" t="n">
        <f aca="false">DF16+DF11+DF67-DF22-DF29-DF30-DF59</f>
        <v>9332586.72993342</v>
      </c>
      <c r="DG53" s="268" t="n">
        <f aca="false">DG16+DG11+DG67-DG22-DG29-DG30-DG59</f>
        <v>9603621.83342285</v>
      </c>
      <c r="DH53" s="268" t="n">
        <f aca="false">DH16+DH11+DH67-DH22-DH29-DH30-DH59</f>
        <v>9874656.93691229</v>
      </c>
      <c r="DI53" s="268" t="n">
        <f aca="false">DI16+DI11+DI67-DI22-DI29-DI30-DI59</f>
        <v>10145692.0404017</v>
      </c>
      <c r="DJ53" s="268" t="n">
        <f aca="false">DJ16+DJ11+DJ67-DJ22-DJ29-DJ30-DJ59</f>
        <v>10416727.1438912</v>
      </c>
      <c r="DK53" s="268" t="n">
        <f aca="false">DK16+DK11+DK67-DK22-DK29-DK30-DK59</f>
        <v>10687762.2473806</v>
      </c>
      <c r="DL53" s="268" t="n">
        <f aca="false">DL16+DL11+DL67-DL22-DL29-DL30-DL59</f>
        <v>10958797.35087</v>
      </c>
      <c r="DM53" s="268" t="n">
        <f aca="false">DM16+DM11+DM67-DM22-DM29-DM30-DM59</f>
        <v>11229832.4543595</v>
      </c>
      <c r="DN53" s="268" t="n">
        <f aca="false">DN16+DN11+DN67-DN22-DN29-DN30-DN59</f>
        <v>11500867.5578489</v>
      </c>
      <c r="DO53" s="268" t="n">
        <f aca="false">DO16+DO11+DO67-DO22-DO29-DO30-DO59</f>
        <v>11771902.6613384</v>
      </c>
      <c r="DP53" s="268" t="n">
        <f aca="false">DP16+DP11+DP67-DP22-DP29-DP30-DP59</f>
        <v>12042937.7648278</v>
      </c>
      <c r="DQ53" s="268" t="n">
        <f aca="false">DQ16+DQ11+DQ67-DQ22-DQ29-DQ30-DQ59</f>
        <v>12313972.8683172</v>
      </c>
      <c r="DR53" s="268" t="n">
        <f aca="false">DR16+DR11+DR67-DR22-DR29-DR30-DR59</f>
        <v>12585007.9718067</v>
      </c>
      <c r="DS53" s="268" t="n">
        <f aca="false">DS16+DS11+DS67-DS22-DS29-DS30-DS59</f>
        <v>12856043.0752961</v>
      </c>
    </row>
    <row r="55" customFormat="false" ht="15" hidden="false" customHeight="true" outlineLevel="0" collapsed="false">
      <c r="B55" s="178" t="s">
        <v>3549</v>
      </c>
      <c r="D55" s="268" t="n">
        <f aca="false">D51-D22-D29-D30-D59</f>
        <v>0</v>
      </c>
      <c r="E55" s="268" t="n">
        <f aca="false">E51-E22-E29-E30-E59</f>
        <v>0</v>
      </c>
      <c r="F55" s="268" t="n">
        <f aca="false">F51-F22-F29-F30-F59</f>
        <v>0</v>
      </c>
      <c r="G55" s="268" t="n">
        <f aca="false">G51-G22-G29-G30-G59</f>
        <v>0</v>
      </c>
      <c r="H55" s="268" t="n">
        <f aca="false">H51-H22-H29-H30-H59</f>
        <v>0</v>
      </c>
      <c r="I55" s="268" t="n">
        <f aca="false">I51-I22-I29-I30-I59</f>
        <v>0</v>
      </c>
      <c r="J55" s="268" t="n">
        <f aca="false">J51-J22-J29-J30-J59</f>
        <v>0</v>
      </c>
      <c r="K55" s="268" t="n">
        <f aca="false">K51-K22-K29-K30-K59</f>
        <v>0</v>
      </c>
      <c r="L55" s="268" t="n">
        <f aca="false">L51-L22-L29-L30-L59</f>
        <v>0</v>
      </c>
      <c r="M55" s="268" t="n">
        <f aca="false">M51-M22-M29-M30-M59</f>
        <v>0</v>
      </c>
      <c r="N55" s="268" t="n">
        <f aca="false">N51-N22-N29-N30-N59</f>
        <v>0</v>
      </c>
      <c r="O55" s="268" t="n">
        <f aca="false">O51-O22-O29-O30-O59</f>
        <v>0</v>
      </c>
      <c r="P55" s="268" t="n">
        <f aca="false">P51-P22-P29-P30-P59</f>
        <v>0</v>
      </c>
      <c r="Q55" s="268" t="n">
        <f aca="false">Q51-Q22-Q29-Q30-Q59</f>
        <v>0</v>
      </c>
      <c r="R55" s="268" t="n">
        <f aca="false">R51-R22-R29-R30-R59</f>
        <v>0</v>
      </c>
      <c r="S55" s="268" t="n">
        <f aca="false">S51-S22-S29-S30-S59</f>
        <v>-98995.937</v>
      </c>
      <c r="T55" s="268" t="n">
        <f aca="false">T51-T22-T29-T30-T59</f>
        <v>-98995.937</v>
      </c>
      <c r="U55" s="268" t="n">
        <f aca="false">U51-U22-U29-U30-U59</f>
        <v>0</v>
      </c>
      <c r="V55" s="268" t="n">
        <f aca="false">V51-V22-V29-V30-V59</f>
        <v>-106576.829696693</v>
      </c>
      <c r="W55" s="268" t="n">
        <f aca="false">W51-W22-W29-W30-W59</f>
        <v>-2561.80119063154</v>
      </c>
      <c r="X55" s="268" t="n">
        <f aca="false">X51-X22-X29-X30-X59</f>
        <v>11681.2177151933</v>
      </c>
      <c r="Y55" s="268" t="n">
        <f aca="false">Y51-Y22-Y29-Y30-Y59</f>
        <v>3221.02340658309</v>
      </c>
      <c r="Z55" s="268" t="n">
        <f aca="false">Z51-Z22-Z29-Z30-Z59</f>
        <v>15483.7511739752</v>
      </c>
      <c r="AA55" s="268" t="n">
        <f aca="false">AA51-AA22-AA29-AA30-AA59</f>
        <v>16389.9280752841</v>
      </c>
      <c r="AB55" s="268" t="n">
        <f aca="false">AB51-AB22-AB29-AB30-AB59</f>
        <v>16371.472894274</v>
      </c>
      <c r="AC55" s="268" t="n">
        <f aca="false">AC51-AC22-AC29-AC30-AC59</f>
        <v>16371.472894274</v>
      </c>
      <c r="AD55" s="268" t="n">
        <f aca="false">AD51-AD22-AD29-AD30-AD59</f>
        <v>-327884.088634378</v>
      </c>
      <c r="AE55" s="268" t="n">
        <f aca="false">AE51-AE22-AE29-AE30-AE59</f>
        <v>14867.3193656217</v>
      </c>
      <c r="AF55" s="268" t="n">
        <f aca="false">AF51-AF22-AF29-AF30-AF59</f>
        <v>-132425.12165467</v>
      </c>
      <c r="AG55" s="268" t="n">
        <f aca="false">AG51-AG22-AG29-AG30-AG59</f>
        <v>-84305.9566681163</v>
      </c>
      <c r="AH55" s="268" t="n">
        <f aca="false">AH51-AH22-AH29-AH30-AH59</f>
        <v>14689.9803318837</v>
      </c>
      <c r="AI55" s="268" t="n">
        <f aca="false">AI51-AI22-AI29-AI30-AI59</f>
        <v>-98049.3392533362</v>
      </c>
      <c r="AJ55" s="268" t="n">
        <f aca="false">AJ51-AJ22-AJ29-AJ30-AJ59</f>
        <v>13712.5869084093</v>
      </c>
      <c r="AK55" s="268" t="n">
        <f aca="false">AK51-AK22-AK29-AK30-AK59</f>
        <v>-70460.7585568392</v>
      </c>
      <c r="AL55" s="268" t="n">
        <f aca="false">AL51-AL22-AL29-AL30-AL59</f>
        <v>19297.3160261267</v>
      </c>
      <c r="AM55" s="268" t="n">
        <f aca="false">AM51-AM22-AM29-AM30-AM59</f>
        <v>31603.275964292</v>
      </c>
      <c r="AN55" s="268" t="n">
        <f aca="false">AN51-AN22-AN29-AN30-AN59</f>
        <v>-121680.371838334</v>
      </c>
      <c r="AO55" s="268" t="n">
        <f aca="false">AO51-AO22-AO29-AO30-AO59</f>
        <v>-60364.2204751604</v>
      </c>
      <c r="AP55" s="268" t="n">
        <f aca="false">AP51-AP22-AP29-AP30-AP59</f>
        <v>-60911.4082865037</v>
      </c>
      <c r="AQ55" s="268" t="n">
        <f aca="false">AQ51-AQ22-AQ29-AQ30-AQ59</f>
        <v>-75547.5342399802</v>
      </c>
      <c r="AR55" s="268" t="n">
        <f aca="false">AR51-AR22-AR29-AR30-AR59</f>
        <v>36364.0519458467</v>
      </c>
      <c r="AS55" s="268" t="n">
        <f aca="false">AS51-AS22-AS29-AS30-AS59</f>
        <v>42899.3619786723</v>
      </c>
      <c r="AT55" s="268" t="n">
        <f aca="false">AT51-AT22-AT29-AT30-AT59</f>
        <v>-100093.41684114</v>
      </c>
      <c r="AU55" s="268" t="n">
        <f aca="false">AU51-AU22-AU29-AU30-AU59</f>
        <v>60869.2024647463</v>
      </c>
      <c r="AV55" s="268" t="n">
        <f aca="false">AV51-AV22-AV29-AV30-AV59</f>
        <v>-37990.6209771557</v>
      </c>
      <c r="AW55" s="268" t="n">
        <f aca="false">AW51-AW22-AW29-AW30-AW59</f>
        <v>-52486.7550156395</v>
      </c>
      <c r="AX55" s="268" t="n">
        <f aca="false">AX51-AX22-AX29-AX30-AX59</f>
        <v>67541.8462267689</v>
      </c>
      <c r="AY55" s="268" t="n">
        <f aca="false">AY51-AY22-AY29-AY30-AY59</f>
        <v>60759.4381366735</v>
      </c>
      <c r="AZ55" s="268" t="n">
        <f aca="false">AZ51-AZ22-AZ29-AZ30-AZ59</f>
        <v>66634.2691679629</v>
      </c>
      <c r="BA55" s="268" t="n">
        <f aca="false">BA51-BA22-BA29-BA30-BA59</f>
        <v>81036.2923051024</v>
      </c>
      <c r="BB55" s="268" t="n">
        <f aca="false">BB51-BB22-BB29-BB30-BB59</f>
        <v>-547950.807869848</v>
      </c>
      <c r="BC55" s="268" t="n">
        <f aca="false">BC51-BC22-BC29-BC30-BC59</f>
        <v>75711.8594538156</v>
      </c>
      <c r="BD55" s="268" t="n">
        <f aca="false">BD51-BD22-BD29-BD30-BD59</f>
        <v>75711.8594538156</v>
      </c>
      <c r="BE55" s="268" t="n">
        <f aca="false">BE51-BE22-BE29-BE30-BE59</f>
        <v>75711.8594538156</v>
      </c>
      <c r="BF55" s="268" t="n">
        <f aca="false">BF51-BF22-BF29-BF30-BF59</f>
        <v>-432716.612623605</v>
      </c>
      <c r="BG55" s="268" t="n">
        <f aca="false">BG51-BG22-BG29-BG30-BG59</f>
        <v>-25384.1342187717</v>
      </c>
      <c r="BH55" s="268" t="n">
        <f aca="false">BH51-BH22-BH29-BH30-BH59</f>
        <v>-73680.6382390633</v>
      </c>
      <c r="BI55" s="268" t="n">
        <f aca="false">BI51-BI22-BI29-BI30-BI59</f>
        <v>-75887.0111657259</v>
      </c>
      <c r="BJ55" s="268" t="n">
        <f aca="false">BJ51-BJ22-BJ29-BJ30-BJ59</f>
        <v>-20939.0247382855</v>
      </c>
      <c r="BK55" s="268" t="n">
        <f aca="false">BK51-BK22-BK29-BK30-BK59</f>
        <v>-22906.8573778737</v>
      </c>
      <c r="BL55" s="268" t="n">
        <f aca="false">BL51-BL22-BL29-BL30-BL59</f>
        <v>84735.8123259596</v>
      </c>
      <c r="BM55" s="268" t="n">
        <f aca="false">BM51-BM22-BM29-BM30-BM59</f>
        <v>-57114.179141188</v>
      </c>
      <c r="BN55" s="268" t="n">
        <f aca="false">BN51-BN22-BN29-BN30-BN59</f>
        <v>-3903.17239390044</v>
      </c>
      <c r="BO55" s="268" t="n">
        <f aca="false">BO51-BO22-BO29-BO30-BO59</f>
        <v>9617.9723011357</v>
      </c>
      <c r="BP55" s="268" t="n">
        <f aca="false">BP51-BP22-BP29-BP30-BP59</f>
        <v>-4006.49631495612</v>
      </c>
      <c r="BQ55" s="268" t="n">
        <f aca="false">BQ51-BQ22-BQ29-BQ30-BQ59</f>
        <v>-45361.2387181998</v>
      </c>
      <c r="BR55" s="268" t="n">
        <f aca="false">BR51-BR22-BR29-BR30-BR59</f>
        <v>9960.10521310795</v>
      </c>
      <c r="BS55" s="268" t="n">
        <f aca="false">BS51-BS22-BS29-BS30-BS59</f>
        <v>14314.9642703509</v>
      </c>
      <c r="BT55" s="268" t="n">
        <f aca="false">BT51-BT22-BT29-BT30-BT59</f>
        <v>13886.0101074225</v>
      </c>
      <c r="BU55" s="268" t="n">
        <f aca="false">BU51-BU22-BU29-BU30-BU59</f>
        <v>-21759.110896384</v>
      </c>
      <c r="BV55" s="268" t="n">
        <f aca="false">BV51-BV22-BV29-BV30-BV59</f>
        <v>131249.640833604</v>
      </c>
      <c r="BW55" s="268" t="n">
        <f aca="false">BW51-BW22-BW29-BW30-BW59</f>
        <v>-374027.100833568</v>
      </c>
      <c r="BX55" s="268" t="n">
        <f aca="false">BX51-BX22-BX29-BX30-BX59</f>
        <v>37320.3879689343</v>
      </c>
      <c r="BY55" s="268" t="n">
        <f aca="false">BY51-BY22-BY29-BY30-BY59</f>
        <v>58410.7484769363</v>
      </c>
      <c r="BZ55" s="268" t="n">
        <f aca="false">BZ51-BZ22-BZ29-BZ30-BZ59</f>
        <v>7559.22729053721</v>
      </c>
      <c r="CA55" s="268" t="n">
        <f aca="false">CA51-CA22-CA29-CA30-CA59</f>
        <v>11875.5118547527</v>
      </c>
      <c r="CB55" s="268" t="n">
        <f aca="false">CB51-CB22-CB29-CB30-CB59</f>
        <v>62267.4850329354</v>
      </c>
      <c r="CC55" s="268" t="n">
        <f aca="false">CC51-CC22-CC29-CC30-CC59</f>
        <v>60359.3940138864</v>
      </c>
      <c r="CD55" s="268" t="n">
        <f aca="false">CD51-CD22-CD29-CD30-CD59</f>
        <v>59812.3738127421</v>
      </c>
      <c r="CE55" s="268" t="n">
        <f aca="false">CE51-CE22-CE29-CE30-CE59</f>
        <v>24058.7291290712</v>
      </c>
      <c r="CF55" s="268" t="n">
        <f aca="false">CF51-CF22-CF29-CF30-CF59</f>
        <v>78222.4611144364</v>
      </c>
      <c r="CG55" s="268" t="n">
        <f aca="false">CG51-CG22-CG29-CG30-CG59</f>
        <v>83977.6855520989</v>
      </c>
      <c r="CH55" s="268" t="n">
        <f aca="false">CH51-CH22-CH29-CH30-CH59</f>
        <v>-393530.221192899</v>
      </c>
      <c r="CI55" s="268" t="n">
        <f aca="false">CI51-CI22-CI29-CI30-CI59</f>
        <v>193510.260526927</v>
      </c>
      <c r="CJ55" s="268" t="n">
        <f aca="false">CJ51-CJ22-CJ29-CJ30-CJ59</f>
        <v>193686.237988371</v>
      </c>
      <c r="CK55" s="268" t="n">
        <f aca="false">CK51-CK22-CK29-CK30-CK59</f>
        <v>204545.836145572</v>
      </c>
      <c r="CL55" s="268" t="n">
        <f aca="false">CL51-CL22-CL29-CL30-CL59</f>
        <v>203441.372257407</v>
      </c>
      <c r="CM55" s="268" t="n">
        <f aca="false">CM51-CM22-CM29-CM30-CM59</f>
        <v>201441.372257407</v>
      </c>
      <c r="CN55" s="268" t="n">
        <f aca="false">CN51-CN22-CN29-CN30-CN59</f>
        <v>201441.372257407</v>
      </c>
      <c r="CO55" s="268" t="n">
        <f aca="false">CO51-CO22-CO29-CO30-CO59</f>
        <v>201441.372257407</v>
      </c>
      <c r="CP55" s="268" t="n">
        <f aca="false">CP51-CP22-CP29-CP30-CP59</f>
        <v>201441.372257407</v>
      </c>
      <c r="CQ55" s="268" t="n">
        <f aca="false">CQ51-CQ22-CQ29-CQ30-CQ59</f>
        <v>201441.372257407</v>
      </c>
      <c r="CR55" s="268" t="n">
        <f aca="false">CR51-CR22-CR29-CR30-CR59</f>
        <v>201441.372257407</v>
      </c>
      <c r="CS55" s="268" t="n">
        <f aca="false">CS51-CS22-CS29-CS30-CS59</f>
        <v>201441.372257407</v>
      </c>
      <c r="CT55" s="268" t="n">
        <f aca="false">CT51-CT22-CT29-CT30-CT59</f>
        <v>201441.372257407</v>
      </c>
      <c r="CU55" s="268" t="n">
        <f aca="false">CU51-CU22-CU29-CU30-CU59</f>
        <v>201441.372257407</v>
      </c>
      <c r="CV55" s="268" t="n">
        <f aca="false">CV51-CV22-CV29-CV30-CV59</f>
        <v>201441.372257407</v>
      </c>
      <c r="CW55" s="268" t="n">
        <f aca="false">CW51-CW22-CW29-CW30-CW59</f>
        <v>201441.372257407</v>
      </c>
      <c r="CX55" s="268" t="n">
        <f aca="false">CX51-CX22-CX29-CX30-CX59</f>
        <v>201441.372257407</v>
      </c>
      <c r="CY55" s="268" t="n">
        <f aca="false">CY51-CY22-CY29-CY30-CY59</f>
        <v>201441.372257407</v>
      </c>
      <c r="CZ55" s="268" t="n">
        <f aca="false">CZ51-CZ22-CZ29-CZ30-CZ59</f>
        <v>201441.372257407</v>
      </c>
      <c r="DA55" s="268" t="n">
        <f aca="false">DA51-DA22-DA29-DA30-DA59</f>
        <v>201441.372257407</v>
      </c>
      <c r="DB55" s="268" t="n">
        <f aca="false">DB51-DB22-DB29-DB30-DB59</f>
        <v>201441.372257407</v>
      </c>
      <c r="DC55" s="268" t="n">
        <f aca="false">DC51-DC22-DC29-DC30-DC59</f>
        <v>201441.372257407</v>
      </c>
      <c r="DD55" s="268" t="n">
        <f aca="false">DD51-DD22-DD29-DD30-DD59</f>
        <v>201441.372257407</v>
      </c>
      <c r="DE55" s="268" t="n">
        <f aca="false">DE51-DE22-DE29-DE30-DE59</f>
        <v>201441.372257407</v>
      </c>
      <c r="DF55" s="268" t="n">
        <f aca="false">DF51-DF22-DF29-DF30-DF59</f>
        <v>201441.372257407</v>
      </c>
      <c r="DG55" s="268" t="n">
        <f aca="false">DG51-DG22-DG29-DG30-DG59</f>
        <v>201441.372257407</v>
      </c>
      <c r="DH55" s="268" t="n">
        <f aca="false">DH51-DH22-DH29-DH30-DH59</f>
        <v>201441.372257407</v>
      </c>
      <c r="DI55" s="268" t="n">
        <f aca="false">DI51-DI22-DI29-DI30-DI59</f>
        <v>201441.372257407</v>
      </c>
      <c r="DJ55" s="268" t="n">
        <f aca="false">DJ51-DJ22-DJ29-DJ30-DJ59</f>
        <v>201441.372257407</v>
      </c>
      <c r="DK55" s="268" t="n">
        <f aca="false">DK51-DK22-DK29-DK30-DK59</f>
        <v>201441.372257407</v>
      </c>
      <c r="DL55" s="268" t="n">
        <f aca="false">DL51-DL22-DL29-DL30-DL59</f>
        <v>201441.372257407</v>
      </c>
      <c r="DM55" s="268" t="n">
        <f aca="false">DM51-DM22-DM29-DM30-DM59</f>
        <v>201441.372257407</v>
      </c>
      <c r="DN55" s="268" t="n">
        <f aca="false">DN51-DN22-DN29-DN30-DN59</f>
        <v>201441.372257407</v>
      </c>
      <c r="DO55" s="268" t="n">
        <f aca="false">DO51-DO22-DO29-DO30-DO59</f>
        <v>201441.372257407</v>
      </c>
      <c r="DP55" s="268" t="n">
        <f aca="false">DP51-DP22-DP29-DP30-DP59</f>
        <v>201441.372257407</v>
      </c>
      <c r="DQ55" s="268" t="n">
        <f aca="false">DQ51-DQ22-DQ29-DQ30-DQ59</f>
        <v>201441.372257407</v>
      </c>
      <c r="DR55" s="268" t="n">
        <f aca="false">DR51-DR22-DR29-DR30-DR59</f>
        <v>201441.372257407</v>
      </c>
      <c r="DS55" s="268" t="n">
        <f aca="false">DS51-DS22-DS29-DS30-DS59</f>
        <v>201441.372257407</v>
      </c>
    </row>
    <row r="56" customFormat="false" ht="15" hidden="false" customHeight="true" outlineLevel="0" collapsed="false">
      <c r="B56" s="295" t="s">
        <v>3550</v>
      </c>
      <c r="D56" s="1" t="n">
        <v>0</v>
      </c>
      <c r="E56" s="1" t="n">
        <v>0</v>
      </c>
      <c r="F56" s="1" t="n">
        <v>0</v>
      </c>
      <c r="G56" s="97" t="n">
        <f aca="false">D25</f>
        <v>0</v>
      </c>
      <c r="H56" s="97" t="n">
        <f aca="false">E25</f>
        <v>0</v>
      </c>
      <c r="I56" s="97" t="n">
        <f aca="false">F25</f>
        <v>0</v>
      </c>
      <c r="J56" s="97" t="n">
        <f aca="false">G25</f>
        <v>0</v>
      </c>
      <c r="K56" s="97" t="n">
        <f aca="false">H25</f>
        <v>0</v>
      </c>
      <c r="L56" s="97" t="n">
        <f aca="false">I25</f>
        <v>0</v>
      </c>
      <c r="M56" s="97" t="n">
        <f aca="false">J25</f>
        <v>0</v>
      </c>
      <c r="N56" s="97" t="n">
        <f aca="false">K25</f>
        <v>0</v>
      </c>
      <c r="O56" s="97" t="n">
        <f aca="false">L25</f>
        <v>0</v>
      </c>
      <c r="P56" s="97" t="n">
        <f aca="false">M25</f>
        <v>0</v>
      </c>
      <c r="Q56" s="97" t="n">
        <f aca="false">N25</f>
        <v>0</v>
      </c>
      <c r="R56" s="97" t="n">
        <f aca="false">O25</f>
        <v>0</v>
      </c>
      <c r="S56" s="97" t="n">
        <f aca="false">P25</f>
        <v>0</v>
      </c>
      <c r="T56" s="97" t="n">
        <f aca="false">Q25</f>
        <v>0</v>
      </c>
      <c r="U56" s="97" t="n">
        <f aca="false">R25</f>
        <v>0</v>
      </c>
      <c r="V56" s="97" t="n">
        <f aca="false">S25</f>
        <v>1</v>
      </c>
      <c r="W56" s="97" t="n">
        <f aca="false">T25</f>
        <v>2</v>
      </c>
      <c r="X56" s="97" t="n">
        <f aca="false">U25</f>
        <v>2</v>
      </c>
      <c r="Y56" s="97" t="n">
        <f aca="false">V25</f>
        <v>3</v>
      </c>
      <c r="Z56" s="97" t="n">
        <f aca="false">W25</f>
        <v>3</v>
      </c>
      <c r="AA56" s="97" t="n">
        <f aca="false">X25</f>
        <v>3</v>
      </c>
      <c r="AB56" s="97" t="n">
        <f aca="false">Y25</f>
        <v>3</v>
      </c>
      <c r="AC56" s="97" t="n">
        <f aca="false">Z25</f>
        <v>3</v>
      </c>
      <c r="AD56" s="97" t="n">
        <f aca="false">AA25</f>
        <v>3</v>
      </c>
      <c r="AE56" s="97" t="n">
        <f aca="false">AB25</f>
        <v>3</v>
      </c>
      <c r="AF56" s="97" t="n">
        <f aca="false">AC25</f>
        <v>3</v>
      </c>
      <c r="AG56" s="97" t="n">
        <f aca="false">AD25</f>
        <v>3</v>
      </c>
      <c r="AH56" s="97" t="n">
        <f aca="false">AE25</f>
        <v>3</v>
      </c>
      <c r="AI56" s="97" t="n">
        <f aca="false">AF25</f>
        <v>4</v>
      </c>
      <c r="AJ56" s="97" t="n">
        <f aca="false">AG25</f>
        <v>5</v>
      </c>
      <c r="AK56" s="97" t="n">
        <f aca="false">AH25</f>
        <v>5</v>
      </c>
      <c r="AL56" s="97" t="n">
        <f aca="false">AI25</f>
        <v>6</v>
      </c>
      <c r="AM56" s="97" t="n">
        <f aca="false">AJ25</f>
        <v>6</v>
      </c>
      <c r="AN56" s="97" t="n">
        <f aca="false">AK25</f>
        <v>7</v>
      </c>
      <c r="AO56" s="97" t="n">
        <f aca="false">AL25</f>
        <v>7</v>
      </c>
      <c r="AP56" s="97" t="n">
        <f aca="false">AM25</f>
        <v>7</v>
      </c>
      <c r="AQ56" s="97" t="n">
        <f aca="false">AN25</f>
        <v>8</v>
      </c>
      <c r="AR56" s="97" t="n">
        <f aca="false">AO25</f>
        <v>9</v>
      </c>
      <c r="AS56" s="97" t="n">
        <f aca="false">AP25</f>
        <v>10</v>
      </c>
      <c r="AT56" s="97" t="n">
        <f aca="false">AQ25</f>
        <v>11</v>
      </c>
      <c r="AU56" s="97" t="n">
        <f aca="false">AR25</f>
        <v>11</v>
      </c>
      <c r="AV56" s="97" t="n">
        <f aca="false">AS25</f>
        <v>11</v>
      </c>
      <c r="AW56" s="97" t="n">
        <f aca="false">AT25</f>
        <v>12</v>
      </c>
      <c r="AX56" s="97" t="n">
        <f aca="false">AU25</f>
        <v>12</v>
      </c>
      <c r="AY56" s="97" t="n">
        <f aca="false">AV25</f>
        <v>13</v>
      </c>
      <c r="AZ56" s="97" t="n">
        <f aca="false">AW25</f>
        <v>14</v>
      </c>
      <c r="BA56" s="97" t="n">
        <f aca="false">AX25</f>
        <v>14</v>
      </c>
      <c r="BB56" s="97" t="n">
        <f aca="false">AY25</f>
        <v>14</v>
      </c>
      <c r="BC56" s="97" t="n">
        <f aca="false">AZ25</f>
        <v>14</v>
      </c>
      <c r="BD56" s="97" t="n">
        <f aca="false">BA25</f>
        <v>14</v>
      </c>
      <c r="BE56" s="97" t="n">
        <f aca="false">BB25</f>
        <v>14</v>
      </c>
      <c r="BF56" s="97" t="n">
        <f aca="false">BC25</f>
        <v>14</v>
      </c>
      <c r="BG56" s="97" t="n">
        <f aca="false">BD25</f>
        <v>14</v>
      </c>
      <c r="BH56" s="97" t="n">
        <f aca="false">BE25</f>
        <v>14</v>
      </c>
      <c r="BI56" s="97" t="n">
        <f aca="false">BF25</f>
        <v>15</v>
      </c>
      <c r="BJ56" s="97" t="n">
        <f aca="false">BG25</f>
        <v>16</v>
      </c>
      <c r="BK56" s="97" t="n">
        <f aca="false">BH25</f>
        <v>17</v>
      </c>
      <c r="BL56" s="97" t="n">
        <f aca="false">BI25</f>
        <v>18</v>
      </c>
      <c r="BM56" s="97" t="n">
        <f aca="false">BJ25</f>
        <v>19</v>
      </c>
      <c r="BN56" s="97" t="n">
        <f aca="false">BK25</f>
        <v>20</v>
      </c>
      <c r="BO56" s="97" t="n">
        <f aca="false">BL25</f>
        <v>20</v>
      </c>
      <c r="BP56" s="97" t="n">
        <f aca="false">BM25</f>
        <v>21</v>
      </c>
      <c r="BQ56" s="97" t="n">
        <f aca="false">BN25</f>
        <v>22</v>
      </c>
      <c r="BR56" s="97" t="n">
        <f aca="false">BO25</f>
        <v>23</v>
      </c>
      <c r="BS56" s="97" t="n">
        <f aca="false">BP25</f>
        <v>24</v>
      </c>
      <c r="BT56" s="97" t="n">
        <f aca="false">BQ25</f>
        <v>25</v>
      </c>
      <c r="BU56" s="97" t="n">
        <f aca="false">BR25</f>
        <v>26</v>
      </c>
      <c r="BV56" s="97" t="n">
        <f aca="false">BS25</f>
        <v>27</v>
      </c>
      <c r="BW56" s="97" t="n">
        <f aca="false">BT25</f>
        <v>28</v>
      </c>
      <c r="BX56" s="97" t="n">
        <f aca="false">BU25</f>
        <v>29</v>
      </c>
      <c r="BY56" s="97" t="n">
        <f aca="false">BV25</f>
        <v>29</v>
      </c>
      <c r="BZ56" s="97" t="n">
        <f aca="false">BW25</f>
        <v>30</v>
      </c>
      <c r="CA56" s="97" t="n">
        <f aca="false">BX25</f>
        <v>31</v>
      </c>
      <c r="CB56" s="97" t="n">
        <f aca="false">BY25</f>
        <v>32</v>
      </c>
      <c r="CC56" s="97" t="n">
        <f aca="false">BZ25</f>
        <v>33</v>
      </c>
      <c r="CD56" s="97" t="n">
        <f aca="false">CA25</f>
        <v>34</v>
      </c>
      <c r="CE56" s="97" t="n">
        <f aca="false">CB25</f>
        <v>35</v>
      </c>
      <c r="CF56" s="97" t="n">
        <f aca="false">CC25</f>
        <v>36</v>
      </c>
      <c r="CG56" s="97" t="n">
        <f aca="false">CD25</f>
        <v>37</v>
      </c>
      <c r="CH56" s="97" t="n">
        <f aca="false">CE25</f>
        <v>38</v>
      </c>
      <c r="CI56" s="97" t="n">
        <f aca="false">CF25</f>
        <v>39</v>
      </c>
      <c r="CJ56" s="97" t="n">
        <f aca="false">CG25</f>
        <v>40</v>
      </c>
      <c r="CK56" s="97" t="n">
        <f aca="false">CH25</f>
        <v>40</v>
      </c>
      <c r="CL56" s="97" t="n">
        <f aca="false">CI25</f>
        <v>40</v>
      </c>
      <c r="CM56" s="97" t="n">
        <f aca="false">CJ25</f>
        <v>40</v>
      </c>
      <c r="CN56" s="97" t="n">
        <f aca="false">CK25</f>
        <v>40</v>
      </c>
      <c r="CO56" s="97" t="n">
        <f aca="false">CL25</f>
        <v>40</v>
      </c>
      <c r="CP56" s="97" t="n">
        <f aca="false">CM25</f>
        <v>40</v>
      </c>
      <c r="CQ56" s="97" t="n">
        <f aca="false">CN25</f>
        <v>40</v>
      </c>
      <c r="CR56" s="97" t="n">
        <f aca="false">CO25</f>
        <v>40</v>
      </c>
      <c r="CS56" s="97" t="n">
        <f aca="false">CP25</f>
        <v>40</v>
      </c>
      <c r="CT56" s="97" t="n">
        <f aca="false">CQ25</f>
        <v>40</v>
      </c>
      <c r="CU56" s="97" t="n">
        <f aca="false">CR25</f>
        <v>40</v>
      </c>
      <c r="CV56" s="97" t="n">
        <f aca="false">CS25</f>
        <v>40</v>
      </c>
      <c r="CW56" s="97" t="n">
        <f aca="false">CT25</f>
        <v>40</v>
      </c>
      <c r="CX56" s="97" t="n">
        <f aca="false">CU25</f>
        <v>40</v>
      </c>
      <c r="CY56" s="97" t="n">
        <f aca="false">CV25</f>
        <v>40</v>
      </c>
      <c r="CZ56" s="97" t="n">
        <f aca="false">CW25</f>
        <v>40</v>
      </c>
      <c r="DA56" s="97" t="n">
        <f aca="false">CX25</f>
        <v>40</v>
      </c>
      <c r="DB56" s="97" t="n">
        <f aca="false">CY25</f>
        <v>40</v>
      </c>
      <c r="DC56" s="97" t="n">
        <f aca="false">CZ25</f>
        <v>40</v>
      </c>
      <c r="DD56" s="97" t="n">
        <f aca="false">DA25</f>
        <v>40</v>
      </c>
      <c r="DE56" s="97" t="n">
        <f aca="false">DB25</f>
        <v>40</v>
      </c>
      <c r="DF56" s="97" t="n">
        <f aca="false">DC25</f>
        <v>40</v>
      </c>
      <c r="DG56" s="97" t="n">
        <f aca="false">DD25</f>
        <v>40</v>
      </c>
      <c r="DH56" s="97" t="n">
        <f aca="false">DE25</f>
        <v>40</v>
      </c>
      <c r="DI56" s="97" t="n">
        <f aca="false">DF25</f>
        <v>40</v>
      </c>
      <c r="DJ56" s="97" t="n">
        <f aca="false">DG25</f>
        <v>40</v>
      </c>
      <c r="DK56" s="97" t="n">
        <f aca="false">DH25</f>
        <v>40</v>
      </c>
      <c r="DL56" s="97" t="n">
        <f aca="false">DI25</f>
        <v>40</v>
      </c>
      <c r="DM56" s="97" t="n">
        <f aca="false">DJ25</f>
        <v>40</v>
      </c>
      <c r="DN56" s="97" t="n">
        <f aca="false">DK25</f>
        <v>40</v>
      </c>
      <c r="DO56" s="97" t="n">
        <f aca="false">DL25</f>
        <v>40</v>
      </c>
      <c r="DP56" s="97" t="n">
        <f aca="false">DM25</f>
        <v>40</v>
      </c>
      <c r="DQ56" s="97" t="n">
        <f aca="false">DN25</f>
        <v>40</v>
      </c>
      <c r="DR56" s="97" t="n">
        <f aca="false">DO25</f>
        <v>40</v>
      </c>
      <c r="DS56" s="97" t="n">
        <f aca="false">DP25</f>
        <v>40</v>
      </c>
    </row>
    <row r="57" customFormat="false" ht="15" hidden="false" customHeight="true" outlineLevel="0" collapsed="false">
      <c r="A57" s="186" t="s">
        <v>3551</v>
      </c>
      <c r="B57" s="568" t="s">
        <v>3552</v>
      </c>
      <c r="C57" s="25"/>
      <c r="D57" s="1" t="n">
        <v>0</v>
      </c>
      <c r="E57" s="1" t="n">
        <v>0</v>
      </c>
      <c r="F57" s="1" t="n">
        <v>0</v>
      </c>
      <c r="G57" s="1" t="n">
        <f aca="false">D56</f>
        <v>0</v>
      </c>
      <c r="H57" s="1" t="n">
        <f aca="false">E56</f>
        <v>0</v>
      </c>
      <c r="I57" s="1" t="n">
        <f aca="false">F56</f>
        <v>0</v>
      </c>
      <c r="J57" s="97" t="n">
        <f aca="false">G56</f>
        <v>0</v>
      </c>
      <c r="K57" s="97" t="n">
        <f aca="false">H56</f>
        <v>0</v>
      </c>
      <c r="L57" s="97" t="n">
        <f aca="false">I56</f>
        <v>0</v>
      </c>
      <c r="M57" s="97" t="n">
        <f aca="false">J56</f>
        <v>0</v>
      </c>
      <c r="N57" s="97" t="n">
        <f aca="false">K56</f>
        <v>0</v>
      </c>
      <c r="O57" s="97" t="n">
        <f aca="false">L56</f>
        <v>0</v>
      </c>
      <c r="P57" s="97" t="n">
        <f aca="false">M56</f>
        <v>0</v>
      </c>
      <c r="Q57" s="97" t="n">
        <f aca="false">N56</f>
        <v>0</v>
      </c>
      <c r="R57" s="97" t="n">
        <f aca="false">O56</f>
        <v>0</v>
      </c>
      <c r="S57" s="97" t="n">
        <f aca="false">P56</f>
        <v>0</v>
      </c>
      <c r="T57" s="97" t="n">
        <f aca="false">Q56</f>
        <v>0</v>
      </c>
      <c r="U57" s="97" t="n">
        <f aca="false">R56</f>
        <v>0</v>
      </c>
      <c r="V57" s="97" t="n">
        <f aca="false">S56</f>
        <v>0</v>
      </c>
      <c r="W57" s="97" t="n">
        <f aca="false">T56</f>
        <v>0</v>
      </c>
      <c r="X57" s="97" t="n">
        <f aca="false">U56</f>
        <v>0</v>
      </c>
      <c r="Y57" s="97" t="n">
        <f aca="false">V56</f>
        <v>1</v>
      </c>
      <c r="Z57" s="97" t="n">
        <f aca="false">W56</f>
        <v>2</v>
      </c>
      <c r="AA57" s="97" t="n">
        <f aca="false">X56</f>
        <v>2</v>
      </c>
      <c r="AB57" s="97" t="n">
        <f aca="false">Y56</f>
        <v>3</v>
      </c>
      <c r="AC57" s="97" t="n">
        <f aca="false">Z56</f>
        <v>3</v>
      </c>
      <c r="AD57" s="97" t="n">
        <f aca="false">AA56</f>
        <v>3</v>
      </c>
      <c r="AE57" s="97" t="n">
        <f aca="false">AB56</f>
        <v>3</v>
      </c>
      <c r="AF57" s="97" t="n">
        <f aca="false">AC56</f>
        <v>3</v>
      </c>
      <c r="AG57" s="97" t="n">
        <f aca="false">AD56</f>
        <v>3</v>
      </c>
      <c r="AH57" s="97" t="n">
        <f aca="false">AE56</f>
        <v>3</v>
      </c>
      <c r="AI57" s="97" t="n">
        <f aca="false">AF56</f>
        <v>3</v>
      </c>
      <c r="AJ57" s="97" t="n">
        <f aca="false">AG56</f>
        <v>3</v>
      </c>
      <c r="AK57" s="97" t="n">
        <f aca="false">AH56</f>
        <v>3</v>
      </c>
      <c r="AL57" s="97" t="n">
        <f aca="false">AI56</f>
        <v>4</v>
      </c>
      <c r="AM57" s="97" t="n">
        <f aca="false">AJ56</f>
        <v>5</v>
      </c>
      <c r="AN57" s="97" t="n">
        <f aca="false">AK56</f>
        <v>5</v>
      </c>
      <c r="AO57" s="97" t="n">
        <f aca="false">AL56</f>
        <v>6</v>
      </c>
      <c r="AP57" s="97" t="n">
        <f aca="false">AM56</f>
        <v>6</v>
      </c>
      <c r="AQ57" s="97" t="n">
        <f aca="false">AN56</f>
        <v>7</v>
      </c>
      <c r="AR57" s="97" t="n">
        <f aca="false">AO56</f>
        <v>7</v>
      </c>
      <c r="AS57" s="97" t="n">
        <f aca="false">AP56</f>
        <v>7</v>
      </c>
      <c r="AT57" s="97" t="n">
        <f aca="false">AQ56</f>
        <v>8</v>
      </c>
      <c r="AU57" s="97" t="n">
        <f aca="false">AR56</f>
        <v>9</v>
      </c>
      <c r="AV57" s="97" t="n">
        <f aca="false">AS56</f>
        <v>10</v>
      </c>
      <c r="AW57" s="97" t="n">
        <f aca="false">AT56</f>
        <v>11</v>
      </c>
      <c r="AX57" s="97" t="n">
        <f aca="false">AU56</f>
        <v>11</v>
      </c>
      <c r="AY57" s="97" t="n">
        <f aca="false">AV56</f>
        <v>11</v>
      </c>
      <c r="AZ57" s="97" t="n">
        <f aca="false">AW56</f>
        <v>12</v>
      </c>
      <c r="BA57" s="97" t="n">
        <f aca="false">AX56</f>
        <v>12</v>
      </c>
      <c r="BB57" s="97" t="n">
        <f aca="false">AY56</f>
        <v>13</v>
      </c>
      <c r="BC57" s="97" t="n">
        <f aca="false">AZ56</f>
        <v>14</v>
      </c>
      <c r="BD57" s="97" t="n">
        <f aca="false">BA56</f>
        <v>14</v>
      </c>
      <c r="BE57" s="97" t="n">
        <f aca="false">BB56</f>
        <v>14</v>
      </c>
      <c r="BF57" s="97" t="n">
        <f aca="false">BC56</f>
        <v>14</v>
      </c>
      <c r="BG57" s="97" t="n">
        <f aca="false">BD56</f>
        <v>14</v>
      </c>
      <c r="BH57" s="97" t="n">
        <f aca="false">BE56</f>
        <v>14</v>
      </c>
      <c r="BI57" s="97" t="n">
        <f aca="false">BF56</f>
        <v>14</v>
      </c>
      <c r="BJ57" s="97" t="n">
        <f aca="false">BG56</f>
        <v>14</v>
      </c>
      <c r="BK57" s="97" t="n">
        <f aca="false">BH56</f>
        <v>14</v>
      </c>
      <c r="BL57" s="97" t="n">
        <f aca="false">BI56</f>
        <v>15</v>
      </c>
      <c r="BM57" s="97" t="n">
        <f aca="false">BJ56</f>
        <v>16</v>
      </c>
      <c r="BN57" s="97" t="n">
        <f aca="false">BK56</f>
        <v>17</v>
      </c>
      <c r="BO57" s="97" t="n">
        <f aca="false">BL56</f>
        <v>18</v>
      </c>
      <c r="BP57" s="97" t="n">
        <f aca="false">BM56</f>
        <v>19</v>
      </c>
      <c r="BQ57" s="97" t="n">
        <f aca="false">BN56</f>
        <v>20</v>
      </c>
      <c r="BR57" s="97" t="n">
        <f aca="false">BO56</f>
        <v>20</v>
      </c>
      <c r="BS57" s="97" t="n">
        <f aca="false">BP56</f>
        <v>21</v>
      </c>
      <c r="BT57" s="97" t="n">
        <f aca="false">BQ56</f>
        <v>22</v>
      </c>
      <c r="BU57" s="97" t="n">
        <f aca="false">BR56</f>
        <v>23</v>
      </c>
      <c r="BV57" s="97" t="n">
        <f aca="false">BS56</f>
        <v>24</v>
      </c>
      <c r="BW57" s="97" t="n">
        <f aca="false">BT56</f>
        <v>25</v>
      </c>
      <c r="BX57" s="97" t="n">
        <f aca="false">BU56</f>
        <v>26</v>
      </c>
      <c r="BY57" s="97" t="n">
        <f aca="false">BV56</f>
        <v>27</v>
      </c>
      <c r="BZ57" s="97" t="n">
        <f aca="false">BW56</f>
        <v>28</v>
      </c>
      <c r="CA57" s="97" t="n">
        <f aca="false">BX56</f>
        <v>29</v>
      </c>
      <c r="CB57" s="97" t="n">
        <f aca="false">BY56</f>
        <v>29</v>
      </c>
      <c r="CC57" s="97" t="n">
        <f aca="false">BZ56</f>
        <v>30</v>
      </c>
      <c r="CD57" s="97" t="n">
        <f aca="false">CA56</f>
        <v>31</v>
      </c>
      <c r="CE57" s="97" t="n">
        <f aca="false">CB56</f>
        <v>32</v>
      </c>
      <c r="CF57" s="97" t="n">
        <f aca="false">CC56</f>
        <v>33</v>
      </c>
      <c r="CG57" s="97" t="n">
        <f aca="false">CD56</f>
        <v>34</v>
      </c>
      <c r="CH57" s="97" t="n">
        <f aca="false">CE56</f>
        <v>35</v>
      </c>
      <c r="CI57" s="97" t="n">
        <f aca="false">CF56</f>
        <v>36</v>
      </c>
      <c r="CJ57" s="97" t="n">
        <f aca="false">CG56</f>
        <v>37</v>
      </c>
      <c r="CK57" s="97" t="n">
        <f aca="false">CH56</f>
        <v>38</v>
      </c>
      <c r="CL57" s="97" t="n">
        <f aca="false">CI56</f>
        <v>39</v>
      </c>
      <c r="CM57" s="97" t="n">
        <f aca="false">CJ56</f>
        <v>40</v>
      </c>
      <c r="CN57" s="97" t="n">
        <f aca="false">CK56</f>
        <v>40</v>
      </c>
      <c r="CO57" s="97" t="n">
        <f aca="false">CL56</f>
        <v>40</v>
      </c>
      <c r="CP57" s="97" t="n">
        <f aca="false">CM56</f>
        <v>40</v>
      </c>
      <c r="CQ57" s="97" t="n">
        <f aca="false">CN56</f>
        <v>40</v>
      </c>
      <c r="CR57" s="97" t="n">
        <f aca="false">CO56</f>
        <v>40</v>
      </c>
      <c r="CS57" s="97" t="n">
        <f aca="false">CP56</f>
        <v>40</v>
      </c>
      <c r="CT57" s="97" t="n">
        <f aca="false">CQ56</f>
        <v>40</v>
      </c>
      <c r="CU57" s="97" t="n">
        <f aca="false">CR56</f>
        <v>40</v>
      </c>
      <c r="CV57" s="97" t="n">
        <f aca="false">CS56</f>
        <v>40</v>
      </c>
      <c r="CW57" s="97" t="n">
        <f aca="false">CT56</f>
        <v>40</v>
      </c>
      <c r="CX57" s="97" t="n">
        <f aca="false">CU56</f>
        <v>40</v>
      </c>
      <c r="CY57" s="97" t="n">
        <f aca="false">CV56</f>
        <v>40</v>
      </c>
      <c r="CZ57" s="97" t="n">
        <f aca="false">CW56</f>
        <v>40</v>
      </c>
      <c r="DA57" s="97" t="n">
        <f aca="false">CX56</f>
        <v>40</v>
      </c>
      <c r="DB57" s="97" t="n">
        <f aca="false">CY56</f>
        <v>40</v>
      </c>
      <c r="DC57" s="97" t="n">
        <f aca="false">CZ56</f>
        <v>40</v>
      </c>
      <c r="DD57" s="97" t="n">
        <f aca="false">DA56</f>
        <v>40</v>
      </c>
      <c r="DE57" s="97" t="n">
        <f aca="false">DB56</f>
        <v>40</v>
      </c>
      <c r="DF57" s="97" t="n">
        <f aca="false">DC56</f>
        <v>40</v>
      </c>
      <c r="DG57" s="97" t="n">
        <f aca="false">DD56</f>
        <v>40</v>
      </c>
      <c r="DH57" s="97" t="n">
        <f aca="false">DE56</f>
        <v>40</v>
      </c>
      <c r="DI57" s="97" t="n">
        <f aca="false">DF56</f>
        <v>40</v>
      </c>
      <c r="DJ57" s="97" t="n">
        <f aca="false">DG56</f>
        <v>40</v>
      </c>
      <c r="DK57" s="97" t="n">
        <f aca="false">DH56</f>
        <v>40</v>
      </c>
      <c r="DL57" s="97" t="n">
        <f aca="false">DI56</f>
        <v>40</v>
      </c>
      <c r="DM57" s="97" t="n">
        <f aca="false">DJ56</f>
        <v>40</v>
      </c>
      <c r="DN57" s="97" t="n">
        <f aca="false">DK56</f>
        <v>40</v>
      </c>
      <c r="DO57" s="97" t="n">
        <f aca="false">DL56</f>
        <v>40</v>
      </c>
      <c r="DP57" s="97" t="n">
        <f aca="false">DM56</f>
        <v>40</v>
      </c>
      <c r="DQ57" s="97" t="n">
        <f aca="false">DN56</f>
        <v>40</v>
      </c>
      <c r="DR57" s="97" t="n">
        <f aca="false">DO56</f>
        <v>40</v>
      </c>
      <c r="DS57" s="97" t="n">
        <f aca="false">DP56</f>
        <v>40</v>
      </c>
    </row>
    <row r="58" customFormat="false" ht="15" hidden="false" customHeight="true" outlineLevel="0" collapsed="false">
      <c r="B58" s="178" t="s">
        <v>3553</v>
      </c>
      <c r="C58" s="275" t="n">
        <f aca="false">DS25</f>
        <v>40</v>
      </c>
    </row>
    <row r="59" customFormat="false" ht="15" hidden="false" customHeight="true" outlineLevel="0" collapsed="false">
      <c r="B59" s="295" t="s">
        <v>3554</v>
      </c>
      <c r="C59" s="275" t="n">
        <f aca="false">DS35</f>
        <v>50</v>
      </c>
      <c r="D59" s="1" t="n">
        <f aca="false">D65+D66</f>
        <v>0</v>
      </c>
      <c r="E59" s="1" t="n">
        <f aca="false">E65+E66</f>
        <v>0</v>
      </c>
      <c r="F59" s="1" t="n">
        <f aca="false">F65+F66</f>
        <v>0</v>
      </c>
      <c r="G59" s="1" t="n">
        <f aca="false">G65+G66</f>
        <v>0</v>
      </c>
      <c r="H59" s="1" t="n">
        <f aca="false">H65+H66</f>
        <v>0</v>
      </c>
      <c r="I59" s="1" t="n">
        <f aca="false">I65+I66</f>
        <v>0</v>
      </c>
      <c r="J59" s="1" t="n">
        <f aca="false">J65+J66</f>
        <v>0</v>
      </c>
      <c r="K59" s="1" t="n">
        <f aca="false">K65+K66</f>
        <v>0</v>
      </c>
      <c r="L59" s="1" t="n">
        <f aca="false">L65+L66</f>
        <v>0</v>
      </c>
      <c r="M59" s="1" t="n">
        <f aca="false">M65+M66</f>
        <v>0</v>
      </c>
      <c r="N59" s="1" t="n">
        <f aca="false">N65+N66</f>
        <v>0</v>
      </c>
      <c r="O59" s="1" t="n">
        <f aca="false">O65+O66</f>
        <v>0</v>
      </c>
      <c r="P59" s="1" t="n">
        <f aca="false">P65+P66</f>
        <v>0</v>
      </c>
      <c r="Q59" s="1" t="n">
        <f aca="false">Q65+Q66</f>
        <v>0</v>
      </c>
      <c r="R59" s="1" t="n">
        <f aca="false">R65+R66</f>
        <v>0</v>
      </c>
      <c r="S59" s="1" t="n">
        <f aca="false">S65+S66</f>
        <v>0</v>
      </c>
      <c r="T59" s="1" t="n">
        <f aca="false">T65+T66</f>
        <v>0</v>
      </c>
      <c r="U59" s="1" t="n">
        <f aca="false">U65+U66</f>
        <v>0</v>
      </c>
      <c r="V59" s="1" t="n">
        <f aca="false">V65+V66</f>
        <v>10000</v>
      </c>
      <c r="W59" s="1" t="n">
        <f aca="false">W65+W66</f>
        <v>8000</v>
      </c>
      <c r="X59" s="1" t="n">
        <f aca="false">X65+X66</f>
        <v>-4000</v>
      </c>
      <c r="Y59" s="1" t="n">
        <f aca="false">Y65+Y66</f>
        <v>8000</v>
      </c>
      <c r="Z59" s="1" t="n">
        <f aca="false">Z65+Z66</f>
        <v>-2000</v>
      </c>
      <c r="AA59" s="1" t="n">
        <f aca="false">AA65+AA66</f>
        <v>-2000</v>
      </c>
      <c r="AB59" s="1" t="n">
        <f aca="false">AB65+AB66</f>
        <v>0</v>
      </c>
      <c r="AC59" s="1" t="n">
        <f aca="false">AC65+AC66</f>
        <v>0</v>
      </c>
      <c r="AD59" s="1" t="n">
        <f aca="false">AD65+AD66</f>
        <v>0</v>
      </c>
      <c r="AE59" s="1" t="n">
        <f aca="false">AE65+AE66</f>
        <v>0</v>
      </c>
      <c r="AF59" s="1" t="n">
        <f aca="false">AF65+AF66</f>
        <v>0</v>
      </c>
      <c r="AG59" s="1" t="n">
        <f aca="false">AG65+AG66</f>
        <v>0</v>
      </c>
      <c r="AH59" s="1" t="n">
        <f aca="false">AH65+AH66</f>
        <v>0</v>
      </c>
      <c r="AI59" s="1" t="n">
        <f aca="false">AI65+AI66</f>
        <v>16000</v>
      </c>
      <c r="AJ59" s="1" t="n">
        <f aca="false">AJ65+AJ66</f>
        <v>6800</v>
      </c>
      <c r="AK59" s="1" t="n">
        <f aca="false">AK65+AK66</f>
        <v>-5200</v>
      </c>
      <c r="AL59" s="1" t="n">
        <f aca="false">AL65+AL66</f>
        <v>8000</v>
      </c>
      <c r="AM59" s="1" t="n">
        <f aca="false">AM65+AM66</f>
        <v>-2000</v>
      </c>
      <c r="AN59" s="1" t="n">
        <f aca="false">AN65+AN66</f>
        <v>8000</v>
      </c>
      <c r="AO59" s="1" t="n">
        <f aca="false">AO65+AO66</f>
        <v>-2000</v>
      </c>
      <c r="AP59" s="1" t="n">
        <f aca="false">AP65+AP66</f>
        <v>-2000</v>
      </c>
      <c r="AQ59" s="1" t="n">
        <f aca="false">AQ65+AQ66</f>
        <v>16000</v>
      </c>
      <c r="AR59" s="1" t="n">
        <f aca="false">AR65+AR66</f>
        <v>6800</v>
      </c>
      <c r="AS59" s="1" t="n">
        <f aca="false">AS65+AS66</f>
        <v>4800</v>
      </c>
      <c r="AT59" s="1" t="n">
        <f aca="false">AT65+AT66</f>
        <v>6000</v>
      </c>
      <c r="AU59" s="1" t="n">
        <f aca="false">AU65+AU66</f>
        <v>-4000</v>
      </c>
      <c r="AV59" s="1" t="n">
        <f aca="false">AV65+AV66</f>
        <v>-2000</v>
      </c>
      <c r="AW59" s="1" t="n">
        <f aca="false">AW65+AW66</f>
        <v>16000</v>
      </c>
      <c r="AX59" s="1" t="n">
        <f aca="false">AX65+AX66</f>
        <v>-3200</v>
      </c>
      <c r="AY59" s="1" t="n">
        <f aca="false">AY65+AY66</f>
        <v>6800</v>
      </c>
      <c r="AZ59" s="1" t="n">
        <f aca="false">AZ65+AZ66</f>
        <v>8000</v>
      </c>
      <c r="BA59" s="1" t="n">
        <f aca="false">BA65+BA66</f>
        <v>-4000</v>
      </c>
      <c r="BB59" s="1" t="n">
        <f aca="false">BB65+BB66</f>
        <v>-2000</v>
      </c>
      <c r="BC59" s="1" t="n">
        <f aca="false">BC65+BC66</f>
        <v>0</v>
      </c>
      <c r="BD59" s="1" t="n">
        <f aca="false">BD65+BD66</f>
        <v>0</v>
      </c>
      <c r="BE59" s="1" t="n">
        <f aca="false">BE65+BE66</f>
        <v>0</v>
      </c>
      <c r="BF59" s="1" t="n">
        <f aca="false">BF65+BF66</f>
        <v>0</v>
      </c>
      <c r="BG59" s="1" t="n">
        <f aca="false">BG65+BG66</f>
        <v>0</v>
      </c>
      <c r="BH59" s="1" t="n">
        <f aca="false">BH65+BH66</f>
        <v>0</v>
      </c>
      <c r="BI59" s="1" t="n">
        <f aca="false">BI65+BI66</f>
        <v>50000</v>
      </c>
      <c r="BJ59" s="1" t="n">
        <f aca="false">BJ65+BJ66</f>
        <v>0</v>
      </c>
      <c r="BK59" s="1" t="n">
        <f aca="false">BK65+BK66</f>
        <v>4000</v>
      </c>
      <c r="BL59" s="1" t="n">
        <f aca="false">BL65+BL66</f>
        <v>4800</v>
      </c>
      <c r="BM59" s="1" t="n">
        <f aca="false">BM65+BM66</f>
        <v>4800</v>
      </c>
      <c r="BN59" s="1" t="n">
        <f aca="false">BN65+BN66</f>
        <v>6000</v>
      </c>
      <c r="BO59" s="1" t="n">
        <f aca="false">BO65+BO66</f>
        <v>-4000</v>
      </c>
      <c r="BP59" s="1" t="n">
        <f aca="false">BP65+BP66</f>
        <v>14000</v>
      </c>
      <c r="BQ59" s="1" t="n">
        <f aca="false">BQ65+BQ66</f>
        <v>6800</v>
      </c>
      <c r="BR59" s="1" t="n">
        <f aca="false">BR65+BR66</f>
        <v>4800</v>
      </c>
      <c r="BS59" s="1" t="n">
        <f aca="false">BS65+BS66</f>
        <v>6000</v>
      </c>
      <c r="BT59" s="1" t="n">
        <f aca="false">BT65+BT66</f>
        <v>12000</v>
      </c>
      <c r="BU59" s="1" t="n">
        <f aca="false">BU65+BU66</f>
        <v>4800</v>
      </c>
      <c r="BV59" s="1" t="n">
        <f aca="false">BV65+BV66</f>
        <v>4800</v>
      </c>
      <c r="BW59" s="1" t="n">
        <f aca="false">BW65+BW66</f>
        <v>6000</v>
      </c>
      <c r="BX59" s="1" t="n">
        <f aca="false">BX65+BX66</f>
        <v>12000</v>
      </c>
      <c r="BY59" s="1" t="n">
        <f aca="false">BY65+BY66</f>
        <v>-5200</v>
      </c>
      <c r="BZ59" s="1" t="n">
        <f aca="false">BZ65+BZ66</f>
        <v>46800</v>
      </c>
      <c r="CA59" s="1" t="n">
        <f aca="false">CA65+CA66</f>
        <v>0</v>
      </c>
      <c r="CB59" s="1" t="n">
        <f aca="false">CB65+CB66</f>
        <v>-2000</v>
      </c>
      <c r="CC59" s="1" t="n">
        <f aca="false">CC65+CC66</f>
        <v>6000</v>
      </c>
      <c r="CD59" s="1" t="n">
        <f aca="false">CD65+CD66</f>
        <v>12000</v>
      </c>
      <c r="CE59" s="1" t="n">
        <f aca="false">CE65+CE66</f>
        <v>4800</v>
      </c>
      <c r="CF59" s="1" t="n">
        <f aca="false">CF65+CF66</f>
        <v>4800</v>
      </c>
      <c r="CG59" s="1" t="n">
        <f aca="false">CG65+CG66</f>
        <v>6000</v>
      </c>
      <c r="CH59" s="1" t="n">
        <f aca="false">CH65+CH66</f>
        <v>12000</v>
      </c>
      <c r="CI59" s="1" t="n">
        <f aca="false">CI65+CI66</f>
        <v>4800</v>
      </c>
      <c r="CJ59" s="1" t="n">
        <f aca="false">CJ65+CJ66</f>
        <v>4800</v>
      </c>
      <c r="CK59" s="1" t="n">
        <f aca="false">CK65+CK66</f>
        <v>-4000</v>
      </c>
      <c r="CL59" s="1" t="n">
        <f aca="false">CL65+CL66</f>
        <v>-2000</v>
      </c>
      <c r="CM59" s="1" t="n">
        <f aca="false">CM65+CM66</f>
        <v>0</v>
      </c>
      <c r="CN59" s="1" t="n">
        <f aca="false">CN65+CN66</f>
        <v>0</v>
      </c>
      <c r="CO59" s="1" t="n">
        <f aca="false">CO65+CO66</f>
        <v>0</v>
      </c>
      <c r="CP59" s="1" t="n">
        <f aca="false">CP65+CP66</f>
        <v>0</v>
      </c>
      <c r="CQ59" s="1" t="n">
        <f aca="false">CQ65+CQ66</f>
        <v>0</v>
      </c>
      <c r="CR59" s="1" t="n">
        <f aca="false">CR65+CR66</f>
        <v>0</v>
      </c>
      <c r="CS59" s="1" t="n">
        <f aca="false">CS65+CS66</f>
        <v>0</v>
      </c>
      <c r="CT59" s="1" t="n">
        <f aca="false">CT65+CT66</f>
        <v>0</v>
      </c>
      <c r="CU59" s="1" t="n">
        <f aca="false">CU65+CU66</f>
        <v>0</v>
      </c>
      <c r="CV59" s="1" t="n">
        <f aca="false">CV65+CV66</f>
        <v>0</v>
      </c>
      <c r="CW59" s="1" t="n">
        <f aca="false">CW65+CW66</f>
        <v>0</v>
      </c>
      <c r="CX59" s="1" t="n">
        <f aca="false">CX65+CX66</f>
        <v>0</v>
      </c>
      <c r="CY59" s="1" t="n">
        <f aca="false">CY65+CY66</f>
        <v>0</v>
      </c>
      <c r="CZ59" s="1" t="n">
        <f aca="false">CZ65+CZ66</f>
        <v>0</v>
      </c>
      <c r="DA59" s="1" t="n">
        <f aca="false">DA65+DA66</f>
        <v>0</v>
      </c>
      <c r="DB59" s="1" t="n">
        <f aca="false">DB65+DB66</f>
        <v>0</v>
      </c>
      <c r="DC59" s="1" t="n">
        <f aca="false">DC65+DC66</f>
        <v>0</v>
      </c>
      <c r="DD59" s="1" t="n">
        <f aca="false">DD65+DD66</f>
        <v>0</v>
      </c>
      <c r="DE59" s="1" t="n">
        <f aca="false">DE65+DE66</f>
        <v>0</v>
      </c>
      <c r="DF59" s="1" t="n">
        <f aca="false">DF65+DF66</f>
        <v>0</v>
      </c>
      <c r="DG59" s="1" t="n">
        <f aca="false">DG65+DG66</f>
        <v>0</v>
      </c>
      <c r="DH59" s="1" t="n">
        <f aca="false">DH65+DH66</f>
        <v>0</v>
      </c>
      <c r="DI59" s="1" t="n">
        <f aca="false">DI65+DI66</f>
        <v>0</v>
      </c>
      <c r="DJ59" s="1" t="n">
        <f aca="false">DJ65+DJ66</f>
        <v>0</v>
      </c>
      <c r="DK59" s="1" t="n">
        <f aca="false">DK65+DK66</f>
        <v>0</v>
      </c>
      <c r="DL59" s="1" t="n">
        <f aca="false">DL65+DL66</f>
        <v>0</v>
      </c>
      <c r="DM59" s="1" t="n">
        <f aca="false">DM65+DM66</f>
        <v>0</v>
      </c>
      <c r="DN59" s="1" t="n">
        <f aca="false">DN65+DN66</f>
        <v>0</v>
      </c>
      <c r="DO59" s="1" t="n">
        <f aca="false">DO65+DO66</f>
        <v>0</v>
      </c>
      <c r="DP59" s="1" t="n">
        <f aca="false">DP65+DP66</f>
        <v>0</v>
      </c>
      <c r="DQ59" s="1" t="n">
        <f aca="false">DQ65+DQ66</f>
        <v>0</v>
      </c>
      <c r="DR59" s="1" t="n">
        <f aca="false">DR65+DR66</f>
        <v>0</v>
      </c>
      <c r="DS59" s="1" t="n">
        <f aca="false">DS65+DS66</f>
        <v>0</v>
      </c>
    </row>
    <row r="60" customFormat="false" ht="15" hidden="false" customHeight="true" outlineLevel="0" collapsed="false">
      <c r="B60" s="178" t="s">
        <v>3555</v>
      </c>
      <c r="C60" s="268" t="n">
        <f aca="false">SUM(D22:DS22)+SUM(D29:DS29)+SUM(D30:DS30)</f>
        <v>6753367.91475</v>
      </c>
    </row>
    <row r="61" customFormat="false" ht="15" hidden="false" customHeight="true" outlineLevel="0" collapsed="false">
      <c r="B61" s="178" t="s">
        <v>3556</v>
      </c>
      <c r="C61" s="268" t="n">
        <f aca="false">NPV(SUP_CONTROL!$C$32,D55:DS55)</f>
        <v>474911.928909866</v>
      </c>
    </row>
    <row r="62" customFormat="false" ht="15" hidden="false" customHeight="true" outlineLevel="0" collapsed="false">
      <c r="B62" s="178" t="s">
        <v>3557</v>
      </c>
      <c r="C62" s="268" t="n">
        <f aca="false">SUM(DH46:DS46)</f>
        <v>3330463.22573846</v>
      </c>
    </row>
    <row r="63" customFormat="false" ht="15" hidden="false" customHeight="true" outlineLevel="0" collapsed="false">
      <c r="B63" s="178" t="s">
        <v>3558</v>
      </c>
      <c r="C63" s="268" t="n">
        <f aca="false">DS53</f>
        <v>12856043.0752961</v>
      </c>
    </row>
    <row r="65" customFormat="false" ht="15" hidden="false" customHeight="true" outlineLevel="0" collapsed="false">
      <c r="B65" s="295" t="s">
        <v>3559</v>
      </c>
      <c r="D65" s="1" t="n">
        <f aca="false">IF(D56=0,0,3*SUP_OPEX!$D$20*(IF(D56=0,0,INDEX(SUP_C3_EXPANSION!$H$20:$H$59,D56))-IF(0=0,0,INDEX(SUP_C3_EXPANSION!$H$20:$H$59,0)))+3*SUP_OPEX!$E$20*(IF(D56=0,0,INDEX(SUP_C3_EXPANSION!$I$20:$I$59,D56))-IF(0=0,0,INDEX(SUP_C3_EXPANSION!$I$20:$I$59,0)))+3*SUP_OPEX!$F$20*(IF(D56=0,0,INDEX(SUP_C3_EXPANSION!$J$20:$J$59,D56))-IF(0=0,0,INDEX(SUP_C3_EXPANSION!$J$20:$J$59,0))))</f>
        <v>0</v>
      </c>
      <c r="E65" s="1" t="n">
        <f aca="false">IF(E56=D56,0,3*SUP_OPEX!$D$20*(IF(E56=0,0,INDEX(SUP_C3_EXPANSION!$H$20:$H$59,E56))-IF(D56=0,0,INDEX(SUP_C3_EXPANSION!$H$20:$H$59,D56)))+3*SUP_OPEX!$E$20*(IF(E56=0,0,INDEX(SUP_C3_EXPANSION!$I$20:$I$59,E56))-IF(D56=0,0,INDEX(SUP_C3_EXPANSION!$I$20:$I$59,D56)))+3*SUP_OPEX!$F$20*(IF(E56=0,0,INDEX(SUP_C3_EXPANSION!$J$20:$J$59,E56))-IF(D56=0,0,INDEX(SUP_C3_EXPANSION!$J$20:$J$59,D56))))</f>
        <v>0</v>
      </c>
      <c r="F65" s="1" t="n">
        <f aca="false">IF(F56=E56,0,3*SUP_OPEX!$D$20*(IF(F56=0,0,INDEX(SUP_C3_EXPANSION!$H$20:$H$59,F56))-IF(E56=0,0,INDEX(SUP_C3_EXPANSION!$H$20:$H$59,E56)))+3*SUP_OPEX!$E$20*(IF(F56=0,0,INDEX(SUP_C3_EXPANSION!$I$20:$I$59,F56))-IF(E56=0,0,INDEX(SUP_C3_EXPANSION!$I$20:$I$59,E56)))+3*SUP_OPEX!$F$20*(IF(F56=0,0,INDEX(SUP_C3_EXPANSION!$J$20:$J$59,F56))-IF(E56=0,0,INDEX(SUP_C3_EXPANSION!$J$20:$J$59,E56))))</f>
        <v>0</v>
      </c>
      <c r="G65" s="1" t="n">
        <f aca="false">IF(G56=F56,0,3*SUP_OPEX!$D$20*(IF(G56=0,0,INDEX(SUP_C3_EXPANSION!$H$20:$H$59,G56))-IF(F56=0,0,INDEX(SUP_C3_EXPANSION!$H$20:$H$59,F56)))+3*SUP_OPEX!$E$20*(IF(G56=0,0,INDEX(SUP_C3_EXPANSION!$I$20:$I$59,G56))-IF(F56=0,0,INDEX(SUP_C3_EXPANSION!$I$20:$I$59,F56)))+3*SUP_OPEX!$F$20*(IF(G56=0,0,INDEX(SUP_C3_EXPANSION!$J$20:$J$59,G56))-IF(F56=0,0,INDEX(SUP_C3_EXPANSION!$J$20:$J$59,F56))))</f>
        <v>0</v>
      </c>
      <c r="H65" s="1" t="n">
        <f aca="false">IF(H56=G56,0,3*SUP_OPEX!$D$20*(IF(H56=0,0,INDEX(SUP_C3_EXPANSION!$H$20:$H$59,H56))-IF(G56=0,0,INDEX(SUP_C3_EXPANSION!$H$20:$H$59,G56)))+3*SUP_OPEX!$E$20*(IF(H56=0,0,INDEX(SUP_C3_EXPANSION!$I$20:$I$59,H56))-IF(G56=0,0,INDEX(SUP_C3_EXPANSION!$I$20:$I$59,G56)))+3*SUP_OPEX!$F$20*(IF(H56=0,0,INDEX(SUP_C3_EXPANSION!$J$20:$J$59,H56))-IF(G56=0,0,INDEX(SUP_C3_EXPANSION!$J$20:$J$59,G56))))</f>
        <v>0</v>
      </c>
      <c r="I65" s="1" t="n">
        <f aca="false">IF(I56=H56,0,3*SUP_OPEX!$D$20*(IF(I56=0,0,INDEX(SUP_C3_EXPANSION!$H$20:$H$59,I56))-IF(H56=0,0,INDEX(SUP_C3_EXPANSION!$H$20:$H$59,H56)))+3*SUP_OPEX!$E$20*(IF(I56=0,0,INDEX(SUP_C3_EXPANSION!$I$20:$I$59,I56))-IF(H56=0,0,INDEX(SUP_C3_EXPANSION!$I$20:$I$59,H56)))+3*SUP_OPEX!$F$20*(IF(I56=0,0,INDEX(SUP_C3_EXPANSION!$J$20:$J$59,I56))-IF(H56=0,0,INDEX(SUP_C3_EXPANSION!$J$20:$J$59,H56))))</f>
        <v>0</v>
      </c>
      <c r="J65" s="1" t="n">
        <f aca="false">IF(J56=I56,0,3*SUP_OPEX!$D$20*(IF(J56=0,0,INDEX(SUP_C3_EXPANSION!$H$20:$H$59,J56))-IF(I56=0,0,INDEX(SUP_C3_EXPANSION!$H$20:$H$59,I56)))+3*SUP_OPEX!$E$20*(IF(J56=0,0,INDEX(SUP_C3_EXPANSION!$I$20:$I$59,J56))-IF(I56=0,0,INDEX(SUP_C3_EXPANSION!$I$20:$I$59,I56)))+3*SUP_OPEX!$F$20*(IF(J56=0,0,INDEX(SUP_C3_EXPANSION!$J$20:$J$59,J56))-IF(I56=0,0,INDEX(SUP_C3_EXPANSION!$J$20:$J$59,I56))))</f>
        <v>0</v>
      </c>
      <c r="K65" s="1" t="n">
        <f aca="false">IF(K56=J56,0,3*SUP_OPEX!$D$20*(IF(K56=0,0,INDEX(SUP_C3_EXPANSION!$H$20:$H$59,K56))-IF(J56=0,0,INDEX(SUP_C3_EXPANSION!$H$20:$H$59,J56)))+3*SUP_OPEX!$E$20*(IF(K56=0,0,INDEX(SUP_C3_EXPANSION!$I$20:$I$59,K56))-IF(J56=0,0,INDEX(SUP_C3_EXPANSION!$I$20:$I$59,J56)))+3*SUP_OPEX!$F$20*(IF(K56=0,0,INDEX(SUP_C3_EXPANSION!$J$20:$J$59,K56))-IF(J56=0,0,INDEX(SUP_C3_EXPANSION!$J$20:$J$59,J56))))</f>
        <v>0</v>
      </c>
      <c r="L65" s="1" t="n">
        <f aca="false">IF(L56=K56,0,3*SUP_OPEX!$D$20*(IF(L56=0,0,INDEX(SUP_C3_EXPANSION!$H$20:$H$59,L56))-IF(K56=0,0,INDEX(SUP_C3_EXPANSION!$H$20:$H$59,K56)))+3*SUP_OPEX!$E$20*(IF(L56=0,0,INDEX(SUP_C3_EXPANSION!$I$20:$I$59,L56))-IF(K56=0,0,INDEX(SUP_C3_EXPANSION!$I$20:$I$59,K56)))+3*SUP_OPEX!$F$20*(IF(L56=0,0,INDEX(SUP_C3_EXPANSION!$J$20:$J$59,L56))-IF(K56=0,0,INDEX(SUP_C3_EXPANSION!$J$20:$J$59,K56))))</f>
        <v>0</v>
      </c>
      <c r="M65" s="1" t="n">
        <f aca="false">IF(M56=L56,0,3*SUP_OPEX!$D$20*(IF(M56=0,0,INDEX(SUP_C3_EXPANSION!$H$20:$H$59,M56))-IF(L56=0,0,INDEX(SUP_C3_EXPANSION!$H$20:$H$59,L56)))+3*SUP_OPEX!$E$20*(IF(M56=0,0,INDEX(SUP_C3_EXPANSION!$I$20:$I$59,M56))-IF(L56=0,0,INDEX(SUP_C3_EXPANSION!$I$20:$I$59,L56)))+3*SUP_OPEX!$F$20*(IF(M56=0,0,INDEX(SUP_C3_EXPANSION!$J$20:$J$59,M56))-IF(L56=0,0,INDEX(SUP_C3_EXPANSION!$J$20:$J$59,L56))))</f>
        <v>0</v>
      </c>
      <c r="N65" s="1" t="n">
        <f aca="false">IF(N56=M56,0,3*SUP_OPEX!$D$20*(IF(N56=0,0,INDEX(SUP_C3_EXPANSION!$H$20:$H$59,N56))-IF(M56=0,0,INDEX(SUP_C3_EXPANSION!$H$20:$H$59,M56)))+3*SUP_OPEX!$E$20*(IF(N56=0,0,INDEX(SUP_C3_EXPANSION!$I$20:$I$59,N56))-IF(M56=0,0,INDEX(SUP_C3_EXPANSION!$I$20:$I$59,M56)))+3*SUP_OPEX!$F$20*(IF(N56=0,0,INDEX(SUP_C3_EXPANSION!$J$20:$J$59,N56))-IF(M56=0,0,INDEX(SUP_C3_EXPANSION!$J$20:$J$59,M56))))</f>
        <v>0</v>
      </c>
      <c r="O65" s="1" t="n">
        <f aca="false">IF(O56=N56,0,3*SUP_OPEX!$D$20*(IF(O56=0,0,INDEX(SUP_C3_EXPANSION!$H$20:$H$59,O56))-IF(N56=0,0,INDEX(SUP_C3_EXPANSION!$H$20:$H$59,N56)))+3*SUP_OPEX!$E$20*(IF(O56=0,0,INDEX(SUP_C3_EXPANSION!$I$20:$I$59,O56))-IF(N56=0,0,INDEX(SUP_C3_EXPANSION!$I$20:$I$59,N56)))+3*SUP_OPEX!$F$20*(IF(O56=0,0,INDEX(SUP_C3_EXPANSION!$J$20:$J$59,O56))-IF(N56=0,0,INDEX(SUP_C3_EXPANSION!$J$20:$J$59,N56))))</f>
        <v>0</v>
      </c>
      <c r="P65" s="1" t="n">
        <f aca="false">IF(P56=O56,0,3*SUP_OPEX!$D$20*(IF(P56=0,0,INDEX(SUP_C3_EXPANSION!$H$20:$H$59,P56))-IF(O56=0,0,INDEX(SUP_C3_EXPANSION!$H$20:$H$59,O56)))+3*SUP_OPEX!$E$20*(IF(P56=0,0,INDEX(SUP_C3_EXPANSION!$I$20:$I$59,P56))-IF(O56=0,0,INDEX(SUP_C3_EXPANSION!$I$20:$I$59,O56)))+3*SUP_OPEX!$F$20*(IF(P56=0,0,INDEX(SUP_C3_EXPANSION!$J$20:$J$59,P56))-IF(O56=0,0,INDEX(SUP_C3_EXPANSION!$J$20:$J$59,O56))))</f>
        <v>0</v>
      </c>
      <c r="Q65" s="1" t="n">
        <f aca="false">IF(Q56=P56,0,3*SUP_OPEX!$D$20*(IF(Q56=0,0,INDEX(SUP_C3_EXPANSION!$H$20:$H$59,Q56))-IF(P56=0,0,INDEX(SUP_C3_EXPANSION!$H$20:$H$59,P56)))+3*SUP_OPEX!$E$20*(IF(Q56=0,0,INDEX(SUP_C3_EXPANSION!$I$20:$I$59,Q56))-IF(P56=0,0,INDEX(SUP_C3_EXPANSION!$I$20:$I$59,P56)))+3*SUP_OPEX!$F$20*(IF(Q56=0,0,INDEX(SUP_C3_EXPANSION!$J$20:$J$59,Q56))-IF(P56=0,0,INDEX(SUP_C3_EXPANSION!$J$20:$J$59,P56))))</f>
        <v>0</v>
      </c>
      <c r="R65" s="1" t="n">
        <f aca="false">IF(R56=Q56,0,3*SUP_OPEX!$D$20*(IF(R56=0,0,INDEX(SUP_C3_EXPANSION!$H$20:$H$59,R56))-IF(Q56=0,0,INDEX(SUP_C3_EXPANSION!$H$20:$H$59,Q56)))+3*SUP_OPEX!$E$20*(IF(R56=0,0,INDEX(SUP_C3_EXPANSION!$I$20:$I$59,R56))-IF(Q56=0,0,INDEX(SUP_C3_EXPANSION!$I$20:$I$59,Q56)))+3*SUP_OPEX!$F$20*(IF(R56=0,0,INDEX(SUP_C3_EXPANSION!$J$20:$J$59,R56))-IF(Q56=0,0,INDEX(SUP_C3_EXPANSION!$J$20:$J$59,Q56))))</f>
        <v>0</v>
      </c>
      <c r="S65" s="1" t="n">
        <f aca="false">IF(S56=R56,0,3*SUP_OPEX!$D$20*(IF(S56=0,0,INDEX(SUP_C3_EXPANSION!$H$20:$H$59,S56))-IF(R56=0,0,INDEX(SUP_C3_EXPANSION!$H$20:$H$59,R56)))+3*SUP_OPEX!$E$20*(IF(S56=0,0,INDEX(SUP_C3_EXPANSION!$I$20:$I$59,S56))-IF(R56=0,0,INDEX(SUP_C3_EXPANSION!$I$20:$I$59,R56)))+3*SUP_OPEX!$F$20*(IF(S56=0,0,INDEX(SUP_C3_EXPANSION!$J$20:$J$59,S56))-IF(R56=0,0,INDEX(SUP_C3_EXPANSION!$J$20:$J$59,R56))))</f>
        <v>0</v>
      </c>
      <c r="T65" s="1" t="n">
        <f aca="false">IF(T56=S56,0,3*SUP_OPEX!$D$20*(IF(T56=0,0,INDEX(SUP_C3_EXPANSION!$H$20:$H$59,T56))-IF(S56=0,0,INDEX(SUP_C3_EXPANSION!$H$20:$H$59,S56)))+3*SUP_OPEX!$E$20*(IF(T56=0,0,INDEX(SUP_C3_EXPANSION!$I$20:$I$59,T56))-IF(S56=0,0,INDEX(SUP_C3_EXPANSION!$I$20:$I$59,S56)))+3*SUP_OPEX!$F$20*(IF(T56=0,0,INDEX(SUP_C3_EXPANSION!$J$20:$J$59,T56))-IF(S56=0,0,INDEX(SUP_C3_EXPANSION!$J$20:$J$59,S56))))</f>
        <v>0</v>
      </c>
      <c r="U65" s="1" t="n">
        <f aca="false">IF(U56=T56,0,3*SUP_OPEX!$D$20*(IF(U56=0,0,INDEX(SUP_C3_EXPANSION!$H$20:$H$59,U56))-IF(T56=0,0,INDEX(SUP_C3_EXPANSION!$H$20:$H$59,T56)))+3*SUP_OPEX!$E$20*(IF(U56=0,0,INDEX(SUP_C3_EXPANSION!$I$20:$I$59,U56))-IF(T56=0,0,INDEX(SUP_C3_EXPANSION!$I$20:$I$59,T56)))+3*SUP_OPEX!$F$20*(IF(U56=0,0,INDEX(SUP_C3_EXPANSION!$J$20:$J$59,U56))-IF(T56=0,0,INDEX(SUP_C3_EXPANSION!$J$20:$J$59,T56))))</f>
        <v>0</v>
      </c>
      <c r="V65" s="1" t="n">
        <f aca="false">IF(V56=U56,0,3*SUP_OPEX!$D$20*(IF(V56=0,0,INDEX(SUP_C3_EXPANSION!$H$20:$H$59,V56))-IF(U56=0,0,INDEX(SUP_C3_EXPANSION!$H$20:$H$59,U56)))+3*SUP_OPEX!$E$20*(IF(V56=0,0,INDEX(SUP_C3_EXPANSION!$I$20:$I$59,V56))-IF(U56=0,0,INDEX(SUP_C3_EXPANSION!$I$20:$I$59,U56)))+3*SUP_OPEX!$F$20*(IF(V56=0,0,INDEX(SUP_C3_EXPANSION!$J$20:$J$59,V56))-IF(U56=0,0,INDEX(SUP_C3_EXPANSION!$J$20:$J$59,U56))))</f>
        <v>6000</v>
      </c>
      <c r="W65" s="1" t="n">
        <f aca="false">IF(W56=V56,0,3*SUP_OPEX!$D$20*(IF(W56=0,0,INDEX(SUP_C3_EXPANSION!$H$20:$H$59,W56))-IF(V56=0,0,INDEX(SUP_C3_EXPANSION!$H$20:$H$59,V56)))+3*SUP_OPEX!$E$20*(IF(W56=0,0,INDEX(SUP_C3_EXPANSION!$I$20:$I$59,W56))-IF(V56=0,0,INDEX(SUP_C3_EXPANSION!$I$20:$I$59,V56)))+3*SUP_OPEX!$F$20*(IF(W56=0,0,INDEX(SUP_C3_EXPANSION!$J$20:$J$59,W56))-IF(V56=0,0,INDEX(SUP_C3_EXPANSION!$J$20:$J$59,V56))))</f>
        <v>6000</v>
      </c>
      <c r="X65" s="1" t="n">
        <f aca="false">IF(X56=W56,0,3*SUP_OPEX!$D$20*(IF(X56=0,0,INDEX(SUP_C3_EXPANSION!$H$20:$H$59,X56))-IF(W56=0,0,INDEX(SUP_C3_EXPANSION!$H$20:$H$59,W56)))+3*SUP_OPEX!$E$20*(IF(X56=0,0,INDEX(SUP_C3_EXPANSION!$I$20:$I$59,X56))-IF(W56=0,0,INDEX(SUP_C3_EXPANSION!$I$20:$I$59,W56)))+3*SUP_OPEX!$F$20*(IF(X56=0,0,INDEX(SUP_C3_EXPANSION!$J$20:$J$59,X56))-IF(W56=0,0,INDEX(SUP_C3_EXPANSION!$J$20:$J$59,W56))))</f>
        <v>0</v>
      </c>
      <c r="Y65" s="1" t="n">
        <f aca="false">IF(Y56=X56,0,3*SUP_OPEX!$D$20*(IF(Y56=0,0,INDEX(SUP_C3_EXPANSION!$H$20:$H$59,Y56))-IF(X56=0,0,INDEX(SUP_C3_EXPANSION!$H$20:$H$59,X56)))+3*SUP_OPEX!$E$20*(IF(Y56=0,0,INDEX(SUP_C3_EXPANSION!$I$20:$I$59,Y56))-IF(X56=0,0,INDEX(SUP_C3_EXPANSION!$I$20:$I$59,X56)))+3*SUP_OPEX!$F$20*(IF(Y56=0,0,INDEX(SUP_C3_EXPANSION!$J$20:$J$59,Y56))-IF(X56=0,0,INDEX(SUP_C3_EXPANSION!$J$20:$J$59,X56))))</f>
        <v>6000</v>
      </c>
      <c r="Z65" s="1" t="n">
        <f aca="false">IF(Z56=Y56,0,3*SUP_OPEX!$D$20*(IF(Z56=0,0,INDEX(SUP_C3_EXPANSION!$H$20:$H$59,Z56))-IF(Y56=0,0,INDEX(SUP_C3_EXPANSION!$H$20:$H$59,Y56)))+3*SUP_OPEX!$E$20*(IF(Z56=0,0,INDEX(SUP_C3_EXPANSION!$I$20:$I$59,Z56))-IF(Y56=0,0,INDEX(SUP_C3_EXPANSION!$I$20:$I$59,Y56)))+3*SUP_OPEX!$F$20*(IF(Z56=0,0,INDEX(SUP_C3_EXPANSION!$J$20:$J$59,Z56))-IF(Y56=0,0,INDEX(SUP_C3_EXPANSION!$J$20:$J$59,Y56))))</f>
        <v>0</v>
      </c>
      <c r="AA65" s="1" t="n">
        <f aca="false">IF(AA56=Z56,0,3*SUP_OPEX!$D$20*(IF(AA56=0,0,INDEX(SUP_C3_EXPANSION!$H$20:$H$59,AA56))-IF(Z56=0,0,INDEX(SUP_C3_EXPANSION!$H$20:$H$59,Z56)))+3*SUP_OPEX!$E$20*(IF(AA56=0,0,INDEX(SUP_C3_EXPANSION!$I$20:$I$59,AA56))-IF(Z56=0,0,INDEX(SUP_C3_EXPANSION!$I$20:$I$59,Z56)))+3*SUP_OPEX!$F$20*(IF(AA56=0,0,INDEX(SUP_C3_EXPANSION!$J$20:$J$59,AA56))-IF(Z56=0,0,INDEX(SUP_C3_EXPANSION!$J$20:$J$59,Z56))))</f>
        <v>0</v>
      </c>
      <c r="AB65" s="1" t="n">
        <f aca="false">IF(AB56=AA56,0,3*SUP_OPEX!$D$20*(IF(AB56=0,0,INDEX(SUP_C3_EXPANSION!$H$20:$H$59,AB56))-IF(AA56=0,0,INDEX(SUP_C3_EXPANSION!$H$20:$H$59,AA56)))+3*SUP_OPEX!$E$20*(IF(AB56=0,0,INDEX(SUP_C3_EXPANSION!$I$20:$I$59,AB56))-IF(AA56=0,0,INDEX(SUP_C3_EXPANSION!$I$20:$I$59,AA56)))+3*SUP_OPEX!$F$20*(IF(AB56=0,0,INDEX(SUP_C3_EXPANSION!$J$20:$J$59,AB56))-IF(AA56=0,0,INDEX(SUP_C3_EXPANSION!$J$20:$J$59,AA56))))</f>
        <v>0</v>
      </c>
      <c r="AC65" s="1" t="n">
        <f aca="false">IF(AC56=AB56,0,3*SUP_OPEX!$D$20*(IF(AC56=0,0,INDEX(SUP_C3_EXPANSION!$H$20:$H$59,AC56))-IF(AB56=0,0,INDEX(SUP_C3_EXPANSION!$H$20:$H$59,AB56)))+3*SUP_OPEX!$E$20*(IF(AC56=0,0,INDEX(SUP_C3_EXPANSION!$I$20:$I$59,AC56))-IF(AB56=0,0,INDEX(SUP_C3_EXPANSION!$I$20:$I$59,AB56)))+3*SUP_OPEX!$F$20*(IF(AC56=0,0,INDEX(SUP_C3_EXPANSION!$J$20:$J$59,AC56))-IF(AB56=0,0,INDEX(SUP_C3_EXPANSION!$J$20:$J$59,AB56))))</f>
        <v>0</v>
      </c>
      <c r="AD65" s="1" t="n">
        <f aca="false">IF(AD56=AC56,0,3*SUP_OPEX!$D$20*(IF(AD56=0,0,INDEX(SUP_C3_EXPANSION!$H$20:$H$59,AD56))-IF(AC56=0,0,INDEX(SUP_C3_EXPANSION!$H$20:$H$59,AC56)))+3*SUP_OPEX!$E$20*(IF(AD56=0,0,INDEX(SUP_C3_EXPANSION!$I$20:$I$59,AD56))-IF(AC56=0,0,INDEX(SUP_C3_EXPANSION!$I$20:$I$59,AC56)))+3*SUP_OPEX!$F$20*(IF(AD56=0,0,INDEX(SUP_C3_EXPANSION!$J$20:$J$59,AD56))-IF(AC56=0,0,INDEX(SUP_C3_EXPANSION!$J$20:$J$59,AC56))))</f>
        <v>0</v>
      </c>
      <c r="AE65" s="1" t="n">
        <f aca="false">IF(AE56=AD56,0,3*SUP_OPEX!$D$20*(IF(AE56=0,0,INDEX(SUP_C3_EXPANSION!$H$20:$H$59,AE56))-IF(AD56=0,0,INDEX(SUP_C3_EXPANSION!$H$20:$H$59,AD56)))+3*SUP_OPEX!$E$20*(IF(AE56=0,0,INDEX(SUP_C3_EXPANSION!$I$20:$I$59,AE56))-IF(AD56=0,0,INDEX(SUP_C3_EXPANSION!$I$20:$I$59,AD56)))+3*SUP_OPEX!$F$20*(IF(AE56=0,0,INDEX(SUP_C3_EXPANSION!$J$20:$J$59,AE56))-IF(AD56=0,0,INDEX(SUP_C3_EXPANSION!$J$20:$J$59,AD56))))</f>
        <v>0</v>
      </c>
      <c r="AF65" s="1" t="n">
        <f aca="false">IF(AF56=AE56,0,3*SUP_OPEX!$D$20*(IF(AF56=0,0,INDEX(SUP_C3_EXPANSION!$H$20:$H$59,AF56))-IF(AE56=0,0,INDEX(SUP_C3_EXPANSION!$H$20:$H$59,AE56)))+3*SUP_OPEX!$E$20*(IF(AF56=0,0,INDEX(SUP_C3_EXPANSION!$I$20:$I$59,AF56))-IF(AE56=0,0,INDEX(SUP_C3_EXPANSION!$I$20:$I$59,AE56)))+3*SUP_OPEX!$F$20*(IF(AF56=0,0,INDEX(SUP_C3_EXPANSION!$J$20:$J$59,AF56))-IF(AE56=0,0,INDEX(SUP_C3_EXPANSION!$J$20:$J$59,AE56))))</f>
        <v>0</v>
      </c>
      <c r="AG65" s="1" t="n">
        <f aca="false">IF(AG56=AF56,0,3*SUP_OPEX!$D$20*(IF(AG56=0,0,INDEX(SUP_C3_EXPANSION!$H$20:$H$59,AG56))-IF(AF56=0,0,INDEX(SUP_C3_EXPANSION!$H$20:$H$59,AF56)))+3*SUP_OPEX!$E$20*(IF(AG56=0,0,INDEX(SUP_C3_EXPANSION!$I$20:$I$59,AG56))-IF(AF56=0,0,INDEX(SUP_C3_EXPANSION!$I$20:$I$59,AF56)))+3*SUP_OPEX!$F$20*(IF(AG56=0,0,INDEX(SUP_C3_EXPANSION!$J$20:$J$59,AG56))-IF(AF56=0,0,INDEX(SUP_C3_EXPANSION!$J$20:$J$59,AF56))))</f>
        <v>0</v>
      </c>
      <c r="AH65" s="1" t="n">
        <f aca="false">IF(AH56=AG56,0,3*SUP_OPEX!$D$20*(IF(AH56=0,0,INDEX(SUP_C3_EXPANSION!$H$20:$H$59,AH56))-IF(AG56=0,0,INDEX(SUP_C3_EXPANSION!$H$20:$H$59,AG56)))+3*SUP_OPEX!$E$20*(IF(AH56=0,0,INDEX(SUP_C3_EXPANSION!$I$20:$I$59,AH56))-IF(AG56=0,0,INDEX(SUP_C3_EXPANSION!$I$20:$I$59,AG56)))+3*SUP_OPEX!$F$20*(IF(AH56=0,0,INDEX(SUP_C3_EXPANSION!$J$20:$J$59,AH56))-IF(AG56=0,0,INDEX(SUP_C3_EXPANSION!$J$20:$J$59,AG56))))</f>
        <v>0</v>
      </c>
      <c r="AI65" s="1" t="n">
        <f aca="false">IF(AI56=AH56,0,3*SUP_OPEX!$D$20*(IF(AI56=0,0,INDEX(SUP_C3_EXPANSION!$H$20:$H$59,AI56))-IF(AH56=0,0,INDEX(SUP_C3_EXPANSION!$H$20:$H$59,AH56)))+3*SUP_OPEX!$E$20*(IF(AI56=0,0,INDEX(SUP_C3_EXPANSION!$I$20:$I$59,AI56))-IF(AH56=0,0,INDEX(SUP_C3_EXPANSION!$I$20:$I$59,AH56)))+3*SUP_OPEX!$F$20*(IF(AI56=0,0,INDEX(SUP_C3_EXPANSION!$J$20:$J$59,AI56))-IF(AH56=0,0,INDEX(SUP_C3_EXPANSION!$J$20:$J$59,AH56))))</f>
        <v>9600</v>
      </c>
      <c r="AJ65" s="1" t="n">
        <f aca="false">IF(AJ56=AI56,0,3*SUP_OPEX!$D$20*(IF(AJ56=0,0,INDEX(SUP_C3_EXPANSION!$H$20:$H$59,AJ56))-IF(AI56=0,0,INDEX(SUP_C3_EXPANSION!$H$20:$H$59,AI56)))+3*SUP_OPEX!$E$20*(IF(AJ56=0,0,INDEX(SUP_C3_EXPANSION!$I$20:$I$59,AJ56))-IF(AI56=0,0,INDEX(SUP_C3_EXPANSION!$I$20:$I$59,AI56)))+3*SUP_OPEX!$F$20*(IF(AJ56=0,0,INDEX(SUP_C3_EXPANSION!$J$20:$J$59,AJ56))-IF(AI56=0,0,INDEX(SUP_C3_EXPANSION!$J$20:$J$59,AI56))))</f>
        <v>6000</v>
      </c>
      <c r="AK65" s="1" t="n">
        <f aca="false">IF(AK56=AJ56,0,3*SUP_OPEX!$D$20*(IF(AK56=0,0,INDEX(SUP_C3_EXPANSION!$H$20:$H$59,AK56))-IF(AJ56=0,0,INDEX(SUP_C3_EXPANSION!$H$20:$H$59,AJ56)))+3*SUP_OPEX!$E$20*(IF(AK56=0,0,INDEX(SUP_C3_EXPANSION!$I$20:$I$59,AK56))-IF(AJ56=0,0,INDEX(SUP_C3_EXPANSION!$I$20:$I$59,AJ56)))+3*SUP_OPEX!$F$20*(IF(AK56=0,0,INDEX(SUP_C3_EXPANSION!$J$20:$J$59,AK56))-IF(AJ56=0,0,INDEX(SUP_C3_EXPANSION!$J$20:$J$59,AJ56))))</f>
        <v>0</v>
      </c>
      <c r="AL65" s="1" t="n">
        <f aca="false">IF(AL56=AK56,0,3*SUP_OPEX!$D$20*(IF(AL56=0,0,INDEX(SUP_C3_EXPANSION!$H$20:$H$59,AL56))-IF(AK56=0,0,INDEX(SUP_C3_EXPANSION!$H$20:$H$59,AK56)))+3*SUP_OPEX!$E$20*(IF(AL56=0,0,INDEX(SUP_C3_EXPANSION!$I$20:$I$59,AL56))-IF(AK56=0,0,INDEX(SUP_C3_EXPANSION!$I$20:$I$59,AK56)))+3*SUP_OPEX!$F$20*(IF(AL56=0,0,INDEX(SUP_C3_EXPANSION!$J$20:$J$59,AL56))-IF(AK56=0,0,INDEX(SUP_C3_EXPANSION!$J$20:$J$59,AK56))))</f>
        <v>6000</v>
      </c>
      <c r="AM65" s="1" t="n">
        <f aca="false">IF(AM56=AL56,0,3*SUP_OPEX!$D$20*(IF(AM56=0,0,INDEX(SUP_C3_EXPANSION!$H$20:$H$59,AM56))-IF(AL56=0,0,INDEX(SUP_C3_EXPANSION!$H$20:$H$59,AL56)))+3*SUP_OPEX!$E$20*(IF(AM56=0,0,INDEX(SUP_C3_EXPANSION!$I$20:$I$59,AM56))-IF(AL56=0,0,INDEX(SUP_C3_EXPANSION!$I$20:$I$59,AL56)))+3*SUP_OPEX!$F$20*(IF(AM56=0,0,INDEX(SUP_C3_EXPANSION!$J$20:$J$59,AM56))-IF(AL56=0,0,INDEX(SUP_C3_EXPANSION!$J$20:$J$59,AL56))))</f>
        <v>0</v>
      </c>
      <c r="AN65" s="1" t="n">
        <f aca="false">IF(AN56=AM56,0,3*SUP_OPEX!$D$20*(IF(AN56=0,0,INDEX(SUP_C3_EXPANSION!$H$20:$H$59,AN56))-IF(AM56=0,0,INDEX(SUP_C3_EXPANSION!$H$20:$H$59,AM56)))+3*SUP_OPEX!$E$20*(IF(AN56=0,0,INDEX(SUP_C3_EXPANSION!$I$20:$I$59,AN56))-IF(AM56=0,0,INDEX(SUP_C3_EXPANSION!$I$20:$I$59,AM56)))+3*SUP_OPEX!$F$20*(IF(AN56=0,0,INDEX(SUP_C3_EXPANSION!$J$20:$J$59,AN56))-IF(AM56=0,0,INDEX(SUP_C3_EXPANSION!$J$20:$J$59,AM56))))</f>
        <v>6000</v>
      </c>
      <c r="AO65" s="1" t="n">
        <f aca="false">IF(AO56=AN56,0,3*SUP_OPEX!$D$20*(IF(AO56=0,0,INDEX(SUP_C3_EXPANSION!$H$20:$H$59,AO56))-IF(AN56=0,0,INDEX(SUP_C3_EXPANSION!$H$20:$H$59,AN56)))+3*SUP_OPEX!$E$20*(IF(AO56=0,0,INDEX(SUP_C3_EXPANSION!$I$20:$I$59,AO56))-IF(AN56=0,0,INDEX(SUP_C3_EXPANSION!$I$20:$I$59,AN56)))+3*SUP_OPEX!$F$20*(IF(AO56=0,0,INDEX(SUP_C3_EXPANSION!$J$20:$J$59,AO56))-IF(AN56=0,0,INDEX(SUP_C3_EXPANSION!$J$20:$J$59,AN56))))</f>
        <v>0</v>
      </c>
      <c r="AP65" s="1" t="n">
        <f aca="false">IF(AP56=AO56,0,3*SUP_OPEX!$D$20*(IF(AP56=0,0,INDEX(SUP_C3_EXPANSION!$H$20:$H$59,AP56))-IF(AO56=0,0,INDEX(SUP_C3_EXPANSION!$H$20:$H$59,AO56)))+3*SUP_OPEX!$E$20*(IF(AP56=0,0,INDEX(SUP_C3_EXPANSION!$I$20:$I$59,AP56))-IF(AO56=0,0,INDEX(SUP_C3_EXPANSION!$I$20:$I$59,AO56)))+3*SUP_OPEX!$F$20*(IF(AP56=0,0,INDEX(SUP_C3_EXPANSION!$J$20:$J$59,AP56))-IF(AO56=0,0,INDEX(SUP_C3_EXPANSION!$J$20:$J$59,AO56))))</f>
        <v>0</v>
      </c>
      <c r="AQ65" s="1" t="n">
        <f aca="false">IF(AQ56=AP56,0,3*SUP_OPEX!$D$20*(IF(AQ56=0,0,INDEX(SUP_C3_EXPANSION!$H$20:$H$59,AQ56))-IF(AP56=0,0,INDEX(SUP_C3_EXPANSION!$H$20:$H$59,AP56)))+3*SUP_OPEX!$E$20*(IF(AQ56=0,0,INDEX(SUP_C3_EXPANSION!$I$20:$I$59,AQ56))-IF(AP56=0,0,INDEX(SUP_C3_EXPANSION!$I$20:$I$59,AP56)))+3*SUP_OPEX!$F$20*(IF(AQ56=0,0,INDEX(SUP_C3_EXPANSION!$J$20:$J$59,AQ56))-IF(AP56=0,0,INDEX(SUP_C3_EXPANSION!$J$20:$J$59,AP56))))</f>
        <v>9600</v>
      </c>
      <c r="AR65" s="1" t="n">
        <f aca="false">IF(AR56=AQ56,0,3*SUP_OPEX!$D$20*(IF(AR56=0,0,INDEX(SUP_C3_EXPANSION!$H$20:$H$59,AR56))-IF(AQ56=0,0,INDEX(SUP_C3_EXPANSION!$H$20:$H$59,AQ56)))+3*SUP_OPEX!$E$20*(IF(AR56=0,0,INDEX(SUP_C3_EXPANSION!$I$20:$I$59,AR56))-IF(AQ56=0,0,INDEX(SUP_C3_EXPANSION!$I$20:$I$59,AQ56)))+3*SUP_OPEX!$F$20*(IF(AR56=0,0,INDEX(SUP_C3_EXPANSION!$J$20:$J$59,AR56))-IF(AQ56=0,0,INDEX(SUP_C3_EXPANSION!$J$20:$J$59,AQ56))))</f>
        <v>6000</v>
      </c>
      <c r="AS65" s="1" t="n">
        <f aca="false">IF(AS56=AR56,0,3*SUP_OPEX!$D$20*(IF(AS56=0,0,INDEX(SUP_C3_EXPANSION!$H$20:$H$59,AS56))-IF(AR56=0,0,INDEX(SUP_C3_EXPANSION!$H$20:$H$59,AR56)))+3*SUP_OPEX!$E$20*(IF(AS56=0,0,INDEX(SUP_C3_EXPANSION!$I$20:$I$59,AS56))-IF(AR56=0,0,INDEX(SUP_C3_EXPANSION!$I$20:$I$59,AR56)))+3*SUP_OPEX!$F$20*(IF(AS56=0,0,INDEX(SUP_C3_EXPANSION!$J$20:$J$59,AS56))-IF(AR56=0,0,INDEX(SUP_C3_EXPANSION!$J$20:$J$59,AR56))))</f>
        <v>6000</v>
      </c>
      <c r="AT65" s="1" t="n">
        <f aca="false">IF(AT56=AS56,0,3*SUP_OPEX!$D$20*(IF(AT56=0,0,INDEX(SUP_C3_EXPANSION!$H$20:$H$59,AT56))-IF(AS56=0,0,INDEX(SUP_C3_EXPANSION!$H$20:$H$59,AS56)))+3*SUP_OPEX!$E$20*(IF(AT56=0,0,INDEX(SUP_C3_EXPANSION!$I$20:$I$59,AT56))-IF(AS56=0,0,INDEX(SUP_C3_EXPANSION!$I$20:$I$59,AS56)))+3*SUP_OPEX!$F$20*(IF(AT56=0,0,INDEX(SUP_C3_EXPANSION!$J$20:$J$59,AT56))-IF(AS56=0,0,INDEX(SUP_C3_EXPANSION!$J$20:$J$59,AS56))))</f>
        <v>6000</v>
      </c>
      <c r="AU65" s="1" t="n">
        <f aca="false">IF(AU56=AT56,0,3*SUP_OPEX!$D$20*(IF(AU56=0,0,INDEX(SUP_C3_EXPANSION!$H$20:$H$59,AU56))-IF(AT56=0,0,INDEX(SUP_C3_EXPANSION!$H$20:$H$59,AT56)))+3*SUP_OPEX!$E$20*(IF(AU56=0,0,INDEX(SUP_C3_EXPANSION!$I$20:$I$59,AU56))-IF(AT56=0,0,INDEX(SUP_C3_EXPANSION!$I$20:$I$59,AT56)))+3*SUP_OPEX!$F$20*(IF(AU56=0,0,INDEX(SUP_C3_EXPANSION!$J$20:$J$59,AU56))-IF(AT56=0,0,INDEX(SUP_C3_EXPANSION!$J$20:$J$59,AT56))))</f>
        <v>0</v>
      </c>
      <c r="AV65" s="1" t="n">
        <f aca="false">IF(AV56=AU56,0,3*SUP_OPEX!$D$20*(IF(AV56=0,0,INDEX(SUP_C3_EXPANSION!$H$20:$H$59,AV56))-IF(AU56=0,0,INDEX(SUP_C3_EXPANSION!$H$20:$H$59,AU56)))+3*SUP_OPEX!$E$20*(IF(AV56=0,0,INDEX(SUP_C3_EXPANSION!$I$20:$I$59,AV56))-IF(AU56=0,0,INDEX(SUP_C3_EXPANSION!$I$20:$I$59,AU56)))+3*SUP_OPEX!$F$20*(IF(AV56=0,0,INDEX(SUP_C3_EXPANSION!$J$20:$J$59,AV56))-IF(AU56=0,0,INDEX(SUP_C3_EXPANSION!$J$20:$J$59,AU56))))</f>
        <v>0</v>
      </c>
      <c r="AW65" s="1" t="n">
        <f aca="false">IF(AW56=AV56,0,3*SUP_OPEX!$D$20*(IF(AW56=0,0,INDEX(SUP_C3_EXPANSION!$H$20:$H$59,AW56))-IF(AV56=0,0,INDEX(SUP_C3_EXPANSION!$H$20:$H$59,AV56)))+3*SUP_OPEX!$E$20*(IF(AW56=0,0,INDEX(SUP_C3_EXPANSION!$I$20:$I$59,AW56))-IF(AV56=0,0,INDEX(SUP_C3_EXPANSION!$I$20:$I$59,AV56)))+3*SUP_OPEX!$F$20*(IF(AW56=0,0,INDEX(SUP_C3_EXPANSION!$J$20:$J$59,AW56))-IF(AV56=0,0,INDEX(SUP_C3_EXPANSION!$J$20:$J$59,AV56))))</f>
        <v>9600</v>
      </c>
      <c r="AX65" s="1" t="n">
        <f aca="false">IF(AX56=AW56,0,3*SUP_OPEX!$D$20*(IF(AX56=0,0,INDEX(SUP_C3_EXPANSION!$H$20:$H$59,AX56))-IF(AW56=0,0,INDEX(SUP_C3_EXPANSION!$H$20:$H$59,AW56)))+3*SUP_OPEX!$E$20*(IF(AX56=0,0,INDEX(SUP_C3_EXPANSION!$I$20:$I$59,AX56))-IF(AW56=0,0,INDEX(SUP_C3_EXPANSION!$I$20:$I$59,AW56)))+3*SUP_OPEX!$F$20*(IF(AX56=0,0,INDEX(SUP_C3_EXPANSION!$J$20:$J$59,AX56))-IF(AW56=0,0,INDEX(SUP_C3_EXPANSION!$J$20:$J$59,AW56))))</f>
        <v>0</v>
      </c>
      <c r="AY65" s="1" t="n">
        <f aca="false">IF(AY56=AX56,0,3*SUP_OPEX!$D$20*(IF(AY56=0,0,INDEX(SUP_C3_EXPANSION!$H$20:$H$59,AY56))-IF(AX56=0,0,INDEX(SUP_C3_EXPANSION!$H$20:$H$59,AX56)))+3*SUP_OPEX!$E$20*(IF(AY56=0,0,INDEX(SUP_C3_EXPANSION!$I$20:$I$59,AY56))-IF(AX56=0,0,INDEX(SUP_C3_EXPANSION!$I$20:$I$59,AX56)))+3*SUP_OPEX!$F$20*(IF(AY56=0,0,INDEX(SUP_C3_EXPANSION!$J$20:$J$59,AY56))-IF(AX56=0,0,INDEX(SUP_C3_EXPANSION!$J$20:$J$59,AX56))))</f>
        <v>6000</v>
      </c>
      <c r="AZ65" s="1" t="n">
        <f aca="false">IF(AZ56=AY56,0,3*SUP_OPEX!$D$20*(IF(AZ56=0,0,INDEX(SUP_C3_EXPANSION!$H$20:$H$59,AZ56))-IF(AY56=0,0,INDEX(SUP_C3_EXPANSION!$H$20:$H$59,AY56)))+3*SUP_OPEX!$E$20*(IF(AZ56=0,0,INDEX(SUP_C3_EXPANSION!$I$20:$I$59,AZ56))-IF(AY56=0,0,INDEX(SUP_C3_EXPANSION!$I$20:$I$59,AY56)))+3*SUP_OPEX!$F$20*(IF(AZ56=0,0,INDEX(SUP_C3_EXPANSION!$J$20:$J$59,AZ56))-IF(AY56=0,0,INDEX(SUP_C3_EXPANSION!$J$20:$J$59,AY56))))</f>
        <v>6000</v>
      </c>
      <c r="BA65" s="1" t="n">
        <f aca="false">IF(BA56=AZ56,0,3*SUP_OPEX!$D$20*(IF(BA56=0,0,INDEX(SUP_C3_EXPANSION!$H$20:$H$59,BA56))-IF(AZ56=0,0,INDEX(SUP_C3_EXPANSION!$H$20:$H$59,AZ56)))+3*SUP_OPEX!$E$20*(IF(BA56=0,0,INDEX(SUP_C3_EXPANSION!$I$20:$I$59,BA56))-IF(AZ56=0,0,INDEX(SUP_C3_EXPANSION!$I$20:$I$59,AZ56)))+3*SUP_OPEX!$F$20*(IF(BA56=0,0,INDEX(SUP_C3_EXPANSION!$J$20:$J$59,BA56))-IF(AZ56=0,0,INDEX(SUP_C3_EXPANSION!$J$20:$J$59,AZ56))))</f>
        <v>0</v>
      </c>
      <c r="BB65" s="1" t="n">
        <f aca="false">IF(BB56=BA56,0,3*SUP_OPEX!$D$20*(IF(BB56=0,0,INDEX(SUP_C3_EXPANSION!$H$20:$H$59,BB56))-IF(BA56=0,0,INDEX(SUP_C3_EXPANSION!$H$20:$H$59,BA56)))+3*SUP_OPEX!$E$20*(IF(BB56=0,0,INDEX(SUP_C3_EXPANSION!$I$20:$I$59,BB56))-IF(BA56=0,0,INDEX(SUP_C3_EXPANSION!$I$20:$I$59,BA56)))+3*SUP_OPEX!$F$20*(IF(BB56=0,0,INDEX(SUP_C3_EXPANSION!$J$20:$J$59,BB56))-IF(BA56=0,0,INDEX(SUP_C3_EXPANSION!$J$20:$J$59,BA56))))</f>
        <v>0</v>
      </c>
      <c r="BC65" s="1" t="n">
        <f aca="false">IF(BC56=BB56,0,3*SUP_OPEX!$D$20*(IF(BC56=0,0,INDEX(SUP_C3_EXPANSION!$H$20:$H$59,BC56))-IF(BB56=0,0,INDEX(SUP_C3_EXPANSION!$H$20:$H$59,BB56)))+3*SUP_OPEX!$E$20*(IF(BC56=0,0,INDEX(SUP_C3_EXPANSION!$I$20:$I$59,BC56))-IF(BB56=0,0,INDEX(SUP_C3_EXPANSION!$I$20:$I$59,BB56)))+3*SUP_OPEX!$F$20*(IF(BC56=0,0,INDEX(SUP_C3_EXPANSION!$J$20:$J$59,BC56))-IF(BB56=0,0,INDEX(SUP_C3_EXPANSION!$J$20:$J$59,BB56))))</f>
        <v>0</v>
      </c>
      <c r="BD65" s="1" t="n">
        <f aca="false">IF(BD56=BC56,0,3*SUP_OPEX!$D$20*(IF(BD56=0,0,INDEX(SUP_C3_EXPANSION!$H$20:$H$59,BD56))-IF(BC56=0,0,INDEX(SUP_C3_EXPANSION!$H$20:$H$59,BC56)))+3*SUP_OPEX!$E$20*(IF(BD56=0,0,INDEX(SUP_C3_EXPANSION!$I$20:$I$59,BD56))-IF(BC56=0,0,INDEX(SUP_C3_EXPANSION!$I$20:$I$59,BC56)))+3*SUP_OPEX!$F$20*(IF(BD56=0,0,INDEX(SUP_C3_EXPANSION!$J$20:$J$59,BD56))-IF(BC56=0,0,INDEX(SUP_C3_EXPANSION!$J$20:$J$59,BC56))))</f>
        <v>0</v>
      </c>
      <c r="BE65" s="1" t="n">
        <f aca="false">IF(BE56=BD56,0,3*SUP_OPEX!$D$20*(IF(BE56=0,0,INDEX(SUP_C3_EXPANSION!$H$20:$H$59,BE56))-IF(BD56=0,0,INDEX(SUP_C3_EXPANSION!$H$20:$H$59,BD56)))+3*SUP_OPEX!$E$20*(IF(BE56=0,0,INDEX(SUP_C3_EXPANSION!$I$20:$I$59,BE56))-IF(BD56=0,0,INDEX(SUP_C3_EXPANSION!$I$20:$I$59,BD56)))+3*SUP_OPEX!$F$20*(IF(BE56=0,0,INDEX(SUP_C3_EXPANSION!$J$20:$J$59,BE56))-IF(BD56=0,0,INDEX(SUP_C3_EXPANSION!$J$20:$J$59,BD56))))</f>
        <v>0</v>
      </c>
      <c r="BF65" s="1" t="n">
        <f aca="false">IF(BF56=BE56,0,3*SUP_OPEX!$D$20*(IF(BF56=0,0,INDEX(SUP_C3_EXPANSION!$H$20:$H$59,BF56))-IF(BE56=0,0,INDEX(SUP_C3_EXPANSION!$H$20:$H$59,BE56)))+3*SUP_OPEX!$E$20*(IF(BF56=0,0,INDEX(SUP_C3_EXPANSION!$I$20:$I$59,BF56))-IF(BE56=0,0,INDEX(SUP_C3_EXPANSION!$I$20:$I$59,BE56)))+3*SUP_OPEX!$F$20*(IF(BF56=0,0,INDEX(SUP_C3_EXPANSION!$J$20:$J$59,BF56))-IF(BE56=0,0,INDEX(SUP_C3_EXPANSION!$J$20:$J$59,BE56))))</f>
        <v>0</v>
      </c>
      <c r="BG65" s="1" t="n">
        <f aca="false">IF(BG56=BF56,0,3*SUP_OPEX!$D$20*(IF(BG56=0,0,INDEX(SUP_C3_EXPANSION!$H$20:$H$59,BG56))-IF(BF56=0,0,INDEX(SUP_C3_EXPANSION!$H$20:$H$59,BF56)))+3*SUP_OPEX!$E$20*(IF(BG56=0,0,INDEX(SUP_C3_EXPANSION!$I$20:$I$59,BG56))-IF(BF56=0,0,INDEX(SUP_C3_EXPANSION!$I$20:$I$59,BF56)))+3*SUP_OPEX!$F$20*(IF(BG56=0,0,INDEX(SUP_C3_EXPANSION!$J$20:$J$59,BG56))-IF(BF56=0,0,INDEX(SUP_C3_EXPANSION!$J$20:$J$59,BF56))))</f>
        <v>0</v>
      </c>
      <c r="BH65" s="1" t="n">
        <f aca="false">IF(BH56=BG56,0,3*SUP_OPEX!$D$20*(IF(BH56=0,0,INDEX(SUP_C3_EXPANSION!$H$20:$H$59,BH56))-IF(BG56=0,0,INDEX(SUP_C3_EXPANSION!$H$20:$H$59,BG56)))+3*SUP_OPEX!$E$20*(IF(BH56=0,0,INDEX(SUP_C3_EXPANSION!$I$20:$I$59,BH56))-IF(BG56=0,0,INDEX(SUP_C3_EXPANSION!$I$20:$I$59,BG56)))+3*SUP_OPEX!$F$20*(IF(BH56=0,0,INDEX(SUP_C3_EXPANSION!$J$20:$J$59,BH56))-IF(BG56=0,0,INDEX(SUP_C3_EXPANSION!$J$20:$J$59,BG56))))</f>
        <v>0</v>
      </c>
      <c r="BI65" s="1" t="n">
        <f aca="false">IF(BI56=BH56,0,3*SUP_OPEX!$D$20*(IF(BI56=0,0,INDEX(SUP_C3_EXPANSION!$H$20:$H$59,BI56))-IF(BH56=0,0,INDEX(SUP_C3_EXPANSION!$H$20:$H$59,BH56)))+3*SUP_OPEX!$E$20*(IF(BI56=0,0,INDEX(SUP_C3_EXPANSION!$I$20:$I$59,BI56))-IF(BH56=0,0,INDEX(SUP_C3_EXPANSION!$I$20:$I$59,BH56)))+3*SUP_OPEX!$F$20*(IF(BI56=0,0,INDEX(SUP_C3_EXPANSION!$J$20:$J$59,BI56))-IF(BH56=0,0,INDEX(SUP_C3_EXPANSION!$J$20:$J$59,BH56))))</f>
        <v>30000</v>
      </c>
      <c r="BJ65" s="1" t="n">
        <f aca="false">IF(BJ56=BI56,0,3*SUP_OPEX!$D$20*(IF(BJ56=0,0,INDEX(SUP_C3_EXPANSION!$H$20:$H$59,BJ56))-IF(BI56=0,0,INDEX(SUP_C3_EXPANSION!$H$20:$H$59,BI56)))+3*SUP_OPEX!$E$20*(IF(BJ56=0,0,INDEX(SUP_C3_EXPANSION!$I$20:$I$59,BJ56))-IF(BI56=0,0,INDEX(SUP_C3_EXPANSION!$I$20:$I$59,BI56)))+3*SUP_OPEX!$F$20*(IF(BJ56=0,0,INDEX(SUP_C3_EXPANSION!$J$20:$J$59,BJ56))-IF(BI56=0,0,INDEX(SUP_C3_EXPANSION!$J$20:$J$59,BI56))))</f>
        <v>6000</v>
      </c>
      <c r="BK65" s="1" t="n">
        <f aca="false">IF(BK56=BJ56,0,3*SUP_OPEX!$D$20*(IF(BK56=0,0,INDEX(SUP_C3_EXPANSION!$H$20:$H$59,BK56))-IF(BJ56=0,0,INDEX(SUP_C3_EXPANSION!$H$20:$H$59,BJ56)))+3*SUP_OPEX!$E$20*(IF(BK56=0,0,INDEX(SUP_C3_EXPANSION!$I$20:$I$59,BK56))-IF(BJ56=0,0,INDEX(SUP_C3_EXPANSION!$I$20:$I$59,BJ56)))+3*SUP_OPEX!$F$20*(IF(BK56=0,0,INDEX(SUP_C3_EXPANSION!$J$20:$J$59,BK56))-IF(BJ56=0,0,INDEX(SUP_C3_EXPANSION!$J$20:$J$59,BJ56))))</f>
        <v>9600</v>
      </c>
      <c r="BL65" s="1" t="n">
        <f aca="false">IF(BL56=BK56,0,3*SUP_OPEX!$D$20*(IF(BL56=0,0,INDEX(SUP_C3_EXPANSION!$H$20:$H$59,BL56))-IF(BK56=0,0,INDEX(SUP_C3_EXPANSION!$H$20:$H$59,BK56)))+3*SUP_OPEX!$E$20*(IF(BL56=0,0,INDEX(SUP_C3_EXPANSION!$I$20:$I$59,BL56))-IF(BK56=0,0,INDEX(SUP_C3_EXPANSION!$I$20:$I$59,BK56)))+3*SUP_OPEX!$F$20*(IF(BL56=0,0,INDEX(SUP_C3_EXPANSION!$J$20:$J$59,BL56))-IF(BK56=0,0,INDEX(SUP_C3_EXPANSION!$J$20:$J$59,BK56))))</f>
        <v>6000</v>
      </c>
      <c r="BM65" s="1" t="n">
        <f aca="false">IF(BM56=BL56,0,3*SUP_OPEX!$D$20*(IF(BM56=0,0,INDEX(SUP_C3_EXPANSION!$H$20:$H$59,BM56))-IF(BL56=0,0,INDEX(SUP_C3_EXPANSION!$H$20:$H$59,BL56)))+3*SUP_OPEX!$E$20*(IF(BM56=0,0,INDEX(SUP_C3_EXPANSION!$I$20:$I$59,BM56))-IF(BL56=0,0,INDEX(SUP_C3_EXPANSION!$I$20:$I$59,BL56)))+3*SUP_OPEX!$F$20*(IF(BM56=0,0,INDEX(SUP_C3_EXPANSION!$J$20:$J$59,BM56))-IF(BL56=0,0,INDEX(SUP_C3_EXPANSION!$J$20:$J$59,BL56))))</f>
        <v>6000</v>
      </c>
      <c r="BN65" s="1" t="n">
        <f aca="false">IF(BN56=BM56,0,3*SUP_OPEX!$D$20*(IF(BN56=0,0,INDEX(SUP_C3_EXPANSION!$H$20:$H$59,BN56))-IF(BM56=0,0,INDEX(SUP_C3_EXPANSION!$H$20:$H$59,BM56)))+3*SUP_OPEX!$E$20*(IF(BN56=0,0,INDEX(SUP_C3_EXPANSION!$I$20:$I$59,BN56))-IF(BM56=0,0,INDEX(SUP_C3_EXPANSION!$I$20:$I$59,BM56)))+3*SUP_OPEX!$F$20*(IF(BN56=0,0,INDEX(SUP_C3_EXPANSION!$J$20:$J$59,BN56))-IF(BM56=0,0,INDEX(SUP_C3_EXPANSION!$J$20:$J$59,BM56))))</f>
        <v>6000</v>
      </c>
      <c r="BO65" s="1" t="n">
        <f aca="false">IF(BO56=BN56,0,3*SUP_OPEX!$D$20*(IF(BO56=0,0,INDEX(SUP_C3_EXPANSION!$H$20:$H$59,BO56))-IF(BN56=0,0,INDEX(SUP_C3_EXPANSION!$H$20:$H$59,BN56)))+3*SUP_OPEX!$E$20*(IF(BO56=0,0,INDEX(SUP_C3_EXPANSION!$I$20:$I$59,BO56))-IF(BN56=0,0,INDEX(SUP_C3_EXPANSION!$I$20:$I$59,BN56)))+3*SUP_OPEX!$F$20*(IF(BO56=0,0,INDEX(SUP_C3_EXPANSION!$J$20:$J$59,BO56))-IF(BN56=0,0,INDEX(SUP_C3_EXPANSION!$J$20:$J$59,BN56))))</f>
        <v>0</v>
      </c>
      <c r="BP65" s="1" t="n">
        <f aca="false">IF(BP56=BO56,0,3*SUP_OPEX!$D$20*(IF(BP56=0,0,INDEX(SUP_C3_EXPANSION!$H$20:$H$59,BP56))-IF(BO56=0,0,INDEX(SUP_C3_EXPANSION!$H$20:$H$59,BO56)))+3*SUP_OPEX!$E$20*(IF(BP56=0,0,INDEX(SUP_C3_EXPANSION!$I$20:$I$59,BP56))-IF(BO56=0,0,INDEX(SUP_C3_EXPANSION!$I$20:$I$59,BO56)))+3*SUP_OPEX!$F$20*(IF(BP56=0,0,INDEX(SUP_C3_EXPANSION!$J$20:$J$59,BP56))-IF(BO56=0,0,INDEX(SUP_C3_EXPANSION!$J$20:$J$59,BO56))))</f>
        <v>9600</v>
      </c>
      <c r="BQ65" s="1" t="n">
        <f aca="false">IF(BQ56=BP56,0,3*SUP_OPEX!$D$20*(IF(BQ56=0,0,INDEX(SUP_C3_EXPANSION!$H$20:$H$59,BQ56))-IF(BP56=0,0,INDEX(SUP_C3_EXPANSION!$H$20:$H$59,BP56)))+3*SUP_OPEX!$E$20*(IF(BQ56=0,0,INDEX(SUP_C3_EXPANSION!$I$20:$I$59,BQ56))-IF(BP56=0,0,INDEX(SUP_C3_EXPANSION!$I$20:$I$59,BP56)))+3*SUP_OPEX!$F$20*(IF(BQ56=0,0,INDEX(SUP_C3_EXPANSION!$J$20:$J$59,BQ56))-IF(BP56=0,0,INDEX(SUP_C3_EXPANSION!$J$20:$J$59,BP56))))</f>
        <v>6000</v>
      </c>
      <c r="BR65" s="1" t="n">
        <f aca="false">IF(BR56=BQ56,0,3*SUP_OPEX!$D$20*(IF(BR56=0,0,INDEX(SUP_C3_EXPANSION!$H$20:$H$59,BR56))-IF(BQ56=0,0,INDEX(SUP_C3_EXPANSION!$H$20:$H$59,BQ56)))+3*SUP_OPEX!$E$20*(IF(BR56=0,0,INDEX(SUP_C3_EXPANSION!$I$20:$I$59,BR56))-IF(BQ56=0,0,INDEX(SUP_C3_EXPANSION!$I$20:$I$59,BQ56)))+3*SUP_OPEX!$F$20*(IF(BR56=0,0,INDEX(SUP_C3_EXPANSION!$J$20:$J$59,BR56))-IF(BQ56=0,0,INDEX(SUP_C3_EXPANSION!$J$20:$J$59,BQ56))))</f>
        <v>6000</v>
      </c>
      <c r="BS65" s="1" t="n">
        <f aca="false">IF(BS56=BR56,0,3*SUP_OPEX!$D$20*(IF(BS56=0,0,INDEX(SUP_C3_EXPANSION!$H$20:$H$59,BS56))-IF(BR56=0,0,INDEX(SUP_C3_EXPANSION!$H$20:$H$59,BR56)))+3*SUP_OPEX!$E$20*(IF(BS56=0,0,INDEX(SUP_C3_EXPANSION!$I$20:$I$59,BS56))-IF(BR56=0,0,INDEX(SUP_C3_EXPANSION!$I$20:$I$59,BR56)))+3*SUP_OPEX!$F$20*(IF(BS56=0,0,INDEX(SUP_C3_EXPANSION!$J$20:$J$59,BS56))-IF(BR56=0,0,INDEX(SUP_C3_EXPANSION!$J$20:$J$59,BR56))))</f>
        <v>6000</v>
      </c>
      <c r="BT65" s="1" t="n">
        <f aca="false">IF(BT56=BS56,0,3*SUP_OPEX!$D$20*(IF(BT56=0,0,INDEX(SUP_C3_EXPANSION!$H$20:$H$59,BT56))-IF(BS56=0,0,INDEX(SUP_C3_EXPANSION!$H$20:$H$59,BS56)))+3*SUP_OPEX!$E$20*(IF(BT56=0,0,INDEX(SUP_C3_EXPANSION!$I$20:$I$59,BT56))-IF(BS56=0,0,INDEX(SUP_C3_EXPANSION!$I$20:$I$59,BS56)))+3*SUP_OPEX!$F$20*(IF(BT56=0,0,INDEX(SUP_C3_EXPANSION!$J$20:$J$59,BT56))-IF(BS56=0,0,INDEX(SUP_C3_EXPANSION!$J$20:$J$59,BS56))))</f>
        <v>9600</v>
      </c>
      <c r="BU65" s="1" t="n">
        <f aca="false">IF(BU56=BT56,0,3*SUP_OPEX!$D$20*(IF(BU56=0,0,INDEX(SUP_C3_EXPANSION!$H$20:$H$59,BU56))-IF(BT56=0,0,INDEX(SUP_C3_EXPANSION!$H$20:$H$59,BT56)))+3*SUP_OPEX!$E$20*(IF(BU56=0,0,INDEX(SUP_C3_EXPANSION!$I$20:$I$59,BU56))-IF(BT56=0,0,INDEX(SUP_C3_EXPANSION!$I$20:$I$59,BT56)))+3*SUP_OPEX!$F$20*(IF(BU56=0,0,INDEX(SUP_C3_EXPANSION!$J$20:$J$59,BU56))-IF(BT56=0,0,INDEX(SUP_C3_EXPANSION!$J$20:$J$59,BT56))))</f>
        <v>6000</v>
      </c>
      <c r="BV65" s="1" t="n">
        <f aca="false">IF(BV56=BU56,0,3*SUP_OPEX!$D$20*(IF(BV56=0,0,INDEX(SUP_C3_EXPANSION!$H$20:$H$59,BV56))-IF(BU56=0,0,INDEX(SUP_C3_EXPANSION!$H$20:$H$59,BU56)))+3*SUP_OPEX!$E$20*(IF(BV56=0,0,INDEX(SUP_C3_EXPANSION!$I$20:$I$59,BV56))-IF(BU56=0,0,INDEX(SUP_C3_EXPANSION!$I$20:$I$59,BU56)))+3*SUP_OPEX!$F$20*(IF(BV56=0,0,INDEX(SUP_C3_EXPANSION!$J$20:$J$59,BV56))-IF(BU56=0,0,INDEX(SUP_C3_EXPANSION!$J$20:$J$59,BU56))))</f>
        <v>6000</v>
      </c>
      <c r="BW65" s="1" t="n">
        <f aca="false">IF(BW56=BV56,0,3*SUP_OPEX!$D$20*(IF(BW56=0,0,INDEX(SUP_C3_EXPANSION!$H$20:$H$59,BW56))-IF(BV56=0,0,INDEX(SUP_C3_EXPANSION!$H$20:$H$59,BV56)))+3*SUP_OPEX!$E$20*(IF(BW56=0,0,INDEX(SUP_C3_EXPANSION!$I$20:$I$59,BW56))-IF(BV56=0,0,INDEX(SUP_C3_EXPANSION!$I$20:$I$59,BV56)))+3*SUP_OPEX!$F$20*(IF(BW56=0,0,INDEX(SUP_C3_EXPANSION!$J$20:$J$59,BW56))-IF(BV56=0,0,INDEX(SUP_C3_EXPANSION!$J$20:$J$59,BV56))))</f>
        <v>6000</v>
      </c>
      <c r="BX65" s="1" t="n">
        <f aca="false">IF(BX56=BW56,0,3*SUP_OPEX!$D$20*(IF(BX56=0,0,INDEX(SUP_C3_EXPANSION!$H$20:$H$59,BX56))-IF(BW56=0,0,INDEX(SUP_C3_EXPANSION!$H$20:$H$59,BW56)))+3*SUP_OPEX!$E$20*(IF(BX56=0,0,INDEX(SUP_C3_EXPANSION!$I$20:$I$59,BX56))-IF(BW56=0,0,INDEX(SUP_C3_EXPANSION!$I$20:$I$59,BW56)))+3*SUP_OPEX!$F$20*(IF(BX56=0,0,INDEX(SUP_C3_EXPANSION!$J$20:$J$59,BX56))-IF(BW56=0,0,INDEX(SUP_C3_EXPANSION!$J$20:$J$59,BW56))))</f>
        <v>9600</v>
      </c>
      <c r="BY65" s="1" t="n">
        <f aca="false">IF(BY56=BX56,0,3*SUP_OPEX!$D$20*(IF(BY56=0,0,INDEX(SUP_C3_EXPANSION!$H$20:$H$59,BY56))-IF(BX56=0,0,INDEX(SUP_C3_EXPANSION!$H$20:$H$59,BX56)))+3*SUP_OPEX!$E$20*(IF(BY56=0,0,INDEX(SUP_C3_EXPANSION!$I$20:$I$59,BY56))-IF(BX56=0,0,INDEX(SUP_C3_EXPANSION!$I$20:$I$59,BX56)))+3*SUP_OPEX!$F$20*(IF(BY56=0,0,INDEX(SUP_C3_EXPANSION!$J$20:$J$59,BY56))-IF(BX56=0,0,INDEX(SUP_C3_EXPANSION!$J$20:$J$59,BX56))))</f>
        <v>0</v>
      </c>
      <c r="BZ65" s="1" t="n">
        <f aca="false">IF(BZ56=BY56,0,3*SUP_OPEX!$D$20*(IF(BZ56=0,0,INDEX(SUP_C3_EXPANSION!$H$20:$H$59,BZ56))-IF(BY56=0,0,INDEX(SUP_C3_EXPANSION!$H$20:$H$59,BY56)))+3*SUP_OPEX!$E$20*(IF(BZ56=0,0,INDEX(SUP_C3_EXPANSION!$I$20:$I$59,BZ56))-IF(BY56=0,0,INDEX(SUP_C3_EXPANSION!$I$20:$I$59,BY56)))+3*SUP_OPEX!$F$20*(IF(BZ56=0,0,INDEX(SUP_C3_EXPANSION!$J$20:$J$59,BZ56))-IF(BY56=0,0,INDEX(SUP_C3_EXPANSION!$J$20:$J$59,BY56))))</f>
        <v>30000</v>
      </c>
      <c r="CA65" s="1" t="n">
        <f aca="false">IF(CA56=BZ56,0,3*SUP_OPEX!$D$20*(IF(CA56=0,0,INDEX(SUP_C3_EXPANSION!$H$20:$H$59,CA56))-IF(BZ56=0,0,INDEX(SUP_C3_EXPANSION!$H$20:$H$59,BZ56)))+3*SUP_OPEX!$E$20*(IF(CA56=0,0,INDEX(SUP_C3_EXPANSION!$I$20:$I$59,CA56))-IF(BZ56=0,0,INDEX(SUP_C3_EXPANSION!$I$20:$I$59,BZ56)))+3*SUP_OPEX!$F$20*(IF(CA56=0,0,INDEX(SUP_C3_EXPANSION!$J$20:$J$59,CA56))-IF(BZ56=0,0,INDEX(SUP_C3_EXPANSION!$J$20:$J$59,BZ56))))</f>
        <v>6000</v>
      </c>
      <c r="CB65" s="1" t="n">
        <f aca="false">IF(CB56=CA56,0,3*SUP_OPEX!$D$20*(IF(CB56=0,0,INDEX(SUP_C3_EXPANSION!$H$20:$H$59,CB56))-IF(CA56=0,0,INDEX(SUP_C3_EXPANSION!$H$20:$H$59,CA56)))+3*SUP_OPEX!$E$20*(IF(CB56=0,0,INDEX(SUP_C3_EXPANSION!$I$20:$I$59,CB56))-IF(CA56=0,0,INDEX(SUP_C3_EXPANSION!$I$20:$I$59,CA56)))+3*SUP_OPEX!$F$20*(IF(CB56=0,0,INDEX(SUP_C3_EXPANSION!$J$20:$J$59,CB56))-IF(CA56=0,0,INDEX(SUP_C3_EXPANSION!$J$20:$J$59,CA56))))</f>
        <v>6000</v>
      </c>
      <c r="CC65" s="1" t="n">
        <f aca="false">IF(CC56=CB56,0,3*SUP_OPEX!$D$20*(IF(CC56=0,0,INDEX(SUP_C3_EXPANSION!$H$20:$H$59,CC56))-IF(CB56=0,0,INDEX(SUP_C3_EXPANSION!$H$20:$H$59,CB56)))+3*SUP_OPEX!$E$20*(IF(CC56=0,0,INDEX(SUP_C3_EXPANSION!$I$20:$I$59,CC56))-IF(CB56=0,0,INDEX(SUP_C3_EXPANSION!$I$20:$I$59,CB56)))+3*SUP_OPEX!$F$20*(IF(CC56=0,0,INDEX(SUP_C3_EXPANSION!$J$20:$J$59,CC56))-IF(CB56=0,0,INDEX(SUP_C3_EXPANSION!$J$20:$J$59,CB56))))</f>
        <v>6000</v>
      </c>
      <c r="CD65" s="1" t="n">
        <f aca="false">IF(CD56=CC56,0,3*SUP_OPEX!$D$20*(IF(CD56=0,0,INDEX(SUP_C3_EXPANSION!$H$20:$H$59,CD56))-IF(CC56=0,0,INDEX(SUP_C3_EXPANSION!$H$20:$H$59,CC56)))+3*SUP_OPEX!$E$20*(IF(CD56=0,0,INDEX(SUP_C3_EXPANSION!$I$20:$I$59,CD56))-IF(CC56=0,0,INDEX(SUP_C3_EXPANSION!$I$20:$I$59,CC56)))+3*SUP_OPEX!$F$20*(IF(CD56=0,0,INDEX(SUP_C3_EXPANSION!$J$20:$J$59,CD56))-IF(CC56=0,0,INDEX(SUP_C3_EXPANSION!$J$20:$J$59,CC56))))</f>
        <v>9600</v>
      </c>
      <c r="CE65" s="1" t="n">
        <f aca="false">IF(CE56=CD56,0,3*SUP_OPEX!$D$20*(IF(CE56=0,0,INDEX(SUP_C3_EXPANSION!$H$20:$H$59,CE56))-IF(CD56=0,0,INDEX(SUP_C3_EXPANSION!$H$20:$H$59,CD56)))+3*SUP_OPEX!$E$20*(IF(CE56=0,0,INDEX(SUP_C3_EXPANSION!$I$20:$I$59,CE56))-IF(CD56=0,0,INDEX(SUP_C3_EXPANSION!$I$20:$I$59,CD56)))+3*SUP_OPEX!$F$20*(IF(CE56=0,0,INDEX(SUP_C3_EXPANSION!$J$20:$J$59,CE56))-IF(CD56=0,0,INDEX(SUP_C3_EXPANSION!$J$20:$J$59,CD56))))</f>
        <v>6000</v>
      </c>
      <c r="CF65" s="1" t="n">
        <f aca="false">IF(CF56=CE56,0,3*SUP_OPEX!$D$20*(IF(CF56=0,0,INDEX(SUP_C3_EXPANSION!$H$20:$H$59,CF56))-IF(CE56=0,0,INDEX(SUP_C3_EXPANSION!$H$20:$H$59,CE56)))+3*SUP_OPEX!$E$20*(IF(CF56=0,0,INDEX(SUP_C3_EXPANSION!$I$20:$I$59,CF56))-IF(CE56=0,0,INDEX(SUP_C3_EXPANSION!$I$20:$I$59,CE56)))+3*SUP_OPEX!$F$20*(IF(CF56=0,0,INDEX(SUP_C3_EXPANSION!$J$20:$J$59,CF56))-IF(CE56=0,0,INDEX(SUP_C3_EXPANSION!$J$20:$J$59,CE56))))</f>
        <v>6000</v>
      </c>
      <c r="CG65" s="1" t="n">
        <f aca="false">IF(CG56=CF56,0,3*SUP_OPEX!$D$20*(IF(CG56=0,0,INDEX(SUP_C3_EXPANSION!$H$20:$H$59,CG56))-IF(CF56=0,0,INDEX(SUP_C3_EXPANSION!$H$20:$H$59,CF56)))+3*SUP_OPEX!$E$20*(IF(CG56=0,0,INDEX(SUP_C3_EXPANSION!$I$20:$I$59,CG56))-IF(CF56=0,0,INDEX(SUP_C3_EXPANSION!$I$20:$I$59,CF56)))+3*SUP_OPEX!$F$20*(IF(CG56=0,0,INDEX(SUP_C3_EXPANSION!$J$20:$J$59,CG56))-IF(CF56=0,0,INDEX(SUP_C3_EXPANSION!$J$20:$J$59,CF56))))</f>
        <v>6000</v>
      </c>
      <c r="CH65" s="1" t="n">
        <f aca="false">IF(CH56=CG56,0,3*SUP_OPEX!$D$20*(IF(CH56=0,0,INDEX(SUP_C3_EXPANSION!$H$20:$H$59,CH56))-IF(CG56=0,0,INDEX(SUP_C3_EXPANSION!$H$20:$H$59,CG56)))+3*SUP_OPEX!$E$20*(IF(CH56=0,0,INDEX(SUP_C3_EXPANSION!$I$20:$I$59,CH56))-IF(CG56=0,0,INDEX(SUP_C3_EXPANSION!$I$20:$I$59,CG56)))+3*SUP_OPEX!$F$20*(IF(CH56=0,0,INDEX(SUP_C3_EXPANSION!$J$20:$J$59,CH56))-IF(CG56=0,0,INDEX(SUP_C3_EXPANSION!$J$20:$J$59,CG56))))</f>
        <v>9600</v>
      </c>
      <c r="CI65" s="1" t="n">
        <f aca="false">IF(CI56=CH56,0,3*SUP_OPEX!$D$20*(IF(CI56=0,0,INDEX(SUP_C3_EXPANSION!$H$20:$H$59,CI56))-IF(CH56=0,0,INDEX(SUP_C3_EXPANSION!$H$20:$H$59,CH56)))+3*SUP_OPEX!$E$20*(IF(CI56=0,0,INDEX(SUP_C3_EXPANSION!$I$20:$I$59,CI56))-IF(CH56=0,0,INDEX(SUP_C3_EXPANSION!$I$20:$I$59,CH56)))+3*SUP_OPEX!$F$20*(IF(CI56=0,0,INDEX(SUP_C3_EXPANSION!$J$20:$J$59,CI56))-IF(CH56=0,0,INDEX(SUP_C3_EXPANSION!$J$20:$J$59,CH56))))</f>
        <v>6000</v>
      </c>
      <c r="CJ65" s="1" t="n">
        <f aca="false">IF(CJ56=CI56,0,3*SUP_OPEX!$D$20*(IF(CJ56=0,0,INDEX(SUP_C3_EXPANSION!$H$20:$H$59,CJ56))-IF(CI56=0,0,INDEX(SUP_C3_EXPANSION!$H$20:$H$59,CI56)))+3*SUP_OPEX!$E$20*(IF(CJ56=0,0,INDEX(SUP_C3_EXPANSION!$I$20:$I$59,CJ56))-IF(CI56=0,0,INDEX(SUP_C3_EXPANSION!$I$20:$I$59,CI56)))+3*SUP_OPEX!$F$20*(IF(CJ56=0,0,INDEX(SUP_C3_EXPANSION!$J$20:$J$59,CJ56))-IF(CI56=0,0,INDEX(SUP_C3_EXPANSION!$J$20:$J$59,CI56))))</f>
        <v>6000</v>
      </c>
      <c r="CK65" s="1" t="n">
        <f aca="false">IF(CK56=CJ56,0,3*SUP_OPEX!$D$20*(IF(CK56=0,0,INDEX(SUP_C3_EXPANSION!$H$20:$H$59,CK56))-IF(CJ56=0,0,INDEX(SUP_C3_EXPANSION!$H$20:$H$59,CJ56)))+3*SUP_OPEX!$E$20*(IF(CK56=0,0,INDEX(SUP_C3_EXPANSION!$I$20:$I$59,CK56))-IF(CJ56=0,0,INDEX(SUP_C3_EXPANSION!$I$20:$I$59,CJ56)))+3*SUP_OPEX!$F$20*(IF(CK56=0,0,INDEX(SUP_C3_EXPANSION!$J$20:$J$59,CK56))-IF(CJ56=0,0,INDEX(SUP_C3_EXPANSION!$J$20:$J$59,CJ56))))</f>
        <v>0</v>
      </c>
      <c r="CL65" s="1" t="n">
        <f aca="false">IF(CL56=CK56,0,3*SUP_OPEX!$D$20*(IF(CL56=0,0,INDEX(SUP_C3_EXPANSION!$H$20:$H$59,CL56))-IF(CK56=0,0,INDEX(SUP_C3_EXPANSION!$H$20:$H$59,CK56)))+3*SUP_OPEX!$E$20*(IF(CL56=0,0,INDEX(SUP_C3_EXPANSION!$I$20:$I$59,CL56))-IF(CK56=0,0,INDEX(SUP_C3_EXPANSION!$I$20:$I$59,CK56)))+3*SUP_OPEX!$F$20*(IF(CL56=0,0,INDEX(SUP_C3_EXPANSION!$J$20:$J$59,CL56))-IF(CK56=0,0,INDEX(SUP_C3_EXPANSION!$J$20:$J$59,CK56))))</f>
        <v>0</v>
      </c>
      <c r="CM65" s="1" t="n">
        <f aca="false">IF(CM56=CL56,0,3*SUP_OPEX!$D$20*(IF(CM56=0,0,INDEX(SUP_C3_EXPANSION!$H$20:$H$59,CM56))-IF(CL56=0,0,INDEX(SUP_C3_EXPANSION!$H$20:$H$59,CL56)))+3*SUP_OPEX!$E$20*(IF(CM56=0,0,INDEX(SUP_C3_EXPANSION!$I$20:$I$59,CM56))-IF(CL56=0,0,INDEX(SUP_C3_EXPANSION!$I$20:$I$59,CL56)))+3*SUP_OPEX!$F$20*(IF(CM56=0,0,INDEX(SUP_C3_EXPANSION!$J$20:$J$59,CM56))-IF(CL56=0,0,INDEX(SUP_C3_EXPANSION!$J$20:$J$59,CL56))))</f>
        <v>0</v>
      </c>
      <c r="CN65" s="1" t="n">
        <f aca="false">IF(CN56=CM56,0,3*SUP_OPEX!$D$20*(IF(CN56=0,0,INDEX(SUP_C3_EXPANSION!$H$20:$H$59,CN56))-IF(CM56=0,0,INDEX(SUP_C3_EXPANSION!$H$20:$H$59,CM56)))+3*SUP_OPEX!$E$20*(IF(CN56=0,0,INDEX(SUP_C3_EXPANSION!$I$20:$I$59,CN56))-IF(CM56=0,0,INDEX(SUP_C3_EXPANSION!$I$20:$I$59,CM56)))+3*SUP_OPEX!$F$20*(IF(CN56=0,0,INDEX(SUP_C3_EXPANSION!$J$20:$J$59,CN56))-IF(CM56=0,0,INDEX(SUP_C3_EXPANSION!$J$20:$J$59,CM56))))</f>
        <v>0</v>
      </c>
      <c r="CO65" s="1" t="n">
        <f aca="false">IF(CO56=CN56,0,3*SUP_OPEX!$D$20*(IF(CO56=0,0,INDEX(SUP_C3_EXPANSION!$H$20:$H$59,CO56))-IF(CN56=0,0,INDEX(SUP_C3_EXPANSION!$H$20:$H$59,CN56)))+3*SUP_OPEX!$E$20*(IF(CO56=0,0,INDEX(SUP_C3_EXPANSION!$I$20:$I$59,CO56))-IF(CN56=0,0,INDEX(SUP_C3_EXPANSION!$I$20:$I$59,CN56)))+3*SUP_OPEX!$F$20*(IF(CO56=0,0,INDEX(SUP_C3_EXPANSION!$J$20:$J$59,CO56))-IF(CN56=0,0,INDEX(SUP_C3_EXPANSION!$J$20:$J$59,CN56))))</f>
        <v>0</v>
      </c>
      <c r="CP65" s="1" t="n">
        <f aca="false">IF(CP56=CO56,0,3*SUP_OPEX!$D$20*(IF(CP56=0,0,INDEX(SUP_C3_EXPANSION!$H$20:$H$59,CP56))-IF(CO56=0,0,INDEX(SUP_C3_EXPANSION!$H$20:$H$59,CO56)))+3*SUP_OPEX!$E$20*(IF(CP56=0,0,INDEX(SUP_C3_EXPANSION!$I$20:$I$59,CP56))-IF(CO56=0,0,INDEX(SUP_C3_EXPANSION!$I$20:$I$59,CO56)))+3*SUP_OPEX!$F$20*(IF(CP56=0,0,INDEX(SUP_C3_EXPANSION!$J$20:$J$59,CP56))-IF(CO56=0,0,INDEX(SUP_C3_EXPANSION!$J$20:$J$59,CO56))))</f>
        <v>0</v>
      </c>
      <c r="CQ65" s="1" t="n">
        <f aca="false">IF(CQ56=CP56,0,3*SUP_OPEX!$D$20*(IF(CQ56=0,0,INDEX(SUP_C3_EXPANSION!$H$20:$H$59,CQ56))-IF(CP56=0,0,INDEX(SUP_C3_EXPANSION!$H$20:$H$59,CP56)))+3*SUP_OPEX!$E$20*(IF(CQ56=0,0,INDEX(SUP_C3_EXPANSION!$I$20:$I$59,CQ56))-IF(CP56=0,0,INDEX(SUP_C3_EXPANSION!$I$20:$I$59,CP56)))+3*SUP_OPEX!$F$20*(IF(CQ56=0,0,INDEX(SUP_C3_EXPANSION!$J$20:$J$59,CQ56))-IF(CP56=0,0,INDEX(SUP_C3_EXPANSION!$J$20:$J$59,CP56))))</f>
        <v>0</v>
      </c>
      <c r="CR65" s="1" t="n">
        <f aca="false">IF(CR56=CQ56,0,3*SUP_OPEX!$D$20*(IF(CR56=0,0,INDEX(SUP_C3_EXPANSION!$H$20:$H$59,CR56))-IF(CQ56=0,0,INDEX(SUP_C3_EXPANSION!$H$20:$H$59,CQ56)))+3*SUP_OPEX!$E$20*(IF(CR56=0,0,INDEX(SUP_C3_EXPANSION!$I$20:$I$59,CR56))-IF(CQ56=0,0,INDEX(SUP_C3_EXPANSION!$I$20:$I$59,CQ56)))+3*SUP_OPEX!$F$20*(IF(CR56=0,0,INDEX(SUP_C3_EXPANSION!$J$20:$J$59,CR56))-IF(CQ56=0,0,INDEX(SUP_C3_EXPANSION!$J$20:$J$59,CQ56))))</f>
        <v>0</v>
      </c>
      <c r="CS65" s="1" t="n">
        <f aca="false">IF(CS56=CR56,0,3*SUP_OPEX!$D$20*(IF(CS56=0,0,INDEX(SUP_C3_EXPANSION!$H$20:$H$59,CS56))-IF(CR56=0,0,INDEX(SUP_C3_EXPANSION!$H$20:$H$59,CR56)))+3*SUP_OPEX!$E$20*(IF(CS56=0,0,INDEX(SUP_C3_EXPANSION!$I$20:$I$59,CS56))-IF(CR56=0,0,INDEX(SUP_C3_EXPANSION!$I$20:$I$59,CR56)))+3*SUP_OPEX!$F$20*(IF(CS56=0,0,INDEX(SUP_C3_EXPANSION!$J$20:$J$59,CS56))-IF(CR56=0,0,INDEX(SUP_C3_EXPANSION!$J$20:$J$59,CR56))))</f>
        <v>0</v>
      </c>
      <c r="CT65" s="1" t="n">
        <f aca="false">IF(CT56=CS56,0,3*SUP_OPEX!$D$20*(IF(CT56=0,0,INDEX(SUP_C3_EXPANSION!$H$20:$H$59,CT56))-IF(CS56=0,0,INDEX(SUP_C3_EXPANSION!$H$20:$H$59,CS56)))+3*SUP_OPEX!$E$20*(IF(CT56=0,0,INDEX(SUP_C3_EXPANSION!$I$20:$I$59,CT56))-IF(CS56=0,0,INDEX(SUP_C3_EXPANSION!$I$20:$I$59,CS56)))+3*SUP_OPEX!$F$20*(IF(CT56=0,0,INDEX(SUP_C3_EXPANSION!$J$20:$J$59,CT56))-IF(CS56=0,0,INDEX(SUP_C3_EXPANSION!$J$20:$J$59,CS56))))</f>
        <v>0</v>
      </c>
      <c r="CU65" s="1" t="n">
        <f aca="false">IF(CU56=CT56,0,3*SUP_OPEX!$D$20*(IF(CU56=0,0,INDEX(SUP_C3_EXPANSION!$H$20:$H$59,CU56))-IF(CT56=0,0,INDEX(SUP_C3_EXPANSION!$H$20:$H$59,CT56)))+3*SUP_OPEX!$E$20*(IF(CU56=0,0,INDEX(SUP_C3_EXPANSION!$I$20:$I$59,CU56))-IF(CT56=0,0,INDEX(SUP_C3_EXPANSION!$I$20:$I$59,CT56)))+3*SUP_OPEX!$F$20*(IF(CU56=0,0,INDEX(SUP_C3_EXPANSION!$J$20:$J$59,CU56))-IF(CT56=0,0,INDEX(SUP_C3_EXPANSION!$J$20:$J$59,CT56))))</f>
        <v>0</v>
      </c>
      <c r="CV65" s="1" t="n">
        <f aca="false">IF(CV56=CU56,0,3*SUP_OPEX!$D$20*(IF(CV56=0,0,INDEX(SUP_C3_EXPANSION!$H$20:$H$59,CV56))-IF(CU56=0,0,INDEX(SUP_C3_EXPANSION!$H$20:$H$59,CU56)))+3*SUP_OPEX!$E$20*(IF(CV56=0,0,INDEX(SUP_C3_EXPANSION!$I$20:$I$59,CV56))-IF(CU56=0,0,INDEX(SUP_C3_EXPANSION!$I$20:$I$59,CU56)))+3*SUP_OPEX!$F$20*(IF(CV56=0,0,INDEX(SUP_C3_EXPANSION!$J$20:$J$59,CV56))-IF(CU56=0,0,INDEX(SUP_C3_EXPANSION!$J$20:$J$59,CU56))))</f>
        <v>0</v>
      </c>
      <c r="CW65" s="1" t="n">
        <f aca="false">IF(CW56=CV56,0,3*SUP_OPEX!$D$20*(IF(CW56=0,0,INDEX(SUP_C3_EXPANSION!$H$20:$H$59,CW56))-IF(CV56=0,0,INDEX(SUP_C3_EXPANSION!$H$20:$H$59,CV56)))+3*SUP_OPEX!$E$20*(IF(CW56=0,0,INDEX(SUP_C3_EXPANSION!$I$20:$I$59,CW56))-IF(CV56=0,0,INDEX(SUP_C3_EXPANSION!$I$20:$I$59,CV56)))+3*SUP_OPEX!$F$20*(IF(CW56=0,0,INDEX(SUP_C3_EXPANSION!$J$20:$J$59,CW56))-IF(CV56=0,0,INDEX(SUP_C3_EXPANSION!$J$20:$J$59,CV56))))</f>
        <v>0</v>
      </c>
      <c r="CX65" s="1" t="n">
        <f aca="false">IF(CX56=CW56,0,3*SUP_OPEX!$D$20*(IF(CX56=0,0,INDEX(SUP_C3_EXPANSION!$H$20:$H$59,CX56))-IF(CW56=0,0,INDEX(SUP_C3_EXPANSION!$H$20:$H$59,CW56)))+3*SUP_OPEX!$E$20*(IF(CX56=0,0,INDEX(SUP_C3_EXPANSION!$I$20:$I$59,CX56))-IF(CW56=0,0,INDEX(SUP_C3_EXPANSION!$I$20:$I$59,CW56)))+3*SUP_OPEX!$F$20*(IF(CX56=0,0,INDEX(SUP_C3_EXPANSION!$J$20:$J$59,CX56))-IF(CW56=0,0,INDEX(SUP_C3_EXPANSION!$J$20:$J$59,CW56))))</f>
        <v>0</v>
      </c>
      <c r="CY65" s="1" t="n">
        <f aca="false">IF(CY56=CX56,0,3*SUP_OPEX!$D$20*(IF(CY56=0,0,INDEX(SUP_C3_EXPANSION!$H$20:$H$59,CY56))-IF(CX56=0,0,INDEX(SUP_C3_EXPANSION!$H$20:$H$59,CX56)))+3*SUP_OPEX!$E$20*(IF(CY56=0,0,INDEX(SUP_C3_EXPANSION!$I$20:$I$59,CY56))-IF(CX56=0,0,INDEX(SUP_C3_EXPANSION!$I$20:$I$59,CX56)))+3*SUP_OPEX!$F$20*(IF(CY56=0,0,INDEX(SUP_C3_EXPANSION!$J$20:$J$59,CY56))-IF(CX56=0,0,INDEX(SUP_C3_EXPANSION!$J$20:$J$59,CX56))))</f>
        <v>0</v>
      </c>
      <c r="CZ65" s="1" t="n">
        <f aca="false">IF(CZ56=CY56,0,3*SUP_OPEX!$D$20*(IF(CZ56=0,0,INDEX(SUP_C3_EXPANSION!$H$20:$H$59,CZ56))-IF(CY56=0,0,INDEX(SUP_C3_EXPANSION!$H$20:$H$59,CY56)))+3*SUP_OPEX!$E$20*(IF(CZ56=0,0,INDEX(SUP_C3_EXPANSION!$I$20:$I$59,CZ56))-IF(CY56=0,0,INDEX(SUP_C3_EXPANSION!$I$20:$I$59,CY56)))+3*SUP_OPEX!$F$20*(IF(CZ56=0,0,INDEX(SUP_C3_EXPANSION!$J$20:$J$59,CZ56))-IF(CY56=0,0,INDEX(SUP_C3_EXPANSION!$J$20:$J$59,CY56))))</f>
        <v>0</v>
      </c>
      <c r="DA65" s="1" t="n">
        <f aca="false">IF(DA56=CZ56,0,3*SUP_OPEX!$D$20*(IF(DA56=0,0,INDEX(SUP_C3_EXPANSION!$H$20:$H$59,DA56))-IF(CZ56=0,0,INDEX(SUP_C3_EXPANSION!$H$20:$H$59,CZ56)))+3*SUP_OPEX!$E$20*(IF(DA56=0,0,INDEX(SUP_C3_EXPANSION!$I$20:$I$59,DA56))-IF(CZ56=0,0,INDEX(SUP_C3_EXPANSION!$I$20:$I$59,CZ56)))+3*SUP_OPEX!$F$20*(IF(DA56=0,0,INDEX(SUP_C3_EXPANSION!$J$20:$J$59,DA56))-IF(CZ56=0,0,INDEX(SUP_C3_EXPANSION!$J$20:$J$59,CZ56))))</f>
        <v>0</v>
      </c>
      <c r="DB65" s="1" t="n">
        <f aca="false">IF(DB56=DA56,0,3*SUP_OPEX!$D$20*(IF(DB56=0,0,INDEX(SUP_C3_EXPANSION!$H$20:$H$59,DB56))-IF(DA56=0,0,INDEX(SUP_C3_EXPANSION!$H$20:$H$59,DA56)))+3*SUP_OPEX!$E$20*(IF(DB56=0,0,INDEX(SUP_C3_EXPANSION!$I$20:$I$59,DB56))-IF(DA56=0,0,INDEX(SUP_C3_EXPANSION!$I$20:$I$59,DA56)))+3*SUP_OPEX!$F$20*(IF(DB56=0,0,INDEX(SUP_C3_EXPANSION!$J$20:$J$59,DB56))-IF(DA56=0,0,INDEX(SUP_C3_EXPANSION!$J$20:$J$59,DA56))))</f>
        <v>0</v>
      </c>
      <c r="DC65" s="1" t="n">
        <f aca="false">IF(DC56=DB56,0,3*SUP_OPEX!$D$20*(IF(DC56=0,0,INDEX(SUP_C3_EXPANSION!$H$20:$H$59,DC56))-IF(DB56=0,0,INDEX(SUP_C3_EXPANSION!$H$20:$H$59,DB56)))+3*SUP_OPEX!$E$20*(IF(DC56=0,0,INDEX(SUP_C3_EXPANSION!$I$20:$I$59,DC56))-IF(DB56=0,0,INDEX(SUP_C3_EXPANSION!$I$20:$I$59,DB56)))+3*SUP_OPEX!$F$20*(IF(DC56=0,0,INDEX(SUP_C3_EXPANSION!$J$20:$J$59,DC56))-IF(DB56=0,0,INDEX(SUP_C3_EXPANSION!$J$20:$J$59,DB56))))</f>
        <v>0</v>
      </c>
      <c r="DD65" s="1" t="n">
        <f aca="false">IF(DD56=DC56,0,3*SUP_OPEX!$D$20*(IF(DD56=0,0,INDEX(SUP_C3_EXPANSION!$H$20:$H$59,DD56))-IF(DC56=0,0,INDEX(SUP_C3_EXPANSION!$H$20:$H$59,DC56)))+3*SUP_OPEX!$E$20*(IF(DD56=0,0,INDEX(SUP_C3_EXPANSION!$I$20:$I$59,DD56))-IF(DC56=0,0,INDEX(SUP_C3_EXPANSION!$I$20:$I$59,DC56)))+3*SUP_OPEX!$F$20*(IF(DD56=0,0,INDEX(SUP_C3_EXPANSION!$J$20:$J$59,DD56))-IF(DC56=0,0,INDEX(SUP_C3_EXPANSION!$J$20:$J$59,DC56))))</f>
        <v>0</v>
      </c>
      <c r="DE65" s="1" t="n">
        <f aca="false">IF(DE56=DD56,0,3*SUP_OPEX!$D$20*(IF(DE56=0,0,INDEX(SUP_C3_EXPANSION!$H$20:$H$59,DE56))-IF(DD56=0,0,INDEX(SUP_C3_EXPANSION!$H$20:$H$59,DD56)))+3*SUP_OPEX!$E$20*(IF(DE56=0,0,INDEX(SUP_C3_EXPANSION!$I$20:$I$59,DE56))-IF(DD56=0,0,INDEX(SUP_C3_EXPANSION!$I$20:$I$59,DD56)))+3*SUP_OPEX!$F$20*(IF(DE56=0,0,INDEX(SUP_C3_EXPANSION!$J$20:$J$59,DE56))-IF(DD56=0,0,INDEX(SUP_C3_EXPANSION!$J$20:$J$59,DD56))))</f>
        <v>0</v>
      </c>
      <c r="DF65" s="1" t="n">
        <f aca="false">IF(DF56=DE56,0,3*SUP_OPEX!$D$20*(IF(DF56=0,0,INDEX(SUP_C3_EXPANSION!$H$20:$H$59,DF56))-IF(DE56=0,0,INDEX(SUP_C3_EXPANSION!$H$20:$H$59,DE56)))+3*SUP_OPEX!$E$20*(IF(DF56=0,0,INDEX(SUP_C3_EXPANSION!$I$20:$I$59,DF56))-IF(DE56=0,0,INDEX(SUP_C3_EXPANSION!$I$20:$I$59,DE56)))+3*SUP_OPEX!$F$20*(IF(DF56=0,0,INDEX(SUP_C3_EXPANSION!$J$20:$J$59,DF56))-IF(DE56=0,0,INDEX(SUP_C3_EXPANSION!$J$20:$J$59,DE56))))</f>
        <v>0</v>
      </c>
      <c r="DG65" s="1" t="n">
        <f aca="false">IF(DG56=DF56,0,3*SUP_OPEX!$D$20*(IF(DG56=0,0,INDEX(SUP_C3_EXPANSION!$H$20:$H$59,DG56))-IF(DF56=0,0,INDEX(SUP_C3_EXPANSION!$H$20:$H$59,DF56)))+3*SUP_OPEX!$E$20*(IF(DG56=0,0,INDEX(SUP_C3_EXPANSION!$I$20:$I$59,DG56))-IF(DF56=0,0,INDEX(SUP_C3_EXPANSION!$I$20:$I$59,DF56)))+3*SUP_OPEX!$F$20*(IF(DG56=0,0,INDEX(SUP_C3_EXPANSION!$J$20:$J$59,DG56))-IF(DF56=0,0,INDEX(SUP_C3_EXPANSION!$J$20:$J$59,DF56))))</f>
        <v>0</v>
      </c>
      <c r="DH65" s="1" t="n">
        <f aca="false">IF(DH56=DG56,0,3*SUP_OPEX!$D$20*(IF(DH56=0,0,INDEX(SUP_C3_EXPANSION!$H$20:$H$59,DH56))-IF(DG56=0,0,INDEX(SUP_C3_EXPANSION!$H$20:$H$59,DG56)))+3*SUP_OPEX!$E$20*(IF(DH56=0,0,INDEX(SUP_C3_EXPANSION!$I$20:$I$59,DH56))-IF(DG56=0,0,INDEX(SUP_C3_EXPANSION!$I$20:$I$59,DG56)))+3*SUP_OPEX!$F$20*(IF(DH56=0,0,INDEX(SUP_C3_EXPANSION!$J$20:$J$59,DH56))-IF(DG56=0,0,INDEX(SUP_C3_EXPANSION!$J$20:$J$59,DG56))))</f>
        <v>0</v>
      </c>
      <c r="DI65" s="1" t="n">
        <f aca="false">IF(DI56=DH56,0,3*SUP_OPEX!$D$20*(IF(DI56=0,0,INDEX(SUP_C3_EXPANSION!$H$20:$H$59,DI56))-IF(DH56=0,0,INDEX(SUP_C3_EXPANSION!$H$20:$H$59,DH56)))+3*SUP_OPEX!$E$20*(IF(DI56=0,0,INDEX(SUP_C3_EXPANSION!$I$20:$I$59,DI56))-IF(DH56=0,0,INDEX(SUP_C3_EXPANSION!$I$20:$I$59,DH56)))+3*SUP_OPEX!$F$20*(IF(DI56=0,0,INDEX(SUP_C3_EXPANSION!$J$20:$J$59,DI56))-IF(DH56=0,0,INDEX(SUP_C3_EXPANSION!$J$20:$J$59,DH56))))</f>
        <v>0</v>
      </c>
      <c r="DJ65" s="1" t="n">
        <f aca="false">IF(DJ56=DI56,0,3*SUP_OPEX!$D$20*(IF(DJ56=0,0,INDEX(SUP_C3_EXPANSION!$H$20:$H$59,DJ56))-IF(DI56=0,0,INDEX(SUP_C3_EXPANSION!$H$20:$H$59,DI56)))+3*SUP_OPEX!$E$20*(IF(DJ56=0,0,INDEX(SUP_C3_EXPANSION!$I$20:$I$59,DJ56))-IF(DI56=0,0,INDEX(SUP_C3_EXPANSION!$I$20:$I$59,DI56)))+3*SUP_OPEX!$F$20*(IF(DJ56=0,0,INDEX(SUP_C3_EXPANSION!$J$20:$J$59,DJ56))-IF(DI56=0,0,INDEX(SUP_C3_EXPANSION!$J$20:$J$59,DI56))))</f>
        <v>0</v>
      </c>
      <c r="DK65" s="1" t="n">
        <f aca="false">IF(DK56=DJ56,0,3*SUP_OPEX!$D$20*(IF(DK56=0,0,INDEX(SUP_C3_EXPANSION!$H$20:$H$59,DK56))-IF(DJ56=0,0,INDEX(SUP_C3_EXPANSION!$H$20:$H$59,DJ56)))+3*SUP_OPEX!$E$20*(IF(DK56=0,0,INDEX(SUP_C3_EXPANSION!$I$20:$I$59,DK56))-IF(DJ56=0,0,INDEX(SUP_C3_EXPANSION!$I$20:$I$59,DJ56)))+3*SUP_OPEX!$F$20*(IF(DK56=0,0,INDEX(SUP_C3_EXPANSION!$J$20:$J$59,DK56))-IF(DJ56=0,0,INDEX(SUP_C3_EXPANSION!$J$20:$J$59,DJ56))))</f>
        <v>0</v>
      </c>
      <c r="DL65" s="1" t="n">
        <f aca="false">IF(DL56=DK56,0,3*SUP_OPEX!$D$20*(IF(DL56=0,0,INDEX(SUP_C3_EXPANSION!$H$20:$H$59,DL56))-IF(DK56=0,0,INDEX(SUP_C3_EXPANSION!$H$20:$H$59,DK56)))+3*SUP_OPEX!$E$20*(IF(DL56=0,0,INDEX(SUP_C3_EXPANSION!$I$20:$I$59,DL56))-IF(DK56=0,0,INDEX(SUP_C3_EXPANSION!$I$20:$I$59,DK56)))+3*SUP_OPEX!$F$20*(IF(DL56=0,0,INDEX(SUP_C3_EXPANSION!$J$20:$J$59,DL56))-IF(DK56=0,0,INDEX(SUP_C3_EXPANSION!$J$20:$J$59,DK56))))</f>
        <v>0</v>
      </c>
      <c r="DM65" s="1" t="n">
        <f aca="false">IF(DM56=DL56,0,3*SUP_OPEX!$D$20*(IF(DM56=0,0,INDEX(SUP_C3_EXPANSION!$H$20:$H$59,DM56))-IF(DL56=0,0,INDEX(SUP_C3_EXPANSION!$H$20:$H$59,DL56)))+3*SUP_OPEX!$E$20*(IF(DM56=0,0,INDEX(SUP_C3_EXPANSION!$I$20:$I$59,DM56))-IF(DL56=0,0,INDEX(SUP_C3_EXPANSION!$I$20:$I$59,DL56)))+3*SUP_OPEX!$F$20*(IF(DM56=0,0,INDEX(SUP_C3_EXPANSION!$J$20:$J$59,DM56))-IF(DL56=0,0,INDEX(SUP_C3_EXPANSION!$J$20:$J$59,DL56))))</f>
        <v>0</v>
      </c>
      <c r="DN65" s="1" t="n">
        <f aca="false">IF(DN56=DM56,0,3*SUP_OPEX!$D$20*(IF(DN56=0,0,INDEX(SUP_C3_EXPANSION!$H$20:$H$59,DN56))-IF(DM56=0,0,INDEX(SUP_C3_EXPANSION!$H$20:$H$59,DM56)))+3*SUP_OPEX!$E$20*(IF(DN56=0,0,INDEX(SUP_C3_EXPANSION!$I$20:$I$59,DN56))-IF(DM56=0,0,INDEX(SUP_C3_EXPANSION!$I$20:$I$59,DM56)))+3*SUP_OPEX!$F$20*(IF(DN56=0,0,INDEX(SUP_C3_EXPANSION!$J$20:$J$59,DN56))-IF(DM56=0,0,INDEX(SUP_C3_EXPANSION!$J$20:$J$59,DM56))))</f>
        <v>0</v>
      </c>
      <c r="DO65" s="1" t="n">
        <f aca="false">IF(DO56=DN56,0,3*SUP_OPEX!$D$20*(IF(DO56=0,0,INDEX(SUP_C3_EXPANSION!$H$20:$H$59,DO56))-IF(DN56=0,0,INDEX(SUP_C3_EXPANSION!$H$20:$H$59,DN56)))+3*SUP_OPEX!$E$20*(IF(DO56=0,0,INDEX(SUP_C3_EXPANSION!$I$20:$I$59,DO56))-IF(DN56=0,0,INDEX(SUP_C3_EXPANSION!$I$20:$I$59,DN56)))+3*SUP_OPEX!$F$20*(IF(DO56=0,0,INDEX(SUP_C3_EXPANSION!$J$20:$J$59,DO56))-IF(DN56=0,0,INDEX(SUP_C3_EXPANSION!$J$20:$J$59,DN56))))</f>
        <v>0</v>
      </c>
      <c r="DP65" s="1" t="n">
        <f aca="false">IF(DP56=DO56,0,3*SUP_OPEX!$D$20*(IF(DP56=0,0,INDEX(SUP_C3_EXPANSION!$H$20:$H$59,DP56))-IF(DO56=0,0,INDEX(SUP_C3_EXPANSION!$H$20:$H$59,DO56)))+3*SUP_OPEX!$E$20*(IF(DP56=0,0,INDEX(SUP_C3_EXPANSION!$I$20:$I$59,DP56))-IF(DO56=0,0,INDEX(SUP_C3_EXPANSION!$I$20:$I$59,DO56)))+3*SUP_OPEX!$F$20*(IF(DP56=0,0,INDEX(SUP_C3_EXPANSION!$J$20:$J$59,DP56))-IF(DO56=0,0,INDEX(SUP_C3_EXPANSION!$J$20:$J$59,DO56))))</f>
        <v>0</v>
      </c>
      <c r="DQ65" s="1" t="n">
        <f aca="false">IF(DQ56=DP56,0,3*SUP_OPEX!$D$20*(IF(DQ56=0,0,INDEX(SUP_C3_EXPANSION!$H$20:$H$59,DQ56))-IF(DP56=0,0,INDEX(SUP_C3_EXPANSION!$H$20:$H$59,DP56)))+3*SUP_OPEX!$E$20*(IF(DQ56=0,0,INDEX(SUP_C3_EXPANSION!$I$20:$I$59,DQ56))-IF(DP56=0,0,INDEX(SUP_C3_EXPANSION!$I$20:$I$59,DP56)))+3*SUP_OPEX!$F$20*(IF(DQ56=0,0,INDEX(SUP_C3_EXPANSION!$J$20:$J$59,DQ56))-IF(DP56=0,0,INDEX(SUP_C3_EXPANSION!$J$20:$J$59,DP56))))</f>
        <v>0</v>
      </c>
      <c r="DR65" s="1" t="n">
        <f aca="false">IF(DR56=DQ56,0,3*SUP_OPEX!$D$20*(IF(DR56=0,0,INDEX(SUP_C3_EXPANSION!$H$20:$H$59,DR56))-IF(DQ56=0,0,INDEX(SUP_C3_EXPANSION!$H$20:$H$59,DQ56)))+3*SUP_OPEX!$E$20*(IF(DR56=0,0,INDEX(SUP_C3_EXPANSION!$I$20:$I$59,DR56))-IF(DQ56=0,0,INDEX(SUP_C3_EXPANSION!$I$20:$I$59,DQ56)))+3*SUP_OPEX!$F$20*(IF(DR56=0,0,INDEX(SUP_C3_EXPANSION!$J$20:$J$59,DR56))-IF(DQ56=0,0,INDEX(SUP_C3_EXPANSION!$J$20:$J$59,DQ56))))</f>
        <v>0</v>
      </c>
      <c r="DS65" s="1" t="n">
        <f aca="false">IF(DS56=DR56,0,3*SUP_OPEX!$D$20*(IF(DS56=0,0,INDEX(SUP_C3_EXPANSION!$H$20:$H$59,DS56))-IF(DR56=0,0,INDEX(SUP_C3_EXPANSION!$H$20:$H$59,DR56)))+3*SUP_OPEX!$E$20*(IF(DS56=0,0,INDEX(SUP_C3_EXPANSION!$I$20:$I$59,DS56))-IF(DR56=0,0,INDEX(SUP_C3_EXPANSION!$I$20:$I$59,DR56)))+3*SUP_OPEX!$F$20*(IF(DS56=0,0,INDEX(SUP_C3_EXPANSION!$J$20:$J$59,DS56))-IF(DR56=0,0,INDEX(SUP_C3_EXPANSION!$J$20:$J$59,DR56))))</f>
        <v>0</v>
      </c>
    </row>
    <row r="66" customFormat="false" ht="15" hidden="false" customHeight="true" outlineLevel="0" collapsed="false">
      <c r="B66" s="295" t="s">
        <v>3560</v>
      </c>
      <c r="D66" s="1" t="n">
        <f aca="false">IF(D56=0,0,2*SUP_OPEX!$D$20*(IF(D56=0,0,INDEX(SUP_C3_EXPANSION!$H$20:$H$59,D56))-IF(0=0,0,INDEX(SUP_C3_EXPANSION!$H$20:$H$59,0)))+2*SUP_OPEX!$E$20*(IF(D56=0,0,INDEX(SUP_C3_EXPANSION!$I$20:$I$59,D56))-IF(0=0,0,INDEX(SUP_C3_EXPANSION!$I$20:$I$59,0)))+2*SUP_OPEX!$F$20*(IF(D56=0,0,INDEX(SUP_C3_EXPANSION!$J$20:$J$59,D56))-IF(0=0,0,INDEX(SUP_C3_EXPANSION!$J$20:$J$59,0))))</f>
        <v>0</v>
      </c>
      <c r="E66" s="1" t="n">
        <f aca="false">IF(E56=D56,0,2*SUP_OPEX!$D$20*(IF(E56=0,0,INDEX(SUP_C3_EXPANSION!$H$20:$H$59,E56))-IF(D56=0,0,INDEX(SUP_C3_EXPANSION!$H$20:$H$59,D56)))+2*SUP_OPEX!$E$20*(IF(E56=0,0,INDEX(SUP_C3_EXPANSION!$I$20:$I$59,E56))-IF(D56=0,0,INDEX(SUP_C3_EXPANSION!$I$20:$I$59,D56)))+2*SUP_OPEX!$F$20*(IF(E56=0,0,INDEX(SUP_C3_EXPANSION!$J$20:$J$59,E56))-IF(D56=0,0,INDEX(SUP_C3_EXPANSION!$J$20:$J$59,D56))))-IF(D56=0,0,1*SUP_OPEX!$D$20*(IF(D56=0,0,INDEX(SUP_C3_EXPANSION!$H$20:$H$59,D56))-IF(0=0,0,INDEX(SUP_C3_EXPANSION!$H$20:$H$59,0)))+1*SUP_OPEX!$E$20*(IF(D56=0,0,INDEX(SUP_C3_EXPANSION!$I$20:$I$59,D56))-IF(0=0,0,INDEX(SUP_C3_EXPANSION!$I$20:$I$59,0)))+1*SUP_OPEX!$F$20*(IF(D56=0,0,INDEX(SUP_C3_EXPANSION!$J$20:$J$59,D56))-IF(0=0,0,INDEX(SUP_C3_EXPANSION!$J$20:$J$59,0))))</f>
        <v>0</v>
      </c>
      <c r="F66" s="1" t="n">
        <f aca="false">IF(F56=E56,0,2*SUP_OPEX!$D$20*(IF(F56=0,0,INDEX(SUP_C3_EXPANSION!$H$20:$H$59,F56))-IF(E56=0,0,INDEX(SUP_C3_EXPANSION!$H$20:$H$59,E56)))+2*SUP_OPEX!$E$20*(IF(F56=0,0,INDEX(SUP_C3_EXPANSION!$I$20:$I$59,F56))-IF(E56=0,0,INDEX(SUP_C3_EXPANSION!$I$20:$I$59,E56)))+2*SUP_OPEX!$F$20*(IF(F56=0,0,INDEX(SUP_C3_EXPANSION!$J$20:$J$59,F56))-IF(E56=0,0,INDEX(SUP_C3_EXPANSION!$J$20:$J$59,E56))))-IF(E56=D56,0,1*SUP_OPEX!$D$20*(IF(E56=0,0,INDEX(SUP_C3_EXPANSION!$H$20:$H$59,E56))-IF(D56=0,0,INDEX(SUP_C3_EXPANSION!$H$20:$H$59,D56)))+1*SUP_OPEX!$E$20*(IF(E56=0,0,INDEX(SUP_C3_EXPANSION!$I$20:$I$59,E56))-IF(D56=0,0,INDEX(SUP_C3_EXPANSION!$I$20:$I$59,D56)))+1*SUP_OPEX!$F$20*(IF(E56=0,0,INDEX(SUP_C3_EXPANSION!$J$20:$J$59,E56))-IF(D56=0,0,INDEX(SUP_C3_EXPANSION!$J$20:$J$59,D56))))-IF(D56=0,0,1*SUP_OPEX!$D$20*(IF(D56=0,0,INDEX(SUP_C3_EXPANSION!$H$20:$H$59,D56))-IF(0=0,0,INDEX(SUP_C3_EXPANSION!$H$20:$H$59,0)))+1*SUP_OPEX!$E$20*(IF(D56=0,0,INDEX(SUP_C3_EXPANSION!$I$20:$I$59,D56))-IF(0=0,0,INDEX(SUP_C3_EXPANSION!$I$20:$I$59,0)))+1*SUP_OPEX!$F$20*(IF(D56=0,0,INDEX(SUP_C3_EXPANSION!$J$20:$J$59,D56))-IF(0=0,0,INDEX(SUP_C3_EXPANSION!$J$20:$J$59,0))))</f>
        <v>0</v>
      </c>
      <c r="G66" s="1" t="n">
        <f aca="false">IF(G56=F56,0,2*SUP_OPEX!$D$20*(IF(G56=0,0,INDEX(SUP_C3_EXPANSION!$H$20:$H$59,G56))-IF(F56=0,0,INDEX(SUP_C3_EXPANSION!$H$20:$H$59,F56)))+2*SUP_OPEX!$E$20*(IF(G56=0,0,INDEX(SUP_C3_EXPANSION!$I$20:$I$59,G56))-IF(F56=0,0,INDEX(SUP_C3_EXPANSION!$I$20:$I$59,F56)))+2*SUP_OPEX!$F$20*(IF(G56=0,0,INDEX(SUP_C3_EXPANSION!$J$20:$J$59,G56))-IF(F56=0,0,INDEX(SUP_C3_EXPANSION!$J$20:$J$59,F56))))-IF(F56=E56,0,1*SUP_OPEX!$D$20*(IF(F56=0,0,INDEX(SUP_C3_EXPANSION!$H$20:$H$59,F56))-IF(E56=0,0,INDEX(SUP_C3_EXPANSION!$H$20:$H$59,E56)))+1*SUP_OPEX!$E$20*(IF(F56=0,0,INDEX(SUP_C3_EXPANSION!$I$20:$I$59,F56))-IF(E56=0,0,INDEX(SUP_C3_EXPANSION!$I$20:$I$59,E56)))+1*SUP_OPEX!$F$20*(IF(F56=0,0,INDEX(SUP_C3_EXPANSION!$J$20:$J$59,F56))-IF(E56=0,0,INDEX(SUP_C3_EXPANSION!$J$20:$J$59,E56))))-IF(E56=D56,0,1*SUP_OPEX!$D$20*(IF(E56=0,0,INDEX(SUP_C3_EXPANSION!$H$20:$H$59,E56))-IF(D56=0,0,INDEX(SUP_C3_EXPANSION!$H$20:$H$59,D56)))+1*SUP_OPEX!$E$20*(IF(E56=0,0,INDEX(SUP_C3_EXPANSION!$I$20:$I$59,E56))-IF(D56=0,0,INDEX(SUP_C3_EXPANSION!$I$20:$I$59,D56)))+1*SUP_OPEX!$F$20*(IF(E56=0,0,INDEX(SUP_C3_EXPANSION!$J$20:$J$59,E56))-IF(D56=0,0,INDEX(SUP_C3_EXPANSION!$J$20:$J$59,D56))))</f>
        <v>0</v>
      </c>
      <c r="H66" s="1" t="n">
        <f aca="false">IF(H56=G56,0,2*SUP_OPEX!$D$20*(IF(H56=0,0,INDEX(SUP_C3_EXPANSION!$H$20:$H$59,H56))-IF(G56=0,0,INDEX(SUP_C3_EXPANSION!$H$20:$H$59,G56)))+2*SUP_OPEX!$E$20*(IF(H56=0,0,INDEX(SUP_C3_EXPANSION!$I$20:$I$59,H56))-IF(G56=0,0,INDEX(SUP_C3_EXPANSION!$I$20:$I$59,G56)))+2*SUP_OPEX!$F$20*(IF(H56=0,0,INDEX(SUP_C3_EXPANSION!$J$20:$J$59,H56))-IF(G56=0,0,INDEX(SUP_C3_EXPANSION!$J$20:$J$59,G56))))-IF(G56=F56,0,1*SUP_OPEX!$D$20*(IF(G56=0,0,INDEX(SUP_C3_EXPANSION!$H$20:$H$59,G56))-IF(F56=0,0,INDEX(SUP_C3_EXPANSION!$H$20:$H$59,F56)))+1*SUP_OPEX!$E$20*(IF(G56=0,0,INDEX(SUP_C3_EXPANSION!$I$20:$I$59,G56))-IF(F56=0,0,INDEX(SUP_C3_EXPANSION!$I$20:$I$59,F56)))+1*SUP_OPEX!$F$20*(IF(G56=0,0,INDEX(SUP_C3_EXPANSION!$J$20:$J$59,G56))-IF(F56=0,0,INDEX(SUP_C3_EXPANSION!$J$20:$J$59,F56))))-IF(F56=E56,0,1*SUP_OPEX!$D$20*(IF(F56=0,0,INDEX(SUP_C3_EXPANSION!$H$20:$H$59,F56))-IF(E56=0,0,INDEX(SUP_C3_EXPANSION!$H$20:$H$59,E56)))+1*SUP_OPEX!$E$20*(IF(F56=0,0,INDEX(SUP_C3_EXPANSION!$I$20:$I$59,F56))-IF(E56=0,0,INDEX(SUP_C3_EXPANSION!$I$20:$I$59,E56)))+1*SUP_OPEX!$F$20*(IF(F56=0,0,INDEX(SUP_C3_EXPANSION!$J$20:$J$59,F56))-IF(E56=0,0,INDEX(SUP_C3_EXPANSION!$J$20:$J$59,E56))))</f>
        <v>0</v>
      </c>
      <c r="I66" s="1" t="n">
        <f aca="false">IF(I56=H56,0,2*SUP_OPEX!$D$20*(IF(I56=0,0,INDEX(SUP_C3_EXPANSION!$H$20:$H$59,I56))-IF(H56=0,0,INDEX(SUP_C3_EXPANSION!$H$20:$H$59,H56)))+2*SUP_OPEX!$E$20*(IF(I56=0,0,INDEX(SUP_C3_EXPANSION!$I$20:$I$59,I56))-IF(H56=0,0,INDEX(SUP_C3_EXPANSION!$I$20:$I$59,H56)))+2*SUP_OPEX!$F$20*(IF(I56=0,0,INDEX(SUP_C3_EXPANSION!$J$20:$J$59,I56))-IF(H56=0,0,INDEX(SUP_C3_EXPANSION!$J$20:$J$59,H56))))-IF(H56=G56,0,1*SUP_OPEX!$D$20*(IF(H56=0,0,INDEX(SUP_C3_EXPANSION!$H$20:$H$59,H56))-IF(G56=0,0,INDEX(SUP_C3_EXPANSION!$H$20:$H$59,G56)))+1*SUP_OPEX!$E$20*(IF(H56=0,0,INDEX(SUP_C3_EXPANSION!$I$20:$I$59,H56))-IF(G56=0,0,INDEX(SUP_C3_EXPANSION!$I$20:$I$59,G56)))+1*SUP_OPEX!$F$20*(IF(H56=0,0,INDEX(SUP_C3_EXPANSION!$J$20:$J$59,H56))-IF(G56=0,0,INDEX(SUP_C3_EXPANSION!$J$20:$J$59,G56))))-IF(G56=F56,0,1*SUP_OPEX!$D$20*(IF(G56=0,0,INDEX(SUP_C3_EXPANSION!$H$20:$H$59,G56))-IF(F56=0,0,INDEX(SUP_C3_EXPANSION!$H$20:$H$59,F56)))+1*SUP_OPEX!$E$20*(IF(G56=0,0,INDEX(SUP_C3_EXPANSION!$I$20:$I$59,G56))-IF(F56=0,0,INDEX(SUP_C3_EXPANSION!$I$20:$I$59,F56)))+1*SUP_OPEX!$F$20*(IF(G56=0,0,INDEX(SUP_C3_EXPANSION!$J$20:$J$59,G56))-IF(F56=0,0,INDEX(SUP_C3_EXPANSION!$J$20:$J$59,F56))))</f>
        <v>0</v>
      </c>
      <c r="J66" s="1" t="n">
        <f aca="false">IF(J56=I56,0,2*SUP_OPEX!$D$20*(IF(J56=0,0,INDEX(SUP_C3_EXPANSION!$H$20:$H$59,J56))-IF(I56=0,0,INDEX(SUP_C3_EXPANSION!$H$20:$H$59,I56)))+2*SUP_OPEX!$E$20*(IF(J56=0,0,INDEX(SUP_C3_EXPANSION!$I$20:$I$59,J56))-IF(I56=0,0,INDEX(SUP_C3_EXPANSION!$I$20:$I$59,I56)))+2*SUP_OPEX!$F$20*(IF(J56=0,0,INDEX(SUP_C3_EXPANSION!$J$20:$J$59,J56))-IF(I56=0,0,INDEX(SUP_C3_EXPANSION!$J$20:$J$59,I56))))-IF(I56=H56,0,1*SUP_OPEX!$D$20*(IF(I56=0,0,INDEX(SUP_C3_EXPANSION!$H$20:$H$59,I56))-IF(H56=0,0,INDEX(SUP_C3_EXPANSION!$H$20:$H$59,H56)))+1*SUP_OPEX!$E$20*(IF(I56=0,0,INDEX(SUP_C3_EXPANSION!$I$20:$I$59,I56))-IF(H56=0,0,INDEX(SUP_C3_EXPANSION!$I$20:$I$59,H56)))+1*SUP_OPEX!$F$20*(IF(I56=0,0,INDEX(SUP_C3_EXPANSION!$J$20:$J$59,I56))-IF(H56=0,0,INDEX(SUP_C3_EXPANSION!$J$20:$J$59,H56))))-IF(H56=G56,0,1*SUP_OPEX!$D$20*(IF(H56=0,0,INDEX(SUP_C3_EXPANSION!$H$20:$H$59,H56))-IF(G56=0,0,INDEX(SUP_C3_EXPANSION!$H$20:$H$59,G56)))+1*SUP_OPEX!$E$20*(IF(H56=0,0,INDEX(SUP_C3_EXPANSION!$I$20:$I$59,H56))-IF(G56=0,0,INDEX(SUP_C3_EXPANSION!$I$20:$I$59,G56)))+1*SUP_OPEX!$F$20*(IF(H56=0,0,INDEX(SUP_C3_EXPANSION!$J$20:$J$59,H56))-IF(G56=0,0,INDEX(SUP_C3_EXPANSION!$J$20:$J$59,G56))))</f>
        <v>0</v>
      </c>
      <c r="K66" s="1" t="n">
        <f aca="false">IF(K56=J56,0,2*SUP_OPEX!$D$20*(IF(K56=0,0,INDEX(SUP_C3_EXPANSION!$H$20:$H$59,K56))-IF(J56=0,0,INDEX(SUP_C3_EXPANSION!$H$20:$H$59,J56)))+2*SUP_OPEX!$E$20*(IF(K56=0,0,INDEX(SUP_C3_EXPANSION!$I$20:$I$59,K56))-IF(J56=0,0,INDEX(SUP_C3_EXPANSION!$I$20:$I$59,J56)))+2*SUP_OPEX!$F$20*(IF(K56=0,0,INDEX(SUP_C3_EXPANSION!$J$20:$J$59,K56))-IF(J56=0,0,INDEX(SUP_C3_EXPANSION!$J$20:$J$59,J56))))-IF(J56=I56,0,1*SUP_OPEX!$D$20*(IF(J56=0,0,INDEX(SUP_C3_EXPANSION!$H$20:$H$59,J56))-IF(I56=0,0,INDEX(SUP_C3_EXPANSION!$H$20:$H$59,I56)))+1*SUP_OPEX!$E$20*(IF(J56=0,0,INDEX(SUP_C3_EXPANSION!$I$20:$I$59,J56))-IF(I56=0,0,INDEX(SUP_C3_EXPANSION!$I$20:$I$59,I56)))+1*SUP_OPEX!$F$20*(IF(J56=0,0,INDEX(SUP_C3_EXPANSION!$J$20:$J$59,J56))-IF(I56=0,0,INDEX(SUP_C3_EXPANSION!$J$20:$J$59,I56))))-IF(I56=H56,0,1*SUP_OPEX!$D$20*(IF(I56=0,0,INDEX(SUP_C3_EXPANSION!$H$20:$H$59,I56))-IF(H56=0,0,INDEX(SUP_C3_EXPANSION!$H$20:$H$59,H56)))+1*SUP_OPEX!$E$20*(IF(I56=0,0,INDEX(SUP_C3_EXPANSION!$I$20:$I$59,I56))-IF(H56=0,0,INDEX(SUP_C3_EXPANSION!$I$20:$I$59,H56)))+1*SUP_OPEX!$F$20*(IF(I56=0,0,INDEX(SUP_C3_EXPANSION!$J$20:$J$59,I56))-IF(H56=0,0,INDEX(SUP_C3_EXPANSION!$J$20:$J$59,H56))))</f>
        <v>0</v>
      </c>
      <c r="L66" s="1" t="n">
        <f aca="false">IF(L56=K56,0,2*SUP_OPEX!$D$20*(IF(L56=0,0,INDEX(SUP_C3_EXPANSION!$H$20:$H$59,L56))-IF(K56=0,0,INDEX(SUP_C3_EXPANSION!$H$20:$H$59,K56)))+2*SUP_OPEX!$E$20*(IF(L56=0,0,INDEX(SUP_C3_EXPANSION!$I$20:$I$59,L56))-IF(K56=0,0,INDEX(SUP_C3_EXPANSION!$I$20:$I$59,K56)))+2*SUP_OPEX!$F$20*(IF(L56=0,0,INDEX(SUP_C3_EXPANSION!$J$20:$J$59,L56))-IF(K56=0,0,INDEX(SUP_C3_EXPANSION!$J$20:$J$59,K56))))-IF(K56=J56,0,1*SUP_OPEX!$D$20*(IF(K56=0,0,INDEX(SUP_C3_EXPANSION!$H$20:$H$59,K56))-IF(J56=0,0,INDEX(SUP_C3_EXPANSION!$H$20:$H$59,J56)))+1*SUP_OPEX!$E$20*(IF(K56=0,0,INDEX(SUP_C3_EXPANSION!$I$20:$I$59,K56))-IF(J56=0,0,INDEX(SUP_C3_EXPANSION!$I$20:$I$59,J56)))+1*SUP_OPEX!$F$20*(IF(K56=0,0,INDEX(SUP_C3_EXPANSION!$J$20:$J$59,K56))-IF(J56=0,0,INDEX(SUP_C3_EXPANSION!$J$20:$J$59,J56))))-IF(J56=I56,0,1*SUP_OPEX!$D$20*(IF(J56=0,0,INDEX(SUP_C3_EXPANSION!$H$20:$H$59,J56))-IF(I56=0,0,INDEX(SUP_C3_EXPANSION!$H$20:$H$59,I56)))+1*SUP_OPEX!$E$20*(IF(J56=0,0,INDEX(SUP_C3_EXPANSION!$I$20:$I$59,J56))-IF(I56=0,0,INDEX(SUP_C3_EXPANSION!$I$20:$I$59,I56)))+1*SUP_OPEX!$F$20*(IF(J56=0,0,INDEX(SUP_C3_EXPANSION!$J$20:$J$59,J56))-IF(I56=0,0,INDEX(SUP_C3_EXPANSION!$J$20:$J$59,I56))))</f>
        <v>0</v>
      </c>
      <c r="M66" s="1" t="n">
        <f aca="false">IF(M56=L56,0,2*SUP_OPEX!$D$20*(IF(M56=0,0,INDEX(SUP_C3_EXPANSION!$H$20:$H$59,M56))-IF(L56=0,0,INDEX(SUP_C3_EXPANSION!$H$20:$H$59,L56)))+2*SUP_OPEX!$E$20*(IF(M56=0,0,INDEX(SUP_C3_EXPANSION!$I$20:$I$59,M56))-IF(L56=0,0,INDEX(SUP_C3_EXPANSION!$I$20:$I$59,L56)))+2*SUP_OPEX!$F$20*(IF(M56=0,0,INDEX(SUP_C3_EXPANSION!$J$20:$J$59,M56))-IF(L56=0,0,INDEX(SUP_C3_EXPANSION!$J$20:$J$59,L56))))-IF(L56=K56,0,1*SUP_OPEX!$D$20*(IF(L56=0,0,INDEX(SUP_C3_EXPANSION!$H$20:$H$59,L56))-IF(K56=0,0,INDEX(SUP_C3_EXPANSION!$H$20:$H$59,K56)))+1*SUP_OPEX!$E$20*(IF(L56=0,0,INDEX(SUP_C3_EXPANSION!$I$20:$I$59,L56))-IF(K56=0,0,INDEX(SUP_C3_EXPANSION!$I$20:$I$59,K56)))+1*SUP_OPEX!$F$20*(IF(L56=0,0,INDEX(SUP_C3_EXPANSION!$J$20:$J$59,L56))-IF(K56=0,0,INDEX(SUP_C3_EXPANSION!$J$20:$J$59,K56))))-IF(K56=J56,0,1*SUP_OPEX!$D$20*(IF(K56=0,0,INDEX(SUP_C3_EXPANSION!$H$20:$H$59,K56))-IF(J56=0,0,INDEX(SUP_C3_EXPANSION!$H$20:$H$59,J56)))+1*SUP_OPEX!$E$20*(IF(K56=0,0,INDEX(SUP_C3_EXPANSION!$I$20:$I$59,K56))-IF(J56=0,0,INDEX(SUP_C3_EXPANSION!$I$20:$I$59,J56)))+1*SUP_OPEX!$F$20*(IF(K56=0,0,INDEX(SUP_C3_EXPANSION!$J$20:$J$59,K56))-IF(J56=0,0,INDEX(SUP_C3_EXPANSION!$J$20:$J$59,J56))))</f>
        <v>0</v>
      </c>
      <c r="N66" s="1" t="n">
        <f aca="false">IF(N56=M56,0,2*SUP_OPEX!$D$20*(IF(N56=0,0,INDEX(SUP_C3_EXPANSION!$H$20:$H$59,N56))-IF(M56=0,0,INDEX(SUP_C3_EXPANSION!$H$20:$H$59,M56)))+2*SUP_OPEX!$E$20*(IF(N56=0,0,INDEX(SUP_C3_EXPANSION!$I$20:$I$59,N56))-IF(M56=0,0,INDEX(SUP_C3_EXPANSION!$I$20:$I$59,M56)))+2*SUP_OPEX!$F$20*(IF(N56=0,0,INDEX(SUP_C3_EXPANSION!$J$20:$J$59,N56))-IF(M56=0,0,INDEX(SUP_C3_EXPANSION!$J$20:$J$59,M56))))-IF(M56=L56,0,1*SUP_OPEX!$D$20*(IF(M56=0,0,INDEX(SUP_C3_EXPANSION!$H$20:$H$59,M56))-IF(L56=0,0,INDEX(SUP_C3_EXPANSION!$H$20:$H$59,L56)))+1*SUP_OPEX!$E$20*(IF(M56=0,0,INDEX(SUP_C3_EXPANSION!$I$20:$I$59,M56))-IF(L56=0,0,INDEX(SUP_C3_EXPANSION!$I$20:$I$59,L56)))+1*SUP_OPEX!$F$20*(IF(M56=0,0,INDEX(SUP_C3_EXPANSION!$J$20:$J$59,M56))-IF(L56=0,0,INDEX(SUP_C3_EXPANSION!$J$20:$J$59,L56))))-IF(L56=K56,0,1*SUP_OPEX!$D$20*(IF(L56=0,0,INDEX(SUP_C3_EXPANSION!$H$20:$H$59,L56))-IF(K56=0,0,INDEX(SUP_C3_EXPANSION!$H$20:$H$59,K56)))+1*SUP_OPEX!$E$20*(IF(L56=0,0,INDEX(SUP_C3_EXPANSION!$I$20:$I$59,L56))-IF(K56=0,0,INDEX(SUP_C3_EXPANSION!$I$20:$I$59,K56)))+1*SUP_OPEX!$F$20*(IF(L56=0,0,INDEX(SUP_C3_EXPANSION!$J$20:$J$59,L56))-IF(K56=0,0,INDEX(SUP_C3_EXPANSION!$J$20:$J$59,K56))))</f>
        <v>0</v>
      </c>
      <c r="O66" s="1" t="n">
        <f aca="false">IF(O56=N56,0,2*SUP_OPEX!$D$20*(IF(O56=0,0,INDEX(SUP_C3_EXPANSION!$H$20:$H$59,O56))-IF(N56=0,0,INDEX(SUP_C3_EXPANSION!$H$20:$H$59,N56)))+2*SUP_OPEX!$E$20*(IF(O56=0,0,INDEX(SUP_C3_EXPANSION!$I$20:$I$59,O56))-IF(N56=0,0,INDEX(SUP_C3_EXPANSION!$I$20:$I$59,N56)))+2*SUP_OPEX!$F$20*(IF(O56=0,0,INDEX(SUP_C3_EXPANSION!$J$20:$J$59,O56))-IF(N56=0,0,INDEX(SUP_C3_EXPANSION!$J$20:$J$59,N56))))-IF(N56=M56,0,1*SUP_OPEX!$D$20*(IF(N56=0,0,INDEX(SUP_C3_EXPANSION!$H$20:$H$59,N56))-IF(M56=0,0,INDEX(SUP_C3_EXPANSION!$H$20:$H$59,M56)))+1*SUP_OPEX!$E$20*(IF(N56=0,0,INDEX(SUP_C3_EXPANSION!$I$20:$I$59,N56))-IF(M56=0,0,INDEX(SUP_C3_EXPANSION!$I$20:$I$59,M56)))+1*SUP_OPEX!$F$20*(IF(N56=0,0,INDEX(SUP_C3_EXPANSION!$J$20:$J$59,N56))-IF(M56=0,0,INDEX(SUP_C3_EXPANSION!$J$20:$J$59,M56))))-IF(M56=L56,0,1*SUP_OPEX!$D$20*(IF(M56=0,0,INDEX(SUP_C3_EXPANSION!$H$20:$H$59,M56))-IF(L56=0,0,INDEX(SUP_C3_EXPANSION!$H$20:$H$59,L56)))+1*SUP_OPEX!$E$20*(IF(M56=0,0,INDEX(SUP_C3_EXPANSION!$I$20:$I$59,M56))-IF(L56=0,0,INDEX(SUP_C3_EXPANSION!$I$20:$I$59,L56)))+1*SUP_OPEX!$F$20*(IF(M56=0,0,INDEX(SUP_C3_EXPANSION!$J$20:$J$59,M56))-IF(L56=0,0,INDEX(SUP_C3_EXPANSION!$J$20:$J$59,L56))))</f>
        <v>0</v>
      </c>
      <c r="P66" s="1" t="n">
        <f aca="false">IF(P56=O56,0,2*SUP_OPEX!$D$20*(IF(P56=0,0,INDEX(SUP_C3_EXPANSION!$H$20:$H$59,P56))-IF(O56=0,0,INDEX(SUP_C3_EXPANSION!$H$20:$H$59,O56)))+2*SUP_OPEX!$E$20*(IF(P56=0,0,INDEX(SUP_C3_EXPANSION!$I$20:$I$59,P56))-IF(O56=0,0,INDEX(SUP_C3_EXPANSION!$I$20:$I$59,O56)))+2*SUP_OPEX!$F$20*(IF(P56=0,0,INDEX(SUP_C3_EXPANSION!$J$20:$J$59,P56))-IF(O56=0,0,INDEX(SUP_C3_EXPANSION!$J$20:$J$59,O56))))-IF(O56=N56,0,1*SUP_OPEX!$D$20*(IF(O56=0,0,INDEX(SUP_C3_EXPANSION!$H$20:$H$59,O56))-IF(N56=0,0,INDEX(SUP_C3_EXPANSION!$H$20:$H$59,N56)))+1*SUP_OPEX!$E$20*(IF(O56=0,0,INDEX(SUP_C3_EXPANSION!$I$20:$I$59,O56))-IF(N56=0,0,INDEX(SUP_C3_EXPANSION!$I$20:$I$59,N56)))+1*SUP_OPEX!$F$20*(IF(O56=0,0,INDEX(SUP_C3_EXPANSION!$J$20:$J$59,O56))-IF(N56=0,0,INDEX(SUP_C3_EXPANSION!$J$20:$J$59,N56))))-IF(N56=M56,0,1*SUP_OPEX!$D$20*(IF(N56=0,0,INDEX(SUP_C3_EXPANSION!$H$20:$H$59,N56))-IF(M56=0,0,INDEX(SUP_C3_EXPANSION!$H$20:$H$59,M56)))+1*SUP_OPEX!$E$20*(IF(N56=0,0,INDEX(SUP_C3_EXPANSION!$I$20:$I$59,N56))-IF(M56=0,0,INDEX(SUP_C3_EXPANSION!$I$20:$I$59,M56)))+1*SUP_OPEX!$F$20*(IF(N56=0,0,INDEX(SUP_C3_EXPANSION!$J$20:$J$59,N56))-IF(M56=0,0,INDEX(SUP_C3_EXPANSION!$J$20:$J$59,M56))))</f>
        <v>0</v>
      </c>
      <c r="Q66" s="1" t="n">
        <f aca="false">IF(Q56=P56,0,2*SUP_OPEX!$D$20*(IF(Q56=0,0,INDEX(SUP_C3_EXPANSION!$H$20:$H$59,Q56))-IF(P56=0,0,INDEX(SUP_C3_EXPANSION!$H$20:$H$59,P56)))+2*SUP_OPEX!$E$20*(IF(Q56=0,0,INDEX(SUP_C3_EXPANSION!$I$20:$I$59,Q56))-IF(P56=0,0,INDEX(SUP_C3_EXPANSION!$I$20:$I$59,P56)))+2*SUP_OPEX!$F$20*(IF(Q56=0,0,INDEX(SUP_C3_EXPANSION!$J$20:$J$59,Q56))-IF(P56=0,0,INDEX(SUP_C3_EXPANSION!$J$20:$J$59,P56))))-IF(P56=O56,0,1*SUP_OPEX!$D$20*(IF(P56=0,0,INDEX(SUP_C3_EXPANSION!$H$20:$H$59,P56))-IF(O56=0,0,INDEX(SUP_C3_EXPANSION!$H$20:$H$59,O56)))+1*SUP_OPEX!$E$20*(IF(P56=0,0,INDEX(SUP_C3_EXPANSION!$I$20:$I$59,P56))-IF(O56=0,0,INDEX(SUP_C3_EXPANSION!$I$20:$I$59,O56)))+1*SUP_OPEX!$F$20*(IF(P56=0,0,INDEX(SUP_C3_EXPANSION!$J$20:$J$59,P56))-IF(O56=0,0,INDEX(SUP_C3_EXPANSION!$J$20:$J$59,O56))))-IF(O56=N56,0,1*SUP_OPEX!$D$20*(IF(O56=0,0,INDEX(SUP_C3_EXPANSION!$H$20:$H$59,O56))-IF(N56=0,0,INDEX(SUP_C3_EXPANSION!$H$20:$H$59,N56)))+1*SUP_OPEX!$E$20*(IF(O56=0,0,INDEX(SUP_C3_EXPANSION!$I$20:$I$59,O56))-IF(N56=0,0,INDEX(SUP_C3_EXPANSION!$I$20:$I$59,N56)))+1*SUP_OPEX!$F$20*(IF(O56=0,0,INDEX(SUP_C3_EXPANSION!$J$20:$J$59,O56))-IF(N56=0,0,INDEX(SUP_C3_EXPANSION!$J$20:$J$59,N56))))</f>
        <v>0</v>
      </c>
      <c r="R66" s="1" t="n">
        <f aca="false">IF(R56=Q56,0,2*SUP_OPEX!$D$20*(IF(R56=0,0,INDEX(SUP_C3_EXPANSION!$H$20:$H$59,R56))-IF(Q56=0,0,INDEX(SUP_C3_EXPANSION!$H$20:$H$59,Q56)))+2*SUP_OPEX!$E$20*(IF(R56=0,0,INDEX(SUP_C3_EXPANSION!$I$20:$I$59,R56))-IF(Q56=0,0,INDEX(SUP_C3_EXPANSION!$I$20:$I$59,Q56)))+2*SUP_OPEX!$F$20*(IF(R56=0,0,INDEX(SUP_C3_EXPANSION!$J$20:$J$59,R56))-IF(Q56=0,0,INDEX(SUP_C3_EXPANSION!$J$20:$J$59,Q56))))-IF(Q56=P56,0,1*SUP_OPEX!$D$20*(IF(Q56=0,0,INDEX(SUP_C3_EXPANSION!$H$20:$H$59,Q56))-IF(P56=0,0,INDEX(SUP_C3_EXPANSION!$H$20:$H$59,P56)))+1*SUP_OPEX!$E$20*(IF(Q56=0,0,INDEX(SUP_C3_EXPANSION!$I$20:$I$59,Q56))-IF(P56=0,0,INDEX(SUP_C3_EXPANSION!$I$20:$I$59,P56)))+1*SUP_OPEX!$F$20*(IF(Q56=0,0,INDEX(SUP_C3_EXPANSION!$J$20:$J$59,Q56))-IF(P56=0,0,INDEX(SUP_C3_EXPANSION!$J$20:$J$59,P56))))-IF(P56=O56,0,1*SUP_OPEX!$D$20*(IF(P56=0,0,INDEX(SUP_C3_EXPANSION!$H$20:$H$59,P56))-IF(O56=0,0,INDEX(SUP_C3_EXPANSION!$H$20:$H$59,O56)))+1*SUP_OPEX!$E$20*(IF(P56=0,0,INDEX(SUP_C3_EXPANSION!$I$20:$I$59,P56))-IF(O56=0,0,INDEX(SUP_C3_EXPANSION!$I$20:$I$59,O56)))+1*SUP_OPEX!$F$20*(IF(P56=0,0,INDEX(SUP_C3_EXPANSION!$J$20:$J$59,P56))-IF(O56=0,0,INDEX(SUP_C3_EXPANSION!$J$20:$J$59,O56))))</f>
        <v>0</v>
      </c>
      <c r="S66" s="1" t="n">
        <f aca="false">IF(S56=R56,0,2*SUP_OPEX!$D$20*(IF(S56=0,0,INDEX(SUP_C3_EXPANSION!$H$20:$H$59,S56))-IF(R56=0,0,INDEX(SUP_C3_EXPANSION!$H$20:$H$59,R56)))+2*SUP_OPEX!$E$20*(IF(S56=0,0,INDEX(SUP_C3_EXPANSION!$I$20:$I$59,S56))-IF(R56=0,0,INDEX(SUP_C3_EXPANSION!$I$20:$I$59,R56)))+2*SUP_OPEX!$F$20*(IF(S56=0,0,INDEX(SUP_C3_EXPANSION!$J$20:$J$59,S56))-IF(R56=0,0,INDEX(SUP_C3_EXPANSION!$J$20:$J$59,R56))))-IF(R56=Q56,0,1*SUP_OPEX!$D$20*(IF(R56=0,0,INDEX(SUP_C3_EXPANSION!$H$20:$H$59,R56))-IF(Q56=0,0,INDEX(SUP_C3_EXPANSION!$H$20:$H$59,Q56)))+1*SUP_OPEX!$E$20*(IF(R56=0,0,INDEX(SUP_C3_EXPANSION!$I$20:$I$59,R56))-IF(Q56=0,0,INDEX(SUP_C3_EXPANSION!$I$20:$I$59,Q56)))+1*SUP_OPEX!$F$20*(IF(R56=0,0,INDEX(SUP_C3_EXPANSION!$J$20:$J$59,R56))-IF(Q56=0,0,INDEX(SUP_C3_EXPANSION!$J$20:$J$59,Q56))))-IF(Q56=P56,0,1*SUP_OPEX!$D$20*(IF(Q56=0,0,INDEX(SUP_C3_EXPANSION!$H$20:$H$59,Q56))-IF(P56=0,0,INDEX(SUP_C3_EXPANSION!$H$20:$H$59,P56)))+1*SUP_OPEX!$E$20*(IF(Q56=0,0,INDEX(SUP_C3_EXPANSION!$I$20:$I$59,Q56))-IF(P56=0,0,INDEX(SUP_C3_EXPANSION!$I$20:$I$59,P56)))+1*SUP_OPEX!$F$20*(IF(Q56=0,0,INDEX(SUP_C3_EXPANSION!$J$20:$J$59,Q56))-IF(P56=0,0,INDEX(SUP_C3_EXPANSION!$J$20:$J$59,P56))))</f>
        <v>0</v>
      </c>
      <c r="T66" s="1" t="n">
        <f aca="false">IF(T56=S56,0,2*SUP_OPEX!$D$20*(IF(T56=0,0,INDEX(SUP_C3_EXPANSION!$H$20:$H$59,T56))-IF(S56=0,0,INDEX(SUP_C3_EXPANSION!$H$20:$H$59,S56)))+2*SUP_OPEX!$E$20*(IF(T56=0,0,INDEX(SUP_C3_EXPANSION!$I$20:$I$59,T56))-IF(S56=0,0,INDEX(SUP_C3_EXPANSION!$I$20:$I$59,S56)))+2*SUP_OPEX!$F$20*(IF(T56=0,0,INDEX(SUP_C3_EXPANSION!$J$20:$J$59,T56))-IF(S56=0,0,INDEX(SUP_C3_EXPANSION!$J$20:$J$59,S56))))-IF(S56=R56,0,1*SUP_OPEX!$D$20*(IF(S56=0,0,INDEX(SUP_C3_EXPANSION!$H$20:$H$59,S56))-IF(R56=0,0,INDEX(SUP_C3_EXPANSION!$H$20:$H$59,R56)))+1*SUP_OPEX!$E$20*(IF(S56=0,0,INDEX(SUP_C3_EXPANSION!$I$20:$I$59,S56))-IF(R56=0,0,INDEX(SUP_C3_EXPANSION!$I$20:$I$59,R56)))+1*SUP_OPEX!$F$20*(IF(S56=0,0,INDEX(SUP_C3_EXPANSION!$J$20:$J$59,S56))-IF(R56=0,0,INDEX(SUP_C3_EXPANSION!$J$20:$J$59,R56))))-IF(R56=Q56,0,1*SUP_OPEX!$D$20*(IF(R56=0,0,INDEX(SUP_C3_EXPANSION!$H$20:$H$59,R56))-IF(Q56=0,0,INDEX(SUP_C3_EXPANSION!$H$20:$H$59,Q56)))+1*SUP_OPEX!$E$20*(IF(R56=0,0,INDEX(SUP_C3_EXPANSION!$I$20:$I$59,R56))-IF(Q56=0,0,INDEX(SUP_C3_EXPANSION!$I$20:$I$59,Q56)))+1*SUP_OPEX!$F$20*(IF(R56=0,0,INDEX(SUP_C3_EXPANSION!$J$20:$J$59,R56))-IF(Q56=0,0,INDEX(SUP_C3_EXPANSION!$J$20:$J$59,Q56))))</f>
        <v>0</v>
      </c>
      <c r="U66" s="1" t="n">
        <f aca="false">IF(U56=T56,0,2*SUP_OPEX!$D$20*(IF(U56=0,0,INDEX(SUP_C3_EXPANSION!$H$20:$H$59,U56))-IF(T56=0,0,INDEX(SUP_C3_EXPANSION!$H$20:$H$59,T56)))+2*SUP_OPEX!$E$20*(IF(U56=0,0,INDEX(SUP_C3_EXPANSION!$I$20:$I$59,U56))-IF(T56=0,0,INDEX(SUP_C3_EXPANSION!$I$20:$I$59,T56)))+2*SUP_OPEX!$F$20*(IF(U56=0,0,INDEX(SUP_C3_EXPANSION!$J$20:$J$59,U56))-IF(T56=0,0,INDEX(SUP_C3_EXPANSION!$J$20:$J$59,T56))))-IF(T56=S56,0,1*SUP_OPEX!$D$20*(IF(T56=0,0,INDEX(SUP_C3_EXPANSION!$H$20:$H$59,T56))-IF(S56=0,0,INDEX(SUP_C3_EXPANSION!$H$20:$H$59,S56)))+1*SUP_OPEX!$E$20*(IF(T56=0,0,INDEX(SUP_C3_EXPANSION!$I$20:$I$59,T56))-IF(S56=0,0,INDEX(SUP_C3_EXPANSION!$I$20:$I$59,S56)))+1*SUP_OPEX!$F$20*(IF(T56=0,0,INDEX(SUP_C3_EXPANSION!$J$20:$J$59,T56))-IF(S56=0,0,INDEX(SUP_C3_EXPANSION!$J$20:$J$59,S56))))-IF(S56=R56,0,1*SUP_OPEX!$D$20*(IF(S56=0,0,INDEX(SUP_C3_EXPANSION!$H$20:$H$59,S56))-IF(R56=0,0,INDEX(SUP_C3_EXPANSION!$H$20:$H$59,R56)))+1*SUP_OPEX!$E$20*(IF(S56=0,0,INDEX(SUP_C3_EXPANSION!$I$20:$I$59,S56))-IF(R56=0,0,INDEX(SUP_C3_EXPANSION!$I$20:$I$59,R56)))+1*SUP_OPEX!$F$20*(IF(S56=0,0,INDEX(SUP_C3_EXPANSION!$J$20:$J$59,S56))-IF(R56=0,0,INDEX(SUP_C3_EXPANSION!$J$20:$J$59,R56))))</f>
        <v>0</v>
      </c>
      <c r="V66" s="1" t="n">
        <f aca="false">IF(V56=U56,0,2*SUP_OPEX!$D$20*(IF(V56=0,0,INDEX(SUP_C3_EXPANSION!$H$20:$H$59,V56))-IF(U56=0,0,INDEX(SUP_C3_EXPANSION!$H$20:$H$59,U56)))+2*SUP_OPEX!$E$20*(IF(V56=0,0,INDEX(SUP_C3_EXPANSION!$I$20:$I$59,V56))-IF(U56=0,0,INDEX(SUP_C3_EXPANSION!$I$20:$I$59,U56)))+2*SUP_OPEX!$F$20*(IF(V56=0,0,INDEX(SUP_C3_EXPANSION!$J$20:$J$59,V56))-IF(U56=0,0,INDEX(SUP_C3_EXPANSION!$J$20:$J$59,U56))))-IF(U56=T56,0,1*SUP_OPEX!$D$20*(IF(U56=0,0,INDEX(SUP_C3_EXPANSION!$H$20:$H$59,U56))-IF(T56=0,0,INDEX(SUP_C3_EXPANSION!$H$20:$H$59,T56)))+1*SUP_OPEX!$E$20*(IF(U56=0,0,INDEX(SUP_C3_EXPANSION!$I$20:$I$59,U56))-IF(T56=0,0,INDEX(SUP_C3_EXPANSION!$I$20:$I$59,T56)))+1*SUP_OPEX!$F$20*(IF(U56=0,0,INDEX(SUP_C3_EXPANSION!$J$20:$J$59,U56))-IF(T56=0,0,INDEX(SUP_C3_EXPANSION!$J$20:$J$59,T56))))-IF(T56=S56,0,1*SUP_OPEX!$D$20*(IF(T56=0,0,INDEX(SUP_C3_EXPANSION!$H$20:$H$59,T56))-IF(S56=0,0,INDEX(SUP_C3_EXPANSION!$H$20:$H$59,S56)))+1*SUP_OPEX!$E$20*(IF(T56=0,0,INDEX(SUP_C3_EXPANSION!$I$20:$I$59,T56))-IF(S56=0,0,INDEX(SUP_C3_EXPANSION!$I$20:$I$59,S56)))+1*SUP_OPEX!$F$20*(IF(T56=0,0,INDEX(SUP_C3_EXPANSION!$J$20:$J$59,T56))-IF(S56=0,0,INDEX(SUP_C3_EXPANSION!$J$20:$J$59,S56))))</f>
        <v>4000</v>
      </c>
      <c r="W66" s="1" t="n">
        <f aca="false">IF(W56=V56,0,2*SUP_OPEX!$D$20*(IF(W56=0,0,INDEX(SUP_C3_EXPANSION!$H$20:$H$59,W56))-IF(V56=0,0,INDEX(SUP_C3_EXPANSION!$H$20:$H$59,V56)))+2*SUP_OPEX!$E$20*(IF(W56=0,0,INDEX(SUP_C3_EXPANSION!$I$20:$I$59,W56))-IF(V56=0,0,INDEX(SUP_C3_EXPANSION!$I$20:$I$59,V56)))+2*SUP_OPEX!$F$20*(IF(W56=0,0,INDEX(SUP_C3_EXPANSION!$J$20:$J$59,W56))-IF(V56=0,0,INDEX(SUP_C3_EXPANSION!$J$20:$J$59,V56))))-IF(V56=U56,0,1*SUP_OPEX!$D$20*(IF(V56=0,0,INDEX(SUP_C3_EXPANSION!$H$20:$H$59,V56))-IF(U56=0,0,INDEX(SUP_C3_EXPANSION!$H$20:$H$59,U56)))+1*SUP_OPEX!$E$20*(IF(V56=0,0,INDEX(SUP_C3_EXPANSION!$I$20:$I$59,V56))-IF(U56=0,0,INDEX(SUP_C3_EXPANSION!$I$20:$I$59,U56)))+1*SUP_OPEX!$F$20*(IF(V56=0,0,INDEX(SUP_C3_EXPANSION!$J$20:$J$59,V56))-IF(U56=0,0,INDEX(SUP_C3_EXPANSION!$J$20:$J$59,U56))))-IF(U56=T56,0,1*SUP_OPEX!$D$20*(IF(U56=0,0,INDEX(SUP_C3_EXPANSION!$H$20:$H$59,U56))-IF(T56=0,0,INDEX(SUP_C3_EXPANSION!$H$20:$H$59,T56)))+1*SUP_OPEX!$E$20*(IF(U56=0,0,INDEX(SUP_C3_EXPANSION!$I$20:$I$59,U56))-IF(T56=0,0,INDEX(SUP_C3_EXPANSION!$I$20:$I$59,T56)))+1*SUP_OPEX!$F$20*(IF(U56=0,0,INDEX(SUP_C3_EXPANSION!$J$20:$J$59,U56))-IF(T56=0,0,INDEX(SUP_C3_EXPANSION!$J$20:$J$59,T56))))</f>
        <v>2000</v>
      </c>
      <c r="X66" s="1" t="n">
        <f aca="false">IF(X56=W56,0,2*SUP_OPEX!$D$20*(IF(X56=0,0,INDEX(SUP_C3_EXPANSION!$H$20:$H$59,X56))-IF(W56=0,0,INDEX(SUP_C3_EXPANSION!$H$20:$H$59,W56)))+2*SUP_OPEX!$E$20*(IF(X56=0,0,INDEX(SUP_C3_EXPANSION!$I$20:$I$59,X56))-IF(W56=0,0,INDEX(SUP_C3_EXPANSION!$I$20:$I$59,W56)))+2*SUP_OPEX!$F$20*(IF(X56=0,0,INDEX(SUP_C3_EXPANSION!$J$20:$J$59,X56))-IF(W56=0,0,INDEX(SUP_C3_EXPANSION!$J$20:$J$59,W56))))-IF(W56=V56,0,1*SUP_OPEX!$D$20*(IF(W56=0,0,INDEX(SUP_C3_EXPANSION!$H$20:$H$59,W56))-IF(V56=0,0,INDEX(SUP_C3_EXPANSION!$H$20:$H$59,V56)))+1*SUP_OPEX!$E$20*(IF(W56=0,0,INDEX(SUP_C3_EXPANSION!$I$20:$I$59,W56))-IF(V56=0,0,INDEX(SUP_C3_EXPANSION!$I$20:$I$59,V56)))+1*SUP_OPEX!$F$20*(IF(W56=0,0,INDEX(SUP_C3_EXPANSION!$J$20:$J$59,W56))-IF(V56=0,0,INDEX(SUP_C3_EXPANSION!$J$20:$J$59,V56))))-IF(V56=U56,0,1*SUP_OPEX!$D$20*(IF(V56=0,0,INDEX(SUP_C3_EXPANSION!$H$20:$H$59,V56))-IF(U56=0,0,INDEX(SUP_C3_EXPANSION!$H$20:$H$59,U56)))+1*SUP_OPEX!$E$20*(IF(V56=0,0,INDEX(SUP_C3_EXPANSION!$I$20:$I$59,V56))-IF(U56=0,0,INDEX(SUP_C3_EXPANSION!$I$20:$I$59,U56)))+1*SUP_OPEX!$F$20*(IF(V56=0,0,INDEX(SUP_C3_EXPANSION!$J$20:$J$59,V56))-IF(U56=0,0,INDEX(SUP_C3_EXPANSION!$J$20:$J$59,U56))))</f>
        <v>-4000</v>
      </c>
      <c r="Y66" s="1" t="n">
        <f aca="false">IF(Y56=X56,0,2*SUP_OPEX!$D$20*(IF(Y56=0,0,INDEX(SUP_C3_EXPANSION!$H$20:$H$59,Y56))-IF(X56=0,0,INDEX(SUP_C3_EXPANSION!$H$20:$H$59,X56)))+2*SUP_OPEX!$E$20*(IF(Y56=0,0,INDEX(SUP_C3_EXPANSION!$I$20:$I$59,Y56))-IF(X56=0,0,INDEX(SUP_C3_EXPANSION!$I$20:$I$59,X56)))+2*SUP_OPEX!$F$20*(IF(Y56=0,0,INDEX(SUP_C3_EXPANSION!$J$20:$J$59,Y56))-IF(X56=0,0,INDEX(SUP_C3_EXPANSION!$J$20:$J$59,X56))))-IF(X56=W56,0,1*SUP_OPEX!$D$20*(IF(X56=0,0,INDEX(SUP_C3_EXPANSION!$H$20:$H$59,X56))-IF(W56=0,0,INDEX(SUP_C3_EXPANSION!$H$20:$H$59,W56)))+1*SUP_OPEX!$E$20*(IF(X56=0,0,INDEX(SUP_C3_EXPANSION!$I$20:$I$59,X56))-IF(W56=0,0,INDEX(SUP_C3_EXPANSION!$I$20:$I$59,W56)))+1*SUP_OPEX!$F$20*(IF(X56=0,0,INDEX(SUP_C3_EXPANSION!$J$20:$J$59,X56))-IF(W56=0,0,INDEX(SUP_C3_EXPANSION!$J$20:$J$59,W56))))-IF(W56=V56,0,1*SUP_OPEX!$D$20*(IF(W56=0,0,INDEX(SUP_C3_EXPANSION!$H$20:$H$59,W56))-IF(V56=0,0,INDEX(SUP_C3_EXPANSION!$H$20:$H$59,V56)))+1*SUP_OPEX!$E$20*(IF(W56=0,0,INDEX(SUP_C3_EXPANSION!$I$20:$I$59,W56))-IF(V56=0,0,INDEX(SUP_C3_EXPANSION!$I$20:$I$59,V56)))+1*SUP_OPEX!$F$20*(IF(W56=0,0,INDEX(SUP_C3_EXPANSION!$J$20:$J$59,W56))-IF(V56=0,0,INDEX(SUP_C3_EXPANSION!$J$20:$J$59,V56))))</f>
        <v>2000</v>
      </c>
      <c r="Z66" s="1" t="n">
        <f aca="false">IF(Z56=Y56,0,2*SUP_OPEX!$D$20*(IF(Z56=0,0,INDEX(SUP_C3_EXPANSION!$H$20:$H$59,Z56))-IF(Y56=0,0,INDEX(SUP_C3_EXPANSION!$H$20:$H$59,Y56)))+2*SUP_OPEX!$E$20*(IF(Z56=0,0,INDEX(SUP_C3_EXPANSION!$I$20:$I$59,Z56))-IF(Y56=0,0,INDEX(SUP_C3_EXPANSION!$I$20:$I$59,Y56)))+2*SUP_OPEX!$F$20*(IF(Z56=0,0,INDEX(SUP_C3_EXPANSION!$J$20:$J$59,Z56))-IF(Y56=0,0,INDEX(SUP_C3_EXPANSION!$J$20:$J$59,Y56))))-IF(Y56=X56,0,1*SUP_OPEX!$D$20*(IF(Y56=0,0,INDEX(SUP_C3_EXPANSION!$H$20:$H$59,Y56))-IF(X56=0,0,INDEX(SUP_C3_EXPANSION!$H$20:$H$59,X56)))+1*SUP_OPEX!$E$20*(IF(Y56=0,0,INDEX(SUP_C3_EXPANSION!$I$20:$I$59,Y56))-IF(X56=0,0,INDEX(SUP_C3_EXPANSION!$I$20:$I$59,X56)))+1*SUP_OPEX!$F$20*(IF(Y56=0,0,INDEX(SUP_C3_EXPANSION!$J$20:$J$59,Y56))-IF(X56=0,0,INDEX(SUP_C3_EXPANSION!$J$20:$J$59,X56))))-IF(X56=W56,0,1*SUP_OPEX!$D$20*(IF(X56=0,0,INDEX(SUP_C3_EXPANSION!$H$20:$H$59,X56))-IF(W56=0,0,INDEX(SUP_C3_EXPANSION!$H$20:$H$59,W56)))+1*SUP_OPEX!$E$20*(IF(X56=0,0,INDEX(SUP_C3_EXPANSION!$I$20:$I$59,X56))-IF(W56=0,0,INDEX(SUP_C3_EXPANSION!$I$20:$I$59,W56)))+1*SUP_OPEX!$F$20*(IF(X56=0,0,INDEX(SUP_C3_EXPANSION!$J$20:$J$59,X56))-IF(W56=0,0,INDEX(SUP_C3_EXPANSION!$J$20:$J$59,W56))))</f>
        <v>-2000</v>
      </c>
      <c r="AA66" s="1" t="n">
        <f aca="false">IF(AA56=Z56,0,2*SUP_OPEX!$D$20*(IF(AA56=0,0,INDEX(SUP_C3_EXPANSION!$H$20:$H$59,AA56))-IF(Z56=0,0,INDEX(SUP_C3_EXPANSION!$H$20:$H$59,Z56)))+2*SUP_OPEX!$E$20*(IF(AA56=0,0,INDEX(SUP_C3_EXPANSION!$I$20:$I$59,AA56))-IF(Z56=0,0,INDEX(SUP_C3_EXPANSION!$I$20:$I$59,Z56)))+2*SUP_OPEX!$F$20*(IF(AA56=0,0,INDEX(SUP_C3_EXPANSION!$J$20:$J$59,AA56))-IF(Z56=0,0,INDEX(SUP_C3_EXPANSION!$J$20:$J$59,Z56))))-IF(Z56=Y56,0,1*SUP_OPEX!$D$20*(IF(Z56=0,0,INDEX(SUP_C3_EXPANSION!$H$20:$H$59,Z56))-IF(Y56=0,0,INDEX(SUP_C3_EXPANSION!$H$20:$H$59,Y56)))+1*SUP_OPEX!$E$20*(IF(Z56=0,0,INDEX(SUP_C3_EXPANSION!$I$20:$I$59,Z56))-IF(Y56=0,0,INDEX(SUP_C3_EXPANSION!$I$20:$I$59,Y56)))+1*SUP_OPEX!$F$20*(IF(Z56=0,0,INDEX(SUP_C3_EXPANSION!$J$20:$J$59,Z56))-IF(Y56=0,0,INDEX(SUP_C3_EXPANSION!$J$20:$J$59,Y56))))-IF(Y56=X56,0,1*SUP_OPEX!$D$20*(IF(Y56=0,0,INDEX(SUP_C3_EXPANSION!$H$20:$H$59,Y56))-IF(X56=0,0,INDEX(SUP_C3_EXPANSION!$H$20:$H$59,X56)))+1*SUP_OPEX!$E$20*(IF(Y56=0,0,INDEX(SUP_C3_EXPANSION!$I$20:$I$59,Y56))-IF(X56=0,0,INDEX(SUP_C3_EXPANSION!$I$20:$I$59,X56)))+1*SUP_OPEX!$F$20*(IF(Y56=0,0,INDEX(SUP_C3_EXPANSION!$J$20:$J$59,Y56))-IF(X56=0,0,INDEX(SUP_C3_EXPANSION!$J$20:$J$59,X56))))</f>
        <v>-2000</v>
      </c>
      <c r="AB66" s="1" t="n">
        <f aca="false">IF(AB56=AA56,0,2*SUP_OPEX!$D$20*(IF(AB56=0,0,INDEX(SUP_C3_EXPANSION!$H$20:$H$59,AB56))-IF(AA56=0,0,INDEX(SUP_C3_EXPANSION!$H$20:$H$59,AA56)))+2*SUP_OPEX!$E$20*(IF(AB56=0,0,INDEX(SUP_C3_EXPANSION!$I$20:$I$59,AB56))-IF(AA56=0,0,INDEX(SUP_C3_EXPANSION!$I$20:$I$59,AA56)))+2*SUP_OPEX!$F$20*(IF(AB56=0,0,INDEX(SUP_C3_EXPANSION!$J$20:$J$59,AB56))-IF(AA56=0,0,INDEX(SUP_C3_EXPANSION!$J$20:$J$59,AA56))))-IF(AA56=Z56,0,1*SUP_OPEX!$D$20*(IF(AA56=0,0,INDEX(SUP_C3_EXPANSION!$H$20:$H$59,AA56))-IF(Z56=0,0,INDEX(SUP_C3_EXPANSION!$H$20:$H$59,Z56)))+1*SUP_OPEX!$E$20*(IF(AA56=0,0,INDEX(SUP_C3_EXPANSION!$I$20:$I$59,AA56))-IF(Z56=0,0,INDEX(SUP_C3_EXPANSION!$I$20:$I$59,Z56)))+1*SUP_OPEX!$F$20*(IF(AA56=0,0,INDEX(SUP_C3_EXPANSION!$J$20:$J$59,AA56))-IF(Z56=0,0,INDEX(SUP_C3_EXPANSION!$J$20:$J$59,Z56))))-IF(Z56=Y56,0,1*SUP_OPEX!$D$20*(IF(Z56=0,0,INDEX(SUP_C3_EXPANSION!$H$20:$H$59,Z56))-IF(Y56=0,0,INDEX(SUP_C3_EXPANSION!$H$20:$H$59,Y56)))+1*SUP_OPEX!$E$20*(IF(Z56=0,0,INDEX(SUP_C3_EXPANSION!$I$20:$I$59,Z56))-IF(Y56=0,0,INDEX(SUP_C3_EXPANSION!$I$20:$I$59,Y56)))+1*SUP_OPEX!$F$20*(IF(Z56=0,0,INDEX(SUP_C3_EXPANSION!$J$20:$J$59,Z56))-IF(Y56=0,0,INDEX(SUP_C3_EXPANSION!$J$20:$J$59,Y56))))</f>
        <v>0</v>
      </c>
      <c r="AC66" s="1" t="n">
        <f aca="false">IF(AC56=AB56,0,2*SUP_OPEX!$D$20*(IF(AC56=0,0,INDEX(SUP_C3_EXPANSION!$H$20:$H$59,AC56))-IF(AB56=0,0,INDEX(SUP_C3_EXPANSION!$H$20:$H$59,AB56)))+2*SUP_OPEX!$E$20*(IF(AC56=0,0,INDEX(SUP_C3_EXPANSION!$I$20:$I$59,AC56))-IF(AB56=0,0,INDEX(SUP_C3_EXPANSION!$I$20:$I$59,AB56)))+2*SUP_OPEX!$F$20*(IF(AC56=0,0,INDEX(SUP_C3_EXPANSION!$J$20:$J$59,AC56))-IF(AB56=0,0,INDEX(SUP_C3_EXPANSION!$J$20:$J$59,AB56))))-IF(AB56=AA56,0,1*SUP_OPEX!$D$20*(IF(AB56=0,0,INDEX(SUP_C3_EXPANSION!$H$20:$H$59,AB56))-IF(AA56=0,0,INDEX(SUP_C3_EXPANSION!$H$20:$H$59,AA56)))+1*SUP_OPEX!$E$20*(IF(AB56=0,0,INDEX(SUP_C3_EXPANSION!$I$20:$I$59,AB56))-IF(AA56=0,0,INDEX(SUP_C3_EXPANSION!$I$20:$I$59,AA56)))+1*SUP_OPEX!$F$20*(IF(AB56=0,0,INDEX(SUP_C3_EXPANSION!$J$20:$J$59,AB56))-IF(AA56=0,0,INDEX(SUP_C3_EXPANSION!$J$20:$J$59,AA56))))-IF(AA56=Z56,0,1*SUP_OPEX!$D$20*(IF(AA56=0,0,INDEX(SUP_C3_EXPANSION!$H$20:$H$59,AA56))-IF(Z56=0,0,INDEX(SUP_C3_EXPANSION!$H$20:$H$59,Z56)))+1*SUP_OPEX!$E$20*(IF(AA56=0,0,INDEX(SUP_C3_EXPANSION!$I$20:$I$59,AA56))-IF(Z56=0,0,INDEX(SUP_C3_EXPANSION!$I$20:$I$59,Z56)))+1*SUP_OPEX!$F$20*(IF(AA56=0,0,INDEX(SUP_C3_EXPANSION!$J$20:$J$59,AA56))-IF(Z56=0,0,INDEX(SUP_C3_EXPANSION!$J$20:$J$59,Z56))))</f>
        <v>0</v>
      </c>
      <c r="AD66" s="1" t="n">
        <f aca="false">IF(AD56=AC56,0,2*SUP_OPEX!$D$20*(IF(AD56=0,0,INDEX(SUP_C3_EXPANSION!$H$20:$H$59,AD56))-IF(AC56=0,0,INDEX(SUP_C3_EXPANSION!$H$20:$H$59,AC56)))+2*SUP_OPEX!$E$20*(IF(AD56=0,0,INDEX(SUP_C3_EXPANSION!$I$20:$I$59,AD56))-IF(AC56=0,0,INDEX(SUP_C3_EXPANSION!$I$20:$I$59,AC56)))+2*SUP_OPEX!$F$20*(IF(AD56=0,0,INDEX(SUP_C3_EXPANSION!$J$20:$J$59,AD56))-IF(AC56=0,0,INDEX(SUP_C3_EXPANSION!$J$20:$J$59,AC56))))-IF(AC56=AB56,0,1*SUP_OPEX!$D$20*(IF(AC56=0,0,INDEX(SUP_C3_EXPANSION!$H$20:$H$59,AC56))-IF(AB56=0,0,INDEX(SUP_C3_EXPANSION!$H$20:$H$59,AB56)))+1*SUP_OPEX!$E$20*(IF(AC56=0,0,INDEX(SUP_C3_EXPANSION!$I$20:$I$59,AC56))-IF(AB56=0,0,INDEX(SUP_C3_EXPANSION!$I$20:$I$59,AB56)))+1*SUP_OPEX!$F$20*(IF(AC56=0,0,INDEX(SUP_C3_EXPANSION!$J$20:$J$59,AC56))-IF(AB56=0,0,INDEX(SUP_C3_EXPANSION!$J$20:$J$59,AB56))))-IF(AB56=AA56,0,1*SUP_OPEX!$D$20*(IF(AB56=0,0,INDEX(SUP_C3_EXPANSION!$H$20:$H$59,AB56))-IF(AA56=0,0,INDEX(SUP_C3_EXPANSION!$H$20:$H$59,AA56)))+1*SUP_OPEX!$E$20*(IF(AB56=0,0,INDEX(SUP_C3_EXPANSION!$I$20:$I$59,AB56))-IF(AA56=0,0,INDEX(SUP_C3_EXPANSION!$I$20:$I$59,AA56)))+1*SUP_OPEX!$F$20*(IF(AB56=0,0,INDEX(SUP_C3_EXPANSION!$J$20:$J$59,AB56))-IF(AA56=0,0,INDEX(SUP_C3_EXPANSION!$J$20:$J$59,AA56))))</f>
        <v>0</v>
      </c>
      <c r="AE66" s="1" t="n">
        <f aca="false">IF(AE56=AD56,0,2*SUP_OPEX!$D$20*(IF(AE56=0,0,INDEX(SUP_C3_EXPANSION!$H$20:$H$59,AE56))-IF(AD56=0,0,INDEX(SUP_C3_EXPANSION!$H$20:$H$59,AD56)))+2*SUP_OPEX!$E$20*(IF(AE56=0,0,INDEX(SUP_C3_EXPANSION!$I$20:$I$59,AE56))-IF(AD56=0,0,INDEX(SUP_C3_EXPANSION!$I$20:$I$59,AD56)))+2*SUP_OPEX!$F$20*(IF(AE56=0,0,INDEX(SUP_C3_EXPANSION!$J$20:$J$59,AE56))-IF(AD56=0,0,INDEX(SUP_C3_EXPANSION!$J$20:$J$59,AD56))))-IF(AD56=AC56,0,1*SUP_OPEX!$D$20*(IF(AD56=0,0,INDEX(SUP_C3_EXPANSION!$H$20:$H$59,AD56))-IF(AC56=0,0,INDEX(SUP_C3_EXPANSION!$H$20:$H$59,AC56)))+1*SUP_OPEX!$E$20*(IF(AD56=0,0,INDEX(SUP_C3_EXPANSION!$I$20:$I$59,AD56))-IF(AC56=0,0,INDEX(SUP_C3_EXPANSION!$I$20:$I$59,AC56)))+1*SUP_OPEX!$F$20*(IF(AD56=0,0,INDEX(SUP_C3_EXPANSION!$J$20:$J$59,AD56))-IF(AC56=0,0,INDEX(SUP_C3_EXPANSION!$J$20:$J$59,AC56))))-IF(AC56=AB56,0,1*SUP_OPEX!$D$20*(IF(AC56=0,0,INDEX(SUP_C3_EXPANSION!$H$20:$H$59,AC56))-IF(AB56=0,0,INDEX(SUP_C3_EXPANSION!$H$20:$H$59,AB56)))+1*SUP_OPEX!$E$20*(IF(AC56=0,0,INDEX(SUP_C3_EXPANSION!$I$20:$I$59,AC56))-IF(AB56=0,0,INDEX(SUP_C3_EXPANSION!$I$20:$I$59,AB56)))+1*SUP_OPEX!$F$20*(IF(AC56=0,0,INDEX(SUP_C3_EXPANSION!$J$20:$J$59,AC56))-IF(AB56=0,0,INDEX(SUP_C3_EXPANSION!$J$20:$J$59,AB56))))</f>
        <v>0</v>
      </c>
      <c r="AF66" s="1" t="n">
        <f aca="false">IF(AF56=AE56,0,2*SUP_OPEX!$D$20*(IF(AF56=0,0,INDEX(SUP_C3_EXPANSION!$H$20:$H$59,AF56))-IF(AE56=0,0,INDEX(SUP_C3_EXPANSION!$H$20:$H$59,AE56)))+2*SUP_OPEX!$E$20*(IF(AF56=0,0,INDEX(SUP_C3_EXPANSION!$I$20:$I$59,AF56))-IF(AE56=0,0,INDEX(SUP_C3_EXPANSION!$I$20:$I$59,AE56)))+2*SUP_OPEX!$F$20*(IF(AF56=0,0,INDEX(SUP_C3_EXPANSION!$J$20:$J$59,AF56))-IF(AE56=0,0,INDEX(SUP_C3_EXPANSION!$J$20:$J$59,AE56))))-IF(AE56=AD56,0,1*SUP_OPEX!$D$20*(IF(AE56=0,0,INDEX(SUP_C3_EXPANSION!$H$20:$H$59,AE56))-IF(AD56=0,0,INDEX(SUP_C3_EXPANSION!$H$20:$H$59,AD56)))+1*SUP_OPEX!$E$20*(IF(AE56=0,0,INDEX(SUP_C3_EXPANSION!$I$20:$I$59,AE56))-IF(AD56=0,0,INDEX(SUP_C3_EXPANSION!$I$20:$I$59,AD56)))+1*SUP_OPEX!$F$20*(IF(AE56=0,0,INDEX(SUP_C3_EXPANSION!$J$20:$J$59,AE56))-IF(AD56=0,0,INDEX(SUP_C3_EXPANSION!$J$20:$J$59,AD56))))-IF(AD56=AC56,0,1*SUP_OPEX!$D$20*(IF(AD56=0,0,INDEX(SUP_C3_EXPANSION!$H$20:$H$59,AD56))-IF(AC56=0,0,INDEX(SUP_C3_EXPANSION!$H$20:$H$59,AC56)))+1*SUP_OPEX!$E$20*(IF(AD56=0,0,INDEX(SUP_C3_EXPANSION!$I$20:$I$59,AD56))-IF(AC56=0,0,INDEX(SUP_C3_EXPANSION!$I$20:$I$59,AC56)))+1*SUP_OPEX!$F$20*(IF(AD56=0,0,INDEX(SUP_C3_EXPANSION!$J$20:$J$59,AD56))-IF(AC56=0,0,INDEX(SUP_C3_EXPANSION!$J$20:$J$59,AC56))))</f>
        <v>0</v>
      </c>
      <c r="AG66" s="1" t="n">
        <f aca="false">IF(AG56=AF56,0,2*SUP_OPEX!$D$20*(IF(AG56=0,0,INDEX(SUP_C3_EXPANSION!$H$20:$H$59,AG56))-IF(AF56=0,0,INDEX(SUP_C3_EXPANSION!$H$20:$H$59,AF56)))+2*SUP_OPEX!$E$20*(IF(AG56=0,0,INDEX(SUP_C3_EXPANSION!$I$20:$I$59,AG56))-IF(AF56=0,0,INDEX(SUP_C3_EXPANSION!$I$20:$I$59,AF56)))+2*SUP_OPEX!$F$20*(IF(AG56=0,0,INDEX(SUP_C3_EXPANSION!$J$20:$J$59,AG56))-IF(AF56=0,0,INDEX(SUP_C3_EXPANSION!$J$20:$J$59,AF56))))-IF(AF56=AE56,0,1*SUP_OPEX!$D$20*(IF(AF56=0,0,INDEX(SUP_C3_EXPANSION!$H$20:$H$59,AF56))-IF(AE56=0,0,INDEX(SUP_C3_EXPANSION!$H$20:$H$59,AE56)))+1*SUP_OPEX!$E$20*(IF(AF56=0,0,INDEX(SUP_C3_EXPANSION!$I$20:$I$59,AF56))-IF(AE56=0,0,INDEX(SUP_C3_EXPANSION!$I$20:$I$59,AE56)))+1*SUP_OPEX!$F$20*(IF(AF56=0,0,INDEX(SUP_C3_EXPANSION!$J$20:$J$59,AF56))-IF(AE56=0,0,INDEX(SUP_C3_EXPANSION!$J$20:$J$59,AE56))))-IF(AE56=AD56,0,1*SUP_OPEX!$D$20*(IF(AE56=0,0,INDEX(SUP_C3_EXPANSION!$H$20:$H$59,AE56))-IF(AD56=0,0,INDEX(SUP_C3_EXPANSION!$H$20:$H$59,AD56)))+1*SUP_OPEX!$E$20*(IF(AE56=0,0,INDEX(SUP_C3_EXPANSION!$I$20:$I$59,AE56))-IF(AD56=0,0,INDEX(SUP_C3_EXPANSION!$I$20:$I$59,AD56)))+1*SUP_OPEX!$F$20*(IF(AE56=0,0,INDEX(SUP_C3_EXPANSION!$J$20:$J$59,AE56))-IF(AD56=0,0,INDEX(SUP_C3_EXPANSION!$J$20:$J$59,AD56))))</f>
        <v>0</v>
      </c>
      <c r="AH66" s="1" t="n">
        <f aca="false">IF(AH56=AG56,0,2*SUP_OPEX!$D$20*(IF(AH56=0,0,INDEX(SUP_C3_EXPANSION!$H$20:$H$59,AH56))-IF(AG56=0,0,INDEX(SUP_C3_EXPANSION!$H$20:$H$59,AG56)))+2*SUP_OPEX!$E$20*(IF(AH56=0,0,INDEX(SUP_C3_EXPANSION!$I$20:$I$59,AH56))-IF(AG56=0,0,INDEX(SUP_C3_EXPANSION!$I$20:$I$59,AG56)))+2*SUP_OPEX!$F$20*(IF(AH56=0,0,INDEX(SUP_C3_EXPANSION!$J$20:$J$59,AH56))-IF(AG56=0,0,INDEX(SUP_C3_EXPANSION!$J$20:$J$59,AG56))))-IF(AG56=AF56,0,1*SUP_OPEX!$D$20*(IF(AG56=0,0,INDEX(SUP_C3_EXPANSION!$H$20:$H$59,AG56))-IF(AF56=0,0,INDEX(SUP_C3_EXPANSION!$H$20:$H$59,AF56)))+1*SUP_OPEX!$E$20*(IF(AG56=0,0,INDEX(SUP_C3_EXPANSION!$I$20:$I$59,AG56))-IF(AF56=0,0,INDEX(SUP_C3_EXPANSION!$I$20:$I$59,AF56)))+1*SUP_OPEX!$F$20*(IF(AG56=0,0,INDEX(SUP_C3_EXPANSION!$J$20:$J$59,AG56))-IF(AF56=0,0,INDEX(SUP_C3_EXPANSION!$J$20:$J$59,AF56))))-IF(AF56=AE56,0,1*SUP_OPEX!$D$20*(IF(AF56=0,0,INDEX(SUP_C3_EXPANSION!$H$20:$H$59,AF56))-IF(AE56=0,0,INDEX(SUP_C3_EXPANSION!$H$20:$H$59,AE56)))+1*SUP_OPEX!$E$20*(IF(AF56=0,0,INDEX(SUP_C3_EXPANSION!$I$20:$I$59,AF56))-IF(AE56=0,0,INDEX(SUP_C3_EXPANSION!$I$20:$I$59,AE56)))+1*SUP_OPEX!$F$20*(IF(AF56=0,0,INDEX(SUP_C3_EXPANSION!$J$20:$J$59,AF56))-IF(AE56=0,0,INDEX(SUP_C3_EXPANSION!$J$20:$J$59,AE56))))</f>
        <v>0</v>
      </c>
      <c r="AI66" s="1" t="n">
        <f aca="false">IF(AI56=AH56,0,2*SUP_OPEX!$D$20*(IF(AI56=0,0,INDEX(SUP_C3_EXPANSION!$H$20:$H$59,AI56))-IF(AH56=0,0,INDEX(SUP_C3_EXPANSION!$H$20:$H$59,AH56)))+2*SUP_OPEX!$E$20*(IF(AI56=0,0,INDEX(SUP_C3_EXPANSION!$I$20:$I$59,AI56))-IF(AH56=0,0,INDEX(SUP_C3_EXPANSION!$I$20:$I$59,AH56)))+2*SUP_OPEX!$F$20*(IF(AI56=0,0,INDEX(SUP_C3_EXPANSION!$J$20:$J$59,AI56))-IF(AH56=0,0,INDEX(SUP_C3_EXPANSION!$J$20:$J$59,AH56))))-IF(AH56=AG56,0,1*SUP_OPEX!$D$20*(IF(AH56=0,0,INDEX(SUP_C3_EXPANSION!$H$20:$H$59,AH56))-IF(AG56=0,0,INDEX(SUP_C3_EXPANSION!$H$20:$H$59,AG56)))+1*SUP_OPEX!$E$20*(IF(AH56=0,0,INDEX(SUP_C3_EXPANSION!$I$20:$I$59,AH56))-IF(AG56=0,0,INDEX(SUP_C3_EXPANSION!$I$20:$I$59,AG56)))+1*SUP_OPEX!$F$20*(IF(AH56=0,0,INDEX(SUP_C3_EXPANSION!$J$20:$J$59,AH56))-IF(AG56=0,0,INDEX(SUP_C3_EXPANSION!$J$20:$J$59,AG56))))-IF(AG56=AF56,0,1*SUP_OPEX!$D$20*(IF(AG56=0,0,INDEX(SUP_C3_EXPANSION!$H$20:$H$59,AG56))-IF(AF56=0,0,INDEX(SUP_C3_EXPANSION!$H$20:$H$59,AF56)))+1*SUP_OPEX!$E$20*(IF(AG56=0,0,INDEX(SUP_C3_EXPANSION!$I$20:$I$59,AG56))-IF(AF56=0,0,INDEX(SUP_C3_EXPANSION!$I$20:$I$59,AF56)))+1*SUP_OPEX!$F$20*(IF(AG56=0,0,INDEX(SUP_C3_EXPANSION!$J$20:$J$59,AG56))-IF(AF56=0,0,INDEX(SUP_C3_EXPANSION!$J$20:$J$59,AF56))))</f>
        <v>6400</v>
      </c>
      <c r="AJ66" s="1" t="n">
        <f aca="false">IF(AJ56=AI56,0,2*SUP_OPEX!$D$20*(IF(AJ56=0,0,INDEX(SUP_C3_EXPANSION!$H$20:$H$59,AJ56))-IF(AI56=0,0,INDEX(SUP_C3_EXPANSION!$H$20:$H$59,AI56)))+2*SUP_OPEX!$E$20*(IF(AJ56=0,0,INDEX(SUP_C3_EXPANSION!$I$20:$I$59,AJ56))-IF(AI56=0,0,INDEX(SUP_C3_EXPANSION!$I$20:$I$59,AI56)))+2*SUP_OPEX!$F$20*(IF(AJ56=0,0,INDEX(SUP_C3_EXPANSION!$J$20:$J$59,AJ56))-IF(AI56=0,0,INDEX(SUP_C3_EXPANSION!$J$20:$J$59,AI56))))-IF(AI56=AH56,0,1*SUP_OPEX!$D$20*(IF(AI56=0,0,INDEX(SUP_C3_EXPANSION!$H$20:$H$59,AI56))-IF(AH56=0,0,INDEX(SUP_C3_EXPANSION!$H$20:$H$59,AH56)))+1*SUP_OPEX!$E$20*(IF(AI56=0,0,INDEX(SUP_C3_EXPANSION!$I$20:$I$59,AI56))-IF(AH56=0,0,INDEX(SUP_C3_EXPANSION!$I$20:$I$59,AH56)))+1*SUP_OPEX!$F$20*(IF(AI56=0,0,INDEX(SUP_C3_EXPANSION!$J$20:$J$59,AI56))-IF(AH56=0,0,INDEX(SUP_C3_EXPANSION!$J$20:$J$59,AH56))))-IF(AH56=AG56,0,1*SUP_OPEX!$D$20*(IF(AH56=0,0,INDEX(SUP_C3_EXPANSION!$H$20:$H$59,AH56))-IF(AG56=0,0,INDEX(SUP_C3_EXPANSION!$H$20:$H$59,AG56)))+1*SUP_OPEX!$E$20*(IF(AH56=0,0,INDEX(SUP_C3_EXPANSION!$I$20:$I$59,AH56))-IF(AG56=0,0,INDEX(SUP_C3_EXPANSION!$I$20:$I$59,AG56)))+1*SUP_OPEX!$F$20*(IF(AH56=0,0,INDEX(SUP_C3_EXPANSION!$J$20:$J$59,AH56))-IF(AG56=0,0,INDEX(SUP_C3_EXPANSION!$J$20:$J$59,AG56))))</f>
        <v>800</v>
      </c>
      <c r="AK66" s="1" t="n">
        <f aca="false">IF(AK56=AJ56,0,2*SUP_OPEX!$D$20*(IF(AK56=0,0,INDEX(SUP_C3_EXPANSION!$H$20:$H$59,AK56))-IF(AJ56=0,0,INDEX(SUP_C3_EXPANSION!$H$20:$H$59,AJ56)))+2*SUP_OPEX!$E$20*(IF(AK56=0,0,INDEX(SUP_C3_EXPANSION!$I$20:$I$59,AK56))-IF(AJ56=0,0,INDEX(SUP_C3_EXPANSION!$I$20:$I$59,AJ56)))+2*SUP_OPEX!$F$20*(IF(AK56=0,0,INDEX(SUP_C3_EXPANSION!$J$20:$J$59,AK56))-IF(AJ56=0,0,INDEX(SUP_C3_EXPANSION!$J$20:$J$59,AJ56))))-IF(AJ56=AI56,0,1*SUP_OPEX!$D$20*(IF(AJ56=0,0,INDEX(SUP_C3_EXPANSION!$H$20:$H$59,AJ56))-IF(AI56=0,0,INDEX(SUP_C3_EXPANSION!$H$20:$H$59,AI56)))+1*SUP_OPEX!$E$20*(IF(AJ56=0,0,INDEX(SUP_C3_EXPANSION!$I$20:$I$59,AJ56))-IF(AI56=0,0,INDEX(SUP_C3_EXPANSION!$I$20:$I$59,AI56)))+1*SUP_OPEX!$F$20*(IF(AJ56=0,0,INDEX(SUP_C3_EXPANSION!$J$20:$J$59,AJ56))-IF(AI56=0,0,INDEX(SUP_C3_EXPANSION!$J$20:$J$59,AI56))))-IF(AI56=AH56,0,1*SUP_OPEX!$D$20*(IF(AI56=0,0,INDEX(SUP_C3_EXPANSION!$H$20:$H$59,AI56))-IF(AH56=0,0,INDEX(SUP_C3_EXPANSION!$H$20:$H$59,AH56)))+1*SUP_OPEX!$E$20*(IF(AI56=0,0,INDEX(SUP_C3_EXPANSION!$I$20:$I$59,AI56))-IF(AH56=0,0,INDEX(SUP_C3_EXPANSION!$I$20:$I$59,AH56)))+1*SUP_OPEX!$F$20*(IF(AI56=0,0,INDEX(SUP_C3_EXPANSION!$J$20:$J$59,AI56))-IF(AH56=0,0,INDEX(SUP_C3_EXPANSION!$J$20:$J$59,AH56))))</f>
        <v>-5200</v>
      </c>
      <c r="AL66" s="1" t="n">
        <f aca="false">IF(AL56=AK56,0,2*SUP_OPEX!$D$20*(IF(AL56=0,0,INDEX(SUP_C3_EXPANSION!$H$20:$H$59,AL56))-IF(AK56=0,0,INDEX(SUP_C3_EXPANSION!$H$20:$H$59,AK56)))+2*SUP_OPEX!$E$20*(IF(AL56=0,0,INDEX(SUP_C3_EXPANSION!$I$20:$I$59,AL56))-IF(AK56=0,0,INDEX(SUP_C3_EXPANSION!$I$20:$I$59,AK56)))+2*SUP_OPEX!$F$20*(IF(AL56=0,0,INDEX(SUP_C3_EXPANSION!$J$20:$J$59,AL56))-IF(AK56=0,0,INDEX(SUP_C3_EXPANSION!$J$20:$J$59,AK56))))-IF(AK56=AJ56,0,1*SUP_OPEX!$D$20*(IF(AK56=0,0,INDEX(SUP_C3_EXPANSION!$H$20:$H$59,AK56))-IF(AJ56=0,0,INDEX(SUP_C3_EXPANSION!$H$20:$H$59,AJ56)))+1*SUP_OPEX!$E$20*(IF(AK56=0,0,INDEX(SUP_C3_EXPANSION!$I$20:$I$59,AK56))-IF(AJ56=0,0,INDEX(SUP_C3_EXPANSION!$I$20:$I$59,AJ56)))+1*SUP_OPEX!$F$20*(IF(AK56=0,0,INDEX(SUP_C3_EXPANSION!$J$20:$J$59,AK56))-IF(AJ56=0,0,INDEX(SUP_C3_EXPANSION!$J$20:$J$59,AJ56))))-IF(AJ56=AI56,0,1*SUP_OPEX!$D$20*(IF(AJ56=0,0,INDEX(SUP_C3_EXPANSION!$H$20:$H$59,AJ56))-IF(AI56=0,0,INDEX(SUP_C3_EXPANSION!$H$20:$H$59,AI56)))+1*SUP_OPEX!$E$20*(IF(AJ56=0,0,INDEX(SUP_C3_EXPANSION!$I$20:$I$59,AJ56))-IF(AI56=0,0,INDEX(SUP_C3_EXPANSION!$I$20:$I$59,AI56)))+1*SUP_OPEX!$F$20*(IF(AJ56=0,0,INDEX(SUP_C3_EXPANSION!$J$20:$J$59,AJ56))-IF(AI56=0,0,INDEX(SUP_C3_EXPANSION!$J$20:$J$59,AI56))))</f>
        <v>2000</v>
      </c>
      <c r="AM66" s="1" t="n">
        <f aca="false">IF(AM56=AL56,0,2*SUP_OPEX!$D$20*(IF(AM56=0,0,INDEX(SUP_C3_EXPANSION!$H$20:$H$59,AM56))-IF(AL56=0,0,INDEX(SUP_C3_EXPANSION!$H$20:$H$59,AL56)))+2*SUP_OPEX!$E$20*(IF(AM56=0,0,INDEX(SUP_C3_EXPANSION!$I$20:$I$59,AM56))-IF(AL56=0,0,INDEX(SUP_C3_EXPANSION!$I$20:$I$59,AL56)))+2*SUP_OPEX!$F$20*(IF(AM56=0,0,INDEX(SUP_C3_EXPANSION!$J$20:$J$59,AM56))-IF(AL56=0,0,INDEX(SUP_C3_EXPANSION!$J$20:$J$59,AL56))))-IF(AL56=AK56,0,1*SUP_OPEX!$D$20*(IF(AL56=0,0,INDEX(SUP_C3_EXPANSION!$H$20:$H$59,AL56))-IF(AK56=0,0,INDEX(SUP_C3_EXPANSION!$H$20:$H$59,AK56)))+1*SUP_OPEX!$E$20*(IF(AL56=0,0,INDEX(SUP_C3_EXPANSION!$I$20:$I$59,AL56))-IF(AK56=0,0,INDEX(SUP_C3_EXPANSION!$I$20:$I$59,AK56)))+1*SUP_OPEX!$F$20*(IF(AL56=0,0,INDEX(SUP_C3_EXPANSION!$J$20:$J$59,AL56))-IF(AK56=0,0,INDEX(SUP_C3_EXPANSION!$J$20:$J$59,AK56))))-IF(AK56=AJ56,0,1*SUP_OPEX!$D$20*(IF(AK56=0,0,INDEX(SUP_C3_EXPANSION!$H$20:$H$59,AK56))-IF(AJ56=0,0,INDEX(SUP_C3_EXPANSION!$H$20:$H$59,AJ56)))+1*SUP_OPEX!$E$20*(IF(AK56=0,0,INDEX(SUP_C3_EXPANSION!$I$20:$I$59,AK56))-IF(AJ56=0,0,INDEX(SUP_C3_EXPANSION!$I$20:$I$59,AJ56)))+1*SUP_OPEX!$F$20*(IF(AK56=0,0,INDEX(SUP_C3_EXPANSION!$J$20:$J$59,AK56))-IF(AJ56=0,0,INDEX(SUP_C3_EXPANSION!$J$20:$J$59,AJ56))))</f>
        <v>-2000</v>
      </c>
      <c r="AN66" s="1" t="n">
        <f aca="false">IF(AN56=AM56,0,2*SUP_OPEX!$D$20*(IF(AN56=0,0,INDEX(SUP_C3_EXPANSION!$H$20:$H$59,AN56))-IF(AM56=0,0,INDEX(SUP_C3_EXPANSION!$H$20:$H$59,AM56)))+2*SUP_OPEX!$E$20*(IF(AN56=0,0,INDEX(SUP_C3_EXPANSION!$I$20:$I$59,AN56))-IF(AM56=0,0,INDEX(SUP_C3_EXPANSION!$I$20:$I$59,AM56)))+2*SUP_OPEX!$F$20*(IF(AN56=0,0,INDEX(SUP_C3_EXPANSION!$J$20:$J$59,AN56))-IF(AM56=0,0,INDEX(SUP_C3_EXPANSION!$J$20:$J$59,AM56))))-IF(AM56=AL56,0,1*SUP_OPEX!$D$20*(IF(AM56=0,0,INDEX(SUP_C3_EXPANSION!$H$20:$H$59,AM56))-IF(AL56=0,0,INDEX(SUP_C3_EXPANSION!$H$20:$H$59,AL56)))+1*SUP_OPEX!$E$20*(IF(AM56=0,0,INDEX(SUP_C3_EXPANSION!$I$20:$I$59,AM56))-IF(AL56=0,0,INDEX(SUP_C3_EXPANSION!$I$20:$I$59,AL56)))+1*SUP_OPEX!$F$20*(IF(AM56=0,0,INDEX(SUP_C3_EXPANSION!$J$20:$J$59,AM56))-IF(AL56=0,0,INDEX(SUP_C3_EXPANSION!$J$20:$J$59,AL56))))-IF(AL56=AK56,0,1*SUP_OPEX!$D$20*(IF(AL56=0,0,INDEX(SUP_C3_EXPANSION!$H$20:$H$59,AL56))-IF(AK56=0,0,INDEX(SUP_C3_EXPANSION!$H$20:$H$59,AK56)))+1*SUP_OPEX!$E$20*(IF(AL56=0,0,INDEX(SUP_C3_EXPANSION!$I$20:$I$59,AL56))-IF(AK56=0,0,INDEX(SUP_C3_EXPANSION!$I$20:$I$59,AK56)))+1*SUP_OPEX!$F$20*(IF(AL56=0,0,INDEX(SUP_C3_EXPANSION!$J$20:$J$59,AL56))-IF(AK56=0,0,INDEX(SUP_C3_EXPANSION!$J$20:$J$59,AK56))))</f>
        <v>2000</v>
      </c>
      <c r="AO66" s="1" t="n">
        <f aca="false">IF(AO56=AN56,0,2*SUP_OPEX!$D$20*(IF(AO56=0,0,INDEX(SUP_C3_EXPANSION!$H$20:$H$59,AO56))-IF(AN56=0,0,INDEX(SUP_C3_EXPANSION!$H$20:$H$59,AN56)))+2*SUP_OPEX!$E$20*(IF(AO56=0,0,INDEX(SUP_C3_EXPANSION!$I$20:$I$59,AO56))-IF(AN56=0,0,INDEX(SUP_C3_EXPANSION!$I$20:$I$59,AN56)))+2*SUP_OPEX!$F$20*(IF(AO56=0,0,INDEX(SUP_C3_EXPANSION!$J$20:$J$59,AO56))-IF(AN56=0,0,INDEX(SUP_C3_EXPANSION!$J$20:$J$59,AN56))))-IF(AN56=AM56,0,1*SUP_OPEX!$D$20*(IF(AN56=0,0,INDEX(SUP_C3_EXPANSION!$H$20:$H$59,AN56))-IF(AM56=0,0,INDEX(SUP_C3_EXPANSION!$H$20:$H$59,AM56)))+1*SUP_OPEX!$E$20*(IF(AN56=0,0,INDEX(SUP_C3_EXPANSION!$I$20:$I$59,AN56))-IF(AM56=0,0,INDEX(SUP_C3_EXPANSION!$I$20:$I$59,AM56)))+1*SUP_OPEX!$F$20*(IF(AN56=0,0,INDEX(SUP_C3_EXPANSION!$J$20:$J$59,AN56))-IF(AM56=0,0,INDEX(SUP_C3_EXPANSION!$J$20:$J$59,AM56))))-IF(AM56=AL56,0,1*SUP_OPEX!$D$20*(IF(AM56=0,0,INDEX(SUP_C3_EXPANSION!$H$20:$H$59,AM56))-IF(AL56=0,0,INDEX(SUP_C3_EXPANSION!$H$20:$H$59,AL56)))+1*SUP_OPEX!$E$20*(IF(AM56=0,0,INDEX(SUP_C3_EXPANSION!$I$20:$I$59,AM56))-IF(AL56=0,0,INDEX(SUP_C3_EXPANSION!$I$20:$I$59,AL56)))+1*SUP_OPEX!$F$20*(IF(AM56=0,0,INDEX(SUP_C3_EXPANSION!$J$20:$J$59,AM56))-IF(AL56=0,0,INDEX(SUP_C3_EXPANSION!$J$20:$J$59,AL56))))</f>
        <v>-2000</v>
      </c>
      <c r="AP66" s="1" t="n">
        <f aca="false">IF(AP56=AO56,0,2*SUP_OPEX!$D$20*(IF(AP56=0,0,INDEX(SUP_C3_EXPANSION!$H$20:$H$59,AP56))-IF(AO56=0,0,INDEX(SUP_C3_EXPANSION!$H$20:$H$59,AO56)))+2*SUP_OPEX!$E$20*(IF(AP56=0,0,INDEX(SUP_C3_EXPANSION!$I$20:$I$59,AP56))-IF(AO56=0,0,INDEX(SUP_C3_EXPANSION!$I$20:$I$59,AO56)))+2*SUP_OPEX!$F$20*(IF(AP56=0,0,INDEX(SUP_C3_EXPANSION!$J$20:$J$59,AP56))-IF(AO56=0,0,INDEX(SUP_C3_EXPANSION!$J$20:$J$59,AO56))))-IF(AO56=AN56,0,1*SUP_OPEX!$D$20*(IF(AO56=0,0,INDEX(SUP_C3_EXPANSION!$H$20:$H$59,AO56))-IF(AN56=0,0,INDEX(SUP_C3_EXPANSION!$H$20:$H$59,AN56)))+1*SUP_OPEX!$E$20*(IF(AO56=0,0,INDEX(SUP_C3_EXPANSION!$I$20:$I$59,AO56))-IF(AN56=0,0,INDEX(SUP_C3_EXPANSION!$I$20:$I$59,AN56)))+1*SUP_OPEX!$F$20*(IF(AO56=0,0,INDEX(SUP_C3_EXPANSION!$J$20:$J$59,AO56))-IF(AN56=0,0,INDEX(SUP_C3_EXPANSION!$J$20:$J$59,AN56))))-IF(AN56=AM56,0,1*SUP_OPEX!$D$20*(IF(AN56=0,0,INDEX(SUP_C3_EXPANSION!$H$20:$H$59,AN56))-IF(AM56=0,0,INDEX(SUP_C3_EXPANSION!$H$20:$H$59,AM56)))+1*SUP_OPEX!$E$20*(IF(AN56=0,0,INDEX(SUP_C3_EXPANSION!$I$20:$I$59,AN56))-IF(AM56=0,0,INDEX(SUP_C3_EXPANSION!$I$20:$I$59,AM56)))+1*SUP_OPEX!$F$20*(IF(AN56=0,0,INDEX(SUP_C3_EXPANSION!$J$20:$J$59,AN56))-IF(AM56=0,0,INDEX(SUP_C3_EXPANSION!$J$20:$J$59,AM56))))</f>
        <v>-2000</v>
      </c>
      <c r="AQ66" s="1" t="n">
        <f aca="false">IF(AQ56=AP56,0,2*SUP_OPEX!$D$20*(IF(AQ56=0,0,INDEX(SUP_C3_EXPANSION!$H$20:$H$59,AQ56))-IF(AP56=0,0,INDEX(SUP_C3_EXPANSION!$H$20:$H$59,AP56)))+2*SUP_OPEX!$E$20*(IF(AQ56=0,0,INDEX(SUP_C3_EXPANSION!$I$20:$I$59,AQ56))-IF(AP56=0,0,INDEX(SUP_C3_EXPANSION!$I$20:$I$59,AP56)))+2*SUP_OPEX!$F$20*(IF(AQ56=0,0,INDEX(SUP_C3_EXPANSION!$J$20:$J$59,AQ56))-IF(AP56=0,0,INDEX(SUP_C3_EXPANSION!$J$20:$J$59,AP56))))-IF(AP56=AO56,0,1*SUP_OPEX!$D$20*(IF(AP56=0,0,INDEX(SUP_C3_EXPANSION!$H$20:$H$59,AP56))-IF(AO56=0,0,INDEX(SUP_C3_EXPANSION!$H$20:$H$59,AO56)))+1*SUP_OPEX!$E$20*(IF(AP56=0,0,INDEX(SUP_C3_EXPANSION!$I$20:$I$59,AP56))-IF(AO56=0,0,INDEX(SUP_C3_EXPANSION!$I$20:$I$59,AO56)))+1*SUP_OPEX!$F$20*(IF(AP56=0,0,INDEX(SUP_C3_EXPANSION!$J$20:$J$59,AP56))-IF(AO56=0,0,INDEX(SUP_C3_EXPANSION!$J$20:$J$59,AO56))))-IF(AO56=AN56,0,1*SUP_OPEX!$D$20*(IF(AO56=0,0,INDEX(SUP_C3_EXPANSION!$H$20:$H$59,AO56))-IF(AN56=0,0,INDEX(SUP_C3_EXPANSION!$H$20:$H$59,AN56)))+1*SUP_OPEX!$E$20*(IF(AO56=0,0,INDEX(SUP_C3_EXPANSION!$I$20:$I$59,AO56))-IF(AN56=0,0,INDEX(SUP_C3_EXPANSION!$I$20:$I$59,AN56)))+1*SUP_OPEX!$F$20*(IF(AO56=0,0,INDEX(SUP_C3_EXPANSION!$J$20:$J$59,AO56))-IF(AN56=0,0,INDEX(SUP_C3_EXPANSION!$J$20:$J$59,AN56))))</f>
        <v>6400</v>
      </c>
      <c r="AR66" s="1" t="n">
        <f aca="false">IF(AR56=AQ56,0,2*SUP_OPEX!$D$20*(IF(AR56=0,0,INDEX(SUP_C3_EXPANSION!$H$20:$H$59,AR56))-IF(AQ56=0,0,INDEX(SUP_C3_EXPANSION!$H$20:$H$59,AQ56)))+2*SUP_OPEX!$E$20*(IF(AR56=0,0,INDEX(SUP_C3_EXPANSION!$I$20:$I$59,AR56))-IF(AQ56=0,0,INDEX(SUP_C3_EXPANSION!$I$20:$I$59,AQ56)))+2*SUP_OPEX!$F$20*(IF(AR56=0,0,INDEX(SUP_C3_EXPANSION!$J$20:$J$59,AR56))-IF(AQ56=0,0,INDEX(SUP_C3_EXPANSION!$J$20:$J$59,AQ56))))-IF(AQ56=AP56,0,1*SUP_OPEX!$D$20*(IF(AQ56=0,0,INDEX(SUP_C3_EXPANSION!$H$20:$H$59,AQ56))-IF(AP56=0,0,INDEX(SUP_C3_EXPANSION!$H$20:$H$59,AP56)))+1*SUP_OPEX!$E$20*(IF(AQ56=0,0,INDEX(SUP_C3_EXPANSION!$I$20:$I$59,AQ56))-IF(AP56=0,0,INDEX(SUP_C3_EXPANSION!$I$20:$I$59,AP56)))+1*SUP_OPEX!$F$20*(IF(AQ56=0,0,INDEX(SUP_C3_EXPANSION!$J$20:$J$59,AQ56))-IF(AP56=0,0,INDEX(SUP_C3_EXPANSION!$J$20:$J$59,AP56))))-IF(AP56=AO56,0,1*SUP_OPEX!$D$20*(IF(AP56=0,0,INDEX(SUP_C3_EXPANSION!$H$20:$H$59,AP56))-IF(AO56=0,0,INDEX(SUP_C3_EXPANSION!$H$20:$H$59,AO56)))+1*SUP_OPEX!$E$20*(IF(AP56=0,0,INDEX(SUP_C3_EXPANSION!$I$20:$I$59,AP56))-IF(AO56=0,0,INDEX(SUP_C3_EXPANSION!$I$20:$I$59,AO56)))+1*SUP_OPEX!$F$20*(IF(AP56=0,0,INDEX(SUP_C3_EXPANSION!$J$20:$J$59,AP56))-IF(AO56=0,0,INDEX(SUP_C3_EXPANSION!$J$20:$J$59,AO56))))</f>
        <v>800</v>
      </c>
      <c r="AS66" s="1" t="n">
        <f aca="false">IF(AS56=AR56,0,2*SUP_OPEX!$D$20*(IF(AS56=0,0,INDEX(SUP_C3_EXPANSION!$H$20:$H$59,AS56))-IF(AR56=0,0,INDEX(SUP_C3_EXPANSION!$H$20:$H$59,AR56)))+2*SUP_OPEX!$E$20*(IF(AS56=0,0,INDEX(SUP_C3_EXPANSION!$I$20:$I$59,AS56))-IF(AR56=0,0,INDEX(SUP_C3_EXPANSION!$I$20:$I$59,AR56)))+2*SUP_OPEX!$F$20*(IF(AS56=0,0,INDEX(SUP_C3_EXPANSION!$J$20:$J$59,AS56))-IF(AR56=0,0,INDEX(SUP_C3_EXPANSION!$J$20:$J$59,AR56))))-IF(AR56=AQ56,0,1*SUP_OPEX!$D$20*(IF(AR56=0,0,INDEX(SUP_C3_EXPANSION!$H$20:$H$59,AR56))-IF(AQ56=0,0,INDEX(SUP_C3_EXPANSION!$H$20:$H$59,AQ56)))+1*SUP_OPEX!$E$20*(IF(AR56=0,0,INDEX(SUP_C3_EXPANSION!$I$20:$I$59,AR56))-IF(AQ56=0,0,INDEX(SUP_C3_EXPANSION!$I$20:$I$59,AQ56)))+1*SUP_OPEX!$F$20*(IF(AR56=0,0,INDEX(SUP_C3_EXPANSION!$J$20:$J$59,AR56))-IF(AQ56=0,0,INDEX(SUP_C3_EXPANSION!$J$20:$J$59,AQ56))))-IF(AQ56=AP56,0,1*SUP_OPEX!$D$20*(IF(AQ56=0,0,INDEX(SUP_C3_EXPANSION!$H$20:$H$59,AQ56))-IF(AP56=0,0,INDEX(SUP_C3_EXPANSION!$H$20:$H$59,AP56)))+1*SUP_OPEX!$E$20*(IF(AQ56=0,0,INDEX(SUP_C3_EXPANSION!$I$20:$I$59,AQ56))-IF(AP56=0,0,INDEX(SUP_C3_EXPANSION!$I$20:$I$59,AP56)))+1*SUP_OPEX!$F$20*(IF(AQ56=0,0,INDEX(SUP_C3_EXPANSION!$J$20:$J$59,AQ56))-IF(AP56=0,0,INDEX(SUP_C3_EXPANSION!$J$20:$J$59,AP56))))</f>
        <v>-1200</v>
      </c>
      <c r="AT66" s="1" t="n">
        <f aca="false">IF(AT56=AS56,0,2*SUP_OPEX!$D$20*(IF(AT56=0,0,INDEX(SUP_C3_EXPANSION!$H$20:$H$59,AT56))-IF(AS56=0,0,INDEX(SUP_C3_EXPANSION!$H$20:$H$59,AS56)))+2*SUP_OPEX!$E$20*(IF(AT56=0,0,INDEX(SUP_C3_EXPANSION!$I$20:$I$59,AT56))-IF(AS56=0,0,INDEX(SUP_C3_EXPANSION!$I$20:$I$59,AS56)))+2*SUP_OPEX!$F$20*(IF(AT56=0,0,INDEX(SUP_C3_EXPANSION!$J$20:$J$59,AT56))-IF(AS56=0,0,INDEX(SUP_C3_EXPANSION!$J$20:$J$59,AS56))))-IF(AS56=AR56,0,1*SUP_OPEX!$D$20*(IF(AS56=0,0,INDEX(SUP_C3_EXPANSION!$H$20:$H$59,AS56))-IF(AR56=0,0,INDEX(SUP_C3_EXPANSION!$H$20:$H$59,AR56)))+1*SUP_OPEX!$E$20*(IF(AS56=0,0,INDEX(SUP_C3_EXPANSION!$I$20:$I$59,AS56))-IF(AR56=0,0,INDEX(SUP_C3_EXPANSION!$I$20:$I$59,AR56)))+1*SUP_OPEX!$F$20*(IF(AS56=0,0,INDEX(SUP_C3_EXPANSION!$J$20:$J$59,AS56))-IF(AR56=0,0,INDEX(SUP_C3_EXPANSION!$J$20:$J$59,AR56))))-IF(AR56=AQ56,0,1*SUP_OPEX!$D$20*(IF(AR56=0,0,INDEX(SUP_C3_EXPANSION!$H$20:$H$59,AR56))-IF(AQ56=0,0,INDEX(SUP_C3_EXPANSION!$H$20:$H$59,AQ56)))+1*SUP_OPEX!$E$20*(IF(AR56=0,0,INDEX(SUP_C3_EXPANSION!$I$20:$I$59,AR56))-IF(AQ56=0,0,INDEX(SUP_C3_EXPANSION!$I$20:$I$59,AQ56)))+1*SUP_OPEX!$F$20*(IF(AR56=0,0,INDEX(SUP_C3_EXPANSION!$J$20:$J$59,AR56))-IF(AQ56=0,0,INDEX(SUP_C3_EXPANSION!$J$20:$J$59,AQ56))))</f>
        <v>0</v>
      </c>
      <c r="AU66" s="1" t="n">
        <f aca="false">IF(AU56=AT56,0,2*SUP_OPEX!$D$20*(IF(AU56=0,0,INDEX(SUP_C3_EXPANSION!$H$20:$H$59,AU56))-IF(AT56=0,0,INDEX(SUP_C3_EXPANSION!$H$20:$H$59,AT56)))+2*SUP_OPEX!$E$20*(IF(AU56=0,0,INDEX(SUP_C3_EXPANSION!$I$20:$I$59,AU56))-IF(AT56=0,0,INDEX(SUP_C3_EXPANSION!$I$20:$I$59,AT56)))+2*SUP_OPEX!$F$20*(IF(AU56=0,0,INDEX(SUP_C3_EXPANSION!$J$20:$J$59,AU56))-IF(AT56=0,0,INDEX(SUP_C3_EXPANSION!$J$20:$J$59,AT56))))-IF(AT56=AS56,0,1*SUP_OPEX!$D$20*(IF(AT56=0,0,INDEX(SUP_C3_EXPANSION!$H$20:$H$59,AT56))-IF(AS56=0,0,INDEX(SUP_C3_EXPANSION!$H$20:$H$59,AS56)))+1*SUP_OPEX!$E$20*(IF(AT56=0,0,INDEX(SUP_C3_EXPANSION!$I$20:$I$59,AT56))-IF(AS56=0,0,INDEX(SUP_C3_EXPANSION!$I$20:$I$59,AS56)))+1*SUP_OPEX!$F$20*(IF(AT56=0,0,INDEX(SUP_C3_EXPANSION!$J$20:$J$59,AT56))-IF(AS56=0,0,INDEX(SUP_C3_EXPANSION!$J$20:$J$59,AS56))))-IF(AS56=AR56,0,1*SUP_OPEX!$D$20*(IF(AS56=0,0,INDEX(SUP_C3_EXPANSION!$H$20:$H$59,AS56))-IF(AR56=0,0,INDEX(SUP_C3_EXPANSION!$H$20:$H$59,AR56)))+1*SUP_OPEX!$E$20*(IF(AS56=0,0,INDEX(SUP_C3_EXPANSION!$I$20:$I$59,AS56))-IF(AR56=0,0,INDEX(SUP_C3_EXPANSION!$I$20:$I$59,AR56)))+1*SUP_OPEX!$F$20*(IF(AS56=0,0,INDEX(SUP_C3_EXPANSION!$J$20:$J$59,AS56))-IF(AR56=0,0,INDEX(SUP_C3_EXPANSION!$J$20:$J$59,AR56))))</f>
        <v>-4000</v>
      </c>
      <c r="AV66" s="1" t="n">
        <f aca="false">IF(AV56=AU56,0,2*SUP_OPEX!$D$20*(IF(AV56=0,0,INDEX(SUP_C3_EXPANSION!$H$20:$H$59,AV56))-IF(AU56=0,0,INDEX(SUP_C3_EXPANSION!$H$20:$H$59,AU56)))+2*SUP_OPEX!$E$20*(IF(AV56=0,0,INDEX(SUP_C3_EXPANSION!$I$20:$I$59,AV56))-IF(AU56=0,0,INDEX(SUP_C3_EXPANSION!$I$20:$I$59,AU56)))+2*SUP_OPEX!$F$20*(IF(AV56=0,0,INDEX(SUP_C3_EXPANSION!$J$20:$J$59,AV56))-IF(AU56=0,0,INDEX(SUP_C3_EXPANSION!$J$20:$J$59,AU56))))-IF(AU56=AT56,0,1*SUP_OPEX!$D$20*(IF(AU56=0,0,INDEX(SUP_C3_EXPANSION!$H$20:$H$59,AU56))-IF(AT56=0,0,INDEX(SUP_C3_EXPANSION!$H$20:$H$59,AT56)))+1*SUP_OPEX!$E$20*(IF(AU56=0,0,INDEX(SUP_C3_EXPANSION!$I$20:$I$59,AU56))-IF(AT56=0,0,INDEX(SUP_C3_EXPANSION!$I$20:$I$59,AT56)))+1*SUP_OPEX!$F$20*(IF(AU56=0,0,INDEX(SUP_C3_EXPANSION!$J$20:$J$59,AU56))-IF(AT56=0,0,INDEX(SUP_C3_EXPANSION!$J$20:$J$59,AT56))))-IF(AT56=AS56,0,1*SUP_OPEX!$D$20*(IF(AT56=0,0,INDEX(SUP_C3_EXPANSION!$H$20:$H$59,AT56))-IF(AS56=0,0,INDEX(SUP_C3_EXPANSION!$H$20:$H$59,AS56)))+1*SUP_OPEX!$E$20*(IF(AT56=0,0,INDEX(SUP_C3_EXPANSION!$I$20:$I$59,AT56))-IF(AS56=0,0,INDEX(SUP_C3_EXPANSION!$I$20:$I$59,AS56)))+1*SUP_OPEX!$F$20*(IF(AT56=0,0,INDEX(SUP_C3_EXPANSION!$J$20:$J$59,AT56))-IF(AS56=0,0,INDEX(SUP_C3_EXPANSION!$J$20:$J$59,AS56))))</f>
        <v>-2000</v>
      </c>
      <c r="AW66" s="1" t="n">
        <f aca="false">IF(AW56=AV56,0,2*SUP_OPEX!$D$20*(IF(AW56=0,0,INDEX(SUP_C3_EXPANSION!$H$20:$H$59,AW56))-IF(AV56=0,0,INDEX(SUP_C3_EXPANSION!$H$20:$H$59,AV56)))+2*SUP_OPEX!$E$20*(IF(AW56=0,0,INDEX(SUP_C3_EXPANSION!$I$20:$I$59,AW56))-IF(AV56=0,0,INDEX(SUP_C3_EXPANSION!$I$20:$I$59,AV56)))+2*SUP_OPEX!$F$20*(IF(AW56=0,0,INDEX(SUP_C3_EXPANSION!$J$20:$J$59,AW56))-IF(AV56=0,0,INDEX(SUP_C3_EXPANSION!$J$20:$J$59,AV56))))-IF(AV56=AU56,0,1*SUP_OPEX!$D$20*(IF(AV56=0,0,INDEX(SUP_C3_EXPANSION!$H$20:$H$59,AV56))-IF(AU56=0,0,INDEX(SUP_C3_EXPANSION!$H$20:$H$59,AU56)))+1*SUP_OPEX!$E$20*(IF(AV56=0,0,INDEX(SUP_C3_EXPANSION!$I$20:$I$59,AV56))-IF(AU56=0,0,INDEX(SUP_C3_EXPANSION!$I$20:$I$59,AU56)))+1*SUP_OPEX!$F$20*(IF(AV56=0,0,INDEX(SUP_C3_EXPANSION!$J$20:$J$59,AV56))-IF(AU56=0,0,INDEX(SUP_C3_EXPANSION!$J$20:$J$59,AU56))))-IF(AU56=AT56,0,1*SUP_OPEX!$D$20*(IF(AU56=0,0,INDEX(SUP_C3_EXPANSION!$H$20:$H$59,AU56))-IF(AT56=0,0,INDEX(SUP_C3_EXPANSION!$H$20:$H$59,AT56)))+1*SUP_OPEX!$E$20*(IF(AU56=0,0,INDEX(SUP_C3_EXPANSION!$I$20:$I$59,AU56))-IF(AT56=0,0,INDEX(SUP_C3_EXPANSION!$I$20:$I$59,AT56)))+1*SUP_OPEX!$F$20*(IF(AU56=0,0,INDEX(SUP_C3_EXPANSION!$J$20:$J$59,AU56))-IF(AT56=0,0,INDEX(SUP_C3_EXPANSION!$J$20:$J$59,AT56))))</f>
        <v>6400</v>
      </c>
      <c r="AX66" s="1" t="n">
        <f aca="false">IF(AX56=AW56,0,2*SUP_OPEX!$D$20*(IF(AX56=0,0,INDEX(SUP_C3_EXPANSION!$H$20:$H$59,AX56))-IF(AW56=0,0,INDEX(SUP_C3_EXPANSION!$H$20:$H$59,AW56)))+2*SUP_OPEX!$E$20*(IF(AX56=0,0,INDEX(SUP_C3_EXPANSION!$I$20:$I$59,AX56))-IF(AW56=0,0,INDEX(SUP_C3_EXPANSION!$I$20:$I$59,AW56)))+2*SUP_OPEX!$F$20*(IF(AX56=0,0,INDEX(SUP_C3_EXPANSION!$J$20:$J$59,AX56))-IF(AW56=0,0,INDEX(SUP_C3_EXPANSION!$J$20:$J$59,AW56))))-IF(AW56=AV56,0,1*SUP_OPEX!$D$20*(IF(AW56=0,0,INDEX(SUP_C3_EXPANSION!$H$20:$H$59,AW56))-IF(AV56=0,0,INDEX(SUP_C3_EXPANSION!$H$20:$H$59,AV56)))+1*SUP_OPEX!$E$20*(IF(AW56=0,0,INDEX(SUP_C3_EXPANSION!$I$20:$I$59,AW56))-IF(AV56=0,0,INDEX(SUP_C3_EXPANSION!$I$20:$I$59,AV56)))+1*SUP_OPEX!$F$20*(IF(AW56=0,0,INDEX(SUP_C3_EXPANSION!$J$20:$J$59,AW56))-IF(AV56=0,0,INDEX(SUP_C3_EXPANSION!$J$20:$J$59,AV56))))-IF(AV56=AU56,0,1*SUP_OPEX!$D$20*(IF(AV56=0,0,INDEX(SUP_C3_EXPANSION!$H$20:$H$59,AV56))-IF(AU56=0,0,INDEX(SUP_C3_EXPANSION!$H$20:$H$59,AU56)))+1*SUP_OPEX!$E$20*(IF(AV56=0,0,INDEX(SUP_C3_EXPANSION!$I$20:$I$59,AV56))-IF(AU56=0,0,INDEX(SUP_C3_EXPANSION!$I$20:$I$59,AU56)))+1*SUP_OPEX!$F$20*(IF(AV56=0,0,INDEX(SUP_C3_EXPANSION!$J$20:$J$59,AV56))-IF(AU56=0,0,INDEX(SUP_C3_EXPANSION!$J$20:$J$59,AU56))))</f>
        <v>-3200</v>
      </c>
      <c r="AY66" s="1" t="n">
        <f aca="false">IF(AY56=AX56,0,2*SUP_OPEX!$D$20*(IF(AY56=0,0,INDEX(SUP_C3_EXPANSION!$H$20:$H$59,AY56))-IF(AX56=0,0,INDEX(SUP_C3_EXPANSION!$H$20:$H$59,AX56)))+2*SUP_OPEX!$E$20*(IF(AY56=0,0,INDEX(SUP_C3_EXPANSION!$I$20:$I$59,AY56))-IF(AX56=0,0,INDEX(SUP_C3_EXPANSION!$I$20:$I$59,AX56)))+2*SUP_OPEX!$F$20*(IF(AY56=0,0,INDEX(SUP_C3_EXPANSION!$J$20:$J$59,AY56))-IF(AX56=0,0,INDEX(SUP_C3_EXPANSION!$J$20:$J$59,AX56))))-IF(AX56=AW56,0,1*SUP_OPEX!$D$20*(IF(AX56=0,0,INDEX(SUP_C3_EXPANSION!$H$20:$H$59,AX56))-IF(AW56=0,0,INDEX(SUP_C3_EXPANSION!$H$20:$H$59,AW56)))+1*SUP_OPEX!$E$20*(IF(AX56=0,0,INDEX(SUP_C3_EXPANSION!$I$20:$I$59,AX56))-IF(AW56=0,0,INDEX(SUP_C3_EXPANSION!$I$20:$I$59,AW56)))+1*SUP_OPEX!$F$20*(IF(AX56=0,0,INDEX(SUP_C3_EXPANSION!$J$20:$J$59,AX56))-IF(AW56=0,0,INDEX(SUP_C3_EXPANSION!$J$20:$J$59,AW56))))-IF(AW56=AV56,0,1*SUP_OPEX!$D$20*(IF(AW56=0,0,INDEX(SUP_C3_EXPANSION!$H$20:$H$59,AW56))-IF(AV56=0,0,INDEX(SUP_C3_EXPANSION!$H$20:$H$59,AV56)))+1*SUP_OPEX!$E$20*(IF(AW56=0,0,INDEX(SUP_C3_EXPANSION!$I$20:$I$59,AW56))-IF(AV56=0,0,INDEX(SUP_C3_EXPANSION!$I$20:$I$59,AV56)))+1*SUP_OPEX!$F$20*(IF(AW56=0,0,INDEX(SUP_C3_EXPANSION!$J$20:$J$59,AW56))-IF(AV56=0,0,INDEX(SUP_C3_EXPANSION!$J$20:$J$59,AV56))))</f>
        <v>800</v>
      </c>
      <c r="AZ66" s="1" t="n">
        <f aca="false">IF(AZ56=AY56,0,2*SUP_OPEX!$D$20*(IF(AZ56=0,0,INDEX(SUP_C3_EXPANSION!$H$20:$H$59,AZ56))-IF(AY56=0,0,INDEX(SUP_C3_EXPANSION!$H$20:$H$59,AY56)))+2*SUP_OPEX!$E$20*(IF(AZ56=0,0,INDEX(SUP_C3_EXPANSION!$I$20:$I$59,AZ56))-IF(AY56=0,0,INDEX(SUP_C3_EXPANSION!$I$20:$I$59,AY56)))+2*SUP_OPEX!$F$20*(IF(AZ56=0,0,INDEX(SUP_C3_EXPANSION!$J$20:$J$59,AZ56))-IF(AY56=0,0,INDEX(SUP_C3_EXPANSION!$J$20:$J$59,AY56))))-IF(AY56=AX56,0,1*SUP_OPEX!$D$20*(IF(AY56=0,0,INDEX(SUP_C3_EXPANSION!$H$20:$H$59,AY56))-IF(AX56=0,0,INDEX(SUP_C3_EXPANSION!$H$20:$H$59,AX56)))+1*SUP_OPEX!$E$20*(IF(AY56=0,0,INDEX(SUP_C3_EXPANSION!$I$20:$I$59,AY56))-IF(AX56=0,0,INDEX(SUP_C3_EXPANSION!$I$20:$I$59,AX56)))+1*SUP_OPEX!$F$20*(IF(AY56=0,0,INDEX(SUP_C3_EXPANSION!$J$20:$J$59,AY56))-IF(AX56=0,0,INDEX(SUP_C3_EXPANSION!$J$20:$J$59,AX56))))-IF(AX56=AW56,0,1*SUP_OPEX!$D$20*(IF(AX56=0,0,INDEX(SUP_C3_EXPANSION!$H$20:$H$59,AX56))-IF(AW56=0,0,INDEX(SUP_C3_EXPANSION!$H$20:$H$59,AW56)))+1*SUP_OPEX!$E$20*(IF(AX56=0,0,INDEX(SUP_C3_EXPANSION!$I$20:$I$59,AX56))-IF(AW56=0,0,INDEX(SUP_C3_EXPANSION!$I$20:$I$59,AW56)))+1*SUP_OPEX!$F$20*(IF(AX56=0,0,INDEX(SUP_C3_EXPANSION!$J$20:$J$59,AX56))-IF(AW56=0,0,INDEX(SUP_C3_EXPANSION!$J$20:$J$59,AW56))))</f>
        <v>2000</v>
      </c>
      <c r="BA66" s="1" t="n">
        <f aca="false">IF(BA56=AZ56,0,2*SUP_OPEX!$D$20*(IF(BA56=0,0,INDEX(SUP_C3_EXPANSION!$H$20:$H$59,BA56))-IF(AZ56=0,0,INDEX(SUP_C3_EXPANSION!$H$20:$H$59,AZ56)))+2*SUP_OPEX!$E$20*(IF(BA56=0,0,INDEX(SUP_C3_EXPANSION!$I$20:$I$59,BA56))-IF(AZ56=0,0,INDEX(SUP_C3_EXPANSION!$I$20:$I$59,AZ56)))+2*SUP_OPEX!$F$20*(IF(BA56=0,0,INDEX(SUP_C3_EXPANSION!$J$20:$J$59,BA56))-IF(AZ56=0,0,INDEX(SUP_C3_EXPANSION!$J$20:$J$59,AZ56))))-IF(AZ56=AY56,0,1*SUP_OPEX!$D$20*(IF(AZ56=0,0,INDEX(SUP_C3_EXPANSION!$H$20:$H$59,AZ56))-IF(AY56=0,0,INDEX(SUP_C3_EXPANSION!$H$20:$H$59,AY56)))+1*SUP_OPEX!$E$20*(IF(AZ56=0,0,INDEX(SUP_C3_EXPANSION!$I$20:$I$59,AZ56))-IF(AY56=0,0,INDEX(SUP_C3_EXPANSION!$I$20:$I$59,AY56)))+1*SUP_OPEX!$F$20*(IF(AZ56=0,0,INDEX(SUP_C3_EXPANSION!$J$20:$J$59,AZ56))-IF(AY56=0,0,INDEX(SUP_C3_EXPANSION!$J$20:$J$59,AY56))))-IF(AY56=AX56,0,1*SUP_OPEX!$D$20*(IF(AY56=0,0,INDEX(SUP_C3_EXPANSION!$H$20:$H$59,AY56))-IF(AX56=0,0,INDEX(SUP_C3_EXPANSION!$H$20:$H$59,AX56)))+1*SUP_OPEX!$E$20*(IF(AY56=0,0,INDEX(SUP_C3_EXPANSION!$I$20:$I$59,AY56))-IF(AX56=0,0,INDEX(SUP_C3_EXPANSION!$I$20:$I$59,AX56)))+1*SUP_OPEX!$F$20*(IF(AY56=0,0,INDEX(SUP_C3_EXPANSION!$J$20:$J$59,AY56))-IF(AX56=0,0,INDEX(SUP_C3_EXPANSION!$J$20:$J$59,AX56))))</f>
        <v>-4000</v>
      </c>
      <c r="BB66" s="1" t="n">
        <f aca="false">IF(BB56=BA56,0,2*SUP_OPEX!$D$20*(IF(BB56=0,0,INDEX(SUP_C3_EXPANSION!$H$20:$H$59,BB56))-IF(BA56=0,0,INDEX(SUP_C3_EXPANSION!$H$20:$H$59,BA56)))+2*SUP_OPEX!$E$20*(IF(BB56=0,0,INDEX(SUP_C3_EXPANSION!$I$20:$I$59,BB56))-IF(BA56=0,0,INDEX(SUP_C3_EXPANSION!$I$20:$I$59,BA56)))+2*SUP_OPEX!$F$20*(IF(BB56=0,0,INDEX(SUP_C3_EXPANSION!$J$20:$J$59,BB56))-IF(BA56=0,0,INDEX(SUP_C3_EXPANSION!$J$20:$J$59,BA56))))-IF(BA56=AZ56,0,1*SUP_OPEX!$D$20*(IF(BA56=0,0,INDEX(SUP_C3_EXPANSION!$H$20:$H$59,BA56))-IF(AZ56=0,0,INDEX(SUP_C3_EXPANSION!$H$20:$H$59,AZ56)))+1*SUP_OPEX!$E$20*(IF(BA56=0,0,INDEX(SUP_C3_EXPANSION!$I$20:$I$59,BA56))-IF(AZ56=0,0,INDEX(SUP_C3_EXPANSION!$I$20:$I$59,AZ56)))+1*SUP_OPEX!$F$20*(IF(BA56=0,0,INDEX(SUP_C3_EXPANSION!$J$20:$J$59,BA56))-IF(AZ56=0,0,INDEX(SUP_C3_EXPANSION!$J$20:$J$59,AZ56))))-IF(AZ56=AY56,0,1*SUP_OPEX!$D$20*(IF(AZ56=0,0,INDEX(SUP_C3_EXPANSION!$H$20:$H$59,AZ56))-IF(AY56=0,0,INDEX(SUP_C3_EXPANSION!$H$20:$H$59,AY56)))+1*SUP_OPEX!$E$20*(IF(AZ56=0,0,INDEX(SUP_C3_EXPANSION!$I$20:$I$59,AZ56))-IF(AY56=0,0,INDEX(SUP_C3_EXPANSION!$I$20:$I$59,AY56)))+1*SUP_OPEX!$F$20*(IF(AZ56=0,0,INDEX(SUP_C3_EXPANSION!$J$20:$J$59,AZ56))-IF(AY56=0,0,INDEX(SUP_C3_EXPANSION!$J$20:$J$59,AY56))))</f>
        <v>-2000</v>
      </c>
      <c r="BC66" s="1" t="n">
        <f aca="false">IF(BC56=BB56,0,2*SUP_OPEX!$D$20*(IF(BC56=0,0,INDEX(SUP_C3_EXPANSION!$H$20:$H$59,BC56))-IF(BB56=0,0,INDEX(SUP_C3_EXPANSION!$H$20:$H$59,BB56)))+2*SUP_OPEX!$E$20*(IF(BC56=0,0,INDEX(SUP_C3_EXPANSION!$I$20:$I$59,BC56))-IF(BB56=0,0,INDEX(SUP_C3_EXPANSION!$I$20:$I$59,BB56)))+2*SUP_OPEX!$F$20*(IF(BC56=0,0,INDEX(SUP_C3_EXPANSION!$J$20:$J$59,BC56))-IF(BB56=0,0,INDEX(SUP_C3_EXPANSION!$J$20:$J$59,BB56))))-IF(BB56=BA56,0,1*SUP_OPEX!$D$20*(IF(BB56=0,0,INDEX(SUP_C3_EXPANSION!$H$20:$H$59,BB56))-IF(BA56=0,0,INDEX(SUP_C3_EXPANSION!$H$20:$H$59,BA56)))+1*SUP_OPEX!$E$20*(IF(BB56=0,0,INDEX(SUP_C3_EXPANSION!$I$20:$I$59,BB56))-IF(BA56=0,0,INDEX(SUP_C3_EXPANSION!$I$20:$I$59,BA56)))+1*SUP_OPEX!$F$20*(IF(BB56=0,0,INDEX(SUP_C3_EXPANSION!$J$20:$J$59,BB56))-IF(BA56=0,0,INDEX(SUP_C3_EXPANSION!$J$20:$J$59,BA56))))-IF(BA56=AZ56,0,1*SUP_OPEX!$D$20*(IF(BA56=0,0,INDEX(SUP_C3_EXPANSION!$H$20:$H$59,BA56))-IF(AZ56=0,0,INDEX(SUP_C3_EXPANSION!$H$20:$H$59,AZ56)))+1*SUP_OPEX!$E$20*(IF(BA56=0,0,INDEX(SUP_C3_EXPANSION!$I$20:$I$59,BA56))-IF(AZ56=0,0,INDEX(SUP_C3_EXPANSION!$I$20:$I$59,AZ56)))+1*SUP_OPEX!$F$20*(IF(BA56=0,0,INDEX(SUP_C3_EXPANSION!$J$20:$J$59,BA56))-IF(AZ56=0,0,INDEX(SUP_C3_EXPANSION!$J$20:$J$59,AZ56))))</f>
        <v>0</v>
      </c>
      <c r="BD66" s="1" t="n">
        <f aca="false">IF(BD56=BC56,0,2*SUP_OPEX!$D$20*(IF(BD56=0,0,INDEX(SUP_C3_EXPANSION!$H$20:$H$59,BD56))-IF(BC56=0,0,INDEX(SUP_C3_EXPANSION!$H$20:$H$59,BC56)))+2*SUP_OPEX!$E$20*(IF(BD56=0,0,INDEX(SUP_C3_EXPANSION!$I$20:$I$59,BD56))-IF(BC56=0,0,INDEX(SUP_C3_EXPANSION!$I$20:$I$59,BC56)))+2*SUP_OPEX!$F$20*(IF(BD56=0,0,INDEX(SUP_C3_EXPANSION!$J$20:$J$59,BD56))-IF(BC56=0,0,INDEX(SUP_C3_EXPANSION!$J$20:$J$59,BC56))))-IF(BC56=BB56,0,1*SUP_OPEX!$D$20*(IF(BC56=0,0,INDEX(SUP_C3_EXPANSION!$H$20:$H$59,BC56))-IF(BB56=0,0,INDEX(SUP_C3_EXPANSION!$H$20:$H$59,BB56)))+1*SUP_OPEX!$E$20*(IF(BC56=0,0,INDEX(SUP_C3_EXPANSION!$I$20:$I$59,BC56))-IF(BB56=0,0,INDEX(SUP_C3_EXPANSION!$I$20:$I$59,BB56)))+1*SUP_OPEX!$F$20*(IF(BC56=0,0,INDEX(SUP_C3_EXPANSION!$J$20:$J$59,BC56))-IF(BB56=0,0,INDEX(SUP_C3_EXPANSION!$J$20:$J$59,BB56))))-IF(BB56=BA56,0,1*SUP_OPEX!$D$20*(IF(BB56=0,0,INDEX(SUP_C3_EXPANSION!$H$20:$H$59,BB56))-IF(BA56=0,0,INDEX(SUP_C3_EXPANSION!$H$20:$H$59,BA56)))+1*SUP_OPEX!$E$20*(IF(BB56=0,0,INDEX(SUP_C3_EXPANSION!$I$20:$I$59,BB56))-IF(BA56=0,0,INDEX(SUP_C3_EXPANSION!$I$20:$I$59,BA56)))+1*SUP_OPEX!$F$20*(IF(BB56=0,0,INDEX(SUP_C3_EXPANSION!$J$20:$J$59,BB56))-IF(BA56=0,0,INDEX(SUP_C3_EXPANSION!$J$20:$J$59,BA56))))</f>
        <v>0</v>
      </c>
      <c r="BE66" s="1" t="n">
        <f aca="false">IF(BE56=BD56,0,2*SUP_OPEX!$D$20*(IF(BE56=0,0,INDEX(SUP_C3_EXPANSION!$H$20:$H$59,BE56))-IF(BD56=0,0,INDEX(SUP_C3_EXPANSION!$H$20:$H$59,BD56)))+2*SUP_OPEX!$E$20*(IF(BE56=0,0,INDEX(SUP_C3_EXPANSION!$I$20:$I$59,BE56))-IF(BD56=0,0,INDEX(SUP_C3_EXPANSION!$I$20:$I$59,BD56)))+2*SUP_OPEX!$F$20*(IF(BE56=0,0,INDEX(SUP_C3_EXPANSION!$J$20:$J$59,BE56))-IF(BD56=0,0,INDEX(SUP_C3_EXPANSION!$J$20:$J$59,BD56))))-IF(BD56=BC56,0,1*SUP_OPEX!$D$20*(IF(BD56=0,0,INDEX(SUP_C3_EXPANSION!$H$20:$H$59,BD56))-IF(BC56=0,0,INDEX(SUP_C3_EXPANSION!$H$20:$H$59,BC56)))+1*SUP_OPEX!$E$20*(IF(BD56=0,0,INDEX(SUP_C3_EXPANSION!$I$20:$I$59,BD56))-IF(BC56=0,0,INDEX(SUP_C3_EXPANSION!$I$20:$I$59,BC56)))+1*SUP_OPEX!$F$20*(IF(BD56=0,0,INDEX(SUP_C3_EXPANSION!$J$20:$J$59,BD56))-IF(BC56=0,0,INDEX(SUP_C3_EXPANSION!$J$20:$J$59,BC56))))-IF(BC56=BB56,0,1*SUP_OPEX!$D$20*(IF(BC56=0,0,INDEX(SUP_C3_EXPANSION!$H$20:$H$59,BC56))-IF(BB56=0,0,INDEX(SUP_C3_EXPANSION!$H$20:$H$59,BB56)))+1*SUP_OPEX!$E$20*(IF(BC56=0,0,INDEX(SUP_C3_EXPANSION!$I$20:$I$59,BC56))-IF(BB56=0,0,INDEX(SUP_C3_EXPANSION!$I$20:$I$59,BB56)))+1*SUP_OPEX!$F$20*(IF(BC56=0,0,INDEX(SUP_C3_EXPANSION!$J$20:$J$59,BC56))-IF(BB56=0,0,INDEX(SUP_C3_EXPANSION!$J$20:$J$59,BB56))))</f>
        <v>0</v>
      </c>
      <c r="BF66" s="1" t="n">
        <f aca="false">IF(BF56=BE56,0,2*SUP_OPEX!$D$20*(IF(BF56=0,0,INDEX(SUP_C3_EXPANSION!$H$20:$H$59,BF56))-IF(BE56=0,0,INDEX(SUP_C3_EXPANSION!$H$20:$H$59,BE56)))+2*SUP_OPEX!$E$20*(IF(BF56=0,0,INDEX(SUP_C3_EXPANSION!$I$20:$I$59,BF56))-IF(BE56=0,0,INDEX(SUP_C3_EXPANSION!$I$20:$I$59,BE56)))+2*SUP_OPEX!$F$20*(IF(BF56=0,0,INDEX(SUP_C3_EXPANSION!$J$20:$J$59,BF56))-IF(BE56=0,0,INDEX(SUP_C3_EXPANSION!$J$20:$J$59,BE56))))-IF(BE56=BD56,0,1*SUP_OPEX!$D$20*(IF(BE56=0,0,INDEX(SUP_C3_EXPANSION!$H$20:$H$59,BE56))-IF(BD56=0,0,INDEX(SUP_C3_EXPANSION!$H$20:$H$59,BD56)))+1*SUP_OPEX!$E$20*(IF(BE56=0,0,INDEX(SUP_C3_EXPANSION!$I$20:$I$59,BE56))-IF(BD56=0,0,INDEX(SUP_C3_EXPANSION!$I$20:$I$59,BD56)))+1*SUP_OPEX!$F$20*(IF(BE56=0,0,INDEX(SUP_C3_EXPANSION!$J$20:$J$59,BE56))-IF(BD56=0,0,INDEX(SUP_C3_EXPANSION!$J$20:$J$59,BD56))))-IF(BD56=BC56,0,1*SUP_OPEX!$D$20*(IF(BD56=0,0,INDEX(SUP_C3_EXPANSION!$H$20:$H$59,BD56))-IF(BC56=0,0,INDEX(SUP_C3_EXPANSION!$H$20:$H$59,BC56)))+1*SUP_OPEX!$E$20*(IF(BD56=0,0,INDEX(SUP_C3_EXPANSION!$I$20:$I$59,BD56))-IF(BC56=0,0,INDEX(SUP_C3_EXPANSION!$I$20:$I$59,BC56)))+1*SUP_OPEX!$F$20*(IF(BD56=0,0,INDEX(SUP_C3_EXPANSION!$J$20:$J$59,BD56))-IF(BC56=0,0,INDEX(SUP_C3_EXPANSION!$J$20:$J$59,BC56))))</f>
        <v>0</v>
      </c>
      <c r="BG66" s="1" t="n">
        <f aca="false">IF(BG56=BF56,0,2*SUP_OPEX!$D$20*(IF(BG56=0,0,INDEX(SUP_C3_EXPANSION!$H$20:$H$59,BG56))-IF(BF56=0,0,INDEX(SUP_C3_EXPANSION!$H$20:$H$59,BF56)))+2*SUP_OPEX!$E$20*(IF(BG56=0,0,INDEX(SUP_C3_EXPANSION!$I$20:$I$59,BG56))-IF(BF56=0,0,INDEX(SUP_C3_EXPANSION!$I$20:$I$59,BF56)))+2*SUP_OPEX!$F$20*(IF(BG56=0,0,INDEX(SUP_C3_EXPANSION!$J$20:$J$59,BG56))-IF(BF56=0,0,INDEX(SUP_C3_EXPANSION!$J$20:$J$59,BF56))))-IF(BF56=BE56,0,1*SUP_OPEX!$D$20*(IF(BF56=0,0,INDEX(SUP_C3_EXPANSION!$H$20:$H$59,BF56))-IF(BE56=0,0,INDEX(SUP_C3_EXPANSION!$H$20:$H$59,BE56)))+1*SUP_OPEX!$E$20*(IF(BF56=0,0,INDEX(SUP_C3_EXPANSION!$I$20:$I$59,BF56))-IF(BE56=0,0,INDEX(SUP_C3_EXPANSION!$I$20:$I$59,BE56)))+1*SUP_OPEX!$F$20*(IF(BF56=0,0,INDEX(SUP_C3_EXPANSION!$J$20:$J$59,BF56))-IF(BE56=0,0,INDEX(SUP_C3_EXPANSION!$J$20:$J$59,BE56))))-IF(BE56=BD56,0,1*SUP_OPEX!$D$20*(IF(BE56=0,0,INDEX(SUP_C3_EXPANSION!$H$20:$H$59,BE56))-IF(BD56=0,0,INDEX(SUP_C3_EXPANSION!$H$20:$H$59,BD56)))+1*SUP_OPEX!$E$20*(IF(BE56=0,0,INDEX(SUP_C3_EXPANSION!$I$20:$I$59,BE56))-IF(BD56=0,0,INDEX(SUP_C3_EXPANSION!$I$20:$I$59,BD56)))+1*SUP_OPEX!$F$20*(IF(BE56=0,0,INDEX(SUP_C3_EXPANSION!$J$20:$J$59,BE56))-IF(BD56=0,0,INDEX(SUP_C3_EXPANSION!$J$20:$J$59,BD56))))</f>
        <v>0</v>
      </c>
      <c r="BH66" s="1" t="n">
        <f aca="false">IF(BH56=BG56,0,2*SUP_OPEX!$D$20*(IF(BH56=0,0,INDEX(SUP_C3_EXPANSION!$H$20:$H$59,BH56))-IF(BG56=0,0,INDEX(SUP_C3_EXPANSION!$H$20:$H$59,BG56)))+2*SUP_OPEX!$E$20*(IF(BH56=0,0,INDEX(SUP_C3_EXPANSION!$I$20:$I$59,BH56))-IF(BG56=0,0,INDEX(SUP_C3_EXPANSION!$I$20:$I$59,BG56)))+2*SUP_OPEX!$F$20*(IF(BH56=0,0,INDEX(SUP_C3_EXPANSION!$J$20:$J$59,BH56))-IF(BG56=0,0,INDEX(SUP_C3_EXPANSION!$J$20:$J$59,BG56))))-IF(BG56=BF56,0,1*SUP_OPEX!$D$20*(IF(BG56=0,0,INDEX(SUP_C3_EXPANSION!$H$20:$H$59,BG56))-IF(BF56=0,0,INDEX(SUP_C3_EXPANSION!$H$20:$H$59,BF56)))+1*SUP_OPEX!$E$20*(IF(BG56=0,0,INDEX(SUP_C3_EXPANSION!$I$20:$I$59,BG56))-IF(BF56=0,0,INDEX(SUP_C3_EXPANSION!$I$20:$I$59,BF56)))+1*SUP_OPEX!$F$20*(IF(BG56=0,0,INDEX(SUP_C3_EXPANSION!$J$20:$J$59,BG56))-IF(BF56=0,0,INDEX(SUP_C3_EXPANSION!$J$20:$J$59,BF56))))-IF(BF56=BE56,0,1*SUP_OPEX!$D$20*(IF(BF56=0,0,INDEX(SUP_C3_EXPANSION!$H$20:$H$59,BF56))-IF(BE56=0,0,INDEX(SUP_C3_EXPANSION!$H$20:$H$59,BE56)))+1*SUP_OPEX!$E$20*(IF(BF56=0,0,INDEX(SUP_C3_EXPANSION!$I$20:$I$59,BF56))-IF(BE56=0,0,INDEX(SUP_C3_EXPANSION!$I$20:$I$59,BE56)))+1*SUP_OPEX!$F$20*(IF(BF56=0,0,INDEX(SUP_C3_EXPANSION!$J$20:$J$59,BF56))-IF(BE56=0,0,INDEX(SUP_C3_EXPANSION!$J$20:$J$59,BE56))))</f>
        <v>0</v>
      </c>
      <c r="BI66" s="1" t="n">
        <f aca="false">IF(BI56=BH56,0,2*SUP_OPEX!$D$20*(IF(BI56=0,0,INDEX(SUP_C3_EXPANSION!$H$20:$H$59,BI56))-IF(BH56=0,0,INDEX(SUP_C3_EXPANSION!$H$20:$H$59,BH56)))+2*SUP_OPEX!$E$20*(IF(BI56=0,0,INDEX(SUP_C3_EXPANSION!$I$20:$I$59,BI56))-IF(BH56=0,0,INDEX(SUP_C3_EXPANSION!$I$20:$I$59,BH56)))+2*SUP_OPEX!$F$20*(IF(BI56=0,0,INDEX(SUP_C3_EXPANSION!$J$20:$J$59,BI56))-IF(BH56=0,0,INDEX(SUP_C3_EXPANSION!$J$20:$J$59,BH56))))-IF(BH56=BG56,0,1*SUP_OPEX!$D$20*(IF(BH56=0,0,INDEX(SUP_C3_EXPANSION!$H$20:$H$59,BH56))-IF(BG56=0,0,INDEX(SUP_C3_EXPANSION!$H$20:$H$59,BG56)))+1*SUP_OPEX!$E$20*(IF(BH56=0,0,INDEX(SUP_C3_EXPANSION!$I$20:$I$59,BH56))-IF(BG56=0,0,INDEX(SUP_C3_EXPANSION!$I$20:$I$59,BG56)))+1*SUP_OPEX!$F$20*(IF(BH56=0,0,INDEX(SUP_C3_EXPANSION!$J$20:$J$59,BH56))-IF(BG56=0,0,INDEX(SUP_C3_EXPANSION!$J$20:$J$59,BG56))))-IF(BG56=BF56,0,1*SUP_OPEX!$D$20*(IF(BG56=0,0,INDEX(SUP_C3_EXPANSION!$H$20:$H$59,BG56))-IF(BF56=0,0,INDEX(SUP_C3_EXPANSION!$H$20:$H$59,BF56)))+1*SUP_OPEX!$E$20*(IF(BG56=0,0,INDEX(SUP_C3_EXPANSION!$I$20:$I$59,BG56))-IF(BF56=0,0,INDEX(SUP_C3_EXPANSION!$I$20:$I$59,BF56)))+1*SUP_OPEX!$F$20*(IF(BG56=0,0,INDEX(SUP_C3_EXPANSION!$J$20:$J$59,BG56))-IF(BF56=0,0,INDEX(SUP_C3_EXPANSION!$J$20:$J$59,BF56))))</f>
        <v>20000</v>
      </c>
      <c r="BJ66" s="1" t="n">
        <f aca="false">IF(BJ56=BI56,0,2*SUP_OPEX!$D$20*(IF(BJ56=0,0,INDEX(SUP_C3_EXPANSION!$H$20:$H$59,BJ56))-IF(BI56=0,0,INDEX(SUP_C3_EXPANSION!$H$20:$H$59,BI56)))+2*SUP_OPEX!$E$20*(IF(BJ56=0,0,INDEX(SUP_C3_EXPANSION!$I$20:$I$59,BJ56))-IF(BI56=0,0,INDEX(SUP_C3_EXPANSION!$I$20:$I$59,BI56)))+2*SUP_OPEX!$F$20*(IF(BJ56=0,0,INDEX(SUP_C3_EXPANSION!$J$20:$J$59,BJ56))-IF(BI56=0,0,INDEX(SUP_C3_EXPANSION!$J$20:$J$59,BI56))))-IF(BI56=BH56,0,1*SUP_OPEX!$D$20*(IF(BI56=0,0,INDEX(SUP_C3_EXPANSION!$H$20:$H$59,BI56))-IF(BH56=0,0,INDEX(SUP_C3_EXPANSION!$H$20:$H$59,BH56)))+1*SUP_OPEX!$E$20*(IF(BI56=0,0,INDEX(SUP_C3_EXPANSION!$I$20:$I$59,BI56))-IF(BH56=0,0,INDEX(SUP_C3_EXPANSION!$I$20:$I$59,BH56)))+1*SUP_OPEX!$F$20*(IF(BI56=0,0,INDEX(SUP_C3_EXPANSION!$J$20:$J$59,BI56))-IF(BH56=0,0,INDEX(SUP_C3_EXPANSION!$J$20:$J$59,BH56))))-IF(BH56=BG56,0,1*SUP_OPEX!$D$20*(IF(BH56=0,0,INDEX(SUP_C3_EXPANSION!$H$20:$H$59,BH56))-IF(BG56=0,0,INDEX(SUP_C3_EXPANSION!$H$20:$H$59,BG56)))+1*SUP_OPEX!$E$20*(IF(BH56=0,0,INDEX(SUP_C3_EXPANSION!$I$20:$I$59,BH56))-IF(BG56=0,0,INDEX(SUP_C3_EXPANSION!$I$20:$I$59,BG56)))+1*SUP_OPEX!$F$20*(IF(BH56=0,0,INDEX(SUP_C3_EXPANSION!$J$20:$J$59,BH56))-IF(BG56=0,0,INDEX(SUP_C3_EXPANSION!$J$20:$J$59,BG56))))</f>
        <v>-6000</v>
      </c>
      <c r="BK66" s="1" t="n">
        <f aca="false">IF(BK56=BJ56,0,2*SUP_OPEX!$D$20*(IF(BK56=0,0,INDEX(SUP_C3_EXPANSION!$H$20:$H$59,BK56))-IF(BJ56=0,0,INDEX(SUP_C3_EXPANSION!$H$20:$H$59,BJ56)))+2*SUP_OPEX!$E$20*(IF(BK56=0,0,INDEX(SUP_C3_EXPANSION!$I$20:$I$59,BK56))-IF(BJ56=0,0,INDEX(SUP_C3_EXPANSION!$I$20:$I$59,BJ56)))+2*SUP_OPEX!$F$20*(IF(BK56=0,0,INDEX(SUP_C3_EXPANSION!$J$20:$J$59,BK56))-IF(BJ56=0,0,INDEX(SUP_C3_EXPANSION!$J$20:$J$59,BJ56))))-IF(BJ56=BI56,0,1*SUP_OPEX!$D$20*(IF(BJ56=0,0,INDEX(SUP_C3_EXPANSION!$H$20:$H$59,BJ56))-IF(BI56=0,0,INDEX(SUP_C3_EXPANSION!$H$20:$H$59,BI56)))+1*SUP_OPEX!$E$20*(IF(BJ56=0,0,INDEX(SUP_C3_EXPANSION!$I$20:$I$59,BJ56))-IF(BI56=0,0,INDEX(SUP_C3_EXPANSION!$I$20:$I$59,BI56)))+1*SUP_OPEX!$F$20*(IF(BJ56=0,0,INDEX(SUP_C3_EXPANSION!$J$20:$J$59,BJ56))-IF(BI56=0,0,INDEX(SUP_C3_EXPANSION!$J$20:$J$59,BI56))))-IF(BI56=BH56,0,1*SUP_OPEX!$D$20*(IF(BI56=0,0,INDEX(SUP_C3_EXPANSION!$H$20:$H$59,BI56))-IF(BH56=0,0,INDEX(SUP_C3_EXPANSION!$H$20:$H$59,BH56)))+1*SUP_OPEX!$E$20*(IF(BI56=0,0,INDEX(SUP_C3_EXPANSION!$I$20:$I$59,BI56))-IF(BH56=0,0,INDEX(SUP_C3_EXPANSION!$I$20:$I$59,BH56)))+1*SUP_OPEX!$F$20*(IF(BI56=0,0,INDEX(SUP_C3_EXPANSION!$J$20:$J$59,BI56))-IF(BH56=0,0,INDEX(SUP_C3_EXPANSION!$J$20:$J$59,BH56))))</f>
        <v>-5600</v>
      </c>
      <c r="BL66" s="1" t="n">
        <f aca="false">IF(BL56=BK56,0,2*SUP_OPEX!$D$20*(IF(BL56=0,0,INDEX(SUP_C3_EXPANSION!$H$20:$H$59,BL56))-IF(BK56=0,0,INDEX(SUP_C3_EXPANSION!$H$20:$H$59,BK56)))+2*SUP_OPEX!$E$20*(IF(BL56=0,0,INDEX(SUP_C3_EXPANSION!$I$20:$I$59,BL56))-IF(BK56=0,0,INDEX(SUP_C3_EXPANSION!$I$20:$I$59,BK56)))+2*SUP_OPEX!$F$20*(IF(BL56=0,0,INDEX(SUP_C3_EXPANSION!$J$20:$J$59,BL56))-IF(BK56=0,0,INDEX(SUP_C3_EXPANSION!$J$20:$J$59,BK56))))-IF(BK56=BJ56,0,1*SUP_OPEX!$D$20*(IF(BK56=0,0,INDEX(SUP_C3_EXPANSION!$H$20:$H$59,BK56))-IF(BJ56=0,0,INDEX(SUP_C3_EXPANSION!$H$20:$H$59,BJ56)))+1*SUP_OPEX!$E$20*(IF(BK56=0,0,INDEX(SUP_C3_EXPANSION!$I$20:$I$59,BK56))-IF(BJ56=0,0,INDEX(SUP_C3_EXPANSION!$I$20:$I$59,BJ56)))+1*SUP_OPEX!$F$20*(IF(BK56=0,0,INDEX(SUP_C3_EXPANSION!$J$20:$J$59,BK56))-IF(BJ56=0,0,INDEX(SUP_C3_EXPANSION!$J$20:$J$59,BJ56))))-IF(BJ56=BI56,0,1*SUP_OPEX!$D$20*(IF(BJ56=0,0,INDEX(SUP_C3_EXPANSION!$H$20:$H$59,BJ56))-IF(BI56=0,0,INDEX(SUP_C3_EXPANSION!$H$20:$H$59,BI56)))+1*SUP_OPEX!$E$20*(IF(BJ56=0,0,INDEX(SUP_C3_EXPANSION!$I$20:$I$59,BJ56))-IF(BI56=0,0,INDEX(SUP_C3_EXPANSION!$I$20:$I$59,BI56)))+1*SUP_OPEX!$F$20*(IF(BJ56=0,0,INDEX(SUP_C3_EXPANSION!$J$20:$J$59,BJ56))-IF(BI56=0,0,INDEX(SUP_C3_EXPANSION!$J$20:$J$59,BI56))))</f>
        <v>-1200</v>
      </c>
      <c r="BM66" s="1" t="n">
        <f aca="false">IF(BM56=BL56,0,2*SUP_OPEX!$D$20*(IF(BM56=0,0,INDEX(SUP_C3_EXPANSION!$H$20:$H$59,BM56))-IF(BL56=0,0,INDEX(SUP_C3_EXPANSION!$H$20:$H$59,BL56)))+2*SUP_OPEX!$E$20*(IF(BM56=0,0,INDEX(SUP_C3_EXPANSION!$I$20:$I$59,BM56))-IF(BL56=0,0,INDEX(SUP_C3_EXPANSION!$I$20:$I$59,BL56)))+2*SUP_OPEX!$F$20*(IF(BM56=0,0,INDEX(SUP_C3_EXPANSION!$J$20:$J$59,BM56))-IF(BL56=0,0,INDEX(SUP_C3_EXPANSION!$J$20:$J$59,BL56))))-IF(BL56=BK56,0,1*SUP_OPEX!$D$20*(IF(BL56=0,0,INDEX(SUP_C3_EXPANSION!$H$20:$H$59,BL56))-IF(BK56=0,0,INDEX(SUP_C3_EXPANSION!$H$20:$H$59,BK56)))+1*SUP_OPEX!$E$20*(IF(BL56=0,0,INDEX(SUP_C3_EXPANSION!$I$20:$I$59,BL56))-IF(BK56=0,0,INDEX(SUP_C3_EXPANSION!$I$20:$I$59,BK56)))+1*SUP_OPEX!$F$20*(IF(BL56=0,0,INDEX(SUP_C3_EXPANSION!$J$20:$J$59,BL56))-IF(BK56=0,0,INDEX(SUP_C3_EXPANSION!$J$20:$J$59,BK56))))-IF(BK56=BJ56,0,1*SUP_OPEX!$D$20*(IF(BK56=0,0,INDEX(SUP_C3_EXPANSION!$H$20:$H$59,BK56))-IF(BJ56=0,0,INDEX(SUP_C3_EXPANSION!$H$20:$H$59,BJ56)))+1*SUP_OPEX!$E$20*(IF(BK56=0,0,INDEX(SUP_C3_EXPANSION!$I$20:$I$59,BK56))-IF(BJ56=0,0,INDEX(SUP_C3_EXPANSION!$I$20:$I$59,BJ56)))+1*SUP_OPEX!$F$20*(IF(BK56=0,0,INDEX(SUP_C3_EXPANSION!$J$20:$J$59,BK56))-IF(BJ56=0,0,INDEX(SUP_C3_EXPANSION!$J$20:$J$59,BJ56))))</f>
        <v>-1200</v>
      </c>
      <c r="BN66" s="1" t="n">
        <f aca="false">IF(BN56=BM56,0,2*SUP_OPEX!$D$20*(IF(BN56=0,0,INDEX(SUP_C3_EXPANSION!$H$20:$H$59,BN56))-IF(BM56=0,0,INDEX(SUP_C3_EXPANSION!$H$20:$H$59,BM56)))+2*SUP_OPEX!$E$20*(IF(BN56=0,0,INDEX(SUP_C3_EXPANSION!$I$20:$I$59,BN56))-IF(BM56=0,0,INDEX(SUP_C3_EXPANSION!$I$20:$I$59,BM56)))+2*SUP_OPEX!$F$20*(IF(BN56=0,0,INDEX(SUP_C3_EXPANSION!$J$20:$J$59,BN56))-IF(BM56=0,0,INDEX(SUP_C3_EXPANSION!$J$20:$J$59,BM56))))-IF(BM56=BL56,0,1*SUP_OPEX!$D$20*(IF(BM56=0,0,INDEX(SUP_C3_EXPANSION!$H$20:$H$59,BM56))-IF(BL56=0,0,INDEX(SUP_C3_EXPANSION!$H$20:$H$59,BL56)))+1*SUP_OPEX!$E$20*(IF(BM56=0,0,INDEX(SUP_C3_EXPANSION!$I$20:$I$59,BM56))-IF(BL56=0,0,INDEX(SUP_C3_EXPANSION!$I$20:$I$59,BL56)))+1*SUP_OPEX!$F$20*(IF(BM56=0,0,INDEX(SUP_C3_EXPANSION!$J$20:$J$59,BM56))-IF(BL56=0,0,INDEX(SUP_C3_EXPANSION!$J$20:$J$59,BL56))))-IF(BL56=BK56,0,1*SUP_OPEX!$D$20*(IF(BL56=0,0,INDEX(SUP_C3_EXPANSION!$H$20:$H$59,BL56))-IF(BK56=0,0,INDEX(SUP_C3_EXPANSION!$H$20:$H$59,BK56)))+1*SUP_OPEX!$E$20*(IF(BL56=0,0,INDEX(SUP_C3_EXPANSION!$I$20:$I$59,BL56))-IF(BK56=0,0,INDEX(SUP_C3_EXPANSION!$I$20:$I$59,BK56)))+1*SUP_OPEX!$F$20*(IF(BL56=0,0,INDEX(SUP_C3_EXPANSION!$J$20:$J$59,BL56))-IF(BK56=0,0,INDEX(SUP_C3_EXPANSION!$J$20:$J$59,BK56))))</f>
        <v>0</v>
      </c>
      <c r="BO66" s="1" t="n">
        <f aca="false">IF(BO56=BN56,0,2*SUP_OPEX!$D$20*(IF(BO56=0,0,INDEX(SUP_C3_EXPANSION!$H$20:$H$59,BO56))-IF(BN56=0,0,INDEX(SUP_C3_EXPANSION!$H$20:$H$59,BN56)))+2*SUP_OPEX!$E$20*(IF(BO56=0,0,INDEX(SUP_C3_EXPANSION!$I$20:$I$59,BO56))-IF(BN56=0,0,INDEX(SUP_C3_EXPANSION!$I$20:$I$59,BN56)))+2*SUP_OPEX!$F$20*(IF(BO56=0,0,INDEX(SUP_C3_EXPANSION!$J$20:$J$59,BO56))-IF(BN56=0,0,INDEX(SUP_C3_EXPANSION!$J$20:$J$59,BN56))))-IF(BN56=BM56,0,1*SUP_OPEX!$D$20*(IF(BN56=0,0,INDEX(SUP_C3_EXPANSION!$H$20:$H$59,BN56))-IF(BM56=0,0,INDEX(SUP_C3_EXPANSION!$H$20:$H$59,BM56)))+1*SUP_OPEX!$E$20*(IF(BN56=0,0,INDEX(SUP_C3_EXPANSION!$I$20:$I$59,BN56))-IF(BM56=0,0,INDEX(SUP_C3_EXPANSION!$I$20:$I$59,BM56)))+1*SUP_OPEX!$F$20*(IF(BN56=0,0,INDEX(SUP_C3_EXPANSION!$J$20:$J$59,BN56))-IF(BM56=0,0,INDEX(SUP_C3_EXPANSION!$J$20:$J$59,BM56))))-IF(BM56=BL56,0,1*SUP_OPEX!$D$20*(IF(BM56=0,0,INDEX(SUP_C3_EXPANSION!$H$20:$H$59,BM56))-IF(BL56=0,0,INDEX(SUP_C3_EXPANSION!$H$20:$H$59,BL56)))+1*SUP_OPEX!$E$20*(IF(BM56=0,0,INDEX(SUP_C3_EXPANSION!$I$20:$I$59,BM56))-IF(BL56=0,0,INDEX(SUP_C3_EXPANSION!$I$20:$I$59,BL56)))+1*SUP_OPEX!$F$20*(IF(BM56=0,0,INDEX(SUP_C3_EXPANSION!$J$20:$J$59,BM56))-IF(BL56=0,0,INDEX(SUP_C3_EXPANSION!$J$20:$J$59,BL56))))</f>
        <v>-4000</v>
      </c>
      <c r="BP66" s="1" t="n">
        <f aca="false">IF(BP56=BO56,0,2*SUP_OPEX!$D$20*(IF(BP56=0,0,INDEX(SUP_C3_EXPANSION!$H$20:$H$59,BP56))-IF(BO56=0,0,INDEX(SUP_C3_EXPANSION!$H$20:$H$59,BO56)))+2*SUP_OPEX!$E$20*(IF(BP56=0,0,INDEX(SUP_C3_EXPANSION!$I$20:$I$59,BP56))-IF(BO56=0,0,INDEX(SUP_C3_EXPANSION!$I$20:$I$59,BO56)))+2*SUP_OPEX!$F$20*(IF(BP56=0,0,INDEX(SUP_C3_EXPANSION!$J$20:$J$59,BP56))-IF(BO56=0,0,INDEX(SUP_C3_EXPANSION!$J$20:$J$59,BO56))))-IF(BO56=BN56,0,1*SUP_OPEX!$D$20*(IF(BO56=0,0,INDEX(SUP_C3_EXPANSION!$H$20:$H$59,BO56))-IF(BN56=0,0,INDEX(SUP_C3_EXPANSION!$H$20:$H$59,BN56)))+1*SUP_OPEX!$E$20*(IF(BO56=0,0,INDEX(SUP_C3_EXPANSION!$I$20:$I$59,BO56))-IF(BN56=0,0,INDEX(SUP_C3_EXPANSION!$I$20:$I$59,BN56)))+1*SUP_OPEX!$F$20*(IF(BO56=0,0,INDEX(SUP_C3_EXPANSION!$J$20:$J$59,BO56))-IF(BN56=0,0,INDEX(SUP_C3_EXPANSION!$J$20:$J$59,BN56))))-IF(BN56=BM56,0,1*SUP_OPEX!$D$20*(IF(BN56=0,0,INDEX(SUP_C3_EXPANSION!$H$20:$H$59,BN56))-IF(BM56=0,0,INDEX(SUP_C3_EXPANSION!$H$20:$H$59,BM56)))+1*SUP_OPEX!$E$20*(IF(BN56=0,0,INDEX(SUP_C3_EXPANSION!$I$20:$I$59,BN56))-IF(BM56=0,0,INDEX(SUP_C3_EXPANSION!$I$20:$I$59,BM56)))+1*SUP_OPEX!$F$20*(IF(BN56=0,0,INDEX(SUP_C3_EXPANSION!$J$20:$J$59,BN56))-IF(BM56=0,0,INDEX(SUP_C3_EXPANSION!$J$20:$J$59,BM56))))</f>
        <v>4400</v>
      </c>
      <c r="BQ66" s="1" t="n">
        <f aca="false">IF(BQ56=BP56,0,2*SUP_OPEX!$D$20*(IF(BQ56=0,0,INDEX(SUP_C3_EXPANSION!$H$20:$H$59,BQ56))-IF(BP56=0,0,INDEX(SUP_C3_EXPANSION!$H$20:$H$59,BP56)))+2*SUP_OPEX!$E$20*(IF(BQ56=0,0,INDEX(SUP_C3_EXPANSION!$I$20:$I$59,BQ56))-IF(BP56=0,0,INDEX(SUP_C3_EXPANSION!$I$20:$I$59,BP56)))+2*SUP_OPEX!$F$20*(IF(BQ56=0,0,INDEX(SUP_C3_EXPANSION!$J$20:$J$59,BQ56))-IF(BP56=0,0,INDEX(SUP_C3_EXPANSION!$J$20:$J$59,BP56))))-IF(BP56=BO56,0,1*SUP_OPEX!$D$20*(IF(BP56=0,0,INDEX(SUP_C3_EXPANSION!$H$20:$H$59,BP56))-IF(BO56=0,0,INDEX(SUP_C3_EXPANSION!$H$20:$H$59,BO56)))+1*SUP_OPEX!$E$20*(IF(BP56=0,0,INDEX(SUP_C3_EXPANSION!$I$20:$I$59,BP56))-IF(BO56=0,0,INDEX(SUP_C3_EXPANSION!$I$20:$I$59,BO56)))+1*SUP_OPEX!$F$20*(IF(BP56=0,0,INDEX(SUP_C3_EXPANSION!$J$20:$J$59,BP56))-IF(BO56=0,0,INDEX(SUP_C3_EXPANSION!$J$20:$J$59,BO56))))-IF(BO56=BN56,0,1*SUP_OPEX!$D$20*(IF(BO56=0,0,INDEX(SUP_C3_EXPANSION!$H$20:$H$59,BO56))-IF(BN56=0,0,INDEX(SUP_C3_EXPANSION!$H$20:$H$59,BN56)))+1*SUP_OPEX!$E$20*(IF(BO56=0,0,INDEX(SUP_C3_EXPANSION!$I$20:$I$59,BO56))-IF(BN56=0,0,INDEX(SUP_C3_EXPANSION!$I$20:$I$59,BN56)))+1*SUP_OPEX!$F$20*(IF(BO56=0,0,INDEX(SUP_C3_EXPANSION!$J$20:$J$59,BO56))-IF(BN56=0,0,INDEX(SUP_C3_EXPANSION!$J$20:$J$59,BN56))))</f>
        <v>800</v>
      </c>
      <c r="BR66" s="1" t="n">
        <f aca="false">IF(BR56=BQ56,0,2*SUP_OPEX!$D$20*(IF(BR56=0,0,INDEX(SUP_C3_EXPANSION!$H$20:$H$59,BR56))-IF(BQ56=0,0,INDEX(SUP_C3_EXPANSION!$H$20:$H$59,BQ56)))+2*SUP_OPEX!$E$20*(IF(BR56=0,0,INDEX(SUP_C3_EXPANSION!$I$20:$I$59,BR56))-IF(BQ56=0,0,INDEX(SUP_C3_EXPANSION!$I$20:$I$59,BQ56)))+2*SUP_OPEX!$F$20*(IF(BR56=0,0,INDEX(SUP_C3_EXPANSION!$J$20:$J$59,BR56))-IF(BQ56=0,0,INDEX(SUP_C3_EXPANSION!$J$20:$J$59,BQ56))))-IF(BQ56=BP56,0,1*SUP_OPEX!$D$20*(IF(BQ56=0,0,INDEX(SUP_C3_EXPANSION!$H$20:$H$59,BQ56))-IF(BP56=0,0,INDEX(SUP_C3_EXPANSION!$H$20:$H$59,BP56)))+1*SUP_OPEX!$E$20*(IF(BQ56=0,0,INDEX(SUP_C3_EXPANSION!$I$20:$I$59,BQ56))-IF(BP56=0,0,INDEX(SUP_C3_EXPANSION!$I$20:$I$59,BP56)))+1*SUP_OPEX!$F$20*(IF(BQ56=0,0,INDEX(SUP_C3_EXPANSION!$J$20:$J$59,BQ56))-IF(BP56=0,0,INDEX(SUP_C3_EXPANSION!$J$20:$J$59,BP56))))-IF(BP56=BO56,0,1*SUP_OPEX!$D$20*(IF(BP56=0,0,INDEX(SUP_C3_EXPANSION!$H$20:$H$59,BP56))-IF(BO56=0,0,INDEX(SUP_C3_EXPANSION!$H$20:$H$59,BO56)))+1*SUP_OPEX!$E$20*(IF(BP56=0,0,INDEX(SUP_C3_EXPANSION!$I$20:$I$59,BP56))-IF(BO56=0,0,INDEX(SUP_C3_EXPANSION!$I$20:$I$59,BO56)))+1*SUP_OPEX!$F$20*(IF(BP56=0,0,INDEX(SUP_C3_EXPANSION!$J$20:$J$59,BP56))-IF(BO56=0,0,INDEX(SUP_C3_EXPANSION!$J$20:$J$59,BO56))))</f>
        <v>-1200</v>
      </c>
      <c r="BS66" s="1" t="n">
        <f aca="false">IF(BS56=BR56,0,2*SUP_OPEX!$D$20*(IF(BS56=0,0,INDEX(SUP_C3_EXPANSION!$H$20:$H$59,BS56))-IF(BR56=0,0,INDEX(SUP_C3_EXPANSION!$H$20:$H$59,BR56)))+2*SUP_OPEX!$E$20*(IF(BS56=0,0,INDEX(SUP_C3_EXPANSION!$I$20:$I$59,BS56))-IF(BR56=0,0,INDEX(SUP_C3_EXPANSION!$I$20:$I$59,BR56)))+2*SUP_OPEX!$F$20*(IF(BS56=0,0,INDEX(SUP_C3_EXPANSION!$J$20:$J$59,BS56))-IF(BR56=0,0,INDEX(SUP_C3_EXPANSION!$J$20:$J$59,BR56))))-IF(BR56=BQ56,0,1*SUP_OPEX!$D$20*(IF(BR56=0,0,INDEX(SUP_C3_EXPANSION!$H$20:$H$59,BR56))-IF(BQ56=0,0,INDEX(SUP_C3_EXPANSION!$H$20:$H$59,BQ56)))+1*SUP_OPEX!$E$20*(IF(BR56=0,0,INDEX(SUP_C3_EXPANSION!$I$20:$I$59,BR56))-IF(BQ56=0,0,INDEX(SUP_C3_EXPANSION!$I$20:$I$59,BQ56)))+1*SUP_OPEX!$F$20*(IF(BR56=0,0,INDEX(SUP_C3_EXPANSION!$J$20:$J$59,BR56))-IF(BQ56=0,0,INDEX(SUP_C3_EXPANSION!$J$20:$J$59,BQ56))))-IF(BQ56=BP56,0,1*SUP_OPEX!$D$20*(IF(BQ56=0,0,INDEX(SUP_C3_EXPANSION!$H$20:$H$59,BQ56))-IF(BP56=0,0,INDEX(SUP_C3_EXPANSION!$H$20:$H$59,BP56)))+1*SUP_OPEX!$E$20*(IF(BQ56=0,0,INDEX(SUP_C3_EXPANSION!$I$20:$I$59,BQ56))-IF(BP56=0,0,INDEX(SUP_C3_EXPANSION!$I$20:$I$59,BP56)))+1*SUP_OPEX!$F$20*(IF(BQ56=0,0,INDEX(SUP_C3_EXPANSION!$J$20:$J$59,BQ56))-IF(BP56=0,0,INDEX(SUP_C3_EXPANSION!$J$20:$J$59,BP56))))</f>
        <v>0</v>
      </c>
      <c r="BT66" s="1" t="n">
        <f aca="false">IF(BT56=BS56,0,2*SUP_OPEX!$D$20*(IF(BT56=0,0,INDEX(SUP_C3_EXPANSION!$H$20:$H$59,BT56))-IF(BS56=0,0,INDEX(SUP_C3_EXPANSION!$H$20:$H$59,BS56)))+2*SUP_OPEX!$E$20*(IF(BT56=0,0,INDEX(SUP_C3_EXPANSION!$I$20:$I$59,BT56))-IF(BS56=0,0,INDEX(SUP_C3_EXPANSION!$I$20:$I$59,BS56)))+2*SUP_OPEX!$F$20*(IF(BT56=0,0,INDEX(SUP_C3_EXPANSION!$J$20:$J$59,BT56))-IF(BS56=0,0,INDEX(SUP_C3_EXPANSION!$J$20:$J$59,BS56))))-IF(BS56=BR56,0,1*SUP_OPEX!$D$20*(IF(BS56=0,0,INDEX(SUP_C3_EXPANSION!$H$20:$H$59,BS56))-IF(BR56=0,0,INDEX(SUP_C3_EXPANSION!$H$20:$H$59,BR56)))+1*SUP_OPEX!$E$20*(IF(BS56=0,0,INDEX(SUP_C3_EXPANSION!$I$20:$I$59,BS56))-IF(BR56=0,0,INDEX(SUP_C3_EXPANSION!$I$20:$I$59,BR56)))+1*SUP_OPEX!$F$20*(IF(BS56=0,0,INDEX(SUP_C3_EXPANSION!$J$20:$J$59,BS56))-IF(BR56=0,0,INDEX(SUP_C3_EXPANSION!$J$20:$J$59,BR56))))-IF(BR56=BQ56,0,1*SUP_OPEX!$D$20*(IF(BR56=0,0,INDEX(SUP_C3_EXPANSION!$H$20:$H$59,BR56))-IF(BQ56=0,0,INDEX(SUP_C3_EXPANSION!$H$20:$H$59,BQ56)))+1*SUP_OPEX!$E$20*(IF(BR56=0,0,INDEX(SUP_C3_EXPANSION!$I$20:$I$59,BR56))-IF(BQ56=0,0,INDEX(SUP_C3_EXPANSION!$I$20:$I$59,BQ56)))+1*SUP_OPEX!$F$20*(IF(BR56=0,0,INDEX(SUP_C3_EXPANSION!$J$20:$J$59,BR56))-IF(BQ56=0,0,INDEX(SUP_C3_EXPANSION!$J$20:$J$59,BQ56))))</f>
        <v>2400</v>
      </c>
      <c r="BU66" s="1" t="n">
        <f aca="false">IF(BU56=BT56,0,2*SUP_OPEX!$D$20*(IF(BU56=0,0,INDEX(SUP_C3_EXPANSION!$H$20:$H$59,BU56))-IF(BT56=0,0,INDEX(SUP_C3_EXPANSION!$H$20:$H$59,BT56)))+2*SUP_OPEX!$E$20*(IF(BU56=0,0,INDEX(SUP_C3_EXPANSION!$I$20:$I$59,BU56))-IF(BT56=0,0,INDEX(SUP_C3_EXPANSION!$I$20:$I$59,BT56)))+2*SUP_OPEX!$F$20*(IF(BU56=0,0,INDEX(SUP_C3_EXPANSION!$J$20:$J$59,BU56))-IF(BT56=0,0,INDEX(SUP_C3_EXPANSION!$J$20:$J$59,BT56))))-IF(BT56=BS56,0,1*SUP_OPEX!$D$20*(IF(BT56=0,0,INDEX(SUP_C3_EXPANSION!$H$20:$H$59,BT56))-IF(BS56=0,0,INDEX(SUP_C3_EXPANSION!$H$20:$H$59,BS56)))+1*SUP_OPEX!$E$20*(IF(BT56=0,0,INDEX(SUP_C3_EXPANSION!$I$20:$I$59,BT56))-IF(BS56=0,0,INDEX(SUP_C3_EXPANSION!$I$20:$I$59,BS56)))+1*SUP_OPEX!$F$20*(IF(BT56=0,0,INDEX(SUP_C3_EXPANSION!$J$20:$J$59,BT56))-IF(BS56=0,0,INDEX(SUP_C3_EXPANSION!$J$20:$J$59,BS56))))-IF(BS56=BR56,0,1*SUP_OPEX!$D$20*(IF(BS56=0,0,INDEX(SUP_C3_EXPANSION!$H$20:$H$59,BS56))-IF(BR56=0,0,INDEX(SUP_C3_EXPANSION!$H$20:$H$59,BR56)))+1*SUP_OPEX!$E$20*(IF(BS56=0,0,INDEX(SUP_C3_EXPANSION!$I$20:$I$59,BS56))-IF(BR56=0,0,INDEX(SUP_C3_EXPANSION!$I$20:$I$59,BR56)))+1*SUP_OPEX!$F$20*(IF(BS56=0,0,INDEX(SUP_C3_EXPANSION!$J$20:$J$59,BS56))-IF(BR56=0,0,INDEX(SUP_C3_EXPANSION!$J$20:$J$59,BR56))))</f>
        <v>-1200</v>
      </c>
      <c r="BV66" s="1" t="n">
        <f aca="false">IF(BV56=BU56,0,2*SUP_OPEX!$D$20*(IF(BV56=0,0,INDEX(SUP_C3_EXPANSION!$H$20:$H$59,BV56))-IF(BU56=0,0,INDEX(SUP_C3_EXPANSION!$H$20:$H$59,BU56)))+2*SUP_OPEX!$E$20*(IF(BV56=0,0,INDEX(SUP_C3_EXPANSION!$I$20:$I$59,BV56))-IF(BU56=0,0,INDEX(SUP_C3_EXPANSION!$I$20:$I$59,BU56)))+2*SUP_OPEX!$F$20*(IF(BV56=0,0,INDEX(SUP_C3_EXPANSION!$J$20:$J$59,BV56))-IF(BU56=0,0,INDEX(SUP_C3_EXPANSION!$J$20:$J$59,BU56))))-IF(BU56=BT56,0,1*SUP_OPEX!$D$20*(IF(BU56=0,0,INDEX(SUP_C3_EXPANSION!$H$20:$H$59,BU56))-IF(BT56=0,0,INDEX(SUP_C3_EXPANSION!$H$20:$H$59,BT56)))+1*SUP_OPEX!$E$20*(IF(BU56=0,0,INDEX(SUP_C3_EXPANSION!$I$20:$I$59,BU56))-IF(BT56=0,0,INDEX(SUP_C3_EXPANSION!$I$20:$I$59,BT56)))+1*SUP_OPEX!$F$20*(IF(BU56=0,0,INDEX(SUP_C3_EXPANSION!$J$20:$J$59,BU56))-IF(BT56=0,0,INDEX(SUP_C3_EXPANSION!$J$20:$J$59,BT56))))-IF(BT56=BS56,0,1*SUP_OPEX!$D$20*(IF(BT56=0,0,INDEX(SUP_C3_EXPANSION!$H$20:$H$59,BT56))-IF(BS56=0,0,INDEX(SUP_C3_EXPANSION!$H$20:$H$59,BS56)))+1*SUP_OPEX!$E$20*(IF(BT56=0,0,INDEX(SUP_C3_EXPANSION!$I$20:$I$59,BT56))-IF(BS56=0,0,INDEX(SUP_C3_EXPANSION!$I$20:$I$59,BS56)))+1*SUP_OPEX!$F$20*(IF(BT56=0,0,INDEX(SUP_C3_EXPANSION!$J$20:$J$59,BT56))-IF(BS56=0,0,INDEX(SUP_C3_EXPANSION!$J$20:$J$59,BS56))))</f>
        <v>-1200</v>
      </c>
      <c r="BW66" s="1" t="n">
        <f aca="false">IF(BW56=BV56,0,2*SUP_OPEX!$D$20*(IF(BW56=0,0,INDEX(SUP_C3_EXPANSION!$H$20:$H$59,BW56))-IF(BV56=0,0,INDEX(SUP_C3_EXPANSION!$H$20:$H$59,BV56)))+2*SUP_OPEX!$E$20*(IF(BW56=0,0,INDEX(SUP_C3_EXPANSION!$I$20:$I$59,BW56))-IF(BV56=0,0,INDEX(SUP_C3_EXPANSION!$I$20:$I$59,BV56)))+2*SUP_OPEX!$F$20*(IF(BW56=0,0,INDEX(SUP_C3_EXPANSION!$J$20:$J$59,BW56))-IF(BV56=0,0,INDEX(SUP_C3_EXPANSION!$J$20:$J$59,BV56))))-IF(BV56=BU56,0,1*SUP_OPEX!$D$20*(IF(BV56=0,0,INDEX(SUP_C3_EXPANSION!$H$20:$H$59,BV56))-IF(BU56=0,0,INDEX(SUP_C3_EXPANSION!$H$20:$H$59,BU56)))+1*SUP_OPEX!$E$20*(IF(BV56=0,0,INDEX(SUP_C3_EXPANSION!$I$20:$I$59,BV56))-IF(BU56=0,0,INDEX(SUP_C3_EXPANSION!$I$20:$I$59,BU56)))+1*SUP_OPEX!$F$20*(IF(BV56=0,0,INDEX(SUP_C3_EXPANSION!$J$20:$J$59,BV56))-IF(BU56=0,0,INDEX(SUP_C3_EXPANSION!$J$20:$J$59,BU56))))-IF(BU56=BT56,0,1*SUP_OPEX!$D$20*(IF(BU56=0,0,INDEX(SUP_C3_EXPANSION!$H$20:$H$59,BU56))-IF(BT56=0,0,INDEX(SUP_C3_EXPANSION!$H$20:$H$59,BT56)))+1*SUP_OPEX!$E$20*(IF(BU56=0,0,INDEX(SUP_C3_EXPANSION!$I$20:$I$59,BU56))-IF(BT56=0,0,INDEX(SUP_C3_EXPANSION!$I$20:$I$59,BT56)))+1*SUP_OPEX!$F$20*(IF(BU56=0,0,INDEX(SUP_C3_EXPANSION!$J$20:$J$59,BU56))-IF(BT56=0,0,INDEX(SUP_C3_EXPANSION!$J$20:$J$59,BT56))))</f>
        <v>0</v>
      </c>
      <c r="BX66" s="1" t="n">
        <f aca="false">IF(BX56=BW56,0,2*SUP_OPEX!$D$20*(IF(BX56=0,0,INDEX(SUP_C3_EXPANSION!$H$20:$H$59,BX56))-IF(BW56=0,0,INDEX(SUP_C3_EXPANSION!$H$20:$H$59,BW56)))+2*SUP_OPEX!$E$20*(IF(BX56=0,0,INDEX(SUP_C3_EXPANSION!$I$20:$I$59,BX56))-IF(BW56=0,0,INDEX(SUP_C3_EXPANSION!$I$20:$I$59,BW56)))+2*SUP_OPEX!$F$20*(IF(BX56=0,0,INDEX(SUP_C3_EXPANSION!$J$20:$J$59,BX56))-IF(BW56=0,0,INDEX(SUP_C3_EXPANSION!$J$20:$J$59,BW56))))-IF(BW56=BV56,0,1*SUP_OPEX!$D$20*(IF(BW56=0,0,INDEX(SUP_C3_EXPANSION!$H$20:$H$59,BW56))-IF(BV56=0,0,INDEX(SUP_C3_EXPANSION!$H$20:$H$59,BV56)))+1*SUP_OPEX!$E$20*(IF(BW56=0,0,INDEX(SUP_C3_EXPANSION!$I$20:$I$59,BW56))-IF(BV56=0,0,INDEX(SUP_C3_EXPANSION!$I$20:$I$59,BV56)))+1*SUP_OPEX!$F$20*(IF(BW56=0,0,INDEX(SUP_C3_EXPANSION!$J$20:$J$59,BW56))-IF(BV56=0,0,INDEX(SUP_C3_EXPANSION!$J$20:$J$59,BV56))))-IF(BV56=BU56,0,1*SUP_OPEX!$D$20*(IF(BV56=0,0,INDEX(SUP_C3_EXPANSION!$H$20:$H$59,BV56))-IF(BU56=0,0,INDEX(SUP_C3_EXPANSION!$H$20:$H$59,BU56)))+1*SUP_OPEX!$E$20*(IF(BV56=0,0,INDEX(SUP_C3_EXPANSION!$I$20:$I$59,BV56))-IF(BU56=0,0,INDEX(SUP_C3_EXPANSION!$I$20:$I$59,BU56)))+1*SUP_OPEX!$F$20*(IF(BV56=0,0,INDEX(SUP_C3_EXPANSION!$J$20:$J$59,BV56))-IF(BU56=0,0,INDEX(SUP_C3_EXPANSION!$J$20:$J$59,BU56))))</f>
        <v>2400</v>
      </c>
      <c r="BY66" s="1" t="n">
        <f aca="false">IF(BY56=BX56,0,2*SUP_OPEX!$D$20*(IF(BY56=0,0,INDEX(SUP_C3_EXPANSION!$H$20:$H$59,BY56))-IF(BX56=0,0,INDEX(SUP_C3_EXPANSION!$H$20:$H$59,BX56)))+2*SUP_OPEX!$E$20*(IF(BY56=0,0,INDEX(SUP_C3_EXPANSION!$I$20:$I$59,BY56))-IF(BX56=0,0,INDEX(SUP_C3_EXPANSION!$I$20:$I$59,BX56)))+2*SUP_OPEX!$F$20*(IF(BY56=0,0,INDEX(SUP_C3_EXPANSION!$J$20:$J$59,BY56))-IF(BX56=0,0,INDEX(SUP_C3_EXPANSION!$J$20:$J$59,BX56))))-IF(BX56=BW56,0,1*SUP_OPEX!$D$20*(IF(BX56=0,0,INDEX(SUP_C3_EXPANSION!$H$20:$H$59,BX56))-IF(BW56=0,0,INDEX(SUP_C3_EXPANSION!$H$20:$H$59,BW56)))+1*SUP_OPEX!$E$20*(IF(BX56=0,0,INDEX(SUP_C3_EXPANSION!$I$20:$I$59,BX56))-IF(BW56=0,0,INDEX(SUP_C3_EXPANSION!$I$20:$I$59,BW56)))+1*SUP_OPEX!$F$20*(IF(BX56=0,0,INDEX(SUP_C3_EXPANSION!$J$20:$J$59,BX56))-IF(BW56=0,0,INDEX(SUP_C3_EXPANSION!$J$20:$J$59,BW56))))-IF(BW56=BV56,0,1*SUP_OPEX!$D$20*(IF(BW56=0,0,INDEX(SUP_C3_EXPANSION!$H$20:$H$59,BW56))-IF(BV56=0,0,INDEX(SUP_C3_EXPANSION!$H$20:$H$59,BV56)))+1*SUP_OPEX!$E$20*(IF(BW56=0,0,INDEX(SUP_C3_EXPANSION!$I$20:$I$59,BW56))-IF(BV56=0,0,INDEX(SUP_C3_EXPANSION!$I$20:$I$59,BV56)))+1*SUP_OPEX!$F$20*(IF(BW56=0,0,INDEX(SUP_C3_EXPANSION!$J$20:$J$59,BW56))-IF(BV56=0,0,INDEX(SUP_C3_EXPANSION!$J$20:$J$59,BV56))))</f>
        <v>-5200</v>
      </c>
      <c r="BZ66" s="1" t="n">
        <f aca="false">IF(BZ56=BY56,0,2*SUP_OPEX!$D$20*(IF(BZ56=0,0,INDEX(SUP_C3_EXPANSION!$H$20:$H$59,BZ56))-IF(BY56=0,0,INDEX(SUP_C3_EXPANSION!$H$20:$H$59,BY56)))+2*SUP_OPEX!$E$20*(IF(BZ56=0,0,INDEX(SUP_C3_EXPANSION!$I$20:$I$59,BZ56))-IF(BY56=0,0,INDEX(SUP_C3_EXPANSION!$I$20:$I$59,BY56)))+2*SUP_OPEX!$F$20*(IF(BZ56=0,0,INDEX(SUP_C3_EXPANSION!$J$20:$J$59,BZ56))-IF(BY56=0,0,INDEX(SUP_C3_EXPANSION!$J$20:$J$59,BY56))))-IF(BY56=BX56,0,1*SUP_OPEX!$D$20*(IF(BY56=0,0,INDEX(SUP_C3_EXPANSION!$H$20:$H$59,BY56))-IF(BX56=0,0,INDEX(SUP_C3_EXPANSION!$H$20:$H$59,BX56)))+1*SUP_OPEX!$E$20*(IF(BY56=0,0,INDEX(SUP_C3_EXPANSION!$I$20:$I$59,BY56))-IF(BX56=0,0,INDEX(SUP_C3_EXPANSION!$I$20:$I$59,BX56)))+1*SUP_OPEX!$F$20*(IF(BY56=0,0,INDEX(SUP_C3_EXPANSION!$J$20:$J$59,BY56))-IF(BX56=0,0,INDEX(SUP_C3_EXPANSION!$J$20:$J$59,BX56))))-IF(BX56=BW56,0,1*SUP_OPEX!$D$20*(IF(BX56=0,0,INDEX(SUP_C3_EXPANSION!$H$20:$H$59,BX56))-IF(BW56=0,0,INDEX(SUP_C3_EXPANSION!$H$20:$H$59,BW56)))+1*SUP_OPEX!$E$20*(IF(BX56=0,0,INDEX(SUP_C3_EXPANSION!$I$20:$I$59,BX56))-IF(BW56=0,0,INDEX(SUP_C3_EXPANSION!$I$20:$I$59,BW56)))+1*SUP_OPEX!$F$20*(IF(BX56=0,0,INDEX(SUP_C3_EXPANSION!$J$20:$J$59,BX56))-IF(BW56=0,0,INDEX(SUP_C3_EXPANSION!$J$20:$J$59,BW56))))</f>
        <v>16800</v>
      </c>
      <c r="CA66" s="1" t="n">
        <f aca="false">IF(CA56=BZ56,0,2*SUP_OPEX!$D$20*(IF(CA56=0,0,INDEX(SUP_C3_EXPANSION!$H$20:$H$59,CA56))-IF(BZ56=0,0,INDEX(SUP_C3_EXPANSION!$H$20:$H$59,BZ56)))+2*SUP_OPEX!$E$20*(IF(CA56=0,0,INDEX(SUP_C3_EXPANSION!$I$20:$I$59,CA56))-IF(BZ56=0,0,INDEX(SUP_C3_EXPANSION!$I$20:$I$59,BZ56)))+2*SUP_OPEX!$F$20*(IF(CA56=0,0,INDEX(SUP_C3_EXPANSION!$J$20:$J$59,CA56))-IF(BZ56=0,0,INDEX(SUP_C3_EXPANSION!$J$20:$J$59,BZ56))))-IF(BZ56=BY56,0,1*SUP_OPEX!$D$20*(IF(BZ56=0,0,INDEX(SUP_C3_EXPANSION!$H$20:$H$59,BZ56))-IF(BY56=0,0,INDEX(SUP_C3_EXPANSION!$H$20:$H$59,BY56)))+1*SUP_OPEX!$E$20*(IF(BZ56=0,0,INDEX(SUP_C3_EXPANSION!$I$20:$I$59,BZ56))-IF(BY56=0,0,INDEX(SUP_C3_EXPANSION!$I$20:$I$59,BY56)))+1*SUP_OPEX!$F$20*(IF(BZ56=0,0,INDEX(SUP_C3_EXPANSION!$J$20:$J$59,BZ56))-IF(BY56=0,0,INDEX(SUP_C3_EXPANSION!$J$20:$J$59,BY56))))-IF(BY56=BX56,0,1*SUP_OPEX!$D$20*(IF(BY56=0,0,INDEX(SUP_C3_EXPANSION!$H$20:$H$59,BY56))-IF(BX56=0,0,INDEX(SUP_C3_EXPANSION!$H$20:$H$59,BX56)))+1*SUP_OPEX!$E$20*(IF(BY56=0,0,INDEX(SUP_C3_EXPANSION!$I$20:$I$59,BY56))-IF(BX56=0,0,INDEX(SUP_C3_EXPANSION!$I$20:$I$59,BX56)))+1*SUP_OPEX!$F$20*(IF(BY56=0,0,INDEX(SUP_C3_EXPANSION!$J$20:$J$59,BY56))-IF(BX56=0,0,INDEX(SUP_C3_EXPANSION!$J$20:$J$59,BX56))))</f>
        <v>-6000</v>
      </c>
      <c r="CB66" s="1" t="n">
        <f aca="false">IF(CB56=CA56,0,2*SUP_OPEX!$D$20*(IF(CB56=0,0,INDEX(SUP_C3_EXPANSION!$H$20:$H$59,CB56))-IF(CA56=0,0,INDEX(SUP_C3_EXPANSION!$H$20:$H$59,CA56)))+2*SUP_OPEX!$E$20*(IF(CB56=0,0,INDEX(SUP_C3_EXPANSION!$I$20:$I$59,CB56))-IF(CA56=0,0,INDEX(SUP_C3_EXPANSION!$I$20:$I$59,CA56)))+2*SUP_OPEX!$F$20*(IF(CB56=0,0,INDEX(SUP_C3_EXPANSION!$J$20:$J$59,CB56))-IF(CA56=0,0,INDEX(SUP_C3_EXPANSION!$J$20:$J$59,CA56))))-IF(CA56=BZ56,0,1*SUP_OPEX!$D$20*(IF(CA56=0,0,INDEX(SUP_C3_EXPANSION!$H$20:$H$59,CA56))-IF(BZ56=0,0,INDEX(SUP_C3_EXPANSION!$H$20:$H$59,BZ56)))+1*SUP_OPEX!$E$20*(IF(CA56=0,0,INDEX(SUP_C3_EXPANSION!$I$20:$I$59,CA56))-IF(BZ56=0,0,INDEX(SUP_C3_EXPANSION!$I$20:$I$59,BZ56)))+1*SUP_OPEX!$F$20*(IF(CA56=0,0,INDEX(SUP_C3_EXPANSION!$J$20:$J$59,CA56))-IF(BZ56=0,0,INDEX(SUP_C3_EXPANSION!$J$20:$J$59,BZ56))))-IF(BZ56=BY56,0,1*SUP_OPEX!$D$20*(IF(BZ56=0,0,INDEX(SUP_C3_EXPANSION!$H$20:$H$59,BZ56))-IF(BY56=0,0,INDEX(SUP_C3_EXPANSION!$H$20:$H$59,BY56)))+1*SUP_OPEX!$E$20*(IF(BZ56=0,0,INDEX(SUP_C3_EXPANSION!$I$20:$I$59,BZ56))-IF(BY56=0,0,INDEX(SUP_C3_EXPANSION!$I$20:$I$59,BY56)))+1*SUP_OPEX!$F$20*(IF(BZ56=0,0,INDEX(SUP_C3_EXPANSION!$J$20:$J$59,BZ56))-IF(BY56=0,0,INDEX(SUP_C3_EXPANSION!$J$20:$J$59,BY56))))</f>
        <v>-8000</v>
      </c>
      <c r="CC66" s="1" t="n">
        <f aca="false">IF(CC56=CB56,0,2*SUP_OPEX!$D$20*(IF(CC56=0,0,INDEX(SUP_C3_EXPANSION!$H$20:$H$59,CC56))-IF(CB56=0,0,INDEX(SUP_C3_EXPANSION!$H$20:$H$59,CB56)))+2*SUP_OPEX!$E$20*(IF(CC56=0,0,INDEX(SUP_C3_EXPANSION!$I$20:$I$59,CC56))-IF(CB56=0,0,INDEX(SUP_C3_EXPANSION!$I$20:$I$59,CB56)))+2*SUP_OPEX!$F$20*(IF(CC56=0,0,INDEX(SUP_C3_EXPANSION!$J$20:$J$59,CC56))-IF(CB56=0,0,INDEX(SUP_C3_EXPANSION!$J$20:$J$59,CB56))))-IF(CB56=CA56,0,1*SUP_OPEX!$D$20*(IF(CB56=0,0,INDEX(SUP_C3_EXPANSION!$H$20:$H$59,CB56))-IF(CA56=0,0,INDEX(SUP_C3_EXPANSION!$H$20:$H$59,CA56)))+1*SUP_OPEX!$E$20*(IF(CB56=0,0,INDEX(SUP_C3_EXPANSION!$I$20:$I$59,CB56))-IF(CA56=0,0,INDEX(SUP_C3_EXPANSION!$I$20:$I$59,CA56)))+1*SUP_OPEX!$F$20*(IF(CB56=0,0,INDEX(SUP_C3_EXPANSION!$J$20:$J$59,CB56))-IF(CA56=0,0,INDEX(SUP_C3_EXPANSION!$J$20:$J$59,CA56))))-IF(CA56=BZ56,0,1*SUP_OPEX!$D$20*(IF(CA56=0,0,INDEX(SUP_C3_EXPANSION!$H$20:$H$59,CA56))-IF(BZ56=0,0,INDEX(SUP_C3_EXPANSION!$H$20:$H$59,BZ56)))+1*SUP_OPEX!$E$20*(IF(CA56=0,0,INDEX(SUP_C3_EXPANSION!$I$20:$I$59,CA56))-IF(BZ56=0,0,INDEX(SUP_C3_EXPANSION!$I$20:$I$59,BZ56)))+1*SUP_OPEX!$F$20*(IF(CA56=0,0,INDEX(SUP_C3_EXPANSION!$J$20:$J$59,CA56))-IF(BZ56=0,0,INDEX(SUP_C3_EXPANSION!$J$20:$J$59,BZ56))))</f>
        <v>0</v>
      </c>
      <c r="CD66" s="1" t="n">
        <f aca="false">IF(CD56=CC56,0,2*SUP_OPEX!$D$20*(IF(CD56=0,0,INDEX(SUP_C3_EXPANSION!$H$20:$H$59,CD56))-IF(CC56=0,0,INDEX(SUP_C3_EXPANSION!$H$20:$H$59,CC56)))+2*SUP_OPEX!$E$20*(IF(CD56=0,0,INDEX(SUP_C3_EXPANSION!$I$20:$I$59,CD56))-IF(CC56=0,0,INDEX(SUP_C3_EXPANSION!$I$20:$I$59,CC56)))+2*SUP_OPEX!$F$20*(IF(CD56=0,0,INDEX(SUP_C3_EXPANSION!$J$20:$J$59,CD56))-IF(CC56=0,0,INDEX(SUP_C3_EXPANSION!$J$20:$J$59,CC56))))-IF(CC56=CB56,0,1*SUP_OPEX!$D$20*(IF(CC56=0,0,INDEX(SUP_C3_EXPANSION!$H$20:$H$59,CC56))-IF(CB56=0,0,INDEX(SUP_C3_EXPANSION!$H$20:$H$59,CB56)))+1*SUP_OPEX!$E$20*(IF(CC56=0,0,INDEX(SUP_C3_EXPANSION!$I$20:$I$59,CC56))-IF(CB56=0,0,INDEX(SUP_C3_EXPANSION!$I$20:$I$59,CB56)))+1*SUP_OPEX!$F$20*(IF(CC56=0,0,INDEX(SUP_C3_EXPANSION!$J$20:$J$59,CC56))-IF(CB56=0,0,INDEX(SUP_C3_EXPANSION!$J$20:$J$59,CB56))))-IF(CB56=CA56,0,1*SUP_OPEX!$D$20*(IF(CB56=0,0,INDEX(SUP_C3_EXPANSION!$H$20:$H$59,CB56))-IF(CA56=0,0,INDEX(SUP_C3_EXPANSION!$H$20:$H$59,CA56)))+1*SUP_OPEX!$E$20*(IF(CB56=0,0,INDEX(SUP_C3_EXPANSION!$I$20:$I$59,CB56))-IF(CA56=0,0,INDEX(SUP_C3_EXPANSION!$I$20:$I$59,CA56)))+1*SUP_OPEX!$F$20*(IF(CB56=0,0,INDEX(SUP_C3_EXPANSION!$J$20:$J$59,CB56))-IF(CA56=0,0,INDEX(SUP_C3_EXPANSION!$J$20:$J$59,CA56))))</f>
        <v>2400</v>
      </c>
      <c r="CE66" s="1" t="n">
        <f aca="false">IF(CE56=CD56,0,2*SUP_OPEX!$D$20*(IF(CE56=0,0,INDEX(SUP_C3_EXPANSION!$H$20:$H$59,CE56))-IF(CD56=0,0,INDEX(SUP_C3_EXPANSION!$H$20:$H$59,CD56)))+2*SUP_OPEX!$E$20*(IF(CE56=0,0,INDEX(SUP_C3_EXPANSION!$I$20:$I$59,CE56))-IF(CD56=0,0,INDEX(SUP_C3_EXPANSION!$I$20:$I$59,CD56)))+2*SUP_OPEX!$F$20*(IF(CE56=0,0,INDEX(SUP_C3_EXPANSION!$J$20:$J$59,CE56))-IF(CD56=0,0,INDEX(SUP_C3_EXPANSION!$J$20:$J$59,CD56))))-IF(CD56=CC56,0,1*SUP_OPEX!$D$20*(IF(CD56=0,0,INDEX(SUP_C3_EXPANSION!$H$20:$H$59,CD56))-IF(CC56=0,0,INDEX(SUP_C3_EXPANSION!$H$20:$H$59,CC56)))+1*SUP_OPEX!$E$20*(IF(CD56=0,0,INDEX(SUP_C3_EXPANSION!$I$20:$I$59,CD56))-IF(CC56=0,0,INDEX(SUP_C3_EXPANSION!$I$20:$I$59,CC56)))+1*SUP_OPEX!$F$20*(IF(CD56=0,0,INDEX(SUP_C3_EXPANSION!$J$20:$J$59,CD56))-IF(CC56=0,0,INDEX(SUP_C3_EXPANSION!$J$20:$J$59,CC56))))-IF(CC56=CB56,0,1*SUP_OPEX!$D$20*(IF(CC56=0,0,INDEX(SUP_C3_EXPANSION!$H$20:$H$59,CC56))-IF(CB56=0,0,INDEX(SUP_C3_EXPANSION!$H$20:$H$59,CB56)))+1*SUP_OPEX!$E$20*(IF(CC56=0,0,INDEX(SUP_C3_EXPANSION!$I$20:$I$59,CC56))-IF(CB56=0,0,INDEX(SUP_C3_EXPANSION!$I$20:$I$59,CB56)))+1*SUP_OPEX!$F$20*(IF(CC56=0,0,INDEX(SUP_C3_EXPANSION!$J$20:$J$59,CC56))-IF(CB56=0,0,INDEX(SUP_C3_EXPANSION!$J$20:$J$59,CB56))))</f>
        <v>-1200</v>
      </c>
      <c r="CF66" s="1" t="n">
        <f aca="false">IF(CF56=CE56,0,2*SUP_OPEX!$D$20*(IF(CF56=0,0,INDEX(SUP_C3_EXPANSION!$H$20:$H$59,CF56))-IF(CE56=0,0,INDEX(SUP_C3_EXPANSION!$H$20:$H$59,CE56)))+2*SUP_OPEX!$E$20*(IF(CF56=0,0,INDEX(SUP_C3_EXPANSION!$I$20:$I$59,CF56))-IF(CE56=0,0,INDEX(SUP_C3_EXPANSION!$I$20:$I$59,CE56)))+2*SUP_OPEX!$F$20*(IF(CF56=0,0,INDEX(SUP_C3_EXPANSION!$J$20:$J$59,CF56))-IF(CE56=0,0,INDEX(SUP_C3_EXPANSION!$J$20:$J$59,CE56))))-IF(CE56=CD56,0,1*SUP_OPEX!$D$20*(IF(CE56=0,0,INDEX(SUP_C3_EXPANSION!$H$20:$H$59,CE56))-IF(CD56=0,0,INDEX(SUP_C3_EXPANSION!$H$20:$H$59,CD56)))+1*SUP_OPEX!$E$20*(IF(CE56=0,0,INDEX(SUP_C3_EXPANSION!$I$20:$I$59,CE56))-IF(CD56=0,0,INDEX(SUP_C3_EXPANSION!$I$20:$I$59,CD56)))+1*SUP_OPEX!$F$20*(IF(CE56=0,0,INDEX(SUP_C3_EXPANSION!$J$20:$J$59,CE56))-IF(CD56=0,0,INDEX(SUP_C3_EXPANSION!$J$20:$J$59,CD56))))-IF(CD56=CC56,0,1*SUP_OPEX!$D$20*(IF(CD56=0,0,INDEX(SUP_C3_EXPANSION!$H$20:$H$59,CD56))-IF(CC56=0,0,INDEX(SUP_C3_EXPANSION!$H$20:$H$59,CC56)))+1*SUP_OPEX!$E$20*(IF(CD56=0,0,INDEX(SUP_C3_EXPANSION!$I$20:$I$59,CD56))-IF(CC56=0,0,INDEX(SUP_C3_EXPANSION!$I$20:$I$59,CC56)))+1*SUP_OPEX!$F$20*(IF(CD56=0,0,INDEX(SUP_C3_EXPANSION!$J$20:$J$59,CD56))-IF(CC56=0,0,INDEX(SUP_C3_EXPANSION!$J$20:$J$59,CC56))))</f>
        <v>-1200</v>
      </c>
      <c r="CG66" s="1" t="n">
        <f aca="false">IF(CG56=CF56,0,2*SUP_OPEX!$D$20*(IF(CG56=0,0,INDEX(SUP_C3_EXPANSION!$H$20:$H$59,CG56))-IF(CF56=0,0,INDEX(SUP_C3_EXPANSION!$H$20:$H$59,CF56)))+2*SUP_OPEX!$E$20*(IF(CG56=0,0,INDEX(SUP_C3_EXPANSION!$I$20:$I$59,CG56))-IF(CF56=0,0,INDEX(SUP_C3_EXPANSION!$I$20:$I$59,CF56)))+2*SUP_OPEX!$F$20*(IF(CG56=0,0,INDEX(SUP_C3_EXPANSION!$J$20:$J$59,CG56))-IF(CF56=0,0,INDEX(SUP_C3_EXPANSION!$J$20:$J$59,CF56))))-IF(CF56=CE56,0,1*SUP_OPEX!$D$20*(IF(CF56=0,0,INDEX(SUP_C3_EXPANSION!$H$20:$H$59,CF56))-IF(CE56=0,0,INDEX(SUP_C3_EXPANSION!$H$20:$H$59,CE56)))+1*SUP_OPEX!$E$20*(IF(CF56=0,0,INDEX(SUP_C3_EXPANSION!$I$20:$I$59,CF56))-IF(CE56=0,0,INDEX(SUP_C3_EXPANSION!$I$20:$I$59,CE56)))+1*SUP_OPEX!$F$20*(IF(CF56=0,0,INDEX(SUP_C3_EXPANSION!$J$20:$J$59,CF56))-IF(CE56=0,0,INDEX(SUP_C3_EXPANSION!$J$20:$J$59,CE56))))-IF(CE56=CD56,0,1*SUP_OPEX!$D$20*(IF(CE56=0,0,INDEX(SUP_C3_EXPANSION!$H$20:$H$59,CE56))-IF(CD56=0,0,INDEX(SUP_C3_EXPANSION!$H$20:$H$59,CD56)))+1*SUP_OPEX!$E$20*(IF(CE56=0,0,INDEX(SUP_C3_EXPANSION!$I$20:$I$59,CE56))-IF(CD56=0,0,INDEX(SUP_C3_EXPANSION!$I$20:$I$59,CD56)))+1*SUP_OPEX!$F$20*(IF(CE56=0,0,INDEX(SUP_C3_EXPANSION!$J$20:$J$59,CE56))-IF(CD56=0,0,INDEX(SUP_C3_EXPANSION!$J$20:$J$59,CD56))))</f>
        <v>0</v>
      </c>
      <c r="CH66" s="1" t="n">
        <f aca="false">IF(CH56=CG56,0,2*SUP_OPEX!$D$20*(IF(CH56=0,0,INDEX(SUP_C3_EXPANSION!$H$20:$H$59,CH56))-IF(CG56=0,0,INDEX(SUP_C3_EXPANSION!$H$20:$H$59,CG56)))+2*SUP_OPEX!$E$20*(IF(CH56=0,0,INDEX(SUP_C3_EXPANSION!$I$20:$I$59,CH56))-IF(CG56=0,0,INDEX(SUP_C3_EXPANSION!$I$20:$I$59,CG56)))+2*SUP_OPEX!$F$20*(IF(CH56=0,0,INDEX(SUP_C3_EXPANSION!$J$20:$J$59,CH56))-IF(CG56=0,0,INDEX(SUP_C3_EXPANSION!$J$20:$J$59,CG56))))-IF(CG56=CF56,0,1*SUP_OPEX!$D$20*(IF(CG56=0,0,INDEX(SUP_C3_EXPANSION!$H$20:$H$59,CG56))-IF(CF56=0,0,INDEX(SUP_C3_EXPANSION!$H$20:$H$59,CF56)))+1*SUP_OPEX!$E$20*(IF(CG56=0,0,INDEX(SUP_C3_EXPANSION!$I$20:$I$59,CG56))-IF(CF56=0,0,INDEX(SUP_C3_EXPANSION!$I$20:$I$59,CF56)))+1*SUP_OPEX!$F$20*(IF(CG56=0,0,INDEX(SUP_C3_EXPANSION!$J$20:$J$59,CG56))-IF(CF56=0,0,INDEX(SUP_C3_EXPANSION!$J$20:$J$59,CF56))))-IF(CF56=CE56,0,1*SUP_OPEX!$D$20*(IF(CF56=0,0,INDEX(SUP_C3_EXPANSION!$H$20:$H$59,CF56))-IF(CE56=0,0,INDEX(SUP_C3_EXPANSION!$H$20:$H$59,CE56)))+1*SUP_OPEX!$E$20*(IF(CF56=0,0,INDEX(SUP_C3_EXPANSION!$I$20:$I$59,CF56))-IF(CE56=0,0,INDEX(SUP_C3_EXPANSION!$I$20:$I$59,CE56)))+1*SUP_OPEX!$F$20*(IF(CF56=0,0,INDEX(SUP_C3_EXPANSION!$J$20:$J$59,CF56))-IF(CE56=0,0,INDEX(SUP_C3_EXPANSION!$J$20:$J$59,CE56))))</f>
        <v>2400</v>
      </c>
      <c r="CI66" s="1" t="n">
        <f aca="false">IF(CI56=CH56,0,2*SUP_OPEX!$D$20*(IF(CI56=0,0,INDEX(SUP_C3_EXPANSION!$H$20:$H$59,CI56))-IF(CH56=0,0,INDEX(SUP_C3_EXPANSION!$H$20:$H$59,CH56)))+2*SUP_OPEX!$E$20*(IF(CI56=0,0,INDEX(SUP_C3_EXPANSION!$I$20:$I$59,CI56))-IF(CH56=0,0,INDEX(SUP_C3_EXPANSION!$I$20:$I$59,CH56)))+2*SUP_OPEX!$F$20*(IF(CI56=0,0,INDEX(SUP_C3_EXPANSION!$J$20:$J$59,CI56))-IF(CH56=0,0,INDEX(SUP_C3_EXPANSION!$J$20:$J$59,CH56))))-IF(CH56=CG56,0,1*SUP_OPEX!$D$20*(IF(CH56=0,0,INDEX(SUP_C3_EXPANSION!$H$20:$H$59,CH56))-IF(CG56=0,0,INDEX(SUP_C3_EXPANSION!$H$20:$H$59,CG56)))+1*SUP_OPEX!$E$20*(IF(CH56=0,0,INDEX(SUP_C3_EXPANSION!$I$20:$I$59,CH56))-IF(CG56=0,0,INDEX(SUP_C3_EXPANSION!$I$20:$I$59,CG56)))+1*SUP_OPEX!$F$20*(IF(CH56=0,0,INDEX(SUP_C3_EXPANSION!$J$20:$J$59,CH56))-IF(CG56=0,0,INDEX(SUP_C3_EXPANSION!$J$20:$J$59,CG56))))-IF(CG56=CF56,0,1*SUP_OPEX!$D$20*(IF(CG56=0,0,INDEX(SUP_C3_EXPANSION!$H$20:$H$59,CG56))-IF(CF56=0,0,INDEX(SUP_C3_EXPANSION!$H$20:$H$59,CF56)))+1*SUP_OPEX!$E$20*(IF(CG56=0,0,INDEX(SUP_C3_EXPANSION!$I$20:$I$59,CG56))-IF(CF56=0,0,INDEX(SUP_C3_EXPANSION!$I$20:$I$59,CF56)))+1*SUP_OPEX!$F$20*(IF(CG56=0,0,INDEX(SUP_C3_EXPANSION!$J$20:$J$59,CG56))-IF(CF56=0,0,INDEX(SUP_C3_EXPANSION!$J$20:$J$59,CF56))))</f>
        <v>-1200</v>
      </c>
      <c r="CJ66" s="1" t="n">
        <f aca="false">IF(CJ56=CI56,0,2*SUP_OPEX!$D$20*(IF(CJ56=0,0,INDEX(SUP_C3_EXPANSION!$H$20:$H$59,CJ56))-IF(CI56=0,0,INDEX(SUP_C3_EXPANSION!$H$20:$H$59,CI56)))+2*SUP_OPEX!$E$20*(IF(CJ56=0,0,INDEX(SUP_C3_EXPANSION!$I$20:$I$59,CJ56))-IF(CI56=0,0,INDEX(SUP_C3_EXPANSION!$I$20:$I$59,CI56)))+2*SUP_OPEX!$F$20*(IF(CJ56=0,0,INDEX(SUP_C3_EXPANSION!$J$20:$J$59,CJ56))-IF(CI56=0,0,INDEX(SUP_C3_EXPANSION!$J$20:$J$59,CI56))))-IF(CI56=CH56,0,1*SUP_OPEX!$D$20*(IF(CI56=0,0,INDEX(SUP_C3_EXPANSION!$H$20:$H$59,CI56))-IF(CH56=0,0,INDEX(SUP_C3_EXPANSION!$H$20:$H$59,CH56)))+1*SUP_OPEX!$E$20*(IF(CI56=0,0,INDEX(SUP_C3_EXPANSION!$I$20:$I$59,CI56))-IF(CH56=0,0,INDEX(SUP_C3_EXPANSION!$I$20:$I$59,CH56)))+1*SUP_OPEX!$F$20*(IF(CI56=0,0,INDEX(SUP_C3_EXPANSION!$J$20:$J$59,CI56))-IF(CH56=0,0,INDEX(SUP_C3_EXPANSION!$J$20:$J$59,CH56))))-IF(CH56=CG56,0,1*SUP_OPEX!$D$20*(IF(CH56=0,0,INDEX(SUP_C3_EXPANSION!$H$20:$H$59,CH56))-IF(CG56=0,0,INDEX(SUP_C3_EXPANSION!$H$20:$H$59,CG56)))+1*SUP_OPEX!$E$20*(IF(CH56=0,0,INDEX(SUP_C3_EXPANSION!$I$20:$I$59,CH56))-IF(CG56=0,0,INDEX(SUP_C3_EXPANSION!$I$20:$I$59,CG56)))+1*SUP_OPEX!$F$20*(IF(CH56=0,0,INDEX(SUP_C3_EXPANSION!$J$20:$J$59,CH56))-IF(CG56=0,0,INDEX(SUP_C3_EXPANSION!$J$20:$J$59,CG56))))</f>
        <v>-1200</v>
      </c>
      <c r="CK66" s="1" t="n">
        <f aca="false">IF(CK56=CJ56,0,2*SUP_OPEX!$D$20*(IF(CK56=0,0,INDEX(SUP_C3_EXPANSION!$H$20:$H$59,CK56))-IF(CJ56=0,0,INDEX(SUP_C3_EXPANSION!$H$20:$H$59,CJ56)))+2*SUP_OPEX!$E$20*(IF(CK56=0,0,INDEX(SUP_C3_EXPANSION!$I$20:$I$59,CK56))-IF(CJ56=0,0,INDEX(SUP_C3_EXPANSION!$I$20:$I$59,CJ56)))+2*SUP_OPEX!$F$20*(IF(CK56=0,0,INDEX(SUP_C3_EXPANSION!$J$20:$J$59,CK56))-IF(CJ56=0,0,INDEX(SUP_C3_EXPANSION!$J$20:$J$59,CJ56))))-IF(CJ56=CI56,0,1*SUP_OPEX!$D$20*(IF(CJ56=0,0,INDEX(SUP_C3_EXPANSION!$H$20:$H$59,CJ56))-IF(CI56=0,0,INDEX(SUP_C3_EXPANSION!$H$20:$H$59,CI56)))+1*SUP_OPEX!$E$20*(IF(CJ56=0,0,INDEX(SUP_C3_EXPANSION!$I$20:$I$59,CJ56))-IF(CI56=0,0,INDEX(SUP_C3_EXPANSION!$I$20:$I$59,CI56)))+1*SUP_OPEX!$F$20*(IF(CJ56=0,0,INDEX(SUP_C3_EXPANSION!$J$20:$J$59,CJ56))-IF(CI56=0,0,INDEX(SUP_C3_EXPANSION!$J$20:$J$59,CI56))))-IF(CI56=CH56,0,1*SUP_OPEX!$D$20*(IF(CI56=0,0,INDEX(SUP_C3_EXPANSION!$H$20:$H$59,CI56))-IF(CH56=0,0,INDEX(SUP_C3_EXPANSION!$H$20:$H$59,CH56)))+1*SUP_OPEX!$E$20*(IF(CI56=0,0,INDEX(SUP_C3_EXPANSION!$I$20:$I$59,CI56))-IF(CH56=0,0,INDEX(SUP_C3_EXPANSION!$I$20:$I$59,CH56)))+1*SUP_OPEX!$F$20*(IF(CI56=0,0,INDEX(SUP_C3_EXPANSION!$J$20:$J$59,CI56))-IF(CH56=0,0,INDEX(SUP_C3_EXPANSION!$J$20:$J$59,CH56))))</f>
        <v>-4000</v>
      </c>
      <c r="CL66" s="1" t="n">
        <f aca="false">IF(CL56=CK56,0,2*SUP_OPEX!$D$20*(IF(CL56=0,0,INDEX(SUP_C3_EXPANSION!$H$20:$H$59,CL56))-IF(CK56=0,0,INDEX(SUP_C3_EXPANSION!$H$20:$H$59,CK56)))+2*SUP_OPEX!$E$20*(IF(CL56=0,0,INDEX(SUP_C3_EXPANSION!$I$20:$I$59,CL56))-IF(CK56=0,0,INDEX(SUP_C3_EXPANSION!$I$20:$I$59,CK56)))+2*SUP_OPEX!$F$20*(IF(CL56=0,0,INDEX(SUP_C3_EXPANSION!$J$20:$J$59,CL56))-IF(CK56=0,0,INDEX(SUP_C3_EXPANSION!$J$20:$J$59,CK56))))-IF(CK56=CJ56,0,1*SUP_OPEX!$D$20*(IF(CK56=0,0,INDEX(SUP_C3_EXPANSION!$H$20:$H$59,CK56))-IF(CJ56=0,0,INDEX(SUP_C3_EXPANSION!$H$20:$H$59,CJ56)))+1*SUP_OPEX!$E$20*(IF(CK56=0,0,INDEX(SUP_C3_EXPANSION!$I$20:$I$59,CK56))-IF(CJ56=0,0,INDEX(SUP_C3_EXPANSION!$I$20:$I$59,CJ56)))+1*SUP_OPEX!$F$20*(IF(CK56=0,0,INDEX(SUP_C3_EXPANSION!$J$20:$J$59,CK56))-IF(CJ56=0,0,INDEX(SUP_C3_EXPANSION!$J$20:$J$59,CJ56))))-IF(CJ56=CI56,0,1*SUP_OPEX!$D$20*(IF(CJ56=0,0,INDEX(SUP_C3_EXPANSION!$H$20:$H$59,CJ56))-IF(CI56=0,0,INDEX(SUP_C3_EXPANSION!$H$20:$H$59,CI56)))+1*SUP_OPEX!$E$20*(IF(CJ56=0,0,INDEX(SUP_C3_EXPANSION!$I$20:$I$59,CJ56))-IF(CI56=0,0,INDEX(SUP_C3_EXPANSION!$I$20:$I$59,CI56)))+1*SUP_OPEX!$F$20*(IF(CJ56=0,0,INDEX(SUP_C3_EXPANSION!$J$20:$J$59,CJ56))-IF(CI56=0,0,INDEX(SUP_C3_EXPANSION!$J$20:$J$59,CI56))))</f>
        <v>-2000</v>
      </c>
      <c r="CM66" s="1" t="n">
        <f aca="false">IF(CM56=CL56,0,2*SUP_OPEX!$D$20*(IF(CM56=0,0,INDEX(SUP_C3_EXPANSION!$H$20:$H$59,CM56))-IF(CL56=0,0,INDEX(SUP_C3_EXPANSION!$H$20:$H$59,CL56)))+2*SUP_OPEX!$E$20*(IF(CM56=0,0,INDEX(SUP_C3_EXPANSION!$I$20:$I$59,CM56))-IF(CL56=0,0,INDEX(SUP_C3_EXPANSION!$I$20:$I$59,CL56)))+2*SUP_OPEX!$F$20*(IF(CM56=0,0,INDEX(SUP_C3_EXPANSION!$J$20:$J$59,CM56))-IF(CL56=0,0,INDEX(SUP_C3_EXPANSION!$J$20:$J$59,CL56))))-IF(CL56=CK56,0,1*SUP_OPEX!$D$20*(IF(CL56=0,0,INDEX(SUP_C3_EXPANSION!$H$20:$H$59,CL56))-IF(CK56=0,0,INDEX(SUP_C3_EXPANSION!$H$20:$H$59,CK56)))+1*SUP_OPEX!$E$20*(IF(CL56=0,0,INDEX(SUP_C3_EXPANSION!$I$20:$I$59,CL56))-IF(CK56=0,0,INDEX(SUP_C3_EXPANSION!$I$20:$I$59,CK56)))+1*SUP_OPEX!$F$20*(IF(CL56=0,0,INDEX(SUP_C3_EXPANSION!$J$20:$J$59,CL56))-IF(CK56=0,0,INDEX(SUP_C3_EXPANSION!$J$20:$J$59,CK56))))-IF(CK56=CJ56,0,1*SUP_OPEX!$D$20*(IF(CK56=0,0,INDEX(SUP_C3_EXPANSION!$H$20:$H$59,CK56))-IF(CJ56=0,0,INDEX(SUP_C3_EXPANSION!$H$20:$H$59,CJ56)))+1*SUP_OPEX!$E$20*(IF(CK56=0,0,INDEX(SUP_C3_EXPANSION!$I$20:$I$59,CK56))-IF(CJ56=0,0,INDEX(SUP_C3_EXPANSION!$I$20:$I$59,CJ56)))+1*SUP_OPEX!$F$20*(IF(CK56=0,0,INDEX(SUP_C3_EXPANSION!$J$20:$J$59,CK56))-IF(CJ56=0,0,INDEX(SUP_C3_EXPANSION!$J$20:$J$59,CJ56))))</f>
        <v>0</v>
      </c>
      <c r="CN66" s="1" t="n">
        <f aca="false">IF(CN56=CM56,0,2*SUP_OPEX!$D$20*(IF(CN56=0,0,INDEX(SUP_C3_EXPANSION!$H$20:$H$59,CN56))-IF(CM56=0,0,INDEX(SUP_C3_EXPANSION!$H$20:$H$59,CM56)))+2*SUP_OPEX!$E$20*(IF(CN56=0,0,INDEX(SUP_C3_EXPANSION!$I$20:$I$59,CN56))-IF(CM56=0,0,INDEX(SUP_C3_EXPANSION!$I$20:$I$59,CM56)))+2*SUP_OPEX!$F$20*(IF(CN56=0,0,INDEX(SUP_C3_EXPANSION!$J$20:$J$59,CN56))-IF(CM56=0,0,INDEX(SUP_C3_EXPANSION!$J$20:$J$59,CM56))))-IF(CM56=CL56,0,1*SUP_OPEX!$D$20*(IF(CM56=0,0,INDEX(SUP_C3_EXPANSION!$H$20:$H$59,CM56))-IF(CL56=0,0,INDEX(SUP_C3_EXPANSION!$H$20:$H$59,CL56)))+1*SUP_OPEX!$E$20*(IF(CM56=0,0,INDEX(SUP_C3_EXPANSION!$I$20:$I$59,CM56))-IF(CL56=0,0,INDEX(SUP_C3_EXPANSION!$I$20:$I$59,CL56)))+1*SUP_OPEX!$F$20*(IF(CM56=0,0,INDEX(SUP_C3_EXPANSION!$J$20:$J$59,CM56))-IF(CL56=0,0,INDEX(SUP_C3_EXPANSION!$J$20:$J$59,CL56))))-IF(CL56=CK56,0,1*SUP_OPEX!$D$20*(IF(CL56=0,0,INDEX(SUP_C3_EXPANSION!$H$20:$H$59,CL56))-IF(CK56=0,0,INDEX(SUP_C3_EXPANSION!$H$20:$H$59,CK56)))+1*SUP_OPEX!$E$20*(IF(CL56=0,0,INDEX(SUP_C3_EXPANSION!$I$20:$I$59,CL56))-IF(CK56=0,0,INDEX(SUP_C3_EXPANSION!$I$20:$I$59,CK56)))+1*SUP_OPEX!$F$20*(IF(CL56=0,0,INDEX(SUP_C3_EXPANSION!$J$20:$J$59,CL56))-IF(CK56=0,0,INDEX(SUP_C3_EXPANSION!$J$20:$J$59,CK56))))</f>
        <v>0</v>
      </c>
      <c r="CO66" s="1" t="n">
        <f aca="false">IF(CO56=CN56,0,2*SUP_OPEX!$D$20*(IF(CO56=0,0,INDEX(SUP_C3_EXPANSION!$H$20:$H$59,CO56))-IF(CN56=0,0,INDEX(SUP_C3_EXPANSION!$H$20:$H$59,CN56)))+2*SUP_OPEX!$E$20*(IF(CO56=0,0,INDEX(SUP_C3_EXPANSION!$I$20:$I$59,CO56))-IF(CN56=0,0,INDEX(SUP_C3_EXPANSION!$I$20:$I$59,CN56)))+2*SUP_OPEX!$F$20*(IF(CO56=0,0,INDEX(SUP_C3_EXPANSION!$J$20:$J$59,CO56))-IF(CN56=0,0,INDEX(SUP_C3_EXPANSION!$J$20:$J$59,CN56))))-IF(CN56=CM56,0,1*SUP_OPEX!$D$20*(IF(CN56=0,0,INDEX(SUP_C3_EXPANSION!$H$20:$H$59,CN56))-IF(CM56=0,0,INDEX(SUP_C3_EXPANSION!$H$20:$H$59,CM56)))+1*SUP_OPEX!$E$20*(IF(CN56=0,0,INDEX(SUP_C3_EXPANSION!$I$20:$I$59,CN56))-IF(CM56=0,0,INDEX(SUP_C3_EXPANSION!$I$20:$I$59,CM56)))+1*SUP_OPEX!$F$20*(IF(CN56=0,0,INDEX(SUP_C3_EXPANSION!$J$20:$J$59,CN56))-IF(CM56=0,0,INDEX(SUP_C3_EXPANSION!$J$20:$J$59,CM56))))-IF(CM56=CL56,0,1*SUP_OPEX!$D$20*(IF(CM56=0,0,INDEX(SUP_C3_EXPANSION!$H$20:$H$59,CM56))-IF(CL56=0,0,INDEX(SUP_C3_EXPANSION!$H$20:$H$59,CL56)))+1*SUP_OPEX!$E$20*(IF(CM56=0,0,INDEX(SUP_C3_EXPANSION!$I$20:$I$59,CM56))-IF(CL56=0,0,INDEX(SUP_C3_EXPANSION!$I$20:$I$59,CL56)))+1*SUP_OPEX!$F$20*(IF(CM56=0,0,INDEX(SUP_C3_EXPANSION!$J$20:$J$59,CM56))-IF(CL56=0,0,INDEX(SUP_C3_EXPANSION!$J$20:$J$59,CL56))))</f>
        <v>0</v>
      </c>
      <c r="CP66" s="1" t="n">
        <f aca="false">IF(CP56=CO56,0,2*SUP_OPEX!$D$20*(IF(CP56=0,0,INDEX(SUP_C3_EXPANSION!$H$20:$H$59,CP56))-IF(CO56=0,0,INDEX(SUP_C3_EXPANSION!$H$20:$H$59,CO56)))+2*SUP_OPEX!$E$20*(IF(CP56=0,0,INDEX(SUP_C3_EXPANSION!$I$20:$I$59,CP56))-IF(CO56=0,0,INDEX(SUP_C3_EXPANSION!$I$20:$I$59,CO56)))+2*SUP_OPEX!$F$20*(IF(CP56=0,0,INDEX(SUP_C3_EXPANSION!$J$20:$J$59,CP56))-IF(CO56=0,0,INDEX(SUP_C3_EXPANSION!$J$20:$J$59,CO56))))-IF(CO56=CN56,0,1*SUP_OPEX!$D$20*(IF(CO56=0,0,INDEX(SUP_C3_EXPANSION!$H$20:$H$59,CO56))-IF(CN56=0,0,INDEX(SUP_C3_EXPANSION!$H$20:$H$59,CN56)))+1*SUP_OPEX!$E$20*(IF(CO56=0,0,INDEX(SUP_C3_EXPANSION!$I$20:$I$59,CO56))-IF(CN56=0,0,INDEX(SUP_C3_EXPANSION!$I$20:$I$59,CN56)))+1*SUP_OPEX!$F$20*(IF(CO56=0,0,INDEX(SUP_C3_EXPANSION!$J$20:$J$59,CO56))-IF(CN56=0,0,INDEX(SUP_C3_EXPANSION!$J$20:$J$59,CN56))))-IF(CN56=CM56,0,1*SUP_OPEX!$D$20*(IF(CN56=0,0,INDEX(SUP_C3_EXPANSION!$H$20:$H$59,CN56))-IF(CM56=0,0,INDEX(SUP_C3_EXPANSION!$H$20:$H$59,CM56)))+1*SUP_OPEX!$E$20*(IF(CN56=0,0,INDEX(SUP_C3_EXPANSION!$I$20:$I$59,CN56))-IF(CM56=0,0,INDEX(SUP_C3_EXPANSION!$I$20:$I$59,CM56)))+1*SUP_OPEX!$F$20*(IF(CN56=0,0,INDEX(SUP_C3_EXPANSION!$J$20:$J$59,CN56))-IF(CM56=0,0,INDEX(SUP_C3_EXPANSION!$J$20:$J$59,CM56))))</f>
        <v>0</v>
      </c>
      <c r="CQ66" s="1" t="n">
        <f aca="false">IF(CQ56=CP56,0,2*SUP_OPEX!$D$20*(IF(CQ56=0,0,INDEX(SUP_C3_EXPANSION!$H$20:$H$59,CQ56))-IF(CP56=0,0,INDEX(SUP_C3_EXPANSION!$H$20:$H$59,CP56)))+2*SUP_OPEX!$E$20*(IF(CQ56=0,0,INDEX(SUP_C3_EXPANSION!$I$20:$I$59,CQ56))-IF(CP56=0,0,INDEX(SUP_C3_EXPANSION!$I$20:$I$59,CP56)))+2*SUP_OPEX!$F$20*(IF(CQ56=0,0,INDEX(SUP_C3_EXPANSION!$J$20:$J$59,CQ56))-IF(CP56=0,0,INDEX(SUP_C3_EXPANSION!$J$20:$J$59,CP56))))-IF(CP56=CO56,0,1*SUP_OPEX!$D$20*(IF(CP56=0,0,INDEX(SUP_C3_EXPANSION!$H$20:$H$59,CP56))-IF(CO56=0,0,INDEX(SUP_C3_EXPANSION!$H$20:$H$59,CO56)))+1*SUP_OPEX!$E$20*(IF(CP56=0,0,INDEX(SUP_C3_EXPANSION!$I$20:$I$59,CP56))-IF(CO56=0,0,INDEX(SUP_C3_EXPANSION!$I$20:$I$59,CO56)))+1*SUP_OPEX!$F$20*(IF(CP56=0,0,INDEX(SUP_C3_EXPANSION!$J$20:$J$59,CP56))-IF(CO56=0,0,INDEX(SUP_C3_EXPANSION!$J$20:$J$59,CO56))))-IF(CO56=CN56,0,1*SUP_OPEX!$D$20*(IF(CO56=0,0,INDEX(SUP_C3_EXPANSION!$H$20:$H$59,CO56))-IF(CN56=0,0,INDEX(SUP_C3_EXPANSION!$H$20:$H$59,CN56)))+1*SUP_OPEX!$E$20*(IF(CO56=0,0,INDEX(SUP_C3_EXPANSION!$I$20:$I$59,CO56))-IF(CN56=0,0,INDEX(SUP_C3_EXPANSION!$I$20:$I$59,CN56)))+1*SUP_OPEX!$F$20*(IF(CO56=0,0,INDEX(SUP_C3_EXPANSION!$J$20:$J$59,CO56))-IF(CN56=0,0,INDEX(SUP_C3_EXPANSION!$J$20:$J$59,CN56))))</f>
        <v>0</v>
      </c>
      <c r="CR66" s="1" t="n">
        <f aca="false">IF(CR56=CQ56,0,2*SUP_OPEX!$D$20*(IF(CR56=0,0,INDEX(SUP_C3_EXPANSION!$H$20:$H$59,CR56))-IF(CQ56=0,0,INDEX(SUP_C3_EXPANSION!$H$20:$H$59,CQ56)))+2*SUP_OPEX!$E$20*(IF(CR56=0,0,INDEX(SUP_C3_EXPANSION!$I$20:$I$59,CR56))-IF(CQ56=0,0,INDEX(SUP_C3_EXPANSION!$I$20:$I$59,CQ56)))+2*SUP_OPEX!$F$20*(IF(CR56=0,0,INDEX(SUP_C3_EXPANSION!$J$20:$J$59,CR56))-IF(CQ56=0,0,INDEX(SUP_C3_EXPANSION!$J$20:$J$59,CQ56))))-IF(CQ56=CP56,0,1*SUP_OPEX!$D$20*(IF(CQ56=0,0,INDEX(SUP_C3_EXPANSION!$H$20:$H$59,CQ56))-IF(CP56=0,0,INDEX(SUP_C3_EXPANSION!$H$20:$H$59,CP56)))+1*SUP_OPEX!$E$20*(IF(CQ56=0,0,INDEX(SUP_C3_EXPANSION!$I$20:$I$59,CQ56))-IF(CP56=0,0,INDEX(SUP_C3_EXPANSION!$I$20:$I$59,CP56)))+1*SUP_OPEX!$F$20*(IF(CQ56=0,0,INDEX(SUP_C3_EXPANSION!$J$20:$J$59,CQ56))-IF(CP56=0,0,INDEX(SUP_C3_EXPANSION!$J$20:$J$59,CP56))))-IF(CP56=CO56,0,1*SUP_OPEX!$D$20*(IF(CP56=0,0,INDEX(SUP_C3_EXPANSION!$H$20:$H$59,CP56))-IF(CO56=0,0,INDEX(SUP_C3_EXPANSION!$H$20:$H$59,CO56)))+1*SUP_OPEX!$E$20*(IF(CP56=0,0,INDEX(SUP_C3_EXPANSION!$I$20:$I$59,CP56))-IF(CO56=0,0,INDEX(SUP_C3_EXPANSION!$I$20:$I$59,CO56)))+1*SUP_OPEX!$F$20*(IF(CP56=0,0,INDEX(SUP_C3_EXPANSION!$J$20:$J$59,CP56))-IF(CO56=0,0,INDEX(SUP_C3_EXPANSION!$J$20:$J$59,CO56))))</f>
        <v>0</v>
      </c>
      <c r="CS66" s="1" t="n">
        <f aca="false">IF(CS56=CR56,0,2*SUP_OPEX!$D$20*(IF(CS56=0,0,INDEX(SUP_C3_EXPANSION!$H$20:$H$59,CS56))-IF(CR56=0,0,INDEX(SUP_C3_EXPANSION!$H$20:$H$59,CR56)))+2*SUP_OPEX!$E$20*(IF(CS56=0,0,INDEX(SUP_C3_EXPANSION!$I$20:$I$59,CS56))-IF(CR56=0,0,INDEX(SUP_C3_EXPANSION!$I$20:$I$59,CR56)))+2*SUP_OPEX!$F$20*(IF(CS56=0,0,INDEX(SUP_C3_EXPANSION!$J$20:$J$59,CS56))-IF(CR56=0,0,INDEX(SUP_C3_EXPANSION!$J$20:$J$59,CR56))))-IF(CR56=CQ56,0,1*SUP_OPEX!$D$20*(IF(CR56=0,0,INDEX(SUP_C3_EXPANSION!$H$20:$H$59,CR56))-IF(CQ56=0,0,INDEX(SUP_C3_EXPANSION!$H$20:$H$59,CQ56)))+1*SUP_OPEX!$E$20*(IF(CR56=0,0,INDEX(SUP_C3_EXPANSION!$I$20:$I$59,CR56))-IF(CQ56=0,0,INDEX(SUP_C3_EXPANSION!$I$20:$I$59,CQ56)))+1*SUP_OPEX!$F$20*(IF(CR56=0,0,INDEX(SUP_C3_EXPANSION!$J$20:$J$59,CR56))-IF(CQ56=0,0,INDEX(SUP_C3_EXPANSION!$J$20:$J$59,CQ56))))-IF(CQ56=CP56,0,1*SUP_OPEX!$D$20*(IF(CQ56=0,0,INDEX(SUP_C3_EXPANSION!$H$20:$H$59,CQ56))-IF(CP56=0,0,INDEX(SUP_C3_EXPANSION!$H$20:$H$59,CP56)))+1*SUP_OPEX!$E$20*(IF(CQ56=0,0,INDEX(SUP_C3_EXPANSION!$I$20:$I$59,CQ56))-IF(CP56=0,0,INDEX(SUP_C3_EXPANSION!$I$20:$I$59,CP56)))+1*SUP_OPEX!$F$20*(IF(CQ56=0,0,INDEX(SUP_C3_EXPANSION!$J$20:$J$59,CQ56))-IF(CP56=0,0,INDEX(SUP_C3_EXPANSION!$J$20:$J$59,CP56))))</f>
        <v>0</v>
      </c>
      <c r="CT66" s="1" t="n">
        <f aca="false">IF(CT56=CS56,0,2*SUP_OPEX!$D$20*(IF(CT56=0,0,INDEX(SUP_C3_EXPANSION!$H$20:$H$59,CT56))-IF(CS56=0,0,INDEX(SUP_C3_EXPANSION!$H$20:$H$59,CS56)))+2*SUP_OPEX!$E$20*(IF(CT56=0,0,INDEX(SUP_C3_EXPANSION!$I$20:$I$59,CT56))-IF(CS56=0,0,INDEX(SUP_C3_EXPANSION!$I$20:$I$59,CS56)))+2*SUP_OPEX!$F$20*(IF(CT56=0,0,INDEX(SUP_C3_EXPANSION!$J$20:$J$59,CT56))-IF(CS56=0,0,INDEX(SUP_C3_EXPANSION!$J$20:$J$59,CS56))))-IF(CS56=CR56,0,1*SUP_OPEX!$D$20*(IF(CS56=0,0,INDEX(SUP_C3_EXPANSION!$H$20:$H$59,CS56))-IF(CR56=0,0,INDEX(SUP_C3_EXPANSION!$H$20:$H$59,CR56)))+1*SUP_OPEX!$E$20*(IF(CS56=0,0,INDEX(SUP_C3_EXPANSION!$I$20:$I$59,CS56))-IF(CR56=0,0,INDEX(SUP_C3_EXPANSION!$I$20:$I$59,CR56)))+1*SUP_OPEX!$F$20*(IF(CS56=0,0,INDEX(SUP_C3_EXPANSION!$J$20:$J$59,CS56))-IF(CR56=0,0,INDEX(SUP_C3_EXPANSION!$J$20:$J$59,CR56))))-IF(CR56=CQ56,0,1*SUP_OPEX!$D$20*(IF(CR56=0,0,INDEX(SUP_C3_EXPANSION!$H$20:$H$59,CR56))-IF(CQ56=0,0,INDEX(SUP_C3_EXPANSION!$H$20:$H$59,CQ56)))+1*SUP_OPEX!$E$20*(IF(CR56=0,0,INDEX(SUP_C3_EXPANSION!$I$20:$I$59,CR56))-IF(CQ56=0,0,INDEX(SUP_C3_EXPANSION!$I$20:$I$59,CQ56)))+1*SUP_OPEX!$F$20*(IF(CR56=0,0,INDEX(SUP_C3_EXPANSION!$J$20:$J$59,CR56))-IF(CQ56=0,0,INDEX(SUP_C3_EXPANSION!$J$20:$J$59,CQ56))))</f>
        <v>0</v>
      </c>
      <c r="CU66" s="1" t="n">
        <f aca="false">IF(CU56=CT56,0,2*SUP_OPEX!$D$20*(IF(CU56=0,0,INDEX(SUP_C3_EXPANSION!$H$20:$H$59,CU56))-IF(CT56=0,0,INDEX(SUP_C3_EXPANSION!$H$20:$H$59,CT56)))+2*SUP_OPEX!$E$20*(IF(CU56=0,0,INDEX(SUP_C3_EXPANSION!$I$20:$I$59,CU56))-IF(CT56=0,0,INDEX(SUP_C3_EXPANSION!$I$20:$I$59,CT56)))+2*SUP_OPEX!$F$20*(IF(CU56=0,0,INDEX(SUP_C3_EXPANSION!$J$20:$J$59,CU56))-IF(CT56=0,0,INDEX(SUP_C3_EXPANSION!$J$20:$J$59,CT56))))-IF(CT56=CS56,0,1*SUP_OPEX!$D$20*(IF(CT56=0,0,INDEX(SUP_C3_EXPANSION!$H$20:$H$59,CT56))-IF(CS56=0,0,INDEX(SUP_C3_EXPANSION!$H$20:$H$59,CS56)))+1*SUP_OPEX!$E$20*(IF(CT56=0,0,INDEX(SUP_C3_EXPANSION!$I$20:$I$59,CT56))-IF(CS56=0,0,INDEX(SUP_C3_EXPANSION!$I$20:$I$59,CS56)))+1*SUP_OPEX!$F$20*(IF(CT56=0,0,INDEX(SUP_C3_EXPANSION!$J$20:$J$59,CT56))-IF(CS56=0,0,INDEX(SUP_C3_EXPANSION!$J$20:$J$59,CS56))))-IF(CS56=CR56,0,1*SUP_OPEX!$D$20*(IF(CS56=0,0,INDEX(SUP_C3_EXPANSION!$H$20:$H$59,CS56))-IF(CR56=0,0,INDEX(SUP_C3_EXPANSION!$H$20:$H$59,CR56)))+1*SUP_OPEX!$E$20*(IF(CS56=0,0,INDEX(SUP_C3_EXPANSION!$I$20:$I$59,CS56))-IF(CR56=0,0,INDEX(SUP_C3_EXPANSION!$I$20:$I$59,CR56)))+1*SUP_OPEX!$F$20*(IF(CS56=0,0,INDEX(SUP_C3_EXPANSION!$J$20:$J$59,CS56))-IF(CR56=0,0,INDEX(SUP_C3_EXPANSION!$J$20:$J$59,CR56))))</f>
        <v>0</v>
      </c>
      <c r="CV66" s="1" t="n">
        <f aca="false">IF(CV56=CU56,0,2*SUP_OPEX!$D$20*(IF(CV56=0,0,INDEX(SUP_C3_EXPANSION!$H$20:$H$59,CV56))-IF(CU56=0,0,INDEX(SUP_C3_EXPANSION!$H$20:$H$59,CU56)))+2*SUP_OPEX!$E$20*(IF(CV56=0,0,INDEX(SUP_C3_EXPANSION!$I$20:$I$59,CV56))-IF(CU56=0,0,INDEX(SUP_C3_EXPANSION!$I$20:$I$59,CU56)))+2*SUP_OPEX!$F$20*(IF(CV56=0,0,INDEX(SUP_C3_EXPANSION!$J$20:$J$59,CV56))-IF(CU56=0,0,INDEX(SUP_C3_EXPANSION!$J$20:$J$59,CU56))))-IF(CU56=CT56,0,1*SUP_OPEX!$D$20*(IF(CU56=0,0,INDEX(SUP_C3_EXPANSION!$H$20:$H$59,CU56))-IF(CT56=0,0,INDEX(SUP_C3_EXPANSION!$H$20:$H$59,CT56)))+1*SUP_OPEX!$E$20*(IF(CU56=0,0,INDEX(SUP_C3_EXPANSION!$I$20:$I$59,CU56))-IF(CT56=0,0,INDEX(SUP_C3_EXPANSION!$I$20:$I$59,CT56)))+1*SUP_OPEX!$F$20*(IF(CU56=0,0,INDEX(SUP_C3_EXPANSION!$J$20:$J$59,CU56))-IF(CT56=0,0,INDEX(SUP_C3_EXPANSION!$J$20:$J$59,CT56))))-IF(CT56=CS56,0,1*SUP_OPEX!$D$20*(IF(CT56=0,0,INDEX(SUP_C3_EXPANSION!$H$20:$H$59,CT56))-IF(CS56=0,0,INDEX(SUP_C3_EXPANSION!$H$20:$H$59,CS56)))+1*SUP_OPEX!$E$20*(IF(CT56=0,0,INDEX(SUP_C3_EXPANSION!$I$20:$I$59,CT56))-IF(CS56=0,0,INDEX(SUP_C3_EXPANSION!$I$20:$I$59,CS56)))+1*SUP_OPEX!$F$20*(IF(CT56=0,0,INDEX(SUP_C3_EXPANSION!$J$20:$J$59,CT56))-IF(CS56=0,0,INDEX(SUP_C3_EXPANSION!$J$20:$J$59,CS56))))</f>
        <v>0</v>
      </c>
      <c r="CW66" s="1" t="n">
        <f aca="false">IF(CW56=CV56,0,2*SUP_OPEX!$D$20*(IF(CW56=0,0,INDEX(SUP_C3_EXPANSION!$H$20:$H$59,CW56))-IF(CV56=0,0,INDEX(SUP_C3_EXPANSION!$H$20:$H$59,CV56)))+2*SUP_OPEX!$E$20*(IF(CW56=0,0,INDEX(SUP_C3_EXPANSION!$I$20:$I$59,CW56))-IF(CV56=0,0,INDEX(SUP_C3_EXPANSION!$I$20:$I$59,CV56)))+2*SUP_OPEX!$F$20*(IF(CW56=0,0,INDEX(SUP_C3_EXPANSION!$J$20:$J$59,CW56))-IF(CV56=0,0,INDEX(SUP_C3_EXPANSION!$J$20:$J$59,CV56))))-IF(CV56=CU56,0,1*SUP_OPEX!$D$20*(IF(CV56=0,0,INDEX(SUP_C3_EXPANSION!$H$20:$H$59,CV56))-IF(CU56=0,0,INDEX(SUP_C3_EXPANSION!$H$20:$H$59,CU56)))+1*SUP_OPEX!$E$20*(IF(CV56=0,0,INDEX(SUP_C3_EXPANSION!$I$20:$I$59,CV56))-IF(CU56=0,0,INDEX(SUP_C3_EXPANSION!$I$20:$I$59,CU56)))+1*SUP_OPEX!$F$20*(IF(CV56=0,0,INDEX(SUP_C3_EXPANSION!$J$20:$J$59,CV56))-IF(CU56=0,0,INDEX(SUP_C3_EXPANSION!$J$20:$J$59,CU56))))-IF(CU56=CT56,0,1*SUP_OPEX!$D$20*(IF(CU56=0,0,INDEX(SUP_C3_EXPANSION!$H$20:$H$59,CU56))-IF(CT56=0,0,INDEX(SUP_C3_EXPANSION!$H$20:$H$59,CT56)))+1*SUP_OPEX!$E$20*(IF(CU56=0,0,INDEX(SUP_C3_EXPANSION!$I$20:$I$59,CU56))-IF(CT56=0,0,INDEX(SUP_C3_EXPANSION!$I$20:$I$59,CT56)))+1*SUP_OPEX!$F$20*(IF(CU56=0,0,INDEX(SUP_C3_EXPANSION!$J$20:$J$59,CU56))-IF(CT56=0,0,INDEX(SUP_C3_EXPANSION!$J$20:$J$59,CT56))))</f>
        <v>0</v>
      </c>
      <c r="CX66" s="1" t="n">
        <f aca="false">IF(CX56=CW56,0,2*SUP_OPEX!$D$20*(IF(CX56=0,0,INDEX(SUP_C3_EXPANSION!$H$20:$H$59,CX56))-IF(CW56=0,0,INDEX(SUP_C3_EXPANSION!$H$20:$H$59,CW56)))+2*SUP_OPEX!$E$20*(IF(CX56=0,0,INDEX(SUP_C3_EXPANSION!$I$20:$I$59,CX56))-IF(CW56=0,0,INDEX(SUP_C3_EXPANSION!$I$20:$I$59,CW56)))+2*SUP_OPEX!$F$20*(IF(CX56=0,0,INDEX(SUP_C3_EXPANSION!$J$20:$J$59,CX56))-IF(CW56=0,0,INDEX(SUP_C3_EXPANSION!$J$20:$J$59,CW56))))-IF(CW56=CV56,0,1*SUP_OPEX!$D$20*(IF(CW56=0,0,INDEX(SUP_C3_EXPANSION!$H$20:$H$59,CW56))-IF(CV56=0,0,INDEX(SUP_C3_EXPANSION!$H$20:$H$59,CV56)))+1*SUP_OPEX!$E$20*(IF(CW56=0,0,INDEX(SUP_C3_EXPANSION!$I$20:$I$59,CW56))-IF(CV56=0,0,INDEX(SUP_C3_EXPANSION!$I$20:$I$59,CV56)))+1*SUP_OPEX!$F$20*(IF(CW56=0,0,INDEX(SUP_C3_EXPANSION!$J$20:$J$59,CW56))-IF(CV56=0,0,INDEX(SUP_C3_EXPANSION!$J$20:$J$59,CV56))))-IF(CV56=CU56,0,1*SUP_OPEX!$D$20*(IF(CV56=0,0,INDEX(SUP_C3_EXPANSION!$H$20:$H$59,CV56))-IF(CU56=0,0,INDEX(SUP_C3_EXPANSION!$H$20:$H$59,CU56)))+1*SUP_OPEX!$E$20*(IF(CV56=0,0,INDEX(SUP_C3_EXPANSION!$I$20:$I$59,CV56))-IF(CU56=0,0,INDEX(SUP_C3_EXPANSION!$I$20:$I$59,CU56)))+1*SUP_OPEX!$F$20*(IF(CV56=0,0,INDEX(SUP_C3_EXPANSION!$J$20:$J$59,CV56))-IF(CU56=0,0,INDEX(SUP_C3_EXPANSION!$J$20:$J$59,CU56))))</f>
        <v>0</v>
      </c>
      <c r="CY66" s="1" t="n">
        <f aca="false">IF(CY56=CX56,0,2*SUP_OPEX!$D$20*(IF(CY56=0,0,INDEX(SUP_C3_EXPANSION!$H$20:$H$59,CY56))-IF(CX56=0,0,INDEX(SUP_C3_EXPANSION!$H$20:$H$59,CX56)))+2*SUP_OPEX!$E$20*(IF(CY56=0,0,INDEX(SUP_C3_EXPANSION!$I$20:$I$59,CY56))-IF(CX56=0,0,INDEX(SUP_C3_EXPANSION!$I$20:$I$59,CX56)))+2*SUP_OPEX!$F$20*(IF(CY56=0,0,INDEX(SUP_C3_EXPANSION!$J$20:$J$59,CY56))-IF(CX56=0,0,INDEX(SUP_C3_EXPANSION!$J$20:$J$59,CX56))))-IF(CX56=CW56,0,1*SUP_OPEX!$D$20*(IF(CX56=0,0,INDEX(SUP_C3_EXPANSION!$H$20:$H$59,CX56))-IF(CW56=0,0,INDEX(SUP_C3_EXPANSION!$H$20:$H$59,CW56)))+1*SUP_OPEX!$E$20*(IF(CX56=0,0,INDEX(SUP_C3_EXPANSION!$I$20:$I$59,CX56))-IF(CW56=0,0,INDEX(SUP_C3_EXPANSION!$I$20:$I$59,CW56)))+1*SUP_OPEX!$F$20*(IF(CX56=0,0,INDEX(SUP_C3_EXPANSION!$J$20:$J$59,CX56))-IF(CW56=0,0,INDEX(SUP_C3_EXPANSION!$J$20:$J$59,CW56))))-IF(CW56=CV56,0,1*SUP_OPEX!$D$20*(IF(CW56=0,0,INDEX(SUP_C3_EXPANSION!$H$20:$H$59,CW56))-IF(CV56=0,0,INDEX(SUP_C3_EXPANSION!$H$20:$H$59,CV56)))+1*SUP_OPEX!$E$20*(IF(CW56=0,0,INDEX(SUP_C3_EXPANSION!$I$20:$I$59,CW56))-IF(CV56=0,0,INDEX(SUP_C3_EXPANSION!$I$20:$I$59,CV56)))+1*SUP_OPEX!$F$20*(IF(CW56=0,0,INDEX(SUP_C3_EXPANSION!$J$20:$J$59,CW56))-IF(CV56=0,0,INDEX(SUP_C3_EXPANSION!$J$20:$J$59,CV56))))</f>
        <v>0</v>
      </c>
      <c r="CZ66" s="1" t="n">
        <f aca="false">IF(CZ56=CY56,0,2*SUP_OPEX!$D$20*(IF(CZ56=0,0,INDEX(SUP_C3_EXPANSION!$H$20:$H$59,CZ56))-IF(CY56=0,0,INDEX(SUP_C3_EXPANSION!$H$20:$H$59,CY56)))+2*SUP_OPEX!$E$20*(IF(CZ56=0,0,INDEX(SUP_C3_EXPANSION!$I$20:$I$59,CZ56))-IF(CY56=0,0,INDEX(SUP_C3_EXPANSION!$I$20:$I$59,CY56)))+2*SUP_OPEX!$F$20*(IF(CZ56=0,0,INDEX(SUP_C3_EXPANSION!$J$20:$J$59,CZ56))-IF(CY56=0,0,INDEX(SUP_C3_EXPANSION!$J$20:$J$59,CY56))))-IF(CY56=CX56,0,1*SUP_OPEX!$D$20*(IF(CY56=0,0,INDEX(SUP_C3_EXPANSION!$H$20:$H$59,CY56))-IF(CX56=0,0,INDEX(SUP_C3_EXPANSION!$H$20:$H$59,CX56)))+1*SUP_OPEX!$E$20*(IF(CY56=0,0,INDEX(SUP_C3_EXPANSION!$I$20:$I$59,CY56))-IF(CX56=0,0,INDEX(SUP_C3_EXPANSION!$I$20:$I$59,CX56)))+1*SUP_OPEX!$F$20*(IF(CY56=0,0,INDEX(SUP_C3_EXPANSION!$J$20:$J$59,CY56))-IF(CX56=0,0,INDEX(SUP_C3_EXPANSION!$J$20:$J$59,CX56))))-IF(CX56=CW56,0,1*SUP_OPEX!$D$20*(IF(CX56=0,0,INDEX(SUP_C3_EXPANSION!$H$20:$H$59,CX56))-IF(CW56=0,0,INDEX(SUP_C3_EXPANSION!$H$20:$H$59,CW56)))+1*SUP_OPEX!$E$20*(IF(CX56=0,0,INDEX(SUP_C3_EXPANSION!$I$20:$I$59,CX56))-IF(CW56=0,0,INDEX(SUP_C3_EXPANSION!$I$20:$I$59,CW56)))+1*SUP_OPEX!$F$20*(IF(CX56=0,0,INDEX(SUP_C3_EXPANSION!$J$20:$J$59,CX56))-IF(CW56=0,0,INDEX(SUP_C3_EXPANSION!$J$20:$J$59,CW56))))</f>
        <v>0</v>
      </c>
      <c r="DA66" s="1" t="n">
        <f aca="false">IF(DA56=CZ56,0,2*SUP_OPEX!$D$20*(IF(DA56=0,0,INDEX(SUP_C3_EXPANSION!$H$20:$H$59,DA56))-IF(CZ56=0,0,INDEX(SUP_C3_EXPANSION!$H$20:$H$59,CZ56)))+2*SUP_OPEX!$E$20*(IF(DA56=0,0,INDEX(SUP_C3_EXPANSION!$I$20:$I$59,DA56))-IF(CZ56=0,0,INDEX(SUP_C3_EXPANSION!$I$20:$I$59,CZ56)))+2*SUP_OPEX!$F$20*(IF(DA56=0,0,INDEX(SUP_C3_EXPANSION!$J$20:$J$59,DA56))-IF(CZ56=0,0,INDEX(SUP_C3_EXPANSION!$J$20:$J$59,CZ56))))-IF(CZ56=CY56,0,1*SUP_OPEX!$D$20*(IF(CZ56=0,0,INDEX(SUP_C3_EXPANSION!$H$20:$H$59,CZ56))-IF(CY56=0,0,INDEX(SUP_C3_EXPANSION!$H$20:$H$59,CY56)))+1*SUP_OPEX!$E$20*(IF(CZ56=0,0,INDEX(SUP_C3_EXPANSION!$I$20:$I$59,CZ56))-IF(CY56=0,0,INDEX(SUP_C3_EXPANSION!$I$20:$I$59,CY56)))+1*SUP_OPEX!$F$20*(IF(CZ56=0,0,INDEX(SUP_C3_EXPANSION!$J$20:$J$59,CZ56))-IF(CY56=0,0,INDEX(SUP_C3_EXPANSION!$J$20:$J$59,CY56))))-IF(CY56=CX56,0,1*SUP_OPEX!$D$20*(IF(CY56=0,0,INDEX(SUP_C3_EXPANSION!$H$20:$H$59,CY56))-IF(CX56=0,0,INDEX(SUP_C3_EXPANSION!$H$20:$H$59,CX56)))+1*SUP_OPEX!$E$20*(IF(CY56=0,0,INDEX(SUP_C3_EXPANSION!$I$20:$I$59,CY56))-IF(CX56=0,0,INDEX(SUP_C3_EXPANSION!$I$20:$I$59,CX56)))+1*SUP_OPEX!$F$20*(IF(CY56=0,0,INDEX(SUP_C3_EXPANSION!$J$20:$J$59,CY56))-IF(CX56=0,0,INDEX(SUP_C3_EXPANSION!$J$20:$J$59,CX56))))</f>
        <v>0</v>
      </c>
      <c r="DB66" s="1" t="n">
        <f aca="false">IF(DB56=DA56,0,2*SUP_OPEX!$D$20*(IF(DB56=0,0,INDEX(SUP_C3_EXPANSION!$H$20:$H$59,DB56))-IF(DA56=0,0,INDEX(SUP_C3_EXPANSION!$H$20:$H$59,DA56)))+2*SUP_OPEX!$E$20*(IF(DB56=0,0,INDEX(SUP_C3_EXPANSION!$I$20:$I$59,DB56))-IF(DA56=0,0,INDEX(SUP_C3_EXPANSION!$I$20:$I$59,DA56)))+2*SUP_OPEX!$F$20*(IF(DB56=0,0,INDEX(SUP_C3_EXPANSION!$J$20:$J$59,DB56))-IF(DA56=0,0,INDEX(SUP_C3_EXPANSION!$J$20:$J$59,DA56))))-IF(DA56=CZ56,0,1*SUP_OPEX!$D$20*(IF(DA56=0,0,INDEX(SUP_C3_EXPANSION!$H$20:$H$59,DA56))-IF(CZ56=0,0,INDEX(SUP_C3_EXPANSION!$H$20:$H$59,CZ56)))+1*SUP_OPEX!$E$20*(IF(DA56=0,0,INDEX(SUP_C3_EXPANSION!$I$20:$I$59,DA56))-IF(CZ56=0,0,INDEX(SUP_C3_EXPANSION!$I$20:$I$59,CZ56)))+1*SUP_OPEX!$F$20*(IF(DA56=0,0,INDEX(SUP_C3_EXPANSION!$J$20:$J$59,DA56))-IF(CZ56=0,0,INDEX(SUP_C3_EXPANSION!$J$20:$J$59,CZ56))))-IF(CZ56=CY56,0,1*SUP_OPEX!$D$20*(IF(CZ56=0,0,INDEX(SUP_C3_EXPANSION!$H$20:$H$59,CZ56))-IF(CY56=0,0,INDEX(SUP_C3_EXPANSION!$H$20:$H$59,CY56)))+1*SUP_OPEX!$E$20*(IF(CZ56=0,0,INDEX(SUP_C3_EXPANSION!$I$20:$I$59,CZ56))-IF(CY56=0,0,INDEX(SUP_C3_EXPANSION!$I$20:$I$59,CY56)))+1*SUP_OPEX!$F$20*(IF(CZ56=0,0,INDEX(SUP_C3_EXPANSION!$J$20:$J$59,CZ56))-IF(CY56=0,0,INDEX(SUP_C3_EXPANSION!$J$20:$J$59,CY56))))</f>
        <v>0</v>
      </c>
      <c r="DC66" s="1" t="n">
        <f aca="false">IF(DC56=DB56,0,2*SUP_OPEX!$D$20*(IF(DC56=0,0,INDEX(SUP_C3_EXPANSION!$H$20:$H$59,DC56))-IF(DB56=0,0,INDEX(SUP_C3_EXPANSION!$H$20:$H$59,DB56)))+2*SUP_OPEX!$E$20*(IF(DC56=0,0,INDEX(SUP_C3_EXPANSION!$I$20:$I$59,DC56))-IF(DB56=0,0,INDEX(SUP_C3_EXPANSION!$I$20:$I$59,DB56)))+2*SUP_OPEX!$F$20*(IF(DC56=0,0,INDEX(SUP_C3_EXPANSION!$J$20:$J$59,DC56))-IF(DB56=0,0,INDEX(SUP_C3_EXPANSION!$J$20:$J$59,DB56))))-IF(DB56=DA56,0,1*SUP_OPEX!$D$20*(IF(DB56=0,0,INDEX(SUP_C3_EXPANSION!$H$20:$H$59,DB56))-IF(DA56=0,0,INDEX(SUP_C3_EXPANSION!$H$20:$H$59,DA56)))+1*SUP_OPEX!$E$20*(IF(DB56=0,0,INDEX(SUP_C3_EXPANSION!$I$20:$I$59,DB56))-IF(DA56=0,0,INDEX(SUP_C3_EXPANSION!$I$20:$I$59,DA56)))+1*SUP_OPEX!$F$20*(IF(DB56=0,0,INDEX(SUP_C3_EXPANSION!$J$20:$J$59,DB56))-IF(DA56=0,0,INDEX(SUP_C3_EXPANSION!$J$20:$J$59,DA56))))-IF(DA56=CZ56,0,1*SUP_OPEX!$D$20*(IF(DA56=0,0,INDEX(SUP_C3_EXPANSION!$H$20:$H$59,DA56))-IF(CZ56=0,0,INDEX(SUP_C3_EXPANSION!$H$20:$H$59,CZ56)))+1*SUP_OPEX!$E$20*(IF(DA56=0,0,INDEX(SUP_C3_EXPANSION!$I$20:$I$59,DA56))-IF(CZ56=0,0,INDEX(SUP_C3_EXPANSION!$I$20:$I$59,CZ56)))+1*SUP_OPEX!$F$20*(IF(DA56=0,0,INDEX(SUP_C3_EXPANSION!$J$20:$J$59,DA56))-IF(CZ56=0,0,INDEX(SUP_C3_EXPANSION!$J$20:$J$59,CZ56))))</f>
        <v>0</v>
      </c>
      <c r="DD66" s="1" t="n">
        <f aca="false">IF(DD56=DC56,0,2*SUP_OPEX!$D$20*(IF(DD56=0,0,INDEX(SUP_C3_EXPANSION!$H$20:$H$59,DD56))-IF(DC56=0,0,INDEX(SUP_C3_EXPANSION!$H$20:$H$59,DC56)))+2*SUP_OPEX!$E$20*(IF(DD56=0,0,INDEX(SUP_C3_EXPANSION!$I$20:$I$59,DD56))-IF(DC56=0,0,INDEX(SUP_C3_EXPANSION!$I$20:$I$59,DC56)))+2*SUP_OPEX!$F$20*(IF(DD56=0,0,INDEX(SUP_C3_EXPANSION!$J$20:$J$59,DD56))-IF(DC56=0,0,INDEX(SUP_C3_EXPANSION!$J$20:$J$59,DC56))))-IF(DC56=DB56,0,1*SUP_OPEX!$D$20*(IF(DC56=0,0,INDEX(SUP_C3_EXPANSION!$H$20:$H$59,DC56))-IF(DB56=0,0,INDEX(SUP_C3_EXPANSION!$H$20:$H$59,DB56)))+1*SUP_OPEX!$E$20*(IF(DC56=0,0,INDEX(SUP_C3_EXPANSION!$I$20:$I$59,DC56))-IF(DB56=0,0,INDEX(SUP_C3_EXPANSION!$I$20:$I$59,DB56)))+1*SUP_OPEX!$F$20*(IF(DC56=0,0,INDEX(SUP_C3_EXPANSION!$J$20:$J$59,DC56))-IF(DB56=0,0,INDEX(SUP_C3_EXPANSION!$J$20:$J$59,DB56))))-IF(DB56=DA56,0,1*SUP_OPEX!$D$20*(IF(DB56=0,0,INDEX(SUP_C3_EXPANSION!$H$20:$H$59,DB56))-IF(DA56=0,0,INDEX(SUP_C3_EXPANSION!$H$20:$H$59,DA56)))+1*SUP_OPEX!$E$20*(IF(DB56=0,0,INDEX(SUP_C3_EXPANSION!$I$20:$I$59,DB56))-IF(DA56=0,0,INDEX(SUP_C3_EXPANSION!$I$20:$I$59,DA56)))+1*SUP_OPEX!$F$20*(IF(DB56=0,0,INDEX(SUP_C3_EXPANSION!$J$20:$J$59,DB56))-IF(DA56=0,0,INDEX(SUP_C3_EXPANSION!$J$20:$J$59,DA56))))</f>
        <v>0</v>
      </c>
      <c r="DE66" s="1" t="n">
        <f aca="false">IF(DE56=DD56,0,2*SUP_OPEX!$D$20*(IF(DE56=0,0,INDEX(SUP_C3_EXPANSION!$H$20:$H$59,DE56))-IF(DD56=0,0,INDEX(SUP_C3_EXPANSION!$H$20:$H$59,DD56)))+2*SUP_OPEX!$E$20*(IF(DE56=0,0,INDEX(SUP_C3_EXPANSION!$I$20:$I$59,DE56))-IF(DD56=0,0,INDEX(SUP_C3_EXPANSION!$I$20:$I$59,DD56)))+2*SUP_OPEX!$F$20*(IF(DE56=0,0,INDEX(SUP_C3_EXPANSION!$J$20:$J$59,DE56))-IF(DD56=0,0,INDEX(SUP_C3_EXPANSION!$J$20:$J$59,DD56))))-IF(DD56=DC56,0,1*SUP_OPEX!$D$20*(IF(DD56=0,0,INDEX(SUP_C3_EXPANSION!$H$20:$H$59,DD56))-IF(DC56=0,0,INDEX(SUP_C3_EXPANSION!$H$20:$H$59,DC56)))+1*SUP_OPEX!$E$20*(IF(DD56=0,0,INDEX(SUP_C3_EXPANSION!$I$20:$I$59,DD56))-IF(DC56=0,0,INDEX(SUP_C3_EXPANSION!$I$20:$I$59,DC56)))+1*SUP_OPEX!$F$20*(IF(DD56=0,0,INDEX(SUP_C3_EXPANSION!$J$20:$J$59,DD56))-IF(DC56=0,0,INDEX(SUP_C3_EXPANSION!$J$20:$J$59,DC56))))-IF(DC56=DB56,0,1*SUP_OPEX!$D$20*(IF(DC56=0,0,INDEX(SUP_C3_EXPANSION!$H$20:$H$59,DC56))-IF(DB56=0,0,INDEX(SUP_C3_EXPANSION!$H$20:$H$59,DB56)))+1*SUP_OPEX!$E$20*(IF(DC56=0,0,INDEX(SUP_C3_EXPANSION!$I$20:$I$59,DC56))-IF(DB56=0,0,INDEX(SUP_C3_EXPANSION!$I$20:$I$59,DB56)))+1*SUP_OPEX!$F$20*(IF(DC56=0,0,INDEX(SUP_C3_EXPANSION!$J$20:$J$59,DC56))-IF(DB56=0,0,INDEX(SUP_C3_EXPANSION!$J$20:$J$59,DB56))))</f>
        <v>0</v>
      </c>
      <c r="DF66" s="1" t="n">
        <f aca="false">IF(DF56=DE56,0,2*SUP_OPEX!$D$20*(IF(DF56=0,0,INDEX(SUP_C3_EXPANSION!$H$20:$H$59,DF56))-IF(DE56=0,0,INDEX(SUP_C3_EXPANSION!$H$20:$H$59,DE56)))+2*SUP_OPEX!$E$20*(IF(DF56=0,0,INDEX(SUP_C3_EXPANSION!$I$20:$I$59,DF56))-IF(DE56=0,0,INDEX(SUP_C3_EXPANSION!$I$20:$I$59,DE56)))+2*SUP_OPEX!$F$20*(IF(DF56=0,0,INDEX(SUP_C3_EXPANSION!$J$20:$J$59,DF56))-IF(DE56=0,0,INDEX(SUP_C3_EXPANSION!$J$20:$J$59,DE56))))-IF(DE56=DD56,0,1*SUP_OPEX!$D$20*(IF(DE56=0,0,INDEX(SUP_C3_EXPANSION!$H$20:$H$59,DE56))-IF(DD56=0,0,INDEX(SUP_C3_EXPANSION!$H$20:$H$59,DD56)))+1*SUP_OPEX!$E$20*(IF(DE56=0,0,INDEX(SUP_C3_EXPANSION!$I$20:$I$59,DE56))-IF(DD56=0,0,INDEX(SUP_C3_EXPANSION!$I$20:$I$59,DD56)))+1*SUP_OPEX!$F$20*(IF(DE56=0,0,INDEX(SUP_C3_EXPANSION!$J$20:$J$59,DE56))-IF(DD56=0,0,INDEX(SUP_C3_EXPANSION!$J$20:$J$59,DD56))))-IF(DD56=DC56,0,1*SUP_OPEX!$D$20*(IF(DD56=0,0,INDEX(SUP_C3_EXPANSION!$H$20:$H$59,DD56))-IF(DC56=0,0,INDEX(SUP_C3_EXPANSION!$H$20:$H$59,DC56)))+1*SUP_OPEX!$E$20*(IF(DD56=0,0,INDEX(SUP_C3_EXPANSION!$I$20:$I$59,DD56))-IF(DC56=0,0,INDEX(SUP_C3_EXPANSION!$I$20:$I$59,DC56)))+1*SUP_OPEX!$F$20*(IF(DD56=0,0,INDEX(SUP_C3_EXPANSION!$J$20:$J$59,DD56))-IF(DC56=0,0,INDEX(SUP_C3_EXPANSION!$J$20:$J$59,DC56))))</f>
        <v>0</v>
      </c>
      <c r="DG66" s="1" t="n">
        <f aca="false">IF(DG56=DF56,0,2*SUP_OPEX!$D$20*(IF(DG56=0,0,INDEX(SUP_C3_EXPANSION!$H$20:$H$59,DG56))-IF(DF56=0,0,INDEX(SUP_C3_EXPANSION!$H$20:$H$59,DF56)))+2*SUP_OPEX!$E$20*(IF(DG56=0,0,INDEX(SUP_C3_EXPANSION!$I$20:$I$59,DG56))-IF(DF56=0,0,INDEX(SUP_C3_EXPANSION!$I$20:$I$59,DF56)))+2*SUP_OPEX!$F$20*(IF(DG56=0,0,INDEX(SUP_C3_EXPANSION!$J$20:$J$59,DG56))-IF(DF56=0,0,INDEX(SUP_C3_EXPANSION!$J$20:$J$59,DF56))))-IF(DF56=DE56,0,1*SUP_OPEX!$D$20*(IF(DF56=0,0,INDEX(SUP_C3_EXPANSION!$H$20:$H$59,DF56))-IF(DE56=0,0,INDEX(SUP_C3_EXPANSION!$H$20:$H$59,DE56)))+1*SUP_OPEX!$E$20*(IF(DF56=0,0,INDEX(SUP_C3_EXPANSION!$I$20:$I$59,DF56))-IF(DE56=0,0,INDEX(SUP_C3_EXPANSION!$I$20:$I$59,DE56)))+1*SUP_OPEX!$F$20*(IF(DF56=0,0,INDEX(SUP_C3_EXPANSION!$J$20:$J$59,DF56))-IF(DE56=0,0,INDEX(SUP_C3_EXPANSION!$J$20:$J$59,DE56))))-IF(DE56=DD56,0,1*SUP_OPEX!$D$20*(IF(DE56=0,0,INDEX(SUP_C3_EXPANSION!$H$20:$H$59,DE56))-IF(DD56=0,0,INDEX(SUP_C3_EXPANSION!$H$20:$H$59,DD56)))+1*SUP_OPEX!$E$20*(IF(DE56=0,0,INDEX(SUP_C3_EXPANSION!$I$20:$I$59,DE56))-IF(DD56=0,0,INDEX(SUP_C3_EXPANSION!$I$20:$I$59,DD56)))+1*SUP_OPEX!$F$20*(IF(DE56=0,0,INDEX(SUP_C3_EXPANSION!$J$20:$J$59,DE56))-IF(DD56=0,0,INDEX(SUP_C3_EXPANSION!$J$20:$J$59,DD56))))</f>
        <v>0</v>
      </c>
      <c r="DH66" s="1" t="n">
        <f aca="false">IF(DH56=DG56,0,2*SUP_OPEX!$D$20*(IF(DH56=0,0,INDEX(SUP_C3_EXPANSION!$H$20:$H$59,DH56))-IF(DG56=0,0,INDEX(SUP_C3_EXPANSION!$H$20:$H$59,DG56)))+2*SUP_OPEX!$E$20*(IF(DH56=0,0,INDEX(SUP_C3_EXPANSION!$I$20:$I$59,DH56))-IF(DG56=0,0,INDEX(SUP_C3_EXPANSION!$I$20:$I$59,DG56)))+2*SUP_OPEX!$F$20*(IF(DH56=0,0,INDEX(SUP_C3_EXPANSION!$J$20:$J$59,DH56))-IF(DG56=0,0,INDEX(SUP_C3_EXPANSION!$J$20:$J$59,DG56))))-IF(DG56=DF56,0,1*SUP_OPEX!$D$20*(IF(DG56=0,0,INDEX(SUP_C3_EXPANSION!$H$20:$H$59,DG56))-IF(DF56=0,0,INDEX(SUP_C3_EXPANSION!$H$20:$H$59,DF56)))+1*SUP_OPEX!$E$20*(IF(DG56=0,0,INDEX(SUP_C3_EXPANSION!$I$20:$I$59,DG56))-IF(DF56=0,0,INDEX(SUP_C3_EXPANSION!$I$20:$I$59,DF56)))+1*SUP_OPEX!$F$20*(IF(DG56=0,0,INDEX(SUP_C3_EXPANSION!$J$20:$J$59,DG56))-IF(DF56=0,0,INDEX(SUP_C3_EXPANSION!$J$20:$J$59,DF56))))-IF(DF56=DE56,0,1*SUP_OPEX!$D$20*(IF(DF56=0,0,INDEX(SUP_C3_EXPANSION!$H$20:$H$59,DF56))-IF(DE56=0,0,INDEX(SUP_C3_EXPANSION!$H$20:$H$59,DE56)))+1*SUP_OPEX!$E$20*(IF(DF56=0,0,INDEX(SUP_C3_EXPANSION!$I$20:$I$59,DF56))-IF(DE56=0,0,INDEX(SUP_C3_EXPANSION!$I$20:$I$59,DE56)))+1*SUP_OPEX!$F$20*(IF(DF56=0,0,INDEX(SUP_C3_EXPANSION!$J$20:$J$59,DF56))-IF(DE56=0,0,INDEX(SUP_C3_EXPANSION!$J$20:$J$59,DE56))))</f>
        <v>0</v>
      </c>
      <c r="DI66" s="1" t="n">
        <f aca="false">IF(DI56=DH56,0,2*SUP_OPEX!$D$20*(IF(DI56=0,0,INDEX(SUP_C3_EXPANSION!$H$20:$H$59,DI56))-IF(DH56=0,0,INDEX(SUP_C3_EXPANSION!$H$20:$H$59,DH56)))+2*SUP_OPEX!$E$20*(IF(DI56=0,0,INDEX(SUP_C3_EXPANSION!$I$20:$I$59,DI56))-IF(DH56=0,0,INDEX(SUP_C3_EXPANSION!$I$20:$I$59,DH56)))+2*SUP_OPEX!$F$20*(IF(DI56=0,0,INDEX(SUP_C3_EXPANSION!$J$20:$J$59,DI56))-IF(DH56=0,0,INDEX(SUP_C3_EXPANSION!$J$20:$J$59,DH56))))-IF(DH56=DG56,0,1*SUP_OPEX!$D$20*(IF(DH56=0,0,INDEX(SUP_C3_EXPANSION!$H$20:$H$59,DH56))-IF(DG56=0,0,INDEX(SUP_C3_EXPANSION!$H$20:$H$59,DG56)))+1*SUP_OPEX!$E$20*(IF(DH56=0,0,INDEX(SUP_C3_EXPANSION!$I$20:$I$59,DH56))-IF(DG56=0,0,INDEX(SUP_C3_EXPANSION!$I$20:$I$59,DG56)))+1*SUP_OPEX!$F$20*(IF(DH56=0,0,INDEX(SUP_C3_EXPANSION!$J$20:$J$59,DH56))-IF(DG56=0,0,INDEX(SUP_C3_EXPANSION!$J$20:$J$59,DG56))))-IF(DG56=DF56,0,1*SUP_OPEX!$D$20*(IF(DG56=0,0,INDEX(SUP_C3_EXPANSION!$H$20:$H$59,DG56))-IF(DF56=0,0,INDEX(SUP_C3_EXPANSION!$H$20:$H$59,DF56)))+1*SUP_OPEX!$E$20*(IF(DG56=0,0,INDEX(SUP_C3_EXPANSION!$I$20:$I$59,DG56))-IF(DF56=0,0,INDEX(SUP_C3_EXPANSION!$I$20:$I$59,DF56)))+1*SUP_OPEX!$F$20*(IF(DG56=0,0,INDEX(SUP_C3_EXPANSION!$J$20:$J$59,DG56))-IF(DF56=0,0,INDEX(SUP_C3_EXPANSION!$J$20:$J$59,DF56))))</f>
        <v>0</v>
      </c>
      <c r="DJ66" s="1" t="n">
        <f aca="false">IF(DJ56=DI56,0,2*SUP_OPEX!$D$20*(IF(DJ56=0,0,INDEX(SUP_C3_EXPANSION!$H$20:$H$59,DJ56))-IF(DI56=0,0,INDEX(SUP_C3_EXPANSION!$H$20:$H$59,DI56)))+2*SUP_OPEX!$E$20*(IF(DJ56=0,0,INDEX(SUP_C3_EXPANSION!$I$20:$I$59,DJ56))-IF(DI56=0,0,INDEX(SUP_C3_EXPANSION!$I$20:$I$59,DI56)))+2*SUP_OPEX!$F$20*(IF(DJ56=0,0,INDEX(SUP_C3_EXPANSION!$J$20:$J$59,DJ56))-IF(DI56=0,0,INDEX(SUP_C3_EXPANSION!$J$20:$J$59,DI56))))-IF(DI56=DH56,0,1*SUP_OPEX!$D$20*(IF(DI56=0,0,INDEX(SUP_C3_EXPANSION!$H$20:$H$59,DI56))-IF(DH56=0,0,INDEX(SUP_C3_EXPANSION!$H$20:$H$59,DH56)))+1*SUP_OPEX!$E$20*(IF(DI56=0,0,INDEX(SUP_C3_EXPANSION!$I$20:$I$59,DI56))-IF(DH56=0,0,INDEX(SUP_C3_EXPANSION!$I$20:$I$59,DH56)))+1*SUP_OPEX!$F$20*(IF(DI56=0,0,INDEX(SUP_C3_EXPANSION!$J$20:$J$59,DI56))-IF(DH56=0,0,INDEX(SUP_C3_EXPANSION!$J$20:$J$59,DH56))))-IF(DH56=DG56,0,1*SUP_OPEX!$D$20*(IF(DH56=0,0,INDEX(SUP_C3_EXPANSION!$H$20:$H$59,DH56))-IF(DG56=0,0,INDEX(SUP_C3_EXPANSION!$H$20:$H$59,DG56)))+1*SUP_OPEX!$E$20*(IF(DH56=0,0,INDEX(SUP_C3_EXPANSION!$I$20:$I$59,DH56))-IF(DG56=0,0,INDEX(SUP_C3_EXPANSION!$I$20:$I$59,DG56)))+1*SUP_OPEX!$F$20*(IF(DH56=0,0,INDEX(SUP_C3_EXPANSION!$J$20:$J$59,DH56))-IF(DG56=0,0,INDEX(SUP_C3_EXPANSION!$J$20:$J$59,DG56))))</f>
        <v>0</v>
      </c>
      <c r="DK66" s="1" t="n">
        <f aca="false">IF(DK56=DJ56,0,2*SUP_OPEX!$D$20*(IF(DK56=0,0,INDEX(SUP_C3_EXPANSION!$H$20:$H$59,DK56))-IF(DJ56=0,0,INDEX(SUP_C3_EXPANSION!$H$20:$H$59,DJ56)))+2*SUP_OPEX!$E$20*(IF(DK56=0,0,INDEX(SUP_C3_EXPANSION!$I$20:$I$59,DK56))-IF(DJ56=0,0,INDEX(SUP_C3_EXPANSION!$I$20:$I$59,DJ56)))+2*SUP_OPEX!$F$20*(IF(DK56=0,0,INDEX(SUP_C3_EXPANSION!$J$20:$J$59,DK56))-IF(DJ56=0,0,INDEX(SUP_C3_EXPANSION!$J$20:$J$59,DJ56))))-IF(DJ56=DI56,0,1*SUP_OPEX!$D$20*(IF(DJ56=0,0,INDEX(SUP_C3_EXPANSION!$H$20:$H$59,DJ56))-IF(DI56=0,0,INDEX(SUP_C3_EXPANSION!$H$20:$H$59,DI56)))+1*SUP_OPEX!$E$20*(IF(DJ56=0,0,INDEX(SUP_C3_EXPANSION!$I$20:$I$59,DJ56))-IF(DI56=0,0,INDEX(SUP_C3_EXPANSION!$I$20:$I$59,DI56)))+1*SUP_OPEX!$F$20*(IF(DJ56=0,0,INDEX(SUP_C3_EXPANSION!$J$20:$J$59,DJ56))-IF(DI56=0,0,INDEX(SUP_C3_EXPANSION!$J$20:$J$59,DI56))))-IF(DI56=DH56,0,1*SUP_OPEX!$D$20*(IF(DI56=0,0,INDEX(SUP_C3_EXPANSION!$H$20:$H$59,DI56))-IF(DH56=0,0,INDEX(SUP_C3_EXPANSION!$H$20:$H$59,DH56)))+1*SUP_OPEX!$E$20*(IF(DI56=0,0,INDEX(SUP_C3_EXPANSION!$I$20:$I$59,DI56))-IF(DH56=0,0,INDEX(SUP_C3_EXPANSION!$I$20:$I$59,DH56)))+1*SUP_OPEX!$F$20*(IF(DI56=0,0,INDEX(SUP_C3_EXPANSION!$J$20:$J$59,DI56))-IF(DH56=0,0,INDEX(SUP_C3_EXPANSION!$J$20:$J$59,DH56))))</f>
        <v>0</v>
      </c>
      <c r="DL66" s="1" t="n">
        <f aca="false">IF(DL56=DK56,0,2*SUP_OPEX!$D$20*(IF(DL56=0,0,INDEX(SUP_C3_EXPANSION!$H$20:$H$59,DL56))-IF(DK56=0,0,INDEX(SUP_C3_EXPANSION!$H$20:$H$59,DK56)))+2*SUP_OPEX!$E$20*(IF(DL56=0,0,INDEX(SUP_C3_EXPANSION!$I$20:$I$59,DL56))-IF(DK56=0,0,INDEX(SUP_C3_EXPANSION!$I$20:$I$59,DK56)))+2*SUP_OPEX!$F$20*(IF(DL56=0,0,INDEX(SUP_C3_EXPANSION!$J$20:$J$59,DL56))-IF(DK56=0,0,INDEX(SUP_C3_EXPANSION!$J$20:$J$59,DK56))))-IF(DK56=DJ56,0,1*SUP_OPEX!$D$20*(IF(DK56=0,0,INDEX(SUP_C3_EXPANSION!$H$20:$H$59,DK56))-IF(DJ56=0,0,INDEX(SUP_C3_EXPANSION!$H$20:$H$59,DJ56)))+1*SUP_OPEX!$E$20*(IF(DK56=0,0,INDEX(SUP_C3_EXPANSION!$I$20:$I$59,DK56))-IF(DJ56=0,0,INDEX(SUP_C3_EXPANSION!$I$20:$I$59,DJ56)))+1*SUP_OPEX!$F$20*(IF(DK56=0,0,INDEX(SUP_C3_EXPANSION!$J$20:$J$59,DK56))-IF(DJ56=0,0,INDEX(SUP_C3_EXPANSION!$J$20:$J$59,DJ56))))-IF(DJ56=DI56,0,1*SUP_OPEX!$D$20*(IF(DJ56=0,0,INDEX(SUP_C3_EXPANSION!$H$20:$H$59,DJ56))-IF(DI56=0,0,INDEX(SUP_C3_EXPANSION!$H$20:$H$59,DI56)))+1*SUP_OPEX!$E$20*(IF(DJ56=0,0,INDEX(SUP_C3_EXPANSION!$I$20:$I$59,DJ56))-IF(DI56=0,0,INDEX(SUP_C3_EXPANSION!$I$20:$I$59,DI56)))+1*SUP_OPEX!$F$20*(IF(DJ56=0,0,INDEX(SUP_C3_EXPANSION!$J$20:$J$59,DJ56))-IF(DI56=0,0,INDEX(SUP_C3_EXPANSION!$J$20:$J$59,DI56))))</f>
        <v>0</v>
      </c>
      <c r="DM66" s="1" t="n">
        <f aca="false">IF(DM56=DL56,0,2*SUP_OPEX!$D$20*(IF(DM56=0,0,INDEX(SUP_C3_EXPANSION!$H$20:$H$59,DM56))-IF(DL56=0,0,INDEX(SUP_C3_EXPANSION!$H$20:$H$59,DL56)))+2*SUP_OPEX!$E$20*(IF(DM56=0,0,INDEX(SUP_C3_EXPANSION!$I$20:$I$59,DM56))-IF(DL56=0,0,INDEX(SUP_C3_EXPANSION!$I$20:$I$59,DL56)))+2*SUP_OPEX!$F$20*(IF(DM56=0,0,INDEX(SUP_C3_EXPANSION!$J$20:$J$59,DM56))-IF(DL56=0,0,INDEX(SUP_C3_EXPANSION!$J$20:$J$59,DL56))))-IF(DL56=DK56,0,1*SUP_OPEX!$D$20*(IF(DL56=0,0,INDEX(SUP_C3_EXPANSION!$H$20:$H$59,DL56))-IF(DK56=0,0,INDEX(SUP_C3_EXPANSION!$H$20:$H$59,DK56)))+1*SUP_OPEX!$E$20*(IF(DL56=0,0,INDEX(SUP_C3_EXPANSION!$I$20:$I$59,DL56))-IF(DK56=0,0,INDEX(SUP_C3_EXPANSION!$I$20:$I$59,DK56)))+1*SUP_OPEX!$F$20*(IF(DL56=0,0,INDEX(SUP_C3_EXPANSION!$J$20:$J$59,DL56))-IF(DK56=0,0,INDEX(SUP_C3_EXPANSION!$J$20:$J$59,DK56))))-IF(DK56=DJ56,0,1*SUP_OPEX!$D$20*(IF(DK56=0,0,INDEX(SUP_C3_EXPANSION!$H$20:$H$59,DK56))-IF(DJ56=0,0,INDEX(SUP_C3_EXPANSION!$H$20:$H$59,DJ56)))+1*SUP_OPEX!$E$20*(IF(DK56=0,0,INDEX(SUP_C3_EXPANSION!$I$20:$I$59,DK56))-IF(DJ56=0,0,INDEX(SUP_C3_EXPANSION!$I$20:$I$59,DJ56)))+1*SUP_OPEX!$F$20*(IF(DK56=0,0,INDEX(SUP_C3_EXPANSION!$J$20:$J$59,DK56))-IF(DJ56=0,0,INDEX(SUP_C3_EXPANSION!$J$20:$J$59,DJ56))))</f>
        <v>0</v>
      </c>
      <c r="DN66" s="1" t="n">
        <f aca="false">IF(DN56=DM56,0,2*SUP_OPEX!$D$20*(IF(DN56=0,0,INDEX(SUP_C3_EXPANSION!$H$20:$H$59,DN56))-IF(DM56=0,0,INDEX(SUP_C3_EXPANSION!$H$20:$H$59,DM56)))+2*SUP_OPEX!$E$20*(IF(DN56=0,0,INDEX(SUP_C3_EXPANSION!$I$20:$I$59,DN56))-IF(DM56=0,0,INDEX(SUP_C3_EXPANSION!$I$20:$I$59,DM56)))+2*SUP_OPEX!$F$20*(IF(DN56=0,0,INDEX(SUP_C3_EXPANSION!$J$20:$J$59,DN56))-IF(DM56=0,0,INDEX(SUP_C3_EXPANSION!$J$20:$J$59,DM56))))-IF(DM56=DL56,0,1*SUP_OPEX!$D$20*(IF(DM56=0,0,INDEX(SUP_C3_EXPANSION!$H$20:$H$59,DM56))-IF(DL56=0,0,INDEX(SUP_C3_EXPANSION!$H$20:$H$59,DL56)))+1*SUP_OPEX!$E$20*(IF(DM56=0,0,INDEX(SUP_C3_EXPANSION!$I$20:$I$59,DM56))-IF(DL56=0,0,INDEX(SUP_C3_EXPANSION!$I$20:$I$59,DL56)))+1*SUP_OPEX!$F$20*(IF(DM56=0,0,INDEX(SUP_C3_EXPANSION!$J$20:$J$59,DM56))-IF(DL56=0,0,INDEX(SUP_C3_EXPANSION!$J$20:$J$59,DL56))))-IF(DL56=DK56,0,1*SUP_OPEX!$D$20*(IF(DL56=0,0,INDEX(SUP_C3_EXPANSION!$H$20:$H$59,DL56))-IF(DK56=0,0,INDEX(SUP_C3_EXPANSION!$H$20:$H$59,DK56)))+1*SUP_OPEX!$E$20*(IF(DL56=0,0,INDEX(SUP_C3_EXPANSION!$I$20:$I$59,DL56))-IF(DK56=0,0,INDEX(SUP_C3_EXPANSION!$I$20:$I$59,DK56)))+1*SUP_OPEX!$F$20*(IF(DL56=0,0,INDEX(SUP_C3_EXPANSION!$J$20:$J$59,DL56))-IF(DK56=0,0,INDEX(SUP_C3_EXPANSION!$J$20:$J$59,DK56))))</f>
        <v>0</v>
      </c>
      <c r="DO66" s="1" t="n">
        <f aca="false">IF(DO56=DN56,0,2*SUP_OPEX!$D$20*(IF(DO56=0,0,INDEX(SUP_C3_EXPANSION!$H$20:$H$59,DO56))-IF(DN56=0,0,INDEX(SUP_C3_EXPANSION!$H$20:$H$59,DN56)))+2*SUP_OPEX!$E$20*(IF(DO56=0,0,INDEX(SUP_C3_EXPANSION!$I$20:$I$59,DO56))-IF(DN56=0,0,INDEX(SUP_C3_EXPANSION!$I$20:$I$59,DN56)))+2*SUP_OPEX!$F$20*(IF(DO56=0,0,INDEX(SUP_C3_EXPANSION!$J$20:$J$59,DO56))-IF(DN56=0,0,INDEX(SUP_C3_EXPANSION!$J$20:$J$59,DN56))))-IF(DN56=DM56,0,1*SUP_OPEX!$D$20*(IF(DN56=0,0,INDEX(SUP_C3_EXPANSION!$H$20:$H$59,DN56))-IF(DM56=0,0,INDEX(SUP_C3_EXPANSION!$H$20:$H$59,DM56)))+1*SUP_OPEX!$E$20*(IF(DN56=0,0,INDEX(SUP_C3_EXPANSION!$I$20:$I$59,DN56))-IF(DM56=0,0,INDEX(SUP_C3_EXPANSION!$I$20:$I$59,DM56)))+1*SUP_OPEX!$F$20*(IF(DN56=0,0,INDEX(SUP_C3_EXPANSION!$J$20:$J$59,DN56))-IF(DM56=0,0,INDEX(SUP_C3_EXPANSION!$J$20:$J$59,DM56))))-IF(DM56=DL56,0,1*SUP_OPEX!$D$20*(IF(DM56=0,0,INDEX(SUP_C3_EXPANSION!$H$20:$H$59,DM56))-IF(DL56=0,0,INDEX(SUP_C3_EXPANSION!$H$20:$H$59,DL56)))+1*SUP_OPEX!$E$20*(IF(DM56=0,0,INDEX(SUP_C3_EXPANSION!$I$20:$I$59,DM56))-IF(DL56=0,0,INDEX(SUP_C3_EXPANSION!$I$20:$I$59,DL56)))+1*SUP_OPEX!$F$20*(IF(DM56=0,0,INDEX(SUP_C3_EXPANSION!$J$20:$J$59,DM56))-IF(DL56=0,0,INDEX(SUP_C3_EXPANSION!$J$20:$J$59,DL56))))</f>
        <v>0</v>
      </c>
      <c r="DP66" s="1" t="n">
        <f aca="false">IF(DP56=DO56,0,2*SUP_OPEX!$D$20*(IF(DP56=0,0,INDEX(SUP_C3_EXPANSION!$H$20:$H$59,DP56))-IF(DO56=0,0,INDEX(SUP_C3_EXPANSION!$H$20:$H$59,DO56)))+2*SUP_OPEX!$E$20*(IF(DP56=0,0,INDEX(SUP_C3_EXPANSION!$I$20:$I$59,DP56))-IF(DO56=0,0,INDEX(SUP_C3_EXPANSION!$I$20:$I$59,DO56)))+2*SUP_OPEX!$F$20*(IF(DP56=0,0,INDEX(SUP_C3_EXPANSION!$J$20:$J$59,DP56))-IF(DO56=0,0,INDEX(SUP_C3_EXPANSION!$J$20:$J$59,DO56))))-IF(DO56=DN56,0,1*SUP_OPEX!$D$20*(IF(DO56=0,0,INDEX(SUP_C3_EXPANSION!$H$20:$H$59,DO56))-IF(DN56=0,0,INDEX(SUP_C3_EXPANSION!$H$20:$H$59,DN56)))+1*SUP_OPEX!$E$20*(IF(DO56=0,0,INDEX(SUP_C3_EXPANSION!$I$20:$I$59,DO56))-IF(DN56=0,0,INDEX(SUP_C3_EXPANSION!$I$20:$I$59,DN56)))+1*SUP_OPEX!$F$20*(IF(DO56=0,0,INDEX(SUP_C3_EXPANSION!$J$20:$J$59,DO56))-IF(DN56=0,0,INDEX(SUP_C3_EXPANSION!$J$20:$J$59,DN56))))-IF(DN56=DM56,0,1*SUP_OPEX!$D$20*(IF(DN56=0,0,INDEX(SUP_C3_EXPANSION!$H$20:$H$59,DN56))-IF(DM56=0,0,INDEX(SUP_C3_EXPANSION!$H$20:$H$59,DM56)))+1*SUP_OPEX!$E$20*(IF(DN56=0,0,INDEX(SUP_C3_EXPANSION!$I$20:$I$59,DN56))-IF(DM56=0,0,INDEX(SUP_C3_EXPANSION!$I$20:$I$59,DM56)))+1*SUP_OPEX!$F$20*(IF(DN56=0,0,INDEX(SUP_C3_EXPANSION!$J$20:$J$59,DN56))-IF(DM56=0,0,INDEX(SUP_C3_EXPANSION!$J$20:$J$59,DM56))))</f>
        <v>0</v>
      </c>
      <c r="DQ66" s="1" t="n">
        <f aca="false">IF(DQ56=DP56,0,2*SUP_OPEX!$D$20*(IF(DQ56=0,0,INDEX(SUP_C3_EXPANSION!$H$20:$H$59,DQ56))-IF(DP56=0,0,INDEX(SUP_C3_EXPANSION!$H$20:$H$59,DP56)))+2*SUP_OPEX!$E$20*(IF(DQ56=0,0,INDEX(SUP_C3_EXPANSION!$I$20:$I$59,DQ56))-IF(DP56=0,0,INDEX(SUP_C3_EXPANSION!$I$20:$I$59,DP56)))+2*SUP_OPEX!$F$20*(IF(DQ56=0,0,INDEX(SUP_C3_EXPANSION!$J$20:$J$59,DQ56))-IF(DP56=0,0,INDEX(SUP_C3_EXPANSION!$J$20:$J$59,DP56))))-IF(DP56=DO56,0,1*SUP_OPEX!$D$20*(IF(DP56=0,0,INDEX(SUP_C3_EXPANSION!$H$20:$H$59,DP56))-IF(DO56=0,0,INDEX(SUP_C3_EXPANSION!$H$20:$H$59,DO56)))+1*SUP_OPEX!$E$20*(IF(DP56=0,0,INDEX(SUP_C3_EXPANSION!$I$20:$I$59,DP56))-IF(DO56=0,0,INDEX(SUP_C3_EXPANSION!$I$20:$I$59,DO56)))+1*SUP_OPEX!$F$20*(IF(DP56=0,0,INDEX(SUP_C3_EXPANSION!$J$20:$J$59,DP56))-IF(DO56=0,0,INDEX(SUP_C3_EXPANSION!$J$20:$J$59,DO56))))-IF(DO56=DN56,0,1*SUP_OPEX!$D$20*(IF(DO56=0,0,INDEX(SUP_C3_EXPANSION!$H$20:$H$59,DO56))-IF(DN56=0,0,INDEX(SUP_C3_EXPANSION!$H$20:$H$59,DN56)))+1*SUP_OPEX!$E$20*(IF(DO56=0,0,INDEX(SUP_C3_EXPANSION!$I$20:$I$59,DO56))-IF(DN56=0,0,INDEX(SUP_C3_EXPANSION!$I$20:$I$59,DN56)))+1*SUP_OPEX!$F$20*(IF(DO56=0,0,INDEX(SUP_C3_EXPANSION!$J$20:$J$59,DO56))-IF(DN56=0,0,INDEX(SUP_C3_EXPANSION!$J$20:$J$59,DN56))))</f>
        <v>0</v>
      </c>
      <c r="DR66" s="1" t="n">
        <f aca="false">IF(DR56=DQ56,0,2*SUP_OPEX!$D$20*(IF(DR56=0,0,INDEX(SUP_C3_EXPANSION!$H$20:$H$59,DR56))-IF(DQ56=0,0,INDEX(SUP_C3_EXPANSION!$H$20:$H$59,DQ56)))+2*SUP_OPEX!$E$20*(IF(DR56=0,0,INDEX(SUP_C3_EXPANSION!$I$20:$I$59,DR56))-IF(DQ56=0,0,INDEX(SUP_C3_EXPANSION!$I$20:$I$59,DQ56)))+2*SUP_OPEX!$F$20*(IF(DR56=0,0,INDEX(SUP_C3_EXPANSION!$J$20:$J$59,DR56))-IF(DQ56=0,0,INDEX(SUP_C3_EXPANSION!$J$20:$J$59,DQ56))))-IF(DQ56=DP56,0,1*SUP_OPEX!$D$20*(IF(DQ56=0,0,INDEX(SUP_C3_EXPANSION!$H$20:$H$59,DQ56))-IF(DP56=0,0,INDEX(SUP_C3_EXPANSION!$H$20:$H$59,DP56)))+1*SUP_OPEX!$E$20*(IF(DQ56=0,0,INDEX(SUP_C3_EXPANSION!$I$20:$I$59,DQ56))-IF(DP56=0,0,INDEX(SUP_C3_EXPANSION!$I$20:$I$59,DP56)))+1*SUP_OPEX!$F$20*(IF(DQ56=0,0,INDEX(SUP_C3_EXPANSION!$J$20:$J$59,DQ56))-IF(DP56=0,0,INDEX(SUP_C3_EXPANSION!$J$20:$J$59,DP56))))-IF(DP56=DO56,0,1*SUP_OPEX!$D$20*(IF(DP56=0,0,INDEX(SUP_C3_EXPANSION!$H$20:$H$59,DP56))-IF(DO56=0,0,INDEX(SUP_C3_EXPANSION!$H$20:$H$59,DO56)))+1*SUP_OPEX!$E$20*(IF(DP56=0,0,INDEX(SUP_C3_EXPANSION!$I$20:$I$59,DP56))-IF(DO56=0,0,INDEX(SUP_C3_EXPANSION!$I$20:$I$59,DO56)))+1*SUP_OPEX!$F$20*(IF(DP56=0,0,INDEX(SUP_C3_EXPANSION!$J$20:$J$59,DP56))-IF(DO56=0,0,INDEX(SUP_C3_EXPANSION!$J$20:$J$59,DO56))))</f>
        <v>0</v>
      </c>
      <c r="DS66" s="1" t="n">
        <f aca="false">IF(DS56=DR56,0,2*SUP_OPEX!$D$20*(IF(DS56=0,0,INDEX(SUP_C3_EXPANSION!$H$20:$H$59,DS56))-IF(DR56=0,0,INDEX(SUP_C3_EXPANSION!$H$20:$H$59,DR56)))+2*SUP_OPEX!$E$20*(IF(DS56=0,0,INDEX(SUP_C3_EXPANSION!$I$20:$I$59,DS56))-IF(DR56=0,0,INDEX(SUP_C3_EXPANSION!$I$20:$I$59,DR56)))+2*SUP_OPEX!$F$20*(IF(DS56=0,0,INDEX(SUP_C3_EXPANSION!$J$20:$J$59,DS56))-IF(DR56=0,0,INDEX(SUP_C3_EXPANSION!$J$20:$J$59,DR56))))-IF(DR56=DQ56,0,1*SUP_OPEX!$D$20*(IF(DR56=0,0,INDEX(SUP_C3_EXPANSION!$H$20:$H$59,DR56))-IF(DQ56=0,0,INDEX(SUP_C3_EXPANSION!$H$20:$H$59,DQ56)))+1*SUP_OPEX!$E$20*(IF(DR56=0,0,INDEX(SUP_C3_EXPANSION!$I$20:$I$59,DR56))-IF(DQ56=0,0,INDEX(SUP_C3_EXPANSION!$I$20:$I$59,DQ56)))+1*SUP_OPEX!$F$20*(IF(DR56=0,0,INDEX(SUP_C3_EXPANSION!$J$20:$J$59,DR56))-IF(DQ56=0,0,INDEX(SUP_C3_EXPANSION!$J$20:$J$59,DQ56))))-IF(DQ56=DP56,0,1*SUP_OPEX!$D$20*(IF(DQ56=0,0,INDEX(SUP_C3_EXPANSION!$H$20:$H$59,DQ56))-IF(DP56=0,0,INDEX(SUP_C3_EXPANSION!$H$20:$H$59,DP56)))+1*SUP_OPEX!$E$20*(IF(DQ56=0,0,INDEX(SUP_C3_EXPANSION!$I$20:$I$59,DQ56))-IF(DP56=0,0,INDEX(SUP_C3_EXPANSION!$I$20:$I$59,DP56)))+1*SUP_OPEX!$F$20*(IF(DQ56=0,0,INDEX(SUP_C3_EXPANSION!$J$20:$J$59,DQ56))-IF(DP56=0,0,INDEX(SUP_C3_EXPANSION!$J$20:$J$59,DP56))))</f>
        <v>0</v>
      </c>
    </row>
    <row r="67" customFormat="false" ht="15" hidden="false" customHeight="true" outlineLevel="0" collapsed="false">
      <c r="B67" s="295" t="s">
        <v>3561</v>
      </c>
      <c r="D67" s="1" t="n">
        <f aca="false">SUP_CONTROL!$C$11*CAPA1_PILOTO!D27+SUP_CONTROL!$C$12*CAPA2_FLAGSHIP!D21</f>
        <v>259314</v>
      </c>
      <c r="E67" s="1" t="n">
        <f aca="false">SUP_CONTROL!$C$11*CAPA1_PILOTO!E27+SUP_CONTROL!$C$12*CAPA2_FLAGSHIP!E21</f>
        <v>0</v>
      </c>
      <c r="F67" s="1" t="n">
        <f aca="false">SUP_CONTROL!$C$11*CAPA1_PILOTO!F27+SUP_CONTROL!$C$12*CAPA2_FLAGSHIP!F21</f>
        <v>0</v>
      </c>
      <c r="G67" s="1" t="n">
        <f aca="false">SUP_CONTROL!$C$11*CAPA1_PILOTO!G27+SUP_CONTROL!$C$12*CAPA2_FLAGSHIP!G21</f>
        <v>0</v>
      </c>
      <c r="H67" s="1" t="n">
        <f aca="false">SUP_CONTROL!$C$11*CAPA1_PILOTO!H27+SUP_CONTROL!$C$12*CAPA2_FLAGSHIP!H21</f>
        <v>0</v>
      </c>
      <c r="I67" s="1" t="n">
        <f aca="false">SUP_CONTROL!$C$11*CAPA1_PILOTO!I27+SUP_CONTROL!$C$12*CAPA2_FLAGSHIP!I21</f>
        <v>0</v>
      </c>
      <c r="J67" s="1" t="n">
        <f aca="false">SUP_CONTROL!$C$11*CAPA1_PILOTO!J27+SUP_CONTROL!$C$12*CAPA2_FLAGSHIP!J21</f>
        <v>0</v>
      </c>
      <c r="K67" s="1" t="n">
        <f aca="false">SUP_CONTROL!$C$11*CAPA1_PILOTO!K27+SUP_CONTROL!$C$12*CAPA2_FLAGSHIP!K21</f>
        <v>0</v>
      </c>
      <c r="L67" s="1" t="n">
        <f aca="false">SUP_CONTROL!$C$11*CAPA1_PILOTO!L27+SUP_CONTROL!$C$12*CAPA2_FLAGSHIP!L21</f>
        <v>0</v>
      </c>
      <c r="M67" s="1" t="n">
        <f aca="false">SUP_CONTROL!$C$11*CAPA1_PILOTO!M27+SUP_CONTROL!$C$12*CAPA2_FLAGSHIP!M21</f>
        <v>0</v>
      </c>
      <c r="N67" s="1" t="n">
        <f aca="false">SUP_CONTROL!$C$11*CAPA1_PILOTO!N27+SUP_CONTROL!$C$12*CAPA2_FLAGSHIP!N21</f>
        <v>0</v>
      </c>
      <c r="O67" s="1" t="n">
        <f aca="false">SUP_CONTROL!$C$11*CAPA1_PILOTO!O27+SUP_CONTROL!$C$12*CAPA2_FLAGSHIP!O21</f>
        <v>0</v>
      </c>
      <c r="P67" s="1" t="n">
        <f aca="false">SUP_CONTROL!$C$11*CAPA1_PILOTO!P27+SUP_CONTROL!$C$12*CAPA2_FLAGSHIP!P21</f>
        <v>0</v>
      </c>
      <c r="Q67" s="1" t="n">
        <f aca="false">SUP_CONTROL!$C$11*CAPA1_PILOTO!Q27+SUP_CONTROL!$C$12*CAPA2_FLAGSHIP!Q21</f>
        <v>0</v>
      </c>
      <c r="R67" s="1" t="n">
        <f aca="false">SUP_CONTROL!$C$11*CAPA1_PILOTO!R27+SUP_CONTROL!$C$12*CAPA2_FLAGSHIP!R21</f>
        <v>0</v>
      </c>
      <c r="S67" s="1" t="n">
        <f aca="false">SUP_CONTROL!$C$11*CAPA1_PILOTO!S27+SUP_CONTROL!$C$12*CAPA2_FLAGSHIP!S21</f>
        <v>0</v>
      </c>
      <c r="T67" s="1" t="n">
        <f aca="false">SUP_CONTROL!$C$11*CAPA1_PILOTO!T27+SUP_CONTROL!$C$12*CAPA2_FLAGSHIP!T21</f>
        <v>0</v>
      </c>
      <c r="U67" s="1" t="n">
        <f aca="false">SUP_CONTROL!$C$11*CAPA1_PILOTO!U27+SUP_CONTROL!$C$12*CAPA2_FLAGSHIP!U21</f>
        <v>0</v>
      </c>
      <c r="V67" s="1" t="n">
        <f aca="false">SUP_CONTROL!$C$11*CAPA1_PILOTO!V27+SUP_CONTROL!$C$12*CAPA2_FLAGSHIP!V21</f>
        <v>0</v>
      </c>
      <c r="W67" s="1" t="n">
        <f aca="false">SUP_CONTROL!$C$11*CAPA1_PILOTO!W27+SUP_CONTROL!$C$12*CAPA2_FLAGSHIP!W21</f>
        <v>0</v>
      </c>
      <c r="X67" s="1" t="n">
        <f aca="false">SUP_CONTROL!$C$11*CAPA1_PILOTO!X27+SUP_CONTROL!$C$12*CAPA2_FLAGSHIP!X21</f>
        <v>0</v>
      </c>
      <c r="Y67" s="1" t="n">
        <f aca="false">SUP_CONTROL!$C$11*CAPA1_PILOTO!Y27+SUP_CONTROL!$C$12*CAPA2_FLAGSHIP!Y21</f>
        <v>0</v>
      </c>
      <c r="Z67" s="1" t="n">
        <f aca="false">SUP_CONTROL!$C$11*CAPA1_PILOTO!Z27+SUP_CONTROL!$C$12*CAPA2_FLAGSHIP!Z21</f>
        <v>0</v>
      </c>
      <c r="AA67" s="1" t="n">
        <f aca="false">SUP_CONTROL!$C$11*CAPA1_PILOTO!AA27+SUP_CONTROL!$C$12*CAPA2_FLAGSHIP!AA21</f>
        <v>0</v>
      </c>
      <c r="AB67" s="1" t="n">
        <f aca="false">SUP_CONTROL!$C$11*CAPA1_PILOTO!AB27+SUP_CONTROL!$C$12*CAPA2_FLAGSHIP!AB21</f>
        <v>0</v>
      </c>
      <c r="AC67" s="1" t="n">
        <f aca="false">SUP_CONTROL!$C$11*CAPA1_PILOTO!AC27+SUP_CONTROL!$C$12*CAPA2_FLAGSHIP!AC21</f>
        <v>0</v>
      </c>
      <c r="AD67" s="1" t="n">
        <f aca="false">SUP_CONTROL!$C$11*CAPA1_PILOTO!AD27+SUP_CONTROL!$C$12*CAPA2_FLAGSHIP!AD21</f>
        <v>0</v>
      </c>
      <c r="AE67" s="1" t="n">
        <f aca="false">SUP_CONTROL!$C$11*CAPA1_PILOTO!AE27+SUP_CONTROL!$C$12*CAPA2_FLAGSHIP!AE21</f>
        <v>0</v>
      </c>
      <c r="AF67" s="1" t="n">
        <f aca="false">SUP_CONTROL!$C$11*CAPA1_PILOTO!AF27+SUP_CONTROL!$C$12*CAPA2_FLAGSHIP!AF21</f>
        <v>0</v>
      </c>
      <c r="AG67" s="1" t="n">
        <f aca="false">SUP_CONTROL!$C$11*CAPA1_PILOTO!AG27+SUP_CONTROL!$C$12*CAPA2_FLAGSHIP!AG21</f>
        <v>0</v>
      </c>
      <c r="AH67" s="1" t="n">
        <f aca="false">SUP_CONTROL!$C$11*CAPA1_PILOTO!AH27+SUP_CONTROL!$C$12*CAPA2_FLAGSHIP!AH21</f>
        <v>0</v>
      </c>
      <c r="AI67" s="1" t="n">
        <f aca="false">SUP_CONTROL!$C$11*CAPA1_PILOTO!AI27+SUP_CONTROL!$C$12*CAPA2_FLAGSHIP!AI21</f>
        <v>0</v>
      </c>
      <c r="AJ67" s="1" t="n">
        <f aca="false">SUP_CONTROL!$C$11*CAPA1_PILOTO!AJ27+SUP_CONTROL!$C$12*CAPA2_FLAGSHIP!AJ21</f>
        <v>0</v>
      </c>
      <c r="AK67" s="1" t="n">
        <f aca="false">SUP_CONTROL!$C$11*CAPA1_PILOTO!AK27+SUP_CONTROL!$C$12*CAPA2_FLAGSHIP!AK21</f>
        <v>0</v>
      </c>
      <c r="AL67" s="1" t="n">
        <f aca="false">SUP_CONTROL!$C$11*CAPA1_PILOTO!AL27+SUP_CONTROL!$C$12*CAPA2_FLAGSHIP!AL21</f>
        <v>0</v>
      </c>
      <c r="AM67" s="1" t="n">
        <f aca="false">SUP_CONTROL!$C$11*CAPA1_PILOTO!AM27+SUP_CONTROL!$C$12*CAPA2_FLAGSHIP!AM21</f>
        <v>0</v>
      </c>
      <c r="AN67" s="1" t="n">
        <f aca="false">SUP_CONTROL!$C$11*CAPA1_PILOTO!AN27+SUP_CONTROL!$C$12*CAPA2_FLAGSHIP!AN21</f>
        <v>0</v>
      </c>
      <c r="AO67" s="1" t="n">
        <f aca="false">SUP_CONTROL!$C$11*CAPA1_PILOTO!AO27+SUP_CONTROL!$C$12*CAPA2_FLAGSHIP!AO21</f>
        <v>0</v>
      </c>
      <c r="AP67" s="1" t="n">
        <f aca="false">SUP_CONTROL!$C$11*CAPA1_PILOTO!AP27+SUP_CONTROL!$C$12*CAPA2_FLAGSHIP!AP21</f>
        <v>0</v>
      </c>
      <c r="AQ67" s="1" t="n">
        <f aca="false">SUP_CONTROL!$C$11*CAPA1_PILOTO!AQ27+SUP_CONTROL!$C$12*CAPA2_FLAGSHIP!AQ21</f>
        <v>0</v>
      </c>
      <c r="AR67" s="1" t="n">
        <f aca="false">SUP_CONTROL!$C$11*CAPA1_PILOTO!AR27+SUP_CONTROL!$C$12*CAPA2_FLAGSHIP!AR21</f>
        <v>0</v>
      </c>
      <c r="AS67" s="1" t="n">
        <f aca="false">SUP_CONTROL!$C$11*CAPA1_PILOTO!AS27+SUP_CONTROL!$C$12*CAPA2_FLAGSHIP!AS21</f>
        <v>0</v>
      </c>
      <c r="AT67" s="1" t="n">
        <f aca="false">SUP_CONTROL!$C$11*CAPA1_PILOTO!AT27+SUP_CONTROL!$C$12*CAPA2_FLAGSHIP!AT21</f>
        <v>0</v>
      </c>
      <c r="AU67" s="1" t="n">
        <f aca="false">SUP_CONTROL!$C$11*CAPA1_PILOTO!AU27+SUP_CONTROL!$C$12*CAPA2_FLAGSHIP!AU21</f>
        <v>0</v>
      </c>
      <c r="AV67" s="1" t="n">
        <f aca="false">SUP_CONTROL!$C$11*CAPA1_PILOTO!AV27+SUP_CONTROL!$C$12*CAPA2_FLAGSHIP!AV21</f>
        <v>0</v>
      </c>
      <c r="AW67" s="1" t="n">
        <f aca="false">SUP_CONTROL!$C$11*CAPA1_PILOTO!AW27+SUP_CONTROL!$C$12*CAPA2_FLAGSHIP!AW21</f>
        <v>0</v>
      </c>
      <c r="AX67" s="1" t="n">
        <f aca="false">SUP_CONTROL!$C$11*CAPA1_PILOTO!AX27+SUP_CONTROL!$C$12*CAPA2_FLAGSHIP!AX21</f>
        <v>0</v>
      </c>
      <c r="AY67" s="1" t="n">
        <f aca="false">SUP_CONTROL!$C$11*CAPA1_PILOTO!AY27+SUP_CONTROL!$C$12*CAPA2_FLAGSHIP!AY21</f>
        <v>0</v>
      </c>
      <c r="AZ67" s="1" t="n">
        <f aca="false">SUP_CONTROL!$C$11*CAPA1_PILOTO!AZ27+SUP_CONTROL!$C$12*CAPA2_FLAGSHIP!AZ21</f>
        <v>0</v>
      </c>
      <c r="BA67" s="1" t="n">
        <f aca="false">SUP_CONTROL!$C$11*CAPA1_PILOTO!BA27+SUP_CONTROL!$C$12*CAPA2_FLAGSHIP!BA21</f>
        <v>0</v>
      </c>
      <c r="BB67" s="1" t="n">
        <f aca="false">SUP_CONTROL!$C$11*CAPA1_PILOTO!BB27+SUP_CONTROL!$C$12*CAPA2_FLAGSHIP!BB21</f>
        <v>0</v>
      </c>
      <c r="BC67" s="1" t="n">
        <f aca="false">SUP_CONTROL!$C$11*CAPA1_PILOTO!BC27+SUP_CONTROL!$C$12*CAPA2_FLAGSHIP!BC21</f>
        <v>0</v>
      </c>
      <c r="BD67" s="1" t="n">
        <f aca="false">SUP_CONTROL!$C$11*CAPA1_PILOTO!BD27+SUP_CONTROL!$C$12*CAPA2_FLAGSHIP!BD21</f>
        <v>0</v>
      </c>
      <c r="BE67" s="1" t="n">
        <f aca="false">SUP_CONTROL!$C$11*CAPA1_PILOTO!BE27+SUP_CONTROL!$C$12*CAPA2_FLAGSHIP!BE21</f>
        <v>0</v>
      </c>
      <c r="BF67" s="1" t="n">
        <f aca="false">SUP_CONTROL!$C$11*CAPA1_PILOTO!BF27+SUP_CONTROL!$C$12*CAPA2_FLAGSHIP!BF21</f>
        <v>0</v>
      </c>
      <c r="BG67" s="1" t="n">
        <f aca="false">SUP_CONTROL!$C$11*CAPA1_PILOTO!BG27+SUP_CONTROL!$C$12*CAPA2_FLAGSHIP!BG21</f>
        <v>0</v>
      </c>
      <c r="BH67" s="1" t="n">
        <f aca="false">SUP_CONTROL!$C$11*CAPA1_PILOTO!BH27+SUP_CONTROL!$C$12*CAPA2_FLAGSHIP!BH21</f>
        <v>0</v>
      </c>
      <c r="BI67" s="1" t="n">
        <f aca="false">SUP_CONTROL!$C$11*CAPA1_PILOTO!BI27+SUP_CONTROL!$C$12*CAPA2_FLAGSHIP!BI21</f>
        <v>0</v>
      </c>
      <c r="BJ67" s="1" t="n">
        <f aca="false">SUP_CONTROL!$C$11*CAPA1_PILOTO!BJ27+SUP_CONTROL!$C$12*CAPA2_FLAGSHIP!BJ21</f>
        <v>0</v>
      </c>
      <c r="BK67" s="1" t="n">
        <f aca="false">SUP_CONTROL!$C$11*CAPA1_PILOTO!BK27+SUP_CONTROL!$C$12*CAPA2_FLAGSHIP!BK21</f>
        <v>0</v>
      </c>
      <c r="BL67" s="1" t="n">
        <f aca="false">SUP_CONTROL!$C$11*CAPA1_PILOTO!BL27+SUP_CONTROL!$C$12*CAPA2_FLAGSHIP!BL21</f>
        <v>0</v>
      </c>
      <c r="BM67" s="1" t="n">
        <f aca="false">SUP_CONTROL!$C$11*CAPA1_PILOTO!BM27+SUP_CONTROL!$C$12*CAPA2_FLAGSHIP!BM21</f>
        <v>0</v>
      </c>
      <c r="BN67" s="1" t="n">
        <f aca="false">SUP_CONTROL!$C$11*CAPA1_PILOTO!BN27+SUP_CONTROL!$C$12*CAPA2_FLAGSHIP!BN21</f>
        <v>0</v>
      </c>
      <c r="BO67" s="1" t="n">
        <f aca="false">SUP_CONTROL!$C$11*CAPA1_PILOTO!BO27+SUP_CONTROL!$C$12*CAPA2_FLAGSHIP!BO21</f>
        <v>0</v>
      </c>
      <c r="BP67" s="1" t="n">
        <f aca="false">SUP_CONTROL!$C$11*CAPA1_PILOTO!BP27+SUP_CONTROL!$C$12*CAPA2_FLAGSHIP!BP21</f>
        <v>0</v>
      </c>
      <c r="BQ67" s="1" t="n">
        <f aca="false">SUP_CONTROL!$C$11*CAPA1_PILOTO!BQ27+SUP_CONTROL!$C$12*CAPA2_FLAGSHIP!BQ21</f>
        <v>0</v>
      </c>
      <c r="BR67" s="1" t="n">
        <f aca="false">SUP_CONTROL!$C$11*CAPA1_PILOTO!BR27+SUP_CONTROL!$C$12*CAPA2_FLAGSHIP!BR21</f>
        <v>0</v>
      </c>
      <c r="BS67" s="1" t="n">
        <f aca="false">SUP_CONTROL!$C$11*CAPA1_PILOTO!BS27+SUP_CONTROL!$C$12*CAPA2_FLAGSHIP!BS21</f>
        <v>0</v>
      </c>
      <c r="BT67" s="1" t="n">
        <f aca="false">SUP_CONTROL!$C$11*CAPA1_PILOTO!BT27+SUP_CONTROL!$C$12*CAPA2_FLAGSHIP!BT21</f>
        <v>0</v>
      </c>
      <c r="BU67" s="1" t="n">
        <f aca="false">SUP_CONTROL!$C$11*CAPA1_PILOTO!BU27+SUP_CONTROL!$C$12*CAPA2_FLAGSHIP!BU21</f>
        <v>0</v>
      </c>
      <c r="BV67" s="1" t="n">
        <f aca="false">SUP_CONTROL!$C$11*CAPA1_PILOTO!BV27+SUP_CONTROL!$C$12*CAPA2_FLAGSHIP!BV21</f>
        <v>0</v>
      </c>
      <c r="BW67" s="1" t="n">
        <f aca="false">SUP_CONTROL!$C$11*CAPA1_PILOTO!BW27+SUP_CONTROL!$C$12*CAPA2_FLAGSHIP!BW21</f>
        <v>0</v>
      </c>
      <c r="BX67" s="1" t="n">
        <f aca="false">SUP_CONTROL!$C$11*CAPA1_PILOTO!BX27+SUP_CONTROL!$C$12*CAPA2_FLAGSHIP!BX21</f>
        <v>0</v>
      </c>
      <c r="BY67" s="1" t="n">
        <f aca="false">SUP_CONTROL!$C$11*CAPA1_PILOTO!BY27+SUP_CONTROL!$C$12*CAPA2_FLAGSHIP!BY21</f>
        <v>0</v>
      </c>
      <c r="BZ67" s="1" t="n">
        <f aca="false">SUP_CONTROL!$C$11*CAPA1_PILOTO!BZ27+SUP_CONTROL!$C$12*CAPA2_FLAGSHIP!BZ21</f>
        <v>0</v>
      </c>
      <c r="CA67" s="1" t="n">
        <f aca="false">SUP_CONTROL!$C$11*CAPA1_PILOTO!CA27+SUP_CONTROL!$C$12*CAPA2_FLAGSHIP!CA21</f>
        <v>0</v>
      </c>
      <c r="CB67" s="1" t="n">
        <f aca="false">SUP_CONTROL!$C$11*CAPA1_PILOTO!CB27+SUP_CONTROL!$C$12*CAPA2_FLAGSHIP!CB21</f>
        <v>0</v>
      </c>
      <c r="CC67" s="1" t="n">
        <f aca="false">SUP_CONTROL!$C$11*CAPA1_PILOTO!CC27+SUP_CONTROL!$C$12*CAPA2_FLAGSHIP!CC21</f>
        <v>0</v>
      </c>
      <c r="CD67" s="1" t="n">
        <f aca="false">SUP_CONTROL!$C$11*CAPA1_PILOTO!CD27+SUP_CONTROL!$C$12*CAPA2_FLAGSHIP!CD21</f>
        <v>0</v>
      </c>
      <c r="CE67" s="1" t="n">
        <f aca="false">SUP_CONTROL!$C$11*CAPA1_PILOTO!CE27+SUP_CONTROL!$C$12*CAPA2_FLAGSHIP!CE21</f>
        <v>0</v>
      </c>
      <c r="CF67" s="1" t="n">
        <f aca="false">SUP_CONTROL!$C$11*CAPA1_PILOTO!CF27+SUP_CONTROL!$C$12*CAPA2_FLAGSHIP!CF21</f>
        <v>0</v>
      </c>
      <c r="CG67" s="1" t="n">
        <f aca="false">SUP_CONTROL!$C$11*CAPA1_PILOTO!CG27+SUP_CONTROL!$C$12*CAPA2_FLAGSHIP!CG21</f>
        <v>0</v>
      </c>
      <c r="CH67" s="1" t="n">
        <f aca="false">SUP_CONTROL!$C$11*CAPA1_PILOTO!CH27+SUP_CONTROL!$C$12*CAPA2_FLAGSHIP!CH21</f>
        <v>0</v>
      </c>
      <c r="CI67" s="1" t="n">
        <f aca="false">SUP_CONTROL!$C$11*CAPA1_PILOTO!CI27+SUP_CONTROL!$C$12*CAPA2_FLAGSHIP!CI21</f>
        <v>0</v>
      </c>
      <c r="CJ67" s="1" t="n">
        <f aca="false">SUP_CONTROL!$C$11*CAPA1_PILOTO!CJ27+SUP_CONTROL!$C$12*CAPA2_FLAGSHIP!CJ21</f>
        <v>0</v>
      </c>
      <c r="CK67" s="1" t="n">
        <f aca="false">SUP_CONTROL!$C$11*CAPA1_PILOTO!CK27+SUP_CONTROL!$C$12*CAPA2_FLAGSHIP!CK21</f>
        <v>0</v>
      </c>
      <c r="CL67" s="1" t="n">
        <f aca="false">SUP_CONTROL!$C$11*CAPA1_PILOTO!CL27+SUP_CONTROL!$C$12*CAPA2_FLAGSHIP!CL21</f>
        <v>0</v>
      </c>
      <c r="CM67" s="1" t="n">
        <f aca="false">SUP_CONTROL!$C$11*CAPA1_PILOTO!CM27+SUP_CONTROL!$C$12*CAPA2_FLAGSHIP!CM21</f>
        <v>0</v>
      </c>
      <c r="CN67" s="1" t="n">
        <f aca="false">SUP_CONTROL!$C$11*CAPA1_PILOTO!CN27+SUP_CONTROL!$C$12*CAPA2_FLAGSHIP!CN21</f>
        <v>0</v>
      </c>
      <c r="CO67" s="1" t="n">
        <f aca="false">SUP_CONTROL!$C$11*CAPA1_PILOTO!CO27+SUP_CONTROL!$C$12*CAPA2_FLAGSHIP!CO21</f>
        <v>0</v>
      </c>
      <c r="CP67" s="1" t="n">
        <f aca="false">SUP_CONTROL!$C$11*CAPA1_PILOTO!CP27+SUP_CONTROL!$C$12*CAPA2_FLAGSHIP!CP21</f>
        <v>0</v>
      </c>
      <c r="CQ67" s="1" t="n">
        <f aca="false">SUP_CONTROL!$C$11*CAPA1_PILOTO!CQ27+SUP_CONTROL!$C$12*CAPA2_FLAGSHIP!CQ21</f>
        <v>0</v>
      </c>
      <c r="CR67" s="1" t="n">
        <f aca="false">SUP_CONTROL!$C$11*CAPA1_PILOTO!CR27+SUP_CONTROL!$C$12*CAPA2_FLAGSHIP!CR21</f>
        <v>0</v>
      </c>
      <c r="CS67" s="1" t="n">
        <f aca="false">SUP_CONTROL!$C$11*CAPA1_PILOTO!CS27+SUP_CONTROL!$C$12*CAPA2_FLAGSHIP!CS21</f>
        <v>0</v>
      </c>
      <c r="CT67" s="1" t="n">
        <f aca="false">SUP_CONTROL!$C$11*CAPA1_PILOTO!CT27+SUP_CONTROL!$C$12*CAPA2_FLAGSHIP!CT21</f>
        <v>0</v>
      </c>
      <c r="CU67" s="1" t="n">
        <f aca="false">SUP_CONTROL!$C$11*CAPA1_PILOTO!CU27+SUP_CONTROL!$C$12*CAPA2_FLAGSHIP!CU21</f>
        <v>0</v>
      </c>
      <c r="CV67" s="1" t="n">
        <f aca="false">SUP_CONTROL!$C$11*CAPA1_PILOTO!CV27+SUP_CONTROL!$C$12*CAPA2_FLAGSHIP!CV21</f>
        <v>0</v>
      </c>
      <c r="CW67" s="1" t="n">
        <f aca="false">SUP_CONTROL!$C$11*CAPA1_PILOTO!CW27+SUP_CONTROL!$C$12*CAPA2_FLAGSHIP!CW21</f>
        <v>0</v>
      </c>
      <c r="CX67" s="1" t="n">
        <f aca="false">SUP_CONTROL!$C$11*CAPA1_PILOTO!CX27+SUP_CONTROL!$C$12*CAPA2_FLAGSHIP!CX21</f>
        <v>0</v>
      </c>
      <c r="CY67" s="1" t="n">
        <f aca="false">SUP_CONTROL!$C$11*CAPA1_PILOTO!CY27+SUP_CONTROL!$C$12*CAPA2_FLAGSHIP!CY21</f>
        <v>0</v>
      </c>
      <c r="CZ67" s="1" t="n">
        <f aca="false">SUP_CONTROL!$C$11*CAPA1_PILOTO!CZ27+SUP_CONTROL!$C$12*CAPA2_FLAGSHIP!CZ21</f>
        <v>0</v>
      </c>
      <c r="DA67" s="1" t="n">
        <f aca="false">SUP_CONTROL!$C$11*CAPA1_PILOTO!DA27+SUP_CONTROL!$C$12*CAPA2_FLAGSHIP!DA21</f>
        <v>0</v>
      </c>
      <c r="DB67" s="1" t="n">
        <f aca="false">SUP_CONTROL!$C$11*CAPA1_PILOTO!DB27+SUP_CONTROL!$C$12*CAPA2_FLAGSHIP!DB21</f>
        <v>0</v>
      </c>
      <c r="DC67" s="1" t="n">
        <f aca="false">SUP_CONTROL!$C$11*CAPA1_PILOTO!DC27+SUP_CONTROL!$C$12*CAPA2_FLAGSHIP!DC21</f>
        <v>0</v>
      </c>
      <c r="DD67" s="1" t="n">
        <f aca="false">SUP_CONTROL!$C$11*CAPA1_PILOTO!DD27+SUP_CONTROL!$C$12*CAPA2_FLAGSHIP!DD21</f>
        <v>0</v>
      </c>
      <c r="DE67" s="1" t="n">
        <f aca="false">SUP_CONTROL!$C$11*CAPA1_PILOTO!DE27+SUP_CONTROL!$C$12*CAPA2_FLAGSHIP!DE21</f>
        <v>0</v>
      </c>
      <c r="DF67" s="1" t="n">
        <f aca="false">SUP_CONTROL!$C$11*CAPA1_PILOTO!DF27+SUP_CONTROL!$C$12*CAPA2_FLAGSHIP!DF21</f>
        <v>0</v>
      </c>
      <c r="DG67" s="1" t="n">
        <f aca="false">SUP_CONTROL!$C$11*CAPA1_PILOTO!DG27+SUP_CONTROL!$C$12*CAPA2_FLAGSHIP!DG21</f>
        <v>0</v>
      </c>
      <c r="DH67" s="1" t="n">
        <f aca="false">SUP_CONTROL!$C$11*CAPA1_PILOTO!DH27+SUP_CONTROL!$C$12*CAPA2_FLAGSHIP!DH21</f>
        <v>0</v>
      </c>
      <c r="DI67" s="1" t="n">
        <f aca="false">SUP_CONTROL!$C$11*CAPA1_PILOTO!DI27+SUP_CONTROL!$C$12*CAPA2_FLAGSHIP!DI21</f>
        <v>0</v>
      </c>
      <c r="DJ67" s="1" t="n">
        <f aca="false">SUP_CONTROL!$C$11*CAPA1_PILOTO!DJ27+SUP_CONTROL!$C$12*CAPA2_FLAGSHIP!DJ21</f>
        <v>0</v>
      </c>
      <c r="DK67" s="1" t="n">
        <f aca="false">SUP_CONTROL!$C$11*CAPA1_PILOTO!DK27+SUP_CONTROL!$C$12*CAPA2_FLAGSHIP!DK21</f>
        <v>0</v>
      </c>
      <c r="DL67" s="1" t="n">
        <f aca="false">SUP_CONTROL!$C$11*CAPA1_PILOTO!DL27+SUP_CONTROL!$C$12*CAPA2_FLAGSHIP!DL21</f>
        <v>0</v>
      </c>
      <c r="DM67" s="1" t="n">
        <f aca="false">SUP_CONTROL!$C$11*CAPA1_PILOTO!DM27+SUP_CONTROL!$C$12*CAPA2_FLAGSHIP!DM21</f>
        <v>0</v>
      </c>
      <c r="DN67" s="1" t="n">
        <f aca="false">SUP_CONTROL!$C$11*CAPA1_PILOTO!DN27+SUP_CONTROL!$C$12*CAPA2_FLAGSHIP!DN21</f>
        <v>0</v>
      </c>
      <c r="DO67" s="1" t="n">
        <f aca="false">SUP_CONTROL!$C$11*CAPA1_PILOTO!DO27+SUP_CONTROL!$C$12*CAPA2_FLAGSHIP!DO21</f>
        <v>0</v>
      </c>
      <c r="DP67" s="1" t="n">
        <f aca="false">SUP_CONTROL!$C$11*CAPA1_PILOTO!DP27+SUP_CONTROL!$C$12*CAPA2_FLAGSHIP!DP21</f>
        <v>0</v>
      </c>
      <c r="DQ67" s="1" t="n">
        <f aca="false">SUP_CONTROL!$C$11*CAPA1_PILOTO!DQ27+SUP_CONTROL!$C$12*CAPA2_FLAGSHIP!DQ21</f>
        <v>0</v>
      </c>
      <c r="DR67" s="1" t="n">
        <f aca="false">SUP_CONTROL!$C$11*CAPA1_PILOTO!DR27+SUP_CONTROL!$C$12*CAPA2_FLAGSHIP!DR21</f>
        <v>0</v>
      </c>
      <c r="DS67" s="1" t="n">
        <f aca="false">SUP_CONTROL!$C$11*CAPA1_PILOTO!DS27+SUP_CONTROL!$C$12*CAPA2_FLAGSHIP!DS21</f>
        <v>0</v>
      </c>
    </row>
    <row r="68" customFormat="false" ht="15" hidden="false" customHeight="true" outlineLevel="0" collapsed="false">
      <c r="B68" s="1" t="s">
        <v>3562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DS183"/>
  <sheetViews>
    <sheetView showFormulas="false" showGridLines="true" showRowColHeaders="true" showZeros="true" rightToLeft="false" tabSelected="false" showOutlineSymbols="true" defaultGridColor="true" view="normal" topLeftCell="A45" colorId="64" zoomScale="100" zoomScaleNormal="100" zoomScalePageLayoutView="100" workbookViewId="0">
      <selection pane="topLeft" activeCell="A45" activeCellId="0" sqref="A45"/>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14"/>
    <col collapsed="false" customWidth="true" hidden="false" outlineLevel="0" max="3" min="3" style="1" width="12"/>
    <col collapsed="false" customWidth="true" hidden="false" outlineLevel="0" max="13" min="4" style="1" width="10"/>
    <col collapsed="false" customWidth="true" hidden="false" outlineLevel="0" max="14" min="14" style="1" width="12.83"/>
    <col collapsed="false" customWidth="true" hidden="false" outlineLevel="0" max="123" min="15" style="1" width="10"/>
  </cols>
  <sheetData>
    <row r="1" customFormat="false" ht="15" hidden="false" customHeight="true" outlineLevel="0" collapsed="false">
      <c r="A1" s="185" t="s">
        <v>3563</v>
      </c>
      <c r="B1" s="126"/>
      <c r="C1" s="126"/>
      <c r="D1" s="126"/>
      <c r="E1" s="126"/>
      <c r="F1" s="126"/>
      <c r="G1" s="126"/>
      <c r="H1" s="126"/>
      <c r="I1" s="126"/>
    </row>
    <row r="2" customFormat="false" ht="15" hidden="false" customHeight="true" outlineLevel="0" collapsed="false">
      <c r="A2" s="23" t="s">
        <v>3564</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7" customFormat="false" ht="15" hidden="false" customHeight="true" outlineLevel="0" collapsed="false">
      <c r="A7" s="178" t="s">
        <v>849</v>
      </c>
      <c r="B7" s="178" t="s">
        <v>3489</v>
      </c>
      <c r="C7" s="178" t="s">
        <v>3565</v>
      </c>
    </row>
    <row r="8" customFormat="false" ht="15" hidden="false" customHeight="true" outlineLevel="0" collapsed="false">
      <c r="A8" s="298" t="n">
        <v>11</v>
      </c>
      <c r="B8" s="497" t="str">
        <f aca="false">SUP_C3_EXPANSION!B20</f>
        <v>V</v>
      </c>
      <c r="C8" s="267" t="n">
        <f aca="false">SUP_C3_EXPANSION!G20</f>
        <v>16</v>
      </c>
      <c r="D8" s="298" t="n">
        <f aca="false">IF(COUNTIF(CAPA3_EXPANSION!$D$56:D$56,"&gt;="&amp;1)=0,0,SUP_CONTROL!$C$8*IF($B8="V",1,IF($B8="D",(1+SUP_VOLUMEN!$C$26),(1+SUP_VOLUMEN!$C$27)))*INDEX(SUP_C3_EXPANSION!$C$6:$F$6,MIN(4,COUNTIF(CAPA3_EXPANSION!$D$56:D$56,"&gt;="&amp;1)))*CAPA3_EXPANSION!D$36)</f>
        <v>0</v>
      </c>
      <c r="E8" s="298" t="n">
        <f aca="false">IF(COUNTIF(CAPA3_EXPANSION!$D$56:E$56,"&gt;="&amp;1)=0,0,SUP_CONTROL!$C$8*IF($B8="V",1,IF($B8="D",(1+SUP_VOLUMEN!$C$26),(1+SUP_VOLUMEN!$C$27)))*INDEX(SUP_C3_EXPANSION!$C$6:$F$6,MIN(4,COUNTIF(CAPA3_EXPANSION!$D$56:E$56,"&gt;="&amp;1)))*CAPA3_EXPANSION!E$36)</f>
        <v>0</v>
      </c>
      <c r="F8" s="298" t="n">
        <f aca="false">IF(COUNTIF(CAPA3_EXPANSION!$D$56:F$56,"&gt;="&amp;1)=0,0,SUP_CONTROL!$C$8*IF($B8="V",1,IF($B8="D",(1+SUP_VOLUMEN!$C$26),(1+SUP_VOLUMEN!$C$27)))*INDEX(SUP_C3_EXPANSION!$C$6:$F$6,MIN(4,COUNTIF(CAPA3_EXPANSION!$D$56:F$56,"&gt;="&amp;1)))*CAPA3_EXPANSION!F$36)</f>
        <v>0</v>
      </c>
      <c r="G8" s="298" t="n">
        <f aca="false">IF(COUNTIF(CAPA3_EXPANSION!$D$56:G$56,"&gt;="&amp;1)=0,0,SUP_CONTROL!$C$8*IF($B8="V",1,IF($B8="D",(1+SUP_VOLUMEN!$C$26),(1+SUP_VOLUMEN!$C$27)))*INDEX(SUP_C3_EXPANSION!$C$6:$F$6,MIN(4,COUNTIF(CAPA3_EXPANSION!$D$56:G$56,"&gt;="&amp;1)))*CAPA3_EXPANSION!G$36)</f>
        <v>0</v>
      </c>
      <c r="H8" s="298" t="n">
        <f aca="false">IF(COUNTIF(CAPA3_EXPANSION!$D$56:H$56,"&gt;="&amp;1)=0,0,SUP_CONTROL!$C$8*IF($B8="V",1,IF($B8="D",(1+SUP_VOLUMEN!$C$26),(1+SUP_VOLUMEN!$C$27)))*INDEX(SUP_C3_EXPANSION!$C$6:$F$6,MIN(4,COUNTIF(CAPA3_EXPANSION!$D$56:H$56,"&gt;="&amp;1)))*CAPA3_EXPANSION!H$36)</f>
        <v>0</v>
      </c>
      <c r="I8" s="298" t="n">
        <f aca="false">IF(COUNTIF(CAPA3_EXPANSION!$D$56:I$56,"&gt;="&amp;1)=0,0,SUP_CONTROL!$C$8*IF($B8="V",1,IF($B8="D",(1+SUP_VOLUMEN!$C$26),(1+SUP_VOLUMEN!$C$27)))*INDEX(SUP_C3_EXPANSION!$C$6:$F$6,MIN(4,COUNTIF(CAPA3_EXPANSION!$D$56:I$56,"&gt;="&amp;1)))*CAPA3_EXPANSION!I$36)</f>
        <v>0</v>
      </c>
      <c r="J8" s="298" t="n">
        <f aca="false">IF(COUNTIF(CAPA3_EXPANSION!$D$56:J$56,"&gt;="&amp;1)=0,0,SUP_CONTROL!$C$8*IF($B8="V",1,IF($B8="D",(1+SUP_VOLUMEN!$C$26),(1+SUP_VOLUMEN!$C$27)))*INDEX(SUP_C3_EXPANSION!$C$6:$F$6,MIN(4,COUNTIF(CAPA3_EXPANSION!$D$56:J$56,"&gt;="&amp;1)))*CAPA3_EXPANSION!J$36)</f>
        <v>0</v>
      </c>
      <c r="K8" s="298" t="n">
        <f aca="false">IF(COUNTIF(CAPA3_EXPANSION!$D$56:K$56,"&gt;="&amp;1)=0,0,SUP_CONTROL!$C$8*IF($B8="V",1,IF($B8="D",(1+SUP_VOLUMEN!$C$26),(1+SUP_VOLUMEN!$C$27)))*INDEX(SUP_C3_EXPANSION!$C$6:$F$6,MIN(4,COUNTIF(CAPA3_EXPANSION!$D$56:K$56,"&gt;="&amp;1)))*CAPA3_EXPANSION!K$36)</f>
        <v>0</v>
      </c>
      <c r="L8" s="298" t="n">
        <f aca="false">IF(COUNTIF(CAPA3_EXPANSION!$D$56:L$56,"&gt;="&amp;1)=0,0,SUP_CONTROL!$C$8*IF($B8="V",1,IF($B8="D",(1+SUP_VOLUMEN!$C$26),(1+SUP_VOLUMEN!$C$27)))*INDEX(SUP_C3_EXPANSION!$C$6:$F$6,MIN(4,COUNTIF(CAPA3_EXPANSION!$D$56:L$56,"&gt;="&amp;1)))*CAPA3_EXPANSION!L$36)</f>
        <v>0</v>
      </c>
      <c r="M8" s="298" t="n">
        <f aca="false">IF(COUNTIF(CAPA3_EXPANSION!$D$56:M$56,"&gt;="&amp;1)=0,0,SUP_CONTROL!$C$8*IF($B8="V",1,IF($B8="D",(1+SUP_VOLUMEN!$C$26),(1+SUP_VOLUMEN!$C$27)))*INDEX(SUP_C3_EXPANSION!$C$6:$F$6,MIN(4,COUNTIF(CAPA3_EXPANSION!$D$56:M$56,"&gt;="&amp;1)))*CAPA3_EXPANSION!M$36)</f>
        <v>0</v>
      </c>
      <c r="N8" s="298" t="n">
        <f aca="false">IF(COUNTIF(CAPA3_EXPANSION!$D$56:N$56,"&gt;="&amp;1)=0,0,SUP_CONTROL!$C$8*IF($B8="V",1,IF($B8="D",(1+SUP_VOLUMEN!$C$26),(1+SUP_VOLUMEN!$C$27)))*INDEX(SUP_C3_EXPANSION!$C$6:$F$6,MIN(4,COUNTIF(CAPA3_EXPANSION!$D$56:N$56,"&gt;="&amp;1)))*CAPA3_EXPANSION!N$36)</f>
        <v>0</v>
      </c>
      <c r="O8" s="298" t="n">
        <f aca="false">IF(COUNTIF(CAPA3_EXPANSION!$D$56:O$56,"&gt;="&amp;1)=0,0,SUP_CONTROL!$C$8*IF($B8="V",1,IF($B8="D",(1+SUP_VOLUMEN!$C$26),(1+SUP_VOLUMEN!$C$27)))*INDEX(SUP_C3_EXPANSION!$C$6:$F$6,MIN(4,COUNTIF(CAPA3_EXPANSION!$D$56:O$56,"&gt;="&amp;1)))*CAPA3_EXPANSION!O$36)</f>
        <v>0</v>
      </c>
      <c r="P8" s="298" t="n">
        <f aca="false">IF(COUNTIF(CAPA3_EXPANSION!$D$56:P$56,"&gt;="&amp;1)=0,0,SUP_CONTROL!$C$8*IF($B8="V",1,IF($B8="D",(1+SUP_VOLUMEN!$C$26),(1+SUP_VOLUMEN!$C$27)))*INDEX(SUP_C3_EXPANSION!$C$6:$F$6,MIN(4,COUNTIF(CAPA3_EXPANSION!$D$56:P$56,"&gt;="&amp;1)))*CAPA3_EXPANSION!P$36)</f>
        <v>0</v>
      </c>
      <c r="Q8" s="298" t="n">
        <f aca="false">IF(COUNTIF(CAPA3_EXPANSION!$D$56:Q$56,"&gt;="&amp;1)=0,0,SUP_CONTROL!$C$8*IF($B8="V",1,IF($B8="D",(1+SUP_VOLUMEN!$C$26),(1+SUP_VOLUMEN!$C$27)))*INDEX(SUP_C3_EXPANSION!$C$6:$F$6,MIN(4,COUNTIF(CAPA3_EXPANSION!$D$56:Q$56,"&gt;="&amp;1)))*CAPA3_EXPANSION!Q$36)</f>
        <v>0</v>
      </c>
      <c r="R8" s="298" t="n">
        <f aca="false">IF(COUNTIF(CAPA3_EXPANSION!$D$56:R$56,"&gt;="&amp;1)=0,0,SUP_CONTROL!$C$8*IF($B8="V",1,IF($B8="D",(1+SUP_VOLUMEN!$C$26),(1+SUP_VOLUMEN!$C$27)))*INDEX(SUP_C3_EXPANSION!$C$6:$F$6,MIN(4,COUNTIF(CAPA3_EXPANSION!$D$56:R$56,"&gt;="&amp;1)))*CAPA3_EXPANSION!R$36)</f>
        <v>0</v>
      </c>
      <c r="S8" s="298" t="n">
        <f aca="false">IF(COUNTIF(CAPA3_EXPANSION!$D$56:S$56,"&gt;="&amp;1)=0,0,SUP_CONTROL!$C$8*IF($B8="V",1,IF($B8="D",(1+SUP_VOLUMEN!$C$26),(1+SUP_VOLUMEN!$C$27)))*INDEX(SUP_C3_EXPANSION!$C$6:$F$6,MIN(4,COUNTIF(CAPA3_EXPANSION!$D$56:S$56,"&gt;="&amp;1)))*CAPA3_EXPANSION!S$36)</f>
        <v>0</v>
      </c>
      <c r="T8" s="298" t="n">
        <f aca="false">IF(COUNTIF(CAPA3_EXPANSION!$D$56:T$56,"&gt;="&amp;1)=0,0,SUP_CONTROL!$C$8*IF($B8="V",1,IF($B8="D",(1+SUP_VOLUMEN!$C$26),(1+SUP_VOLUMEN!$C$27)))*INDEX(SUP_C3_EXPANSION!$C$6:$F$6,MIN(4,COUNTIF(CAPA3_EXPANSION!$D$56:T$56,"&gt;="&amp;1)))*CAPA3_EXPANSION!T$36)</f>
        <v>0</v>
      </c>
      <c r="U8" s="298" t="n">
        <f aca="false">IF(COUNTIF(CAPA3_EXPANSION!$D$56:U$56,"&gt;="&amp;1)=0,0,SUP_CONTROL!$C$8*IF($B8="V",1,IF($B8="D",(1+SUP_VOLUMEN!$C$26),(1+SUP_VOLUMEN!$C$27)))*INDEX(SUP_C3_EXPANSION!$C$6:$F$6,MIN(4,COUNTIF(CAPA3_EXPANSION!$D$56:U$56,"&gt;="&amp;1)))*CAPA3_EXPANSION!U$36)</f>
        <v>0</v>
      </c>
      <c r="V8" s="298" t="n">
        <f aca="false">IF(COUNTIF(CAPA3_EXPANSION!$D$56:V$56,"&gt;="&amp;1)=0,0,SUP_CONTROL!$C$8*IF($B8="V",1,IF($B8="D",(1+SUP_VOLUMEN!$C$26),(1+SUP_VOLUMEN!$C$27)))*INDEX(SUP_C3_EXPANSION!$C$6:$F$6,MIN(4,COUNTIF(CAPA3_EXPANSION!$D$56:V$56,"&gt;="&amp;1)))*CAPA3_EXPANSION!V$36)</f>
        <v>2730</v>
      </c>
      <c r="W8" s="298" t="n">
        <f aca="false">IF(COUNTIF(CAPA3_EXPANSION!$D$56:W$56,"&gt;="&amp;1)=0,0,SUP_CONTROL!$C$8*IF($B8="V",1,IF($B8="D",(1+SUP_VOLUMEN!$C$26),(1+SUP_VOLUMEN!$C$27)))*INDEX(SUP_C3_EXPANSION!$C$6:$F$6,MIN(4,COUNTIF(CAPA3_EXPANSION!$D$56:W$56,"&gt;="&amp;1)))*CAPA3_EXPANSION!W$36)</f>
        <v>3360</v>
      </c>
      <c r="X8" s="298" t="n">
        <f aca="false">IF(COUNTIF(CAPA3_EXPANSION!$D$56:X$56,"&gt;="&amp;1)=0,0,SUP_CONTROL!$C$8*IF($B8="V",1,IF($B8="D",(1+SUP_VOLUMEN!$C$26),(1+SUP_VOLUMEN!$C$27)))*INDEX(SUP_C3_EXPANSION!$C$6:$F$6,MIN(4,COUNTIF(CAPA3_EXPANSION!$D$56:X$56,"&gt;="&amp;1)))*CAPA3_EXPANSION!X$36)</f>
        <v>3780</v>
      </c>
      <c r="Y8" s="298" t="n">
        <f aca="false">IF(COUNTIF(CAPA3_EXPANSION!$D$56:Y$56,"&gt;="&amp;1)=0,0,SUP_CONTROL!$C$8*IF($B8="V",1,IF($B8="D",(1+SUP_VOLUMEN!$C$26),(1+SUP_VOLUMEN!$C$27)))*INDEX(SUP_C3_EXPANSION!$C$6:$F$6,MIN(4,COUNTIF(CAPA3_EXPANSION!$D$56:Y$56,"&gt;="&amp;1)))*CAPA3_EXPANSION!Y$36)</f>
        <v>4200</v>
      </c>
      <c r="Z8" s="298" t="n">
        <f aca="false">IF(COUNTIF(CAPA3_EXPANSION!$D$56:Z$56,"&gt;="&amp;1)=0,0,SUP_CONTROL!$C$8*IF($B8="V",1,IF($B8="D",(1+SUP_VOLUMEN!$C$26),(1+SUP_VOLUMEN!$C$27)))*INDEX(SUP_C3_EXPANSION!$C$6:$F$6,MIN(4,COUNTIF(CAPA3_EXPANSION!$D$56:Z$56,"&gt;="&amp;1)))*CAPA3_EXPANSION!Z$36)</f>
        <v>4200</v>
      </c>
      <c r="AA8" s="298" t="n">
        <f aca="false">IF(COUNTIF(CAPA3_EXPANSION!$D$56:AA$56,"&gt;="&amp;1)=0,0,SUP_CONTROL!$C$8*IF($B8="V",1,IF($B8="D",(1+SUP_VOLUMEN!$C$26),(1+SUP_VOLUMEN!$C$27)))*INDEX(SUP_C3_EXPANSION!$C$6:$F$6,MIN(4,COUNTIF(CAPA3_EXPANSION!$D$56:AA$56,"&gt;="&amp;1)))*CAPA3_EXPANSION!AA$36)</f>
        <v>4200</v>
      </c>
      <c r="AB8" s="298" t="n">
        <f aca="false">IF(COUNTIF(CAPA3_EXPANSION!$D$56:AB$56,"&gt;="&amp;1)=0,0,SUP_CONTROL!$C$8*IF($B8="V",1,IF($B8="D",(1+SUP_VOLUMEN!$C$26),(1+SUP_VOLUMEN!$C$27)))*INDEX(SUP_C3_EXPANSION!$C$6:$F$6,MIN(4,COUNTIF(CAPA3_EXPANSION!$D$56:AB$56,"&gt;="&amp;1)))*CAPA3_EXPANSION!AB$36)</f>
        <v>4200</v>
      </c>
      <c r="AC8" s="298" t="n">
        <f aca="false">IF(COUNTIF(CAPA3_EXPANSION!$D$56:AC$56,"&gt;="&amp;1)=0,0,SUP_CONTROL!$C$8*IF($B8="V",1,IF($B8="D",(1+SUP_VOLUMEN!$C$26),(1+SUP_VOLUMEN!$C$27)))*INDEX(SUP_C3_EXPANSION!$C$6:$F$6,MIN(4,COUNTIF(CAPA3_EXPANSION!$D$56:AC$56,"&gt;="&amp;1)))*CAPA3_EXPANSION!AC$36)</f>
        <v>4200</v>
      </c>
      <c r="AD8" s="298" t="n">
        <f aca="false">IF(COUNTIF(CAPA3_EXPANSION!$D$56:AD$56,"&gt;="&amp;1)=0,0,SUP_CONTROL!$C$8*IF($B8="V",1,IF($B8="D",(1+SUP_VOLUMEN!$C$26),(1+SUP_VOLUMEN!$C$27)))*INDEX(SUP_C3_EXPANSION!$C$6:$F$6,MIN(4,COUNTIF(CAPA3_EXPANSION!$D$56:AD$56,"&gt;="&amp;1)))*CAPA3_EXPANSION!AD$36)</f>
        <v>4200</v>
      </c>
      <c r="AE8" s="298" t="n">
        <f aca="false">IF(COUNTIF(CAPA3_EXPANSION!$D$56:AE$56,"&gt;="&amp;1)=0,0,SUP_CONTROL!$C$8*IF($B8="V",1,IF($B8="D",(1+SUP_VOLUMEN!$C$26),(1+SUP_VOLUMEN!$C$27)))*INDEX(SUP_C3_EXPANSION!$C$6:$F$6,MIN(4,COUNTIF(CAPA3_EXPANSION!$D$56:AE$56,"&gt;="&amp;1)))*CAPA3_EXPANSION!AE$36)</f>
        <v>4200</v>
      </c>
      <c r="AF8" s="298" t="n">
        <f aca="false">IF(COUNTIF(CAPA3_EXPANSION!$D$56:AF$56,"&gt;="&amp;1)=0,0,SUP_CONTROL!$C$8*IF($B8="V",1,IF($B8="D",(1+SUP_VOLUMEN!$C$26),(1+SUP_VOLUMEN!$C$27)))*INDEX(SUP_C3_EXPANSION!$C$6:$F$6,MIN(4,COUNTIF(CAPA3_EXPANSION!$D$56:AF$56,"&gt;="&amp;1)))*CAPA3_EXPANSION!AF$36)</f>
        <v>4200</v>
      </c>
      <c r="AG8" s="298" t="n">
        <f aca="false">IF(COUNTIF(CAPA3_EXPANSION!$D$56:AG$56,"&gt;="&amp;1)=0,0,SUP_CONTROL!$C$8*IF($B8="V",1,IF($B8="D",(1+SUP_VOLUMEN!$C$26),(1+SUP_VOLUMEN!$C$27)))*INDEX(SUP_C3_EXPANSION!$C$6:$F$6,MIN(4,COUNTIF(CAPA3_EXPANSION!$D$56:AG$56,"&gt;="&amp;1)))*CAPA3_EXPANSION!AG$36)</f>
        <v>4074</v>
      </c>
      <c r="AH8" s="298" t="n">
        <f aca="false">IF(COUNTIF(CAPA3_EXPANSION!$D$56:AH$56,"&gt;="&amp;1)=0,0,SUP_CONTROL!$C$8*IF($B8="V",1,IF($B8="D",(1+SUP_VOLUMEN!$C$26),(1+SUP_VOLUMEN!$C$27)))*INDEX(SUP_C3_EXPANSION!$C$6:$F$6,MIN(4,COUNTIF(CAPA3_EXPANSION!$D$56:AH$56,"&gt;="&amp;1)))*CAPA3_EXPANSION!AH$36)</f>
        <v>4074</v>
      </c>
      <c r="AI8" s="298" t="n">
        <f aca="false">IF(COUNTIF(CAPA3_EXPANSION!$D$56:AI$56,"&gt;="&amp;1)=0,0,SUP_CONTROL!$C$8*IF($B8="V",1,IF($B8="D",(1+SUP_VOLUMEN!$C$26),(1+SUP_VOLUMEN!$C$27)))*INDEX(SUP_C3_EXPANSION!$C$6:$F$6,MIN(4,COUNTIF(CAPA3_EXPANSION!$D$56:AI$56,"&gt;="&amp;1)))*CAPA3_EXPANSION!AI$36)</f>
        <v>4074</v>
      </c>
      <c r="AJ8" s="298" t="n">
        <f aca="false">IF(COUNTIF(CAPA3_EXPANSION!$D$56:AJ$56,"&gt;="&amp;1)=0,0,SUP_CONTROL!$C$8*IF($B8="V",1,IF($B8="D",(1+SUP_VOLUMEN!$C$26),(1+SUP_VOLUMEN!$C$27)))*INDEX(SUP_C3_EXPANSION!$C$6:$F$6,MIN(4,COUNTIF(CAPA3_EXPANSION!$D$56:AJ$56,"&gt;="&amp;1)))*CAPA3_EXPANSION!AJ$36)</f>
        <v>4074</v>
      </c>
      <c r="AK8" s="298" t="n">
        <f aca="false">IF(COUNTIF(CAPA3_EXPANSION!$D$56:AK$56,"&gt;="&amp;1)=0,0,SUP_CONTROL!$C$8*IF($B8="V",1,IF($B8="D",(1+SUP_VOLUMEN!$C$26),(1+SUP_VOLUMEN!$C$27)))*INDEX(SUP_C3_EXPANSION!$C$6:$F$6,MIN(4,COUNTIF(CAPA3_EXPANSION!$D$56:AK$56,"&gt;="&amp;1)))*CAPA3_EXPANSION!AK$36)</f>
        <v>4074</v>
      </c>
      <c r="AL8" s="298" t="n">
        <f aca="false">IF(COUNTIF(CAPA3_EXPANSION!$D$56:AL$56,"&gt;="&amp;1)=0,0,SUP_CONTROL!$C$8*IF($B8="V",1,IF($B8="D",(1+SUP_VOLUMEN!$C$26),(1+SUP_VOLUMEN!$C$27)))*INDEX(SUP_C3_EXPANSION!$C$6:$F$6,MIN(4,COUNTIF(CAPA3_EXPANSION!$D$56:AL$56,"&gt;="&amp;1)))*CAPA3_EXPANSION!AL$36)</f>
        <v>4074</v>
      </c>
      <c r="AM8" s="298" t="n">
        <f aca="false">IF(COUNTIF(CAPA3_EXPANSION!$D$56:AM$56,"&gt;="&amp;1)=0,0,SUP_CONTROL!$C$8*IF($B8="V",1,IF($B8="D",(1+SUP_VOLUMEN!$C$26),(1+SUP_VOLUMEN!$C$27)))*INDEX(SUP_C3_EXPANSION!$C$6:$F$6,MIN(4,COUNTIF(CAPA3_EXPANSION!$D$56:AM$56,"&gt;="&amp;1)))*CAPA3_EXPANSION!AM$36)</f>
        <v>4074</v>
      </c>
      <c r="AN8" s="298" t="n">
        <f aca="false">IF(COUNTIF(CAPA3_EXPANSION!$D$56:AN$56,"&gt;="&amp;1)=0,0,SUP_CONTROL!$C$8*IF($B8="V",1,IF($B8="D",(1+SUP_VOLUMEN!$C$26),(1+SUP_VOLUMEN!$C$27)))*INDEX(SUP_C3_EXPANSION!$C$6:$F$6,MIN(4,COUNTIF(CAPA3_EXPANSION!$D$56:AN$56,"&gt;="&amp;1)))*CAPA3_EXPANSION!AN$36)</f>
        <v>4074</v>
      </c>
      <c r="AO8" s="298" t="n">
        <f aca="false">IF(COUNTIF(CAPA3_EXPANSION!$D$56:AO$56,"&gt;="&amp;1)=0,0,SUP_CONTROL!$C$8*IF($B8="V",1,IF($B8="D",(1+SUP_VOLUMEN!$C$26),(1+SUP_VOLUMEN!$C$27)))*INDEX(SUP_C3_EXPANSION!$C$6:$F$6,MIN(4,COUNTIF(CAPA3_EXPANSION!$D$56:AO$56,"&gt;="&amp;1)))*CAPA3_EXPANSION!AO$36)</f>
        <v>4074</v>
      </c>
      <c r="AP8" s="298" t="n">
        <f aca="false">IF(COUNTIF(CAPA3_EXPANSION!$D$56:AP$56,"&gt;="&amp;1)=0,0,SUP_CONTROL!$C$8*IF($B8="V",1,IF($B8="D",(1+SUP_VOLUMEN!$C$26),(1+SUP_VOLUMEN!$C$27)))*INDEX(SUP_C3_EXPANSION!$C$6:$F$6,MIN(4,COUNTIF(CAPA3_EXPANSION!$D$56:AP$56,"&gt;="&amp;1)))*CAPA3_EXPANSION!AP$36)</f>
        <v>3969</v>
      </c>
      <c r="AQ8" s="298" t="n">
        <f aca="false">IF(COUNTIF(CAPA3_EXPANSION!$D$56:AQ$56,"&gt;="&amp;1)=0,0,SUP_CONTROL!$C$8*IF($B8="V",1,IF($B8="D",(1+SUP_VOLUMEN!$C$26),(1+SUP_VOLUMEN!$C$27)))*INDEX(SUP_C3_EXPANSION!$C$6:$F$6,MIN(4,COUNTIF(CAPA3_EXPANSION!$D$56:AQ$56,"&gt;="&amp;1)))*CAPA3_EXPANSION!AQ$36)</f>
        <v>3969</v>
      </c>
      <c r="AR8" s="298" t="n">
        <f aca="false">IF(COUNTIF(CAPA3_EXPANSION!$D$56:AR$56,"&gt;="&amp;1)=0,0,SUP_CONTROL!$C$8*IF($B8="V",1,IF($B8="D",(1+SUP_VOLUMEN!$C$26),(1+SUP_VOLUMEN!$C$27)))*INDEX(SUP_C3_EXPANSION!$C$6:$F$6,MIN(4,COUNTIF(CAPA3_EXPANSION!$D$56:AR$56,"&gt;="&amp;1)))*CAPA3_EXPANSION!AR$36)</f>
        <v>3969</v>
      </c>
      <c r="AS8" s="298" t="n">
        <f aca="false">IF(COUNTIF(CAPA3_EXPANSION!$D$56:AS$56,"&gt;="&amp;1)=0,0,SUP_CONTROL!$C$8*IF($B8="V",1,IF($B8="D",(1+SUP_VOLUMEN!$C$26),(1+SUP_VOLUMEN!$C$27)))*INDEX(SUP_C3_EXPANSION!$C$6:$F$6,MIN(4,COUNTIF(CAPA3_EXPANSION!$D$56:AS$56,"&gt;="&amp;1)))*CAPA3_EXPANSION!AS$36)</f>
        <v>3969</v>
      </c>
      <c r="AT8" s="298" t="n">
        <f aca="false">IF(COUNTIF(CAPA3_EXPANSION!$D$56:AT$56,"&gt;="&amp;1)=0,0,SUP_CONTROL!$C$8*IF($B8="V",1,IF($B8="D",(1+SUP_VOLUMEN!$C$26),(1+SUP_VOLUMEN!$C$27)))*INDEX(SUP_C3_EXPANSION!$C$6:$F$6,MIN(4,COUNTIF(CAPA3_EXPANSION!$D$56:AT$56,"&gt;="&amp;1)))*CAPA3_EXPANSION!AT$36)</f>
        <v>3969</v>
      </c>
      <c r="AU8" s="298" t="n">
        <f aca="false">IF(COUNTIF(CAPA3_EXPANSION!$D$56:AU$56,"&gt;="&amp;1)=0,0,SUP_CONTROL!$C$8*IF($B8="V",1,IF($B8="D",(1+SUP_VOLUMEN!$C$26),(1+SUP_VOLUMEN!$C$27)))*INDEX(SUP_C3_EXPANSION!$C$6:$F$6,MIN(4,COUNTIF(CAPA3_EXPANSION!$D$56:AU$56,"&gt;="&amp;1)))*CAPA3_EXPANSION!AU$36)</f>
        <v>3969</v>
      </c>
      <c r="AV8" s="298" t="n">
        <f aca="false">IF(COUNTIF(CAPA3_EXPANSION!$D$56:AV$56,"&gt;="&amp;1)=0,0,SUP_CONTROL!$C$8*IF($B8="V",1,IF($B8="D",(1+SUP_VOLUMEN!$C$26),(1+SUP_VOLUMEN!$C$27)))*INDEX(SUP_C3_EXPANSION!$C$6:$F$6,MIN(4,COUNTIF(CAPA3_EXPANSION!$D$56:AV$56,"&gt;="&amp;1)))*CAPA3_EXPANSION!AV$36)</f>
        <v>3969</v>
      </c>
      <c r="AW8" s="298" t="n">
        <f aca="false">IF(COUNTIF(CAPA3_EXPANSION!$D$56:AW$56,"&gt;="&amp;1)=0,0,SUP_CONTROL!$C$8*IF($B8="V",1,IF($B8="D",(1+SUP_VOLUMEN!$C$26),(1+SUP_VOLUMEN!$C$27)))*INDEX(SUP_C3_EXPANSION!$C$6:$F$6,MIN(4,COUNTIF(CAPA3_EXPANSION!$D$56:AW$56,"&gt;="&amp;1)))*CAPA3_EXPANSION!AW$36)</f>
        <v>3969</v>
      </c>
      <c r="AX8" s="298" t="n">
        <f aca="false">IF(COUNTIF(CAPA3_EXPANSION!$D$56:AX$56,"&gt;="&amp;1)=0,0,SUP_CONTROL!$C$8*IF($B8="V",1,IF($B8="D",(1+SUP_VOLUMEN!$C$26),(1+SUP_VOLUMEN!$C$27)))*INDEX(SUP_C3_EXPANSION!$C$6:$F$6,MIN(4,COUNTIF(CAPA3_EXPANSION!$D$56:AX$56,"&gt;="&amp;1)))*CAPA3_EXPANSION!AX$36)</f>
        <v>3969</v>
      </c>
      <c r="AY8" s="298" t="n">
        <f aca="false">IF(COUNTIF(CAPA3_EXPANSION!$D$56:AY$56,"&gt;="&amp;1)=0,0,SUP_CONTROL!$C$8*IF($B8="V",1,IF($B8="D",(1+SUP_VOLUMEN!$C$26),(1+SUP_VOLUMEN!$C$27)))*INDEX(SUP_C3_EXPANSION!$C$6:$F$6,MIN(4,COUNTIF(CAPA3_EXPANSION!$D$56:AY$56,"&gt;="&amp;1)))*CAPA3_EXPANSION!AY$36)</f>
        <v>3969</v>
      </c>
      <c r="AZ8" s="298" t="n">
        <f aca="false">IF(COUNTIF(CAPA3_EXPANSION!$D$56:AZ$56,"&gt;="&amp;1)=0,0,SUP_CONTROL!$C$8*IF($B8="V",1,IF($B8="D",(1+SUP_VOLUMEN!$C$26),(1+SUP_VOLUMEN!$C$27)))*INDEX(SUP_C3_EXPANSION!$C$6:$F$6,MIN(4,COUNTIF(CAPA3_EXPANSION!$D$56:AZ$56,"&gt;="&amp;1)))*CAPA3_EXPANSION!AZ$36)</f>
        <v>3969</v>
      </c>
      <c r="BA8" s="298" t="n">
        <f aca="false">IF(COUNTIF(CAPA3_EXPANSION!$D$56:BA$56,"&gt;="&amp;1)=0,0,SUP_CONTROL!$C$8*IF($B8="V",1,IF($B8="D",(1+SUP_VOLUMEN!$C$26),(1+SUP_VOLUMEN!$C$27)))*INDEX(SUP_C3_EXPANSION!$C$6:$F$6,MIN(4,COUNTIF(CAPA3_EXPANSION!$D$56:BA$56,"&gt;="&amp;1)))*CAPA3_EXPANSION!BA$36)</f>
        <v>3969</v>
      </c>
      <c r="BB8" s="298" t="n">
        <f aca="false">IF(COUNTIF(CAPA3_EXPANSION!$D$56:BB$56,"&gt;="&amp;1)=0,0,SUP_CONTROL!$C$8*IF($B8="V",1,IF($B8="D",(1+SUP_VOLUMEN!$C$26),(1+SUP_VOLUMEN!$C$27)))*INDEX(SUP_C3_EXPANSION!$C$6:$F$6,MIN(4,COUNTIF(CAPA3_EXPANSION!$D$56:BB$56,"&gt;="&amp;1)))*CAPA3_EXPANSION!BB$36)</f>
        <v>3969</v>
      </c>
      <c r="BC8" s="298" t="n">
        <f aca="false">IF(COUNTIF(CAPA3_EXPANSION!$D$56:BC$56,"&gt;="&amp;1)=0,0,SUP_CONTROL!$C$8*IF($B8="V",1,IF($B8="D",(1+SUP_VOLUMEN!$C$26),(1+SUP_VOLUMEN!$C$27)))*INDEX(SUP_C3_EXPANSION!$C$6:$F$6,MIN(4,COUNTIF(CAPA3_EXPANSION!$D$56:BC$56,"&gt;="&amp;1)))*CAPA3_EXPANSION!BC$36)</f>
        <v>3969</v>
      </c>
      <c r="BD8" s="298" t="n">
        <f aca="false">IF(COUNTIF(CAPA3_EXPANSION!$D$56:BD$56,"&gt;="&amp;1)=0,0,SUP_CONTROL!$C$8*IF($B8="V",1,IF($B8="D",(1+SUP_VOLUMEN!$C$26),(1+SUP_VOLUMEN!$C$27)))*INDEX(SUP_C3_EXPANSION!$C$6:$F$6,MIN(4,COUNTIF(CAPA3_EXPANSION!$D$56:BD$56,"&gt;="&amp;1)))*CAPA3_EXPANSION!BD$36)</f>
        <v>3969</v>
      </c>
      <c r="BE8" s="298" t="n">
        <f aca="false">IF(COUNTIF(CAPA3_EXPANSION!$D$56:BE$56,"&gt;="&amp;1)=0,0,SUP_CONTROL!$C$8*IF($B8="V",1,IF($B8="D",(1+SUP_VOLUMEN!$C$26),(1+SUP_VOLUMEN!$C$27)))*INDEX(SUP_C3_EXPANSION!$C$6:$F$6,MIN(4,COUNTIF(CAPA3_EXPANSION!$D$56:BE$56,"&gt;="&amp;1)))*CAPA3_EXPANSION!BE$36)</f>
        <v>3969</v>
      </c>
      <c r="BF8" s="298" t="n">
        <f aca="false">IF(COUNTIF(CAPA3_EXPANSION!$D$56:BF$56,"&gt;="&amp;1)=0,0,SUP_CONTROL!$C$8*IF($B8="V",1,IF($B8="D",(1+SUP_VOLUMEN!$C$26),(1+SUP_VOLUMEN!$C$27)))*INDEX(SUP_C3_EXPANSION!$C$6:$F$6,MIN(4,COUNTIF(CAPA3_EXPANSION!$D$56:BF$56,"&gt;="&amp;1)))*CAPA3_EXPANSION!BF$36)</f>
        <v>3864</v>
      </c>
      <c r="BG8" s="298" t="n">
        <f aca="false">IF(COUNTIF(CAPA3_EXPANSION!$D$56:BG$56,"&gt;="&amp;1)=0,0,SUP_CONTROL!$C$8*IF($B8="V",1,IF($B8="D",(1+SUP_VOLUMEN!$C$26),(1+SUP_VOLUMEN!$C$27)))*INDEX(SUP_C3_EXPANSION!$C$6:$F$6,MIN(4,COUNTIF(CAPA3_EXPANSION!$D$56:BG$56,"&gt;="&amp;1)))*CAPA3_EXPANSION!BG$36)</f>
        <v>3864</v>
      </c>
      <c r="BH8" s="298" t="n">
        <f aca="false">IF(COUNTIF(CAPA3_EXPANSION!$D$56:BH$56,"&gt;="&amp;1)=0,0,SUP_CONTROL!$C$8*IF($B8="V",1,IF($B8="D",(1+SUP_VOLUMEN!$C$26),(1+SUP_VOLUMEN!$C$27)))*INDEX(SUP_C3_EXPANSION!$C$6:$F$6,MIN(4,COUNTIF(CAPA3_EXPANSION!$D$56:BH$56,"&gt;="&amp;1)))*CAPA3_EXPANSION!BH$36)</f>
        <v>3864</v>
      </c>
      <c r="BI8" s="298" t="n">
        <f aca="false">IF(COUNTIF(CAPA3_EXPANSION!$D$56:BI$56,"&gt;="&amp;1)=0,0,SUP_CONTROL!$C$8*IF($B8="V",1,IF($B8="D",(1+SUP_VOLUMEN!$C$26),(1+SUP_VOLUMEN!$C$27)))*INDEX(SUP_C3_EXPANSION!$C$6:$F$6,MIN(4,COUNTIF(CAPA3_EXPANSION!$D$56:BI$56,"&gt;="&amp;1)))*CAPA3_EXPANSION!BI$36)</f>
        <v>3864</v>
      </c>
      <c r="BJ8" s="298" t="n">
        <f aca="false">IF(COUNTIF(CAPA3_EXPANSION!$D$56:BJ$56,"&gt;="&amp;1)=0,0,SUP_CONTROL!$C$8*IF($B8="V",1,IF($B8="D",(1+SUP_VOLUMEN!$C$26),(1+SUP_VOLUMEN!$C$27)))*INDEX(SUP_C3_EXPANSION!$C$6:$F$6,MIN(4,COUNTIF(CAPA3_EXPANSION!$D$56:BJ$56,"&gt;="&amp;1)))*CAPA3_EXPANSION!BJ$36)</f>
        <v>3864</v>
      </c>
      <c r="BK8" s="298" t="n">
        <f aca="false">IF(COUNTIF(CAPA3_EXPANSION!$D$56:BK$56,"&gt;="&amp;1)=0,0,SUP_CONTROL!$C$8*IF($B8="V",1,IF($B8="D",(1+SUP_VOLUMEN!$C$26),(1+SUP_VOLUMEN!$C$27)))*INDEX(SUP_C3_EXPANSION!$C$6:$F$6,MIN(4,COUNTIF(CAPA3_EXPANSION!$D$56:BK$56,"&gt;="&amp;1)))*CAPA3_EXPANSION!BK$36)</f>
        <v>3780</v>
      </c>
      <c r="BL8" s="298" t="n">
        <f aca="false">IF(COUNTIF(CAPA3_EXPANSION!$D$56:BL$56,"&gt;="&amp;1)=0,0,SUP_CONTROL!$C$8*IF($B8="V",1,IF($B8="D",(1+SUP_VOLUMEN!$C$26),(1+SUP_VOLUMEN!$C$27)))*INDEX(SUP_C3_EXPANSION!$C$6:$F$6,MIN(4,COUNTIF(CAPA3_EXPANSION!$D$56:BL$56,"&gt;="&amp;1)))*CAPA3_EXPANSION!BL$36)</f>
        <v>3780</v>
      </c>
      <c r="BM8" s="298" t="n">
        <f aca="false">IF(COUNTIF(CAPA3_EXPANSION!$D$56:BM$56,"&gt;="&amp;1)=0,0,SUP_CONTROL!$C$8*IF($B8="V",1,IF($B8="D",(1+SUP_VOLUMEN!$C$26),(1+SUP_VOLUMEN!$C$27)))*INDEX(SUP_C3_EXPANSION!$C$6:$F$6,MIN(4,COUNTIF(CAPA3_EXPANSION!$D$56:BM$56,"&gt;="&amp;1)))*CAPA3_EXPANSION!BM$36)</f>
        <v>3780</v>
      </c>
      <c r="BN8" s="298" t="n">
        <f aca="false">IF(COUNTIF(CAPA3_EXPANSION!$D$56:BN$56,"&gt;="&amp;1)=0,0,SUP_CONTROL!$C$8*IF($B8="V",1,IF($B8="D",(1+SUP_VOLUMEN!$C$26),(1+SUP_VOLUMEN!$C$27)))*INDEX(SUP_C3_EXPANSION!$C$6:$F$6,MIN(4,COUNTIF(CAPA3_EXPANSION!$D$56:BN$56,"&gt;="&amp;1)))*CAPA3_EXPANSION!BN$36)</f>
        <v>3780</v>
      </c>
      <c r="BO8" s="298" t="n">
        <f aca="false">IF(COUNTIF(CAPA3_EXPANSION!$D$56:BO$56,"&gt;="&amp;1)=0,0,SUP_CONTROL!$C$8*IF($B8="V",1,IF($B8="D",(1+SUP_VOLUMEN!$C$26),(1+SUP_VOLUMEN!$C$27)))*INDEX(SUP_C3_EXPANSION!$C$6:$F$6,MIN(4,COUNTIF(CAPA3_EXPANSION!$D$56:BO$56,"&gt;="&amp;1)))*CAPA3_EXPANSION!BO$36)</f>
        <v>3780</v>
      </c>
      <c r="BP8" s="298" t="n">
        <f aca="false">IF(COUNTIF(CAPA3_EXPANSION!$D$56:BP$56,"&gt;="&amp;1)=0,0,SUP_CONTROL!$C$8*IF($B8="V",1,IF($B8="D",(1+SUP_VOLUMEN!$C$26),(1+SUP_VOLUMEN!$C$27)))*INDEX(SUP_C3_EXPANSION!$C$6:$F$6,MIN(4,COUNTIF(CAPA3_EXPANSION!$D$56:BP$56,"&gt;="&amp;1)))*CAPA3_EXPANSION!BP$36)</f>
        <v>3780</v>
      </c>
      <c r="BQ8" s="298" t="n">
        <f aca="false">IF(COUNTIF(CAPA3_EXPANSION!$D$56:BQ$56,"&gt;="&amp;1)=0,0,SUP_CONTROL!$C$8*IF($B8="V",1,IF($B8="D",(1+SUP_VOLUMEN!$C$26),(1+SUP_VOLUMEN!$C$27)))*INDEX(SUP_C3_EXPANSION!$C$6:$F$6,MIN(4,COUNTIF(CAPA3_EXPANSION!$D$56:BQ$56,"&gt;="&amp;1)))*CAPA3_EXPANSION!BQ$36)</f>
        <v>3696</v>
      </c>
      <c r="BR8" s="298" t="n">
        <f aca="false">IF(COUNTIF(CAPA3_EXPANSION!$D$56:BR$56,"&gt;="&amp;1)=0,0,SUP_CONTROL!$C$8*IF($B8="V",1,IF($B8="D",(1+SUP_VOLUMEN!$C$26),(1+SUP_VOLUMEN!$C$27)))*INDEX(SUP_C3_EXPANSION!$C$6:$F$6,MIN(4,COUNTIF(CAPA3_EXPANSION!$D$56:BR$56,"&gt;="&amp;1)))*CAPA3_EXPANSION!BR$36)</f>
        <v>3696</v>
      </c>
      <c r="BS8" s="298" t="n">
        <f aca="false">IF(COUNTIF(CAPA3_EXPANSION!$D$56:BS$56,"&gt;="&amp;1)=0,0,SUP_CONTROL!$C$8*IF($B8="V",1,IF($B8="D",(1+SUP_VOLUMEN!$C$26),(1+SUP_VOLUMEN!$C$27)))*INDEX(SUP_C3_EXPANSION!$C$6:$F$6,MIN(4,COUNTIF(CAPA3_EXPANSION!$D$56:BS$56,"&gt;="&amp;1)))*CAPA3_EXPANSION!BS$36)</f>
        <v>3696</v>
      </c>
      <c r="BT8" s="298" t="n">
        <f aca="false">IF(COUNTIF(CAPA3_EXPANSION!$D$56:BT$56,"&gt;="&amp;1)=0,0,SUP_CONTROL!$C$8*IF($B8="V",1,IF($B8="D",(1+SUP_VOLUMEN!$C$26),(1+SUP_VOLUMEN!$C$27)))*INDEX(SUP_C3_EXPANSION!$C$6:$F$6,MIN(4,COUNTIF(CAPA3_EXPANSION!$D$56:BT$56,"&gt;="&amp;1)))*CAPA3_EXPANSION!BT$36)</f>
        <v>3696</v>
      </c>
      <c r="BU8" s="298" t="n">
        <f aca="false">IF(COUNTIF(CAPA3_EXPANSION!$D$56:BU$56,"&gt;="&amp;1)=0,0,SUP_CONTROL!$C$8*IF($B8="V",1,IF($B8="D",(1+SUP_VOLUMEN!$C$26),(1+SUP_VOLUMEN!$C$27)))*INDEX(SUP_C3_EXPANSION!$C$6:$F$6,MIN(4,COUNTIF(CAPA3_EXPANSION!$D$56:BU$56,"&gt;="&amp;1)))*CAPA3_EXPANSION!BU$36)</f>
        <v>3696</v>
      </c>
      <c r="BV8" s="298" t="n">
        <f aca="false">IF(COUNTIF(CAPA3_EXPANSION!$D$56:BV$56,"&gt;="&amp;1)=0,0,SUP_CONTROL!$C$8*IF($B8="V",1,IF($B8="D",(1+SUP_VOLUMEN!$C$26),(1+SUP_VOLUMEN!$C$27)))*INDEX(SUP_C3_EXPANSION!$C$6:$F$6,MIN(4,COUNTIF(CAPA3_EXPANSION!$D$56:BV$56,"&gt;="&amp;1)))*CAPA3_EXPANSION!BV$36)</f>
        <v>3696</v>
      </c>
      <c r="BW8" s="298" t="n">
        <f aca="false">IF(COUNTIF(CAPA3_EXPANSION!$D$56:BW$56,"&gt;="&amp;1)=0,0,SUP_CONTROL!$C$8*IF($B8="V",1,IF($B8="D",(1+SUP_VOLUMEN!$C$26),(1+SUP_VOLUMEN!$C$27)))*INDEX(SUP_C3_EXPANSION!$C$6:$F$6,MIN(4,COUNTIF(CAPA3_EXPANSION!$D$56:BW$56,"&gt;="&amp;1)))*CAPA3_EXPANSION!BW$36)</f>
        <v>3633</v>
      </c>
      <c r="BX8" s="298" t="n">
        <f aca="false">IF(COUNTIF(CAPA3_EXPANSION!$D$56:BX$56,"&gt;="&amp;1)=0,0,SUP_CONTROL!$C$8*IF($B8="V",1,IF($B8="D",(1+SUP_VOLUMEN!$C$26),(1+SUP_VOLUMEN!$C$27)))*INDEX(SUP_C3_EXPANSION!$C$6:$F$6,MIN(4,COUNTIF(CAPA3_EXPANSION!$D$56:BX$56,"&gt;="&amp;1)))*CAPA3_EXPANSION!BX$36)</f>
        <v>3633</v>
      </c>
      <c r="BY8" s="298" t="n">
        <f aca="false">IF(COUNTIF(CAPA3_EXPANSION!$D$56:BY$56,"&gt;="&amp;1)=0,0,SUP_CONTROL!$C$8*IF($B8="V",1,IF($B8="D",(1+SUP_VOLUMEN!$C$26),(1+SUP_VOLUMEN!$C$27)))*INDEX(SUP_C3_EXPANSION!$C$6:$F$6,MIN(4,COUNTIF(CAPA3_EXPANSION!$D$56:BY$56,"&gt;="&amp;1)))*CAPA3_EXPANSION!BY$36)</f>
        <v>3633</v>
      </c>
      <c r="BZ8" s="298" t="n">
        <f aca="false">IF(COUNTIF(CAPA3_EXPANSION!$D$56:BZ$56,"&gt;="&amp;1)=0,0,SUP_CONTROL!$C$8*IF($B8="V",1,IF($B8="D",(1+SUP_VOLUMEN!$C$26),(1+SUP_VOLUMEN!$C$27)))*INDEX(SUP_C3_EXPANSION!$C$6:$F$6,MIN(4,COUNTIF(CAPA3_EXPANSION!$D$56:BZ$56,"&gt;="&amp;1)))*CAPA3_EXPANSION!BZ$36)</f>
        <v>3633</v>
      </c>
      <c r="CA8" s="298" t="n">
        <f aca="false">IF(COUNTIF(CAPA3_EXPANSION!$D$56:CA$56,"&gt;="&amp;1)=0,0,SUP_CONTROL!$C$8*IF($B8="V",1,IF($B8="D",(1+SUP_VOLUMEN!$C$26),(1+SUP_VOLUMEN!$C$27)))*INDEX(SUP_C3_EXPANSION!$C$6:$F$6,MIN(4,COUNTIF(CAPA3_EXPANSION!$D$56:CA$56,"&gt;="&amp;1)))*CAPA3_EXPANSION!CA$36)</f>
        <v>3633</v>
      </c>
      <c r="CB8" s="298" t="n">
        <f aca="false">IF(COUNTIF(CAPA3_EXPANSION!$D$56:CB$56,"&gt;="&amp;1)=0,0,SUP_CONTROL!$C$8*IF($B8="V",1,IF($B8="D",(1+SUP_VOLUMEN!$C$26),(1+SUP_VOLUMEN!$C$27)))*INDEX(SUP_C3_EXPANSION!$C$6:$F$6,MIN(4,COUNTIF(CAPA3_EXPANSION!$D$56:CB$56,"&gt;="&amp;1)))*CAPA3_EXPANSION!CB$36)</f>
        <v>3570</v>
      </c>
      <c r="CC8" s="298" t="n">
        <f aca="false">IF(COUNTIF(CAPA3_EXPANSION!$D$56:CC$56,"&gt;="&amp;1)=0,0,SUP_CONTROL!$C$8*IF($B8="V",1,IF($B8="D",(1+SUP_VOLUMEN!$C$26),(1+SUP_VOLUMEN!$C$27)))*INDEX(SUP_C3_EXPANSION!$C$6:$F$6,MIN(4,COUNTIF(CAPA3_EXPANSION!$D$56:CC$56,"&gt;="&amp;1)))*CAPA3_EXPANSION!CC$36)</f>
        <v>3570</v>
      </c>
      <c r="CD8" s="298" t="n">
        <f aca="false">IF(COUNTIF(CAPA3_EXPANSION!$D$56:CD$56,"&gt;="&amp;1)=0,0,SUP_CONTROL!$C$8*IF($B8="V",1,IF($B8="D",(1+SUP_VOLUMEN!$C$26),(1+SUP_VOLUMEN!$C$27)))*INDEX(SUP_C3_EXPANSION!$C$6:$F$6,MIN(4,COUNTIF(CAPA3_EXPANSION!$D$56:CD$56,"&gt;="&amp;1)))*CAPA3_EXPANSION!CD$36)</f>
        <v>3570</v>
      </c>
      <c r="CE8" s="298" t="n">
        <f aca="false">IF(COUNTIF(CAPA3_EXPANSION!$D$56:CE$56,"&gt;="&amp;1)=0,0,SUP_CONTROL!$C$8*IF($B8="V",1,IF($B8="D",(1+SUP_VOLUMEN!$C$26),(1+SUP_VOLUMEN!$C$27)))*INDEX(SUP_C3_EXPANSION!$C$6:$F$6,MIN(4,COUNTIF(CAPA3_EXPANSION!$D$56:CE$56,"&gt;="&amp;1)))*CAPA3_EXPANSION!CE$36)</f>
        <v>3570</v>
      </c>
      <c r="CF8" s="298" t="n">
        <f aca="false">IF(COUNTIF(CAPA3_EXPANSION!$D$56:CF$56,"&gt;="&amp;1)=0,0,SUP_CONTROL!$C$8*IF($B8="V",1,IF($B8="D",(1+SUP_VOLUMEN!$C$26),(1+SUP_VOLUMEN!$C$27)))*INDEX(SUP_C3_EXPANSION!$C$6:$F$6,MIN(4,COUNTIF(CAPA3_EXPANSION!$D$56:CF$56,"&gt;="&amp;1)))*CAPA3_EXPANSION!CF$36)</f>
        <v>3570</v>
      </c>
      <c r="CG8" s="298" t="n">
        <f aca="false">IF(COUNTIF(CAPA3_EXPANSION!$D$56:CG$56,"&gt;="&amp;1)=0,0,SUP_CONTROL!$C$8*IF($B8="V",1,IF($B8="D",(1+SUP_VOLUMEN!$C$26),(1+SUP_VOLUMEN!$C$27)))*INDEX(SUP_C3_EXPANSION!$C$6:$F$6,MIN(4,COUNTIF(CAPA3_EXPANSION!$D$56:CG$56,"&gt;="&amp;1)))*CAPA3_EXPANSION!CG$36)</f>
        <v>3528</v>
      </c>
      <c r="CH8" s="298" t="n">
        <f aca="false">IF(COUNTIF(CAPA3_EXPANSION!$D$56:CH$56,"&gt;="&amp;1)=0,0,SUP_CONTROL!$C$8*IF($B8="V",1,IF($B8="D",(1+SUP_VOLUMEN!$C$26),(1+SUP_VOLUMEN!$C$27)))*INDEX(SUP_C3_EXPANSION!$C$6:$F$6,MIN(4,COUNTIF(CAPA3_EXPANSION!$D$56:CH$56,"&gt;="&amp;1)))*CAPA3_EXPANSION!CH$36)</f>
        <v>3528</v>
      </c>
      <c r="CI8" s="298" t="n">
        <f aca="false">IF(COUNTIF(CAPA3_EXPANSION!$D$56:CI$56,"&gt;="&amp;1)=0,0,SUP_CONTROL!$C$8*IF($B8="V",1,IF($B8="D",(1+SUP_VOLUMEN!$C$26),(1+SUP_VOLUMEN!$C$27)))*INDEX(SUP_C3_EXPANSION!$C$6:$F$6,MIN(4,COUNTIF(CAPA3_EXPANSION!$D$56:CI$56,"&gt;="&amp;1)))*CAPA3_EXPANSION!CI$36)</f>
        <v>3528</v>
      </c>
      <c r="CJ8" s="298" t="n">
        <f aca="false">IF(COUNTIF(CAPA3_EXPANSION!$D$56:CJ$56,"&gt;="&amp;1)=0,0,SUP_CONTROL!$C$8*IF($B8="V",1,IF($B8="D",(1+SUP_VOLUMEN!$C$26),(1+SUP_VOLUMEN!$C$27)))*INDEX(SUP_C3_EXPANSION!$C$6:$F$6,MIN(4,COUNTIF(CAPA3_EXPANSION!$D$56:CJ$56,"&gt;="&amp;1)))*CAPA3_EXPANSION!CJ$36)</f>
        <v>3528</v>
      </c>
      <c r="CK8" s="298" t="n">
        <f aca="false">IF(COUNTIF(CAPA3_EXPANSION!$D$56:CK$56,"&gt;="&amp;1)=0,0,SUP_CONTROL!$C$8*IF($B8="V",1,IF($B8="D",(1+SUP_VOLUMEN!$C$26),(1+SUP_VOLUMEN!$C$27)))*INDEX(SUP_C3_EXPANSION!$C$6:$F$6,MIN(4,COUNTIF(CAPA3_EXPANSION!$D$56:CK$56,"&gt;="&amp;1)))*CAPA3_EXPANSION!CK$36)</f>
        <v>3528</v>
      </c>
      <c r="CL8" s="298" t="n">
        <f aca="false">IF(COUNTIF(CAPA3_EXPANSION!$D$56:CL$56,"&gt;="&amp;1)=0,0,SUP_CONTROL!$C$8*IF($B8="V",1,IF($B8="D",(1+SUP_VOLUMEN!$C$26),(1+SUP_VOLUMEN!$C$27)))*INDEX(SUP_C3_EXPANSION!$C$6:$F$6,MIN(4,COUNTIF(CAPA3_EXPANSION!$D$56:CL$56,"&gt;="&amp;1)))*CAPA3_EXPANSION!CL$36)</f>
        <v>3528</v>
      </c>
      <c r="CM8" s="298" t="n">
        <f aca="false">IF(COUNTIF(CAPA3_EXPANSION!$D$56:CM$56,"&gt;="&amp;1)=0,0,SUP_CONTROL!$C$8*IF($B8="V",1,IF($B8="D",(1+SUP_VOLUMEN!$C$26),(1+SUP_VOLUMEN!$C$27)))*INDEX(SUP_C3_EXPANSION!$C$6:$F$6,MIN(4,COUNTIF(CAPA3_EXPANSION!$D$56:CM$56,"&gt;="&amp;1)))*CAPA3_EXPANSION!CM$36)</f>
        <v>3528</v>
      </c>
      <c r="CN8" s="298" t="n">
        <f aca="false">IF(COUNTIF(CAPA3_EXPANSION!$D$56:CN$56,"&gt;="&amp;1)=0,0,SUP_CONTROL!$C$8*IF($B8="V",1,IF($B8="D",(1+SUP_VOLUMEN!$C$26),(1+SUP_VOLUMEN!$C$27)))*INDEX(SUP_C3_EXPANSION!$C$6:$F$6,MIN(4,COUNTIF(CAPA3_EXPANSION!$D$56:CN$56,"&gt;="&amp;1)))*CAPA3_EXPANSION!CN$36)</f>
        <v>3528</v>
      </c>
      <c r="CO8" s="298" t="n">
        <f aca="false">IF(COUNTIF(CAPA3_EXPANSION!$D$56:CO$56,"&gt;="&amp;1)=0,0,SUP_CONTROL!$C$8*IF($B8="V",1,IF($B8="D",(1+SUP_VOLUMEN!$C$26),(1+SUP_VOLUMEN!$C$27)))*INDEX(SUP_C3_EXPANSION!$C$6:$F$6,MIN(4,COUNTIF(CAPA3_EXPANSION!$D$56:CO$56,"&gt;="&amp;1)))*CAPA3_EXPANSION!CO$36)</f>
        <v>3528</v>
      </c>
      <c r="CP8" s="298" t="n">
        <f aca="false">IF(COUNTIF(CAPA3_EXPANSION!$D$56:CP$56,"&gt;="&amp;1)=0,0,SUP_CONTROL!$C$8*IF($B8="V",1,IF($B8="D",(1+SUP_VOLUMEN!$C$26),(1+SUP_VOLUMEN!$C$27)))*INDEX(SUP_C3_EXPANSION!$C$6:$F$6,MIN(4,COUNTIF(CAPA3_EXPANSION!$D$56:CP$56,"&gt;="&amp;1)))*CAPA3_EXPANSION!CP$36)</f>
        <v>3528</v>
      </c>
      <c r="CQ8" s="298" t="n">
        <f aca="false">IF(COUNTIF(CAPA3_EXPANSION!$D$56:CQ$56,"&gt;="&amp;1)=0,0,SUP_CONTROL!$C$8*IF($B8="V",1,IF($B8="D",(1+SUP_VOLUMEN!$C$26),(1+SUP_VOLUMEN!$C$27)))*INDEX(SUP_C3_EXPANSION!$C$6:$F$6,MIN(4,COUNTIF(CAPA3_EXPANSION!$D$56:CQ$56,"&gt;="&amp;1)))*CAPA3_EXPANSION!CQ$36)</f>
        <v>3528</v>
      </c>
      <c r="CR8" s="298" t="n">
        <f aca="false">IF(COUNTIF(CAPA3_EXPANSION!$D$56:CR$56,"&gt;="&amp;1)=0,0,SUP_CONTROL!$C$8*IF($B8="V",1,IF($B8="D",(1+SUP_VOLUMEN!$C$26),(1+SUP_VOLUMEN!$C$27)))*INDEX(SUP_C3_EXPANSION!$C$6:$F$6,MIN(4,COUNTIF(CAPA3_EXPANSION!$D$56:CR$56,"&gt;="&amp;1)))*CAPA3_EXPANSION!CR$36)</f>
        <v>3528</v>
      </c>
      <c r="CS8" s="298" t="n">
        <f aca="false">IF(COUNTIF(CAPA3_EXPANSION!$D$56:CS$56,"&gt;="&amp;1)=0,0,SUP_CONTROL!$C$8*IF($B8="V",1,IF($B8="D",(1+SUP_VOLUMEN!$C$26),(1+SUP_VOLUMEN!$C$27)))*INDEX(SUP_C3_EXPANSION!$C$6:$F$6,MIN(4,COUNTIF(CAPA3_EXPANSION!$D$56:CS$56,"&gt;="&amp;1)))*CAPA3_EXPANSION!CS$36)</f>
        <v>3528</v>
      </c>
      <c r="CT8" s="298" t="n">
        <f aca="false">IF(COUNTIF(CAPA3_EXPANSION!$D$56:CT$56,"&gt;="&amp;1)=0,0,SUP_CONTROL!$C$8*IF($B8="V",1,IF($B8="D",(1+SUP_VOLUMEN!$C$26),(1+SUP_VOLUMEN!$C$27)))*INDEX(SUP_C3_EXPANSION!$C$6:$F$6,MIN(4,COUNTIF(CAPA3_EXPANSION!$D$56:CT$56,"&gt;="&amp;1)))*CAPA3_EXPANSION!CT$36)</f>
        <v>3528</v>
      </c>
      <c r="CU8" s="298" t="n">
        <f aca="false">IF(COUNTIF(CAPA3_EXPANSION!$D$56:CU$56,"&gt;="&amp;1)=0,0,SUP_CONTROL!$C$8*IF($B8="V",1,IF($B8="D",(1+SUP_VOLUMEN!$C$26),(1+SUP_VOLUMEN!$C$27)))*INDEX(SUP_C3_EXPANSION!$C$6:$F$6,MIN(4,COUNTIF(CAPA3_EXPANSION!$D$56:CU$56,"&gt;="&amp;1)))*CAPA3_EXPANSION!CU$36)</f>
        <v>3528</v>
      </c>
      <c r="CV8" s="298" t="n">
        <f aca="false">IF(COUNTIF(CAPA3_EXPANSION!$D$56:CV$56,"&gt;="&amp;1)=0,0,SUP_CONTROL!$C$8*IF($B8="V",1,IF($B8="D",(1+SUP_VOLUMEN!$C$26),(1+SUP_VOLUMEN!$C$27)))*INDEX(SUP_C3_EXPANSION!$C$6:$F$6,MIN(4,COUNTIF(CAPA3_EXPANSION!$D$56:CV$56,"&gt;="&amp;1)))*CAPA3_EXPANSION!CV$36)</f>
        <v>3528</v>
      </c>
      <c r="CW8" s="298" t="n">
        <f aca="false">IF(COUNTIF(CAPA3_EXPANSION!$D$56:CW$56,"&gt;="&amp;1)=0,0,SUP_CONTROL!$C$8*IF($B8="V",1,IF($B8="D",(1+SUP_VOLUMEN!$C$26),(1+SUP_VOLUMEN!$C$27)))*INDEX(SUP_C3_EXPANSION!$C$6:$F$6,MIN(4,COUNTIF(CAPA3_EXPANSION!$D$56:CW$56,"&gt;="&amp;1)))*CAPA3_EXPANSION!CW$36)</f>
        <v>3528</v>
      </c>
      <c r="CX8" s="298" t="n">
        <f aca="false">IF(COUNTIF(CAPA3_EXPANSION!$D$56:CX$56,"&gt;="&amp;1)=0,0,SUP_CONTROL!$C$8*IF($B8="V",1,IF($B8="D",(1+SUP_VOLUMEN!$C$26),(1+SUP_VOLUMEN!$C$27)))*INDEX(SUP_C3_EXPANSION!$C$6:$F$6,MIN(4,COUNTIF(CAPA3_EXPANSION!$D$56:CX$56,"&gt;="&amp;1)))*CAPA3_EXPANSION!CX$36)</f>
        <v>3528</v>
      </c>
      <c r="CY8" s="298" t="n">
        <f aca="false">IF(COUNTIF(CAPA3_EXPANSION!$D$56:CY$56,"&gt;="&amp;1)=0,0,SUP_CONTROL!$C$8*IF($B8="V",1,IF($B8="D",(1+SUP_VOLUMEN!$C$26),(1+SUP_VOLUMEN!$C$27)))*INDEX(SUP_C3_EXPANSION!$C$6:$F$6,MIN(4,COUNTIF(CAPA3_EXPANSION!$D$56:CY$56,"&gt;="&amp;1)))*CAPA3_EXPANSION!CY$36)</f>
        <v>3528</v>
      </c>
      <c r="CZ8" s="298" t="n">
        <f aca="false">IF(COUNTIF(CAPA3_EXPANSION!$D$56:CZ$56,"&gt;="&amp;1)=0,0,SUP_CONTROL!$C$8*IF($B8="V",1,IF($B8="D",(1+SUP_VOLUMEN!$C$26),(1+SUP_VOLUMEN!$C$27)))*INDEX(SUP_C3_EXPANSION!$C$6:$F$6,MIN(4,COUNTIF(CAPA3_EXPANSION!$D$56:CZ$56,"&gt;="&amp;1)))*CAPA3_EXPANSION!CZ$36)</f>
        <v>3528</v>
      </c>
      <c r="DA8" s="298" t="n">
        <f aca="false">IF(COUNTIF(CAPA3_EXPANSION!$D$56:DA$56,"&gt;="&amp;1)=0,0,SUP_CONTROL!$C$8*IF($B8="V",1,IF($B8="D",(1+SUP_VOLUMEN!$C$26),(1+SUP_VOLUMEN!$C$27)))*INDEX(SUP_C3_EXPANSION!$C$6:$F$6,MIN(4,COUNTIF(CAPA3_EXPANSION!$D$56:DA$56,"&gt;="&amp;1)))*CAPA3_EXPANSION!DA$36)</f>
        <v>3528</v>
      </c>
      <c r="DB8" s="298" t="n">
        <f aca="false">IF(COUNTIF(CAPA3_EXPANSION!$D$56:DB$56,"&gt;="&amp;1)=0,0,SUP_CONTROL!$C$8*IF($B8="V",1,IF($B8="D",(1+SUP_VOLUMEN!$C$26),(1+SUP_VOLUMEN!$C$27)))*INDEX(SUP_C3_EXPANSION!$C$6:$F$6,MIN(4,COUNTIF(CAPA3_EXPANSION!$D$56:DB$56,"&gt;="&amp;1)))*CAPA3_EXPANSION!DB$36)</f>
        <v>3528</v>
      </c>
      <c r="DC8" s="298" t="n">
        <f aca="false">IF(COUNTIF(CAPA3_EXPANSION!$D$56:DC$56,"&gt;="&amp;1)=0,0,SUP_CONTROL!$C$8*IF($B8="V",1,IF($B8="D",(1+SUP_VOLUMEN!$C$26),(1+SUP_VOLUMEN!$C$27)))*INDEX(SUP_C3_EXPANSION!$C$6:$F$6,MIN(4,COUNTIF(CAPA3_EXPANSION!$D$56:DC$56,"&gt;="&amp;1)))*CAPA3_EXPANSION!DC$36)</f>
        <v>3528</v>
      </c>
      <c r="DD8" s="298" t="n">
        <f aca="false">IF(COUNTIF(CAPA3_EXPANSION!$D$56:DD$56,"&gt;="&amp;1)=0,0,SUP_CONTROL!$C$8*IF($B8="V",1,IF($B8="D",(1+SUP_VOLUMEN!$C$26),(1+SUP_VOLUMEN!$C$27)))*INDEX(SUP_C3_EXPANSION!$C$6:$F$6,MIN(4,COUNTIF(CAPA3_EXPANSION!$D$56:DD$56,"&gt;="&amp;1)))*CAPA3_EXPANSION!DD$36)</f>
        <v>3528</v>
      </c>
      <c r="DE8" s="298" t="n">
        <f aca="false">IF(COUNTIF(CAPA3_EXPANSION!$D$56:DE$56,"&gt;="&amp;1)=0,0,SUP_CONTROL!$C$8*IF($B8="V",1,IF($B8="D",(1+SUP_VOLUMEN!$C$26),(1+SUP_VOLUMEN!$C$27)))*INDEX(SUP_C3_EXPANSION!$C$6:$F$6,MIN(4,COUNTIF(CAPA3_EXPANSION!$D$56:DE$56,"&gt;="&amp;1)))*CAPA3_EXPANSION!DE$36)</f>
        <v>3528</v>
      </c>
      <c r="DF8" s="298" t="n">
        <f aca="false">IF(COUNTIF(CAPA3_EXPANSION!$D$56:DF$56,"&gt;="&amp;1)=0,0,SUP_CONTROL!$C$8*IF($B8="V",1,IF($B8="D",(1+SUP_VOLUMEN!$C$26),(1+SUP_VOLUMEN!$C$27)))*INDEX(SUP_C3_EXPANSION!$C$6:$F$6,MIN(4,COUNTIF(CAPA3_EXPANSION!$D$56:DF$56,"&gt;="&amp;1)))*CAPA3_EXPANSION!DF$36)</f>
        <v>3528</v>
      </c>
      <c r="DG8" s="298" t="n">
        <f aca="false">IF(COUNTIF(CAPA3_EXPANSION!$D$56:DG$56,"&gt;="&amp;1)=0,0,SUP_CONTROL!$C$8*IF($B8="V",1,IF($B8="D",(1+SUP_VOLUMEN!$C$26),(1+SUP_VOLUMEN!$C$27)))*INDEX(SUP_C3_EXPANSION!$C$6:$F$6,MIN(4,COUNTIF(CAPA3_EXPANSION!$D$56:DG$56,"&gt;="&amp;1)))*CAPA3_EXPANSION!DG$36)</f>
        <v>3528</v>
      </c>
      <c r="DH8" s="298" t="n">
        <f aca="false">IF(COUNTIF(CAPA3_EXPANSION!$D$56:DH$56,"&gt;="&amp;1)=0,0,SUP_CONTROL!$C$8*IF($B8="V",1,IF($B8="D",(1+SUP_VOLUMEN!$C$26),(1+SUP_VOLUMEN!$C$27)))*INDEX(SUP_C3_EXPANSION!$C$6:$F$6,MIN(4,COUNTIF(CAPA3_EXPANSION!$D$56:DH$56,"&gt;="&amp;1)))*CAPA3_EXPANSION!DH$36)</f>
        <v>3528</v>
      </c>
      <c r="DI8" s="298" t="n">
        <f aca="false">IF(COUNTIF(CAPA3_EXPANSION!$D$56:DI$56,"&gt;="&amp;1)=0,0,SUP_CONTROL!$C$8*IF($B8="V",1,IF($B8="D",(1+SUP_VOLUMEN!$C$26),(1+SUP_VOLUMEN!$C$27)))*INDEX(SUP_C3_EXPANSION!$C$6:$F$6,MIN(4,COUNTIF(CAPA3_EXPANSION!$D$56:DI$56,"&gt;="&amp;1)))*CAPA3_EXPANSION!DI$36)</f>
        <v>3528</v>
      </c>
      <c r="DJ8" s="298" t="n">
        <f aca="false">IF(COUNTIF(CAPA3_EXPANSION!$D$56:DJ$56,"&gt;="&amp;1)=0,0,SUP_CONTROL!$C$8*IF($B8="V",1,IF($B8="D",(1+SUP_VOLUMEN!$C$26),(1+SUP_VOLUMEN!$C$27)))*INDEX(SUP_C3_EXPANSION!$C$6:$F$6,MIN(4,COUNTIF(CAPA3_EXPANSION!$D$56:DJ$56,"&gt;="&amp;1)))*CAPA3_EXPANSION!DJ$36)</f>
        <v>3528</v>
      </c>
      <c r="DK8" s="298" t="n">
        <f aca="false">IF(COUNTIF(CAPA3_EXPANSION!$D$56:DK$56,"&gt;="&amp;1)=0,0,SUP_CONTROL!$C$8*IF($B8="V",1,IF($B8="D",(1+SUP_VOLUMEN!$C$26),(1+SUP_VOLUMEN!$C$27)))*INDEX(SUP_C3_EXPANSION!$C$6:$F$6,MIN(4,COUNTIF(CAPA3_EXPANSION!$D$56:DK$56,"&gt;="&amp;1)))*CAPA3_EXPANSION!DK$36)</f>
        <v>3528</v>
      </c>
      <c r="DL8" s="298" t="n">
        <f aca="false">IF(COUNTIF(CAPA3_EXPANSION!$D$56:DL$56,"&gt;="&amp;1)=0,0,SUP_CONTROL!$C$8*IF($B8="V",1,IF($B8="D",(1+SUP_VOLUMEN!$C$26),(1+SUP_VOLUMEN!$C$27)))*INDEX(SUP_C3_EXPANSION!$C$6:$F$6,MIN(4,COUNTIF(CAPA3_EXPANSION!$D$56:DL$56,"&gt;="&amp;1)))*CAPA3_EXPANSION!DL$36)</f>
        <v>3528</v>
      </c>
      <c r="DM8" s="298" t="n">
        <f aca="false">IF(COUNTIF(CAPA3_EXPANSION!$D$56:DM$56,"&gt;="&amp;1)=0,0,SUP_CONTROL!$C$8*IF($B8="V",1,IF($B8="D",(1+SUP_VOLUMEN!$C$26),(1+SUP_VOLUMEN!$C$27)))*INDEX(SUP_C3_EXPANSION!$C$6:$F$6,MIN(4,COUNTIF(CAPA3_EXPANSION!$D$56:DM$56,"&gt;="&amp;1)))*CAPA3_EXPANSION!DM$36)</f>
        <v>3528</v>
      </c>
      <c r="DN8" s="298" t="n">
        <f aca="false">IF(COUNTIF(CAPA3_EXPANSION!$D$56:DN$56,"&gt;="&amp;1)=0,0,SUP_CONTROL!$C$8*IF($B8="V",1,IF($B8="D",(1+SUP_VOLUMEN!$C$26),(1+SUP_VOLUMEN!$C$27)))*INDEX(SUP_C3_EXPANSION!$C$6:$F$6,MIN(4,COUNTIF(CAPA3_EXPANSION!$D$56:DN$56,"&gt;="&amp;1)))*CAPA3_EXPANSION!DN$36)</f>
        <v>3528</v>
      </c>
      <c r="DO8" s="298" t="n">
        <f aca="false">IF(COUNTIF(CAPA3_EXPANSION!$D$56:DO$56,"&gt;="&amp;1)=0,0,SUP_CONTROL!$C$8*IF($B8="V",1,IF($B8="D",(1+SUP_VOLUMEN!$C$26),(1+SUP_VOLUMEN!$C$27)))*INDEX(SUP_C3_EXPANSION!$C$6:$F$6,MIN(4,COUNTIF(CAPA3_EXPANSION!$D$56:DO$56,"&gt;="&amp;1)))*CAPA3_EXPANSION!DO$36)</f>
        <v>3528</v>
      </c>
      <c r="DP8" s="298" t="n">
        <f aca="false">IF(COUNTIF(CAPA3_EXPANSION!$D$56:DP$56,"&gt;="&amp;1)=0,0,SUP_CONTROL!$C$8*IF($B8="V",1,IF($B8="D",(1+SUP_VOLUMEN!$C$26),(1+SUP_VOLUMEN!$C$27)))*INDEX(SUP_C3_EXPANSION!$C$6:$F$6,MIN(4,COUNTIF(CAPA3_EXPANSION!$D$56:DP$56,"&gt;="&amp;1)))*CAPA3_EXPANSION!DP$36)</f>
        <v>3528</v>
      </c>
      <c r="DQ8" s="298" t="n">
        <f aca="false">IF(COUNTIF(CAPA3_EXPANSION!$D$56:DQ$56,"&gt;="&amp;1)=0,0,SUP_CONTROL!$C$8*IF($B8="V",1,IF($B8="D",(1+SUP_VOLUMEN!$C$26),(1+SUP_VOLUMEN!$C$27)))*INDEX(SUP_C3_EXPANSION!$C$6:$F$6,MIN(4,COUNTIF(CAPA3_EXPANSION!$D$56:DQ$56,"&gt;="&amp;1)))*CAPA3_EXPANSION!DQ$36)</f>
        <v>3528</v>
      </c>
      <c r="DR8" s="298" t="n">
        <f aca="false">IF(COUNTIF(CAPA3_EXPANSION!$D$56:DR$56,"&gt;="&amp;1)=0,0,SUP_CONTROL!$C$8*IF($B8="V",1,IF($B8="D",(1+SUP_VOLUMEN!$C$26),(1+SUP_VOLUMEN!$C$27)))*INDEX(SUP_C3_EXPANSION!$C$6:$F$6,MIN(4,COUNTIF(CAPA3_EXPANSION!$D$56:DR$56,"&gt;="&amp;1)))*CAPA3_EXPANSION!DR$36)</f>
        <v>3528</v>
      </c>
      <c r="DS8" s="298" t="n">
        <f aca="false">IF(COUNTIF(CAPA3_EXPANSION!$D$56:DS$56,"&gt;="&amp;1)=0,0,SUP_CONTROL!$C$8*IF($B8="V",1,IF($B8="D",(1+SUP_VOLUMEN!$C$26),(1+SUP_VOLUMEN!$C$27)))*INDEX(SUP_C3_EXPANSION!$C$6:$F$6,MIN(4,COUNTIF(CAPA3_EXPANSION!$D$56:DS$56,"&gt;="&amp;1)))*CAPA3_EXPANSION!DS$36)</f>
        <v>3528</v>
      </c>
    </row>
    <row r="9" customFormat="false" ht="15" hidden="false" customHeight="true" outlineLevel="0" collapsed="false">
      <c r="A9" s="298" t="n">
        <v>12</v>
      </c>
      <c r="B9" s="497" t="str">
        <f aca="false">SUP_C3_EXPANSION!B21</f>
        <v>V</v>
      </c>
      <c r="C9" s="267" t="n">
        <f aca="false">SUP_C3_EXPANSION!G21</f>
        <v>17</v>
      </c>
      <c r="D9" s="298" t="n">
        <f aca="false">IF(COUNTIF(CAPA3_EXPANSION!$D$56:D$56,"&gt;="&amp;2)=0,0,SUP_CONTROL!$C$8*IF($B9="V",1,IF($B9="D",(1+SUP_VOLUMEN!$C$26),(1+SUP_VOLUMEN!$C$27)))*INDEX(SUP_C3_EXPANSION!$C$6:$F$6,MIN(4,COUNTIF(CAPA3_EXPANSION!$D$56:D$56,"&gt;="&amp;2)))*CAPA3_EXPANSION!D$36)</f>
        <v>0</v>
      </c>
      <c r="E9" s="298" t="n">
        <f aca="false">IF(COUNTIF(CAPA3_EXPANSION!$D$56:E$56,"&gt;="&amp;2)=0,0,SUP_CONTROL!$C$8*IF($B9="V",1,IF($B9="D",(1+SUP_VOLUMEN!$C$26),(1+SUP_VOLUMEN!$C$27)))*INDEX(SUP_C3_EXPANSION!$C$6:$F$6,MIN(4,COUNTIF(CAPA3_EXPANSION!$D$56:E$56,"&gt;="&amp;2)))*CAPA3_EXPANSION!E$36)</f>
        <v>0</v>
      </c>
      <c r="F9" s="298" t="n">
        <f aca="false">IF(COUNTIF(CAPA3_EXPANSION!$D$56:F$56,"&gt;="&amp;2)=0,0,SUP_CONTROL!$C$8*IF($B9="V",1,IF($B9="D",(1+SUP_VOLUMEN!$C$26),(1+SUP_VOLUMEN!$C$27)))*INDEX(SUP_C3_EXPANSION!$C$6:$F$6,MIN(4,COUNTIF(CAPA3_EXPANSION!$D$56:F$56,"&gt;="&amp;2)))*CAPA3_EXPANSION!F$36)</f>
        <v>0</v>
      </c>
      <c r="G9" s="298" t="n">
        <f aca="false">IF(COUNTIF(CAPA3_EXPANSION!$D$56:G$56,"&gt;="&amp;2)=0,0,SUP_CONTROL!$C$8*IF($B9="V",1,IF($B9="D",(1+SUP_VOLUMEN!$C$26),(1+SUP_VOLUMEN!$C$27)))*INDEX(SUP_C3_EXPANSION!$C$6:$F$6,MIN(4,COUNTIF(CAPA3_EXPANSION!$D$56:G$56,"&gt;="&amp;2)))*CAPA3_EXPANSION!G$36)</f>
        <v>0</v>
      </c>
      <c r="H9" s="298" t="n">
        <f aca="false">IF(COUNTIF(CAPA3_EXPANSION!$D$56:H$56,"&gt;="&amp;2)=0,0,SUP_CONTROL!$C$8*IF($B9="V",1,IF($B9="D",(1+SUP_VOLUMEN!$C$26),(1+SUP_VOLUMEN!$C$27)))*INDEX(SUP_C3_EXPANSION!$C$6:$F$6,MIN(4,COUNTIF(CAPA3_EXPANSION!$D$56:H$56,"&gt;="&amp;2)))*CAPA3_EXPANSION!H$36)</f>
        <v>0</v>
      </c>
      <c r="I9" s="298" t="n">
        <f aca="false">IF(COUNTIF(CAPA3_EXPANSION!$D$56:I$56,"&gt;="&amp;2)=0,0,SUP_CONTROL!$C$8*IF($B9="V",1,IF($B9="D",(1+SUP_VOLUMEN!$C$26),(1+SUP_VOLUMEN!$C$27)))*INDEX(SUP_C3_EXPANSION!$C$6:$F$6,MIN(4,COUNTIF(CAPA3_EXPANSION!$D$56:I$56,"&gt;="&amp;2)))*CAPA3_EXPANSION!I$36)</f>
        <v>0</v>
      </c>
      <c r="J9" s="298" t="n">
        <f aca="false">IF(COUNTIF(CAPA3_EXPANSION!$D$56:J$56,"&gt;="&amp;2)=0,0,SUP_CONTROL!$C$8*IF($B9="V",1,IF($B9="D",(1+SUP_VOLUMEN!$C$26),(1+SUP_VOLUMEN!$C$27)))*INDEX(SUP_C3_EXPANSION!$C$6:$F$6,MIN(4,COUNTIF(CAPA3_EXPANSION!$D$56:J$56,"&gt;="&amp;2)))*CAPA3_EXPANSION!J$36)</f>
        <v>0</v>
      </c>
      <c r="K9" s="298" t="n">
        <f aca="false">IF(COUNTIF(CAPA3_EXPANSION!$D$56:K$56,"&gt;="&amp;2)=0,0,SUP_CONTROL!$C$8*IF($B9="V",1,IF($B9="D",(1+SUP_VOLUMEN!$C$26),(1+SUP_VOLUMEN!$C$27)))*INDEX(SUP_C3_EXPANSION!$C$6:$F$6,MIN(4,COUNTIF(CAPA3_EXPANSION!$D$56:K$56,"&gt;="&amp;2)))*CAPA3_EXPANSION!K$36)</f>
        <v>0</v>
      </c>
      <c r="L9" s="298" t="n">
        <f aca="false">IF(COUNTIF(CAPA3_EXPANSION!$D$56:L$56,"&gt;="&amp;2)=0,0,SUP_CONTROL!$C$8*IF($B9="V",1,IF($B9="D",(1+SUP_VOLUMEN!$C$26),(1+SUP_VOLUMEN!$C$27)))*INDEX(SUP_C3_EXPANSION!$C$6:$F$6,MIN(4,COUNTIF(CAPA3_EXPANSION!$D$56:L$56,"&gt;="&amp;2)))*CAPA3_EXPANSION!L$36)</f>
        <v>0</v>
      </c>
      <c r="M9" s="298" t="n">
        <f aca="false">IF(COUNTIF(CAPA3_EXPANSION!$D$56:M$56,"&gt;="&amp;2)=0,0,SUP_CONTROL!$C$8*IF($B9="V",1,IF($B9="D",(1+SUP_VOLUMEN!$C$26),(1+SUP_VOLUMEN!$C$27)))*INDEX(SUP_C3_EXPANSION!$C$6:$F$6,MIN(4,COUNTIF(CAPA3_EXPANSION!$D$56:M$56,"&gt;="&amp;2)))*CAPA3_EXPANSION!M$36)</f>
        <v>0</v>
      </c>
      <c r="N9" s="298" t="n">
        <f aca="false">IF(COUNTIF(CAPA3_EXPANSION!$D$56:N$56,"&gt;="&amp;2)=0,0,SUP_CONTROL!$C$8*IF($B9="V",1,IF($B9="D",(1+SUP_VOLUMEN!$C$26),(1+SUP_VOLUMEN!$C$27)))*INDEX(SUP_C3_EXPANSION!$C$6:$F$6,MIN(4,COUNTIF(CAPA3_EXPANSION!$D$56:N$56,"&gt;="&amp;2)))*CAPA3_EXPANSION!N$36)</f>
        <v>0</v>
      </c>
      <c r="O9" s="298" t="n">
        <f aca="false">IF(COUNTIF(CAPA3_EXPANSION!$D$56:O$56,"&gt;="&amp;2)=0,0,SUP_CONTROL!$C$8*IF($B9="V",1,IF($B9="D",(1+SUP_VOLUMEN!$C$26),(1+SUP_VOLUMEN!$C$27)))*INDEX(SUP_C3_EXPANSION!$C$6:$F$6,MIN(4,COUNTIF(CAPA3_EXPANSION!$D$56:O$56,"&gt;="&amp;2)))*CAPA3_EXPANSION!O$36)</f>
        <v>0</v>
      </c>
      <c r="P9" s="298" t="n">
        <f aca="false">IF(COUNTIF(CAPA3_EXPANSION!$D$56:P$56,"&gt;="&amp;2)=0,0,SUP_CONTROL!$C$8*IF($B9="V",1,IF($B9="D",(1+SUP_VOLUMEN!$C$26),(1+SUP_VOLUMEN!$C$27)))*INDEX(SUP_C3_EXPANSION!$C$6:$F$6,MIN(4,COUNTIF(CAPA3_EXPANSION!$D$56:P$56,"&gt;="&amp;2)))*CAPA3_EXPANSION!P$36)</f>
        <v>0</v>
      </c>
      <c r="Q9" s="298" t="n">
        <f aca="false">IF(COUNTIF(CAPA3_EXPANSION!$D$56:Q$56,"&gt;="&amp;2)=0,0,SUP_CONTROL!$C$8*IF($B9="V",1,IF($B9="D",(1+SUP_VOLUMEN!$C$26),(1+SUP_VOLUMEN!$C$27)))*INDEX(SUP_C3_EXPANSION!$C$6:$F$6,MIN(4,COUNTIF(CAPA3_EXPANSION!$D$56:Q$56,"&gt;="&amp;2)))*CAPA3_EXPANSION!Q$36)</f>
        <v>0</v>
      </c>
      <c r="R9" s="298" t="n">
        <f aca="false">IF(COUNTIF(CAPA3_EXPANSION!$D$56:R$56,"&gt;="&amp;2)=0,0,SUP_CONTROL!$C$8*IF($B9="V",1,IF($B9="D",(1+SUP_VOLUMEN!$C$26),(1+SUP_VOLUMEN!$C$27)))*INDEX(SUP_C3_EXPANSION!$C$6:$F$6,MIN(4,COUNTIF(CAPA3_EXPANSION!$D$56:R$56,"&gt;="&amp;2)))*CAPA3_EXPANSION!R$36)</f>
        <v>0</v>
      </c>
      <c r="S9" s="298" t="n">
        <f aca="false">IF(COUNTIF(CAPA3_EXPANSION!$D$56:S$56,"&gt;="&amp;2)=0,0,SUP_CONTROL!$C$8*IF($B9="V",1,IF($B9="D",(1+SUP_VOLUMEN!$C$26),(1+SUP_VOLUMEN!$C$27)))*INDEX(SUP_C3_EXPANSION!$C$6:$F$6,MIN(4,COUNTIF(CAPA3_EXPANSION!$D$56:S$56,"&gt;="&amp;2)))*CAPA3_EXPANSION!S$36)</f>
        <v>0</v>
      </c>
      <c r="T9" s="298" t="n">
        <f aca="false">IF(COUNTIF(CAPA3_EXPANSION!$D$56:T$56,"&gt;="&amp;2)=0,0,SUP_CONTROL!$C$8*IF($B9="V",1,IF($B9="D",(1+SUP_VOLUMEN!$C$26),(1+SUP_VOLUMEN!$C$27)))*INDEX(SUP_C3_EXPANSION!$C$6:$F$6,MIN(4,COUNTIF(CAPA3_EXPANSION!$D$56:T$56,"&gt;="&amp;2)))*CAPA3_EXPANSION!T$36)</f>
        <v>0</v>
      </c>
      <c r="U9" s="298" t="n">
        <f aca="false">IF(COUNTIF(CAPA3_EXPANSION!$D$56:U$56,"&gt;="&amp;2)=0,0,SUP_CONTROL!$C$8*IF($B9="V",1,IF($B9="D",(1+SUP_VOLUMEN!$C$26),(1+SUP_VOLUMEN!$C$27)))*INDEX(SUP_C3_EXPANSION!$C$6:$F$6,MIN(4,COUNTIF(CAPA3_EXPANSION!$D$56:U$56,"&gt;="&amp;2)))*CAPA3_EXPANSION!U$36)</f>
        <v>0</v>
      </c>
      <c r="V9" s="298" t="n">
        <f aca="false">IF(COUNTIF(CAPA3_EXPANSION!$D$56:V$56,"&gt;="&amp;2)=0,0,SUP_CONTROL!$C$8*IF($B9="V",1,IF($B9="D",(1+SUP_VOLUMEN!$C$26),(1+SUP_VOLUMEN!$C$27)))*INDEX(SUP_C3_EXPANSION!$C$6:$F$6,MIN(4,COUNTIF(CAPA3_EXPANSION!$D$56:V$56,"&gt;="&amp;2)))*CAPA3_EXPANSION!V$36)</f>
        <v>0</v>
      </c>
      <c r="W9" s="298" t="n">
        <f aca="false">IF(COUNTIF(CAPA3_EXPANSION!$D$56:W$56,"&gt;="&amp;2)=0,0,SUP_CONTROL!$C$8*IF($B9="V",1,IF($B9="D",(1+SUP_VOLUMEN!$C$26),(1+SUP_VOLUMEN!$C$27)))*INDEX(SUP_C3_EXPANSION!$C$6:$F$6,MIN(4,COUNTIF(CAPA3_EXPANSION!$D$56:W$56,"&gt;="&amp;2)))*CAPA3_EXPANSION!W$36)</f>
        <v>2730</v>
      </c>
      <c r="X9" s="298" t="n">
        <f aca="false">IF(COUNTIF(CAPA3_EXPANSION!$D$56:X$56,"&gt;="&amp;2)=0,0,SUP_CONTROL!$C$8*IF($B9="V",1,IF($B9="D",(1+SUP_VOLUMEN!$C$26),(1+SUP_VOLUMEN!$C$27)))*INDEX(SUP_C3_EXPANSION!$C$6:$F$6,MIN(4,COUNTIF(CAPA3_EXPANSION!$D$56:X$56,"&gt;="&amp;2)))*CAPA3_EXPANSION!X$36)</f>
        <v>3360</v>
      </c>
      <c r="Y9" s="298" t="n">
        <f aca="false">IF(COUNTIF(CAPA3_EXPANSION!$D$56:Y$56,"&gt;="&amp;2)=0,0,SUP_CONTROL!$C$8*IF($B9="V",1,IF($B9="D",(1+SUP_VOLUMEN!$C$26),(1+SUP_VOLUMEN!$C$27)))*INDEX(SUP_C3_EXPANSION!$C$6:$F$6,MIN(4,COUNTIF(CAPA3_EXPANSION!$D$56:Y$56,"&gt;="&amp;2)))*CAPA3_EXPANSION!Y$36)</f>
        <v>3780</v>
      </c>
      <c r="Z9" s="298" t="n">
        <f aca="false">IF(COUNTIF(CAPA3_EXPANSION!$D$56:Z$56,"&gt;="&amp;2)=0,0,SUP_CONTROL!$C$8*IF($B9="V",1,IF($B9="D",(1+SUP_VOLUMEN!$C$26),(1+SUP_VOLUMEN!$C$27)))*INDEX(SUP_C3_EXPANSION!$C$6:$F$6,MIN(4,COUNTIF(CAPA3_EXPANSION!$D$56:Z$56,"&gt;="&amp;2)))*CAPA3_EXPANSION!Z$36)</f>
        <v>4200</v>
      </c>
      <c r="AA9" s="298" t="n">
        <f aca="false">IF(COUNTIF(CAPA3_EXPANSION!$D$56:AA$56,"&gt;="&amp;2)=0,0,SUP_CONTROL!$C$8*IF($B9="V",1,IF($B9="D",(1+SUP_VOLUMEN!$C$26),(1+SUP_VOLUMEN!$C$27)))*INDEX(SUP_C3_EXPANSION!$C$6:$F$6,MIN(4,COUNTIF(CAPA3_EXPANSION!$D$56:AA$56,"&gt;="&amp;2)))*CAPA3_EXPANSION!AA$36)</f>
        <v>4200</v>
      </c>
      <c r="AB9" s="298" t="n">
        <f aca="false">IF(COUNTIF(CAPA3_EXPANSION!$D$56:AB$56,"&gt;="&amp;2)=0,0,SUP_CONTROL!$C$8*IF($B9="V",1,IF($B9="D",(1+SUP_VOLUMEN!$C$26),(1+SUP_VOLUMEN!$C$27)))*INDEX(SUP_C3_EXPANSION!$C$6:$F$6,MIN(4,COUNTIF(CAPA3_EXPANSION!$D$56:AB$56,"&gt;="&amp;2)))*CAPA3_EXPANSION!AB$36)</f>
        <v>4200</v>
      </c>
      <c r="AC9" s="298" t="n">
        <f aca="false">IF(COUNTIF(CAPA3_EXPANSION!$D$56:AC$56,"&gt;="&amp;2)=0,0,SUP_CONTROL!$C$8*IF($B9="V",1,IF($B9="D",(1+SUP_VOLUMEN!$C$26),(1+SUP_VOLUMEN!$C$27)))*INDEX(SUP_C3_EXPANSION!$C$6:$F$6,MIN(4,COUNTIF(CAPA3_EXPANSION!$D$56:AC$56,"&gt;="&amp;2)))*CAPA3_EXPANSION!AC$36)</f>
        <v>4200</v>
      </c>
      <c r="AD9" s="298" t="n">
        <f aca="false">IF(COUNTIF(CAPA3_EXPANSION!$D$56:AD$56,"&gt;="&amp;2)=0,0,SUP_CONTROL!$C$8*IF($B9="V",1,IF($B9="D",(1+SUP_VOLUMEN!$C$26),(1+SUP_VOLUMEN!$C$27)))*INDEX(SUP_C3_EXPANSION!$C$6:$F$6,MIN(4,COUNTIF(CAPA3_EXPANSION!$D$56:AD$56,"&gt;="&amp;2)))*CAPA3_EXPANSION!AD$36)</f>
        <v>4200</v>
      </c>
      <c r="AE9" s="298" t="n">
        <f aca="false">IF(COUNTIF(CAPA3_EXPANSION!$D$56:AE$56,"&gt;="&amp;2)=0,0,SUP_CONTROL!$C$8*IF($B9="V",1,IF($B9="D",(1+SUP_VOLUMEN!$C$26),(1+SUP_VOLUMEN!$C$27)))*INDEX(SUP_C3_EXPANSION!$C$6:$F$6,MIN(4,COUNTIF(CAPA3_EXPANSION!$D$56:AE$56,"&gt;="&amp;2)))*CAPA3_EXPANSION!AE$36)</f>
        <v>4200</v>
      </c>
      <c r="AF9" s="298" t="n">
        <f aca="false">IF(COUNTIF(CAPA3_EXPANSION!$D$56:AF$56,"&gt;="&amp;2)=0,0,SUP_CONTROL!$C$8*IF($B9="V",1,IF($B9="D",(1+SUP_VOLUMEN!$C$26),(1+SUP_VOLUMEN!$C$27)))*INDEX(SUP_C3_EXPANSION!$C$6:$F$6,MIN(4,COUNTIF(CAPA3_EXPANSION!$D$56:AF$56,"&gt;="&amp;2)))*CAPA3_EXPANSION!AF$36)</f>
        <v>4200</v>
      </c>
      <c r="AG9" s="298" t="n">
        <f aca="false">IF(COUNTIF(CAPA3_EXPANSION!$D$56:AG$56,"&gt;="&amp;2)=0,0,SUP_CONTROL!$C$8*IF($B9="V",1,IF($B9="D",(1+SUP_VOLUMEN!$C$26),(1+SUP_VOLUMEN!$C$27)))*INDEX(SUP_C3_EXPANSION!$C$6:$F$6,MIN(4,COUNTIF(CAPA3_EXPANSION!$D$56:AG$56,"&gt;="&amp;2)))*CAPA3_EXPANSION!AG$36)</f>
        <v>4074</v>
      </c>
      <c r="AH9" s="298" t="n">
        <f aca="false">IF(COUNTIF(CAPA3_EXPANSION!$D$56:AH$56,"&gt;="&amp;2)=0,0,SUP_CONTROL!$C$8*IF($B9="V",1,IF($B9="D",(1+SUP_VOLUMEN!$C$26),(1+SUP_VOLUMEN!$C$27)))*INDEX(SUP_C3_EXPANSION!$C$6:$F$6,MIN(4,COUNTIF(CAPA3_EXPANSION!$D$56:AH$56,"&gt;="&amp;2)))*CAPA3_EXPANSION!AH$36)</f>
        <v>4074</v>
      </c>
      <c r="AI9" s="298" t="n">
        <f aca="false">IF(COUNTIF(CAPA3_EXPANSION!$D$56:AI$56,"&gt;="&amp;2)=0,0,SUP_CONTROL!$C$8*IF($B9="V",1,IF($B9="D",(1+SUP_VOLUMEN!$C$26),(1+SUP_VOLUMEN!$C$27)))*INDEX(SUP_C3_EXPANSION!$C$6:$F$6,MIN(4,COUNTIF(CAPA3_EXPANSION!$D$56:AI$56,"&gt;="&amp;2)))*CAPA3_EXPANSION!AI$36)</f>
        <v>4074</v>
      </c>
      <c r="AJ9" s="298" t="n">
        <f aca="false">IF(COUNTIF(CAPA3_EXPANSION!$D$56:AJ$56,"&gt;="&amp;2)=0,0,SUP_CONTROL!$C$8*IF($B9="V",1,IF($B9="D",(1+SUP_VOLUMEN!$C$26),(1+SUP_VOLUMEN!$C$27)))*INDEX(SUP_C3_EXPANSION!$C$6:$F$6,MIN(4,COUNTIF(CAPA3_EXPANSION!$D$56:AJ$56,"&gt;="&amp;2)))*CAPA3_EXPANSION!AJ$36)</f>
        <v>4074</v>
      </c>
      <c r="AK9" s="298" t="n">
        <f aca="false">IF(COUNTIF(CAPA3_EXPANSION!$D$56:AK$56,"&gt;="&amp;2)=0,0,SUP_CONTROL!$C$8*IF($B9="V",1,IF($B9="D",(1+SUP_VOLUMEN!$C$26),(1+SUP_VOLUMEN!$C$27)))*INDEX(SUP_C3_EXPANSION!$C$6:$F$6,MIN(4,COUNTIF(CAPA3_EXPANSION!$D$56:AK$56,"&gt;="&amp;2)))*CAPA3_EXPANSION!AK$36)</f>
        <v>4074</v>
      </c>
      <c r="AL9" s="298" t="n">
        <f aca="false">IF(COUNTIF(CAPA3_EXPANSION!$D$56:AL$56,"&gt;="&amp;2)=0,0,SUP_CONTROL!$C$8*IF($B9="V",1,IF($B9="D",(1+SUP_VOLUMEN!$C$26),(1+SUP_VOLUMEN!$C$27)))*INDEX(SUP_C3_EXPANSION!$C$6:$F$6,MIN(4,COUNTIF(CAPA3_EXPANSION!$D$56:AL$56,"&gt;="&amp;2)))*CAPA3_EXPANSION!AL$36)</f>
        <v>4074</v>
      </c>
      <c r="AM9" s="298" t="n">
        <f aca="false">IF(COUNTIF(CAPA3_EXPANSION!$D$56:AM$56,"&gt;="&amp;2)=0,0,SUP_CONTROL!$C$8*IF($B9="V",1,IF($B9="D",(1+SUP_VOLUMEN!$C$26),(1+SUP_VOLUMEN!$C$27)))*INDEX(SUP_C3_EXPANSION!$C$6:$F$6,MIN(4,COUNTIF(CAPA3_EXPANSION!$D$56:AM$56,"&gt;="&amp;2)))*CAPA3_EXPANSION!AM$36)</f>
        <v>4074</v>
      </c>
      <c r="AN9" s="298" t="n">
        <f aca="false">IF(COUNTIF(CAPA3_EXPANSION!$D$56:AN$56,"&gt;="&amp;2)=0,0,SUP_CONTROL!$C$8*IF($B9="V",1,IF($B9="D",(1+SUP_VOLUMEN!$C$26),(1+SUP_VOLUMEN!$C$27)))*INDEX(SUP_C3_EXPANSION!$C$6:$F$6,MIN(4,COUNTIF(CAPA3_EXPANSION!$D$56:AN$56,"&gt;="&amp;2)))*CAPA3_EXPANSION!AN$36)</f>
        <v>4074</v>
      </c>
      <c r="AO9" s="298" t="n">
        <f aca="false">IF(COUNTIF(CAPA3_EXPANSION!$D$56:AO$56,"&gt;="&amp;2)=0,0,SUP_CONTROL!$C$8*IF($B9="V",1,IF($B9="D",(1+SUP_VOLUMEN!$C$26),(1+SUP_VOLUMEN!$C$27)))*INDEX(SUP_C3_EXPANSION!$C$6:$F$6,MIN(4,COUNTIF(CAPA3_EXPANSION!$D$56:AO$56,"&gt;="&amp;2)))*CAPA3_EXPANSION!AO$36)</f>
        <v>4074</v>
      </c>
      <c r="AP9" s="298" t="n">
        <f aca="false">IF(COUNTIF(CAPA3_EXPANSION!$D$56:AP$56,"&gt;="&amp;2)=0,0,SUP_CONTROL!$C$8*IF($B9="V",1,IF($B9="D",(1+SUP_VOLUMEN!$C$26),(1+SUP_VOLUMEN!$C$27)))*INDEX(SUP_C3_EXPANSION!$C$6:$F$6,MIN(4,COUNTIF(CAPA3_EXPANSION!$D$56:AP$56,"&gt;="&amp;2)))*CAPA3_EXPANSION!AP$36)</f>
        <v>3969</v>
      </c>
      <c r="AQ9" s="298" t="n">
        <f aca="false">IF(COUNTIF(CAPA3_EXPANSION!$D$56:AQ$56,"&gt;="&amp;2)=0,0,SUP_CONTROL!$C$8*IF($B9="V",1,IF($B9="D",(1+SUP_VOLUMEN!$C$26),(1+SUP_VOLUMEN!$C$27)))*INDEX(SUP_C3_EXPANSION!$C$6:$F$6,MIN(4,COUNTIF(CAPA3_EXPANSION!$D$56:AQ$56,"&gt;="&amp;2)))*CAPA3_EXPANSION!AQ$36)</f>
        <v>3969</v>
      </c>
      <c r="AR9" s="298" t="n">
        <f aca="false">IF(COUNTIF(CAPA3_EXPANSION!$D$56:AR$56,"&gt;="&amp;2)=0,0,SUP_CONTROL!$C$8*IF($B9="V",1,IF($B9="D",(1+SUP_VOLUMEN!$C$26),(1+SUP_VOLUMEN!$C$27)))*INDEX(SUP_C3_EXPANSION!$C$6:$F$6,MIN(4,COUNTIF(CAPA3_EXPANSION!$D$56:AR$56,"&gt;="&amp;2)))*CAPA3_EXPANSION!AR$36)</f>
        <v>3969</v>
      </c>
      <c r="AS9" s="298" t="n">
        <f aca="false">IF(COUNTIF(CAPA3_EXPANSION!$D$56:AS$56,"&gt;="&amp;2)=0,0,SUP_CONTROL!$C$8*IF($B9="V",1,IF($B9="D",(1+SUP_VOLUMEN!$C$26),(1+SUP_VOLUMEN!$C$27)))*INDEX(SUP_C3_EXPANSION!$C$6:$F$6,MIN(4,COUNTIF(CAPA3_EXPANSION!$D$56:AS$56,"&gt;="&amp;2)))*CAPA3_EXPANSION!AS$36)</f>
        <v>3969</v>
      </c>
      <c r="AT9" s="298" t="n">
        <f aca="false">IF(COUNTIF(CAPA3_EXPANSION!$D$56:AT$56,"&gt;="&amp;2)=0,0,SUP_CONTROL!$C$8*IF($B9="V",1,IF($B9="D",(1+SUP_VOLUMEN!$C$26),(1+SUP_VOLUMEN!$C$27)))*INDEX(SUP_C3_EXPANSION!$C$6:$F$6,MIN(4,COUNTIF(CAPA3_EXPANSION!$D$56:AT$56,"&gt;="&amp;2)))*CAPA3_EXPANSION!AT$36)</f>
        <v>3969</v>
      </c>
      <c r="AU9" s="298" t="n">
        <f aca="false">IF(COUNTIF(CAPA3_EXPANSION!$D$56:AU$56,"&gt;="&amp;2)=0,0,SUP_CONTROL!$C$8*IF($B9="V",1,IF($B9="D",(1+SUP_VOLUMEN!$C$26),(1+SUP_VOLUMEN!$C$27)))*INDEX(SUP_C3_EXPANSION!$C$6:$F$6,MIN(4,COUNTIF(CAPA3_EXPANSION!$D$56:AU$56,"&gt;="&amp;2)))*CAPA3_EXPANSION!AU$36)</f>
        <v>3969</v>
      </c>
      <c r="AV9" s="298" t="n">
        <f aca="false">IF(COUNTIF(CAPA3_EXPANSION!$D$56:AV$56,"&gt;="&amp;2)=0,0,SUP_CONTROL!$C$8*IF($B9="V",1,IF($B9="D",(1+SUP_VOLUMEN!$C$26),(1+SUP_VOLUMEN!$C$27)))*INDEX(SUP_C3_EXPANSION!$C$6:$F$6,MIN(4,COUNTIF(CAPA3_EXPANSION!$D$56:AV$56,"&gt;="&amp;2)))*CAPA3_EXPANSION!AV$36)</f>
        <v>3969</v>
      </c>
      <c r="AW9" s="298" t="n">
        <f aca="false">IF(COUNTIF(CAPA3_EXPANSION!$D$56:AW$56,"&gt;="&amp;2)=0,0,SUP_CONTROL!$C$8*IF($B9="V",1,IF($B9="D",(1+SUP_VOLUMEN!$C$26),(1+SUP_VOLUMEN!$C$27)))*INDEX(SUP_C3_EXPANSION!$C$6:$F$6,MIN(4,COUNTIF(CAPA3_EXPANSION!$D$56:AW$56,"&gt;="&amp;2)))*CAPA3_EXPANSION!AW$36)</f>
        <v>3969</v>
      </c>
      <c r="AX9" s="298" t="n">
        <f aca="false">IF(COUNTIF(CAPA3_EXPANSION!$D$56:AX$56,"&gt;="&amp;2)=0,0,SUP_CONTROL!$C$8*IF($B9="V",1,IF($B9="D",(1+SUP_VOLUMEN!$C$26),(1+SUP_VOLUMEN!$C$27)))*INDEX(SUP_C3_EXPANSION!$C$6:$F$6,MIN(4,COUNTIF(CAPA3_EXPANSION!$D$56:AX$56,"&gt;="&amp;2)))*CAPA3_EXPANSION!AX$36)</f>
        <v>3969</v>
      </c>
      <c r="AY9" s="298" t="n">
        <f aca="false">IF(COUNTIF(CAPA3_EXPANSION!$D$56:AY$56,"&gt;="&amp;2)=0,0,SUP_CONTROL!$C$8*IF($B9="V",1,IF($B9="D",(1+SUP_VOLUMEN!$C$26),(1+SUP_VOLUMEN!$C$27)))*INDEX(SUP_C3_EXPANSION!$C$6:$F$6,MIN(4,COUNTIF(CAPA3_EXPANSION!$D$56:AY$56,"&gt;="&amp;2)))*CAPA3_EXPANSION!AY$36)</f>
        <v>3969</v>
      </c>
      <c r="AZ9" s="298" t="n">
        <f aca="false">IF(COUNTIF(CAPA3_EXPANSION!$D$56:AZ$56,"&gt;="&amp;2)=0,0,SUP_CONTROL!$C$8*IF($B9="V",1,IF($B9="D",(1+SUP_VOLUMEN!$C$26),(1+SUP_VOLUMEN!$C$27)))*INDEX(SUP_C3_EXPANSION!$C$6:$F$6,MIN(4,COUNTIF(CAPA3_EXPANSION!$D$56:AZ$56,"&gt;="&amp;2)))*CAPA3_EXPANSION!AZ$36)</f>
        <v>3969</v>
      </c>
      <c r="BA9" s="298" t="n">
        <f aca="false">IF(COUNTIF(CAPA3_EXPANSION!$D$56:BA$56,"&gt;="&amp;2)=0,0,SUP_CONTROL!$C$8*IF($B9="V",1,IF($B9="D",(1+SUP_VOLUMEN!$C$26),(1+SUP_VOLUMEN!$C$27)))*INDEX(SUP_C3_EXPANSION!$C$6:$F$6,MIN(4,COUNTIF(CAPA3_EXPANSION!$D$56:BA$56,"&gt;="&amp;2)))*CAPA3_EXPANSION!BA$36)</f>
        <v>3969</v>
      </c>
      <c r="BB9" s="298" t="n">
        <f aca="false">IF(COUNTIF(CAPA3_EXPANSION!$D$56:BB$56,"&gt;="&amp;2)=0,0,SUP_CONTROL!$C$8*IF($B9="V",1,IF($B9="D",(1+SUP_VOLUMEN!$C$26),(1+SUP_VOLUMEN!$C$27)))*INDEX(SUP_C3_EXPANSION!$C$6:$F$6,MIN(4,COUNTIF(CAPA3_EXPANSION!$D$56:BB$56,"&gt;="&amp;2)))*CAPA3_EXPANSION!BB$36)</f>
        <v>3969</v>
      </c>
      <c r="BC9" s="298" t="n">
        <f aca="false">IF(COUNTIF(CAPA3_EXPANSION!$D$56:BC$56,"&gt;="&amp;2)=0,0,SUP_CONTROL!$C$8*IF($B9="V",1,IF($B9="D",(1+SUP_VOLUMEN!$C$26),(1+SUP_VOLUMEN!$C$27)))*INDEX(SUP_C3_EXPANSION!$C$6:$F$6,MIN(4,COUNTIF(CAPA3_EXPANSION!$D$56:BC$56,"&gt;="&amp;2)))*CAPA3_EXPANSION!BC$36)</f>
        <v>3969</v>
      </c>
      <c r="BD9" s="298" t="n">
        <f aca="false">IF(COUNTIF(CAPA3_EXPANSION!$D$56:BD$56,"&gt;="&amp;2)=0,0,SUP_CONTROL!$C$8*IF($B9="V",1,IF($B9="D",(1+SUP_VOLUMEN!$C$26),(1+SUP_VOLUMEN!$C$27)))*INDEX(SUP_C3_EXPANSION!$C$6:$F$6,MIN(4,COUNTIF(CAPA3_EXPANSION!$D$56:BD$56,"&gt;="&amp;2)))*CAPA3_EXPANSION!BD$36)</f>
        <v>3969</v>
      </c>
      <c r="BE9" s="298" t="n">
        <f aca="false">IF(COUNTIF(CAPA3_EXPANSION!$D$56:BE$56,"&gt;="&amp;2)=0,0,SUP_CONTROL!$C$8*IF($B9="V",1,IF($B9="D",(1+SUP_VOLUMEN!$C$26),(1+SUP_VOLUMEN!$C$27)))*INDEX(SUP_C3_EXPANSION!$C$6:$F$6,MIN(4,COUNTIF(CAPA3_EXPANSION!$D$56:BE$56,"&gt;="&amp;2)))*CAPA3_EXPANSION!BE$36)</f>
        <v>3969</v>
      </c>
      <c r="BF9" s="298" t="n">
        <f aca="false">IF(COUNTIF(CAPA3_EXPANSION!$D$56:BF$56,"&gt;="&amp;2)=0,0,SUP_CONTROL!$C$8*IF($B9="V",1,IF($B9="D",(1+SUP_VOLUMEN!$C$26),(1+SUP_VOLUMEN!$C$27)))*INDEX(SUP_C3_EXPANSION!$C$6:$F$6,MIN(4,COUNTIF(CAPA3_EXPANSION!$D$56:BF$56,"&gt;="&amp;2)))*CAPA3_EXPANSION!BF$36)</f>
        <v>3864</v>
      </c>
      <c r="BG9" s="298" t="n">
        <f aca="false">IF(COUNTIF(CAPA3_EXPANSION!$D$56:BG$56,"&gt;="&amp;2)=0,0,SUP_CONTROL!$C$8*IF($B9="V",1,IF($B9="D",(1+SUP_VOLUMEN!$C$26),(1+SUP_VOLUMEN!$C$27)))*INDEX(SUP_C3_EXPANSION!$C$6:$F$6,MIN(4,COUNTIF(CAPA3_EXPANSION!$D$56:BG$56,"&gt;="&amp;2)))*CAPA3_EXPANSION!BG$36)</f>
        <v>3864</v>
      </c>
      <c r="BH9" s="298" t="n">
        <f aca="false">IF(COUNTIF(CAPA3_EXPANSION!$D$56:BH$56,"&gt;="&amp;2)=0,0,SUP_CONTROL!$C$8*IF($B9="V",1,IF($B9="D",(1+SUP_VOLUMEN!$C$26),(1+SUP_VOLUMEN!$C$27)))*INDEX(SUP_C3_EXPANSION!$C$6:$F$6,MIN(4,COUNTIF(CAPA3_EXPANSION!$D$56:BH$56,"&gt;="&amp;2)))*CAPA3_EXPANSION!BH$36)</f>
        <v>3864</v>
      </c>
      <c r="BI9" s="298" t="n">
        <f aca="false">IF(COUNTIF(CAPA3_EXPANSION!$D$56:BI$56,"&gt;="&amp;2)=0,0,SUP_CONTROL!$C$8*IF($B9="V",1,IF($B9="D",(1+SUP_VOLUMEN!$C$26),(1+SUP_VOLUMEN!$C$27)))*INDEX(SUP_C3_EXPANSION!$C$6:$F$6,MIN(4,COUNTIF(CAPA3_EXPANSION!$D$56:BI$56,"&gt;="&amp;2)))*CAPA3_EXPANSION!BI$36)</f>
        <v>3864</v>
      </c>
      <c r="BJ9" s="298" t="n">
        <f aca="false">IF(COUNTIF(CAPA3_EXPANSION!$D$56:BJ$56,"&gt;="&amp;2)=0,0,SUP_CONTROL!$C$8*IF($B9="V",1,IF($B9="D",(1+SUP_VOLUMEN!$C$26),(1+SUP_VOLUMEN!$C$27)))*INDEX(SUP_C3_EXPANSION!$C$6:$F$6,MIN(4,COUNTIF(CAPA3_EXPANSION!$D$56:BJ$56,"&gt;="&amp;2)))*CAPA3_EXPANSION!BJ$36)</f>
        <v>3864</v>
      </c>
      <c r="BK9" s="298" t="n">
        <f aca="false">IF(COUNTIF(CAPA3_EXPANSION!$D$56:BK$56,"&gt;="&amp;2)=0,0,SUP_CONTROL!$C$8*IF($B9="V",1,IF($B9="D",(1+SUP_VOLUMEN!$C$26),(1+SUP_VOLUMEN!$C$27)))*INDEX(SUP_C3_EXPANSION!$C$6:$F$6,MIN(4,COUNTIF(CAPA3_EXPANSION!$D$56:BK$56,"&gt;="&amp;2)))*CAPA3_EXPANSION!BK$36)</f>
        <v>3780</v>
      </c>
      <c r="BL9" s="298" t="n">
        <f aca="false">IF(COUNTIF(CAPA3_EXPANSION!$D$56:BL$56,"&gt;="&amp;2)=0,0,SUP_CONTROL!$C$8*IF($B9="V",1,IF($B9="D",(1+SUP_VOLUMEN!$C$26),(1+SUP_VOLUMEN!$C$27)))*INDEX(SUP_C3_EXPANSION!$C$6:$F$6,MIN(4,COUNTIF(CAPA3_EXPANSION!$D$56:BL$56,"&gt;="&amp;2)))*CAPA3_EXPANSION!BL$36)</f>
        <v>3780</v>
      </c>
      <c r="BM9" s="298" t="n">
        <f aca="false">IF(COUNTIF(CAPA3_EXPANSION!$D$56:BM$56,"&gt;="&amp;2)=0,0,SUP_CONTROL!$C$8*IF($B9="V",1,IF($B9="D",(1+SUP_VOLUMEN!$C$26),(1+SUP_VOLUMEN!$C$27)))*INDEX(SUP_C3_EXPANSION!$C$6:$F$6,MIN(4,COUNTIF(CAPA3_EXPANSION!$D$56:BM$56,"&gt;="&amp;2)))*CAPA3_EXPANSION!BM$36)</f>
        <v>3780</v>
      </c>
      <c r="BN9" s="298" t="n">
        <f aca="false">IF(COUNTIF(CAPA3_EXPANSION!$D$56:BN$56,"&gt;="&amp;2)=0,0,SUP_CONTROL!$C$8*IF($B9="V",1,IF($B9="D",(1+SUP_VOLUMEN!$C$26),(1+SUP_VOLUMEN!$C$27)))*INDEX(SUP_C3_EXPANSION!$C$6:$F$6,MIN(4,COUNTIF(CAPA3_EXPANSION!$D$56:BN$56,"&gt;="&amp;2)))*CAPA3_EXPANSION!BN$36)</f>
        <v>3780</v>
      </c>
      <c r="BO9" s="298" t="n">
        <f aca="false">IF(COUNTIF(CAPA3_EXPANSION!$D$56:BO$56,"&gt;="&amp;2)=0,0,SUP_CONTROL!$C$8*IF($B9="V",1,IF($B9="D",(1+SUP_VOLUMEN!$C$26),(1+SUP_VOLUMEN!$C$27)))*INDEX(SUP_C3_EXPANSION!$C$6:$F$6,MIN(4,COUNTIF(CAPA3_EXPANSION!$D$56:BO$56,"&gt;="&amp;2)))*CAPA3_EXPANSION!BO$36)</f>
        <v>3780</v>
      </c>
      <c r="BP9" s="298" t="n">
        <f aca="false">IF(COUNTIF(CAPA3_EXPANSION!$D$56:BP$56,"&gt;="&amp;2)=0,0,SUP_CONTROL!$C$8*IF($B9="V",1,IF($B9="D",(1+SUP_VOLUMEN!$C$26),(1+SUP_VOLUMEN!$C$27)))*INDEX(SUP_C3_EXPANSION!$C$6:$F$6,MIN(4,COUNTIF(CAPA3_EXPANSION!$D$56:BP$56,"&gt;="&amp;2)))*CAPA3_EXPANSION!BP$36)</f>
        <v>3780</v>
      </c>
      <c r="BQ9" s="298" t="n">
        <f aca="false">IF(COUNTIF(CAPA3_EXPANSION!$D$56:BQ$56,"&gt;="&amp;2)=0,0,SUP_CONTROL!$C$8*IF($B9="V",1,IF($B9="D",(1+SUP_VOLUMEN!$C$26),(1+SUP_VOLUMEN!$C$27)))*INDEX(SUP_C3_EXPANSION!$C$6:$F$6,MIN(4,COUNTIF(CAPA3_EXPANSION!$D$56:BQ$56,"&gt;="&amp;2)))*CAPA3_EXPANSION!BQ$36)</f>
        <v>3696</v>
      </c>
      <c r="BR9" s="298" t="n">
        <f aca="false">IF(COUNTIF(CAPA3_EXPANSION!$D$56:BR$56,"&gt;="&amp;2)=0,0,SUP_CONTROL!$C$8*IF($B9="V",1,IF($B9="D",(1+SUP_VOLUMEN!$C$26),(1+SUP_VOLUMEN!$C$27)))*INDEX(SUP_C3_EXPANSION!$C$6:$F$6,MIN(4,COUNTIF(CAPA3_EXPANSION!$D$56:BR$56,"&gt;="&amp;2)))*CAPA3_EXPANSION!BR$36)</f>
        <v>3696</v>
      </c>
      <c r="BS9" s="298" t="n">
        <f aca="false">IF(COUNTIF(CAPA3_EXPANSION!$D$56:BS$56,"&gt;="&amp;2)=0,0,SUP_CONTROL!$C$8*IF($B9="V",1,IF($B9="D",(1+SUP_VOLUMEN!$C$26),(1+SUP_VOLUMEN!$C$27)))*INDEX(SUP_C3_EXPANSION!$C$6:$F$6,MIN(4,COUNTIF(CAPA3_EXPANSION!$D$56:BS$56,"&gt;="&amp;2)))*CAPA3_EXPANSION!BS$36)</f>
        <v>3696</v>
      </c>
      <c r="BT9" s="298" t="n">
        <f aca="false">IF(COUNTIF(CAPA3_EXPANSION!$D$56:BT$56,"&gt;="&amp;2)=0,0,SUP_CONTROL!$C$8*IF($B9="V",1,IF($B9="D",(1+SUP_VOLUMEN!$C$26),(1+SUP_VOLUMEN!$C$27)))*INDEX(SUP_C3_EXPANSION!$C$6:$F$6,MIN(4,COUNTIF(CAPA3_EXPANSION!$D$56:BT$56,"&gt;="&amp;2)))*CAPA3_EXPANSION!BT$36)</f>
        <v>3696</v>
      </c>
      <c r="BU9" s="298" t="n">
        <f aca="false">IF(COUNTIF(CAPA3_EXPANSION!$D$56:BU$56,"&gt;="&amp;2)=0,0,SUP_CONTROL!$C$8*IF($B9="V",1,IF($B9="D",(1+SUP_VOLUMEN!$C$26),(1+SUP_VOLUMEN!$C$27)))*INDEX(SUP_C3_EXPANSION!$C$6:$F$6,MIN(4,COUNTIF(CAPA3_EXPANSION!$D$56:BU$56,"&gt;="&amp;2)))*CAPA3_EXPANSION!BU$36)</f>
        <v>3696</v>
      </c>
      <c r="BV9" s="298" t="n">
        <f aca="false">IF(COUNTIF(CAPA3_EXPANSION!$D$56:BV$56,"&gt;="&amp;2)=0,0,SUP_CONTROL!$C$8*IF($B9="V",1,IF($B9="D",(1+SUP_VOLUMEN!$C$26),(1+SUP_VOLUMEN!$C$27)))*INDEX(SUP_C3_EXPANSION!$C$6:$F$6,MIN(4,COUNTIF(CAPA3_EXPANSION!$D$56:BV$56,"&gt;="&amp;2)))*CAPA3_EXPANSION!BV$36)</f>
        <v>3696</v>
      </c>
      <c r="BW9" s="298" t="n">
        <f aca="false">IF(COUNTIF(CAPA3_EXPANSION!$D$56:BW$56,"&gt;="&amp;2)=0,0,SUP_CONTROL!$C$8*IF($B9="V",1,IF($B9="D",(1+SUP_VOLUMEN!$C$26),(1+SUP_VOLUMEN!$C$27)))*INDEX(SUP_C3_EXPANSION!$C$6:$F$6,MIN(4,COUNTIF(CAPA3_EXPANSION!$D$56:BW$56,"&gt;="&amp;2)))*CAPA3_EXPANSION!BW$36)</f>
        <v>3633</v>
      </c>
      <c r="BX9" s="298" t="n">
        <f aca="false">IF(COUNTIF(CAPA3_EXPANSION!$D$56:BX$56,"&gt;="&amp;2)=0,0,SUP_CONTROL!$C$8*IF($B9="V",1,IF($B9="D",(1+SUP_VOLUMEN!$C$26),(1+SUP_VOLUMEN!$C$27)))*INDEX(SUP_C3_EXPANSION!$C$6:$F$6,MIN(4,COUNTIF(CAPA3_EXPANSION!$D$56:BX$56,"&gt;="&amp;2)))*CAPA3_EXPANSION!BX$36)</f>
        <v>3633</v>
      </c>
      <c r="BY9" s="298" t="n">
        <f aca="false">IF(COUNTIF(CAPA3_EXPANSION!$D$56:BY$56,"&gt;="&amp;2)=0,0,SUP_CONTROL!$C$8*IF($B9="V",1,IF($B9="D",(1+SUP_VOLUMEN!$C$26),(1+SUP_VOLUMEN!$C$27)))*INDEX(SUP_C3_EXPANSION!$C$6:$F$6,MIN(4,COUNTIF(CAPA3_EXPANSION!$D$56:BY$56,"&gt;="&amp;2)))*CAPA3_EXPANSION!BY$36)</f>
        <v>3633</v>
      </c>
      <c r="BZ9" s="298" t="n">
        <f aca="false">IF(COUNTIF(CAPA3_EXPANSION!$D$56:BZ$56,"&gt;="&amp;2)=0,0,SUP_CONTROL!$C$8*IF($B9="V",1,IF($B9="D",(1+SUP_VOLUMEN!$C$26),(1+SUP_VOLUMEN!$C$27)))*INDEX(SUP_C3_EXPANSION!$C$6:$F$6,MIN(4,COUNTIF(CAPA3_EXPANSION!$D$56:BZ$56,"&gt;="&amp;2)))*CAPA3_EXPANSION!BZ$36)</f>
        <v>3633</v>
      </c>
      <c r="CA9" s="298" t="n">
        <f aca="false">IF(COUNTIF(CAPA3_EXPANSION!$D$56:CA$56,"&gt;="&amp;2)=0,0,SUP_CONTROL!$C$8*IF($B9="V",1,IF($B9="D",(1+SUP_VOLUMEN!$C$26),(1+SUP_VOLUMEN!$C$27)))*INDEX(SUP_C3_EXPANSION!$C$6:$F$6,MIN(4,COUNTIF(CAPA3_EXPANSION!$D$56:CA$56,"&gt;="&amp;2)))*CAPA3_EXPANSION!CA$36)</f>
        <v>3633</v>
      </c>
      <c r="CB9" s="298" t="n">
        <f aca="false">IF(COUNTIF(CAPA3_EXPANSION!$D$56:CB$56,"&gt;="&amp;2)=0,0,SUP_CONTROL!$C$8*IF($B9="V",1,IF($B9="D",(1+SUP_VOLUMEN!$C$26),(1+SUP_VOLUMEN!$C$27)))*INDEX(SUP_C3_EXPANSION!$C$6:$F$6,MIN(4,COUNTIF(CAPA3_EXPANSION!$D$56:CB$56,"&gt;="&amp;2)))*CAPA3_EXPANSION!CB$36)</f>
        <v>3570</v>
      </c>
      <c r="CC9" s="298" t="n">
        <f aca="false">IF(COUNTIF(CAPA3_EXPANSION!$D$56:CC$56,"&gt;="&amp;2)=0,0,SUP_CONTROL!$C$8*IF($B9="V",1,IF($B9="D",(1+SUP_VOLUMEN!$C$26),(1+SUP_VOLUMEN!$C$27)))*INDEX(SUP_C3_EXPANSION!$C$6:$F$6,MIN(4,COUNTIF(CAPA3_EXPANSION!$D$56:CC$56,"&gt;="&amp;2)))*CAPA3_EXPANSION!CC$36)</f>
        <v>3570</v>
      </c>
      <c r="CD9" s="298" t="n">
        <f aca="false">IF(COUNTIF(CAPA3_EXPANSION!$D$56:CD$56,"&gt;="&amp;2)=0,0,SUP_CONTROL!$C$8*IF($B9="V",1,IF($B9="D",(1+SUP_VOLUMEN!$C$26),(1+SUP_VOLUMEN!$C$27)))*INDEX(SUP_C3_EXPANSION!$C$6:$F$6,MIN(4,COUNTIF(CAPA3_EXPANSION!$D$56:CD$56,"&gt;="&amp;2)))*CAPA3_EXPANSION!CD$36)</f>
        <v>3570</v>
      </c>
      <c r="CE9" s="298" t="n">
        <f aca="false">IF(COUNTIF(CAPA3_EXPANSION!$D$56:CE$56,"&gt;="&amp;2)=0,0,SUP_CONTROL!$C$8*IF($B9="V",1,IF($B9="D",(1+SUP_VOLUMEN!$C$26),(1+SUP_VOLUMEN!$C$27)))*INDEX(SUP_C3_EXPANSION!$C$6:$F$6,MIN(4,COUNTIF(CAPA3_EXPANSION!$D$56:CE$56,"&gt;="&amp;2)))*CAPA3_EXPANSION!CE$36)</f>
        <v>3570</v>
      </c>
      <c r="CF9" s="298" t="n">
        <f aca="false">IF(COUNTIF(CAPA3_EXPANSION!$D$56:CF$56,"&gt;="&amp;2)=0,0,SUP_CONTROL!$C$8*IF($B9="V",1,IF($B9="D",(1+SUP_VOLUMEN!$C$26),(1+SUP_VOLUMEN!$C$27)))*INDEX(SUP_C3_EXPANSION!$C$6:$F$6,MIN(4,COUNTIF(CAPA3_EXPANSION!$D$56:CF$56,"&gt;="&amp;2)))*CAPA3_EXPANSION!CF$36)</f>
        <v>3570</v>
      </c>
      <c r="CG9" s="298" t="n">
        <f aca="false">IF(COUNTIF(CAPA3_EXPANSION!$D$56:CG$56,"&gt;="&amp;2)=0,0,SUP_CONTROL!$C$8*IF($B9="V",1,IF($B9="D",(1+SUP_VOLUMEN!$C$26),(1+SUP_VOLUMEN!$C$27)))*INDEX(SUP_C3_EXPANSION!$C$6:$F$6,MIN(4,COUNTIF(CAPA3_EXPANSION!$D$56:CG$56,"&gt;="&amp;2)))*CAPA3_EXPANSION!CG$36)</f>
        <v>3528</v>
      </c>
      <c r="CH9" s="298" t="n">
        <f aca="false">IF(COUNTIF(CAPA3_EXPANSION!$D$56:CH$56,"&gt;="&amp;2)=0,0,SUP_CONTROL!$C$8*IF($B9="V",1,IF($B9="D",(1+SUP_VOLUMEN!$C$26),(1+SUP_VOLUMEN!$C$27)))*INDEX(SUP_C3_EXPANSION!$C$6:$F$6,MIN(4,COUNTIF(CAPA3_EXPANSION!$D$56:CH$56,"&gt;="&amp;2)))*CAPA3_EXPANSION!CH$36)</f>
        <v>3528</v>
      </c>
      <c r="CI9" s="298" t="n">
        <f aca="false">IF(COUNTIF(CAPA3_EXPANSION!$D$56:CI$56,"&gt;="&amp;2)=0,0,SUP_CONTROL!$C$8*IF($B9="V",1,IF($B9="D",(1+SUP_VOLUMEN!$C$26),(1+SUP_VOLUMEN!$C$27)))*INDEX(SUP_C3_EXPANSION!$C$6:$F$6,MIN(4,COUNTIF(CAPA3_EXPANSION!$D$56:CI$56,"&gt;="&amp;2)))*CAPA3_EXPANSION!CI$36)</f>
        <v>3528</v>
      </c>
      <c r="CJ9" s="298" t="n">
        <f aca="false">IF(COUNTIF(CAPA3_EXPANSION!$D$56:CJ$56,"&gt;="&amp;2)=0,0,SUP_CONTROL!$C$8*IF($B9="V",1,IF($B9="D",(1+SUP_VOLUMEN!$C$26),(1+SUP_VOLUMEN!$C$27)))*INDEX(SUP_C3_EXPANSION!$C$6:$F$6,MIN(4,COUNTIF(CAPA3_EXPANSION!$D$56:CJ$56,"&gt;="&amp;2)))*CAPA3_EXPANSION!CJ$36)</f>
        <v>3528</v>
      </c>
      <c r="CK9" s="298" t="n">
        <f aca="false">IF(COUNTIF(CAPA3_EXPANSION!$D$56:CK$56,"&gt;="&amp;2)=0,0,SUP_CONTROL!$C$8*IF($B9="V",1,IF($B9="D",(1+SUP_VOLUMEN!$C$26),(1+SUP_VOLUMEN!$C$27)))*INDEX(SUP_C3_EXPANSION!$C$6:$F$6,MIN(4,COUNTIF(CAPA3_EXPANSION!$D$56:CK$56,"&gt;="&amp;2)))*CAPA3_EXPANSION!CK$36)</f>
        <v>3528</v>
      </c>
      <c r="CL9" s="298" t="n">
        <f aca="false">IF(COUNTIF(CAPA3_EXPANSION!$D$56:CL$56,"&gt;="&amp;2)=0,0,SUP_CONTROL!$C$8*IF($B9="V",1,IF($B9="D",(1+SUP_VOLUMEN!$C$26),(1+SUP_VOLUMEN!$C$27)))*INDEX(SUP_C3_EXPANSION!$C$6:$F$6,MIN(4,COUNTIF(CAPA3_EXPANSION!$D$56:CL$56,"&gt;="&amp;2)))*CAPA3_EXPANSION!CL$36)</f>
        <v>3528</v>
      </c>
      <c r="CM9" s="298" t="n">
        <f aca="false">IF(COUNTIF(CAPA3_EXPANSION!$D$56:CM$56,"&gt;="&amp;2)=0,0,SUP_CONTROL!$C$8*IF($B9="V",1,IF($B9="D",(1+SUP_VOLUMEN!$C$26),(1+SUP_VOLUMEN!$C$27)))*INDEX(SUP_C3_EXPANSION!$C$6:$F$6,MIN(4,COUNTIF(CAPA3_EXPANSION!$D$56:CM$56,"&gt;="&amp;2)))*CAPA3_EXPANSION!CM$36)</f>
        <v>3528</v>
      </c>
      <c r="CN9" s="298" t="n">
        <f aca="false">IF(COUNTIF(CAPA3_EXPANSION!$D$56:CN$56,"&gt;="&amp;2)=0,0,SUP_CONTROL!$C$8*IF($B9="V",1,IF($B9="D",(1+SUP_VOLUMEN!$C$26),(1+SUP_VOLUMEN!$C$27)))*INDEX(SUP_C3_EXPANSION!$C$6:$F$6,MIN(4,COUNTIF(CAPA3_EXPANSION!$D$56:CN$56,"&gt;="&amp;2)))*CAPA3_EXPANSION!CN$36)</f>
        <v>3528</v>
      </c>
      <c r="CO9" s="298" t="n">
        <f aca="false">IF(COUNTIF(CAPA3_EXPANSION!$D$56:CO$56,"&gt;="&amp;2)=0,0,SUP_CONTROL!$C$8*IF($B9="V",1,IF($B9="D",(1+SUP_VOLUMEN!$C$26),(1+SUP_VOLUMEN!$C$27)))*INDEX(SUP_C3_EXPANSION!$C$6:$F$6,MIN(4,COUNTIF(CAPA3_EXPANSION!$D$56:CO$56,"&gt;="&amp;2)))*CAPA3_EXPANSION!CO$36)</f>
        <v>3528</v>
      </c>
      <c r="CP9" s="298" t="n">
        <f aca="false">IF(COUNTIF(CAPA3_EXPANSION!$D$56:CP$56,"&gt;="&amp;2)=0,0,SUP_CONTROL!$C$8*IF($B9="V",1,IF($B9="D",(1+SUP_VOLUMEN!$C$26),(1+SUP_VOLUMEN!$C$27)))*INDEX(SUP_C3_EXPANSION!$C$6:$F$6,MIN(4,COUNTIF(CAPA3_EXPANSION!$D$56:CP$56,"&gt;="&amp;2)))*CAPA3_EXPANSION!CP$36)</f>
        <v>3528</v>
      </c>
      <c r="CQ9" s="298" t="n">
        <f aca="false">IF(COUNTIF(CAPA3_EXPANSION!$D$56:CQ$56,"&gt;="&amp;2)=0,0,SUP_CONTROL!$C$8*IF($B9="V",1,IF($B9="D",(1+SUP_VOLUMEN!$C$26),(1+SUP_VOLUMEN!$C$27)))*INDEX(SUP_C3_EXPANSION!$C$6:$F$6,MIN(4,COUNTIF(CAPA3_EXPANSION!$D$56:CQ$56,"&gt;="&amp;2)))*CAPA3_EXPANSION!CQ$36)</f>
        <v>3528</v>
      </c>
      <c r="CR9" s="298" t="n">
        <f aca="false">IF(COUNTIF(CAPA3_EXPANSION!$D$56:CR$56,"&gt;="&amp;2)=0,0,SUP_CONTROL!$C$8*IF($B9="V",1,IF($B9="D",(1+SUP_VOLUMEN!$C$26),(1+SUP_VOLUMEN!$C$27)))*INDEX(SUP_C3_EXPANSION!$C$6:$F$6,MIN(4,COUNTIF(CAPA3_EXPANSION!$D$56:CR$56,"&gt;="&amp;2)))*CAPA3_EXPANSION!CR$36)</f>
        <v>3528</v>
      </c>
      <c r="CS9" s="298" t="n">
        <f aca="false">IF(COUNTIF(CAPA3_EXPANSION!$D$56:CS$56,"&gt;="&amp;2)=0,0,SUP_CONTROL!$C$8*IF($B9="V",1,IF($B9="D",(1+SUP_VOLUMEN!$C$26),(1+SUP_VOLUMEN!$C$27)))*INDEX(SUP_C3_EXPANSION!$C$6:$F$6,MIN(4,COUNTIF(CAPA3_EXPANSION!$D$56:CS$56,"&gt;="&amp;2)))*CAPA3_EXPANSION!CS$36)</f>
        <v>3528</v>
      </c>
      <c r="CT9" s="298" t="n">
        <f aca="false">IF(COUNTIF(CAPA3_EXPANSION!$D$56:CT$56,"&gt;="&amp;2)=0,0,SUP_CONTROL!$C$8*IF($B9="V",1,IF($B9="D",(1+SUP_VOLUMEN!$C$26),(1+SUP_VOLUMEN!$C$27)))*INDEX(SUP_C3_EXPANSION!$C$6:$F$6,MIN(4,COUNTIF(CAPA3_EXPANSION!$D$56:CT$56,"&gt;="&amp;2)))*CAPA3_EXPANSION!CT$36)</f>
        <v>3528</v>
      </c>
      <c r="CU9" s="298" t="n">
        <f aca="false">IF(COUNTIF(CAPA3_EXPANSION!$D$56:CU$56,"&gt;="&amp;2)=0,0,SUP_CONTROL!$C$8*IF($B9="V",1,IF($B9="D",(1+SUP_VOLUMEN!$C$26),(1+SUP_VOLUMEN!$C$27)))*INDEX(SUP_C3_EXPANSION!$C$6:$F$6,MIN(4,COUNTIF(CAPA3_EXPANSION!$D$56:CU$56,"&gt;="&amp;2)))*CAPA3_EXPANSION!CU$36)</f>
        <v>3528</v>
      </c>
      <c r="CV9" s="298" t="n">
        <f aca="false">IF(COUNTIF(CAPA3_EXPANSION!$D$56:CV$56,"&gt;="&amp;2)=0,0,SUP_CONTROL!$C$8*IF($B9="V",1,IF($B9="D",(1+SUP_VOLUMEN!$C$26),(1+SUP_VOLUMEN!$C$27)))*INDEX(SUP_C3_EXPANSION!$C$6:$F$6,MIN(4,COUNTIF(CAPA3_EXPANSION!$D$56:CV$56,"&gt;="&amp;2)))*CAPA3_EXPANSION!CV$36)</f>
        <v>3528</v>
      </c>
      <c r="CW9" s="298" t="n">
        <f aca="false">IF(COUNTIF(CAPA3_EXPANSION!$D$56:CW$56,"&gt;="&amp;2)=0,0,SUP_CONTROL!$C$8*IF($B9="V",1,IF($B9="D",(1+SUP_VOLUMEN!$C$26),(1+SUP_VOLUMEN!$C$27)))*INDEX(SUP_C3_EXPANSION!$C$6:$F$6,MIN(4,COUNTIF(CAPA3_EXPANSION!$D$56:CW$56,"&gt;="&amp;2)))*CAPA3_EXPANSION!CW$36)</f>
        <v>3528</v>
      </c>
      <c r="CX9" s="298" t="n">
        <f aca="false">IF(COUNTIF(CAPA3_EXPANSION!$D$56:CX$56,"&gt;="&amp;2)=0,0,SUP_CONTROL!$C$8*IF($B9="V",1,IF($B9="D",(1+SUP_VOLUMEN!$C$26),(1+SUP_VOLUMEN!$C$27)))*INDEX(SUP_C3_EXPANSION!$C$6:$F$6,MIN(4,COUNTIF(CAPA3_EXPANSION!$D$56:CX$56,"&gt;="&amp;2)))*CAPA3_EXPANSION!CX$36)</f>
        <v>3528</v>
      </c>
      <c r="CY9" s="298" t="n">
        <f aca="false">IF(COUNTIF(CAPA3_EXPANSION!$D$56:CY$56,"&gt;="&amp;2)=0,0,SUP_CONTROL!$C$8*IF($B9="V",1,IF($B9="D",(1+SUP_VOLUMEN!$C$26),(1+SUP_VOLUMEN!$C$27)))*INDEX(SUP_C3_EXPANSION!$C$6:$F$6,MIN(4,COUNTIF(CAPA3_EXPANSION!$D$56:CY$56,"&gt;="&amp;2)))*CAPA3_EXPANSION!CY$36)</f>
        <v>3528</v>
      </c>
      <c r="CZ9" s="298" t="n">
        <f aca="false">IF(COUNTIF(CAPA3_EXPANSION!$D$56:CZ$56,"&gt;="&amp;2)=0,0,SUP_CONTROL!$C$8*IF($B9="V",1,IF($B9="D",(1+SUP_VOLUMEN!$C$26),(1+SUP_VOLUMEN!$C$27)))*INDEX(SUP_C3_EXPANSION!$C$6:$F$6,MIN(4,COUNTIF(CAPA3_EXPANSION!$D$56:CZ$56,"&gt;="&amp;2)))*CAPA3_EXPANSION!CZ$36)</f>
        <v>3528</v>
      </c>
      <c r="DA9" s="298" t="n">
        <f aca="false">IF(COUNTIF(CAPA3_EXPANSION!$D$56:DA$56,"&gt;="&amp;2)=0,0,SUP_CONTROL!$C$8*IF($B9="V",1,IF($B9="D",(1+SUP_VOLUMEN!$C$26),(1+SUP_VOLUMEN!$C$27)))*INDEX(SUP_C3_EXPANSION!$C$6:$F$6,MIN(4,COUNTIF(CAPA3_EXPANSION!$D$56:DA$56,"&gt;="&amp;2)))*CAPA3_EXPANSION!DA$36)</f>
        <v>3528</v>
      </c>
      <c r="DB9" s="298" t="n">
        <f aca="false">IF(COUNTIF(CAPA3_EXPANSION!$D$56:DB$56,"&gt;="&amp;2)=0,0,SUP_CONTROL!$C$8*IF($B9="V",1,IF($B9="D",(1+SUP_VOLUMEN!$C$26),(1+SUP_VOLUMEN!$C$27)))*INDEX(SUP_C3_EXPANSION!$C$6:$F$6,MIN(4,COUNTIF(CAPA3_EXPANSION!$D$56:DB$56,"&gt;="&amp;2)))*CAPA3_EXPANSION!DB$36)</f>
        <v>3528</v>
      </c>
      <c r="DC9" s="298" t="n">
        <f aca="false">IF(COUNTIF(CAPA3_EXPANSION!$D$56:DC$56,"&gt;="&amp;2)=0,0,SUP_CONTROL!$C$8*IF($B9="V",1,IF($B9="D",(1+SUP_VOLUMEN!$C$26),(1+SUP_VOLUMEN!$C$27)))*INDEX(SUP_C3_EXPANSION!$C$6:$F$6,MIN(4,COUNTIF(CAPA3_EXPANSION!$D$56:DC$56,"&gt;="&amp;2)))*CAPA3_EXPANSION!DC$36)</f>
        <v>3528</v>
      </c>
      <c r="DD9" s="298" t="n">
        <f aca="false">IF(COUNTIF(CAPA3_EXPANSION!$D$56:DD$56,"&gt;="&amp;2)=0,0,SUP_CONTROL!$C$8*IF($B9="V",1,IF($B9="D",(1+SUP_VOLUMEN!$C$26),(1+SUP_VOLUMEN!$C$27)))*INDEX(SUP_C3_EXPANSION!$C$6:$F$6,MIN(4,COUNTIF(CAPA3_EXPANSION!$D$56:DD$56,"&gt;="&amp;2)))*CAPA3_EXPANSION!DD$36)</f>
        <v>3528</v>
      </c>
      <c r="DE9" s="298" t="n">
        <f aca="false">IF(COUNTIF(CAPA3_EXPANSION!$D$56:DE$56,"&gt;="&amp;2)=0,0,SUP_CONTROL!$C$8*IF($B9="V",1,IF($B9="D",(1+SUP_VOLUMEN!$C$26),(1+SUP_VOLUMEN!$C$27)))*INDEX(SUP_C3_EXPANSION!$C$6:$F$6,MIN(4,COUNTIF(CAPA3_EXPANSION!$D$56:DE$56,"&gt;="&amp;2)))*CAPA3_EXPANSION!DE$36)</f>
        <v>3528</v>
      </c>
      <c r="DF9" s="298" t="n">
        <f aca="false">IF(COUNTIF(CAPA3_EXPANSION!$D$56:DF$56,"&gt;="&amp;2)=0,0,SUP_CONTROL!$C$8*IF($B9="V",1,IF($B9="D",(1+SUP_VOLUMEN!$C$26),(1+SUP_VOLUMEN!$C$27)))*INDEX(SUP_C3_EXPANSION!$C$6:$F$6,MIN(4,COUNTIF(CAPA3_EXPANSION!$D$56:DF$56,"&gt;="&amp;2)))*CAPA3_EXPANSION!DF$36)</f>
        <v>3528</v>
      </c>
      <c r="DG9" s="298" t="n">
        <f aca="false">IF(COUNTIF(CAPA3_EXPANSION!$D$56:DG$56,"&gt;="&amp;2)=0,0,SUP_CONTROL!$C$8*IF($B9="V",1,IF($B9="D",(1+SUP_VOLUMEN!$C$26),(1+SUP_VOLUMEN!$C$27)))*INDEX(SUP_C3_EXPANSION!$C$6:$F$6,MIN(4,COUNTIF(CAPA3_EXPANSION!$D$56:DG$56,"&gt;="&amp;2)))*CAPA3_EXPANSION!DG$36)</f>
        <v>3528</v>
      </c>
      <c r="DH9" s="298" t="n">
        <f aca="false">IF(COUNTIF(CAPA3_EXPANSION!$D$56:DH$56,"&gt;="&amp;2)=0,0,SUP_CONTROL!$C$8*IF($B9="V",1,IF($B9="D",(1+SUP_VOLUMEN!$C$26),(1+SUP_VOLUMEN!$C$27)))*INDEX(SUP_C3_EXPANSION!$C$6:$F$6,MIN(4,COUNTIF(CAPA3_EXPANSION!$D$56:DH$56,"&gt;="&amp;2)))*CAPA3_EXPANSION!DH$36)</f>
        <v>3528</v>
      </c>
      <c r="DI9" s="298" t="n">
        <f aca="false">IF(COUNTIF(CAPA3_EXPANSION!$D$56:DI$56,"&gt;="&amp;2)=0,0,SUP_CONTROL!$C$8*IF($B9="V",1,IF($B9="D",(1+SUP_VOLUMEN!$C$26),(1+SUP_VOLUMEN!$C$27)))*INDEX(SUP_C3_EXPANSION!$C$6:$F$6,MIN(4,COUNTIF(CAPA3_EXPANSION!$D$56:DI$56,"&gt;="&amp;2)))*CAPA3_EXPANSION!DI$36)</f>
        <v>3528</v>
      </c>
      <c r="DJ9" s="298" t="n">
        <f aca="false">IF(COUNTIF(CAPA3_EXPANSION!$D$56:DJ$56,"&gt;="&amp;2)=0,0,SUP_CONTROL!$C$8*IF($B9="V",1,IF($B9="D",(1+SUP_VOLUMEN!$C$26),(1+SUP_VOLUMEN!$C$27)))*INDEX(SUP_C3_EXPANSION!$C$6:$F$6,MIN(4,COUNTIF(CAPA3_EXPANSION!$D$56:DJ$56,"&gt;="&amp;2)))*CAPA3_EXPANSION!DJ$36)</f>
        <v>3528</v>
      </c>
      <c r="DK9" s="298" t="n">
        <f aca="false">IF(COUNTIF(CAPA3_EXPANSION!$D$56:DK$56,"&gt;="&amp;2)=0,0,SUP_CONTROL!$C$8*IF($B9="V",1,IF($B9="D",(1+SUP_VOLUMEN!$C$26),(1+SUP_VOLUMEN!$C$27)))*INDEX(SUP_C3_EXPANSION!$C$6:$F$6,MIN(4,COUNTIF(CAPA3_EXPANSION!$D$56:DK$56,"&gt;="&amp;2)))*CAPA3_EXPANSION!DK$36)</f>
        <v>3528</v>
      </c>
      <c r="DL9" s="298" t="n">
        <f aca="false">IF(COUNTIF(CAPA3_EXPANSION!$D$56:DL$56,"&gt;="&amp;2)=0,0,SUP_CONTROL!$C$8*IF($B9="V",1,IF($B9="D",(1+SUP_VOLUMEN!$C$26),(1+SUP_VOLUMEN!$C$27)))*INDEX(SUP_C3_EXPANSION!$C$6:$F$6,MIN(4,COUNTIF(CAPA3_EXPANSION!$D$56:DL$56,"&gt;="&amp;2)))*CAPA3_EXPANSION!DL$36)</f>
        <v>3528</v>
      </c>
      <c r="DM9" s="298" t="n">
        <f aca="false">IF(COUNTIF(CAPA3_EXPANSION!$D$56:DM$56,"&gt;="&amp;2)=0,0,SUP_CONTROL!$C$8*IF($B9="V",1,IF($B9="D",(1+SUP_VOLUMEN!$C$26),(1+SUP_VOLUMEN!$C$27)))*INDEX(SUP_C3_EXPANSION!$C$6:$F$6,MIN(4,COUNTIF(CAPA3_EXPANSION!$D$56:DM$56,"&gt;="&amp;2)))*CAPA3_EXPANSION!DM$36)</f>
        <v>3528</v>
      </c>
      <c r="DN9" s="298" t="n">
        <f aca="false">IF(COUNTIF(CAPA3_EXPANSION!$D$56:DN$56,"&gt;="&amp;2)=0,0,SUP_CONTROL!$C$8*IF($B9="V",1,IF($B9="D",(1+SUP_VOLUMEN!$C$26),(1+SUP_VOLUMEN!$C$27)))*INDEX(SUP_C3_EXPANSION!$C$6:$F$6,MIN(4,COUNTIF(CAPA3_EXPANSION!$D$56:DN$56,"&gt;="&amp;2)))*CAPA3_EXPANSION!DN$36)</f>
        <v>3528</v>
      </c>
      <c r="DO9" s="298" t="n">
        <f aca="false">IF(COUNTIF(CAPA3_EXPANSION!$D$56:DO$56,"&gt;="&amp;2)=0,0,SUP_CONTROL!$C$8*IF($B9="V",1,IF($B9="D",(1+SUP_VOLUMEN!$C$26),(1+SUP_VOLUMEN!$C$27)))*INDEX(SUP_C3_EXPANSION!$C$6:$F$6,MIN(4,COUNTIF(CAPA3_EXPANSION!$D$56:DO$56,"&gt;="&amp;2)))*CAPA3_EXPANSION!DO$36)</f>
        <v>3528</v>
      </c>
      <c r="DP9" s="298" t="n">
        <f aca="false">IF(COUNTIF(CAPA3_EXPANSION!$D$56:DP$56,"&gt;="&amp;2)=0,0,SUP_CONTROL!$C$8*IF($B9="V",1,IF($B9="D",(1+SUP_VOLUMEN!$C$26),(1+SUP_VOLUMEN!$C$27)))*INDEX(SUP_C3_EXPANSION!$C$6:$F$6,MIN(4,COUNTIF(CAPA3_EXPANSION!$D$56:DP$56,"&gt;="&amp;2)))*CAPA3_EXPANSION!DP$36)</f>
        <v>3528</v>
      </c>
      <c r="DQ9" s="298" t="n">
        <f aca="false">IF(COUNTIF(CAPA3_EXPANSION!$D$56:DQ$56,"&gt;="&amp;2)=0,0,SUP_CONTROL!$C$8*IF($B9="V",1,IF($B9="D",(1+SUP_VOLUMEN!$C$26),(1+SUP_VOLUMEN!$C$27)))*INDEX(SUP_C3_EXPANSION!$C$6:$F$6,MIN(4,COUNTIF(CAPA3_EXPANSION!$D$56:DQ$56,"&gt;="&amp;2)))*CAPA3_EXPANSION!DQ$36)</f>
        <v>3528</v>
      </c>
      <c r="DR9" s="298" t="n">
        <f aca="false">IF(COUNTIF(CAPA3_EXPANSION!$D$56:DR$56,"&gt;="&amp;2)=0,0,SUP_CONTROL!$C$8*IF($B9="V",1,IF($B9="D",(1+SUP_VOLUMEN!$C$26),(1+SUP_VOLUMEN!$C$27)))*INDEX(SUP_C3_EXPANSION!$C$6:$F$6,MIN(4,COUNTIF(CAPA3_EXPANSION!$D$56:DR$56,"&gt;="&amp;2)))*CAPA3_EXPANSION!DR$36)</f>
        <v>3528</v>
      </c>
      <c r="DS9" s="298" t="n">
        <f aca="false">IF(COUNTIF(CAPA3_EXPANSION!$D$56:DS$56,"&gt;="&amp;2)=0,0,SUP_CONTROL!$C$8*IF($B9="V",1,IF($B9="D",(1+SUP_VOLUMEN!$C$26),(1+SUP_VOLUMEN!$C$27)))*INDEX(SUP_C3_EXPANSION!$C$6:$F$6,MIN(4,COUNTIF(CAPA3_EXPANSION!$D$56:DS$56,"&gt;="&amp;2)))*CAPA3_EXPANSION!DS$36)</f>
        <v>3528</v>
      </c>
    </row>
    <row r="10" customFormat="false" ht="15" hidden="false" customHeight="true" outlineLevel="0" collapsed="false">
      <c r="A10" s="298" t="n">
        <v>13</v>
      </c>
      <c r="B10" s="497" t="str">
        <f aca="false">SUP_C3_EXPANSION!B22</f>
        <v>V</v>
      </c>
      <c r="C10" s="267" t="n">
        <f aca="false">SUP_C3_EXPANSION!G22</f>
        <v>19</v>
      </c>
      <c r="D10" s="298" t="n">
        <f aca="false">IF(COUNTIF(CAPA3_EXPANSION!$D$56:D$56,"&gt;="&amp;3)=0,0,SUP_CONTROL!$C$8*IF($B10="V",1,IF($B10="D",(1+SUP_VOLUMEN!$C$26),(1+SUP_VOLUMEN!$C$27)))*INDEX(SUP_C3_EXPANSION!$C$6:$F$6,MIN(4,COUNTIF(CAPA3_EXPANSION!$D$56:D$56,"&gt;="&amp;3)))*CAPA3_EXPANSION!D$36)</f>
        <v>0</v>
      </c>
      <c r="E10" s="298" t="n">
        <f aca="false">IF(COUNTIF(CAPA3_EXPANSION!$D$56:E$56,"&gt;="&amp;3)=0,0,SUP_CONTROL!$C$8*IF($B10="V",1,IF($B10="D",(1+SUP_VOLUMEN!$C$26),(1+SUP_VOLUMEN!$C$27)))*INDEX(SUP_C3_EXPANSION!$C$6:$F$6,MIN(4,COUNTIF(CAPA3_EXPANSION!$D$56:E$56,"&gt;="&amp;3)))*CAPA3_EXPANSION!E$36)</f>
        <v>0</v>
      </c>
      <c r="F10" s="298" t="n">
        <f aca="false">IF(COUNTIF(CAPA3_EXPANSION!$D$56:F$56,"&gt;="&amp;3)=0,0,SUP_CONTROL!$C$8*IF($B10="V",1,IF($B10="D",(1+SUP_VOLUMEN!$C$26),(1+SUP_VOLUMEN!$C$27)))*INDEX(SUP_C3_EXPANSION!$C$6:$F$6,MIN(4,COUNTIF(CAPA3_EXPANSION!$D$56:F$56,"&gt;="&amp;3)))*CAPA3_EXPANSION!F$36)</f>
        <v>0</v>
      </c>
      <c r="G10" s="298" t="n">
        <f aca="false">IF(COUNTIF(CAPA3_EXPANSION!$D$56:G$56,"&gt;="&amp;3)=0,0,SUP_CONTROL!$C$8*IF($B10="V",1,IF($B10="D",(1+SUP_VOLUMEN!$C$26),(1+SUP_VOLUMEN!$C$27)))*INDEX(SUP_C3_EXPANSION!$C$6:$F$6,MIN(4,COUNTIF(CAPA3_EXPANSION!$D$56:G$56,"&gt;="&amp;3)))*CAPA3_EXPANSION!G$36)</f>
        <v>0</v>
      </c>
      <c r="H10" s="298" t="n">
        <f aca="false">IF(COUNTIF(CAPA3_EXPANSION!$D$56:H$56,"&gt;="&amp;3)=0,0,SUP_CONTROL!$C$8*IF($B10="V",1,IF($B10="D",(1+SUP_VOLUMEN!$C$26),(1+SUP_VOLUMEN!$C$27)))*INDEX(SUP_C3_EXPANSION!$C$6:$F$6,MIN(4,COUNTIF(CAPA3_EXPANSION!$D$56:H$56,"&gt;="&amp;3)))*CAPA3_EXPANSION!H$36)</f>
        <v>0</v>
      </c>
      <c r="I10" s="298" t="n">
        <f aca="false">IF(COUNTIF(CAPA3_EXPANSION!$D$56:I$56,"&gt;="&amp;3)=0,0,SUP_CONTROL!$C$8*IF($B10="V",1,IF($B10="D",(1+SUP_VOLUMEN!$C$26),(1+SUP_VOLUMEN!$C$27)))*INDEX(SUP_C3_EXPANSION!$C$6:$F$6,MIN(4,COUNTIF(CAPA3_EXPANSION!$D$56:I$56,"&gt;="&amp;3)))*CAPA3_EXPANSION!I$36)</f>
        <v>0</v>
      </c>
      <c r="J10" s="298" t="n">
        <f aca="false">IF(COUNTIF(CAPA3_EXPANSION!$D$56:J$56,"&gt;="&amp;3)=0,0,SUP_CONTROL!$C$8*IF($B10="V",1,IF($B10="D",(1+SUP_VOLUMEN!$C$26),(1+SUP_VOLUMEN!$C$27)))*INDEX(SUP_C3_EXPANSION!$C$6:$F$6,MIN(4,COUNTIF(CAPA3_EXPANSION!$D$56:J$56,"&gt;="&amp;3)))*CAPA3_EXPANSION!J$36)</f>
        <v>0</v>
      </c>
      <c r="K10" s="298" t="n">
        <f aca="false">IF(COUNTIF(CAPA3_EXPANSION!$D$56:K$56,"&gt;="&amp;3)=0,0,SUP_CONTROL!$C$8*IF($B10="V",1,IF($B10="D",(1+SUP_VOLUMEN!$C$26),(1+SUP_VOLUMEN!$C$27)))*INDEX(SUP_C3_EXPANSION!$C$6:$F$6,MIN(4,COUNTIF(CAPA3_EXPANSION!$D$56:K$56,"&gt;="&amp;3)))*CAPA3_EXPANSION!K$36)</f>
        <v>0</v>
      </c>
      <c r="L10" s="298" t="n">
        <f aca="false">IF(COUNTIF(CAPA3_EXPANSION!$D$56:L$56,"&gt;="&amp;3)=0,0,SUP_CONTROL!$C$8*IF($B10="V",1,IF($B10="D",(1+SUP_VOLUMEN!$C$26),(1+SUP_VOLUMEN!$C$27)))*INDEX(SUP_C3_EXPANSION!$C$6:$F$6,MIN(4,COUNTIF(CAPA3_EXPANSION!$D$56:L$56,"&gt;="&amp;3)))*CAPA3_EXPANSION!L$36)</f>
        <v>0</v>
      </c>
      <c r="M10" s="298" t="n">
        <f aca="false">IF(COUNTIF(CAPA3_EXPANSION!$D$56:M$56,"&gt;="&amp;3)=0,0,SUP_CONTROL!$C$8*IF($B10="V",1,IF($B10="D",(1+SUP_VOLUMEN!$C$26),(1+SUP_VOLUMEN!$C$27)))*INDEX(SUP_C3_EXPANSION!$C$6:$F$6,MIN(4,COUNTIF(CAPA3_EXPANSION!$D$56:M$56,"&gt;="&amp;3)))*CAPA3_EXPANSION!M$36)</f>
        <v>0</v>
      </c>
      <c r="N10" s="298" t="n">
        <f aca="false">IF(COUNTIF(CAPA3_EXPANSION!$D$56:N$56,"&gt;="&amp;3)=0,0,SUP_CONTROL!$C$8*IF($B10="V",1,IF($B10="D",(1+SUP_VOLUMEN!$C$26),(1+SUP_VOLUMEN!$C$27)))*INDEX(SUP_C3_EXPANSION!$C$6:$F$6,MIN(4,COUNTIF(CAPA3_EXPANSION!$D$56:N$56,"&gt;="&amp;3)))*CAPA3_EXPANSION!N$36)</f>
        <v>0</v>
      </c>
      <c r="O10" s="298" t="n">
        <f aca="false">IF(COUNTIF(CAPA3_EXPANSION!$D$56:O$56,"&gt;="&amp;3)=0,0,SUP_CONTROL!$C$8*IF($B10="V",1,IF($B10="D",(1+SUP_VOLUMEN!$C$26),(1+SUP_VOLUMEN!$C$27)))*INDEX(SUP_C3_EXPANSION!$C$6:$F$6,MIN(4,COUNTIF(CAPA3_EXPANSION!$D$56:O$56,"&gt;="&amp;3)))*CAPA3_EXPANSION!O$36)</f>
        <v>0</v>
      </c>
      <c r="P10" s="298" t="n">
        <f aca="false">IF(COUNTIF(CAPA3_EXPANSION!$D$56:P$56,"&gt;="&amp;3)=0,0,SUP_CONTROL!$C$8*IF($B10="V",1,IF($B10="D",(1+SUP_VOLUMEN!$C$26),(1+SUP_VOLUMEN!$C$27)))*INDEX(SUP_C3_EXPANSION!$C$6:$F$6,MIN(4,COUNTIF(CAPA3_EXPANSION!$D$56:P$56,"&gt;="&amp;3)))*CAPA3_EXPANSION!P$36)</f>
        <v>0</v>
      </c>
      <c r="Q10" s="298" t="n">
        <f aca="false">IF(COUNTIF(CAPA3_EXPANSION!$D$56:Q$56,"&gt;="&amp;3)=0,0,SUP_CONTROL!$C$8*IF($B10="V",1,IF($B10="D",(1+SUP_VOLUMEN!$C$26),(1+SUP_VOLUMEN!$C$27)))*INDEX(SUP_C3_EXPANSION!$C$6:$F$6,MIN(4,COUNTIF(CAPA3_EXPANSION!$D$56:Q$56,"&gt;="&amp;3)))*CAPA3_EXPANSION!Q$36)</f>
        <v>0</v>
      </c>
      <c r="R10" s="298" t="n">
        <f aca="false">IF(COUNTIF(CAPA3_EXPANSION!$D$56:R$56,"&gt;="&amp;3)=0,0,SUP_CONTROL!$C$8*IF($B10="V",1,IF($B10="D",(1+SUP_VOLUMEN!$C$26),(1+SUP_VOLUMEN!$C$27)))*INDEX(SUP_C3_EXPANSION!$C$6:$F$6,MIN(4,COUNTIF(CAPA3_EXPANSION!$D$56:R$56,"&gt;="&amp;3)))*CAPA3_EXPANSION!R$36)</f>
        <v>0</v>
      </c>
      <c r="S10" s="298" t="n">
        <f aca="false">IF(COUNTIF(CAPA3_EXPANSION!$D$56:S$56,"&gt;="&amp;3)=0,0,SUP_CONTROL!$C$8*IF($B10="V",1,IF($B10="D",(1+SUP_VOLUMEN!$C$26),(1+SUP_VOLUMEN!$C$27)))*INDEX(SUP_C3_EXPANSION!$C$6:$F$6,MIN(4,COUNTIF(CAPA3_EXPANSION!$D$56:S$56,"&gt;="&amp;3)))*CAPA3_EXPANSION!S$36)</f>
        <v>0</v>
      </c>
      <c r="T10" s="298" t="n">
        <f aca="false">IF(COUNTIF(CAPA3_EXPANSION!$D$56:T$56,"&gt;="&amp;3)=0,0,SUP_CONTROL!$C$8*IF($B10="V",1,IF($B10="D",(1+SUP_VOLUMEN!$C$26),(1+SUP_VOLUMEN!$C$27)))*INDEX(SUP_C3_EXPANSION!$C$6:$F$6,MIN(4,COUNTIF(CAPA3_EXPANSION!$D$56:T$56,"&gt;="&amp;3)))*CAPA3_EXPANSION!T$36)</f>
        <v>0</v>
      </c>
      <c r="U10" s="298" t="n">
        <f aca="false">IF(COUNTIF(CAPA3_EXPANSION!$D$56:U$56,"&gt;="&amp;3)=0,0,SUP_CONTROL!$C$8*IF($B10="V",1,IF($B10="D",(1+SUP_VOLUMEN!$C$26),(1+SUP_VOLUMEN!$C$27)))*INDEX(SUP_C3_EXPANSION!$C$6:$F$6,MIN(4,COUNTIF(CAPA3_EXPANSION!$D$56:U$56,"&gt;="&amp;3)))*CAPA3_EXPANSION!U$36)</f>
        <v>0</v>
      </c>
      <c r="V10" s="298" t="n">
        <f aca="false">IF(COUNTIF(CAPA3_EXPANSION!$D$56:V$56,"&gt;="&amp;3)=0,0,SUP_CONTROL!$C$8*IF($B10="V",1,IF($B10="D",(1+SUP_VOLUMEN!$C$26),(1+SUP_VOLUMEN!$C$27)))*INDEX(SUP_C3_EXPANSION!$C$6:$F$6,MIN(4,COUNTIF(CAPA3_EXPANSION!$D$56:V$56,"&gt;="&amp;3)))*CAPA3_EXPANSION!V$36)</f>
        <v>0</v>
      </c>
      <c r="W10" s="298" t="n">
        <f aca="false">IF(COUNTIF(CAPA3_EXPANSION!$D$56:W$56,"&gt;="&amp;3)=0,0,SUP_CONTROL!$C$8*IF($B10="V",1,IF($B10="D",(1+SUP_VOLUMEN!$C$26),(1+SUP_VOLUMEN!$C$27)))*INDEX(SUP_C3_EXPANSION!$C$6:$F$6,MIN(4,COUNTIF(CAPA3_EXPANSION!$D$56:W$56,"&gt;="&amp;3)))*CAPA3_EXPANSION!W$36)</f>
        <v>0</v>
      </c>
      <c r="X10" s="298" t="n">
        <f aca="false">IF(COUNTIF(CAPA3_EXPANSION!$D$56:X$56,"&gt;="&amp;3)=0,0,SUP_CONTROL!$C$8*IF($B10="V",1,IF($B10="D",(1+SUP_VOLUMEN!$C$26),(1+SUP_VOLUMEN!$C$27)))*INDEX(SUP_C3_EXPANSION!$C$6:$F$6,MIN(4,COUNTIF(CAPA3_EXPANSION!$D$56:X$56,"&gt;="&amp;3)))*CAPA3_EXPANSION!X$36)</f>
        <v>0</v>
      </c>
      <c r="Y10" s="298" t="n">
        <f aca="false">IF(COUNTIF(CAPA3_EXPANSION!$D$56:Y$56,"&gt;="&amp;3)=0,0,SUP_CONTROL!$C$8*IF($B10="V",1,IF($B10="D",(1+SUP_VOLUMEN!$C$26),(1+SUP_VOLUMEN!$C$27)))*INDEX(SUP_C3_EXPANSION!$C$6:$F$6,MIN(4,COUNTIF(CAPA3_EXPANSION!$D$56:Y$56,"&gt;="&amp;3)))*CAPA3_EXPANSION!Y$36)</f>
        <v>2730</v>
      </c>
      <c r="Z10" s="298" t="n">
        <f aca="false">IF(COUNTIF(CAPA3_EXPANSION!$D$56:Z$56,"&gt;="&amp;3)=0,0,SUP_CONTROL!$C$8*IF($B10="V",1,IF($B10="D",(1+SUP_VOLUMEN!$C$26),(1+SUP_VOLUMEN!$C$27)))*INDEX(SUP_C3_EXPANSION!$C$6:$F$6,MIN(4,COUNTIF(CAPA3_EXPANSION!$D$56:Z$56,"&gt;="&amp;3)))*CAPA3_EXPANSION!Z$36)</f>
        <v>3360</v>
      </c>
      <c r="AA10" s="298" t="n">
        <f aca="false">IF(COUNTIF(CAPA3_EXPANSION!$D$56:AA$56,"&gt;="&amp;3)=0,0,SUP_CONTROL!$C$8*IF($B10="V",1,IF($B10="D",(1+SUP_VOLUMEN!$C$26),(1+SUP_VOLUMEN!$C$27)))*INDEX(SUP_C3_EXPANSION!$C$6:$F$6,MIN(4,COUNTIF(CAPA3_EXPANSION!$D$56:AA$56,"&gt;="&amp;3)))*CAPA3_EXPANSION!AA$36)</f>
        <v>3780</v>
      </c>
      <c r="AB10" s="298" t="n">
        <f aca="false">IF(COUNTIF(CAPA3_EXPANSION!$D$56:AB$56,"&gt;="&amp;3)=0,0,SUP_CONTROL!$C$8*IF($B10="V",1,IF($B10="D",(1+SUP_VOLUMEN!$C$26),(1+SUP_VOLUMEN!$C$27)))*INDEX(SUP_C3_EXPANSION!$C$6:$F$6,MIN(4,COUNTIF(CAPA3_EXPANSION!$D$56:AB$56,"&gt;="&amp;3)))*CAPA3_EXPANSION!AB$36)</f>
        <v>4200</v>
      </c>
      <c r="AC10" s="298" t="n">
        <f aca="false">IF(COUNTIF(CAPA3_EXPANSION!$D$56:AC$56,"&gt;="&amp;3)=0,0,SUP_CONTROL!$C$8*IF($B10="V",1,IF($B10="D",(1+SUP_VOLUMEN!$C$26),(1+SUP_VOLUMEN!$C$27)))*INDEX(SUP_C3_EXPANSION!$C$6:$F$6,MIN(4,COUNTIF(CAPA3_EXPANSION!$D$56:AC$56,"&gt;="&amp;3)))*CAPA3_EXPANSION!AC$36)</f>
        <v>4200</v>
      </c>
      <c r="AD10" s="298" t="n">
        <f aca="false">IF(COUNTIF(CAPA3_EXPANSION!$D$56:AD$56,"&gt;="&amp;3)=0,0,SUP_CONTROL!$C$8*IF($B10="V",1,IF($B10="D",(1+SUP_VOLUMEN!$C$26),(1+SUP_VOLUMEN!$C$27)))*INDEX(SUP_C3_EXPANSION!$C$6:$F$6,MIN(4,COUNTIF(CAPA3_EXPANSION!$D$56:AD$56,"&gt;="&amp;3)))*CAPA3_EXPANSION!AD$36)</f>
        <v>4200</v>
      </c>
      <c r="AE10" s="298" t="n">
        <f aca="false">IF(COUNTIF(CAPA3_EXPANSION!$D$56:AE$56,"&gt;="&amp;3)=0,0,SUP_CONTROL!$C$8*IF($B10="V",1,IF($B10="D",(1+SUP_VOLUMEN!$C$26),(1+SUP_VOLUMEN!$C$27)))*INDEX(SUP_C3_EXPANSION!$C$6:$F$6,MIN(4,COUNTIF(CAPA3_EXPANSION!$D$56:AE$56,"&gt;="&amp;3)))*CAPA3_EXPANSION!AE$36)</f>
        <v>4200</v>
      </c>
      <c r="AF10" s="298" t="n">
        <f aca="false">IF(COUNTIF(CAPA3_EXPANSION!$D$56:AF$56,"&gt;="&amp;3)=0,0,SUP_CONTROL!$C$8*IF($B10="V",1,IF($B10="D",(1+SUP_VOLUMEN!$C$26),(1+SUP_VOLUMEN!$C$27)))*INDEX(SUP_C3_EXPANSION!$C$6:$F$6,MIN(4,COUNTIF(CAPA3_EXPANSION!$D$56:AF$56,"&gt;="&amp;3)))*CAPA3_EXPANSION!AF$36)</f>
        <v>4200</v>
      </c>
      <c r="AG10" s="298" t="n">
        <f aca="false">IF(COUNTIF(CAPA3_EXPANSION!$D$56:AG$56,"&gt;="&amp;3)=0,0,SUP_CONTROL!$C$8*IF($B10="V",1,IF($B10="D",(1+SUP_VOLUMEN!$C$26),(1+SUP_VOLUMEN!$C$27)))*INDEX(SUP_C3_EXPANSION!$C$6:$F$6,MIN(4,COUNTIF(CAPA3_EXPANSION!$D$56:AG$56,"&gt;="&amp;3)))*CAPA3_EXPANSION!AG$36)</f>
        <v>4074</v>
      </c>
      <c r="AH10" s="298" t="n">
        <f aca="false">IF(COUNTIF(CAPA3_EXPANSION!$D$56:AH$56,"&gt;="&amp;3)=0,0,SUP_CONTROL!$C$8*IF($B10="V",1,IF($B10="D",(1+SUP_VOLUMEN!$C$26),(1+SUP_VOLUMEN!$C$27)))*INDEX(SUP_C3_EXPANSION!$C$6:$F$6,MIN(4,COUNTIF(CAPA3_EXPANSION!$D$56:AH$56,"&gt;="&amp;3)))*CAPA3_EXPANSION!AH$36)</f>
        <v>4074</v>
      </c>
      <c r="AI10" s="298" t="n">
        <f aca="false">IF(COUNTIF(CAPA3_EXPANSION!$D$56:AI$56,"&gt;="&amp;3)=0,0,SUP_CONTROL!$C$8*IF($B10="V",1,IF($B10="D",(1+SUP_VOLUMEN!$C$26),(1+SUP_VOLUMEN!$C$27)))*INDEX(SUP_C3_EXPANSION!$C$6:$F$6,MIN(4,COUNTIF(CAPA3_EXPANSION!$D$56:AI$56,"&gt;="&amp;3)))*CAPA3_EXPANSION!AI$36)</f>
        <v>4074</v>
      </c>
      <c r="AJ10" s="298" t="n">
        <f aca="false">IF(COUNTIF(CAPA3_EXPANSION!$D$56:AJ$56,"&gt;="&amp;3)=0,0,SUP_CONTROL!$C$8*IF($B10="V",1,IF($B10="D",(1+SUP_VOLUMEN!$C$26),(1+SUP_VOLUMEN!$C$27)))*INDEX(SUP_C3_EXPANSION!$C$6:$F$6,MIN(4,COUNTIF(CAPA3_EXPANSION!$D$56:AJ$56,"&gt;="&amp;3)))*CAPA3_EXPANSION!AJ$36)</f>
        <v>4074</v>
      </c>
      <c r="AK10" s="298" t="n">
        <f aca="false">IF(COUNTIF(CAPA3_EXPANSION!$D$56:AK$56,"&gt;="&amp;3)=0,0,SUP_CONTROL!$C$8*IF($B10="V",1,IF($B10="D",(1+SUP_VOLUMEN!$C$26),(1+SUP_VOLUMEN!$C$27)))*INDEX(SUP_C3_EXPANSION!$C$6:$F$6,MIN(4,COUNTIF(CAPA3_EXPANSION!$D$56:AK$56,"&gt;="&amp;3)))*CAPA3_EXPANSION!AK$36)</f>
        <v>4074</v>
      </c>
      <c r="AL10" s="298" t="n">
        <f aca="false">IF(COUNTIF(CAPA3_EXPANSION!$D$56:AL$56,"&gt;="&amp;3)=0,0,SUP_CONTROL!$C$8*IF($B10="V",1,IF($B10="D",(1+SUP_VOLUMEN!$C$26),(1+SUP_VOLUMEN!$C$27)))*INDEX(SUP_C3_EXPANSION!$C$6:$F$6,MIN(4,COUNTIF(CAPA3_EXPANSION!$D$56:AL$56,"&gt;="&amp;3)))*CAPA3_EXPANSION!AL$36)</f>
        <v>4074</v>
      </c>
      <c r="AM10" s="298" t="n">
        <f aca="false">IF(COUNTIF(CAPA3_EXPANSION!$D$56:AM$56,"&gt;="&amp;3)=0,0,SUP_CONTROL!$C$8*IF($B10="V",1,IF($B10="D",(1+SUP_VOLUMEN!$C$26),(1+SUP_VOLUMEN!$C$27)))*INDEX(SUP_C3_EXPANSION!$C$6:$F$6,MIN(4,COUNTIF(CAPA3_EXPANSION!$D$56:AM$56,"&gt;="&amp;3)))*CAPA3_EXPANSION!AM$36)</f>
        <v>4074</v>
      </c>
      <c r="AN10" s="298" t="n">
        <f aca="false">IF(COUNTIF(CAPA3_EXPANSION!$D$56:AN$56,"&gt;="&amp;3)=0,0,SUP_CONTROL!$C$8*IF($B10="V",1,IF($B10="D",(1+SUP_VOLUMEN!$C$26),(1+SUP_VOLUMEN!$C$27)))*INDEX(SUP_C3_EXPANSION!$C$6:$F$6,MIN(4,COUNTIF(CAPA3_EXPANSION!$D$56:AN$56,"&gt;="&amp;3)))*CAPA3_EXPANSION!AN$36)</f>
        <v>4074</v>
      </c>
      <c r="AO10" s="298" t="n">
        <f aca="false">IF(COUNTIF(CAPA3_EXPANSION!$D$56:AO$56,"&gt;="&amp;3)=0,0,SUP_CONTROL!$C$8*IF($B10="V",1,IF($B10="D",(1+SUP_VOLUMEN!$C$26),(1+SUP_VOLUMEN!$C$27)))*INDEX(SUP_C3_EXPANSION!$C$6:$F$6,MIN(4,COUNTIF(CAPA3_EXPANSION!$D$56:AO$56,"&gt;="&amp;3)))*CAPA3_EXPANSION!AO$36)</f>
        <v>4074</v>
      </c>
      <c r="AP10" s="298" t="n">
        <f aca="false">IF(COUNTIF(CAPA3_EXPANSION!$D$56:AP$56,"&gt;="&amp;3)=0,0,SUP_CONTROL!$C$8*IF($B10="V",1,IF($B10="D",(1+SUP_VOLUMEN!$C$26),(1+SUP_VOLUMEN!$C$27)))*INDEX(SUP_C3_EXPANSION!$C$6:$F$6,MIN(4,COUNTIF(CAPA3_EXPANSION!$D$56:AP$56,"&gt;="&amp;3)))*CAPA3_EXPANSION!AP$36)</f>
        <v>3969</v>
      </c>
      <c r="AQ10" s="298" t="n">
        <f aca="false">IF(COUNTIF(CAPA3_EXPANSION!$D$56:AQ$56,"&gt;="&amp;3)=0,0,SUP_CONTROL!$C$8*IF($B10="V",1,IF($B10="D",(1+SUP_VOLUMEN!$C$26),(1+SUP_VOLUMEN!$C$27)))*INDEX(SUP_C3_EXPANSION!$C$6:$F$6,MIN(4,COUNTIF(CAPA3_EXPANSION!$D$56:AQ$56,"&gt;="&amp;3)))*CAPA3_EXPANSION!AQ$36)</f>
        <v>3969</v>
      </c>
      <c r="AR10" s="298" t="n">
        <f aca="false">IF(COUNTIF(CAPA3_EXPANSION!$D$56:AR$56,"&gt;="&amp;3)=0,0,SUP_CONTROL!$C$8*IF($B10="V",1,IF($B10="D",(1+SUP_VOLUMEN!$C$26),(1+SUP_VOLUMEN!$C$27)))*INDEX(SUP_C3_EXPANSION!$C$6:$F$6,MIN(4,COUNTIF(CAPA3_EXPANSION!$D$56:AR$56,"&gt;="&amp;3)))*CAPA3_EXPANSION!AR$36)</f>
        <v>3969</v>
      </c>
      <c r="AS10" s="298" t="n">
        <f aca="false">IF(COUNTIF(CAPA3_EXPANSION!$D$56:AS$56,"&gt;="&amp;3)=0,0,SUP_CONTROL!$C$8*IF($B10="V",1,IF($B10="D",(1+SUP_VOLUMEN!$C$26),(1+SUP_VOLUMEN!$C$27)))*INDEX(SUP_C3_EXPANSION!$C$6:$F$6,MIN(4,COUNTIF(CAPA3_EXPANSION!$D$56:AS$56,"&gt;="&amp;3)))*CAPA3_EXPANSION!AS$36)</f>
        <v>3969</v>
      </c>
      <c r="AT10" s="298" t="n">
        <f aca="false">IF(COUNTIF(CAPA3_EXPANSION!$D$56:AT$56,"&gt;="&amp;3)=0,0,SUP_CONTROL!$C$8*IF($B10="V",1,IF($B10="D",(1+SUP_VOLUMEN!$C$26),(1+SUP_VOLUMEN!$C$27)))*INDEX(SUP_C3_EXPANSION!$C$6:$F$6,MIN(4,COUNTIF(CAPA3_EXPANSION!$D$56:AT$56,"&gt;="&amp;3)))*CAPA3_EXPANSION!AT$36)</f>
        <v>3969</v>
      </c>
      <c r="AU10" s="298" t="n">
        <f aca="false">IF(COUNTIF(CAPA3_EXPANSION!$D$56:AU$56,"&gt;="&amp;3)=0,0,SUP_CONTROL!$C$8*IF($B10="V",1,IF($B10="D",(1+SUP_VOLUMEN!$C$26),(1+SUP_VOLUMEN!$C$27)))*INDEX(SUP_C3_EXPANSION!$C$6:$F$6,MIN(4,COUNTIF(CAPA3_EXPANSION!$D$56:AU$56,"&gt;="&amp;3)))*CAPA3_EXPANSION!AU$36)</f>
        <v>3969</v>
      </c>
      <c r="AV10" s="298" t="n">
        <f aca="false">IF(COUNTIF(CAPA3_EXPANSION!$D$56:AV$56,"&gt;="&amp;3)=0,0,SUP_CONTROL!$C$8*IF($B10="V",1,IF($B10="D",(1+SUP_VOLUMEN!$C$26),(1+SUP_VOLUMEN!$C$27)))*INDEX(SUP_C3_EXPANSION!$C$6:$F$6,MIN(4,COUNTIF(CAPA3_EXPANSION!$D$56:AV$56,"&gt;="&amp;3)))*CAPA3_EXPANSION!AV$36)</f>
        <v>3969</v>
      </c>
      <c r="AW10" s="298" t="n">
        <f aca="false">IF(COUNTIF(CAPA3_EXPANSION!$D$56:AW$56,"&gt;="&amp;3)=0,0,SUP_CONTROL!$C$8*IF($B10="V",1,IF($B10="D",(1+SUP_VOLUMEN!$C$26),(1+SUP_VOLUMEN!$C$27)))*INDEX(SUP_C3_EXPANSION!$C$6:$F$6,MIN(4,COUNTIF(CAPA3_EXPANSION!$D$56:AW$56,"&gt;="&amp;3)))*CAPA3_EXPANSION!AW$36)</f>
        <v>3969</v>
      </c>
      <c r="AX10" s="298" t="n">
        <f aca="false">IF(COUNTIF(CAPA3_EXPANSION!$D$56:AX$56,"&gt;="&amp;3)=0,0,SUP_CONTROL!$C$8*IF($B10="V",1,IF($B10="D",(1+SUP_VOLUMEN!$C$26),(1+SUP_VOLUMEN!$C$27)))*INDEX(SUP_C3_EXPANSION!$C$6:$F$6,MIN(4,COUNTIF(CAPA3_EXPANSION!$D$56:AX$56,"&gt;="&amp;3)))*CAPA3_EXPANSION!AX$36)</f>
        <v>3969</v>
      </c>
      <c r="AY10" s="298" t="n">
        <f aca="false">IF(COUNTIF(CAPA3_EXPANSION!$D$56:AY$56,"&gt;="&amp;3)=0,0,SUP_CONTROL!$C$8*IF($B10="V",1,IF($B10="D",(1+SUP_VOLUMEN!$C$26),(1+SUP_VOLUMEN!$C$27)))*INDEX(SUP_C3_EXPANSION!$C$6:$F$6,MIN(4,COUNTIF(CAPA3_EXPANSION!$D$56:AY$56,"&gt;="&amp;3)))*CAPA3_EXPANSION!AY$36)</f>
        <v>3969</v>
      </c>
      <c r="AZ10" s="298" t="n">
        <f aca="false">IF(COUNTIF(CAPA3_EXPANSION!$D$56:AZ$56,"&gt;="&amp;3)=0,0,SUP_CONTROL!$C$8*IF($B10="V",1,IF($B10="D",(1+SUP_VOLUMEN!$C$26),(1+SUP_VOLUMEN!$C$27)))*INDEX(SUP_C3_EXPANSION!$C$6:$F$6,MIN(4,COUNTIF(CAPA3_EXPANSION!$D$56:AZ$56,"&gt;="&amp;3)))*CAPA3_EXPANSION!AZ$36)</f>
        <v>3969</v>
      </c>
      <c r="BA10" s="298" t="n">
        <f aca="false">IF(COUNTIF(CAPA3_EXPANSION!$D$56:BA$56,"&gt;="&amp;3)=0,0,SUP_CONTROL!$C$8*IF($B10="V",1,IF($B10="D",(1+SUP_VOLUMEN!$C$26),(1+SUP_VOLUMEN!$C$27)))*INDEX(SUP_C3_EXPANSION!$C$6:$F$6,MIN(4,COUNTIF(CAPA3_EXPANSION!$D$56:BA$56,"&gt;="&amp;3)))*CAPA3_EXPANSION!BA$36)</f>
        <v>3969</v>
      </c>
      <c r="BB10" s="298" t="n">
        <f aca="false">IF(COUNTIF(CAPA3_EXPANSION!$D$56:BB$56,"&gt;="&amp;3)=0,0,SUP_CONTROL!$C$8*IF($B10="V",1,IF($B10="D",(1+SUP_VOLUMEN!$C$26),(1+SUP_VOLUMEN!$C$27)))*INDEX(SUP_C3_EXPANSION!$C$6:$F$6,MIN(4,COUNTIF(CAPA3_EXPANSION!$D$56:BB$56,"&gt;="&amp;3)))*CAPA3_EXPANSION!BB$36)</f>
        <v>3969</v>
      </c>
      <c r="BC10" s="298" t="n">
        <f aca="false">IF(COUNTIF(CAPA3_EXPANSION!$D$56:BC$56,"&gt;="&amp;3)=0,0,SUP_CONTROL!$C$8*IF($B10="V",1,IF($B10="D",(1+SUP_VOLUMEN!$C$26),(1+SUP_VOLUMEN!$C$27)))*INDEX(SUP_C3_EXPANSION!$C$6:$F$6,MIN(4,COUNTIF(CAPA3_EXPANSION!$D$56:BC$56,"&gt;="&amp;3)))*CAPA3_EXPANSION!BC$36)</f>
        <v>3969</v>
      </c>
      <c r="BD10" s="298" t="n">
        <f aca="false">IF(COUNTIF(CAPA3_EXPANSION!$D$56:BD$56,"&gt;="&amp;3)=0,0,SUP_CONTROL!$C$8*IF($B10="V",1,IF($B10="D",(1+SUP_VOLUMEN!$C$26),(1+SUP_VOLUMEN!$C$27)))*INDEX(SUP_C3_EXPANSION!$C$6:$F$6,MIN(4,COUNTIF(CAPA3_EXPANSION!$D$56:BD$56,"&gt;="&amp;3)))*CAPA3_EXPANSION!BD$36)</f>
        <v>3969</v>
      </c>
      <c r="BE10" s="298" t="n">
        <f aca="false">IF(COUNTIF(CAPA3_EXPANSION!$D$56:BE$56,"&gt;="&amp;3)=0,0,SUP_CONTROL!$C$8*IF($B10="V",1,IF($B10="D",(1+SUP_VOLUMEN!$C$26),(1+SUP_VOLUMEN!$C$27)))*INDEX(SUP_C3_EXPANSION!$C$6:$F$6,MIN(4,COUNTIF(CAPA3_EXPANSION!$D$56:BE$56,"&gt;="&amp;3)))*CAPA3_EXPANSION!BE$36)</f>
        <v>3969</v>
      </c>
      <c r="BF10" s="298" t="n">
        <f aca="false">IF(COUNTIF(CAPA3_EXPANSION!$D$56:BF$56,"&gt;="&amp;3)=0,0,SUP_CONTROL!$C$8*IF($B10="V",1,IF($B10="D",(1+SUP_VOLUMEN!$C$26),(1+SUP_VOLUMEN!$C$27)))*INDEX(SUP_C3_EXPANSION!$C$6:$F$6,MIN(4,COUNTIF(CAPA3_EXPANSION!$D$56:BF$56,"&gt;="&amp;3)))*CAPA3_EXPANSION!BF$36)</f>
        <v>3864</v>
      </c>
      <c r="BG10" s="298" t="n">
        <f aca="false">IF(COUNTIF(CAPA3_EXPANSION!$D$56:BG$56,"&gt;="&amp;3)=0,0,SUP_CONTROL!$C$8*IF($B10="V",1,IF($B10="D",(1+SUP_VOLUMEN!$C$26),(1+SUP_VOLUMEN!$C$27)))*INDEX(SUP_C3_EXPANSION!$C$6:$F$6,MIN(4,COUNTIF(CAPA3_EXPANSION!$D$56:BG$56,"&gt;="&amp;3)))*CAPA3_EXPANSION!BG$36)</f>
        <v>3864</v>
      </c>
      <c r="BH10" s="298" t="n">
        <f aca="false">IF(COUNTIF(CAPA3_EXPANSION!$D$56:BH$56,"&gt;="&amp;3)=0,0,SUP_CONTROL!$C$8*IF($B10="V",1,IF($B10="D",(1+SUP_VOLUMEN!$C$26),(1+SUP_VOLUMEN!$C$27)))*INDEX(SUP_C3_EXPANSION!$C$6:$F$6,MIN(4,COUNTIF(CAPA3_EXPANSION!$D$56:BH$56,"&gt;="&amp;3)))*CAPA3_EXPANSION!BH$36)</f>
        <v>3864</v>
      </c>
      <c r="BI10" s="298" t="n">
        <f aca="false">IF(COUNTIF(CAPA3_EXPANSION!$D$56:BI$56,"&gt;="&amp;3)=0,0,SUP_CONTROL!$C$8*IF($B10="V",1,IF($B10="D",(1+SUP_VOLUMEN!$C$26),(1+SUP_VOLUMEN!$C$27)))*INDEX(SUP_C3_EXPANSION!$C$6:$F$6,MIN(4,COUNTIF(CAPA3_EXPANSION!$D$56:BI$56,"&gt;="&amp;3)))*CAPA3_EXPANSION!BI$36)</f>
        <v>3864</v>
      </c>
      <c r="BJ10" s="298" t="n">
        <f aca="false">IF(COUNTIF(CAPA3_EXPANSION!$D$56:BJ$56,"&gt;="&amp;3)=0,0,SUP_CONTROL!$C$8*IF($B10="V",1,IF($B10="D",(1+SUP_VOLUMEN!$C$26),(1+SUP_VOLUMEN!$C$27)))*INDEX(SUP_C3_EXPANSION!$C$6:$F$6,MIN(4,COUNTIF(CAPA3_EXPANSION!$D$56:BJ$56,"&gt;="&amp;3)))*CAPA3_EXPANSION!BJ$36)</f>
        <v>3864</v>
      </c>
      <c r="BK10" s="298" t="n">
        <f aca="false">IF(COUNTIF(CAPA3_EXPANSION!$D$56:BK$56,"&gt;="&amp;3)=0,0,SUP_CONTROL!$C$8*IF($B10="V",1,IF($B10="D",(1+SUP_VOLUMEN!$C$26),(1+SUP_VOLUMEN!$C$27)))*INDEX(SUP_C3_EXPANSION!$C$6:$F$6,MIN(4,COUNTIF(CAPA3_EXPANSION!$D$56:BK$56,"&gt;="&amp;3)))*CAPA3_EXPANSION!BK$36)</f>
        <v>3780</v>
      </c>
      <c r="BL10" s="298" t="n">
        <f aca="false">IF(COUNTIF(CAPA3_EXPANSION!$D$56:BL$56,"&gt;="&amp;3)=0,0,SUP_CONTROL!$C$8*IF($B10="V",1,IF($B10="D",(1+SUP_VOLUMEN!$C$26),(1+SUP_VOLUMEN!$C$27)))*INDEX(SUP_C3_EXPANSION!$C$6:$F$6,MIN(4,COUNTIF(CAPA3_EXPANSION!$D$56:BL$56,"&gt;="&amp;3)))*CAPA3_EXPANSION!BL$36)</f>
        <v>3780</v>
      </c>
      <c r="BM10" s="298" t="n">
        <f aca="false">IF(COUNTIF(CAPA3_EXPANSION!$D$56:BM$56,"&gt;="&amp;3)=0,0,SUP_CONTROL!$C$8*IF($B10="V",1,IF($B10="D",(1+SUP_VOLUMEN!$C$26),(1+SUP_VOLUMEN!$C$27)))*INDEX(SUP_C3_EXPANSION!$C$6:$F$6,MIN(4,COUNTIF(CAPA3_EXPANSION!$D$56:BM$56,"&gt;="&amp;3)))*CAPA3_EXPANSION!BM$36)</f>
        <v>3780</v>
      </c>
      <c r="BN10" s="298" t="n">
        <f aca="false">IF(COUNTIF(CAPA3_EXPANSION!$D$56:BN$56,"&gt;="&amp;3)=0,0,SUP_CONTROL!$C$8*IF($B10="V",1,IF($B10="D",(1+SUP_VOLUMEN!$C$26),(1+SUP_VOLUMEN!$C$27)))*INDEX(SUP_C3_EXPANSION!$C$6:$F$6,MIN(4,COUNTIF(CAPA3_EXPANSION!$D$56:BN$56,"&gt;="&amp;3)))*CAPA3_EXPANSION!BN$36)</f>
        <v>3780</v>
      </c>
      <c r="BO10" s="298" t="n">
        <f aca="false">IF(COUNTIF(CAPA3_EXPANSION!$D$56:BO$56,"&gt;="&amp;3)=0,0,SUP_CONTROL!$C$8*IF($B10="V",1,IF($B10="D",(1+SUP_VOLUMEN!$C$26),(1+SUP_VOLUMEN!$C$27)))*INDEX(SUP_C3_EXPANSION!$C$6:$F$6,MIN(4,COUNTIF(CAPA3_EXPANSION!$D$56:BO$56,"&gt;="&amp;3)))*CAPA3_EXPANSION!BO$36)</f>
        <v>3780</v>
      </c>
      <c r="BP10" s="298" t="n">
        <f aca="false">IF(COUNTIF(CAPA3_EXPANSION!$D$56:BP$56,"&gt;="&amp;3)=0,0,SUP_CONTROL!$C$8*IF($B10="V",1,IF($B10="D",(1+SUP_VOLUMEN!$C$26),(1+SUP_VOLUMEN!$C$27)))*INDEX(SUP_C3_EXPANSION!$C$6:$F$6,MIN(4,COUNTIF(CAPA3_EXPANSION!$D$56:BP$56,"&gt;="&amp;3)))*CAPA3_EXPANSION!BP$36)</f>
        <v>3780</v>
      </c>
      <c r="BQ10" s="298" t="n">
        <f aca="false">IF(COUNTIF(CAPA3_EXPANSION!$D$56:BQ$56,"&gt;="&amp;3)=0,0,SUP_CONTROL!$C$8*IF($B10="V",1,IF($B10="D",(1+SUP_VOLUMEN!$C$26),(1+SUP_VOLUMEN!$C$27)))*INDEX(SUP_C3_EXPANSION!$C$6:$F$6,MIN(4,COUNTIF(CAPA3_EXPANSION!$D$56:BQ$56,"&gt;="&amp;3)))*CAPA3_EXPANSION!BQ$36)</f>
        <v>3696</v>
      </c>
      <c r="BR10" s="298" t="n">
        <f aca="false">IF(COUNTIF(CAPA3_EXPANSION!$D$56:BR$56,"&gt;="&amp;3)=0,0,SUP_CONTROL!$C$8*IF($B10="V",1,IF($B10="D",(1+SUP_VOLUMEN!$C$26),(1+SUP_VOLUMEN!$C$27)))*INDEX(SUP_C3_EXPANSION!$C$6:$F$6,MIN(4,COUNTIF(CAPA3_EXPANSION!$D$56:BR$56,"&gt;="&amp;3)))*CAPA3_EXPANSION!BR$36)</f>
        <v>3696</v>
      </c>
      <c r="BS10" s="298" t="n">
        <f aca="false">IF(COUNTIF(CAPA3_EXPANSION!$D$56:BS$56,"&gt;="&amp;3)=0,0,SUP_CONTROL!$C$8*IF($B10="V",1,IF($B10="D",(1+SUP_VOLUMEN!$C$26),(1+SUP_VOLUMEN!$C$27)))*INDEX(SUP_C3_EXPANSION!$C$6:$F$6,MIN(4,COUNTIF(CAPA3_EXPANSION!$D$56:BS$56,"&gt;="&amp;3)))*CAPA3_EXPANSION!BS$36)</f>
        <v>3696</v>
      </c>
      <c r="BT10" s="298" t="n">
        <f aca="false">IF(COUNTIF(CAPA3_EXPANSION!$D$56:BT$56,"&gt;="&amp;3)=0,0,SUP_CONTROL!$C$8*IF($B10="V",1,IF($B10="D",(1+SUP_VOLUMEN!$C$26),(1+SUP_VOLUMEN!$C$27)))*INDEX(SUP_C3_EXPANSION!$C$6:$F$6,MIN(4,COUNTIF(CAPA3_EXPANSION!$D$56:BT$56,"&gt;="&amp;3)))*CAPA3_EXPANSION!BT$36)</f>
        <v>3696</v>
      </c>
      <c r="BU10" s="298" t="n">
        <f aca="false">IF(COUNTIF(CAPA3_EXPANSION!$D$56:BU$56,"&gt;="&amp;3)=0,0,SUP_CONTROL!$C$8*IF($B10="V",1,IF($B10="D",(1+SUP_VOLUMEN!$C$26),(1+SUP_VOLUMEN!$C$27)))*INDEX(SUP_C3_EXPANSION!$C$6:$F$6,MIN(4,COUNTIF(CAPA3_EXPANSION!$D$56:BU$56,"&gt;="&amp;3)))*CAPA3_EXPANSION!BU$36)</f>
        <v>3696</v>
      </c>
      <c r="BV10" s="298" t="n">
        <f aca="false">IF(COUNTIF(CAPA3_EXPANSION!$D$56:BV$56,"&gt;="&amp;3)=0,0,SUP_CONTROL!$C$8*IF($B10="V",1,IF($B10="D",(1+SUP_VOLUMEN!$C$26),(1+SUP_VOLUMEN!$C$27)))*INDEX(SUP_C3_EXPANSION!$C$6:$F$6,MIN(4,COUNTIF(CAPA3_EXPANSION!$D$56:BV$56,"&gt;="&amp;3)))*CAPA3_EXPANSION!BV$36)</f>
        <v>3696</v>
      </c>
      <c r="BW10" s="298" t="n">
        <f aca="false">IF(COUNTIF(CAPA3_EXPANSION!$D$56:BW$56,"&gt;="&amp;3)=0,0,SUP_CONTROL!$C$8*IF($B10="V",1,IF($B10="D",(1+SUP_VOLUMEN!$C$26),(1+SUP_VOLUMEN!$C$27)))*INDEX(SUP_C3_EXPANSION!$C$6:$F$6,MIN(4,COUNTIF(CAPA3_EXPANSION!$D$56:BW$56,"&gt;="&amp;3)))*CAPA3_EXPANSION!BW$36)</f>
        <v>3633</v>
      </c>
      <c r="BX10" s="298" t="n">
        <f aca="false">IF(COUNTIF(CAPA3_EXPANSION!$D$56:BX$56,"&gt;="&amp;3)=0,0,SUP_CONTROL!$C$8*IF($B10="V",1,IF($B10="D",(1+SUP_VOLUMEN!$C$26),(1+SUP_VOLUMEN!$C$27)))*INDEX(SUP_C3_EXPANSION!$C$6:$F$6,MIN(4,COUNTIF(CAPA3_EXPANSION!$D$56:BX$56,"&gt;="&amp;3)))*CAPA3_EXPANSION!BX$36)</f>
        <v>3633</v>
      </c>
      <c r="BY10" s="298" t="n">
        <f aca="false">IF(COUNTIF(CAPA3_EXPANSION!$D$56:BY$56,"&gt;="&amp;3)=0,0,SUP_CONTROL!$C$8*IF($B10="V",1,IF($B10="D",(1+SUP_VOLUMEN!$C$26),(1+SUP_VOLUMEN!$C$27)))*INDEX(SUP_C3_EXPANSION!$C$6:$F$6,MIN(4,COUNTIF(CAPA3_EXPANSION!$D$56:BY$56,"&gt;="&amp;3)))*CAPA3_EXPANSION!BY$36)</f>
        <v>3633</v>
      </c>
      <c r="BZ10" s="298" t="n">
        <f aca="false">IF(COUNTIF(CAPA3_EXPANSION!$D$56:BZ$56,"&gt;="&amp;3)=0,0,SUP_CONTROL!$C$8*IF($B10="V",1,IF($B10="D",(1+SUP_VOLUMEN!$C$26),(1+SUP_VOLUMEN!$C$27)))*INDEX(SUP_C3_EXPANSION!$C$6:$F$6,MIN(4,COUNTIF(CAPA3_EXPANSION!$D$56:BZ$56,"&gt;="&amp;3)))*CAPA3_EXPANSION!BZ$36)</f>
        <v>3633</v>
      </c>
      <c r="CA10" s="298" t="n">
        <f aca="false">IF(COUNTIF(CAPA3_EXPANSION!$D$56:CA$56,"&gt;="&amp;3)=0,0,SUP_CONTROL!$C$8*IF($B10="V",1,IF($B10="D",(1+SUP_VOLUMEN!$C$26),(1+SUP_VOLUMEN!$C$27)))*INDEX(SUP_C3_EXPANSION!$C$6:$F$6,MIN(4,COUNTIF(CAPA3_EXPANSION!$D$56:CA$56,"&gt;="&amp;3)))*CAPA3_EXPANSION!CA$36)</f>
        <v>3633</v>
      </c>
      <c r="CB10" s="298" t="n">
        <f aca="false">IF(COUNTIF(CAPA3_EXPANSION!$D$56:CB$56,"&gt;="&amp;3)=0,0,SUP_CONTROL!$C$8*IF($B10="V",1,IF($B10="D",(1+SUP_VOLUMEN!$C$26),(1+SUP_VOLUMEN!$C$27)))*INDEX(SUP_C3_EXPANSION!$C$6:$F$6,MIN(4,COUNTIF(CAPA3_EXPANSION!$D$56:CB$56,"&gt;="&amp;3)))*CAPA3_EXPANSION!CB$36)</f>
        <v>3570</v>
      </c>
      <c r="CC10" s="298" t="n">
        <f aca="false">IF(COUNTIF(CAPA3_EXPANSION!$D$56:CC$56,"&gt;="&amp;3)=0,0,SUP_CONTROL!$C$8*IF($B10="V",1,IF($B10="D",(1+SUP_VOLUMEN!$C$26),(1+SUP_VOLUMEN!$C$27)))*INDEX(SUP_C3_EXPANSION!$C$6:$F$6,MIN(4,COUNTIF(CAPA3_EXPANSION!$D$56:CC$56,"&gt;="&amp;3)))*CAPA3_EXPANSION!CC$36)</f>
        <v>3570</v>
      </c>
      <c r="CD10" s="298" t="n">
        <f aca="false">IF(COUNTIF(CAPA3_EXPANSION!$D$56:CD$56,"&gt;="&amp;3)=0,0,SUP_CONTROL!$C$8*IF($B10="V",1,IF($B10="D",(1+SUP_VOLUMEN!$C$26),(1+SUP_VOLUMEN!$C$27)))*INDEX(SUP_C3_EXPANSION!$C$6:$F$6,MIN(4,COUNTIF(CAPA3_EXPANSION!$D$56:CD$56,"&gt;="&amp;3)))*CAPA3_EXPANSION!CD$36)</f>
        <v>3570</v>
      </c>
      <c r="CE10" s="298" t="n">
        <f aca="false">IF(COUNTIF(CAPA3_EXPANSION!$D$56:CE$56,"&gt;="&amp;3)=0,0,SUP_CONTROL!$C$8*IF($B10="V",1,IF($B10="D",(1+SUP_VOLUMEN!$C$26),(1+SUP_VOLUMEN!$C$27)))*INDEX(SUP_C3_EXPANSION!$C$6:$F$6,MIN(4,COUNTIF(CAPA3_EXPANSION!$D$56:CE$56,"&gt;="&amp;3)))*CAPA3_EXPANSION!CE$36)</f>
        <v>3570</v>
      </c>
      <c r="CF10" s="298" t="n">
        <f aca="false">IF(COUNTIF(CAPA3_EXPANSION!$D$56:CF$56,"&gt;="&amp;3)=0,0,SUP_CONTROL!$C$8*IF($B10="V",1,IF($B10="D",(1+SUP_VOLUMEN!$C$26),(1+SUP_VOLUMEN!$C$27)))*INDEX(SUP_C3_EXPANSION!$C$6:$F$6,MIN(4,COUNTIF(CAPA3_EXPANSION!$D$56:CF$56,"&gt;="&amp;3)))*CAPA3_EXPANSION!CF$36)</f>
        <v>3570</v>
      </c>
      <c r="CG10" s="298" t="n">
        <f aca="false">IF(COUNTIF(CAPA3_EXPANSION!$D$56:CG$56,"&gt;="&amp;3)=0,0,SUP_CONTROL!$C$8*IF($B10="V",1,IF($B10="D",(1+SUP_VOLUMEN!$C$26),(1+SUP_VOLUMEN!$C$27)))*INDEX(SUP_C3_EXPANSION!$C$6:$F$6,MIN(4,COUNTIF(CAPA3_EXPANSION!$D$56:CG$56,"&gt;="&amp;3)))*CAPA3_EXPANSION!CG$36)</f>
        <v>3528</v>
      </c>
      <c r="CH10" s="298" t="n">
        <f aca="false">IF(COUNTIF(CAPA3_EXPANSION!$D$56:CH$56,"&gt;="&amp;3)=0,0,SUP_CONTROL!$C$8*IF($B10="V",1,IF($B10="D",(1+SUP_VOLUMEN!$C$26),(1+SUP_VOLUMEN!$C$27)))*INDEX(SUP_C3_EXPANSION!$C$6:$F$6,MIN(4,COUNTIF(CAPA3_EXPANSION!$D$56:CH$56,"&gt;="&amp;3)))*CAPA3_EXPANSION!CH$36)</f>
        <v>3528</v>
      </c>
      <c r="CI10" s="298" t="n">
        <f aca="false">IF(COUNTIF(CAPA3_EXPANSION!$D$56:CI$56,"&gt;="&amp;3)=0,0,SUP_CONTROL!$C$8*IF($B10="V",1,IF($B10="D",(1+SUP_VOLUMEN!$C$26),(1+SUP_VOLUMEN!$C$27)))*INDEX(SUP_C3_EXPANSION!$C$6:$F$6,MIN(4,COUNTIF(CAPA3_EXPANSION!$D$56:CI$56,"&gt;="&amp;3)))*CAPA3_EXPANSION!CI$36)</f>
        <v>3528</v>
      </c>
      <c r="CJ10" s="298" t="n">
        <f aca="false">IF(COUNTIF(CAPA3_EXPANSION!$D$56:CJ$56,"&gt;="&amp;3)=0,0,SUP_CONTROL!$C$8*IF($B10="V",1,IF($B10="D",(1+SUP_VOLUMEN!$C$26),(1+SUP_VOLUMEN!$C$27)))*INDEX(SUP_C3_EXPANSION!$C$6:$F$6,MIN(4,COUNTIF(CAPA3_EXPANSION!$D$56:CJ$56,"&gt;="&amp;3)))*CAPA3_EXPANSION!CJ$36)</f>
        <v>3528</v>
      </c>
      <c r="CK10" s="298" t="n">
        <f aca="false">IF(COUNTIF(CAPA3_EXPANSION!$D$56:CK$56,"&gt;="&amp;3)=0,0,SUP_CONTROL!$C$8*IF($B10="V",1,IF($B10="D",(1+SUP_VOLUMEN!$C$26),(1+SUP_VOLUMEN!$C$27)))*INDEX(SUP_C3_EXPANSION!$C$6:$F$6,MIN(4,COUNTIF(CAPA3_EXPANSION!$D$56:CK$56,"&gt;="&amp;3)))*CAPA3_EXPANSION!CK$36)</f>
        <v>3528</v>
      </c>
      <c r="CL10" s="298" t="n">
        <f aca="false">IF(COUNTIF(CAPA3_EXPANSION!$D$56:CL$56,"&gt;="&amp;3)=0,0,SUP_CONTROL!$C$8*IF($B10="V",1,IF($B10="D",(1+SUP_VOLUMEN!$C$26),(1+SUP_VOLUMEN!$C$27)))*INDEX(SUP_C3_EXPANSION!$C$6:$F$6,MIN(4,COUNTIF(CAPA3_EXPANSION!$D$56:CL$56,"&gt;="&amp;3)))*CAPA3_EXPANSION!CL$36)</f>
        <v>3528</v>
      </c>
      <c r="CM10" s="298" t="n">
        <f aca="false">IF(COUNTIF(CAPA3_EXPANSION!$D$56:CM$56,"&gt;="&amp;3)=0,0,SUP_CONTROL!$C$8*IF($B10="V",1,IF($B10="D",(1+SUP_VOLUMEN!$C$26),(1+SUP_VOLUMEN!$C$27)))*INDEX(SUP_C3_EXPANSION!$C$6:$F$6,MIN(4,COUNTIF(CAPA3_EXPANSION!$D$56:CM$56,"&gt;="&amp;3)))*CAPA3_EXPANSION!CM$36)</f>
        <v>3528</v>
      </c>
      <c r="CN10" s="298" t="n">
        <f aca="false">IF(COUNTIF(CAPA3_EXPANSION!$D$56:CN$56,"&gt;="&amp;3)=0,0,SUP_CONTROL!$C$8*IF($B10="V",1,IF($B10="D",(1+SUP_VOLUMEN!$C$26),(1+SUP_VOLUMEN!$C$27)))*INDEX(SUP_C3_EXPANSION!$C$6:$F$6,MIN(4,COUNTIF(CAPA3_EXPANSION!$D$56:CN$56,"&gt;="&amp;3)))*CAPA3_EXPANSION!CN$36)</f>
        <v>3528</v>
      </c>
      <c r="CO10" s="298" t="n">
        <f aca="false">IF(COUNTIF(CAPA3_EXPANSION!$D$56:CO$56,"&gt;="&amp;3)=0,0,SUP_CONTROL!$C$8*IF($B10="V",1,IF($B10="D",(1+SUP_VOLUMEN!$C$26),(1+SUP_VOLUMEN!$C$27)))*INDEX(SUP_C3_EXPANSION!$C$6:$F$6,MIN(4,COUNTIF(CAPA3_EXPANSION!$D$56:CO$56,"&gt;="&amp;3)))*CAPA3_EXPANSION!CO$36)</f>
        <v>3528</v>
      </c>
      <c r="CP10" s="298" t="n">
        <f aca="false">IF(COUNTIF(CAPA3_EXPANSION!$D$56:CP$56,"&gt;="&amp;3)=0,0,SUP_CONTROL!$C$8*IF($B10="V",1,IF($B10="D",(1+SUP_VOLUMEN!$C$26),(1+SUP_VOLUMEN!$C$27)))*INDEX(SUP_C3_EXPANSION!$C$6:$F$6,MIN(4,COUNTIF(CAPA3_EXPANSION!$D$56:CP$56,"&gt;="&amp;3)))*CAPA3_EXPANSION!CP$36)</f>
        <v>3528</v>
      </c>
      <c r="CQ10" s="298" t="n">
        <f aca="false">IF(COUNTIF(CAPA3_EXPANSION!$D$56:CQ$56,"&gt;="&amp;3)=0,0,SUP_CONTROL!$C$8*IF($B10="V",1,IF($B10="D",(1+SUP_VOLUMEN!$C$26),(1+SUP_VOLUMEN!$C$27)))*INDEX(SUP_C3_EXPANSION!$C$6:$F$6,MIN(4,COUNTIF(CAPA3_EXPANSION!$D$56:CQ$56,"&gt;="&amp;3)))*CAPA3_EXPANSION!CQ$36)</f>
        <v>3528</v>
      </c>
      <c r="CR10" s="298" t="n">
        <f aca="false">IF(COUNTIF(CAPA3_EXPANSION!$D$56:CR$56,"&gt;="&amp;3)=0,0,SUP_CONTROL!$C$8*IF($B10="V",1,IF($B10="D",(1+SUP_VOLUMEN!$C$26),(1+SUP_VOLUMEN!$C$27)))*INDEX(SUP_C3_EXPANSION!$C$6:$F$6,MIN(4,COUNTIF(CAPA3_EXPANSION!$D$56:CR$56,"&gt;="&amp;3)))*CAPA3_EXPANSION!CR$36)</f>
        <v>3528</v>
      </c>
      <c r="CS10" s="298" t="n">
        <f aca="false">IF(COUNTIF(CAPA3_EXPANSION!$D$56:CS$56,"&gt;="&amp;3)=0,0,SUP_CONTROL!$C$8*IF($B10="V",1,IF($B10="D",(1+SUP_VOLUMEN!$C$26),(1+SUP_VOLUMEN!$C$27)))*INDEX(SUP_C3_EXPANSION!$C$6:$F$6,MIN(4,COUNTIF(CAPA3_EXPANSION!$D$56:CS$56,"&gt;="&amp;3)))*CAPA3_EXPANSION!CS$36)</f>
        <v>3528</v>
      </c>
      <c r="CT10" s="298" t="n">
        <f aca="false">IF(COUNTIF(CAPA3_EXPANSION!$D$56:CT$56,"&gt;="&amp;3)=0,0,SUP_CONTROL!$C$8*IF($B10="V",1,IF($B10="D",(1+SUP_VOLUMEN!$C$26),(1+SUP_VOLUMEN!$C$27)))*INDEX(SUP_C3_EXPANSION!$C$6:$F$6,MIN(4,COUNTIF(CAPA3_EXPANSION!$D$56:CT$56,"&gt;="&amp;3)))*CAPA3_EXPANSION!CT$36)</f>
        <v>3528</v>
      </c>
      <c r="CU10" s="298" t="n">
        <f aca="false">IF(COUNTIF(CAPA3_EXPANSION!$D$56:CU$56,"&gt;="&amp;3)=0,0,SUP_CONTROL!$C$8*IF($B10="V",1,IF($B10="D",(1+SUP_VOLUMEN!$C$26),(1+SUP_VOLUMEN!$C$27)))*INDEX(SUP_C3_EXPANSION!$C$6:$F$6,MIN(4,COUNTIF(CAPA3_EXPANSION!$D$56:CU$56,"&gt;="&amp;3)))*CAPA3_EXPANSION!CU$36)</f>
        <v>3528</v>
      </c>
      <c r="CV10" s="298" t="n">
        <f aca="false">IF(COUNTIF(CAPA3_EXPANSION!$D$56:CV$56,"&gt;="&amp;3)=0,0,SUP_CONTROL!$C$8*IF($B10="V",1,IF($B10="D",(1+SUP_VOLUMEN!$C$26),(1+SUP_VOLUMEN!$C$27)))*INDEX(SUP_C3_EXPANSION!$C$6:$F$6,MIN(4,COUNTIF(CAPA3_EXPANSION!$D$56:CV$56,"&gt;="&amp;3)))*CAPA3_EXPANSION!CV$36)</f>
        <v>3528</v>
      </c>
      <c r="CW10" s="298" t="n">
        <f aca="false">IF(COUNTIF(CAPA3_EXPANSION!$D$56:CW$56,"&gt;="&amp;3)=0,0,SUP_CONTROL!$C$8*IF($B10="V",1,IF($B10="D",(1+SUP_VOLUMEN!$C$26),(1+SUP_VOLUMEN!$C$27)))*INDEX(SUP_C3_EXPANSION!$C$6:$F$6,MIN(4,COUNTIF(CAPA3_EXPANSION!$D$56:CW$56,"&gt;="&amp;3)))*CAPA3_EXPANSION!CW$36)</f>
        <v>3528</v>
      </c>
      <c r="CX10" s="298" t="n">
        <f aca="false">IF(COUNTIF(CAPA3_EXPANSION!$D$56:CX$56,"&gt;="&amp;3)=0,0,SUP_CONTROL!$C$8*IF($B10="V",1,IF($B10="D",(1+SUP_VOLUMEN!$C$26),(1+SUP_VOLUMEN!$C$27)))*INDEX(SUP_C3_EXPANSION!$C$6:$F$6,MIN(4,COUNTIF(CAPA3_EXPANSION!$D$56:CX$56,"&gt;="&amp;3)))*CAPA3_EXPANSION!CX$36)</f>
        <v>3528</v>
      </c>
      <c r="CY10" s="298" t="n">
        <f aca="false">IF(COUNTIF(CAPA3_EXPANSION!$D$56:CY$56,"&gt;="&amp;3)=0,0,SUP_CONTROL!$C$8*IF($B10="V",1,IF($B10="D",(1+SUP_VOLUMEN!$C$26),(1+SUP_VOLUMEN!$C$27)))*INDEX(SUP_C3_EXPANSION!$C$6:$F$6,MIN(4,COUNTIF(CAPA3_EXPANSION!$D$56:CY$56,"&gt;="&amp;3)))*CAPA3_EXPANSION!CY$36)</f>
        <v>3528</v>
      </c>
      <c r="CZ10" s="298" t="n">
        <f aca="false">IF(COUNTIF(CAPA3_EXPANSION!$D$56:CZ$56,"&gt;="&amp;3)=0,0,SUP_CONTROL!$C$8*IF($B10="V",1,IF($B10="D",(1+SUP_VOLUMEN!$C$26),(1+SUP_VOLUMEN!$C$27)))*INDEX(SUP_C3_EXPANSION!$C$6:$F$6,MIN(4,COUNTIF(CAPA3_EXPANSION!$D$56:CZ$56,"&gt;="&amp;3)))*CAPA3_EXPANSION!CZ$36)</f>
        <v>3528</v>
      </c>
      <c r="DA10" s="298" t="n">
        <f aca="false">IF(COUNTIF(CAPA3_EXPANSION!$D$56:DA$56,"&gt;="&amp;3)=0,0,SUP_CONTROL!$C$8*IF($B10="V",1,IF($B10="D",(1+SUP_VOLUMEN!$C$26),(1+SUP_VOLUMEN!$C$27)))*INDEX(SUP_C3_EXPANSION!$C$6:$F$6,MIN(4,COUNTIF(CAPA3_EXPANSION!$D$56:DA$56,"&gt;="&amp;3)))*CAPA3_EXPANSION!DA$36)</f>
        <v>3528</v>
      </c>
      <c r="DB10" s="298" t="n">
        <f aca="false">IF(COUNTIF(CAPA3_EXPANSION!$D$56:DB$56,"&gt;="&amp;3)=0,0,SUP_CONTROL!$C$8*IF($B10="V",1,IF($B10="D",(1+SUP_VOLUMEN!$C$26),(1+SUP_VOLUMEN!$C$27)))*INDEX(SUP_C3_EXPANSION!$C$6:$F$6,MIN(4,COUNTIF(CAPA3_EXPANSION!$D$56:DB$56,"&gt;="&amp;3)))*CAPA3_EXPANSION!DB$36)</f>
        <v>3528</v>
      </c>
      <c r="DC10" s="298" t="n">
        <f aca="false">IF(COUNTIF(CAPA3_EXPANSION!$D$56:DC$56,"&gt;="&amp;3)=0,0,SUP_CONTROL!$C$8*IF($B10="V",1,IF($B10="D",(1+SUP_VOLUMEN!$C$26),(1+SUP_VOLUMEN!$C$27)))*INDEX(SUP_C3_EXPANSION!$C$6:$F$6,MIN(4,COUNTIF(CAPA3_EXPANSION!$D$56:DC$56,"&gt;="&amp;3)))*CAPA3_EXPANSION!DC$36)</f>
        <v>3528</v>
      </c>
      <c r="DD10" s="298" t="n">
        <f aca="false">IF(COUNTIF(CAPA3_EXPANSION!$D$56:DD$56,"&gt;="&amp;3)=0,0,SUP_CONTROL!$C$8*IF($B10="V",1,IF($B10="D",(1+SUP_VOLUMEN!$C$26),(1+SUP_VOLUMEN!$C$27)))*INDEX(SUP_C3_EXPANSION!$C$6:$F$6,MIN(4,COUNTIF(CAPA3_EXPANSION!$D$56:DD$56,"&gt;="&amp;3)))*CAPA3_EXPANSION!DD$36)</f>
        <v>3528</v>
      </c>
      <c r="DE10" s="298" t="n">
        <f aca="false">IF(COUNTIF(CAPA3_EXPANSION!$D$56:DE$56,"&gt;="&amp;3)=0,0,SUP_CONTROL!$C$8*IF($B10="V",1,IF($B10="D",(1+SUP_VOLUMEN!$C$26),(1+SUP_VOLUMEN!$C$27)))*INDEX(SUP_C3_EXPANSION!$C$6:$F$6,MIN(4,COUNTIF(CAPA3_EXPANSION!$D$56:DE$56,"&gt;="&amp;3)))*CAPA3_EXPANSION!DE$36)</f>
        <v>3528</v>
      </c>
      <c r="DF10" s="298" t="n">
        <f aca="false">IF(COUNTIF(CAPA3_EXPANSION!$D$56:DF$56,"&gt;="&amp;3)=0,0,SUP_CONTROL!$C$8*IF($B10="V",1,IF($B10="D",(1+SUP_VOLUMEN!$C$26),(1+SUP_VOLUMEN!$C$27)))*INDEX(SUP_C3_EXPANSION!$C$6:$F$6,MIN(4,COUNTIF(CAPA3_EXPANSION!$D$56:DF$56,"&gt;="&amp;3)))*CAPA3_EXPANSION!DF$36)</f>
        <v>3528</v>
      </c>
      <c r="DG10" s="298" t="n">
        <f aca="false">IF(COUNTIF(CAPA3_EXPANSION!$D$56:DG$56,"&gt;="&amp;3)=0,0,SUP_CONTROL!$C$8*IF($B10="V",1,IF($B10="D",(1+SUP_VOLUMEN!$C$26),(1+SUP_VOLUMEN!$C$27)))*INDEX(SUP_C3_EXPANSION!$C$6:$F$6,MIN(4,COUNTIF(CAPA3_EXPANSION!$D$56:DG$56,"&gt;="&amp;3)))*CAPA3_EXPANSION!DG$36)</f>
        <v>3528</v>
      </c>
      <c r="DH10" s="298" t="n">
        <f aca="false">IF(COUNTIF(CAPA3_EXPANSION!$D$56:DH$56,"&gt;="&amp;3)=0,0,SUP_CONTROL!$C$8*IF($B10="V",1,IF($B10="D",(1+SUP_VOLUMEN!$C$26),(1+SUP_VOLUMEN!$C$27)))*INDEX(SUP_C3_EXPANSION!$C$6:$F$6,MIN(4,COUNTIF(CAPA3_EXPANSION!$D$56:DH$56,"&gt;="&amp;3)))*CAPA3_EXPANSION!DH$36)</f>
        <v>3528</v>
      </c>
      <c r="DI10" s="298" t="n">
        <f aca="false">IF(COUNTIF(CAPA3_EXPANSION!$D$56:DI$56,"&gt;="&amp;3)=0,0,SUP_CONTROL!$C$8*IF($B10="V",1,IF($B10="D",(1+SUP_VOLUMEN!$C$26),(1+SUP_VOLUMEN!$C$27)))*INDEX(SUP_C3_EXPANSION!$C$6:$F$6,MIN(4,COUNTIF(CAPA3_EXPANSION!$D$56:DI$56,"&gt;="&amp;3)))*CAPA3_EXPANSION!DI$36)</f>
        <v>3528</v>
      </c>
      <c r="DJ10" s="298" t="n">
        <f aca="false">IF(COUNTIF(CAPA3_EXPANSION!$D$56:DJ$56,"&gt;="&amp;3)=0,0,SUP_CONTROL!$C$8*IF($B10="V",1,IF($B10="D",(1+SUP_VOLUMEN!$C$26),(1+SUP_VOLUMEN!$C$27)))*INDEX(SUP_C3_EXPANSION!$C$6:$F$6,MIN(4,COUNTIF(CAPA3_EXPANSION!$D$56:DJ$56,"&gt;="&amp;3)))*CAPA3_EXPANSION!DJ$36)</f>
        <v>3528</v>
      </c>
      <c r="DK10" s="298" t="n">
        <f aca="false">IF(COUNTIF(CAPA3_EXPANSION!$D$56:DK$56,"&gt;="&amp;3)=0,0,SUP_CONTROL!$C$8*IF($B10="V",1,IF($B10="D",(1+SUP_VOLUMEN!$C$26),(1+SUP_VOLUMEN!$C$27)))*INDEX(SUP_C3_EXPANSION!$C$6:$F$6,MIN(4,COUNTIF(CAPA3_EXPANSION!$D$56:DK$56,"&gt;="&amp;3)))*CAPA3_EXPANSION!DK$36)</f>
        <v>3528</v>
      </c>
      <c r="DL10" s="298" t="n">
        <f aca="false">IF(COUNTIF(CAPA3_EXPANSION!$D$56:DL$56,"&gt;="&amp;3)=0,0,SUP_CONTROL!$C$8*IF($B10="V",1,IF($B10="D",(1+SUP_VOLUMEN!$C$26),(1+SUP_VOLUMEN!$C$27)))*INDEX(SUP_C3_EXPANSION!$C$6:$F$6,MIN(4,COUNTIF(CAPA3_EXPANSION!$D$56:DL$56,"&gt;="&amp;3)))*CAPA3_EXPANSION!DL$36)</f>
        <v>3528</v>
      </c>
      <c r="DM10" s="298" t="n">
        <f aca="false">IF(COUNTIF(CAPA3_EXPANSION!$D$56:DM$56,"&gt;="&amp;3)=0,0,SUP_CONTROL!$C$8*IF($B10="V",1,IF($B10="D",(1+SUP_VOLUMEN!$C$26),(1+SUP_VOLUMEN!$C$27)))*INDEX(SUP_C3_EXPANSION!$C$6:$F$6,MIN(4,COUNTIF(CAPA3_EXPANSION!$D$56:DM$56,"&gt;="&amp;3)))*CAPA3_EXPANSION!DM$36)</f>
        <v>3528</v>
      </c>
      <c r="DN10" s="298" t="n">
        <f aca="false">IF(COUNTIF(CAPA3_EXPANSION!$D$56:DN$56,"&gt;="&amp;3)=0,0,SUP_CONTROL!$C$8*IF($B10="V",1,IF($B10="D",(1+SUP_VOLUMEN!$C$26),(1+SUP_VOLUMEN!$C$27)))*INDEX(SUP_C3_EXPANSION!$C$6:$F$6,MIN(4,COUNTIF(CAPA3_EXPANSION!$D$56:DN$56,"&gt;="&amp;3)))*CAPA3_EXPANSION!DN$36)</f>
        <v>3528</v>
      </c>
      <c r="DO10" s="298" t="n">
        <f aca="false">IF(COUNTIF(CAPA3_EXPANSION!$D$56:DO$56,"&gt;="&amp;3)=0,0,SUP_CONTROL!$C$8*IF($B10="V",1,IF($B10="D",(1+SUP_VOLUMEN!$C$26),(1+SUP_VOLUMEN!$C$27)))*INDEX(SUP_C3_EXPANSION!$C$6:$F$6,MIN(4,COUNTIF(CAPA3_EXPANSION!$D$56:DO$56,"&gt;="&amp;3)))*CAPA3_EXPANSION!DO$36)</f>
        <v>3528</v>
      </c>
      <c r="DP10" s="298" t="n">
        <f aca="false">IF(COUNTIF(CAPA3_EXPANSION!$D$56:DP$56,"&gt;="&amp;3)=0,0,SUP_CONTROL!$C$8*IF($B10="V",1,IF($B10="D",(1+SUP_VOLUMEN!$C$26),(1+SUP_VOLUMEN!$C$27)))*INDEX(SUP_C3_EXPANSION!$C$6:$F$6,MIN(4,COUNTIF(CAPA3_EXPANSION!$D$56:DP$56,"&gt;="&amp;3)))*CAPA3_EXPANSION!DP$36)</f>
        <v>3528</v>
      </c>
      <c r="DQ10" s="298" t="n">
        <f aca="false">IF(COUNTIF(CAPA3_EXPANSION!$D$56:DQ$56,"&gt;="&amp;3)=0,0,SUP_CONTROL!$C$8*IF($B10="V",1,IF($B10="D",(1+SUP_VOLUMEN!$C$26),(1+SUP_VOLUMEN!$C$27)))*INDEX(SUP_C3_EXPANSION!$C$6:$F$6,MIN(4,COUNTIF(CAPA3_EXPANSION!$D$56:DQ$56,"&gt;="&amp;3)))*CAPA3_EXPANSION!DQ$36)</f>
        <v>3528</v>
      </c>
      <c r="DR10" s="298" t="n">
        <f aca="false">IF(COUNTIF(CAPA3_EXPANSION!$D$56:DR$56,"&gt;="&amp;3)=0,0,SUP_CONTROL!$C$8*IF($B10="V",1,IF($B10="D",(1+SUP_VOLUMEN!$C$26),(1+SUP_VOLUMEN!$C$27)))*INDEX(SUP_C3_EXPANSION!$C$6:$F$6,MIN(4,COUNTIF(CAPA3_EXPANSION!$D$56:DR$56,"&gt;="&amp;3)))*CAPA3_EXPANSION!DR$36)</f>
        <v>3528</v>
      </c>
      <c r="DS10" s="298" t="n">
        <f aca="false">IF(COUNTIF(CAPA3_EXPANSION!$D$56:DS$56,"&gt;="&amp;3)=0,0,SUP_CONTROL!$C$8*IF($B10="V",1,IF($B10="D",(1+SUP_VOLUMEN!$C$26),(1+SUP_VOLUMEN!$C$27)))*INDEX(SUP_C3_EXPANSION!$C$6:$F$6,MIN(4,COUNTIF(CAPA3_EXPANSION!$D$56:DS$56,"&gt;="&amp;3)))*CAPA3_EXPANSION!DS$36)</f>
        <v>3528</v>
      </c>
    </row>
    <row r="11" customFormat="false" ht="15" hidden="false" customHeight="true" outlineLevel="0" collapsed="false">
      <c r="A11" s="298" t="n">
        <v>14</v>
      </c>
      <c r="B11" s="497" t="str">
        <f aca="false">SUP_C3_EXPANSION!B23</f>
        <v>D</v>
      </c>
      <c r="C11" s="267" t="n">
        <f aca="false">SUP_C3_EXPANSION!G23</f>
        <v>29</v>
      </c>
      <c r="D11" s="298" t="n">
        <f aca="false">IF(COUNTIF(CAPA3_EXPANSION!$D$56:D$56,"&gt;="&amp;4)=0,0,SUP_CONTROL!$C$8*IF($B11="V",1,IF($B11="D",(1+SUP_VOLUMEN!$C$26),(1+SUP_VOLUMEN!$C$27)))*INDEX(SUP_C3_EXPANSION!$C$6:$F$6,MIN(4,COUNTIF(CAPA3_EXPANSION!$D$56:D$56,"&gt;="&amp;4)))*CAPA3_EXPANSION!D$36)</f>
        <v>0</v>
      </c>
      <c r="E11" s="298" t="n">
        <f aca="false">IF(COUNTIF(CAPA3_EXPANSION!$D$56:E$56,"&gt;="&amp;4)=0,0,SUP_CONTROL!$C$8*IF($B11="V",1,IF($B11="D",(1+SUP_VOLUMEN!$C$26),(1+SUP_VOLUMEN!$C$27)))*INDEX(SUP_C3_EXPANSION!$C$6:$F$6,MIN(4,COUNTIF(CAPA3_EXPANSION!$D$56:E$56,"&gt;="&amp;4)))*CAPA3_EXPANSION!E$36)</f>
        <v>0</v>
      </c>
      <c r="F11" s="298" t="n">
        <f aca="false">IF(COUNTIF(CAPA3_EXPANSION!$D$56:F$56,"&gt;="&amp;4)=0,0,SUP_CONTROL!$C$8*IF($B11="V",1,IF($B11="D",(1+SUP_VOLUMEN!$C$26),(1+SUP_VOLUMEN!$C$27)))*INDEX(SUP_C3_EXPANSION!$C$6:$F$6,MIN(4,COUNTIF(CAPA3_EXPANSION!$D$56:F$56,"&gt;="&amp;4)))*CAPA3_EXPANSION!F$36)</f>
        <v>0</v>
      </c>
      <c r="G11" s="298" t="n">
        <f aca="false">IF(COUNTIF(CAPA3_EXPANSION!$D$56:G$56,"&gt;="&amp;4)=0,0,SUP_CONTROL!$C$8*IF($B11="V",1,IF($B11="D",(1+SUP_VOLUMEN!$C$26),(1+SUP_VOLUMEN!$C$27)))*INDEX(SUP_C3_EXPANSION!$C$6:$F$6,MIN(4,COUNTIF(CAPA3_EXPANSION!$D$56:G$56,"&gt;="&amp;4)))*CAPA3_EXPANSION!G$36)</f>
        <v>0</v>
      </c>
      <c r="H11" s="298" t="n">
        <f aca="false">IF(COUNTIF(CAPA3_EXPANSION!$D$56:H$56,"&gt;="&amp;4)=0,0,SUP_CONTROL!$C$8*IF($B11="V",1,IF($B11="D",(1+SUP_VOLUMEN!$C$26),(1+SUP_VOLUMEN!$C$27)))*INDEX(SUP_C3_EXPANSION!$C$6:$F$6,MIN(4,COUNTIF(CAPA3_EXPANSION!$D$56:H$56,"&gt;="&amp;4)))*CAPA3_EXPANSION!H$36)</f>
        <v>0</v>
      </c>
      <c r="I11" s="298" t="n">
        <f aca="false">IF(COUNTIF(CAPA3_EXPANSION!$D$56:I$56,"&gt;="&amp;4)=0,0,SUP_CONTROL!$C$8*IF($B11="V",1,IF($B11="D",(1+SUP_VOLUMEN!$C$26),(1+SUP_VOLUMEN!$C$27)))*INDEX(SUP_C3_EXPANSION!$C$6:$F$6,MIN(4,COUNTIF(CAPA3_EXPANSION!$D$56:I$56,"&gt;="&amp;4)))*CAPA3_EXPANSION!I$36)</f>
        <v>0</v>
      </c>
      <c r="J11" s="298" t="n">
        <f aca="false">IF(COUNTIF(CAPA3_EXPANSION!$D$56:J$56,"&gt;="&amp;4)=0,0,SUP_CONTROL!$C$8*IF($B11="V",1,IF($B11="D",(1+SUP_VOLUMEN!$C$26),(1+SUP_VOLUMEN!$C$27)))*INDEX(SUP_C3_EXPANSION!$C$6:$F$6,MIN(4,COUNTIF(CAPA3_EXPANSION!$D$56:J$56,"&gt;="&amp;4)))*CAPA3_EXPANSION!J$36)</f>
        <v>0</v>
      </c>
      <c r="K11" s="298" t="n">
        <f aca="false">IF(COUNTIF(CAPA3_EXPANSION!$D$56:K$56,"&gt;="&amp;4)=0,0,SUP_CONTROL!$C$8*IF($B11="V",1,IF($B11="D",(1+SUP_VOLUMEN!$C$26),(1+SUP_VOLUMEN!$C$27)))*INDEX(SUP_C3_EXPANSION!$C$6:$F$6,MIN(4,COUNTIF(CAPA3_EXPANSION!$D$56:K$56,"&gt;="&amp;4)))*CAPA3_EXPANSION!K$36)</f>
        <v>0</v>
      </c>
      <c r="L11" s="298" t="n">
        <f aca="false">IF(COUNTIF(CAPA3_EXPANSION!$D$56:L$56,"&gt;="&amp;4)=0,0,SUP_CONTROL!$C$8*IF($B11="V",1,IF($B11="D",(1+SUP_VOLUMEN!$C$26),(1+SUP_VOLUMEN!$C$27)))*INDEX(SUP_C3_EXPANSION!$C$6:$F$6,MIN(4,COUNTIF(CAPA3_EXPANSION!$D$56:L$56,"&gt;="&amp;4)))*CAPA3_EXPANSION!L$36)</f>
        <v>0</v>
      </c>
      <c r="M11" s="298" t="n">
        <f aca="false">IF(COUNTIF(CAPA3_EXPANSION!$D$56:M$56,"&gt;="&amp;4)=0,0,SUP_CONTROL!$C$8*IF($B11="V",1,IF($B11="D",(1+SUP_VOLUMEN!$C$26),(1+SUP_VOLUMEN!$C$27)))*INDEX(SUP_C3_EXPANSION!$C$6:$F$6,MIN(4,COUNTIF(CAPA3_EXPANSION!$D$56:M$56,"&gt;="&amp;4)))*CAPA3_EXPANSION!M$36)</f>
        <v>0</v>
      </c>
      <c r="N11" s="298" t="n">
        <f aca="false">IF(COUNTIF(CAPA3_EXPANSION!$D$56:N$56,"&gt;="&amp;4)=0,0,SUP_CONTROL!$C$8*IF($B11="V",1,IF($B11="D",(1+SUP_VOLUMEN!$C$26),(1+SUP_VOLUMEN!$C$27)))*INDEX(SUP_C3_EXPANSION!$C$6:$F$6,MIN(4,COUNTIF(CAPA3_EXPANSION!$D$56:N$56,"&gt;="&amp;4)))*CAPA3_EXPANSION!N$36)</f>
        <v>0</v>
      </c>
      <c r="O11" s="298" t="n">
        <f aca="false">IF(COUNTIF(CAPA3_EXPANSION!$D$56:O$56,"&gt;="&amp;4)=0,0,SUP_CONTROL!$C$8*IF($B11="V",1,IF($B11="D",(1+SUP_VOLUMEN!$C$26),(1+SUP_VOLUMEN!$C$27)))*INDEX(SUP_C3_EXPANSION!$C$6:$F$6,MIN(4,COUNTIF(CAPA3_EXPANSION!$D$56:O$56,"&gt;="&amp;4)))*CAPA3_EXPANSION!O$36)</f>
        <v>0</v>
      </c>
      <c r="P11" s="298" t="n">
        <f aca="false">IF(COUNTIF(CAPA3_EXPANSION!$D$56:P$56,"&gt;="&amp;4)=0,0,SUP_CONTROL!$C$8*IF($B11="V",1,IF($B11="D",(1+SUP_VOLUMEN!$C$26),(1+SUP_VOLUMEN!$C$27)))*INDEX(SUP_C3_EXPANSION!$C$6:$F$6,MIN(4,COUNTIF(CAPA3_EXPANSION!$D$56:P$56,"&gt;="&amp;4)))*CAPA3_EXPANSION!P$36)</f>
        <v>0</v>
      </c>
      <c r="Q11" s="298" t="n">
        <f aca="false">IF(COUNTIF(CAPA3_EXPANSION!$D$56:Q$56,"&gt;="&amp;4)=0,0,SUP_CONTROL!$C$8*IF($B11="V",1,IF($B11="D",(1+SUP_VOLUMEN!$C$26),(1+SUP_VOLUMEN!$C$27)))*INDEX(SUP_C3_EXPANSION!$C$6:$F$6,MIN(4,COUNTIF(CAPA3_EXPANSION!$D$56:Q$56,"&gt;="&amp;4)))*CAPA3_EXPANSION!Q$36)</f>
        <v>0</v>
      </c>
      <c r="R11" s="298" t="n">
        <f aca="false">IF(COUNTIF(CAPA3_EXPANSION!$D$56:R$56,"&gt;="&amp;4)=0,0,SUP_CONTROL!$C$8*IF($B11="V",1,IF($B11="D",(1+SUP_VOLUMEN!$C$26),(1+SUP_VOLUMEN!$C$27)))*INDEX(SUP_C3_EXPANSION!$C$6:$F$6,MIN(4,COUNTIF(CAPA3_EXPANSION!$D$56:R$56,"&gt;="&amp;4)))*CAPA3_EXPANSION!R$36)</f>
        <v>0</v>
      </c>
      <c r="S11" s="298" t="n">
        <f aca="false">IF(COUNTIF(CAPA3_EXPANSION!$D$56:S$56,"&gt;="&amp;4)=0,0,SUP_CONTROL!$C$8*IF($B11="V",1,IF($B11="D",(1+SUP_VOLUMEN!$C$26),(1+SUP_VOLUMEN!$C$27)))*INDEX(SUP_C3_EXPANSION!$C$6:$F$6,MIN(4,COUNTIF(CAPA3_EXPANSION!$D$56:S$56,"&gt;="&amp;4)))*CAPA3_EXPANSION!S$36)</f>
        <v>0</v>
      </c>
      <c r="T11" s="298" t="n">
        <f aca="false">IF(COUNTIF(CAPA3_EXPANSION!$D$56:T$56,"&gt;="&amp;4)=0,0,SUP_CONTROL!$C$8*IF($B11="V",1,IF($B11="D",(1+SUP_VOLUMEN!$C$26),(1+SUP_VOLUMEN!$C$27)))*INDEX(SUP_C3_EXPANSION!$C$6:$F$6,MIN(4,COUNTIF(CAPA3_EXPANSION!$D$56:T$56,"&gt;="&amp;4)))*CAPA3_EXPANSION!T$36)</f>
        <v>0</v>
      </c>
      <c r="U11" s="298" t="n">
        <f aca="false">IF(COUNTIF(CAPA3_EXPANSION!$D$56:U$56,"&gt;="&amp;4)=0,0,SUP_CONTROL!$C$8*IF($B11="V",1,IF($B11="D",(1+SUP_VOLUMEN!$C$26),(1+SUP_VOLUMEN!$C$27)))*INDEX(SUP_C3_EXPANSION!$C$6:$F$6,MIN(4,COUNTIF(CAPA3_EXPANSION!$D$56:U$56,"&gt;="&amp;4)))*CAPA3_EXPANSION!U$36)</f>
        <v>0</v>
      </c>
      <c r="V11" s="298" t="n">
        <f aca="false">IF(COUNTIF(CAPA3_EXPANSION!$D$56:V$56,"&gt;="&amp;4)=0,0,SUP_CONTROL!$C$8*IF($B11="V",1,IF($B11="D",(1+SUP_VOLUMEN!$C$26),(1+SUP_VOLUMEN!$C$27)))*INDEX(SUP_C3_EXPANSION!$C$6:$F$6,MIN(4,COUNTIF(CAPA3_EXPANSION!$D$56:V$56,"&gt;="&amp;4)))*CAPA3_EXPANSION!V$36)</f>
        <v>0</v>
      </c>
      <c r="W11" s="298" t="n">
        <f aca="false">IF(COUNTIF(CAPA3_EXPANSION!$D$56:W$56,"&gt;="&amp;4)=0,0,SUP_CONTROL!$C$8*IF($B11="V",1,IF($B11="D",(1+SUP_VOLUMEN!$C$26),(1+SUP_VOLUMEN!$C$27)))*INDEX(SUP_C3_EXPANSION!$C$6:$F$6,MIN(4,COUNTIF(CAPA3_EXPANSION!$D$56:W$56,"&gt;="&amp;4)))*CAPA3_EXPANSION!W$36)</f>
        <v>0</v>
      </c>
      <c r="X11" s="298" t="n">
        <f aca="false">IF(COUNTIF(CAPA3_EXPANSION!$D$56:X$56,"&gt;="&amp;4)=0,0,SUP_CONTROL!$C$8*IF($B11="V",1,IF($B11="D",(1+SUP_VOLUMEN!$C$26),(1+SUP_VOLUMEN!$C$27)))*INDEX(SUP_C3_EXPANSION!$C$6:$F$6,MIN(4,COUNTIF(CAPA3_EXPANSION!$D$56:X$56,"&gt;="&amp;4)))*CAPA3_EXPANSION!X$36)</f>
        <v>0</v>
      </c>
      <c r="Y11" s="298" t="n">
        <f aca="false">IF(COUNTIF(CAPA3_EXPANSION!$D$56:Y$56,"&gt;="&amp;4)=0,0,SUP_CONTROL!$C$8*IF($B11="V",1,IF($B11="D",(1+SUP_VOLUMEN!$C$26),(1+SUP_VOLUMEN!$C$27)))*INDEX(SUP_C3_EXPANSION!$C$6:$F$6,MIN(4,COUNTIF(CAPA3_EXPANSION!$D$56:Y$56,"&gt;="&amp;4)))*CAPA3_EXPANSION!Y$36)</f>
        <v>0</v>
      </c>
      <c r="Z11" s="298" t="n">
        <f aca="false">IF(COUNTIF(CAPA3_EXPANSION!$D$56:Z$56,"&gt;="&amp;4)=0,0,SUP_CONTROL!$C$8*IF($B11="V",1,IF($B11="D",(1+SUP_VOLUMEN!$C$26),(1+SUP_VOLUMEN!$C$27)))*INDEX(SUP_C3_EXPANSION!$C$6:$F$6,MIN(4,COUNTIF(CAPA3_EXPANSION!$D$56:Z$56,"&gt;="&amp;4)))*CAPA3_EXPANSION!Z$36)</f>
        <v>0</v>
      </c>
      <c r="AA11" s="298" t="n">
        <f aca="false">IF(COUNTIF(CAPA3_EXPANSION!$D$56:AA$56,"&gt;="&amp;4)=0,0,SUP_CONTROL!$C$8*IF($B11="V",1,IF($B11="D",(1+SUP_VOLUMEN!$C$26),(1+SUP_VOLUMEN!$C$27)))*INDEX(SUP_C3_EXPANSION!$C$6:$F$6,MIN(4,COUNTIF(CAPA3_EXPANSION!$D$56:AA$56,"&gt;="&amp;4)))*CAPA3_EXPANSION!AA$36)</f>
        <v>0</v>
      </c>
      <c r="AB11" s="298" t="n">
        <f aca="false">IF(COUNTIF(CAPA3_EXPANSION!$D$56:AB$56,"&gt;="&amp;4)=0,0,SUP_CONTROL!$C$8*IF($B11="V",1,IF($B11="D",(1+SUP_VOLUMEN!$C$26),(1+SUP_VOLUMEN!$C$27)))*INDEX(SUP_C3_EXPANSION!$C$6:$F$6,MIN(4,COUNTIF(CAPA3_EXPANSION!$D$56:AB$56,"&gt;="&amp;4)))*CAPA3_EXPANSION!AB$36)</f>
        <v>0</v>
      </c>
      <c r="AC11" s="298" t="n">
        <f aca="false">IF(COUNTIF(CAPA3_EXPANSION!$D$56:AC$56,"&gt;="&amp;4)=0,0,SUP_CONTROL!$C$8*IF($B11="V",1,IF($B11="D",(1+SUP_VOLUMEN!$C$26),(1+SUP_VOLUMEN!$C$27)))*INDEX(SUP_C3_EXPANSION!$C$6:$F$6,MIN(4,COUNTIF(CAPA3_EXPANSION!$D$56:AC$56,"&gt;="&amp;4)))*CAPA3_EXPANSION!AC$36)</f>
        <v>0</v>
      </c>
      <c r="AD11" s="298" t="n">
        <f aca="false">IF(COUNTIF(CAPA3_EXPANSION!$D$56:AD$56,"&gt;="&amp;4)=0,0,SUP_CONTROL!$C$8*IF($B11="V",1,IF($B11="D",(1+SUP_VOLUMEN!$C$26),(1+SUP_VOLUMEN!$C$27)))*INDEX(SUP_C3_EXPANSION!$C$6:$F$6,MIN(4,COUNTIF(CAPA3_EXPANSION!$D$56:AD$56,"&gt;="&amp;4)))*CAPA3_EXPANSION!AD$36)</f>
        <v>0</v>
      </c>
      <c r="AE11" s="298" t="n">
        <f aca="false">IF(COUNTIF(CAPA3_EXPANSION!$D$56:AE$56,"&gt;="&amp;4)=0,0,SUP_CONTROL!$C$8*IF($B11="V",1,IF($B11="D",(1+SUP_VOLUMEN!$C$26),(1+SUP_VOLUMEN!$C$27)))*INDEX(SUP_C3_EXPANSION!$C$6:$F$6,MIN(4,COUNTIF(CAPA3_EXPANSION!$D$56:AE$56,"&gt;="&amp;4)))*CAPA3_EXPANSION!AE$36)</f>
        <v>0</v>
      </c>
      <c r="AF11" s="298" t="n">
        <f aca="false">IF(COUNTIF(CAPA3_EXPANSION!$D$56:AF$56,"&gt;="&amp;4)=0,0,SUP_CONTROL!$C$8*IF($B11="V",1,IF($B11="D",(1+SUP_VOLUMEN!$C$26),(1+SUP_VOLUMEN!$C$27)))*INDEX(SUP_C3_EXPANSION!$C$6:$F$6,MIN(4,COUNTIF(CAPA3_EXPANSION!$D$56:AF$56,"&gt;="&amp;4)))*CAPA3_EXPANSION!AF$36)</f>
        <v>0</v>
      </c>
      <c r="AG11" s="298" t="n">
        <f aca="false">IF(COUNTIF(CAPA3_EXPANSION!$D$56:AG$56,"&gt;="&amp;4)=0,0,SUP_CONTROL!$C$8*IF($B11="V",1,IF($B11="D",(1+SUP_VOLUMEN!$C$26),(1+SUP_VOLUMEN!$C$27)))*INDEX(SUP_C3_EXPANSION!$C$6:$F$6,MIN(4,COUNTIF(CAPA3_EXPANSION!$D$56:AG$56,"&gt;="&amp;4)))*CAPA3_EXPANSION!AG$36)</f>
        <v>0</v>
      </c>
      <c r="AH11" s="298" t="n">
        <f aca="false">IF(COUNTIF(CAPA3_EXPANSION!$D$56:AH$56,"&gt;="&amp;4)=0,0,SUP_CONTROL!$C$8*IF($B11="V",1,IF($B11="D",(1+SUP_VOLUMEN!$C$26),(1+SUP_VOLUMEN!$C$27)))*INDEX(SUP_C3_EXPANSION!$C$6:$F$6,MIN(4,COUNTIF(CAPA3_EXPANSION!$D$56:AH$56,"&gt;="&amp;4)))*CAPA3_EXPANSION!AH$36)</f>
        <v>0</v>
      </c>
      <c r="AI11" s="298" t="n">
        <f aca="false">IF(COUNTIF(CAPA3_EXPANSION!$D$56:AI$56,"&gt;="&amp;4)=0,0,SUP_CONTROL!$C$8*IF($B11="V",1,IF($B11="D",(1+SUP_VOLUMEN!$C$26),(1+SUP_VOLUMEN!$C$27)))*INDEX(SUP_C3_EXPANSION!$C$6:$F$6,MIN(4,COUNTIF(CAPA3_EXPANSION!$D$56:AI$56,"&gt;="&amp;4)))*CAPA3_EXPANSION!AI$36)</f>
        <v>3442.53</v>
      </c>
      <c r="AJ11" s="298" t="n">
        <f aca="false">IF(COUNTIF(CAPA3_EXPANSION!$D$56:AJ$56,"&gt;="&amp;4)=0,0,SUP_CONTROL!$C$8*IF($B11="V",1,IF($B11="D",(1+SUP_VOLUMEN!$C$26),(1+SUP_VOLUMEN!$C$27)))*INDEX(SUP_C3_EXPANSION!$C$6:$F$6,MIN(4,COUNTIF(CAPA3_EXPANSION!$D$56:AJ$56,"&gt;="&amp;4)))*CAPA3_EXPANSION!AJ$36)</f>
        <v>4236.96</v>
      </c>
      <c r="AK11" s="298" t="n">
        <f aca="false">IF(COUNTIF(CAPA3_EXPANSION!$D$56:AK$56,"&gt;="&amp;4)=0,0,SUP_CONTROL!$C$8*IF($B11="V",1,IF($B11="D",(1+SUP_VOLUMEN!$C$26),(1+SUP_VOLUMEN!$C$27)))*INDEX(SUP_C3_EXPANSION!$C$6:$F$6,MIN(4,COUNTIF(CAPA3_EXPANSION!$D$56:AK$56,"&gt;="&amp;4)))*CAPA3_EXPANSION!AK$36)</f>
        <v>4766.58</v>
      </c>
      <c r="AL11" s="298" t="n">
        <f aca="false">IF(COUNTIF(CAPA3_EXPANSION!$D$56:AL$56,"&gt;="&amp;4)=0,0,SUP_CONTROL!$C$8*IF($B11="V",1,IF($B11="D",(1+SUP_VOLUMEN!$C$26),(1+SUP_VOLUMEN!$C$27)))*INDEX(SUP_C3_EXPANSION!$C$6:$F$6,MIN(4,COUNTIF(CAPA3_EXPANSION!$D$56:AL$56,"&gt;="&amp;4)))*CAPA3_EXPANSION!AL$36)</f>
        <v>5296.2</v>
      </c>
      <c r="AM11" s="298" t="n">
        <f aca="false">IF(COUNTIF(CAPA3_EXPANSION!$D$56:AM$56,"&gt;="&amp;4)=0,0,SUP_CONTROL!$C$8*IF($B11="V",1,IF($B11="D",(1+SUP_VOLUMEN!$C$26),(1+SUP_VOLUMEN!$C$27)))*INDEX(SUP_C3_EXPANSION!$C$6:$F$6,MIN(4,COUNTIF(CAPA3_EXPANSION!$D$56:AM$56,"&gt;="&amp;4)))*CAPA3_EXPANSION!AM$36)</f>
        <v>5296.2</v>
      </c>
      <c r="AN11" s="298" t="n">
        <f aca="false">IF(COUNTIF(CAPA3_EXPANSION!$D$56:AN$56,"&gt;="&amp;4)=0,0,SUP_CONTROL!$C$8*IF($B11="V",1,IF($B11="D",(1+SUP_VOLUMEN!$C$26),(1+SUP_VOLUMEN!$C$27)))*INDEX(SUP_C3_EXPANSION!$C$6:$F$6,MIN(4,COUNTIF(CAPA3_EXPANSION!$D$56:AN$56,"&gt;="&amp;4)))*CAPA3_EXPANSION!AN$36)</f>
        <v>5296.2</v>
      </c>
      <c r="AO11" s="298" t="n">
        <f aca="false">IF(COUNTIF(CAPA3_EXPANSION!$D$56:AO$56,"&gt;="&amp;4)=0,0,SUP_CONTROL!$C$8*IF($B11="V",1,IF($B11="D",(1+SUP_VOLUMEN!$C$26),(1+SUP_VOLUMEN!$C$27)))*INDEX(SUP_C3_EXPANSION!$C$6:$F$6,MIN(4,COUNTIF(CAPA3_EXPANSION!$D$56:AO$56,"&gt;="&amp;4)))*CAPA3_EXPANSION!AO$36)</f>
        <v>5296.2</v>
      </c>
      <c r="AP11" s="298" t="n">
        <f aca="false">IF(COUNTIF(CAPA3_EXPANSION!$D$56:AP$56,"&gt;="&amp;4)=0,0,SUP_CONTROL!$C$8*IF($B11="V",1,IF($B11="D",(1+SUP_VOLUMEN!$C$26),(1+SUP_VOLUMEN!$C$27)))*INDEX(SUP_C3_EXPANSION!$C$6:$F$6,MIN(4,COUNTIF(CAPA3_EXPANSION!$D$56:AP$56,"&gt;="&amp;4)))*CAPA3_EXPANSION!AP$36)</f>
        <v>5159.7</v>
      </c>
      <c r="AQ11" s="298" t="n">
        <f aca="false">IF(COUNTIF(CAPA3_EXPANSION!$D$56:AQ$56,"&gt;="&amp;4)=0,0,SUP_CONTROL!$C$8*IF($B11="V",1,IF($B11="D",(1+SUP_VOLUMEN!$C$26),(1+SUP_VOLUMEN!$C$27)))*INDEX(SUP_C3_EXPANSION!$C$6:$F$6,MIN(4,COUNTIF(CAPA3_EXPANSION!$D$56:AQ$56,"&gt;="&amp;4)))*CAPA3_EXPANSION!AQ$36)</f>
        <v>5159.7</v>
      </c>
      <c r="AR11" s="298" t="n">
        <f aca="false">IF(COUNTIF(CAPA3_EXPANSION!$D$56:AR$56,"&gt;="&amp;4)=0,0,SUP_CONTROL!$C$8*IF($B11="V",1,IF($B11="D",(1+SUP_VOLUMEN!$C$26),(1+SUP_VOLUMEN!$C$27)))*INDEX(SUP_C3_EXPANSION!$C$6:$F$6,MIN(4,COUNTIF(CAPA3_EXPANSION!$D$56:AR$56,"&gt;="&amp;4)))*CAPA3_EXPANSION!AR$36)</f>
        <v>5159.7</v>
      </c>
      <c r="AS11" s="298" t="n">
        <f aca="false">IF(COUNTIF(CAPA3_EXPANSION!$D$56:AS$56,"&gt;="&amp;4)=0,0,SUP_CONTROL!$C$8*IF($B11="V",1,IF($B11="D",(1+SUP_VOLUMEN!$C$26),(1+SUP_VOLUMEN!$C$27)))*INDEX(SUP_C3_EXPANSION!$C$6:$F$6,MIN(4,COUNTIF(CAPA3_EXPANSION!$D$56:AS$56,"&gt;="&amp;4)))*CAPA3_EXPANSION!AS$36)</f>
        <v>5159.7</v>
      </c>
      <c r="AT11" s="298" t="n">
        <f aca="false">IF(COUNTIF(CAPA3_EXPANSION!$D$56:AT$56,"&gt;="&amp;4)=0,0,SUP_CONTROL!$C$8*IF($B11="V",1,IF($B11="D",(1+SUP_VOLUMEN!$C$26),(1+SUP_VOLUMEN!$C$27)))*INDEX(SUP_C3_EXPANSION!$C$6:$F$6,MIN(4,COUNTIF(CAPA3_EXPANSION!$D$56:AT$56,"&gt;="&amp;4)))*CAPA3_EXPANSION!AT$36)</f>
        <v>5159.7</v>
      </c>
      <c r="AU11" s="298" t="n">
        <f aca="false">IF(COUNTIF(CAPA3_EXPANSION!$D$56:AU$56,"&gt;="&amp;4)=0,0,SUP_CONTROL!$C$8*IF($B11="V",1,IF($B11="D",(1+SUP_VOLUMEN!$C$26),(1+SUP_VOLUMEN!$C$27)))*INDEX(SUP_C3_EXPANSION!$C$6:$F$6,MIN(4,COUNTIF(CAPA3_EXPANSION!$D$56:AU$56,"&gt;="&amp;4)))*CAPA3_EXPANSION!AU$36)</f>
        <v>5159.7</v>
      </c>
      <c r="AV11" s="298" t="n">
        <f aca="false">IF(COUNTIF(CAPA3_EXPANSION!$D$56:AV$56,"&gt;="&amp;4)=0,0,SUP_CONTROL!$C$8*IF($B11="V",1,IF($B11="D",(1+SUP_VOLUMEN!$C$26),(1+SUP_VOLUMEN!$C$27)))*INDEX(SUP_C3_EXPANSION!$C$6:$F$6,MIN(4,COUNTIF(CAPA3_EXPANSION!$D$56:AV$56,"&gt;="&amp;4)))*CAPA3_EXPANSION!AV$36)</f>
        <v>5159.7</v>
      </c>
      <c r="AW11" s="298" t="n">
        <f aca="false">IF(COUNTIF(CAPA3_EXPANSION!$D$56:AW$56,"&gt;="&amp;4)=0,0,SUP_CONTROL!$C$8*IF($B11="V",1,IF($B11="D",(1+SUP_VOLUMEN!$C$26),(1+SUP_VOLUMEN!$C$27)))*INDEX(SUP_C3_EXPANSION!$C$6:$F$6,MIN(4,COUNTIF(CAPA3_EXPANSION!$D$56:AW$56,"&gt;="&amp;4)))*CAPA3_EXPANSION!AW$36)</f>
        <v>5159.7</v>
      </c>
      <c r="AX11" s="298" t="n">
        <f aca="false">IF(COUNTIF(CAPA3_EXPANSION!$D$56:AX$56,"&gt;="&amp;4)=0,0,SUP_CONTROL!$C$8*IF($B11="V",1,IF($B11="D",(1+SUP_VOLUMEN!$C$26),(1+SUP_VOLUMEN!$C$27)))*INDEX(SUP_C3_EXPANSION!$C$6:$F$6,MIN(4,COUNTIF(CAPA3_EXPANSION!$D$56:AX$56,"&gt;="&amp;4)))*CAPA3_EXPANSION!AX$36)</f>
        <v>5159.7</v>
      </c>
      <c r="AY11" s="298" t="n">
        <f aca="false">IF(COUNTIF(CAPA3_EXPANSION!$D$56:AY$56,"&gt;="&amp;4)=0,0,SUP_CONTROL!$C$8*IF($B11="V",1,IF($B11="D",(1+SUP_VOLUMEN!$C$26),(1+SUP_VOLUMEN!$C$27)))*INDEX(SUP_C3_EXPANSION!$C$6:$F$6,MIN(4,COUNTIF(CAPA3_EXPANSION!$D$56:AY$56,"&gt;="&amp;4)))*CAPA3_EXPANSION!AY$36)</f>
        <v>5159.7</v>
      </c>
      <c r="AZ11" s="298" t="n">
        <f aca="false">IF(COUNTIF(CAPA3_EXPANSION!$D$56:AZ$56,"&gt;="&amp;4)=0,0,SUP_CONTROL!$C$8*IF($B11="V",1,IF($B11="D",(1+SUP_VOLUMEN!$C$26),(1+SUP_VOLUMEN!$C$27)))*INDEX(SUP_C3_EXPANSION!$C$6:$F$6,MIN(4,COUNTIF(CAPA3_EXPANSION!$D$56:AZ$56,"&gt;="&amp;4)))*CAPA3_EXPANSION!AZ$36)</f>
        <v>5159.7</v>
      </c>
      <c r="BA11" s="298" t="n">
        <f aca="false">IF(COUNTIF(CAPA3_EXPANSION!$D$56:BA$56,"&gt;="&amp;4)=0,0,SUP_CONTROL!$C$8*IF($B11="V",1,IF($B11="D",(1+SUP_VOLUMEN!$C$26),(1+SUP_VOLUMEN!$C$27)))*INDEX(SUP_C3_EXPANSION!$C$6:$F$6,MIN(4,COUNTIF(CAPA3_EXPANSION!$D$56:BA$56,"&gt;="&amp;4)))*CAPA3_EXPANSION!BA$36)</f>
        <v>5159.7</v>
      </c>
      <c r="BB11" s="298" t="n">
        <f aca="false">IF(COUNTIF(CAPA3_EXPANSION!$D$56:BB$56,"&gt;="&amp;4)=0,0,SUP_CONTROL!$C$8*IF($B11="V",1,IF($B11="D",(1+SUP_VOLUMEN!$C$26),(1+SUP_VOLUMEN!$C$27)))*INDEX(SUP_C3_EXPANSION!$C$6:$F$6,MIN(4,COUNTIF(CAPA3_EXPANSION!$D$56:BB$56,"&gt;="&amp;4)))*CAPA3_EXPANSION!BB$36)</f>
        <v>5159.7</v>
      </c>
      <c r="BC11" s="298" t="n">
        <f aca="false">IF(COUNTIF(CAPA3_EXPANSION!$D$56:BC$56,"&gt;="&amp;4)=0,0,SUP_CONTROL!$C$8*IF($B11="V",1,IF($B11="D",(1+SUP_VOLUMEN!$C$26),(1+SUP_VOLUMEN!$C$27)))*INDEX(SUP_C3_EXPANSION!$C$6:$F$6,MIN(4,COUNTIF(CAPA3_EXPANSION!$D$56:BC$56,"&gt;="&amp;4)))*CAPA3_EXPANSION!BC$36)</f>
        <v>5159.7</v>
      </c>
      <c r="BD11" s="298" t="n">
        <f aca="false">IF(COUNTIF(CAPA3_EXPANSION!$D$56:BD$56,"&gt;="&amp;4)=0,0,SUP_CONTROL!$C$8*IF($B11="V",1,IF($B11="D",(1+SUP_VOLUMEN!$C$26),(1+SUP_VOLUMEN!$C$27)))*INDEX(SUP_C3_EXPANSION!$C$6:$F$6,MIN(4,COUNTIF(CAPA3_EXPANSION!$D$56:BD$56,"&gt;="&amp;4)))*CAPA3_EXPANSION!BD$36)</f>
        <v>5159.7</v>
      </c>
      <c r="BE11" s="298" t="n">
        <f aca="false">IF(COUNTIF(CAPA3_EXPANSION!$D$56:BE$56,"&gt;="&amp;4)=0,0,SUP_CONTROL!$C$8*IF($B11="V",1,IF($B11="D",(1+SUP_VOLUMEN!$C$26),(1+SUP_VOLUMEN!$C$27)))*INDEX(SUP_C3_EXPANSION!$C$6:$F$6,MIN(4,COUNTIF(CAPA3_EXPANSION!$D$56:BE$56,"&gt;="&amp;4)))*CAPA3_EXPANSION!BE$36)</f>
        <v>5159.7</v>
      </c>
      <c r="BF11" s="298" t="n">
        <f aca="false">IF(COUNTIF(CAPA3_EXPANSION!$D$56:BF$56,"&gt;="&amp;4)=0,0,SUP_CONTROL!$C$8*IF($B11="V",1,IF($B11="D",(1+SUP_VOLUMEN!$C$26),(1+SUP_VOLUMEN!$C$27)))*INDEX(SUP_C3_EXPANSION!$C$6:$F$6,MIN(4,COUNTIF(CAPA3_EXPANSION!$D$56:BF$56,"&gt;="&amp;4)))*CAPA3_EXPANSION!BF$36)</f>
        <v>5023.2</v>
      </c>
      <c r="BG11" s="298" t="n">
        <f aca="false">IF(COUNTIF(CAPA3_EXPANSION!$D$56:BG$56,"&gt;="&amp;4)=0,0,SUP_CONTROL!$C$8*IF($B11="V",1,IF($B11="D",(1+SUP_VOLUMEN!$C$26),(1+SUP_VOLUMEN!$C$27)))*INDEX(SUP_C3_EXPANSION!$C$6:$F$6,MIN(4,COUNTIF(CAPA3_EXPANSION!$D$56:BG$56,"&gt;="&amp;4)))*CAPA3_EXPANSION!BG$36)</f>
        <v>5023.2</v>
      </c>
      <c r="BH11" s="298" t="n">
        <f aca="false">IF(COUNTIF(CAPA3_EXPANSION!$D$56:BH$56,"&gt;="&amp;4)=0,0,SUP_CONTROL!$C$8*IF($B11="V",1,IF($B11="D",(1+SUP_VOLUMEN!$C$26),(1+SUP_VOLUMEN!$C$27)))*INDEX(SUP_C3_EXPANSION!$C$6:$F$6,MIN(4,COUNTIF(CAPA3_EXPANSION!$D$56:BH$56,"&gt;="&amp;4)))*CAPA3_EXPANSION!BH$36)</f>
        <v>5023.2</v>
      </c>
      <c r="BI11" s="298" t="n">
        <f aca="false">IF(COUNTIF(CAPA3_EXPANSION!$D$56:BI$56,"&gt;="&amp;4)=0,0,SUP_CONTROL!$C$8*IF($B11="V",1,IF($B11="D",(1+SUP_VOLUMEN!$C$26),(1+SUP_VOLUMEN!$C$27)))*INDEX(SUP_C3_EXPANSION!$C$6:$F$6,MIN(4,COUNTIF(CAPA3_EXPANSION!$D$56:BI$56,"&gt;="&amp;4)))*CAPA3_EXPANSION!BI$36)</f>
        <v>5023.2</v>
      </c>
      <c r="BJ11" s="298" t="n">
        <f aca="false">IF(COUNTIF(CAPA3_EXPANSION!$D$56:BJ$56,"&gt;="&amp;4)=0,0,SUP_CONTROL!$C$8*IF($B11="V",1,IF($B11="D",(1+SUP_VOLUMEN!$C$26),(1+SUP_VOLUMEN!$C$27)))*INDEX(SUP_C3_EXPANSION!$C$6:$F$6,MIN(4,COUNTIF(CAPA3_EXPANSION!$D$56:BJ$56,"&gt;="&amp;4)))*CAPA3_EXPANSION!BJ$36)</f>
        <v>5023.2</v>
      </c>
      <c r="BK11" s="298" t="n">
        <f aca="false">IF(COUNTIF(CAPA3_EXPANSION!$D$56:BK$56,"&gt;="&amp;4)=0,0,SUP_CONTROL!$C$8*IF($B11="V",1,IF($B11="D",(1+SUP_VOLUMEN!$C$26),(1+SUP_VOLUMEN!$C$27)))*INDEX(SUP_C3_EXPANSION!$C$6:$F$6,MIN(4,COUNTIF(CAPA3_EXPANSION!$D$56:BK$56,"&gt;="&amp;4)))*CAPA3_EXPANSION!BK$36)</f>
        <v>4914</v>
      </c>
      <c r="BL11" s="298" t="n">
        <f aca="false">IF(COUNTIF(CAPA3_EXPANSION!$D$56:BL$56,"&gt;="&amp;4)=0,0,SUP_CONTROL!$C$8*IF($B11="V",1,IF($B11="D",(1+SUP_VOLUMEN!$C$26),(1+SUP_VOLUMEN!$C$27)))*INDEX(SUP_C3_EXPANSION!$C$6:$F$6,MIN(4,COUNTIF(CAPA3_EXPANSION!$D$56:BL$56,"&gt;="&amp;4)))*CAPA3_EXPANSION!BL$36)</f>
        <v>4914</v>
      </c>
      <c r="BM11" s="298" t="n">
        <f aca="false">IF(COUNTIF(CAPA3_EXPANSION!$D$56:BM$56,"&gt;="&amp;4)=0,0,SUP_CONTROL!$C$8*IF($B11="V",1,IF($B11="D",(1+SUP_VOLUMEN!$C$26),(1+SUP_VOLUMEN!$C$27)))*INDEX(SUP_C3_EXPANSION!$C$6:$F$6,MIN(4,COUNTIF(CAPA3_EXPANSION!$D$56:BM$56,"&gt;="&amp;4)))*CAPA3_EXPANSION!BM$36)</f>
        <v>4914</v>
      </c>
      <c r="BN11" s="298" t="n">
        <f aca="false">IF(COUNTIF(CAPA3_EXPANSION!$D$56:BN$56,"&gt;="&amp;4)=0,0,SUP_CONTROL!$C$8*IF($B11="V",1,IF($B11="D",(1+SUP_VOLUMEN!$C$26),(1+SUP_VOLUMEN!$C$27)))*INDEX(SUP_C3_EXPANSION!$C$6:$F$6,MIN(4,COUNTIF(CAPA3_EXPANSION!$D$56:BN$56,"&gt;="&amp;4)))*CAPA3_EXPANSION!BN$36)</f>
        <v>4914</v>
      </c>
      <c r="BO11" s="298" t="n">
        <f aca="false">IF(COUNTIF(CAPA3_EXPANSION!$D$56:BO$56,"&gt;="&amp;4)=0,0,SUP_CONTROL!$C$8*IF($B11="V",1,IF($B11="D",(1+SUP_VOLUMEN!$C$26),(1+SUP_VOLUMEN!$C$27)))*INDEX(SUP_C3_EXPANSION!$C$6:$F$6,MIN(4,COUNTIF(CAPA3_EXPANSION!$D$56:BO$56,"&gt;="&amp;4)))*CAPA3_EXPANSION!BO$36)</f>
        <v>4914</v>
      </c>
      <c r="BP11" s="298" t="n">
        <f aca="false">IF(COUNTIF(CAPA3_EXPANSION!$D$56:BP$56,"&gt;="&amp;4)=0,0,SUP_CONTROL!$C$8*IF($B11="V",1,IF($B11="D",(1+SUP_VOLUMEN!$C$26),(1+SUP_VOLUMEN!$C$27)))*INDEX(SUP_C3_EXPANSION!$C$6:$F$6,MIN(4,COUNTIF(CAPA3_EXPANSION!$D$56:BP$56,"&gt;="&amp;4)))*CAPA3_EXPANSION!BP$36)</f>
        <v>4914</v>
      </c>
      <c r="BQ11" s="298" t="n">
        <f aca="false">IF(COUNTIF(CAPA3_EXPANSION!$D$56:BQ$56,"&gt;="&amp;4)=0,0,SUP_CONTROL!$C$8*IF($B11="V",1,IF($B11="D",(1+SUP_VOLUMEN!$C$26),(1+SUP_VOLUMEN!$C$27)))*INDEX(SUP_C3_EXPANSION!$C$6:$F$6,MIN(4,COUNTIF(CAPA3_EXPANSION!$D$56:BQ$56,"&gt;="&amp;4)))*CAPA3_EXPANSION!BQ$36)</f>
        <v>4804.8</v>
      </c>
      <c r="BR11" s="298" t="n">
        <f aca="false">IF(COUNTIF(CAPA3_EXPANSION!$D$56:BR$56,"&gt;="&amp;4)=0,0,SUP_CONTROL!$C$8*IF($B11="V",1,IF($B11="D",(1+SUP_VOLUMEN!$C$26),(1+SUP_VOLUMEN!$C$27)))*INDEX(SUP_C3_EXPANSION!$C$6:$F$6,MIN(4,COUNTIF(CAPA3_EXPANSION!$D$56:BR$56,"&gt;="&amp;4)))*CAPA3_EXPANSION!BR$36)</f>
        <v>4804.8</v>
      </c>
      <c r="BS11" s="298" t="n">
        <f aca="false">IF(COUNTIF(CAPA3_EXPANSION!$D$56:BS$56,"&gt;="&amp;4)=0,0,SUP_CONTROL!$C$8*IF($B11="V",1,IF($B11="D",(1+SUP_VOLUMEN!$C$26),(1+SUP_VOLUMEN!$C$27)))*INDEX(SUP_C3_EXPANSION!$C$6:$F$6,MIN(4,COUNTIF(CAPA3_EXPANSION!$D$56:BS$56,"&gt;="&amp;4)))*CAPA3_EXPANSION!BS$36)</f>
        <v>4804.8</v>
      </c>
      <c r="BT11" s="298" t="n">
        <f aca="false">IF(COUNTIF(CAPA3_EXPANSION!$D$56:BT$56,"&gt;="&amp;4)=0,0,SUP_CONTROL!$C$8*IF($B11="V",1,IF($B11="D",(1+SUP_VOLUMEN!$C$26),(1+SUP_VOLUMEN!$C$27)))*INDEX(SUP_C3_EXPANSION!$C$6:$F$6,MIN(4,COUNTIF(CAPA3_EXPANSION!$D$56:BT$56,"&gt;="&amp;4)))*CAPA3_EXPANSION!BT$36)</f>
        <v>4804.8</v>
      </c>
      <c r="BU11" s="298" t="n">
        <f aca="false">IF(COUNTIF(CAPA3_EXPANSION!$D$56:BU$56,"&gt;="&amp;4)=0,0,SUP_CONTROL!$C$8*IF($B11="V",1,IF($B11="D",(1+SUP_VOLUMEN!$C$26),(1+SUP_VOLUMEN!$C$27)))*INDEX(SUP_C3_EXPANSION!$C$6:$F$6,MIN(4,COUNTIF(CAPA3_EXPANSION!$D$56:BU$56,"&gt;="&amp;4)))*CAPA3_EXPANSION!BU$36)</f>
        <v>4804.8</v>
      </c>
      <c r="BV11" s="298" t="n">
        <f aca="false">IF(COUNTIF(CAPA3_EXPANSION!$D$56:BV$56,"&gt;="&amp;4)=0,0,SUP_CONTROL!$C$8*IF($B11="V",1,IF($B11="D",(1+SUP_VOLUMEN!$C$26),(1+SUP_VOLUMEN!$C$27)))*INDEX(SUP_C3_EXPANSION!$C$6:$F$6,MIN(4,COUNTIF(CAPA3_EXPANSION!$D$56:BV$56,"&gt;="&amp;4)))*CAPA3_EXPANSION!BV$36)</f>
        <v>4804.8</v>
      </c>
      <c r="BW11" s="298" t="n">
        <f aca="false">IF(COUNTIF(CAPA3_EXPANSION!$D$56:BW$56,"&gt;="&amp;4)=0,0,SUP_CONTROL!$C$8*IF($B11="V",1,IF($B11="D",(1+SUP_VOLUMEN!$C$26),(1+SUP_VOLUMEN!$C$27)))*INDEX(SUP_C3_EXPANSION!$C$6:$F$6,MIN(4,COUNTIF(CAPA3_EXPANSION!$D$56:BW$56,"&gt;="&amp;4)))*CAPA3_EXPANSION!BW$36)</f>
        <v>4722.9</v>
      </c>
      <c r="BX11" s="298" t="n">
        <f aca="false">IF(COUNTIF(CAPA3_EXPANSION!$D$56:BX$56,"&gt;="&amp;4)=0,0,SUP_CONTROL!$C$8*IF($B11="V",1,IF($B11="D",(1+SUP_VOLUMEN!$C$26),(1+SUP_VOLUMEN!$C$27)))*INDEX(SUP_C3_EXPANSION!$C$6:$F$6,MIN(4,COUNTIF(CAPA3_EXPANSION!$D$56:BX$56,"&gt;="&amp;4)))*CAPA3_EXPANSION!BX$36)</f>
        <v>4722.9</v>
      </c>
      <c r="BY11" s="298" t="n">
        <f aca="false">IF(COUNTIF(CAPA3_EXPANSION!$D$56:BY$56,"&gt;="&amp;4)=0,0,SUP_CONTROL!$C$8*IF($B11="V",1,IF($B11="D",(1+SUP_VOLUMEN!$C$26),(1+SUP_VOLUMEN!$C$27)))*INDEX(SUP_C3_EXPANSION!$C$6:$F$6,MIN(4,COUNTIF(CAPA3_EXPANSION!$D$56:BY$56,"&gt;="&amp;4)))*CAPA3_EXPANSION!BY$36)</f>
        <v>4722.9</v>
      </c>
      <c r="BZ11" s="298" t="n">
        <f aca="false">IF(COUNTIF(CAPA3_EXPANSION!$D$56:BZ$56,"&gt;="&amp;4)=0,0,SUP_CONTROL!$C$8*IF($B11="V",1,IF($B11="D",(1+SUP_VOLUMEN!$C$26),(1+SUP_VOLUMEN!$C$27)))*INDEX(SUP_C3_EXPANSION!$C$6:$F$6,MIN(4,COUNTIF(CAPA3_EXPANSION!$D$56:BZ$56,"&gt;="&amp;4)))*CAPA3_EXPANSION!BZ$36)</f>
        <v>4722.9</v>
      </c>
      <c r="CA11" s="298" t="n">
        <f aca="false">IF(COUNTIF(CAPA3_EXPANSION!$D$56:CA$56,"&gt;="&amp;4)=0,0,SUP_CONTROL!$C$8*IF($B11="V",1,IF($B11="D",(1+SUP_VOLUMEN!$C$26),(1+SUP_VOLUMEN!$C$27)))*INDEX(SUP_C3_EXPANSION!$C$6:$F$6,MIN(4,COUNTIF(CAPA3_EXPANSION!$D$56:CA$56,"&gt;="&amp;4)))*CAPA3_EXPANSION!CA$36)</f>
        <v>4722.9</v>
      </c>
      <c r="CB11" s="298" t="n">
        <f aca="false">IF(COUNTIF(CAPA3_EXPANSION!$D$56:CB$56,"&gt;="&amp;4)=0,0,SUP_CONTROL!$C$8*IF($B11="V",1,IF($B11="D",(1+SUP_VOLUMEN!$C$26),(1+SUP_VOLUMEN!$C$27)))*INDEX(SUP_C3_EXPANSION!$C$6:$F$6,MIN(4,COUNTIF(CAPA3_EXPANSION!$D$56:CB$56,"&gt;="&amp;4)))*CAPA3_EXPANSION!CB$36)</f>
        <v>4641</v>
      </c>
      <c r="CC11" s="298" t="n">
        <f aca="false">IF(COUNTIF(CAPA3_EXPANSION!$D$56:CC$56,"&gt;="&amp;4)=0,0,SUP_CONTROL!$C$8*IF($B11="V",1,IF($B11="D",(1+SUP_VOLUMEN!$C$26),(1+SUP_VOLUMEN!$C$27)))*INDEX(SUP_C3_EXPANSION!$C$6:$F$6,MIN(4,COUNTIF(CAPA3_EXPANSION!$D$56:CC$56,"&gt;="&amp;4)))*CAPA3_EXPANSION!CC$36)</f>
        <v>4641</v>
      </c>
      <c r="CD11" s="298" t="n">
        <f aca="false">IF(COUNTIF(CAPA3_EXPANSION!$D$56:CD$56,"&gt;="&amp;4)=0,0,SUP_CONTROL!$C$8*IF($B11="V",1,IF($B11="D",(1+SUP_VOLUMEN!$C$26),(1+SUP_VOLUMEN!$C$27)))*INDEX(SUP_C3_EXPANSION!$C$6:$F$6,MIN(4,COUNTIF(CAPA3_EXPANSION!$D$56:CD$56,"&gt;="&amp;4)))*CAPA3_EXPANSION!CD$36)</f>
        <v>4641</v>
      </c>
      <c r="CE11" s="298" t="n">
        <f aca="false">IF(COUNTIF(CAPA3_EXPANSION!$D$56:CE$56,"&gt;="&amp;4)=0,0,SUP_CONTROL!$C$8*IF($B11="V",1,IF($B11="D",(1+SUP_VOLUMEN!$C$26),(1+SUP_VOLUMEN!$C$27)))*INDEX(SUP_C3_EXPANSION!$C$6:$F$6,MIN(4,COUNTIF(CAPA3_EXPANSION!$D$56:CE$56,"&gt;="&amp;4)))*CAPA3_EXPANSION!CE$36)</f>
        <v>4641</v>
      </c>
      <c r="CF11" s="298" t="n">
        <f aca="false">IF(COUNTIF(CAPA3_EXPANSION!$D$56:CF$56,"&gt;="&amp;4)=0,0,SUP_CONTROL!$C$8*IF($B11="V",1,IF($B11="D",(1+SUP_VOLUMEN!$C$26),(1+SUP_VOLUMEN!$C$27)))*INDEX(SUP_C3_EXPANSION!$C$6:$F$6,MIN(4,COUNTIF(CAPA3_EXPANSION!$D$56:CF$56,"&gt;="&amp;4)))*CAPA3_EXPANSION!CF$36)</f>
        <v>4641</v>
      </c>
      <c r="CG11" s="298" t="n">
        <f aca="false">IF(COUNTIF(CAPA3_EXPANSION!$D$56:CG$56,"&gt;="&amp;4)=0,0,SUP_CONTROL!$C$8*IF($B11="V",1,IF($B11="D",(1+SUP_VOLUMEN!$C$26),(1+SUP_VOLUMEN!$C$27)))*INDEX(SUP_C3_EXPANSION!$C$6:$F$6,MIN(4,COUNTIF(CAPA3_EXPANSION!$D$56:CG$56,"&gt;="&amp;4)))*CAPA3_EXPANSION!CG$36)</f>
        <v>4586.4</v>
      </c>
      <c r="CH11" s="298" t="n">
        <f aca="false">IF(COUNTIF(CAPA3_EXPANSION!$D$56:CH$56,"&gt;="&amp;4)=0,0,SUP_CONTROL!$C$8*IF($B11="V",1,IF($B11="D",(1+SUP_VOLUMEN!$C$26),(1+SUP_VOLUMEN!$C$27)))*INDEX(SUP_C3_EXPANSION!$C$6:$F$6,MIN(4,COUNTIF(CAPA3_EXPANSION!$D$56:CH$56,"&gt;="&amp;4)))*CAPA3_EXPANSION!CH$36)</f>
        <v>4586.4</v>
      </c>
      <c r="CI11" s="298" t="n">
        <f aca="false">IF(COUNTIF(CAPA3_EXPANSION!$D$56:CI$56,"&gt;="&amp;4)=0,0,SUP_CONTROL!$C$8*IF($B11="V",1,IF($B11="D",(1+SUP_VOLUMEN!$C$26),(1+SUP_VOLUMEN!$C$27)))*INDEX(SUP_C3_EXPANSION!$C$6:$F$6,MIN(4,COUNTIF(CAPA3_EXPANSION!$D$56:CI$56,"&gt;="&amp;4)))*CAPA3_EXPANSION!CI$36)</f>
        <v>4586.4</v>
      </c>
      <c r="CJ11" s="298" t="n">
        <f aca="false">IF(COUNTIF(CAPA3_EXPANSION!$D$56:CJ$56,"&gt;="&amp;4)=0,0,SUP_CONTROL!$C$8*IF($B11="V",1,IF($B11="D",(1+SUP_VOLUMEN!$C$26),(1+SUP_VOLUMEN!$C$27)))*INDEX(SUP_C3_EXPANSION!$C$6:$F$6,MIN(4,COUNTIF(CAPA3_EXPANSION!$D$56:CJ$56,"&gt;="&amp;4)))*CAPA3_EXPANSION!CJ$36)</f>
        <v>4586.4</v>
      </c>
      <c r="CK11" s="298" t="n">
        <f aca="false">IF(COUNTIF(CAPA3_EXPANSION!$D$56:CK$56,"&gt;="&amp;4)=0,0,SUP_CONTROL!$C$8*IF($B11="V",1,IF($B11="D",(1+SUP_VOLUMEN!$C$26),(1+SUP_VOLUMEN!$C$27)))*INDEX(SUP_C3_EXPANSION!$C$6:$F$6,MIN(4,COUNTIF(CAPA3_EXPANSION!$D$56:CK$56,"&gt;="&amp;4)))*CAPA3_EXPANSION!CK$36)</f>
        <v>4586.4</v>
      </c>
      <c r="CL11" s="298" t="n">
        <f aca="false">IF(COUNTIF(CAPA3_EXPANSION!$D$56:CL$56,"&gt;="&amp;4)=0,0,SUP_CONTROL!$C$8*IF($B11="V",1,IF($B11="D",(1+SUP_VOLUMEN!$C$26),(1+SUP_VOLUMEN!$C$27)))*INDEX(SUP_C3_EXPANSION!$C$6:$F$6,MIN(4,COUNTIF(CAPA3_EXPANSION!$D$56:CL$56,"&gt;="&amp;4)))*CAPA3_EXPANSION!CL$36)</f>
        <v>4586.4</v>
      </c>
      <c r="CM11" s="298" t="n">
        <f aca="false">IF(COUNTIF(CAPA3_EXPANSION!$D$56:CM$56,"&gt;="&amp;4)=0,0,SUP_CONTROL!$C$8*IF($B11="V",1,IF($B11="D",(1+SUP_VOLUMEN!$C$26),(1+SUP_VOLUMEN!$C$27)))*INDEX(SUP_C3_EXPANSION!$C$6:$F$6,MIN(4,COUNTIF(CAPA3_EXPANSION!$D$56:CM$56,"&gt;="&amp;4)))*CAPA3_EXPANSION!CM$36)</f>
        <v>4586.4</v>
      </c>
      <c r="CN11" s="298" t="n">
        <f aca="false">IF(COUNTIF(CAPA3_EXPANSION!$D$56:CN$56,"&gt;="&amp;4)=0,0,SUP_CONTROL!$C$8*IF($B11="V",1,IF($B11="D",(1+SUP_VOLUMEN!$C$26),(1+SUP_VOLUMEN!$C$27)))*INDEX(SUP_C3_EXPANSION!$C$6:$F$6,MIN(4,COUNTIF(CAPA3_EXPANSION!$D$56:CN$56,"&gt;="&amp;4)))*CAPA3_EXPANSION!CN$36)</f>
        <v>4586.4</v>
      </c>
      <c r="CO11" s="298" t="n">
        <f aca="false">IF(COUNTIF(CAPA3_EXPANSION!$D$56:CO$56,"&gt;="&amp;4)=0,0,SUP_CONTROL!$C$8*IF($B11="V",1,IF($B11="D",(1+SUP_VOLUMEN!$C$26),(1+SUP_VOLUMEN!$C$27)))*INDEX(SUP_C3_EXPANSION!$C$6:$F$6,MIN(4,COUNTIF(CAPA3_EXPANSION!$D$56:CO$56,"&gt;="&amp;4)))*CAPA3_EXPANSION!CO$36)</f>
        <v>4586.4</v>
      </c>
      <c r="CP11" s="298" t="n">
        <f aca="false">IF(COUNTIF(CAPA3_EXPANSION!$D$56:CP$56,"&gt;="&amp;4)=0,0,SUP_CONTROL!$C$8*IF($B11="V",1,IF($B11="D",(1+SUP_VOLUMEN!$C$26),(1+SUP_VOLUMEN!$C$27)))*INDEX(SUP_C3_EXPANSION!$C$6:$F$6,MIN(4,COUNTIF(CAPA3_EXPANSION!$D$56:CP$56,"&gt;="&amp;4)))*CAPA3_EXPANSION!CP$36)</f>
        <v>4586.4</v>
      </c>
      <c r="CQ11" s="298" t="n">
        <f aca="false">IF(COUNTIF(CAPA3_EXPANSION!$D$56:CQ$56,"&gt;="&amp;4)=0,0,SUP_CONTROL!$C$8*IF($B11="V",1,IF($B11="D",(1+SUP_VOLUMEN!$C$26),(1+SUP_VOLUMEN!$C$27)))*INDEX(SUP_C3_EXPANSION!$C$6:$F$6,MIN(4,COUNTIF(CAPA3_EXPANSION!$D$56:CQ$56,"&gt;="&amp;4)))*CAPA3_EXPANSION!CQ$36)</f>
        <v>4586.4</v>
      </c>
      <c r="CR11" s="298" t="n">
        <f aca="false">IF(COUNTIF(CAPA3_EXPANSION!$D$56:CR$56,"&gt;="&amp;4)=0,0,SUP_CONTROL!$C$8*IF($B11="V",1,IF($B11="D",(1+SUP_VOLUMEN!$C$26),(1+SUP_VOLUMEN!$C$27)))*INDEX(SUP_C3_EXPANSION!$C$6:$F$6,MIN(4,COUNTIF(CAPA3_EXPANSION!$D$56:CR$56,"&gt;="&amp;4)))*CAPA3_EXPANSION!CR$36)</f>
        <v>4586.4</v>
      </c>
      <c r="CS11" s="298" t="n">
        <f aca="false">IF(COUNTIF(CAPA3_EXPANSION!$D$56:CS$56,"&gt;="&amp;4)=0,0,SUP_CONTROL!$C$8*IF($B11="V",1,IF($B11="D",(1+SUP_VOLUMEN!$C$26),(1+SUP_VOLUMEN!$C$27)))*INDEX(SUP_C3_EXPANSION!$C$6:$F$6,MIN(4,COUNTIF(CAPA3_EXPANSION!$D$56:CS$56,"&gt;="&amp;4)))*CAPA3_EXPANSION!CS$36)</f>
        <v>4586.4</v>
      </c>
      <c r="CT11" s="298" t="n">
        <f aca="false">IF(COUNTIF(CAPA3_EXPANSION!$D$56:CT$56,"&gt;="&amp;4)=0,0,SUP_CONTROL!$C$8*IF($B11="V",1,IF($B11="D",(1+SUP_VOLUMEN!$C$26),(1+SUP_VOLUMEN!$C$27)))*INDEX(SUP_C3_EXPANSION!$C$6:$F$6,MIN(4,COUNTIF(CAPA3_EXPANSION!$D$56:CT$56,"&gt;="&amp;4)))*CAPA3_EXPANSION!CT$36)</f>
        <v>4586.4</v>
      </c>
      <c r="CU11" s="298" t="n">
        <f aca="false">IF(COUNTIF(CAPA3_EXPANSION!$D$56:CU$56,"&gt;="&amp;4)=0,0,SUP_CONTROL!$C$8*IF($B11="V",1,IF($B11="D",(1+SUP_VOLUMEN!$C$26),(1+SUP_VOLUMEN!$C$27)))*INDEX(SUP_C3_EXPANSION!$C$6:$F$6,MIN(4,COUNTIF(CAPA3_EXPANSION!$D$56:CU$56,"&gt;="&amp;4)))*CAPA3_EXPANSION!CU$36)</f>
        <v>4586.4</v>
      </c>
      <c r="CV11" s="298" t="n">
        <f aca="false">IF(COUNTIF(CAPA3_EXPANSION!$D$56:CV$56,"&gt;="&amp;4)=0,0,SUP_CONTROL!$C$8*IF($B11="V",1,IF($B11="D",(1+SUP_VOLUMEN!$C$26),(1+SUP_VOLUMEN!$C$27)))*INDEX(SUP_C3_EXPANSION!$C$6:$F$6,MIN(4,COUNTIF(CAPA3_EXPANSION!$D$56:CV$56,"&gt;="&amp;4)))*CAPA3_EXPANSION!CV$36)</f>
        <v>4586.4</v>
      </c>
      <c r="CW11" s="298" t="n">
        <f aca="false">IF(COUNTIF(CAPA3_EXPANSION!$D$56:CW$56,"&gt;="&amp;4)=0,0,SUP_CONTROL!$C$8*IF($B11="V",1,IF($B11="D",(1+SUP_VOLUMEN!$C$26),(1+SUP_VOLUMEN!$C$27)))*INDEX(SUP_C3_EXPANSION!$C$6:$F$6,MIN(4,COUNTIF(CAPA3_EXPANSION!$D$56:CW$56,"&gt;="&amp;4)))*CAPA3_EXPANSION!CW$36)</f>
        <v>4586.4</v>
      </c>
      <c r="CX11" s="298" t="n">
        <f aca="false">IF(COUNTIF(CAPA3_EXPANSION!$D$56:CX$56,"&gt;="&amp;4)=0,0,SUP_CONTROL!$C$8*IF($B11="V",1,IF($B11="D",(1+SUP_VOLUMEN!$C$26),(1+SUP_VOLUMEN!$C$27)))*INDEX(SUP_C3_EXPANSION!$C$6:$F$6,MIN(4,COUNTIF(CAPA3_EXPANSION!$D$56:CX$56,"&gt;="&amp;4)))*CAPA3_EXPANSION!CX$36)</f>
        <v>4586.4</v>
      </c>
      <c r="CY11" s="298" t="n">
        <f aca="false">IF(COUNTIF(CAPA3_EXPANSION!$D$56:CY$56,"&gt;="&amp;4)=0,0,SUP_CONTROL!$C$8*IF($B11="V",1,IF($B11="D",(1+SUP_VOLUMEN!$C$26),(1+SUP_VOLUMEN!$C$27)))*INDEX(SUP_C3_EXPANSION!$C$6:$F$6,MIN(4,COUNTIF(CAPA3_EXPANSION!$D$56:CY$56,"&gt;="&amp;4)))*CAPA3_EXPANSION!CY$36)</f>
        <v>4586.4</v>
      </c>
      <c r="CZ11" s="298" t="n">
        <f aca="false">IF(COUNTIF(CAPA3_EXPANSION!$D$56:CZ$56,"&gt;="&amp;4)=0,0,SUP_CONTROL!$C$8*IF($B11="V",1,IF($B11="D",(1+SUP_VOLUMEN!$C$26),(1+SUP_VOLUMEN!$C$27)))*INDEX(SUP_C3_EXPANSION!$C$6:$F$6,MIN(4,COUNTIF(CAPA3_EXPANSION!$D$56:CZ$56,"&gt;="&amp;4)))*CAPA3_EXPANSION!CZ$36)</f>
        <v>4586.4</v>
      </c>
      <c r="DA11" s="298" t="n">
        <f aca="false">IF(COUNTIF(CAPA3_EXPANSION!$D$56:DA$56,"&gt;="&amp;4)=0,0,SUP_CONTROL!$C$8*IF($B11="V",1,IF($B11="D",(1+SUP_VOLUMEN!$C$26),(1+SUP_VOLUMEN!$C$27)))*INDEX(SUP_C3_EXPANSION!$C$6:$F$6,MIN(4,COUNTIF(CAPA3_EXPANSION!$D$56:DA$56,"&gt;="&amp;4)))*CAPA3_EXPANSION!DA$36)</f>
        <v>4586.4</v>
      </c>
      <c r="DB11" s="298" t="n">
        <f aca="false">IF(COUNTIF(CAPA3_EXPANSION!$D$56:DB$56,"&gt;="&amp;4)=0,0,SUP_CONTROL!$C$8*IF($B11="V",1,IF($B11="D",(1+SUP_VOLUMEN!$C$26),(1+SUP_VOLUMEN!$C$27)))*INDEX(SUP_C3_EXPANSION!$C$6:$F$6,MIN(4,COUNTIF(CAPA3_EXPANSION!$D$56:DB$56,"&gt;="&amp;4)))*CAPA3_EXPANSION!DB$36)</f>
        <v>4586.4</v>
      </c>
      <c r="DC11" s="298" t="n">
        <f aca="false">IF(COUNTIF(CAPA3_EXPANSION!$D$56:DC$56,"&gt;="&amp;4)=0,0,SUP_CONTROL!$C$8*IF($B11="V",1,IF($B11="D",(1+SUP_VOLUMEN!$C$26),(1+SUP_VOLUMEN!$C$27)))*INDEX(SUP_C3_EXPANSION!$C$6:$F$6,MIN(4,COUNTIF(CAPA3_EXPANSION!$D$56:DC$56,"&gt;="&amp;4)))*CAPA3_EXPANSION!DC$36)</f>
        <v>4586.4</v>
      </c>
      <c r="DD11" s="298" t="n">
        <f aca="false">IF(COUNTIF(CAPA3_EXPANSION!$D$56:DD$56,"&gt;="&amp;4)=0,0,SUP_CONTROL!$C$8*IF($B11="V",1,IF($B11="D",(1+SUP_VOLUMEN!$C$26),(1+SUP_VOLUMEN!$C$27)))*INDEX(SUP_C3_EXPANSION!$C$6:$F$6,MIN(4,COUNTIF(CAPA3_EXPANSION!$D$56:DD$56,"&gt;="&amp;4)))*CAPA3_EXPANSION!DD$36)</f>
        <v>4586.4</v>
      </c>
      <c r="DE11" s="298" t="n">
        <f aca="false">IF(COUNTIF(CAPA3_EXPANSION!$D$56:DE$56,"&gt;="&amp;4)=0,0,SUP_CONTROL!$C$8*IF($B11="V",1,IF($B11="D",(1+SUP_VOLUMEN!$C$26),(1+SUP_VOLUMEN!$C$27)))*INDEX(SUP_C3_EXPANSION!$C$6:$F$6,MIN(4,COUNTIF(CAPA3_EXPANSION!$D$56:DE$56,"&gt;="&amp;4)))*CAPA3_EXPANSION!DE$36)</f>
        <v>4586.4</v>
      </c>
      <c r="DF11" s="298" t="n">
        <f aca="false">IF(COUNTIF(CAPA3_EXPANSION!$D$56:DF$56,"&gt;="&amp;4)=0,0,SUP_CONTROL!$C$8*IF($B11="V",1,IF($B11="D",(1+SUP_VOLUMEN!$C$26),(1+SUP_VOLUMEN!$C$27)))*INDEX(SUP_C3_EXPANSION!$C$6:$F$6,MIN(4,COUNTIF(CAPA3_EXPANSION!$D$56:DF$56,"&gt;="&amp;4)))*CAPA3_EXPANSION!DF$36)</f>
        <v>4586.4</v>
      </c>
      <c r="DG11" s="298" t="n">
        <f aca="false">IF(COUNTIF(CAPA3_EXPANSION!$D$56:DG$56,"&gt;="&amp;4)=0,0,SUP_CONTROL!$C$8*IF($B11="V",1,IF($B11="D",(1+SUP_VOLUMEN!$C$26),(1+SUP_VOLUMEN!$C$27)))*INDEX(SUP_C3_EXPANSION!$C$6:$F$6,MIN(4,COUNTIF(CAPA3_EXPANSION!$D$56:DG$56,"&gt;="&amp;4)))*CAPA3_EXPANSION!DG$36)</f>
        <v>4586.4</v>
      </c>
      <c r="DH11" s="298" t="n">
        <f aca="false">IF(COUNTIF(CAPA3_EXPANSION!$D$56:DH$56,"&gt;="&amp;4)=0,0,SUP_CONTROL!$C$8*IF($B11="V",1,IF($B11="D",(1+SUP_VOLUMEN!$C$26),(1+SUP_VOLUMEN!$C$27)))*INDEX(SUP_C3_EXPANSION!$C$6:$F$6,MIN(4,COUNTIF(CAPA3_EXPANSION!$D$56:DH$56,"&gt;="&amp;4)))*CAPA3_EXPANSION!DH$36)</f>
        <v>4586.4</v>
      </c>
      <c r="DI11" s="298" t="n">
        <f aca="false">IF(COUNTIF(CAPA3_EXPANSION!$D$56:DI$56,"&gt;="&amp;4)=0,0,SUP_CONTROL!$C$8*IF($B11="V",1,IF($B11="D",(1+SUP_VOLUMEN!$C$26),(1+SUP_VOLUMEN!$C$27)))*INDEX(SUP_C3_EXPANSION!$C$6:$F$6,MIN(4,COUNTIF(CAPA3_EXPANSION!$D$56:DI$56,"&gt;="&amp;4)))*CAPA3_EXPANSION!DI$36)</f>
        <v>4586.4</v>
      </c>
      <c r="DJ11" s="298" t="n">
        <f aca="false">IF(COUNTIF(CAPA3_EXPANSION!$D$56:DJ$56,"&gt;="&amp;4)=0,0,SUP_CONTROL!$C$8*IF($B11="V",1,IF($B11="D",(1+SUP_VOLUMEN!$C$26),(1+SUP_VOLUMEN!$C$27)))*INDEX(SUP_C3_EXPANSION!$C$6:$F$6,MIN(4,COUNTIF(CAPA3_EXPANSION!$D$56:DJ$56,"&gt;="&amp;4)))*CAPA3_EXPANSION!DJ$36)</f>
        <v>4586.4</v>
      </c>
      <c r="DK11" s="298" t="n">
        <f aca="false">IF(COUNTIF(CAPA3_EXPANSION!$D$56:DK$56,"&gt;="&amp;4)=0,0,SUP_CONTROL!$C$8*IF($B11="V",1,IF($B11="D",(1+SUP_VOLUMEN!$C$26),(1+SUP_VOLUMEN!$C$27)))*INDEX(SUP_C3_EXPANSION!$C$6:$F$6,MIN(4,COUNTIF(CAPA3_EXPANSION!$D$56:DK$56,"&gt;="&amp;4)))*CAPA3_EXPANSION!DK$36)</f>
        <v>4586.4</v>
      </c>
      <c r="DL11" s="298" t="n">
        <f aca="false">IF(COUNTIF(CAPA3_EXPANSION!$D$56:DL$56,"&gt;="&amp;4)=0,0,SUP_CONTROL!$C$8*IF($B11="V",1,IF($B11="D",(1+SUP_VOLUMEN!$C$26),(1+SUP_VOLUMEN!$C$27)))*INDEX(SUP_C3_EXPANSION!$C$6:$F$6,MIN(4,COUNTIF(CAPA3_EXPANSION!$D$56:DL$56,"&gt;="&amp;4)))*CAPA3_EXPANSION!DL$36)</f>
        <v>4586.4</v>
      </c>
      <c r="DM11" s="298" t="n">
        <f aca="false">IF(COUNTIF(CAPA3_EXPANSION!$D$56:DM$56,"&gt;="&amp;4)=0,0,SUP_CONTROL!$C$8*IF($B11="V",1,IF($B11="D",(1+SUP_VOLUMEN!$C$26),(1+SUP_VOLUMEN!$C$27)))*INDEX(SUP_C3_EXPANSION!$C$6:$F$6,MIN(4,COUNTIF(CAPA3_EXPANSION!$D$56:DM$56,"&gt;="&amp;4)))*CAPA3_EXPANSION!DM$36)</f>
        <v>4586.4</v>
      </c>
      <c r="DN11" s="298" t="n">
        <f aca="false">IF(COUNTIF(CAPA3_EXPANSION!$D$56:DN$56,"&gt;="&amp;4)=0,0,SUP_CONTROL!$C$8*IF($B11="V",1,IF($B11="D",(1+SUP_VOLUMEN!$C$26),(1+SUP_VOLUMEN!$C$27)))*INDEX(SUP_C3_EXPANSION!$C$6:$F$6,MIN(4,COUNTIF(CAPA3_EXPANSION!$D$56:DN$56,"&gt;="&amp;4)))*CAPA3_EXPANSION!DN$36)</f>
        <v>4586.4</v>
      </c>
      <c r="DO11" s="298" t="n">
        <f aca="false">IF(COUNTIF(CAPA3_EXPANSION!$D$56:DO$56,"&gt;="&amp;4)=0,0,SUP_CONTROL!$C$8*IF($B11="V",1,IF($B11="D",(1+SUP_VOLUMEN!$C$26),(1+SUP_VOLUMEN!$C$27)))*INDEX(SUP_C3_EXPANSION!$C$6:$F$6,MIN(4,COUNTIF(CAPA3_EXPANSION!$D$56:DO$56,"&gt;="&amp;4)))*CAPA3_EXPANSION!DO$36)</f>
        <v>4586.4</v>
      </c>
      <c r="DP11" s="298" t="n">
        <f aca="false">IF(COUNTIF(CAPA3_EXPANSION!$D$56:DP$56,"&gt;="&amp;4)=0,0,SUP_CONTROL!$C$8*IF($B11="V",1,IF($B11="D",(1+SUP_VOLUMEN!$C$26),(1+SUP_VOLUMEN!$C$27)))*INDEX(SUP_C3_EXPANSION!$C$6:$F$6,MIN(4,COUNTIF(CAPA3_EXPANSION!$D$56:DP$56,"&gt;="&amp;4)))*CAPA3_EXPANSION!DP$36)</f>
        <v>4586.4</v>
      </c>
      <c r="DQ11" s="298" t="n">
        <f aca="false">IF(COUNTIF(CAPA3_EXPANSION!$D$56:DQ$56,"&gt;="&amp;4)=0,0,SUP_CONTROL!$C$8*IF($B11="V",1,IF($B11="D",(1+SUP_VOLUMEN!$C$26),(1+SUP_VOLUMEN!$C$27)))*INDEX(SUP_C3_EXPANSION!$C$6:$F$6,MIN(4,COUNTIF(CAPA3_EXPANSION!$D$56:DQ$56,"&gt;="&amp;4)))*CAPA3_EXPANSION!DQ$36)</f>
        <v>4586.4</v>
      </c>
      <c r="DR11" s="298" t="n">
        <f aca="false">IF(COUNTIF(CAPA3_EXPANSION!$D$56:DR$56,"&gt;="&amp;4)=0,0,SUP_CONTROL!$C$8*IF($B11="V",1,IF($B11="D",(1+SUP_VOLUMEN!$C$26),(1+SUP_VOLUMEN!$C$27)))*INDEX(SUP_C3_EXPANSION!$C$6:$F$6,MIN(4,COUNTIF(CAPA3_EXPANSION!$D$56:DR$56,"&gt;="&amp;4)))*CAPA3_EXPANSION!DR$36)</f>
        <v>4586.4</v>
      </c>
      <c r="DS11" s="298" t="n">
        <f aca="false">IF(COUNTIF(CAPA3_EXPANSION!$D$56:DS$56,"&gt;="&amp;4)=0,0,SUP_CONTROL!$C$8*IF($B11="V",1,IF($B11="D",(1+SUP_VOLUMEN!$C$26),(1+SUP_VOLUMEN!$C$27)))*INDEX(SUP_C3_EXPANSION!$C$6:$F$6,MIN(4,COUNTIF(CAPA3_EXPANSION!$D$56:DS$56,"&gt;="&amp;4)))*CAPA3_EXPANSION!DS$36)</f>
        <v>4586.4</v>
      </c>
    </row>
    <row r="12" customFormat="false" ht="15" hidden="false" customHeight="true" outlineLevel="0" collapsed="false">
      <c r="A12" s="298" t="n">
        <v>15</v>
      </c>
      <c r="B12" s="497" t="str">
        <f aca="false">SUP_C3_EXPANSION!B24</f>
        <v>V</v>
      </c>
      <c r="C12" s="267" t="n">
        <f aca="false">SUP_C3_EXPANSION!G24</f>
        <v>30</v>
      </c>
      <c r="D12" s="298" t="n">
        <f aca="false">IF(COUNTIF(CAPA3_EXPANSION!$D$56:D$56,"&gt;="&amp;5)=0,0,SUP_CONTROL!$C$8*IF($B12="V",1,IF($B12="D",(1+SUP_VOLUMEN!$C$26),(1+SUP_VOLUMEN!$C$27)))*INDEX(SUP_C3_EXPANSION!$C$6:$F$6,MIN(4,COUNTIF(CAPA3_EXPANSION!$D$56:D$56,"&gt;="&amp;5)))*CAPA3_EXPANSION!D$36)</f>
        <v>0</v>
      </c>
      <c r="E12" s="298" t="n">
        <f aca="false">IF(COUNTIF(CAPA3_EXPANSION!$D$56:E$56,"&gt;="&amp;5)=0,0,SUP_CONTROL!$C$8*IF($B12="V",1,IF($B12="D",(1+SUP_VOLUMEN!$C$26),(1+SUP_VOLUMEN!$C$27)))*INDEX(SUP_C3_EXPANSION!$C$6:$F$6,MIN(4,COUNTIF(CAPA3_EXPANSION!$D$56:E$56,"&gt;="&amp;5)))*CAPA3_EXPANSION!E$36)</f>
        <v>0</v>
      </c>
      <c r="F12" s="298" t="n">
        <f aca="false">IF(COUNTIF(CAPA3_EXPANSION!$D$56:F$56,"&gt;="&amp;5)=0,0,SUP_CONTROL!$C$8*IF($B12="V",1,IF($B12="D",(1+SUP_VOLUMEN!$C$26),(1+SUP_VOLUMEN!$C$27)))*INDEX(SUP_C3_EXPANSION!$C$6:$F$6,MIN(4,COUNTIF(CAPA3_EXPANSION!$D$56:F$56,"&gt;="&amp;5)))*CAPA3_EXPANSION!F$36)</f>
        <v>0</v>
      </c>
      <c r="G12" s="298" t="n">
        <f aca="false">IF(COUNTIF(CAPA3_EXPANSION!$D$56:G$56,"&gt;="&amp;5)=0,0,SUP_CONTROL!$C$8*IF($B12="V",1,IF($B12="D",(1+SUP_VOLUMEN!$C$26),(1+SUP_VOLUMEN!$C$27)))*INDEX(SUP_C3_EXPANSION!$C$6:$F$6,MIN(4,COUNTIF(CAPA3_EXPANSION!$D$56:G$56,"&gt;="&amp;5)))*CAPA3_EXPANSION!G$36)</f>
        <v>0</v>
      </c>
      <c r="H12" s="298" t="n">
        <f aca="false">IF(COUNTIF(CAPA3_EXPANSION!$D$56:H$56,"&gt;="&amp;5)=0,0,SUP_CONTROL!$C$8*IF($B12="V",1,IF($B12="D",(1+SUP_VOLUMEN!$C$26),(1+SUP_VOLUMEN!$C$27)))*INDEX(SUP_C3_EXPANSION!$C$6:$F$6,MIN(4,COUNTIF(CAPA3_EXPANSION!$D$56:H$56,"&gt;="&amp;5)))*CAPA3_EXPANSION!H$36)</f>
        <v>0</v>
      </c>
      <c r="I12" s="298" t="n">
        <f aca="false">IF(COUNTIF(CAPA3_EXPANSION!$D$56:I$56,"&gt;="&amp;5)=0,0,SUP_CONTROL!$C$8*IF($B12="V",1,IF($B12="D",(1+SUP_VOLUMEN!$C$26),(1+SUP_VOLUMEN!$C$27)))*INDEX(SUP_C3_EXPANSION!$C$6:$F$6,MIN(4,COUNTIF(CAPA3_EXPANSION!$D$56:I$56,"&gt;="&amp;5)))*CAPA3_EXPANSION!I$36)</f>
        <v>0</v>
      </c>
      <c r="J12" s="298" t="n">
        <f aca="false">IF(COUNTIF(CAPA3_EXPANSION!$D$56:J$56,"&gt;="&amp;5)=0,0,SUP_CONTROL!$C$8*IF($B12="V",1,IF($B12="D",(1+SUP_VOLUMEN!$C$26),(1+SUP_VOLUMEN!$C$27)))*INDEX(SUP_C3_EXPANSION!$C$6:$F$6,MIN(4,COUNTIF(CAPA3_EXPANSION!$D$56:J$56,"&gt;="&amp;5)))*CAPA3_EXPANSION!J$36)</f>
        <v>0</v>
      </c>
      <c r="K12" s="298" t="n">
        <f aca="false">IF(COUNTIF(CAPA3_EXPANSION!$D$56:K$56,"&gt;="&amp;5)=0,0,SUP_CONTROL!$C$8*IF($B12="V",1,IF($B12="D",(1+SUP_VOLUMEN!$C$26),(1+SUP_VOLUMEN!$C$27)))*INDEX(SUP_C3_EXPANSION!$C$6:$F$6,MIN(4,COUNTIF(CAPA3_EXPANSION!$D$56:K$56,"&gt;="&amp;5)))*CAPA3_EXPANSION!K$36)</f>
        <v>0</v>
      </c>
      <c r="L12" s="298" t="n">
        <f aca="false">IF(COUNTIF(CAPA3_EXPANSION!$D$56:L$56,"&gt;="&amp;5)=0,0,SUP_CONTROL!$C$8*IF($B12="V",1,IF($B12="D",(1+SUP_VOLUMEN!$C$26),(1+SUP_VOLUMEN!$C$27)))*INDEX(SUP_C3_EXPANSION!$C$6:$F$6,MIN(4,COUNTIF(CAPA3_EXPANSION!$D$56:L$56,"&gt;="&amp;5)))*CAPA3_EXPANSION!L$36)</f>
        <v>0</v>
      </c>
      <c r="M12" s="298" t="n">
        <f aca="false">IF(COUNTIF(CAPA3_EXPANSION!$D$56:M$56,"&gt;="&amp;5)=0,0,SUP_CONTROL!$C$8*IF($B12="V",1,IF($B12="D",(1+SUP_VOLUMEN!$C$26),(1+SUP_VOLUMEN!$C$27)))*INDEX(SUP_C3_EXPANSION!$C$6:$F$6,MIN(4,COUNTIF(CAPA3_EXPANSION!$D$56:M$56,"&gt;="&amp;5)))*CAPA3_EXPANSION!M$36)</f>
        <v>0</v>
      </c>
      <c r="N12" s="298" t="n">
        <f aca="false">IF(COUNTIF(CAPA3_EXPANSION!$D$56:N$56,"&gt;="&amp;5)=0,0,SUP_CONTROL!$C$8*IF($B12="V",1,IF($B12="D",(1+SUP_VOLUMEN!$C$26),(1+SUP_VOLUMEN!$C$27)))*INDEX(SUP_C3_EXPANSION!$C$6:$F$6,MIN(4,COUNTIF(CAPA3_EXPANSION!$D$56:N$56,"&gt;="&amp;5)))*CAPA3_EXPANSION!N$36)</f>
        <v>0</v>
      </c>
      <c r="O12" s="298" t="n">
        <f aca="false">IF(COUNTIF(CAPA3_EXPANSION!$D$56:O$56,"&gt;="&amp;5)=0,0,SUP_CONTROL!$C$8*IF($B12="V",1,IF($B12="D",(1+SUP_VOLUMEN!$C$26),(1+SUP_VOLUMEN!$C$27)))*INDEX(SUP_C3_EXPANSION!$C$6:$F$6,MIN(4,COUNTIF(CAPA3_EXPANSION!$D$56:O$56,"&gt;="&amp;5)))*CAPA3_EXPANSION!O$36)</f>
        <v>0</v>
      </c>
      <c r="P12" s="298" t="n">
        <f aca="false">IF(COUNTIF(CAPA3_EXPANSION!$D$56:P$56,"&gt;="&amp;5)=0,0,SUP_CONTROL!$C$8*IF($B12="V",1,IF($B12="D",(1+SUP_VOLUMEN!$C$26),(1+SUP_VOLUMEN!$C$27)))*INDEX(SUP_C3_EXPANSION!$C$6:$F$6,MIN(4,COUNTIF(CAPA3_EXPANSION!$D$56:P$56,"&gt;="&amp;5)))*CAPA3_EXPANSION!P$36)</f>
        <v>0</v>
      </c>
      <c r="Q12" s="298" t="n">
        <f aca="false">IF(COUNTIF(CAPA3_EXPANSION!$D$56:Q$56,"&gt;="&amp;5)=0,0,SUP_CONTROL!$C$8*IF($B12="V",1,IF($B12="D",(1+SUP_VOLUMEN!$C$26),(1+SUP_VOLUMEN!$C$27)))*INDEX(SUP_C3_EXPANSION!$C$6:$F$6,MIN(4,COUNTIF(CAPA3_EXPANSION!$D$56:Q$56,"&gt;="&amp;5)))*CAPA3_EXPANSION!Q$36)</f>
        <v>0</v>
      </c>
      <c r="R12" s="298" t="n">
        <f aca="false">IF(COUNTIF(CAPA3_EXPANSION!$D$56:R$56,"&gt;="&amp;5)=0,0,SUP_CONTROL!$C$8*IF($B12="V",1,IF($B12="D",(1+SUP_VOLUMEN!$C$26),(1+SUP_VOLUMEN!$C$27)))*INDEX(SUP_C3_EXPANSION!$C$6:$F$6,MIN(4,COUNTIF(CAPA3_EXPANSION!$D$56:R$56,"&gt;="&amp;5)))*CAPA3_EXPANSION!R$36)</f>
        <v>0</v>
      </c>
      <c r="S12" s="298" t="n">
        <f aca="false">IF(COUNTIF(CAPA3_EXPANSION!$D$56:S$56,"&gt;="&amp;5)=0,0,SUP_CONTROL!$C$8*IF($B12="V",1,IF($B12="D",(1+SUP_VOLUMEN!$C$26),(1+SUP_VOLUMEN!$C$27)))*INDEX(SUP_C3_EXPANSION!$C$6:$F$6,MIN(4,COUNTIF(CAPA3_EXPANSION!$D$56:S$56,"&gt;="&amp;5)))*CAPA3_EXPANSION!S$36)</f>
        <v>0</v>
      </c>
      <c r="T12" s="298" t="n">
        <f aca="false">IF(COUNTIF(CAPA3_EXPANSION!$D$56:T$56,"&gt;="&amp;5)=0,0,SUP_CONTROL!$C$8*IF($B12="V",1,IF($B12="D",(1+SUP_VOLUMEN!$C$26),(1+SUP_VOLUMEN!$C$27)))*INDEX(SUP_C3_EXPANSION!$C$6:$F$6,MIN(4,COUNTIF(CAPA3_EXPANSION!$D$56:T$56,"&gt;="&amp;5)))*CAPA3_EXPANSION!T$36)</f>
        <v>0</v>
      </c>
      <c r="U12" s="298" t="n">
        <f aca="false">IF(COUNTIF(CAPA3_EXPANSION!$D$56:U$56,"&gt;="&amp;5)=0,0,SUP_CONTROL!$C$8*IF($B12="V",1,IF($B12="D",(1+SUP_VOLUMEN!$C$26),(1+SUP_VOLUMEN!$C$27)))*INDEX(SUP_C3_EXPANSION!$C$6:$F$6,MIN(4,COUNTIF(CAPA3_EXPANSION!$D$56:U$56,"&gt;="&amp;5)))*CAPA3_EXPANSION!U$36)</f>
        <v>0</v>
      </c>
      <c r="V12" s="298" t="n">
        <f aca="false">IF(COUNTIF(CAPA3_EXPANSION!$D$56:V$56,"&gt;="&amp;5)=0,0,SUP_CONTROL!$C$8*IF($B12="V",1,IF($B12="D",(1+SUP_VOLUMEN!$C$26),(1+SUP_VOLUMEN!$C$27)))*INDEX(SUP_C3_EXPANSION!$C$6:$F$6,MIN(4,COUNTIF(CAPA3_EXPANSION!$D$56:V$56,"&gt;="&amp;5)))*CAPA3_EXPANSION!V$36)</f>
        <v>0</v>
      </c>
      <c r="W12" s="298" t="n">
        <f aca="false">IF(COUNTIF(CAPA3_EXPANSION!$D$56:W$56,"&gt;="&amp;5)=0,0,SUP_CONTROL!$C$8*IF($B12="V",1,IF($B12="D",(1+SUP_VOLUMEN!$C$26),(1+SUP_VOLUMEN!$C$27)))*INDEX(SUP_C3_EXPANSION!$C$6:$F$6,MIN(4,COUNTIF(CAPA3_EXPANSION!$D$56:W$56,"&gt;="&amp;5)))*CAPA3_EXPANSION!W$36)</f>
        <v>0</v>
      </c>
      <c r="X12" s="298" t="n">
        <f aca="false">IF(COUNTIF(CAPA3_EXPANSION!$D$56:X$56,"&gt;="&amp;5)=0,0,SUP_CONTROL!$C$8*IF($B12="V",1,IF($B12="D",(1+SUP_VOLUMEN!$C$26),(1+SUP_VOLUMEN!$C$27)))*INDEX(SUP_C3_EXPANSION!$C$6:$F$6,MIN(4,COUNTIF(CAPA3_EXPANSION!$D$56:X$56,"&gt;="&amp;5)))*CAPA3_EXPANSION!X$36)</f>
        <v>0</v>
      </c>
      <c r="Y12" s="298" t="n">
        <f aca="false">IF(COUNTIF(CAPA3_EXPANSION!$D$56:Y$56,"&gt;="&amp;5)=0,0,SUP_CONTROL!$C$8*IF($B12="V",1,IF($B12="D",(1+SUP_VOLUMEN!$C$26),(1+SUP_VOLUMEN!$C$27)))*INDEX(SUP_C3_EXPANSION!$C$6:$F$6,MIN(4,COUNTIF(CAPA3_EXPANSION!$D$56:Y$56,"&gt;="&amp;5)))*CAPA3_EXPANSION!Y$36)</f>
        <v>0</v>
      </c>
      <c r="Z12" s="298" t="n">
        <f aca="false">IF(COUNTIF(CAPA3_EXPANSION!$D$56:Z$56,"&gt;="&amp;5)=0,0,SUP_CONTROL!$C$8*IF($B12="V",1,IF($B12="D",(1+SUP_VOLUMEN!$C$26),(1+SUP_VOLUMEN!$C$27)))*INDEX(SUP_C3_EXPANSION!$C$6:$F$6,MIN(4,COUNTIF(CAPA3_EXPANSION!$D$56:Z$56,"&gt;="&amp;5)))*CAPA3_EXPANSION!Z$36)</f>
        <v>0</v>
      </c>
      <c r="AA12" s="298" t="n">
        <f aca="false">IF(COUNTIF(CAPA3_EXPANSION!$D$56:AA$56,"&gt;="&amp;5)=0,0,SUP_CONTROL!$C$8*IF($B12="V",1,IF($B12="D",(1+SUP_VOLUMEN!$C$26),(1+SUP_VOLUMEN!$C$27)))*INDEX(SUP_C3_EXPANSION!$C$6:$F$6,MIN(4,COUNTIF(CAPA3_EXPANSION!$D$56:AA$56,"&gt;="&amp;5)))*CAPA3_EXPANSION!AA$36)</f>
        <v>0</v>
      </c>
      <c r="AB12" s="298" t="n">
        <f aca="false">IF(COUNTIF(CAPA3_EXPANSION!$D$56:AB$56,"&gt;="&amp;5)=0,0,SUP_CONTROL!$C$8*IF($B12="V",1,IF($B12="D",(1+SUP_VOLUMEN!$C$26),(1+SUP_VOLUMEN!$C$27)))*INDEX(SUP_C3_EXPANSION!$C$6:$F$6,MIN(4,COUNTIF(CAPA3_EXPANSION!$D$56:AB$56,"&gt;="&amp;5)))*CAPA3_EXPANSION!AB$36)</f>
        <v>0</v>
      </c>
      <c r="AC12" s="298" t="n">
        <f aca="false">IF(COUNTIF(CAPA3_EXPANSION!$D$56:AC$56,"&gt;="&amp;5)=0,0,SUP_CONTROL!$C$8*IF($B12="V",1,IF($B12="D",(1+SUP_VOLUMEN!$C$26),(1+SUP_VOLUMEN!$C$27)))*INDEX(SUP_C3_EXPANSION!$C$6:$F$6,MIN(4,COUNTIF(CAPA3_EXPANSION!$D$56:AC$56,"&gt;="&amp;5)))*CAPA3_EXPANSION!AC$36)</f>
        <v>0</v>
      </c>
      <c r="AD12" s="298" t="n">
        <f aca="false">IF(COUNTIF(CAPA3_EXPANSION!$D$56:AD$56,"&gt;="&amp;5)=0,0,SUP_CONTROL!$C$8*IF($B12="V",1,IF($B12="D",(1+SUP_VOLUMEN!$C$26),(1+SUP_VOLUMEN!$C$27)))*INDEX(SUP_C3_EXPANSION!$C$6:$F$6,MIN(4,COUNTIF(CAPA3_EXPANSION!$D$56:AD$56,"&gt;="&amp;5)))*CAPA3_EXPANSION!AD$36)</f>
        <v>0</v>
      </c>
      <c r="AE12" s="298" t="n">
        <f aca="false">IF(COUNTIF(CAPA3_EXPANSION!$D$56:AE$56,"&gt;="&amp;5)=0,0,SUP_CONTROL!$C$8*IF($B12="V",1,IF($B12="D",(1+SUP_VOLUMEN!$C$26),(1+SUP_VOLUMEN!$C$27)))*INDEX(SUP_C3_EXPANSION!$C$6:$F$6,MIN(4,COUNTIF(CAPA3_EXPANSION!$D$56:AE$56,"&gt;="&amp;5)))*CAPA3_EXPANSION!AE$36)</f>
        <v>0</v>
      </c>
      <c r="AF12" s="298" t="n">
        <f aca="false">IF(COUNTIF(CAPA3_EXPANSION!$D$56:AF$56,"&gt;="&amp;5)=0,0,SUP_CONTROL!$C$8*IF($B12="V",1,IF($B12="D",(1+SUP_VOLUMEN!$C$26),(1+SUP_VOLUMEN!$C$27)))*INDEX(SUP_C3_EXPANSION!$C$6:$F$6,MIN(4,COUNTIF(CAPA3_EXPANSION!$D$56:AF$56,"&gt;="&amp;5)))*CAPA3_EXPANSION!AF$36)</f>
        <v>0</v>
      </c>
      <c r="AG12" s="298" t="n">
        <f aca="false">IF(COUNTIF(CAPA3_EXPANSION!$D$56:AG$56,"&gt;="&amp;5)=0,0,SUP_CONTROL!$C$8*IF($B12="V",1,IF($B12="D",(1+SUP_VOLUMEN!$C$26),(1+SUP_VOLUMEN!$C$27)))*INDEX(SUP_C3_EXPANSION!$C$6:$F$6,MIN(4,COUNTIF(CAPA3_EXPANSION!$D$56:AG$56,"&gt;="&amp;5)))*CAPA3_EXPANSION!AG$36)</f>
        <v>0</v>
      </c>
      <c r="AH12" s="298" t="n">
        <f aca="false">IF(COUNTIF(CAPA3_EXPANSION!$D$56:AH$56,"&gt;="&amp;5)=0,0,SUP_CONTROL!$C$8*IF($B12="V",1,IF($B12="D",(1+SUP_VOLUMEN!$C$26),(1+SUP_VOLUMEN!$C$27)))*INDEX(SUP_C3_EXPANSION!$C$6:$F$6,MIN(4,COUNTIF(CAPA3_EXPANSION!$D$56:AH$56,"&gt;="&amp;5)))*CAPA3_EXPANSION!AH$36)</f>
        <v>0</v>
      </c>
      <c r="AI12" s="298" t="n">
        <f aca="false">IF(COUNTIF(CAPA3_EXPANSION!$D$56:AI$56,"&gt;="&amp;5)=0,0,SUP_CONTROL!$C$8*IF($B12="V",1,IF($B12="D",(1+SUP_VOLUMEN!$C$26),(1+SUP_VOLUMEN!$C$27)))*INDEX(SUP_C3_EXPANSION!$C$6:$F$6,MIN(4,COUNTIF(CAPA3_EXPANSION!$D$56:AI$56,"&gt;="&amp;5)))*CAPA3_EXPANSION!AI$36)</f>
        <v>0</v>
      </c>
      <c r="AJ12" s="298" t="n">
        <f aca="false">IF(COUNTIF(CAPA3_EXPANSION!$D$56:AJ$56,"&gt;="&amp;5)=0,0,SUP_CONTROL!$C$8*IF($B12="V",1,IF($B12="D",(1+SUP_VOLUMEN!$C$26),(1+SUP_VOLUMEN!$C$27)))*INDEX(SUP_C3_EXPANSION!$C$6:$F$6,MIN(4,COUNTIF(CAPA3_EXPANSION!$D$56:AJ$56,"&gt;="&amp;5)))*CAPA3_EXPANSION!AJ$36)</f>
        <v>2648.1</v>
      </c>
      <c r="AK12" s="298" t="n">
        <f aca="false">IF(COUNTIF(CAPA3_EXPANSION!$D$56:AK$56,"&gt;="&amp;5)=0,0,SUP_CONTROL!$C$8*IF($B12="V",1,IF($B12="D",(1+SUP_VOLUMEN!$C$26),(1+SUP_VOLUMEN!$C$27)))*INDEX(SUP_C3_EXPANSION!$C$6:$F$6,MIN(4,COUNTIF(CAPA3_EXPANSION!$D$56:AK$56,"&gt;="&amp;5)))*CAPA3_EXPANSION!AK$36)</f>
        <v>3259.2</v>
      </c>
      <c r="AL12" s="298" t="n">
        <f aca="false">IF(COUNTIF(CAPA3_EXPANSION!$D$56:AL$56,"&gt;="&amp;5)=0,0,SUP_CONTROL!$C$8*IF($B12="V",1,IF($B12="D",(1+SUP_VOLUMEN!$C$26),(1+SUP_VOLUMEN!$C$27)))*INDEX(SUP_C3_EXPANSION!$C$6:$F$6,MIN(4,COUNTIF(CAPA3_EXPANSION!$D$56:AL$56,"&gt;="&amp;5)))*CAPA3_EXPANSION!AL$36)</f>
        <v>3666.6</v>
      </c>
      <c r="AM12" s="298" t="n">
        <f aca="false">IF(COUNTIF(CAPA3_EXPANSION!$D$56:AM$56,"&gt;="&amp;5)=0,0,SUP_CONTROL!$C$8*IF($B12="V",1,IF($B12="D",(1+SUP_VOLUMEN!$C$26),(1+SUP_VOLUMEN!$C$27)))*INDEX(SUP_C3_EXPANSION!$C$6:$F$6,MIN(4,COUNTIF(CAPA3_EXPANSION!$D$56:AM$56,"&gt;="&amp;5)))*CAPA3_EXPANSION!AM$36)</f>
        <v>4074</v>
      </c>
      <c r="AN12" s="298" t="n">
        <f aca="false">IF(COUNTIF(CAPA3_EXPANSION!$D$56:AN$56,"&gt;="&amp;5)=0,0,SUP_CONTROL!$C$8*IF($B12="V",1,IF($B12="D",(1+SUP_VOLUMEN!$C$26),(1+SUP_VOLUMEN!$C$27)))*INDEX(SUP_C3_EXPANSION!$C$6:$F$6,MIN(4,COUNTIF(CAPA3_EXPANSION!$D$56:AN$56,"&gt;="&amp;5)))*CAPA3_EXPANSION!AN$36)</f>
        <v>4074</v>
      </c>
      <c r="AO12" s="298" t="n">
        <f aca="false">IF(COUNTIF(CAPA3_EXPANSION!$D$56:AO$56,"&gt;="&amp;5)=0,0,SUP_CONTROL!$C$8*IF($B12="V",1,IF($B12="D",(1+SUP_VOLUMEN!$C$26),(1+SUP_VOLUMEN!$C$27)))*INDEX(SUP_C3_EXPANSION!$C$6:$F$6,MIN(4,COUNTIF(CAPA3_EXPANSION!$D$56:AO$56,"&gt;="&amp;5)))*CAPA3_EXPANSION!AO$36)</f>
        <v>4074</v>
      </c>
      <c r="AP12" s="298" t="n">
        <f aca="false">IF(COUNTIF(CAPA3_EXPANSION!$D$56:AP$56,"&gt;="&amp;5)=0,0,SUP_CONTROL!$C$8*IF($B12="V",1,IF($B12="D",(1+SUP_VOLUMEN!$C$26),(1+SUP_VOLUMEN!$C$27)))*INDEX(SUP_C3_EXPANSION!$C$6:$F$6,MIN(4,COUNTIF(CAPA3_EXPANSION!$D$56:AP$56,"&gt;="&amp;5)))*CAPA3_EXPANSION!AP$36)</f>
        <v>3969</v>
      </c>
      <c r="AQ12" s="298" t="n">
        <f aca="false">IF(COUNTIF(CAPA3_EXPANSION!$D$56:AQ$56,"&gt;="&amp;5)=0,0,SUP_CONTROL!$C$8*IF($B12="V",1,IF($B12="D",(1+SUP_VOLUMEN!$C$26),(1+SUP_VOLUMEN!$C$27)))*INDEX(SUP_C3_EXPANSION!$C$6:$F$6,MIN(4,COUNTIF(CAPA3_EXPANSION!$D$56:AQ$56,"&gt;="&amp;5)))*CAPA3_EXPANSION!AQ$36)</f>
        <v>3969</v>
      </c>
      <c r="AR12" s="298" t="n">
        <f aca="false">IF(COUNTIF(CAPA3_EXPANSION!$D$56:AR$56,"&gt;="&amp;5)=0,0,SUP_CONTROL!$C$8*IF($B12="V",1,IF($B12="D",(1+SUP_VOLUMEN!$C$26),(1+SUP_VOLUMEN!$C$27)))*INDEX(SUP_C3_EXPANSION!$C$6:$F$6,MIN(4,COUNTIF(CAPA3_EXPANSION!$D$56:AR$56,"&gt;="&amp;5)))*CAPA3_EXPANSION!AR$36)</f>
        <v>3969</v>
      </c>
      <c r="AS12" s="298" t="n">
        <f aca="false">IF(COUNTIF(CAPA3_EXPANSION!$D$56:AS$56,"&gt;="&amp;5)=0,0,SUP_CONTROL!$C$8*IF($B12="V",1,IF($B12="D",(1+SUP_VOLUMEN!$C$26),(1+SUP_VOLUMEN!$C$27)))*INDEX(SUP_C3_EXPANSION!$C$6:$F$6,MIN(4,COUNTIF(CAPA3_EXPANSION!$D$56:AS$56,"&gt;="&amp;5)))*CAPA3_EXPANSION!AS$36)</f>
        <v>3969</v>
      </c>
      <c r="AT12" s="298" t="n">
        <f aca="false">IF(COUNTIF(CAPA3_EXPANSION!$D$56:AT$56,"&gt;="&amp;5)=0,0,SUP_CONTROL!$C$8*IF($B12="V",1,IF($B12="D",(1+SUP_VOLUMEN!$C$26),(1+SUP_VOLUMEN!$C$27)))*INDEX(SUP_C3_EXPANSION!$C$6:$F$6,MIN(4,COUNTIF(CAPA3_EXPANSION!$D$56:AT$56,"&gt;="&amp;5)))*CAPA3_EXPANSION!AT$36)</f>
        <v>3969</v>
      </c>
      <c r="AU12" s="298" t="n">
        <f aca="false">IF(COUNTIF(CAPA3_EXPANSION!$D$56:AU$56,"&gt;="&amp;5)=0,0,SUP_CONTROL!$C$8*IF($B12="V",1,IF($B12="D",(1+SUP_VOLUMEN!$C$26),(1+SUP_VOLUMEN!$C$27)))*INDEX(SUP_C3_EXPANSION!$C$6:$F$6,MIN(4,COUNTIF(CAPA3_EXPANSION!$D$56:AU$56,"&gt;="&amp;5)))*CAPA3_EXPANSION!AU$36)</f>
        <v>3969</v>
      </c>
      <c r="AV12" s="298" t="n">
        <f aca="false">IF(COUNTIF(CAPA3_EXPANSION!$D$56:AV$56,"&gt;="&amp;5)=0,0,SUP_CONTROL!$C$8*IF($B12="V",1,IF($B12="D",(1+SUP_VOLUMEN!$C$26),(1+SUP_VOLUMEN!$C$27)))*INDEX(SUP_C3_EXPANSION!$C$6:$F$6,MIN(4,COUNTIF(CAPA3_EXPANSION!$D$56:AV$56,"&gt;="&amp;5)))*CAPA3_EXPANSION!AV$36)</f>
        <v>3969</v>
      </c>
      <c r="AW12" s="298" t="n">
        <f aca="false">IF(COUNTIF(CAPA3_EXPANSION!$D$56:AW$56,"&gt;="&amp;5)=0,0,SUP_CONTROL!$C$8*IF($B12="V",1,IF($B12="D",(1+SUP_VOLUMEN!$C$26),(1+SUP_VOLUMEN!$C$27)))*INDEX(SUP_C3_EXPANSION!$C$6:$F$6,MIN(4,COUNTIF(CAPA3_EXPANSION!$D$56:AW$56,"&gt;="&amp;5)))*CAPA3_EXPANSION!AW$36)</f>
        <v>3969</v>
      </c>
      <c r="AX12" s="298" t="n">
        <f aca="false">IF(COUNTIF(CAPA3_EXPANSION!$D$56:AX$56,"&gt;="&amp;5)=0,0,SUP_CONTROL!$C$8*IF($B12="V",1,IF($B12="D",(1+SUP_VOLUMEN!$C$26),(1+SUP_VOLUMEN!$C$27)))*INDEX(SUP_C3_EXPANSION!$C$6:$F$6,MIN(4,COUNTIF(CAPA3_EXPANSION!$D$56:AX$56,"&gt;="&amp;5)))*CAPA3_EXPANSION!AX$36)</f>
        <v>3969</v>
      </c>
      <c r="AY12" s="298" t="n">
        <f aca="false">IF(COUNTIF(CAPA3_EXPANSION!$D$56:AY$56,"&gt;="&amp;5)=0,0,SUP_CONTROL!$C$8*IF($B12="V",1,IF($B12="D",(1+SUP_VOLUMEN!$C$26),(1+SUP_VOLUMEN!$C$27)))*INDEX(SUP_C3_EXPANSION!$C$6:$F$6,MIN(4,COUNTIF(CAPA3_EXPANSION!$D$56:AY$56,"&gt;="&amp;5)))*CAPA3_EXPANSION!AY$36)</f>
        <v>3969</v>
      </c>
      <c r="AZ12" s="298" t="n">
        <f aca="false">IF(COUNTIF(CAPA3_EXPANSION!$D$56:AZ$56,"&gt;="&amp;5)=0,0,SUP_CONTROL!$C$8*IF($B12="V",1,IF($B12="D",(1+SUP_VOLUMEN!$C$26),(1+SUP_VOLUMEN!$C$27)))*INDEX(SUP_C3_EXPANSION!$C$6:$F$6,MIN(4,COUNTIF(CAPA3_EXPANSION!$D$56:AZ$56,"&gt;="&amp;5)))*CAPA3_EXPANSION!AZ$36)</f>
        <v>3969</v>
      </c>
      <c r="BA12" s="298" t="n">
        <f aca="false">IF(COUNTIF(CAPA3_EXPANSION!$D$56:BA$56,"&gt;="&amp;5)=0,0,SUP_CONTROL!$C$8*IF($B12="V",1,IF($B12="D",(1+SUP_VOLUMEN!$C$26),(1+SUP_VOLUMEN!$C$27)))*INDEX(SUP_C3_EXPANSION!$C$6:$F$6,MIN(4,COUNTIF(CAPA3_EXPANSION!$D$56:BA$56,"&gt;="&amp;5)))*CAPA3_EXPANSION!BA$36)</f>
        <v>3969</v>
      </c>
      <c r="BB12" s="298" t="n">
        <f aca="false">IF(COUNTIF(CAPA3_EXPANSION!$D$56:BB$56,"&gt;="&amp;5)=0,0,SUP_CONTROL!$C$8*IF($B12="V",1,IF($B12="D",(1+SUP_VOLUMEN!$C$26),(1+SUP_VOLUMEN!$C$27)))*INDEX(SUP_C3_EXPANSION!$C$6:$F$6,MIN(4,COUNTIF(CAPA3_EXPANSION!$D$56:BB$56,"&gt;="&amp;5)))*CAPA3_EXPANSION!BB$36)</f>
        <v>3969</v>
      </c>
      <c r="BC12" s="298" t="n">
        <f aca="false">IF(COUNTIF(CAPA3_EXPANSION!$D$56:BC$56,"&gt;="&amp;5)=0,0,SUP_CONTROL!$C$8*IF($B12="V",1,IF($B12="D",(1+SUP_VOLUMEN!$C$26),(1+SUP_VOLUMEN!$C$27)))*INDEX(SUP_C3_EXPANSION!$C$6:$F$6,MIN(4,COUNTIF(CAPA3_EXPANSION!$D$56:BC$56,"&gt;="&amp;5)))*CAPA3_EXPANSION!BC$36)</f>
        <v>3969</v>
      </c>
      <c r="BD12" s="298" t="n">
        <f aca="false">IF(COUNTIF(CAPA3_EXPANSION!$D$56:BD$56,"&gt;="&amp;5)=0,0,SUP_CONTROL!$C$8*IF($B12="V",1,IF($B12="D",(1+SUP_VOLUMEN!$C$26),(1+SUP_VOLUMEN!$C$27)))*INDEX(SUP_C3_EXPANSION!$C$6:$F$6,MIN(4,COUNTIF(CAPA3_EXPANSION!$D$56:BD$56,"&gt;="&amp;5)))*CAPA3_EXPANSION!BD$36)</f>
        <v>3969</v>
      </c>
      <c r="BE12" s="298" t="n">
        <f aca="false">IF(COUNTIF(CAPA3_EXPANSION!$D$56:BE$56,"&gt;="&amp;5)=0,0,SUP_CONTROL!$C$8*IF($B12="V",1,IF($B12="D",(1+SUP_VOLUMEN!$C$26),(1+SUP_VOLUMEN!$C$27)))*INDEX(SUP_C3_EXPANSION!$C$6:$F$6,MIN(4,COUNTIF(CAPA3_EXPANSION!$D$56:BE$56,"&gt;="&amp;5)))*CAPA3_EXPANSION!BE$36)</f>
        <v>3969</v>
      </c>
      <c r="BF12" s="298" t="n">
        <f aca="false">IF(COUNTIF(CAPA3_EXPANSION!$D$56:BF$56,"&gt;="&amp;5)=0,0,SUP_CONTROL!$C$8*IF($B12="V",1,IF($B12="D",(1+SUP_VOLUMEN!$C$26),(1+SUP_VOLUMEN!$C$27)))*INDEX(SUP_C3_EXPANSION!$C$6:$F$6,MIN(4,COUNTIF(CAPA3_EXPANSION!$D$56:BF$56,"&gt;="&amp;5)))*CAPA3_EXPANSION!BF$36)</f>
        <v>3864</v>
      </c>
      <c r="BG12" s="298" t="n">
        <f aca="false">IF(COUNTIF(CAPA3_EXPANSION!$D$56:BG$56,"&gt;="&amp;5)=0,0,SUP_CONTROL!$C$8*IF($B12="V",1,IF($B12="D",(1+SUP_VOLUMEN!$C$26),(1+SUP_VOLUMEN!$C$27)))*INDEX(SUP_C3_EXPANSION!$C$6:$F$6,MIN(4,COUNTIF(CAPA3_EXPANSION!$D$56:BG$56,"&gt;="&amp;5)))*CAPA3_EXPANSION!BG$36)</f>
        <v>3864</v>
      </c>
      <c r="BH12" s="298" t="n">
        <f aca="false">IF(COUNTIF(CAPA3_EXPANSION!$D$56:BH$56,"&gt;="&amp;5)=0,0,SUP_CONTROL!$C$8*IF($B12="V",1,IF($B12="D",(1+SUP_VOLUMEN!$C$26),(1+SUP_VOLUMEN!$C$27)))*INDEX(SUP_C3_EXPANSION!$C$6:$F$6,MIN(4,COUNTIF(CAPA3_EXPANSION!$D$56:BH$56,"&gt;="&amp;5)))*CAPA3_EXPANSION!BH$36)</f>
        <v>3864</v>
      </c>
      <c r="BI12" s="298" t="n">
        <f aca="false">IF(COUNTIF(CAPA3_EXPANSION!$D$56:BI$56,"&gt;="&amp;5)=0,0,SUP_CONTROL!$C$8*IF($B12="V",1,IF($B12="D",(1+SUP_VOLUMEN!$C$26),(1+SUP_VOLUMEN!$C$27)))*INDEX(SUP_C3_EXPANSION!$C$6:$F$6,MIN(4,COUNTIF(CAPA3_EXPANSION!$D$56:BI$56,"&gt;="&amp;5)))*CAPA3_EXPANSION!BI$36)</f>
        <v>3864</v>
      </c>
      <c r="BJ12" s="298" t="n">
        <f aca="false">IF(COUNTIF(CAPA3_EXPANSION!$D$56:BJ$56,"&gt;="&amp;5)=0,0,SUP_CONTROL!$C$8*IF($B12="V",1,IF($B12="D",(1+SUP_VOLUMEN!$C$26),(1+SUP_VOLUMEN!$C$27)))*INDEX(SUP_C3_EXPANSION!$C$6:$F$6,MIN(4,COUNTIF(CAPA3_EXPANSION!$D$56:BJ$56,"&gt;="&amp;5)))*CAPA3_EXPANSION!BJ$36)</f>
        <v>3864</v>
      </c>
      <c r="BK12" s="298" t="n">
        <f aca="false">IF(COUNTIF(CAPA3_EXPANSION!$D$56:BK$56,"&gt;="&amp;5)=0,0,SUP_CONTROL!$C$8*IF($B12="V",1,IF($B12="D",(1+SUP_VOLUMEN!$C$26),(1+SUP_VOLUMEN!$C$27)))*INDEX(SUP_C3_EXPANSION!$C$6:$F$6,MIN(4,COUNTIF(CAPA3_EXPANSION!$D$56:BK$56,"&gt;="&amp;5)))*CAPA3_EXPANSION!BK$36)</f>
        <v>3780</v>
      </c>
      <c r="BL12" s="298" t="n">
        <f aca="false">IF(COUNTIF(CAPA3_EXPANSION!$D$56:BL$56,"&gt;="&amp;5)=0,0,SUP_CONTROL!$C$8*IF($B12="V",1,IF($B12="D",(1+SUP_VOLUMEN!$C$26),(1+SUP_VOLUMEN!$C$27)))*INDEX(SUP_C3_EXPANSION!$C$6:$F$6,MIN(4,COUNTIF(CAPA3_EXPANSION!$D$56:BL$56,"&gt;="&amp;5)))*CAPA3_EXPANSION!BL$36)</f>
        <v>3780</v>
      </c>
      <c r="BM12" s="298" t="n">
        <f aca="false">IF(COUNTIF(CAPA3_EXPANSION!$D$56:BM$56,"&gt;="&amp;5)=0,0,SUP_CONTROL!$C$8*IF($B12="V",1,IF($B12="D",(1+SUP_VOLUMEN!$C$26),(1+SUP_VOLUMEN!$C$27)))*INDEX(SUP_C3_EXPANSION!$C$6:$F$6,MIN(4,COUNTIF(CAPA3_EXPANSION!$D$56:BM$56,"&gt;="&amp;5)))*CAPA3_EXPANSION!BM$36)</f>
        <v>3780</v>
      </c>
      <c r="BN12" s="298" t="n">
        <f aca="false">IF(COUNTIF(CAPA3_EXPANSION!$D$56:BN$56,"&gt;="&amp;5)=0,0,SUP_CONTROL!$C$8*IF($B12="V",1,IF($B12="D",(1+SUP_VOLUMEN!$C$26),(1+SUP_VOLUMEN!$C$27)))*INDEX(SUP_C3_EXPANSION!$C$6:$F$6,MIN(4,COUNTIF(CAPA3_EXPANSION!$D$56:BN$56,"&gt;="&amp;5)))*CAPA3_EXPANSION!BN$36)</f>
        <v>3780</v>
      </c>
      <c r="BO12" s="298" t="n">
        <f aca="false">IF(COUNTIF(CAPA3_EXPANSION!$D$56:BO$56,"&gt;="&amp;5)=0,0,SUP_CONTROL!$C$8*IF($B12="V",1,IF($B12="D",(1+SUP_VOLUMEN!$C$26),(1+SUP_VOLUMEN!$C$27)))*INDEX(SUP_C3_EXPANSION!$C$6:$F$6,MIN(4,COUNTIF(CAPA3_EXPANSION!$D$56:BO$56,"&gt;="&amp;5)))*CAPA3_EXPANSION!BO$36)</f>
        <v>3780</v>
      </c>
      <c r="BP12" s="298" t="n">
        <f aca="false">IF(COUNTIF(CAPA3_EXPANSION!$D$56:BP$56,"&gt;="&amp;5)=0,0,SUP_CONTROL!$C$8*IF($B12="V",1,IF($B12="D",(1+SUP_VOLUMEN!$C$26),(1+SUP_VOLUMEN!$C$27)))*INDEX(SUP_C3_EXPANSION!$C$6:$F$6,MIN(4,COUNTIF(CAPA3_EXPANSION!$D$56:BP$56,"&gt;="&amp;5)))*CAPA3_EXPANSION!BP$36)</f>
        <v>3780</v>
      </c>
      <c r="BQ12" s="298" t="n">
        <f aca="false">IF(COUNTIF(CAPA3_EXPANSION!$D$56:BQ$56,"&gt;="&amp;5)=0,0,SUP_CONTROL!$C$8*IF($B12="V",1,IF($B12="D",(1+SUP_VOLUMEN!$C$26),(1+SUP_VOLUMEN!$C$27)))*INDEX(SUP_C3_EXPANSION!$C$6:$F$6,MIN(4,COUNTIF(CAPA3_EXPANSION!$D$56:BQ$56,"&gt;="&amp;5)))*CAPA3_EXPANSION!BQ$36)</f>
        <v>3696</v>
      </c>
      <c r="BR12" s="298" t="n">
        <f aca="false">IF(COUNTIF(CAPA3_EXPANSION!$D$56:BR$56,"&gt;="&amp;5)=0,0,SUP_CONTROL!$C$8*IF($B12="V",1,IF($B12="D",(1+SUP_VOLUMEN!$C$26),(1+SUP_VOLUMEN!$C$27)))*INDEX(SUP_C3_EXPANSION!$C$6:$F$6,MIN(4,COUNTIF(CAPA3_EXPANSION!$D$56:BR$56,"&gt;="&amp;5)))*CAPA3_EXPANSION!BR$36)</f>
        <v>3696</v>
      </c>
      <c r="BS12" s="298" t="n">
        <f aca="false">IF(COUNTIF(CAPA3_EXPANSION!$D$56:BS$56,"&gt;="&amp;5)=0,0,SUP_CONTROL!$C$8*IF($B12="V",1,IF($B12="D",(1+SUP_VOLUMEN!$C$26),(1+SUP_VOLUMEN!$C$27)))*INDEX(SUP_C3_EXPANSION!$C$6:$F$6,MIN(4,COUNTIF(CAPA3_EXPANSION!$D$56:BS$56,"&gt;="&amp;5)))*CAPA3_EXPANSION!BS$36)</f>
        <v>3696</v>
      </c>
      <c r="BT12" s="298" t="n">
        <f aca="false">IF(COUNTIF(CAPA3_EXPANSION!$D$56:BT$56,"&gt;="&amp;5)=0,0,SUP_CONTROL!$C$8*IF($B12="V",1,IF($B12="D",(1+SUP_VOLUMEN!$C$26),(1+SUP_VOLUMEN!$C$27)))*INDEX(SUP_C3_EXPANSION!$C$6:$F$6,MIN(4,COUNTIF(CAPA3_EXPANSION!$D$56:BT$56,"&gt;="&amp;5)))*CAPA3_EXPANSION!BT$36)</f>
        <v>3696</v>
      </c>
      <c r="BU12" s="298" t="n">
        <f aca="false">IF(COUNTIF(CAPA3_EXPANSION!$D$56:BU$56,"&gt;="&amp;5)=0,0,SUP_CONTROL!$C$8*IF($B12="V",1,IF($B12="D",(1+SUP_VOLUMEN!$C$26),(1+SUP_VOLUMEN!$C$27)))*INDEX(SUP_C3_EXPANSION!$C$6:$F$6,MIN(4,COUNTIF(CAPA3_EXPANSION!$D$56:BU$56,"&gt;="&amp;5)))*CAPA3_EXPANSION!BU$36)</f>
        <v>3696</v>
      </c>
      <c r="BV12" s="298" t="n">
        <f aca="false">IF(COUNTIF(CAPA3_EXPANSION!$D$56:BV$56,"&gt;="&amp;5)=0,0,SUP_CONTROL!$C$8*IF($B12="V",1,IF($B12="D",(1+SUP_VOLUMEN!$C$26),(1+SUP_VOLUMEN!$C$27)))*INDEX(SUP_C3_EXPANSION!$C$6:$F$6,MIN(4,COUNTIF(CAPA3_EXPANSION!$D$56:BV$56,"&gt;="&amp;5)))*CAPA3_EXPANSION!BV$36)</f>
        <v>3696</v>
      </c>
      <c r="BW12" s="298" t="n">
        <f aca="false">IF(COUNTIF(CAPA3_EXPANSION!$D$56:BW$56,"&gt;="&amp;5)=0,0,SUP_CONTROL!$C$8*IF($B12="V",1,IF($B12="D",(1+SUP_VOLUMEN!$C$26),(1+SUP_VOLUMEN!$C$27)))*INDEX(SUP_C3_EXPANSION!$C$6:$F$6,MIN(4,COUNTIF(CAPA3_EXPANSION!$D$56:BW$56,"&gt;="&amp;5)))*CAPA3_EXPANSION!BW$36)</f>
        <v>3633</v>
      </c>
      <c r="BX12" s="298" t="n">
        <f aca="false">IF(COUNTIF(CAPA3_EXPANSION!$D$56:BX$56,"&gt;="&amp;5)=0,0,SUP_CONTROL!$C$8*IF($B12="V",1,IF($B12="D",(1+SUP_VOLUMEN!$C$26),(1+SUP_VOLUMEN!$C$27)))*INDEX(SUP_C3_EXPANSION!$C$6:$F$6,MIN(4,COUNTIF(CAPA3_EXPANSION!$D$56:BX$56,"&gt;="&amp;5)))*CAPA3_EXPANSION!BX$36)</f>
        <v>3633</v>
      </c>
      <c r="BY12" s="298" t="n">
        <f aca="false">IF(COUNTIF(CAPA3_EXPANSION!$D$56:BY$56,"&gt;="&amp;5)=0,0,SUP_CONTROL!$C$8*IF($B12="V",1,IF($B12="D",(1+SUP_VOLUMEN!$C$26),(1+SUP_VOLUMEN!$C$27)))*INDEX(SUP_C3_EXPANSION!$C$6:$F$6,MIN(4,COUNTIF(CAPA3_EXPANSION!$D$56:BY$56,"&gt;="&amp;5)))*CAPA3_EXPANSION!BY$36)</f>
        <v>3633</v>
      </c>
      <c r="BZ12" s="298" t="n">
        <f aca="false">IF(COUNTIF(CAPA3_EXPANSION!$D$56:BZ$56,"&gt;="&amp;5)=0,0,SUP_CONTROL!$C$8*IF($B12="V",1,IF($B12="D",(1+SUP_VOLUMEN!$C$26),(1+SUP_VOLUMEN!$C$27)))*INDEX(SUP_C3_EXPANSION!$C$6:$F$6,MIN(4,COUNTIF(CAPA3_EXPANSION!$D$56:BZ$56,"&gt;="&amp;5)))*CAPA3_EXPANSION!BZ$36)</f>
        <v>3633</v>
      </c>
      <c r="CA12" s="298" t="n">
        <f aca="false">IF(COUNTIF(CAPA3_EXPANSION!$D$56:CA$56,"&gt;="&amp;5)=0,0,SUP_CONTROL!$C$8*IF($B12="V",1,IF($B12="D",(1+SUP_VOLUMEN!$C$26),(1+SUP_VOLUMEN!$C$27)))*INDEX(SUP_C3_EXPANSION!$C$6:$F$6,MIN(4,COUNTIF(CAPA3_EXPANSION!$D$56:CA$56,"&gt;="&amp;5)))*CAPA3_EXPANSION!CA$36)</f>
        <v>3633</v>
      </c>
      <c r="CB12" s="298" t="n">
        <f aca="false">IF(COUNTIF(CAPA3_EXPANSION!$D$56:CB$56,"&gt;="&amp;5)=0,0,SUP_CONTROL!$C$8*IF($B12="V",1,IF($B12="D",(1+SUP_VOLUMEN!$C$26),(1+SUP_VOLUMEN!$C$27)))*INDEX(SUP_C3_EXPANSION!$C$6:$F$6,MIN(4,COUNTIF(CAPA3_EXPANSION!$D$56:CB$56,"&gt;="&amp;5)))*CAPA3_EXPANSION!CB$36)</f>
        <v>3570</v>
      </c>
      <c r="CC12" s="298" t="n">
        <f aca="false">IF(COUNTIF(CAPA3_EXPANSION!$D$56:CC$56,"&gt;="&amp;5)=0,0,SUP_CONTROL!$C$8*IF($B12="V",1,IF($B12="D",(1+SUP_VOLUMEN!$C$26),(1+SUP_VOLUMEN!$C$27)))*INDEX(SUP_C3_EXPANSION!$C$6:$F$6,MIN(4,COUNTIF(CAPA3_EXPANSION!$D$56:CC$56,"&gt;="&amp;5)))*CAPA3_EXPANSION!CC$36)</f>
        <v>3570</v>
      </c>
      <c r="CD12" s="298" t="n">
        <f aca="false">IF(COUNTIF(CAPA3_EXPANSION!$D$56:CD$56,"&gt;="&amp;5)=0,0,SUP_CONTROL!$C$8*IF($B12="V",1,IF($B12="D",(1+SUP_VOLUMEN!$C$26),(1+SUP_VOLUMEN!$C$27)))*INDEX(SUP_C3_EXPANSION!$C$6:$F$6,MIN(4,COUNTIF(CAPA3_EXPANSION!$D$56:CD$56,"&gt;="&amp;5)))*CAPA3_EXPANSION!CD$36)</f>
        <v>3570</v>
      </c>
      <c r="CE12" s="298" t="n">
        <f aca="false">IF(COUNTIF(CAPA3_EXPANSION!$D$56:CE$56,"&gt;="&amp;5)=0,0,SUP_CONTROL!$C$8*IF($B12="V",1,IF($B12="D",(1+SUP_VOLUMEN!$C$26),(1+SUP_VOLUMEN!$C$27)))*INDEX(SUP_C3_EXPANSION!$C$6:$F$6,MIN(4,COUNTIF(CAPA3_EXPANSION!$D$56:CE$56,"&gt;="&amp;5)))*CAPA3_EXPANSION!CE$36)</f>
        <v>3570</v>
      </c>
      <c r="CF12" s="298" t="n">
        <f aca="false">IF(COUNTIF(CAPA3_EXPANSION!$D$56:CF$56,"&gt;="&amp;5)=0,0,SUP_CONTROL!$C$8*IF($B12="V",1,IF($B12="D",(1+SUP_VOLUMEN!$C$26),(1+SUP_VOLUMEN!$C$27)))*INDEX(SUP_C3_EXPANSION!$C$6:$F$6,MIN(4,COUNTIF(CAPA3_EXPANSION!$D$56:CF$56,"&gt;="&amp;5)))*CAPA3_EXPANSION!CF$36)</f>
        <v>3570</v>
      </c>
      <c r="CG12" s="298" t="n">
        <f aca="false">IF(COUNTIF(CAPA3_EXPANSION!$D$56:CG$56,"&gt;="&amp;5)=0,0,SUP_CONTROL!$C$8*IF($B12="V",1,IF($B12="D",(1+SUP_VOLUMEN!$C$26),(1+SUP_VOLUMEN!$C$27)))*INDEX(SUP_C3_EXPANSION!$C$6:$F$6,MIN(4,COUNTIF(CAPA3_EXPANSION!$D$56:CG$56,"&gt;="&amp;5)))*CAPA3_EXPANSION!CG$36)</f>
        <v>3528</v>
      </c>
      <c r="CH12" s="298" t="n">
        <f aca="false">IF(COUNTIF(CAPA3_EXPANSION!$D$56:CH$56,"&gt;="&amp;5)=0,0,SUP_CONTROL!$C$8*IF($B12="V",1,IF($B12="D",(1+SUP_VOLUMEN!$C$26),(1+SUP_VOLUMEN!$C$27)))*INDEX(SUP_C3_EXPANSION!$C$6:$F$6,MIN(4,COUNTIF(CAPA3_EXPANSION!$D$56:CH$56,"&gt;="&amp;5)))*CAPA3_EXPANSION!CH$36)</f>
        <v>3528</v>
      </c>
      <c r="CI12" s="298" t="n">
        <f aca="false">IF(COUNTIF(CAPA3_EXPANSION!$D$56:CI$56,"&gt;="&amp;5)=0,0,SUP_CONTROL!$C$8*IF($B12="V",1,IF($B12="D",(1+SUP_VOLUMEN!$C$26),(1+SUP_VOLUMEN!$C$27)))*INDEX(SUP_C3_EXPANSION!$C$6:$F$6,MIN(4,COUNTIF(CAPA3_EXPANSION!$D$56:CI$56,"&gt;="&amp;5)))*CAPA3_EXPANSION!CI$36)</f>
        <v>3528</v>
      </c>
      <c r="CJ12" s="298" t="n">
        <f aca="false">IF(COUNTIF(CAPA3_EXPANSION!$D$56:CJ$56,"&gt;="&amp;5)=0,0,SUP_CONTROL!$C$8*IF($B12="V",1,IF($B12="D",(1+SUP_VOLUMEN!$C$26),(1+SUP_VOLUMEN!$C$27)))*INDEX(SUP_C3_EXPANSION!$C$6:$F$6,MIN(4,COUNTIF(CAPA3_EXPANSION!$D$56:CJ$56,"&gt;="&amp;5)))*CAPA3_EXPANSION!CJ$36)</f>
        <v>3528</v>
      </c>
      <c r="CK12" s="298" t="n">
        <f aca="false">IF(COUNTIF(CAPA3_EXPANSION!$D$56:CK$56,"&gt;="&amp;5)=0,0,SUP_CONTROL!$C$8*IF($B12="V",1,IF($B12="D",(1+SUP_VOLUMEN!$C$26),(1+SUP_VOLUMEN!$C$27)))*INDEX(SUP_C3_EXPANSION!$C$6:$F$6,MIN(4,COUNTIF(CAPA3_EXPANSION!$D$56:CK$56,"&gt;="&amp;5)))*CAPA3_EXPANSION!CK$36)</f>
        <v>3528</v>
      </c>
      <c r="CL12" s="298" t="n">
        <f aca="false">IF(COUNTIF(CAPA3_EXPANSION!$D$56:CL$56,"&gt;="&amp;5)=0,0,SUP_CONTROL!$C$8*IF($B12="V",1,IF($B12="D",(1+SUP_VOLUMEN!$C$26),(1+SUP_VOLUMEN!$C$27)))*INDEX(SUP_C3_EXPANSION!$C$6:$F$6,MIN(4,COUNTIF(CAPA3_EXPANSION!$D$56:CL$56,"&gt;="&amp;5)))*CAPA3_EXPANSION!CL$36)</f>
        <v>3528</v>
      </c>
      <c r="CM12" s="298" t="n">
        <f aca="false">IF(COUNTIF(CAPA3_EXPANSION!$D$56:CM$56,"&gt;="&amp;5)=0,0,SUP_CONTROL!$C$8*IF($B12="V",1,IF($B12="D",(1+SUP_VOLUMEN!$C$26),(1+SUP_VOLUMEN!$C$27)))*INDEX(SUP_C3_EXPANSION!$C$6:$F$6,MIN(4,COUNTIF(CAPA3_EXPANSION!$D$56:CM$56,"&gt;="&amp;5)))*CAPA3_EXPANSION!CM$36)</f>
        <v>3528</v>
      </c>
      <c r="CN12" s="298" t="n">
        <f aca="false">IF(COUNTIF(CAPA3_EXPANSION!$D$56:CN$56,"&gt;="&amp;5)=0,0,SUP_CONTROL!$C$8*IF($B12="V",1,IF($B12="D",(1+SUP_VOLUMEN!$C$26),(1+SUP_VOLUMEN!$C$27)))*INDEX(SUP_C3_EXPANSION!$C$6:$F$6,MIN(4,COUNTIF(CAPA3_EXPANSION!$D$56:CN$56,"&gt;="&amp;5)))*CAPA3_EXPANSION!CN$36)</f>
        <v>3528</v>
      </c>
      <c r="CO12" s="298" t="n">
        <f aca="false">IF(COUNTIF(CAPA3_EXPANSION!$D$56:CO$56,"&gt;="&amp;5)=0,0,SUP_CONTROL!$C$8*IF($B12="V",1,IF($B12="D",(1+SUP_VOLUMEN!$C$26),(1+SUP_VOLUMEN!$C$27)))*INDEX(SUP_C3_EXPANSION!$C$6:$F$6,MIN(4,COUNTIF(CAPA3_EXPANSION!$D$56:CO$56,"&gt;="&amp;5)))*CAPA3_EXPANSION!CO$36)</f>
        <v>3528</v>
      </c>
      <c r="CP12" s="298" t="n">
        <f aca="false">IF(COUNTIF(CAPA3_EXPANSION!$D$56:CP$56,"&gt;="&amp;5)=0,0,SUP_CONTROL!$C$8*IF($B12="V",1,IF($B12="D",(1+SUP_VOLUMEN!$C$26),(1+SUP_VOLUMEN!$C$27)))*INDEX(SUP_C3_EXPANSION!$C$6:$F$6,MIN(4,COUNTIF(CAPA3_EXPANSION!$D$56:CP$56,"&gt;="&amp;5)))*CAPA3_EXPANSION!CP$36)</f>
        <v>3528</v>
      </c>
      <c r="CQ12" s="298" t="n">
        <f aca="false">IF(COUNTIF(CAPA3_EXPANSION!$D$56:CQ$56,"&gt;="&amp;5)=0,0,SUP_CONTROL!$C$8*IF($B12="V",1,IF($B12="D",(1+SUP_VOLUMEN!$C$26),(1+SUP_VOLUMEN!$C$27)))*INDEX(SUP_C3_EXPANSION!$C$6:$F$6,MIN(4,COUNTIF(CAPA3_EXPANSION!$D$56:CQ$56,"&gt;="&amp;5)))*CAPA3_EXPANSION!CQ$36)</f>
        <v>3528</v>
      </c>
      <c r="CR12" s="298" t="n">
        <f aca="false">IF(COUNTIF(CAPA3_EXPANSION!$D$56:CR$56,"&gt;="&amp;5)=0,0,SUP_CONTROL!$C$8*IF($B12="V",1,IF($B12="D",(1+SUP_VOLUMEN!$C$26),(1+SUP_VOLUMEN!$C$27)))*INDEX(SUP_C3_EXPANSION!$C$6:$F$6,MIN(4,COUNTIF(CAPA3_EXPANSION!$D$56:CR$56,"&gt;="&amp;5)))*CAPA3_EXPANSION!CR$36)</f>
        <v>3528</v>
      </c>
      <c r="CS12" s="298" t="n">
        <f aca="false">IF(COUNTIF(CAPA3_EXPANSION!$D$56:CS$56,"&gt;="&amp;5)=0,0,SUP_CONTROL!$C$8*IF($B12="V",1,IF($B12="D",(1+SUP_VOLUMEN!$C$26),(1+SUP_VOLUMEN!$C$27)))*INDEX(SUP_C3_EXPANSION!$C$6:$F$6,MIN(4,COUNTIF(CAPA3_EXPANSION!$D$56:CS$56,"&gt;="&amp;5)))*CAPA3_EXPANSION!CS$36)</f>
        <v>3528</v>
      </c>
      <c r="CT12" s="298" t="n">
        <f aca="false">IF(COUNTIF(CAPA3_EXPANSION!$D$56:CT$56,"&gt;="&amp;5)=0,0,SUP_CONTROL!$C$8*IF($B12="V",1,IF($B12="D",(1+SUP_VOLUMEN!$C$26),(1+SUP_VOLUMEN!$C$27)))*INDEX(SUP_C3_EXPANSION!$C$6:$F$6,MIN(4,COUNTIF(CAPA3_EXPANSION!$D$56:CT$56,"&gt;="&amp;5)))*CAPA3_EXPANSION!CT$36)</f>
        <v>3528</v>
      </c>
      <c r="CU12" s="298" t="n">
        <f aca="false">IF(COUNTIF(CAPA3_EXPANSION!$D$56:CU$56,"&gt;="&amp;5)=0,0,SUP_CONTROL!$C$8*IF($B12="V",1,IF($B12="D",(1+SUP_VOLUMEN!$C$26),(1+SUP_VOLUMEN!$C$27)))*INDEX(SUP_C3_EXPANSION!$C$6:$F$6,MIN(4,COUNTIF(CAPA3_EXPANSION!$D$56:CU$56,"&gt;="&amp;5)))*CAPA3_EXPANSION!CU$36)</f>
        <v>3528</v>
      </c>
      <c r="CV12" s="298" t="n">
        <f aca="false">IF(COUNTIF(CAPA3_EXPANSION!$D$56:CV$56,"&gt;="&amp;5)=0,0,SUP_CONTROL!$C$8*IF($B12="V",1,IF($B12="D",(1+SUP_VOLUMEN!$C$26),(1+SUP_VOLUMEN!$C$27)))*INDEX(SUP_C3_EXPANSION!$C$6:$F$6,MIN(4,COUNTIF(CAPA3_EXPANSION!$D$56:CV$56,"&gt;="&amp;5)))*CAPA3_EXPANSION!CV$36)</f>
        <v>3528</v>
      </c>
      <c r="CW12" s="298" t="n">
        <f aca="false">IF(COUNTIF(CAPA3_EXPANSION!$D$56:CW$56,"&gt;="&amp;5)=0,0,SUP_CONTROL!$C$8*IF($B12="V",1,IF($B12="D",(1+SUP_VOLUMEN!$C$26),(1+SUP_VOLUMEN!$C$27)))*INDEX(SUP_C3_EXPANSION!$C$6:$F$6,MIN(4,COUNTIF(CAPA3_EXPANSION!$D$56:CW$56,"&gt;="&amp;5)))*CAPA3_EXPANSION!CW$36)</f>
        <v>3528</v>
      </c>
      <c r="CX12" s="298" t="n">
        <f aca="false">IF(COUNTIF(CAPA3_EXPANSION!$D$56:CX$56,"&gt;="&amp;5)=0,0,SUP_CONTROL!$C$8*IF($B12="V",1,IF($B12="D",(1+SUP_VOLUMEN!$C$26),(1+SUP_VOLUMEN!$C$27)))*INDEX(SUP_C3_EXPANSION!$C$6:$F$6,MIN(4,COUNTIF(CAPA3_EXPANSION!$D$56:CX$56,"&gt;="&amp;5)))*CAPA3_EXPANSION!CX$36)</f>
        <v>3528</v>
      </c>
      <c r="CY12" s="298" t="n">
        <f aca="false">IF(COUNTIF(CAPA3_EXPANSION!$D$56:CY$56,"&gt;="&amp;5)=0,0,SUP_CONTROL!$C$8*IF($B12="V",1,IF($B12="D",(1+SUP_VOLUMEN!$C$26),(1+SUP_VOLUMEN!$C$27)))*INDEX(SUP_C3_EXPANSION!$C$6:$F$6,MIN(4,COUNTIF(CAPA3_EXPANSION!$D$56:CY$56,"&gt;="&amp;5)))*CAPA3_EXPANSION!CY$36)</f>
        <v>3528</v>
      </c>
      <c r="CZ12" s="298" t="n">
        <f aca="false">IF(COUNTIF(CAPA3_EXPANSION!$D$56:CZ$56,"&gt;="&amp;5)=0,0,SUP_CONTROL!$C$8*IF($B12="V",1,IF($B12="D",(1+SUP_VOLUMEN!$C$26),(1+SUP_VOLUMEN!$C$27)))*INDEX(SUP_C3_EXPANSION!$C$6:$F$6,MIN(4,COUNTIF(CAPA3_EXPANSION!$D$56:CZ$56,"&gt;="&amp;5)))*CAPA3_EXPANSION!CZ$36)</f>
        <v>3528</v>
      </c>
      <c r="DA12" s="298" t="n">
        <f aca="false">IF(COUNTIF(CAPA3_EXPANSION!$D$56:DA$56,"&gt;="&amp;5)=0,0,SUP_CONTROL!$C$8*IF($B12="V",1,IF($B12="D",(1+SUP_VOLUMEN!$C$26),(1+SUP_VOLUMEN!$C$27)))*INDEX(SUP_C3_EXPANSION!$C$6:$F$6,MIN(4,COUNTIF(CAPA3_EXPANSION!$D$56:DA$56,"&gt;="&amp;5)))*CAPA3_EXPANSION!DA$36)</f>
        <v>3528</v>
      </c>
      <c r="DB12" s="298" t="n">
        <f aca="false">IF(COUNTIF(CAPA3_EXPANSION!$D$56:DB$56,"&gt;="&amp;5)=0,0,SUP_CONTROL!$C$8*IF($B12="V",1,IF($B12="D",(1+SUP_VOLUMEN!$C$26),(1+SUP_VOLUMEN!$C$27)))*INDEX(SUP_C3_EXPANSION!$C$6:$F$6,MIN(4,COUNTIF(CAPA3_EXPANSION!$D$56:DB$56,"&gt;="&amp;5)))*CAPA3_EXPANSION!DB$36)</f>
        <v>3528</v>
      </c>
      <c r="DC12" s="298" t="n">
        <f aca="false">IF(COUNTIF(CAPA3_EXPANSION!$D$56:DC$56,"&gt;="&amp;5)=0,0,SUP_CONTROL!$C$8*IF($B12="V",1,IF($B12="D",(1+SUP_VOLUMEN!$C$26),(1+SUP_VOLUMEN!$C$27)))*INDEX(SUP_C3_EXPANSION!$C$6:$F$6,MIN(4,COUNTIF(CAPA3_EXPANSION!$D$56:DC$56,"&gt;="&amp;5)))*CAPA3_EXPANSION!DC$36)</f>
        <v>3528</v>
      </c>
      <c r="DD12" s="298" t="n">
        <f aca="false">IF(COUNTIF(CAPA3_EXPANSION!$D$56:DD$56,"&gt;="&amp;5)=0,0,SUP_CONTROL!$C$8*IF($B12="V",1,IF($B12="D",(1+SUP_VOLUMEN!$C$26),(1+SUP_VOLUMEN!$C$27)))*INDEX(SUP_C3_EXPANSION!$C$6:$F$6,MIN(4,COUNTIF(CAPA3_EXPANSION!$D$56:DD$56,"&gt;="&amp;5)))*CAPA3_EXPANSION!DD$36)</f>
        <v>3528</v>
      </c>
      <c r="DE12" s="298" t="n">
        <f aca="false">IF(COUNTIF(CAPA3_EXPANSION!$D$56:DE$56,"&gt;="&amp;5)=0,0,SUP_CONTROL!$C$8*IF($B12="V",1,IF($B12="D",(1+SUP_VOLUMEN!$C$26),(1+SUP_VOLUMEN!$C$27)))*INDEX(SUP_C3_EXPANSION!$C$6:$F$6,MIN(4,COUNTIF(CAPA3_EXPANSION!$D$56:DE$56,"&gt;="&amp;5)))*CAPA3_EXPANSION!DE$36)</f>
        <v>3528</v>
      </c>
      <c r="DF12" s="298" t="n">
        <f aca="false">IF(COUNTIF(CAPA3_EXPANSION!$D$56:DF$56,"&gt;="&amp;5)=0,0,SUP_CONTROL!$C$8*IF($B12="V",1,IF($B12="D",(1+SUP_VOLUMEN!$C$26),(1+SUP_VOLUMEN!$C$27)))*INDEX(SUP_C3_EXPANSION!$C$6:$F$6,MIN(4,COUNTIF(CAPA3_EXPANSION!$D$56:DF$56,"&gt;="&amp;5)))*CAPA3_EXPANSION!DF$36)</f>
        <v>3528</v>
      </c>
      <c r="DG12" s="298" t="n">
        <f aca="false">IF(COUNTIF(CAPA3_EXPANSION!$D$56:DG$56,"&gt;="&amp;5)=0,0,SUP_CONTROL!$C$8*IF($B12="V",1,IF($B12="D",(1+SUP_VOLUMEN!$C$26),(1+SUP_VOLUMEN!$C$27)))*INDEX(SUP_C3_EXPANSION!$C$6:$F$6,MIN(4,COUNTIF(CAPA3_EXPANSION!$D$56:DG$56,"&gt;="&amp;5)))*CAPA3_EXPANSION!DG$36)</f>
        <v>3528</v>
      </c>
      <c r="DH12" s="298" t="n">
        <f aca="false">IF(COUNTIF(CAPA3_EXPANSION!$D$56:DH$56,"&gt;="&amp;5)=0,0,SUP_CONTROL!$C$8*IF($B12="V",1,IF($B12="D",(1+SUP_VOLUMEN!$C$26),(1+SUP_VOLUMEN!$C$27)))*INDEX(SUP_C3_EXPANSION!$C$6:$F$6,MIN(4,COUNTIF(CAPA3_EXPANSION!$D$56:DH$56,"&gt;="&amp;5)))*CAPA3_EXPANSION!DH$36)</f>
        <v>3528</v>
      </c>
      <c r="DI12" s="298" t="n">
        <f aca="false">IF(COUNTIF(CAPA3_EXPANSION!$D$56:DI$56,"&gt;="&amp;5)=0,0,SUP_CONTROL!$C$8*IF($B12="V",1,IF($B12="D",(1+SUP_VOLUMEN!$C$26),(1+SUP_VOLUMEN!$C$27)))*INDEX(SUP_C3_EXPANSION!$C$6:$F$6,MIN(4,COUNTIF(CAPA3_EXPANSION!$D$56:DI$56,"&gt;="&amp;5)))*CAPA3_EXPANSION!DI$36)</f>
        <v>3528</v>
      </c>
      <c r="DJ12" s="298" t="n">
        <f aca="false">IF(COUNTIF(CAPA3_EXPANSION!$D$56:DJ$56,"&gt;="&amp;5)=0,0,SUP_CONTROL!$C$8*IF($B12="V",1,IF($B12="D",(1+SUP_VOLUMEN!$C$26),(1+SUP_VOLUMEN!$C$27)))*INDEX(SUP_C3_EXPANSION!$C$6:$F$6,MIN(4,COUNTIF(CAPA3_EXPANSION!$D$56:DJ$56,"&gt;="&amp;5)))*CAPA3_EXPANSION!DJ$36)</f>
        <v>3528</v>
      </c>
      <c r="DK12" s="298" t="n">
        <f aca="false">IF(COUNTIF(CAPA3_EXPANSION!$D$56:DK$56,"&gt;="&amp;5)=0,0,SUP_CONTROL!$C$8*IF($B12="V",1,IF($B12="D",(1+SUP_VOLUMEN!$C$26),(1+SUP_VOLUMEN!$C$27)))*INDEX(SUP_C3_EXPANSION!$C$6:$F$6,MIN(4,COUNTIF(CAPA3_EXPANSION!$D$56:DK$56,"&gt;="&amp;5)))*CAPA3_EXPANSION!DK$36)</f>
        <v>3528</v>
      </c>
      <c r="DL12" s="298" t="n">
        <f aca="false">IF(COUNTIF(CAPA3_EXPANSION!$D$56:DL$56,"&gt;="&amp;5)=0,0,SUP_CONTROL!$C$8*IF($B12="V",1,IF($B12="D",(1+SUP_VOLUMEN!$C$26),(1+SUP_VOLUMEN!$C$27)))*INDEX(SUP_C3_EXPANSION!$C$6:$F$6,MIN(4,COUNTIF(CAPA3_EXPANSION!$D$56:DL$56,"&gt;="&amp;5)))*CAPA3_EXPANSION!DL$36)</f>
        <v>3528</v>
      </c>
      <c r="DM12" s="298" t="n">
        <f aca="false">IF(COUNTIF(CAPA3_EXPANSION!$D$56:DM$56,"&gt;="&amp;5)=0,0,SUP_CONTROL!$C$8*IF($B12="V",1,IF($B12="D",(1+SUP_VOLUMEN!$C$26),(1+SUP_VOLUMEN!$C$27)))*INDEX(SUP_C3_EXPANSION!$C$6:$F$6,MIN(4,COUNTIF(CAPA3_EXPANSION!$D$56:DM$56,"&gt;="&amp;5)))*CAPA3_EXPANSION!DM$36)</f>
        <v>3528</v>
      </c>
      <c r="DN12" s="298" t="n">
        <f aca="false">IF(COUNTIF(CAPA3_EXPANSION!$D$56:DN$56,"&gt;="&amp;5)=0,0,SUP_CONTROL!$C$8*IF($B12="V",1,IF($B12="D",(1+SUP_VOLUMEN!$C$26),(1+SUP_VOLUMEN!$C$27)))*INDEX(SUP_C3_EXPANSION!$C$6:$F$6,MIN(4,COUNTIF(CAPA3_EXPANSION!$D$56:DN$56,"&gt;="&amp;5)))*CAPA3_EXPANSION!DN$36)</f>
        <v>3528</v>
      </c>
      <c r="DO12" s="298" t="n">
        <f aca="false">IF(COUNTIF(CAPA3_EXPANSION!$D$56:DO$56,"&gt;="&amp;5)=0,0,SUP_CONTROL!$C$8*IF($B12="V",1,IF($B12="D",(1+SUP_VOLUMEN!$C$26),(1+SUP_VOLUMEN!$C$27)))*INDEX(SUP_C3_EXPANSION!$C$6:$F$6,MIN(4,COUNTIF(CAPA3_EXPANSION!$D$56:DO$56,"&gt;="&amp;5)))*CAPA3_EXPANSION!DO$36)</f>
        <v>3528</v>
      </c>
      <c r="DP12" s="298" t="n">
        <f aca="false">IF(COUNTIF(CAPA3_EXPANSION!$D$56:DP$56,"&gt;="&amp;5)=0,0,SUP_CONTROL!$C$8*IF($B12="V",1,IF($B12="D",(1+SUP_VOLUMEN!$C$26),(1+SUP_VOLUMEN!$C$27)))*INDEX(SUP_C3_EXPANSION!$C$6:$F$6,MIN(4,COUNTIF(CAPA3_EXPANSION!$D$56:DP$56,"&gt;="&amp;5)))*CAPA3_EXPANSION!DP$36)</f>
        <v>3528</v>
      </c>
      <c r="DQ12" s="298" t="n">
        <f aca="false">IF(COUNTIF(CAPA3_EXPANSION!$D$56:DQ$56,"&gt;="&amp;5)=0,0,SUP_CONTROL!$C$8*IF($B12="V",1,IF($B12="D",(1+SUP_VOLUMEN!$C$26),(1+SUP_VOLUMEN!$C$27)))*INDEX(SUP_C3_EXPANSION!$C$6:$F$6,MIN(4,COUNTIF(CAPA3_EXPANSION!$D$56:DQ$56,"&gt;="&amp;5)))*CAPA3_EXPANSION!DQ$36)</f>
        <v>3528</v>
      </c>
      <c r="DR12" s="298" t="n">
        <f aca="false">IF(COUNTIF(CAPA3_EXPANSION!$D$56:DR$56,"&gt;="&amp;5)=0,0,SUP_CONTROL!$C$8*IF($B12="V",1,IF($B12="D",(1+SUP_VOLUMEN!$C$26),(1+SUP_VOLUMEN!$C$27)))*INDEX(SUP_C3_EXPANSION!$C$6:$F$6,MIN(4,COUNTIF(CAPA3_EXPANSION!$D$56:DR$56,"&gt;="&amp;5)))*CAPA3_EXPANSION!DR$36)</f>
        <v>3528</v>
      </c>
      <c r="DS12" s="298" t="n">
        <f aca="false">IF(COUNTIF(CAPA3_EXPANSION!$D$56:DS$56,"&gt;="&amp;5)=0,0,SUP_CONTROL!$C$8*IF($B12="V",1,IF($B12="D",(1+SUP_VOLUMEN!$C$26),(1+SUP_VOLUMEN!$C$27)))*INDEX(SUP_C3_EXPANSION!$C$6:$F$6,MIN(4,COUNTIF(CAPA3_EXPANSION!$D$56:DS$56,"&gt;="&amp;5)))*CAPA3_EXPANSION!DS$36)</f>
        <v>3528</v>
      </c>
    </row>
    <row r="13" customFormat="false" ht="15" hidden="false" customHeight="true" outlineLevel="0" collapsed="false">
      <c r="A13" s="298" t="n">
        <v>16</v>
      </c>
      <c r="B13" s="497" t="str">
        <f aca="false">SUP_C3_EXPANSION!B25</f>
        <v>V</v>
      </c>
      <c r="C13" s="267" t="n">
        <f aca="false">SUP_C3_EXPANSION!G25</f>
        <v>32</v>
      </c>
      <c r="D13" s="298" t="n">
        <f aca="false">IF(COUNTIF(CAPA3_EXPANSION!$D$56:D$56,"&gt;="&amp;6)=0,0,SUP_CONTROL!$C$8*IF($B13="V",1,IF($B13="D",(1+SUP_VOLUMEN!$C$26),(1+SUP_VOLUMEN!$C$27)))*INDEX(SUP_C3_EXPANSION!$C$6:$F$6,MIN(4,COUNTIF(CAPA3_EXPANSION!$D$56:D$56,"&gt;="&amp;6)))*CAPA3_EXPANSION!D$36)</f>
        <v>0</v>
      </c>
      <c r="E13" s="298" t="n">
        <f aca="false">IF(COUNTIF(CAPA3_EXPANSION!$D$56:E$56,"&gt;="&amp;6)=0,0,SUP_CONTROL!$C$8*IF($B13="V",1,IF($B13="D",(1+SUP_VOLUMEN!$C$26),(1+SUP_VOLUMEN!$C$27)))*INDEX(SUP_C3_EXPANSION!$C$6:$F$6,MIN(4,COUNTIF(CAPA3_EXPANSION!$D$56:E$56,"&gt;="&amp;6)))*CAPA3_EXPANSION!E$36)</f>
        <v>0</v>
      </c>
      <c r="F13" s="298" t="n">
        <f aca="false">IF(COUNTIF(CAPA3_EXPANSION!$D$56:F$56,"&gt;="&amp;6)=0,0,SUP_CONTROL!$C$8*IF($B13="V",1,IF($B13="D",(1+SUP_VOLUMEN!$C$26),(1+SUP_VOLUMEN!$C$27)))*INDEX(SUP_C3_EXPANSION!$C$6:$F$6,MIN(4,COUNTIF(CAPA3_EXPANSION!$D$56:F$56,"&gt;="&amp;6)))*CAPA3_EXPANSION!F$36)</f>
        <v>0</v>
      </c>
      <c r="G13" s="298" t="n">
        <f aca="false">IF(COUNTIF(CAPA3_EXPANSION!$D$56:G$56,"&gt;="&amp;6)=0,0,SUP_CONTROL!$C$8*IF($B13="V",1,IF($B13="D",(1+SUP_VOLUMEN!$C$26),(1+SUP_VOLUMEN!$C$27)))*INDEX(SUP_C3_EXPANSION!$C$6:$F$6,MIN(4,COUNTIF(CAPA3_EXPANSION!$D$56:G$56,"&gt;="&amp;6)))*CAPA3_EXPANSION!G$36)</f>
        <v>0</v>
      </c>
      <c r="H13" s="298" t="n">
        <f aca="false">IF(COUNTIF(CAPA3_EXPANSION!$D$56:H$56,"&gt;="&amp;6)=0,0,SUP_CONTROL!$C$8*IF($B13="V",1,IF($B13="D",(1+SUP_VOLUMEN!$C$26),(1+SUP_VOLUMEN!$C$27)))*INDEX(SUP_C3_EXPANSION!$C$6:$F$6,MIN(4,COUNTIF(CAPA3_EXPANSION!$D$56:H$56,"&gt;="&amp;6)))*CAPA3_EXPANSION!H$36)</f>
        <v>0</v>
      </c>
      <c r="I13" s="298" t="n">
        <f aca="false">IF(COUNTIF(CAPA3_EXPANSION!$D$56:I$56,"&gt;="&amp;6)=0,0,SUP_CONTROL!$C$8*IF($B13="V",1,IF($B13="D",(1+SUP_VOLUMEN!$C$26),(1+SUP_VOLUMEN!$C$27)))*INDEX(SUP_C3_EXPANSION!$C$6:$F$6,MIN(4,COUNTIF(CAPA3_EXPANSION!$D$56:I$56,"&gt;="&amp;6)))*CAPA3_EXPANSION!I$36)</f>
        <v>0</v>
      </c>
      <c r="J13" s="298" t="n">
        <f aca="false">IF(COUNTIF(CAPA3_EXPANSION!$D$56:J$56,"&gt;="&amp;6)=0,0,SUP_CONTROL!$C$8*IF($B13="V",1,IF($B13="D",(1+SUP_VOLUMEN!$C$26),(1+SUP_VOLUMEN!$C$27)))*INDEX(SUP_C3_EXPANSION!$C$6:$F$6,MIN(4,COUNTIF(CAPA3_EXPANSION!$D$56:J$56,"&gt;="&amp;6)))*CAPA3_EXPANSION!J$36)</f>
        <v>0</v>
      </c>
      <c r="K13" s="298" t="n">
        <f aca="false">IF(COUNTIF(CAPA3_EXPANSION!$D$56:K$56,"&gt;="&amp;6)=0,0,SUP_CONTROL!$C$8*IF($B13="V",1,IF($B13="D",(1+SUP_VOLUMEN!$C$26),(1+SUP_VOLUMEN!$C$27)))*INDEX(SUP_C3_EXPANSION!$C$6:$F$6,MIN(4,COUNTIF(CAPA3_EXPANSION!$D$56:K$56,"&gt;="&amp;6)))*CAPA3_EXPANSION!K$36)</f>
        <v>0</v>
      </c>
      <c r="L13" s="298" t="n">
        <f aca="false">IF(COUNTIF(CAPA3_EXPANSION!$D$56:L$56,"&gt;="&amp;6)=0,0,SUP_CONTROL!$C$8*IF($B13="V",1,IF($B13="D",(1+SUP_VOLUMEN!$C$26),(1+SUP_VOLUMEN!$C$27)))*INDEX(SUP_C3_EXPANSION!$C$6:$F$6,MIN(4,COUNTIF(CAPA3_EXPANSION!$D$56:L$56,"&gt;="&amp;6)))*CAPA3_EXPANSION!L$36)</f>
        <v>0</v>
      </c>
      <c r="M13" s="298" t="n">
        <f aca="false">IF(COUNTIF(CAPA3_EXPANSION!$D$56:M$56,"&gt;="&amp;6)=0,0,SUP_CONTROL!$C$8*IF($B13="V",1,IF($B13="D",(1+SUP_VOLUMEN!$C$26),(1+SUP_VOLUMEN!$C$27)))*INDEX(SUP_C3_EXPANSION!$C$6:$F$6,MIN(4,COUNTIF(CAPA3_EXPANSION!$D$56:M$56,"&gt;="&amp;6)))*CAPA3_EXPANSION!M$36)</f>
        <v>0</v>
      </c>
      <c r="N13" s="298" t="n">
        <f aca="false">IF(COUNTIF(CAPA3_EXPANSION!$D$56:N$56,"&gt;="&amp;6)=0,0,SUP_CONTROL!$C$8*IF($B13="V",1,IF($B13="D",(1+SUP_VOLUMEN!$C$26),(1+SUP_VOLUMEN!$C$27)))*INDEX(SUP_C3_EXPANSION!$C$6:$F$6,MIN(4,COUNTIF(CAPA3_EXPANSION!$D$56:N$56,"&gt;="&amp;6)))*CAPA3_EXPANSION!N$36)</f>
        <v>0</v>
      </c>
      <c r="O13" s="298" t="n">
        <f aca="false">IF(COUNTIF(CAPA3_EXPANSION!$D$56:O$56,"&gt;="&amp;6)=0,0,SUP_CONTROL!$C$8*IF($B13="V",1,IF($B13="D",(1+SUP_VOLUMEN!$C$26),(1+SUP_VOLUMEN!$C$27)))*INDEX(SUP_C3_EXPANSION!$C$6:$F$6,MIN(4,COUNTIF(CAPA3_EXPANSION!$D$56:O$56,"&gt;="&amp;6)))*CAPA3_EXPANSION!O$36)</f>
        <v>0</v>
      </c>
      <c r="P13" s="298" t="n">
        <f aca="false">IF(COUNTIF(CAPA3_EXPANSION!$D$56:P$56,"&gt;="&amp;6)=0,0,SUP_CONTROL!$C$8*IF($B13="V",1,IF($B13="D",(1+SUP_VOLUMEN!$C$26),(1+SUP_VOLUMEN!$C$27)))*INDEX(SUP_C3_EXPANSION!$C$6:$F$6,MIN(4,COUNTIF(CAPA3_EXPANSION!$D$56:P$56,"&gt;="&amp;6)))*CAPA3_EXPANSION!P$36)</f>
        <v>0</v>
      </c>
      <c r="Q13" s="298" t="n">
        <f aca="false">IF(COUNTIF(CAPA3_EXPANSION!$D$56:Q$56,"&gt;="&amp;6)=0,0,SUP_CONTROL!$C$8*IF($B13="V",1,IF($B13="D",(1+SUP_VOLUMEN!$C$26),(1+SUP_VOLUMEN!$C$27)))*INDEX(SUP_C3_EXPANSION!$C$6:$F$6,MIN(4,COUNTIF(CAPA3_EXPANSION!$D$56:Q$56,"&gt;="&amp;6)))*CAPA3_EXPANSION!Q$36)</f>
        <v>0</v>
      </c>
      <c r="R13" s="298" t="n">
        <f aca="false">IF(COUNTIF(CAPA3_EXPANSION!$D$56:R$56,"&gt;="&amp;6)=0,0,SUP_CONTROL!$C$8*IF($B13="V",1,IF($B13="D",(1+SUP_VOLUMEN!$C$26),(1+SUP_VOLUMEN!$C$27)))*INDEX(SUP_C3_EXPANSION!$C$6:$F$6,MIN(4,COUNTIF(CAPA3_EXPANSION!$D$56:R$56,"&gt;="&amp;6)))*CAPA3_EXPANSION!R$36)</f>
        <v>0</v>
      </c>
      <c r="S13" s="298" t="n">
        <f aca="false">IF(COUNTIF(CAPA3_EXPANSION!$D$56:S$56,"&gt;="&amp;6)=0,0,SUP_CONTROL!$C$8*IF($B13="V",1,IF($B13="D",(1+SUP_VOLUMEN!$C$26),(1+SUP_VOLUMEN!$C$27)))*INDEX(SUP_C3_EXPANSION!$C$6:$F$6,MIN(4,COUNTIF(CAPA3_EXPANSION!$D$56:S$56,"&gt;="&amp;6)))*CAPA3_EXPANSION!S$36)</f>
        <v>0</v>
      </c>
      <c r="T13" s="298" t="n">
        <f aca="false">IF(COUNTIF(CAPA3_EXPANSION!$D$56:T$56,"&gt;="&amp;6)=0,0,SUP_CONTROL!$C$8*IF($B13="V",1,IF($B13="D",(1+SUP_VOLUMEN!$C$26),(1+SUP_VOLUMEN!$C$27)))*INDEX(SUP_C3_EXPANSION!$C$6:$F$6,MIN(4,COUNTIF(CAPA3_EXPANSION!$D$56:T$56,"&gt;="&amp;6)))*CAPA3_EXPANSION!T$36)</f>
        <v>0</v>
      </c>
      <c r="U13" s="298" t="n">
        <f aca="false">IF(COUNTIF(CAPA3_EXPANSION!$D$56:U$56,"&gt;="&amp;6)=0,0,SUP_CONTROL!$C$8*IF($B13="V",1,IF($B13="D",(1+SUP_VOLUMEN!$C$26),(1+SUP_VOLUMEN!$C$27)))*INDEX(SUP_C3_EXPANSION!$C$6:$F$6,MIN(4,COUNTIF(CAPA3_EXPANSION!$D$56:U$56,"&gt;="&amp;6)))*CAPA3_EXPANSION!U$36)</f>
        <v>0</v>
      </c>
      <c r="V13" s="298" t="n">
        <f aca="false">IF(COUNTIF(CAPA3_EXPANSION!$D$56:V$56,"&gt;="&amp;6)=0,0,SUP_CONTROL!$C$8*IF($B13="V",1,IF($B13="D",(1+SUP_VOLUMEN!$C$26),(1+SUP_VOLUMEN!$C$27)))*INDEX(SUP_C3_EXPANSION!$C$6:$F$6,MIN(4,COUNTIF(CAPA3_EXPANSION!$D$56:V$56,"&gt;="&amp;6)))*CAPA3_EXPANSION!V$36)</f>
        <v>0</v>
      </c>
      <c r="W13" s="298" t="n">
        <f aca="false">IF(COUNTIF(CAPA3_EXPANSION!$D$56:W$56,"&gt;="&amp;6)=0,0,SUP_CONTROL!$C$8*IF($B13="V",1,IF($B13="D",(1+SUP_VOLUMEN!$C$26),(1+SUP_VOLUMEN!$C$27)))*INDEX(SUP_C3_EXPANSION!$C$6:$F$6,MIN(4,COUNTIF(CAPA3_EXPANSION!$D$56:W$56,"&gt;="&amp;6)))*CAPA3_EXPANSION!W$36)</f>
        <v>0</v>
      </c>
      <c r="X13" s="298" t="n">
        <f aca="false">IF(COUNTIF(CAPA3_EXPANSION!$D$56:X$56,"&gt;="&amp;6)=0,0,SUP_CONTROL!$C$8*IF($B13="V",1,IF($B13="D",(1+SUP_VOLUMEN!$C$26),(1+SUP_VOLUMEN!$C$27)))*INDEX(SUP_C3_EXPANSION!$C$6:$F$6,MIN(4,COUNTIF(CAPA3_EXPANSION!$D$56:X$56,"&gt;="&amp;6)))*CAPA3_EXPANSION!X$36)</f>
        <v>0</v>
      </c>
      <c r="Y13" s="298" t="n">
        <f aca="false">IF(COUNTIF(CAPA3_EXPANSION!$D$56:Y$56,"&gt;="&amp;6)=0,0,SUP_CONTROL!$C$8*IF($B13="V",1,IF($B13="D",(1+SUP_VOLUMEN!$C$26),(1+SUP_VOLUMEN!$C$27)))*INDEX(SUP_C3_EXPANSION!$C$6:$F$6,MIN(4,COUNTIF(CAPA3_EXPANSION!$D$56:Y$56,"&gt;="&amp;6)))*CAPA3_EXPANSION!Y$36)</f>
        <v>0</v>
      </c>
      <c r="Z13" s="298" t="n">
        <f aca="false">IF(COUNTIF(CAPA3_EXPANSION!$D$56:Z$56,"&gt;="&amp;6)=0,0,SUP_CONTROL!$C$8*IF($B13="V",1,IF($B13="D",(1+SUP_VOLUMEN!$C$26),(1+SUP_VOLUMEN!$C$27)))*INDEX(SUP_C3_EXPANSION!$C$6:$F$6,MIN(4,COUNTIF(CAPA3_EXPANSION!$D$56:Z$56,"&gt;="&amp;6)))*CAPA3_EXPANSION!Z$36)</f>
        <v>0</v>
      </c>
      <c r="AA13" s="298" t="n">
        <f aca="false">IF(COUNTIF(CAPA3_EXPANSION!$D$56:AA$56,"&gt;="&amp;6)=0,0,SUP_CONTROL!$C$8*IF($B13="V",1,IF($B13="D",(1+SUP_VOLUMEN!$C$26),(1+SUP_VOLUMEN!$C$27)))*INDEX(SUP_C3_EXPANSION!$C$6:$F$6,MIN(4,COUNTIF(CAPA3_EXPANSION!$D$56:AA$56,"&gt;="&amp;6)))*CAPA3_EXPANSION!AA$36)</f>
        <v>0</v>
      </c>
      <c r="AB13" s="298" t="n">
        <f aca="false">IF(COUNTIF(CAPA3_EXPANSION!$D$56:AB$56,"&gt;="&amp;6)=0,0,SUP_CONTROL!$C$8*IF($B13="V",1,IF($B13="D",(1+SUP_VOLUMEN!$C$26),(1+SUP_VOLUMEN!$C$27)))*INDEX(SUP_C3_EXPANSION!$C$6:$F$6,MIN(4,COUNTIF(CAPA3_EXPANSION!$D$56:AB$56,"&gt;="&amp;6)))*CAPA3_EXPANSION!AB$36)</f>
        <v>0</v>
      </c>
      <c r="AC13" s="298" t="n">
        <f aca="false">IF(COUNTIF(CAPA3_EXPANSION!$D$56:AC$56,"&gt;="&amp;6)=0,0,SUP_CONTROL!$C$8*IF($B13="V",1,IF($B13="D",(1+SUP_VOLUMEN!$C$26),(1+SUP_VOLUMEN!$C$27)))*INDEX(SUP_C3_EXPANSION!$C$6:$F$6,MIN(4,COUNTIF(CAPA3_EXPANSION!$D$56:AC$56,"&gt;="&amp;6)))*CAPA3_EXPANSION!AC$36)</f>
        <v>0</v>
      </c>
      <c r="AD13" s="298" t="n">
        <f aca="false">IF(COUNTIF(CAPA3_EXPANSION!$D$56:AD$56,"&gt;="&amp;6)=0,0,SUP_CONTROL!$C$8*IF($B13="V",1,IF($B13="D",(1+SUP_VOLUMEN!$C$26),(1+SUP_VOLUMEN!$C$27)))*INDEX(SUP_C3_EXPANSION!$C$6:$F$6,MIN(4,COUNTIF(CAPA3_EXPANSION!$D$56:AD$56,"&gt;="&amp;6)))*CAPA3_EXPANSION!AD$36)</f>
        <v>0</v>
      </c>
      <c r="AE13" s="298" t="n">
        <f aca="false">IF(COUNTIF(CAPA3_EXPANSION!$D$56:AE$56,"&gt;="&amp;6)=0,0,SUP_CONTROL!$C$8*IF($B13="V",1,IF($B13="D",(1+SUP_VOLUMEN!$C$26),(1+SUP_VOLUMEN!$C$27)))*INDEX(SUP_C3_EXPANSION!$C$6:$F$6,MIN(4,COUNTIF(CAPA3_EXPANSION!$D$56:AE$56,"&gt;="&amp;6)))*CAPA3_EXPANSION!AE$36)</f>
        <v>0</v>
      </c>
      <c r="AF13" s="298" t="n">
        <f aca="false">IF(COUNTIF(CAPA3_EXPANSION!$D$56:AF$56,"&gt;="&amp;6)=0,0,SUP_CONTROL!$C$8*IF($B13="V",1,IF($B13="D",(1+SUP_VOLUMEN!$C$26),(1+SUP_VOLUMEN!$C$27)))*INDEX(SUP_C3_EXPANSION!$C$6:$F$6,MIN(4,COUNTIF(CAPA3_EXPANSION!$D$56:AF$56,"&gt;="&amp;6)))*CAPA3_EXPANSION!AF$36)</f>
        <v>0</v>
      </c>
      <c r="AG13" s="298" t="n">
        <f aca="false">IF(COUNTIF(CAPA3_EXPANSION!$D$56:AG$56,"&gt;="&amp;6)=0,0,SUP_CONTROL!$C$8*IF($B13="V",1,IF($B13="D",(1+SUP_VOLUMEN!$C$26),(1+SUP_VOLUMEN!$C$27)))*INDEX(SUP_C3_EXPANSION!$C$6:$F$6,MIN(4,COUNTIF(CAPA3_EXPANSION!$D$56:AG$56,"&gt;="&amp;6)))*CAPA3_EXPANSION!AG$36)</f>
        <v>0</v>
      </c>
      <c r="AH13" s="298" t="n">
        <f aca="false">IF(COUNTIF(CAPA3_EXPANSION!$D$56:AH$56,"&gt;="&amp;6)=0,0,SUP_CONTROL!$C$8*IF($B13="V",1,IF($B13="D",(1+SUP_VOLUMEN!$C$26),(1+SUP_VOLUMEN!$C$27)))*INDEX(SUP_C3_EXPANSION!$C$6:$F$6,MIN(4,COUNTIF(CAPA3_EXPANSION!$D$56:AH$56,"&gt;="&amp;6)))*CAPA3_EXPANSION!AH$36)</f>
        <v>0</v>
      </c>
      <c r="AI13" s="298" t="n">
        <f aca="false">IF(COUNTIF(CAPA3_EXPANSION!$D$56:AI$56,"&gt;="&amp;6)=0,0,SUP_CONTROL!$C$8*IF($B13="V",1,IF($B13="D",(1+SUP_VOLUMEN!$C$26),(1+SUP_VOLUMEN!$C$27)))*INDEX(SUP_C3_EXPANSION!$C$6:$F$6,MIN(4,COUNTIF(CAPA3_EXPANSION!$D$56:AI$56,"&gt;="&amp;6)))*CAPA3_EXPANSION!AI$36)</f>
        <v>0</v>
      </c>
      <c r="AJ13" s="298" t="n">
        <f aca="false">IF(COUNTIF(CAPA3_EXPANSION!$D$56:AJ$56,"&gt;="&amp;6)=0,0,SUP_CONTROL!$C$8*IF($B13="V",1,IF($B13="D",(1+SUP_VOLUMEN!$C$26),(1+SUP_VOLUMEN!$C$27)))*INDEX(SUP_C3_EXPANSION!$C$6:$F$6,MIN(4,COUNTIF(CAPA3_EXPANSION!$D$56:AJ$56,"&gt;="&amp;6)))*CAPA3_EXPANSION!AJ$36)</f>
        <v>0</v>
      </c>
      <c r="AK13" s="298" t="n">
        <f aca="false">IF(COUNTIF(CAPA3_EXPANSION!$D$56:AK$56,"&gt;="&amp;6)=0,0,SUP_CONTROL!$C$8*IF($B13="V",1,IF($B13="D",(1+SUP_VOLUMEN!$C$26),(1+SUP_VOLUMEN!$C$27)))*INDEX(SUP_C3_EXPANSION!$C$6:$F$6,MIN(4,COUNTIF(CAPA3_EXPANSION!$D$56:AK$56,"&gt;="&amp;6)))*CAPA3_EXPANSION!AK$36)</f>
        <v>0</v>
      </c>
      <c r="AL13" s="298" t="n">
        <f aca="false">IF(COUNTIF(CAPA3_EXPANSION!$D$56:AL$56,"&gt;="&amp;6)=0,0,SUP_CONTROL!$C$8*IF($B13="V",1,IF($B13="D",(1+SUP_VOLUMEN!$C$26),(1+SUP_VOLUMEN!$C$27)))*INDEX(SUP_C3_EXPANSION!$C$6:$F$6,MIN(4,COUNTIF(CAPA3_EXPANSION!$D$56:AL$56,"&gt;="&amp;6)))*CAPA3_EXPANSION!AL$36)</f>
        <v>2648.1</v>
      </c>
      <c r="AM13" s="298" t="n">
        <f aca="false">IF(COUNTIF(CAPA3_EXPANSION!$D$56:AM$56,"&gt;="&amp;6)=0,0,SUP_CONTROL!$C$8*IF($B13="V",1,IF($B13="D",(1+SUP_VOLUMEN!$C$26),(1+SUP_VOLUMEN!$C$27)))*INDEX(SUP_C3_EXPANSION!$C$6:$F$6,MIN(4,COUNTIF(CAPA3_EXPANSION!$D$56:AM$56,"&gt;="&amp;6)))*CAPA3_EXPANSION!AM$36)</f>
        <v>3259.2</v>
      </c>
      <c r="AN13" s="298" t="n">
        <f aca="false">IF(COUNTIF(CAPA3_EXPANSION!$D$56:AN$56,"&gt;="&amp;6)=0,0,SUP_CONTROL!$C$8*IF($B13="V",1,IF($B13="D",(1+SUP_VOLUMEN!$C$26),(1+SUP_VOLUMEN!$C$27)))*INDEX(SUP_C3_EXPANSION!$C$6:$F$6,MIN(4,COUNTIF(CAPA3_EXPANSION!$D$56:AN$56,"&gt;="&amp;6)))*CAPA3_EXPANSION!AN$36)</f>
        <v>3666.6</v>
      </c>
      <c r="AO13" s="298" t="n">
        <f aca="false">IF(COUNTIF(CAPA3_EXPANSION!$D$56:AO$56,"&gt;="&amp;6)=0,0,SUP_CONTROL!$C$8*IF($B13="V",1,IF($B13="D",(1+SUP_VOLUMEN!$C$26),(1+SUP_VOLUMEN!$C$27)))*INDEX(SUP_C3_EXPANSION!$C$6:$F$6,MIN(4,COUNTIF(CAPA3_EXPANSION!$D$56:AO$56,"&gt;="&amp;6)))*CAPA3_EXPANSION!AO$36)</f>
        <v>4074</v>
      </c>
      <c r="AP13" s="298" t="n">
        <f aca="false">IF(COUNTIF(CAPA3_EXPANSION!$D$56:AP$56,"&gt;="&amp;6)=0,0,SUP_CONTROL!$C$8*IF($B13="V",1,IF($B13="D",(1+SUP_VOLUMEN!$C$26),(1+SUP_VOLUMEN!$C$27)))*INDEX(SUP_C3_EXPANSION!$C$6:$F$6,MIN(4,COUNTIF(CAPA3_EXPANSION!$D$56:AP$56,"&gt;="&amp;6)))*CAPA3_EXPANSION!AP$36)</f>
        <v>3969</v>
      </c>
      <c r="AQ13" s="298" t="n">
        <f aca="false">IF(COUNTIF(CAPA3_EXPANSION!$D$56:AQ$56,"&gt;="&amp;6)=0,0,SUP_CONTROL!$C$8*IF($B13="V",1,IF($B13="D",(1+SUP_VOLUMEN!$C$26),(1+SUP_VOLUMEN!$C$27)))*INDEX(SUP_C3_EXPANSION!$C$6:$F$6,MIN(4,COUNTIF(CAPA3_EXPANSION!$D$56:AQ$56,"&gt;="&amp;6)))*CAPA3_EXPANSION!AQ$36)</f>
        <v>3969</v>
      </c>
      <c r="AR13" s="298" t="n">
        <f aca="false">IF(COUNTIF(CAPA3_EXPANSION!$D$56:AR$56,"&gt;="&amp;6)=0,0,SUP_CONTROL!$C$8*IF($B13="V",1,IF($B13="D",(1+SUP_VOLUMEN!$C$26),(1+SUP_VOLUMEN!$C$27)))*INDEX(SUP_C3_EXPANSION!$C$6:$F$6,MIN(4,COUNTIF(CAPA3_EXPANSION!$D$56:AR$56,"&gt;="&amp;6)))*CAPA3_EXPANSION!AR$36)</f>
        <v>3969</v>
      </c>
      <c r="AS13" s="298" t="n">
        <f aca="false">IF(COUNTIF(CAPA3_EXPANSION!$D$56:AS$56,"&gt;="&amp;6)=0,0,SUP_CONTROL!$C$8*IF($B13="V",1,IF($B13="D",(1+SUP_VOLUMEN!$C$26),(1+SUP_VOLUMEN!$C$27)))*INDEX(SUP_C3_EXPANSION!$C$6:$F$6,MIN(4,COUNTIF(CAPA3_EXPANSION!$D$56:AS$56,"&gt;="&amp;6)))*CAPA3_EXPANSION!AS$36)</f>
        <v>3969</v>
      </c>
      <c r="AT13" s="298" t="n">
        <f aca="false">IF(COUNTIF(CAPA3_EXPANSION!$D$56:AT$56,"&gt;="&amp;6)=0,0,SUP_CONTROL!$C$8*IF($B13="V",1,IF($B13="D",(1+SUP_VOLUMEN!$C$26),(1+SUP_VOLUMEN!$C$27)))*INDEX(SUP_C3_EXPANSION!$C$6:$F$6,MIN(4,COUNTIF(CAPA3_EXPANSION!$D$56:AT$56,"&gt;="&amp;6)))*CAPA3_EXPANSION!AT$36)</f>
        <v>3969</v>
      </c>
      <c r="AU13" s="298" t="n">
        <f aca="false">IF(COUNTIF(CAPA3_EXPANSION!$D$56:AU$56,"&gt;="&amp;6)=0,0,SUP_CONTROL!$C$8*IF($B13="V",1,IF($B13="D",(1+SUP_VOLUMEN!$C$26),(1+SUP_VOLUMEN!$C$27)))*INDEX(SUP_C3_EXPANSION!$C$6:$F$6,MIN(4,COUNTIF(CAPA3_EXPANSION!$D$56:AU$56,"&gt;="&amp;6)))*CAPA3_EXPANSION!AU$36)</f>
        <v>3969</v>
      </c>
      <c r="AV13" s="298" t="n">
        <f aca="false">IF(COUNTIF(CAPA3_EXPANSION!$D$56:AV$56,"&gt;="&amp;6)=0,0,SUP_CONTROL!$C$8*IF($B13="V",1,IF($B13="D",(1+SUP_VOLUMEN!$C$26),(1+SUP_VOLUMEN!$C$27)))*INDEX(SUP_C3_EXPANSION!$C$6:$F$6,MIN(4,COUNTIF(CAPA3_EXPANSION!$D$56:AV$56,"&gt;="&amp;6)))*CAPA3_EXPANSION!AV$36)</f>
        <v>3969</v>
      </c>
      <c r="AW13" s="298" t="n">
        <f aca="false">IF(COUNTIF(CAPA3_EXPANSION!$D$56:AW$56,"&gt;="&amp;6)=0,0,SUP_CONTROL!$C$8*IF($B13="V",1,IF($B13="D",(1+SUP_VOLUMEN!$C$26),(1+SUP_VOLUMEN!$C$27)))*INDEX(SUP_C3_EXPANSION!$C$6:$F$6,MIN(4,COUNTIF(CAPA3_EXPANSION!$D$56:AW$56,"&gt;="&amp;6)))*CAPA3_EXPANSION!AW$36)</f>
        <v>3969</v>
      </c>
      <c r="AX13" s="298" t="n">
        <f aca="false">IF(COUNTIF(CAPA3_EXPANSION!$D$56:AX$56,"&gt;="&amp;6)=0,0,SUP_CONTROL!$C$8*IF($B13="V",1,IF($B13="D",(1+SUP_VOLUMEN!$C$26),(1+SUP_VOLUMEN!$C$27)))*INDEX(SUP_C3_EXPANSION!$C$6:$F$6,MIN(4,COUNTIF(CAPA3_EXPANSION!$D$56:AX$56,"&gt;="&amp;6)))*CAPA3_EXPANSION!AX$36)</f>
        <v>3969</v>
      </c>
      <c r="AY13" s="298" t="n">
        <f aca="false">IF(COUNTIF(CAPA3_EXPANSION!$D$56:AY$56,"&gt;="&amp;6)=0,0,SUP_CONTROL!$C$8*IF($B13="V",1,IF($B13="D",(1+SUP_VOLUMEN!$C$26),(1+SUP_VOLUMEN!$C$27)))*INDEX(SUP_C3_EXPANSION!$C$6:$F$6,MIN(4,COUNTIF(CAPA3_EXPANSION!$D$56:AY$56,"&gt;="&amp;6)))*CAPA3_EXPANSION!AY$36)</f>
        <v>3969</v>
      </c>
      <c r="AZ13" s="298" t="n">
        <f aca="false">IF(COUNTIF(CAPA3_EXPANSION!$D$56:AZ$56,"&gt;="&amp;6)=0,0,SUP_CONTROL!$C$8*IF($B13="V",1,IF($B13="D",(1+SUP_VOLUMEN!$C$26),(1+SUP_VOLUMEN!$C$27)))*INDEX(SUP_C3_EXPANSION!$C$6:$F$6,MIN(4,COUNTIF(CAPA3_EXPANSION!$D$56:AZ$56,"&gt;="&amp;6)))*CAPA3_EXPANSION!AZ$36)</f>
        <v>3969</v>
      </c>
      <c r="BA13" s="298" t="n">
        <f aca="false">IF(COUNTIF(CAPA3_EXPANSION!$D$56:BA$56,"&gt;="&amp;6)=0,0,SUP_CONTROL!$C$8*IF($B13="V",1,IF($B13="D",(1+SUP_VOLUMEN!$C$26),(1+SUP_VOLUMEN!$C$27)))*INDEX(SUP_C3_EXPANSION!$C$6:$F$6,MIN(4,COUNTIF(CAPA3_EXPANSION!$D$56:BA$56,"&gt;="&amp;6)))*CAPA3_EXPANSION!BA$36)</f>
        <v>3969</v>
      </c>
      <c r="BB13" s="298" t="n">
        <f aca="false">IF(COUNTIF(CAPA3_EXPANSION!$D$56:BB$56,"&gt;="&amp;6)=0,0,SUP_CONTROL!$C$8*IF($B13="V",1,IF($B13="D",(1+SUP_VOLUMEN!$C$26),(1+SUP_VOLUMEN!$C$27)))*INDEX(SUP_C3_EXPANSION!$C$6:$F$6,MIN(4,COUNTIF(CAPA3_EXPANSION!$D$56:BB$56,"&gt;="&amp;6)))*CAPA3_EXPANSION!BB$36)</f>
        <v>3969</v>
      </c>
      <c r="BC13" s="298" t="n">
        <f aca="false">IF(COUNTIF(CAPA3_EXPANSION!$D$56:BC$56,"&gt;="&amp;6)=0,0,SUP_CONTROL!$C$8*IF($B13="V",1,IF($B13="D",(1+SUP_VOLUMEN!$C$26),(1+SUP_VOLUMEN!$C$27)))*INDEX(SUP_C3_EXPANSION!$C$6:$F$6,MIN(4,COUNTIF(CAPA3_EXPANSION!$D$56:BC$56,"&gt;="&amp;6)))*CAPA3_EXPANSION!BC$36)</f>
        <v>3969</v>
      </c>
      <c r="BD13" s="298" t="n">
        <f aca="false">IF(COUNTIF(CAPA3_EXPANSION!$D$56:BD$56,"&gt;="&amp;6)=0,0,SUP_CONTROL!$C$8*IF($B13="V",1,IF($B13="D",(1+SUP_VOLUMEN!$C$26),(1+SUP_VOLUMEN!$C$27)))*INDEX(SUP_C3_EXPANSION!$C$6:$F$6,MIN(4,COUNTIF(CAPA3_EXPANSION!$D$56:BD$56,"&gt;="&amp;6)))*CAPA3_EXPANSION!BD$36)</f>
        <v>3969</v>
      </c>
      <c r="BE13" s="298" t="n">
        <f aca="false">IF(COUNTIF(CAPA3_EXPANSION!$D$56:BE$56,"&gt;="&amp;6)=0,0,SUP_CONTROL!$C$8*IF($B13="V",1,IF($B13="D",(1+SUP_VOLUMEN!$C$26),(1+SUP_VOLUMEN!$C$27)))*INDEX(SUP_C3_EXPANSION!$C$6:$F$6,MIN(4,COUNTIF(CAPA3_EXPANSION!$D$56:BE$56,"&gt;="&amp;6)))*CAPA3_EXPANSION!BE$36)</f>
        <v>3969</v>
      </c>
      <c r="BF13" s="298" t="n">
        <f aca="false">IF(COUNTIF(CAPA3_EXPANSION!$D$56:BF$56,"&gt;="&amp;6)=0,0,SUP_CONTROL!$C$8*IF($B13="V",1,IF($B13="D",(1+SUP_VOLUMEN!$C$26),(1+SUP_VOLUMEN!$C$27)))*INDEX(SUP_C3_EXPANSION!$C$6:$F$6,MIN(4,COUNTIF(CAPA3_EXPANSION!$D$56:BF$56,"&gt;="&amp;6)))*CAPA3_EXPANSION!BF$36)</f>
        <v>3864</v>
      </c>
      <c r="BG13" s="298" t="n">
        <f aca="false">IF(COUNTIF(CAPA3_EXPANSION!$D$56:BG$56,"&gt;="&amp;6)=0,0,SUP_CONTROL!$C$8*IF($B13="V",1,IF($B13="D",(1+SUP_VOLUMEN!$C$26),(1+SUP_VOLUMEN!$C$27)))*INDEX(SUP_C3_EXPANSION!$C$6:$F$6,MIN(4,COUNTIF(CAPA3_EXPANSION!$D$56:BG$56,"&gt;="&amp;6)))*CAPA3_EXPANSION!BG$36)</f>
        <v>3864</v>
      </c>
      <c r="BH13" s="298" t="n">
        <f aca="false">IF(COUNTIF(CAPA3_EXPANSION!$D$56:BH$56,"&gt;="&amp;6)=0,0,SUP_CONTROL!$C$8*IF($B13="V",1,IF($B13="D",(1+SUP_VOLUMEN!$C$26),(1+SUP_VOLUMEN!$C$27)))*INDEX(SUP_C3_EXPANSION!$C$6:$F$6,MIN(4,COUNTIF(CAPA3_EXPANSION!$D$56:BH$56,"&gt;="&amp;6)))*CAPA3_EXPANSION!BH$36)</f>
        <v>3864</v>
      </c>
      <c r="BI13" s="298" t="n">
        <f aca="false">IF(COUNTIF(CAPA3_EXPANSION!$D$56:BI$56,"&gt;="&amp;6)=0,0,SUP_CONTROL!$C$8*IF($B13="V",1,IF($B13="D",(1+SUP_VOLUMEN!$C$26),(1+SUP_VOLUMEN!$C$27)))*INDEX(SUP_C3_EXPANSION!$C$6:$F$6,MIN(4,COUNTIF(CAPA3_EXPANSION!$D$56:BI$56,"&gt;="&amp;6)))*CAPA3_EXPANSION!BI$36)</f>
        <v>3864</v>
      </c>
      <c r="BJ13" s="298" t="n">
        <f aca="false">IF(COUNTIF(CAPA3_EXPANSION!$D$56:BJ$56,"&gt;="&amp;6)=0,0,SUP_CONTROL!$C$8*IF($B13="V",1,IF($B13="D",(1+SUP_VOLUMEN!$C$26),(1+SUP_VOLUMEN!$C$27)))*INDEX(SUP_C3_EXPANSION!$C$6:$F$6,MIN(4,COUNTIF(CAPA3_EXPANSION!$D$56:BJ$56,"&gt;="&amp;6)))*CAPA3_EXPANSION!BJ$36)</f>
        <v>3864</v>
      </c>
      <c r="BK13" s="298" t="n">
        <f aca="false">IF(COUNTIF(CAPA3_EXPANSION!$D$56:BK$56,"&gt;="&amp;6)=0,0,SUP_CONTROL!$C$8*IF($B13="V",1,IF($B13="D",(1+SUP_VOLUMEN!$C$26),(1+SUP_VOLUMEN!$C$27)))*INDEX(SUP_C3_EXPANSION!$C$6:$F$6,MIN(4,COUNTIF(CAPA3_EXPANSION!$D$56:BK$56,"&gt;="&amp;6)))*CAPA3_EXPANSION!BK$36)</f>
        <v>3780</v>
      </c>
      <c r="BL13" s="298" t="n">
        <f aca="false">IF(COUNTIF(CAPA3_EXPANSION!$D$56:BL$56,"&gt;="&amp;6)=0,0,SUP_CONTROL!$C$8*IF($B13="V",1,IF($B13="D",(1+SUP_VOLUMEN!$C$26),(1+SUP_VOLUMEN!$C$27)))*INDEX(SUP_C3_EXPANSION!$C$6:$F$6,MIN(4,COUNTIF(CAPA3_EXPANSION!$D$56:BL$56,"&gt;="&amp;6)))*CAPA3_EXPANSION!BL$36)</f>
        <v>3780</v>
      </c>
      <c r="BM13" s="298" t="n">
        <f aca="false">IF(COUNTIF(CAPA3_EXPANSION!$D$56:BM$56,"&gt;="&amp;6)=0,0,SUP_CONTROL!$C$8*IF($B13="V",1,IF($B13="D",(1+SUP_VOLUMEN!$C$26),(1+SUP_VOLUMEN!$C$27)))*INDEX(SUP_C3_EXPANSION!$C$6:$F$6,MIN(4,COUNTIF(CAPA3_EXPANSION!$D$56:BM$56,"&gt;="&amp;6)))*CAPA3_EXPANSION!BM$36)</f>
        <v>3780</v>
      </c>
      <c r="BN13" s="298" t="n">
        <f aca="false">IF(COUNTIF(CAPA3_EXPANSION!$D$56:BN$56,"&gt;="&amp;6)=0,0,SUP_CONTROL!$C$8*IF($B13="V",1,IF($B13="D",(1+SUP_VOLUMEN!$C$26),(1+SUP_VOLUMEN!$C$27)))*INDEX(SUP_C3_EXPANSION!$C$6:$F$6,MIN(4,COUNTIF(CAPA3_EXPANSION!$D$56:BN$56,"&gt;="&amp;6)))*CAPA3_EXPANSION!BN$36)</f>
        <v>3780</v>
      </c>
      <c r="BO13" s="298" t="n">
        <f aca="false">IF(COUNTIF(CAPA3_EXPANSION!$D$56:BO$56,"&gt;="&amp;6)=0,0,SUP_CONTROL!$C$8*IF($B13="V",1,IF($B13="D",(1+SUP_VOLUMEN!$C$26),(1+SUP_VOLUMEN!$C$27)))*INDEX(SUP_C3_EXPANSION!$C$6:$F$6,MIN(4,COUNTIF(CAPA3_EXPANSION!$D$56:BO$56,"&gt;="&amp;6)))*CAPA3_EXPANSION!BO$36)</f>
        <v>3780</v>
      </c>
      <c r="BP13" s="298" t="n">
        <f aca="false">IF(COUNTIF(CAPA3_EXPANSION!$D$56:BP$56,"&gt;="&amp;6)=0,0,SUP_CONTROL!$C$8*IF($B13="V",1,IF($B13="D",(1+SUP_VOLUMEN!$C$26),(1+SUP_VOLUMEN!$C$27)))*INDEX(SUP_C3_EXPANSION!$C$6:$F$6,MIN(4,COUNTIF(CAPA3_EXPANSION!$D$56:BP$56,"&gt;="&amp;6)))*CAPA3_EXPANSION!BP$36)</f>
        <v>3780</v>
      </c>
      <c r="BQ13" s="298" t="n">
        <f aca="false">IF(COUNTIF(CAPA3_EXPANSION!$D$56:BQ$56,"&gt;="&amp;6)=0,0,SUP_CONTROL!$C$8*IF($B13="V",1,IF($B13="D",(1+SUP_VOLUMEN!$C$26),(1+SUP_VOLUMEN!$C$27)))*INDEX(SUP_C3_EXPANSION!$C$6:$F$6,MIN(4,COUNTIF(CAPA3_EXPANSION!$D$56:BQ$56,"&gt;="&amp;6)))*CAPA3_EXPANSION!BQ$36)</f>
        <v>3696</v>
      </c>
      <c r="BR13" s="298" t="n">
        <f aca="false">IF(COUNTIF(CAPA3_EXPANSION!$D$56:BR$56,"&gt;="&amp;6)=0,0,SUP_CONTROL!$C$8*IF($B13="V",1,IF($B13="D",(1+SUP_VOLUMEN!$C$26),(1+SUP_VOLUMEN!$C$27)))*INDEX(SUP_C3_EXPANSION!$C$6:$F$6,MIN(4,COUNTIF(CAPA3_EXPANSION!$D$56:BR$56,"&gt;="&amp;6)))*CAPA3_EXPANSION!BR$36)</f>
        <v>3696</v>
      </c>
      <c r="BS13" s="298" t="n">
        <f aca="false">IF(COUNTIF(CAPA3_EXPANSION!$D$56:BS$56,"&gt;="&amp;6)=0,0,SUP_CONTROL!$C$8*IF($B13="V",1,IF($B13="D",(1+SUP_VOLUMEN!$C$26),(1+SUP_VOLUMEN!$C$27)))*INDEX(SUP_C3_EXPANSION!$C$6:$F$6,MIN(4,COUNTIF(CAPA3_EXPANSION!$D$56:BS$56,"&gt;="&amp;6)))*CAPA3_EXPANSION!BS$36)</f>
        <v>3696</v>
      </c>
      <c r="BT13" s="298" t="n">
        <f aca="false">IF(COUNTIF(CAPA3_EXPANSION!$D$56:BT$56,"&gt;="&amp;6)=0,0,SUP_CONTROL!$C$8*IF($B13="V",1,IF($B13="D",(1+SUP_VOLUMEN!$C$26),(1+SUP_VOLUMEN!$C$27)))*INDEX(SUP_C3_EXPANSION!$C$6:$F$6,MIN(4,COUNTIF(CAPA3_EXPANSION!$D$56:BT$56,"&gt;="&amp;6)))*CAPA3_EXPANSION!BT$36)</f>
        <v>3696</v>
      </c>
      <c r="BU13" s="298" t="n">
        <f aca="false">IF(COUNTIF(CAPA3_EXPANSION!$D$56:BU$56,"&gt;="&amp;6)=0,0,SUP_CONTROL!$C$8*IF($B13="V",1,IF($B13="D",(1+SUP_VOLUMEN!$C$26),(1+SUP_VOLUMEN!$C$27)))*INDEX(SUP_C3_EXPANSION!$C$6:$F$6,MIN(4,COUNTIF(CAPA3_EXPANSION!$D$56:BU$56,"&gt;="&amp;6)))*CAPA3_EXPANSION!BU$36)</f>
        <v>3696</v>
      </c>
      <c r="BV13" s="298" t="n">
        <f aca="false">IF(COUNTIF(CAPA3_EXPANSION!$D$56:BV$56,"&gt;="&amp;6)=0,0,SUP_CONTROL!$C$8*IF($B13="V",1,IF($B13="D",(1+SUP_VOLUMEN!$C$26),(1+SUP_VOLUMEN!$C$27)))*INDEX(SUP_C3_EXPANSION!$C$6:$F$6,MIN(4,COUNTIF(CAPA3_EXPANSION!$D$56:BV$56,"&gt;="&amp;6)))*CAPA3_EXPANSION!BV$36)</f>
        <v>3696</v>
      </c>
      <c r="BW13" s="298" t="n">
        <f aca="false">IF(COUNTIF(CAPA3_EXPANSION!$D$56:BW$56,"&gt;="&amp;6)=0,0,SUP_CONTROL!$C$8*IF($B13="V",1,IF($B13="D",(1+SUP_VOLUMEN!$C$26),(1+SUP_VOLUMEN!$C$27)))*INDEX(SUP_C3_EXPANSION!$C$6:$F$6,MIN(4,COUNTIF(CAPA3_EXPANSION!$D$56:BW$56,"&gt;="&amp;6)))*CAPA3_EXPANSION!BW$36)</f>
        <v>3633</v>
      </c>
      <c r="BX13" s="298" t="n">
        <f aca="false">IF(COUNTIF(CAPA3_EXPANSION!$D$56:BX$56,"&gt;="&amp;6)=0,0,SUP_CONTROL!$C$8*IF($B13="V",1,IF($B13="D",(1+SUP_VOLUMEN!$C$26),(1+SUP_VOLUMEN!$C$27)))*INDEX(SUP_C3_EXPANSION!$C$6:$F$6,MIN(4,COUNTIF(CAPA3_EXPANSION!$D$56:BX$56,"&gt;="&amp;6)))*CAPA3_EXPANSION!BX$36)</f>
        <v>3633</v>
      </c>
      <c r="BY13" s="298" t="n">
        <f aca="false">IF(COUNTIF(CAPA3_EXPANSION!$D$56:BY$56,"&gt;="&amp;6)=0,0,SUP_CONTROL!$C$8*IF($B13="V",1,IF($B13="D",(1+SUP_VOLUMEN!$C$26),(1+SUP_VOLUMEN!$C$27)))*INDEX(SUP_C3_EXPANSION!$C$6:$F$6,MIN(4,COUNTIF(CAPA3_EXPANSION!$D$56:BY$56,"&gt;="&amp;6)))*CAPA3_EXPANSION!BY$36)</f>
        <v>3633</v>
      </c>
      <c r="BZ13" s="298" t="n">
        <f aca="false">IF(COUNTIF(CAPA3_EXPANSION!$D$56:BZ$56,"&gt;="&amp;6)=0,0,SUP_CONTROL!$C$8*IF($B13="V",1,IF($B13="D",(1+SUP_VOLUMEN!$C$26),(1+SUP_VOLUMEN!$C$27)))*INDEX(SUP_C3_EXPANSION!$C$6:$F$6,MIN(4,COUNTIF(CAPA3_EXPANSION!$D$56:BZ$56,"&gt;="&amp;6)))*CAPA3_EXPANSION!BZ$36)</f>
        <v>3633</v>
      </c>
      <c r="CA13" s="298" t="n">
        <f aca="false">IF(COUNTIF(CAPA3_EXPANSION!$D$56:CA$56,"&gt;="&amp;6)=0,0,SUP_CONTROL!$C$8*IF($B13="V",1,IF($B13="D",(1+SUP_VOLUMEN!$C$26),(1+SUP_VOLUMEN!$C$27)))*INDEX(SUP_C3_EXPANSION!$C$6:$F$6,MIN(4,COUNTIF(CAPA3_EXPANSION!$D$56:CA$56,"&gt;="&amp;6)))*CAPA3_EXPANSION!CA$36)</f>
        <v>3633</v>
      </c>
      <c r="CB13" s="298" t="n">
        <f aca="false">IF(COUNTIF(CAPA3_EXPANSION!$D$56:CB$56,"&gt;="&amp;6)=0,0,SUP_CONTROL!$C$8*IF($B13="V",1,IF($B13="D",(1+SUP_VOLUMEN!$C$26),(1+SUP_VOLUMEN!$C$27)))*INDEX(SUP_C3_EXPANSION!$C$6:$F$6,MIN(4,COUNTIF(CAPA3_EXPANSION!$D$56:CB$56,"&gt;="&amp;6)))*CAPA3_EXPANSION!CB$36)</f>
        <v>3570</v>
      </c>
      <c r="CC13" s="298" t="n">
        <f aca="false">IF(COUNTIF(CAPA3_EXPANSION!$D$56:CC$56,"&gt;="&amp;6)=0,0,SUP_CONTROL!$C$8*IF($B13="V",1,IF($B13="D",(1+SUP_VOLUMEN!$C$26),(1+SUP_VOLUMEN!$C$27)))*INDEX(SUP_C3_EXPANSION!$C$6:$F$6,MIN(4,COUNTIF(CAPA3_EXPANSION!$D$56:CC$56,"&gt;="&amp;6)))*CAPA3_EXPANSION!CC$36)</f>
        <v>3570</v>
      </c>
      <c r="CD13" s="298" t="n">
        <f aca="false">IF(COUNTIF(CAPA3_EXPANSION!$D$56:CD$56,"&gt;="&amp;6)=0,0,SUP_CONTROL!$C$8*IF($B13="V",1,IF($B13="D",(1+SUP_VOLUMEN!$C$26),(1+SUP_VOLUMEN!$C$27)))*INDEX(SUP_C3_EXPANSION!$C$6:$F$6,MIN(4,COUNTIF(CAPA3_EXPANSION!$D$56:CD$56,"&gt;="&amp;6)))*CAPA3_EXPANSION!CD$36)</f>
        <v>3570</v>
      </c>
      <c r="CE13" s="298" t="n">
        <f aca="false">IF(COUNTIF(CAPA3_EXPANSION!$D$56:CE$56,"&gt;="&amp;6)=0,0,SUP_CONTROL!$C$8*IF($B13="V",1,IF($B13="D",(1+SUP_VOLUMEN!$C$26),(1+SUP_VOLUMEN!$C$27)))*INDEX(SUP_C3_EXPANSION!$C$6:$F$6,MIN(4,COUNTIF(CAPA3_EXPANSION!$D$56:CE$56,"&gt;="&amp;6)))*CAPA3_EXPANSION!CE$36)</f>
        <v>3570</v>
      </c>
      <c r="CF13" s="298" t="n">
        <f aca="false">IF(COUNTIF(CAPA3_EXPANSION!$D$56:CF$56,"&gt;="&amp;6)=0,0,SUP_CONTROL!$C$8*IF($B13="V",1,IF($B13="D",(1+SUP_VOLUMEN!$C$26),(1+SUP_VOLUMEN!$C$27)))*INDEX(SUP_C3_EXPANSION!$C$6:$F$6,MIN(4,COUNTIF(CAPA3_EXPANSION!$D$56:CF$56,"&gt;="&amp;6)))*CAPA3_EXPANSION!CF$36)</f>
        <v>3570</v>
      </c>
      <c r="CG13" s="298" t="n">
        <f aca="false">IF(COUNTIF(CAPA3_EXPANSION!$D$56:CG$56,"&gt;="&amp;6)=0,0,SUP_CONTROL!$C$8*IF($B13="V",1,IF($B13="D",(1+SUP_VOLUMEN!$C$26),(1+SUP_VOLUMEN!$C$27)))*INDEX(SUP_C3_EXPANSION!$C$6:$F$6,MIN(4,COUNTIF(CAPA3_EXPANSION!$D$56:CG$56,"&gt;="&amp;6)))*CAPA3_EXPANSION!CG$36)</f>
        <v>3528</v>
      </c>
      <c r="CH13" s="298" t="n">
        <f aca="false">IF(COUNTIF(CAPA3_EXPANSION!$D$56:CH$56,"&gt;="&amp;6)=0,0,SUP_CONTROL!$C$8*IF($B13="V",1,IF($B13="D",(1+SUP_VOLUMEN!$C$26),(1+SUP_VOLUMEN!$C$27)))*INDEX(SUP_C3_EXPANSION!$C$6:$F$6,MIN(4,COUNTIF(CAPA3_EXPANSION!$D$56:CH$56,"&gt;="&amp;6)))*CAPA3_EXPANSION!CH$36)</f>
        <v>3528</v>
      </c>
      <c r="CI13" s="298" t="n">
        <f aca="false">IF(COUNTIF(CAPA3_EXPANSION!$D$56:CI$56,"&gt;="&amp;6)=0,0,SUP_CONTROL!$C$8*IF($B13="V",1,IF($B13="D",(1+SUP_VOLUMEN!$C$26),(1+SUP_VOLUMEN!$C$27)))*INDEX(SUP_C3_EXPANSION!$C$6:$F$6,MIN(4,COUNTIF(CAPA3_EXPANSION!$D$56:CI$56,"&gt;="&amp;6)))*CAPA3_EXPANSION!CI$36)</f>
        <v>3528</v>
      </c>
      <c r="CJ13" s="298" t="n">
        <f aca="false">IF(COUNTIF(CAPA3_EXPANSION!$D$56:CJ$56,"&gt;="&amp;6)=0,0,SUP_CONTROL!$C$8*IF($B13="V",1,IF($B13="D",(1+SUP_VOLUMEN!$C$26),(1+SUP_VOLUMEN!$C$27)))*INDEX(SUP_C3_EXPANSION!$C$6:$F$6,MIN(4,COUNTIF(CAPA3_EXPANSION!$D$56:CJ$56,"&gt;="&amp;6)))*CAPA3_EXPANSION!CJ$36)</f>
        <v>3528</v>
      </c>
      <c r="CK13" s="298" t="n">
        <f aca="false">IF(COUNTIF(CAPA3_EXPANSION!$D$56:CK$56,"&gt;="&amp;6)=0,0,SUP_CONTROL!$C$8*IF($B13="V",1,IF($B13="D",(1+SUP_VOLUMEN!$C$26),(1+SUP_VOLUMEN!$C$27)))*INDEX(SUP_C3_EXPANSION!$C$6:$F$6,MIN(4,COUNTIF(CAPA3_EXPANSION!$D$56:CK$56,"&gt;="&amp;6)))*CAPA3_EXPANSION!CK$36)</f>
        <v>3528</v>
      </c>
      <c r="CL13" s="298" t="n">
        <f aca="false">IF(COUNTIF(CAPA3_EXPANSION!$D$56:CL$56,"&gt;="&amp;6)=0,0,SUP_CONTROL!$C$8*IF($B13="V",1,IF($B13="D",(1+SUP_VOLUMEN!$C$26),(1+SUP_VOLUMEN!$C$27)))*INDEX(SUP_C3_EXPANSION!$C$6:$F$6,MIN(4,COUNTIF(CAPA3_EXPANSION!$D$56:CL$56,"&gt;="&amp;6)))*CAPA3_EXPANSION!CL$36)</f>
        <v>3528</v>
      </c>
      <c r="CM13" s="298" t="n">
        <f aca="false">IF(COUNTIF(CAPA3_EXPANSION!$D$56:CM$56,"&gt;="&amp;6)=0,0,SUP_CONTROL!$C$8*IF($B13="V",1,IF($B13="D",(1+SUP_VOLUMEN!$C$26),(1+SUP_VOLUMEN!$C$27)))*INDEX(SUP_C3_EXPANSION!$C$6:$F$6,MIN(4,COUNTIF(CAPA3_EXPANSION!$D$56:CM$56,"&gt;="&amp;6)))*CAPA3_EXPANSION!CM$36)</f>
        <v>3528</v>
      </c>
      <c r="CN13" s="298" t="n">
        <f aca="false">IF(COUNTIF(CAPA3_EXPANSION!$D$56:CN$56,"&gt;="&amp;6)=0,0,SUP_CONTROL!$C$8*IF($B13="V",1,IF($B13="D",(1+SUP_VOLUMEN!$C$26),(1+SUP_VOLUMEN!$C$27)))*INDEX(SUP_C3_EXPANSION!$C$6:$F$6,MIN(4,COUNTIF(CAPA3_EXPANSION!$D$56:CN$56,"&gt;="&amp;6)))*CAPA3_EXPANSION!CN$36)</f>
        <v>3528</v>
      </c>
      <c r="CO13" s="298" t="n">
        <f aca="false">IF(COUNTIF(CAPA3_EXPANSION!$D$56:CO$56,"&gt;="&amp;6)=0,0,SUP_CONTROL!$C$8*IF($B13="V",1,IF($B13="D",(1+SUP_VOLUMEN!$C$26),(1+SUP_VOLUMEN!$C$27)))*INDEX(SUP_C3_EXPANSION!$C$6:$F$6,MIN(4,COUNTIF(CAPA3_EXPANSION!$D$56:CO$56,"&gt;="&amp;6)))*CAPA3_EXPANSION!CO$36)</f>
        <v>3528</v>
      </c>
      <c r="CP13" s="298" t="n">
        <f aca="false">IF(COUNTIF(CAPA3_EXPANSION!$D$56:CP$56,"&gt;="&amp;6)=0,0,SUP_CONTROL!$C$8*IF($B13="V",1,IF($B13="D",(1+SUP_VOLUMEN!$C$26),(1+SUP_VOLUMEN!$C$27)))*INDEX(SUP_C3_EXPANSION!$C$6:$F$6,MIN(4,COUNTIF(CAPA3_EXPANSION!$D$56:CP$56,"&gt;="&amp;6)))*CAPA3_EXPANSION!CP$36)</f>
        <v>3528</v>
      </c>
      <c r="CQ13" s="298" t="n">
        <f aca="false">IF(COUNTIF(CAPA3_EXPANSION!$D$56:CQ$56,"&gt;="&amp;6)=0,0,SUP_CONTROL!$C$8*IF($B13="V",1,IF($B13="D",(1+SUP_VOLUMEN!$C$26),(1+SUP_VOLUMEN!$C$27)))*INDEX(SUP_C3_EXPANSION!$C$6:$F$6,MIN(4,COUNTIF(CAPA3_EXPANSION!$D$56:CQ$56,"&gt;="&amp;6)))*CAPA3_EXPANSION!CQ$36)</f>
        <v>3528</v>
      </c>
      <c r="CR13" s="298" t="n">
        <f aca="false">IF(COUNTIF(CAPA3_EXPANSION!$D$56:CR$56,"&gt;="&amp;6)=0,0,SUP_CONTROL!$C$8*IF($B13="V",1,IF($B13="D",(1+SUP_VOLUMEN!$C$26),(1+SUP_VOLUMEN!$C$27)))*INDEX(SUP_C3_EXPANSION!$C$6:$F$6,MIN(4,COUNTIF(CAPA3_EXPANSION!$D$56:CR$56,"&gt;="&amp;6)))*CAPA3_EXPANSION!CR$36)</f>
        <v>3528</v>
      </c>
      <c r="CS13" s="298" t="n">
        <f aca="false">IF(COUNTIF(CAPA3_EXPANSION!$D$56:CS$56,"&gt;="&amp;6)=0,0,SUP_CONTROL!$C$8*IF($B13="V",1,IF($B13="D",(1+SUP_VOLUMEN!$C$26),(1+SUP_VOLUMEN!$C$27)))*INDEX(SUP_C3_EXPANSION!$C$6:$F$6,MIN(4,COUNTIF(CAPA3_EXPANSION!$D$56:CS$56,"&gt;="&amp;6)))*CAPA3_EXPANSION!CS$36)</f>
        <v>3528</v>
      </c>
      <c r="CT13" s="298" t="n">
        <f aca="false">IF(COUNTIF(CAPA3_EXPANSION!$D$56:CT$56,"&gt;="&amp;6)=0,0,SUP_CONTROL!$C$8*IF($B13="V",1,IF($B13="D",(1+SUP_VOLUMEN!$C$26),(1+SUP_VOLUMEN!$C$27)))*INDEX(SUP_C3_EXPANSION!$C$6:$F$6,MIN(4,COUNTIF(CAPA3_EXPANSION!$D$56:CT$56,"&gt;="&amp;6)))*CAPA3_EXPANSION!CT$36)</f>
        <v>3528</v>
      </c>
      <c r="CU13" s="298" t="n">
        <f aca="false">IF(COUNTIF(CAPA3_EXPANSION!$D$56:CU$56,"&gt;="&amp;6)=0,0,SUP_CONTROL!$C$8*IF($B13="V",1,IF($B13="D",(1+SUP_VOLUMEN!$C$26),(1+SUP_VOLUMEN!$C$27)))*INDEX(SUP_C3_EXPANSION!$C$6:$F$6,MIN(4,COUNTIF(CAPA3_EXPANSION!$D$56:CU$56,"&gt;="&amp;6)))*CAPA3_EXPANSION!CU$36)</f>
        <v>3528</v>
      </c>
      <c r="CV13" s="298" t="n">
        <f aca="false">IF(COUNTIF(CAPA3_EXPANSION!$D$56:CV$56,"&gt;="&amp;6)=0,0,SUP_CONTROL!$C$8*IF($B13="V",1,IF($B13="D",(1+SUP_VOLUMEN!$C$26),(1+SUP_VOLUMEN!$C$27)))*INDEX(SUP_C3_EXPANSION!$C$6:$F$6,MIN(4,COUNTIF(CAPA3_EXPANSION!$D$56:CV$56,"&gt;="&amp;6)))*CAPA3_EXPANSION!CV$36)</f>
        <v>3528</v>
      </c>
      <c r="CW13" s="298" t="n">
        <f aca="false">IF(COUNTIF(CAPA3_EXPANSION!$D$56:CW$56,"&gt;="&amp;6)=0,0,SUP_CONTROL!$C$8*IF($B13="V",1,IF($B13="D",(1+SUP_VOLUMEN!$C$26),(1+SUP_VOLUMEN!$C$27)))*INDEX(SUP_C3_EXPANSION!$C$6:$F$6,MIN(4,COUNTIF(CAPA3_EXPANSION!$D$56:CW$56,"&gt;="&amp;6)))*CAPA3_EXPANSION!CW$36)</f>
        <v>3528</v>
      </c>
      <c r="CX13" s="298" t="n">
        <f aca="false">IF(COUNTIF(CAPA3_EXPANSION!$D$56:CX$56,"&gt;="&amp;6)=0,0,SUP_CONTROL!$C$8*IF($B13="V",1,IF($B13="D",(1+SUP_VOLUMEN!$C$26),(1+SUP_VOLUMEN!$C$27)))*INDEX(SUP_C3_EXPANSION!$C$6:$F$6,MIN(4,COUNTIF(CAPA3_EXPANSION!$D$56:CX$56,"&gt;="&amp;6)))*CAPA3_EXPANSION!CX$36)</f>
        <v>3528</v>
      </c>
      <c r="CY13" s="298" t="n">
        <f aca="false">IF(COUNTIF(CAPA3_EXPANSION!$D$56:CY$56,"&gt;="&amp;6)=0,0,SUP_CONTROL!$C$8*IF($B13="V",1,IF($B13="D",(1+SUP_VOLUMEN!$C$26),(1+SUP_VOLUMEN!$C$27)))*INDEX(SUP_C3_EXPANSION!$C$6:$F$6,MIN(4,COUNTIF(CAPA3_EXPANSION!$D$56:CY$56,"&gt;="&amp;6)))*CAPA3_EXPANSION!CY$36)</f>
        <v>3528</v>
      </c>
      <c r="CZ13" s="298" t="n">
        <f aca="false">IF(COUNTIF(CAPA3_EXPANSION!$D$56:CZ$56,"&gt;="&amp;6)=0,0,SUP_CONTROL!$C$8*IF($B13="V",1,IF($B13="D",(1+SUP_VOLUMEN!$C$26),(1+SUP_VOLUMEN!$C$27)))*INDEX(SUP_C3_EXPANSION!$C$6:$F$6,MIN(4,COUNTIF(CAPA3_EXPANSION!$D$56:CZ$56,"&gt;="&amp;6)))*CAPA3_EXPANSION!CZ$36)</f>
        <v>3528</v>
      </c>
      <c r="DA13" s="298" t="n">
        <f aca="false">IF(COUNTIF(CAPA3_EXPANSION!$D$56:DA$56,"&gt;="&amp;6)=0,0,SUP_CONTROL!$C$8*IF($B13="V",1,IF($B13="D",(1+SUP_VOLUMEN!$C$26),(1+SUP_VOLUMEN!$C$27)))*INDEX(SUP_C3_EXPANSION!$C$6:$F$6,MIN(4,COUNTIF(CAPA3_EXPANSION!$D$56:DA$56,"&gt;="&amp;6)))*CAPA3_EXPANSION!DA$36)</f>
        <v>3528</v>
      </c>
      <c r="DB13" s="298" t="n">
        <f aca="false">IF(COUNTIF(CAPA3_EXPANSION!$D$56:DB$56,"&gt;="&amp;6)=0,0,SUP_CONTROL!$C$8*IF($B13="V",1,IF($B13="D",(1+SUP_VOLUMEN!$C$26),(1+SUP_VOLUMEN!$C$27)))*INDEX(SUP_C3_EXPANSION!$C$6:$F$6,MIN(4,COUNTIF(CAPA3_EXPANSION!$D$56:DB$56,"&gt;="&amp;6)))*CAPA3_EXPANSION!DB$36)</f>
        <v>3528</v>
      </c>
      <c r="DC13" s="298" t="n">
        <f aca="false">IF(COUNTIF(CAPA3_EXPANSION!$D$56:DC$56,"&gt;="&amp;6)=0,0,SUP_CONTROL!$C$8*IF($B13="V",1,IF($B13="D",(1+SUP_VOLUMEN!$C$26),(1+SUP_VOLUMEN!$C$27)))*INDEX(SUP_C3_EXPANSION!$C$6:$F$6,MIN(4,COUNTIF(CAPA3_EXPANSION!$D$56:DC$56,"&gt;="&amp;6)))*CAPA3_EXPANSION!DC$36)</f>
        <v>3528</v>
      </c>
      <c r="DD13" s="298" t="n">
        <f aca="false">IF(COUNTIF(CAPA3_EXPANSION!$D$56:DD$56,"&gt;="&amp;6)=0,0,SUP_CONTROL!$C$8*IF($B13="V",1,IF($B13="D",(1+SUP_VOLUMEN!$C$26),(1+SUP_VOLUMEN!$C$27)))*INDEX(SUP_C3_EXPANSION!$C$6:$F$6,MIN(4,COUNTIF(CAPA3_EXPANSION!$D$56:DD$56,"&gt;="&amp;6)))*CAPA3_EXPANSION!DD$36)</f>
        <v>3528</v>
      </c>
      <c r="DE13" s="298" t="n">
        <f aca="false">IF(COUNTIF(CAPA3_EXPANSION!$D$56:DE$56,"&gt;="&amp;6)=0,0,SUP_CONTROL!$C$8*IF($B13="V",1,IF($B13="D",(1+SUP_VOLUMEN!$C$26),(1+SUP_VOLUMEN!$C$27)))*INDEX(SUP_C3_EXPANSION!$C$6:$F$6,MIN(4,COUNTIF(CAPA3_EXPANSION!$D$56:DE$56,"&gt;="&amp;6)))*CAPA3_EXPANSION!DE$36)</f>
        <v>3528</v>
      </c>
      <c r="DF13" s="298" t="n">
        <f aca="false">IF(COUNTIF(CAPA3_EXPANSION!$D$56:DF$56,"&gt;="&amp;6)=0,0,SUP_CONTROL!$C$8*IF($B13="V",1,IF($B13="D",(1+SUP_VOLUMEN!$C$26),(1+SUP_VOLUMEN!$C$27)))*INDEX(SUP_C3_EXPANSION!$C$6:$F$6,MIN(4,COUNTIF(CAPA3_EXPANSION!$D$56:DF$56,"&gt;="&amp;6)))*CAPA3_EXPANSION!DF$36)</f>
        <v>3528</v>
      </c>
      <c r="DG13" s="298" t="n">
        <f aca="false">IF(COUNTIF(CAPA3_EXPANSION!$D$56:DG$56,"&gt;="&amp;6)=0,0,SUP_CONTROL!$C$8*IF($B13="V",1,IF($B13="D",(1+SUP_VOLUMEN!$C$26),(1+SUP_VOLUMEN!$C$27)))*INDEX(SUP_C3_EXPANSION!$C$6:$F$6,MIN(4,COUNTIF(CAPA3_EXPANSION!$D$56:DG$56,"&gt;="&amp;6)))*CAPA3_EXPANSION!DG$36)</f>
        <v>3528</v>
      </c>
      <c r="DH13" s="298" t="n">
        <f aca="false">IF(COUNTIF(CAPA3_EXPANSION!$D$56:DH$56,"&gt;="&amp;6)=0,0,SUP_CONTROL!$C$8*IF($B13="V",1,IF($B13="D",(1+SUP_VOLUMEN!$C$26),(1+SUP_VOLUMEN!$C$27)))*INDEX(SUP_C3_EXPANSION!$C$6:$F$6,MIN(4,COUNTIF(CAPA3_EXPANSION!$D$56:DH$56,"&gt;="&amp;6)))*CAPA3_EXPANSION!DH$36)</f>
        <v>3528</v>
      </c>
      <c r="DI13" s="298" t="n">
        <f aca="false">IF(COUNTIF(CAPA3_EXPANSION!$D$56:DI$56,"&gt;="&amp;6)=0,0,SUP_CONTROL!$C$8*IF($B13="V",1,IF($B13="D",(1+SUP_VOLUMEN!$C$26),(1+SUP_VOLUMEN!$C$27)))*INDEX(SUP_C3_EXPANSION!$C$6:$F$6,MIN(4,COUNTIF(CAPA3_EXPANSION!$D$56:DI$56,"&gt;="&amp;6)))*CAPA3_EXPANSION!DI$36)</f>
        <v>3528</v>
      </c>
      <c r="DJ13" s="298" t="n">
        <f aca="false">IF(COUNTIF(CAPA3_EXPANSION!$D$56:DJ$56,"&gt;="&amp;6)=0,0,SUP_CONTROL!$C$8*IF($B13="V",1,IF($B13="D",(1+SUP_VOLUMEN!$C$26),(1+SUP_VOLUMEN!$C$27)))*INDEX(SUP_C3_EXPANSION!$C$6:$F$6,MIN(4,COUNTIF(CAPA3_EXPANSION!$D$56:DJ$56,"&gt;="&amp;6)))*CAPA3_EXPANSION!DJ$36)</f>
        <v>3528</v>
      </c>
      <c r="DK13" s="298" t="n">
        <f aca="false">IF(COUNTIF(CAPA3_EXPANSION!$D$56:DK$56,"&gt;="&amp;6)=0,0,SUP_CONTROL!$C$8*IF($B13="V",1,IF($B13="D",(1+SUP_VOLUMEN!$C$26),(1+SUP_VOLUMEN!$C$27)))*INDEX(SUP_C3_EXPANSION!$C$6:$F$6,MIN(4,COUNTIF(CAPA3_EXPANSION!$D$56:DK$56,"&gt;="&amp;6)))*CAPA3_EXPANSION!DK$36)</f>
        <v>3528</v>
      </c>
      <c r="DL13" s="298" t="n">
        <f aca="false">IF(COUNTIF(CAPA3_EXPANSION!$D$56:DL$56,"&gt;="&amp;6)=0,0,SUP_CONTROL!$C$8*IF($B13="V",1,IF($B13="D",(1+SUP_VOLUMEN!$C$26),(1+SUP_VOLUMEN!$C$27)))*INDEX(SUP_C3_EXPANSION!$C$6:$F$6,MIN(4,COUNTIF(CAPA3_EXPANSION!$D$56:DL$56,"&gt;="&amp;6)))*CAPA3_EXPANSION!DL$36)</f>
        <v>3528</v>
      </c>
      <c r="DM13" s="298" t="n">
        <f aca="false">IF(COUNTIF(CAPA3_EXPANSION!$D$56:DM$56,"&gt;="&amp;6)=0,0,SUP_CONTROL!$C$8*IF($B13="V",1,IF($B13="D",(1+SUP_VOLUMEN!$C$26),(1+SUP_VOLUMEN!$C$27)))*INDEX(SUP_C3_EXPANSION!$C$6:$F$6,MIN(4,COUNTIF(CAPA3_EXPANSION!$D$56:DM$56,"&gt;="&amp;6)))*CAPA3_EXPANSION!DM$36)</f>
        <v>3528</v>
      </c>
      <c r="DN13" s="298" t="n">
        <f aca="false">IF(COUNTIF(CAPA3_EXPANSION!$D$56:DN$56,"&gt;="&amp;6)=0,0,SUP_CONTROL!$C$8*IF($B13="V",1,IF($B13="D",(1+SUP_VOLUMEN!$C$26),(1+SUP_VOLUMEN!$C$27)))*INDEX(SUP_C3_EXPANSION!$C$6:$F$6,MIN(4,COUNTIF(CAPA3_EXPANSION!$D$56:DN$56,"&gt;="&amp;6)))*CAPA3_EXPANSION!DN$36)</f>
        <v>3528</v>
      </c>
      <c r="DO13" s="298" t="n">
        <f aca="false">IF(COUNTIF(CAPA3_EXPANSION!$D$56:DO$56,"&gt;="&amp;6)=0,0,SUP_CONTROL!$C$8*IF($B13="V",1,IF($B13="D",(1+SUP_VOLUMEN!$C$26),(1+SUP_VOLUMEN!$C$27)))*INDEX(SUP_C3_EXPANSION!$C$6:$F$6,MIN(4,COUNTIF(CAPA3_EXPANSION!$D$56:DO$56,"&gt;="&amp;6)))*CAPA3_EXPANSION!DO$36)</f>
        <v>3528</v>
      </c>
      <c r="DP13" s="298" t="n">
        <f aca="false">IF(COUNTIF(CAPA3_EXPANSION!$D$56:DP$56,"&gt;="&amp;6)=0,0,SUP_CONTROL!$C$8*IF($B13="V",1,IF($B13="D",(1+SUP_VOLUMEN!$C$26),(1+SUP_VOLUMEN!$C$27)))*INDEX(SUP_C3_EXPANSION!$C$6:$F$6,MIN(4,COUNTIF(CAPA3_EXPANSION!$D$56:DP$56,"&gt;="&amp;6)))*CAPA3_EXPANSION!DP$36)</f>
        <v>3528</v>
      </c>
      <c r="DQ13" s="298" t="n">
        <f aca="false">IF(COUNTIF(CAPA3_EXPANSION!$D$56:DQ$56,"&gt;="&amp;6)=0,0,SUP_CONTROL!$C$8*IF($B13="V",1,IF($B13="D",(1+SUP_VOLUMEN!$C$26),(1+SUP_VOLUMEN!$C$27)))*INDEX(SUP_C3_EXPANSION!$C$6:$F$6,MIN(4,COUNTIF(CAPA3_EXPANSION!$D$56:DQ$56,"&gt;="&amp;6)))*CAPA3_EXPANSION!DQ$36)</f>
        <v>3528</v>
      </c>
      <c r="DR13" s="298" t="n">
        <f aca="false">IF(COUNTIF(CAPA3_EXPANSION!$D$56:DR$56,"&gt;="&amp;6)=0,0,SUP_CONTROL!$C$8*IF($B13="V",1,IF($B13="D",(1+SUP_VOLUMEN!$C$26),(1+SUP_VOLUMEN!$C$27)))*INDEX(SUP_C3_EXPANSION!$C$6:$F$6,MIN(4,COUNTIF(CAPA3_EXPANSION!$D$56:DR$56,"&gt;="&amp;6)))*CAPA3_EXPANSION!DR$36)</f>
        <v>3528</v>
      </c>
      <c r="DS13" s="298" t="n">
        <f aca="false">IF(COUNTIF(CAPA3_EXPANSION!$D$56:DS$56,"&gt;="&amp;6)=0,0,SUP_CONTROL!$C$8*IF($B13="V",1,IF($B13="D",(1+SUP_VOLUMEN!$C$26),(1+SUP_VOLUMEN!$C$27)))*INDEX(SUP_C3_EXPANSION!$C$6:$F$6,MIN(4,COUNTIF(CAPA3_EXPANSION!$D$56:DS$56,"&gt;="&amp;6)))*CAPA3_EXPANSION!DS$36)</f>
        <v>3528</v>
      </c>
    </row>
    <row r="14" customFormat="false" ht="15" hidden="false" customHeight="true" outlineLevel="0" collapsed="false">
      <c r="A14" s="298" t="n">
        <v>17</v>
      </c>
      <c r="B14" s="497" t="str">
        <f aca="false">SUP_C3_EXPANSION!B26</f>
        <v>V</v>
      </c>
      <c r="C14" s="267" t="n">
        <f aca="false">SUP_C3_EXPANSION!G26</f>
        <v>34</v>
      </c>
      <c r="D14" s="298" t="n">
        <f aca="false">IF(COUNTIF(CAPA3_EXPANSION!$D$56:D$56,"&gt;="&amp;7)=0,0,SUP_CONTROL!$C$8*IF($B14="V",1,IF($B14="D",(1+SUP_VOLUMEN!$C$26),(1+SUP_VOLUMEN!$C$27)))*INDEX(SUP_C3_EXPANSION!$C$6:$F$6,MIN(4,COUNTIF(CAPA3_EXPANSION!$D$56:D$56,"&gt;="&amp;7)))*CAPA3_EXPANSION!D$36)</f>
        <v>0</v>
      </c>
      <c r="E14" s="298" t="n">
        <f aca="false">IF(COUNTIF(CAPA3_EXPANSION!$D$56:E$56,"&gt;="&amp;7)=0,0,SUP_CONTROL!$C$8*IF($B14="V",1,IF($B14="D",(1+SUP_VOLUMEN!$C$26),(1+SUP_VOLUMEN!$C$27)))*INDEX(SUP_C3_EXPANSION!$C$6:$F$6,MIN(4,COUNTIF(CAPA3_EXPANSION!$D$56:E$56,"&gt;="&amp;7)))*CAPA3_EXPANSION!E$36)</f>
        <v>0</v>
      </c>
      <c r="F14" s="298" t="n">
        <f aca="false">IF(COUNTIF(CAPA3_EXPANSION!$D$56:F$56,"&gt;="&amp;7)=0,0,SUP_CONTROL!$C$8*IF($B14="V",1,IF($B14="D",(1+SUP_VOLUMEN!$C$26),(1+SUP_VOLUMEN!$C$27)))*INDEX(SUP_C3_EXPANSION!$C$6:$F$6,MIN(4,COUNTIF(CAPA3_EXPANSION!$D$56:F$56,"&gt;="&amp;7)))*CAPA3_EXPANSION!F$36)</f>
        <v>0</v>
      </c>
      <c r="G14" s="298" t="n">
        <f aca="false">IF(COUNTIF(CAPA3_EXPANSION!$D$56:G$56,"&gt;="&amp;7)=0,0,SUP_CONTROL!$C$8*IF($B14="V",1,IF($B14="D",(1+SUP_VOLUMEN!$C$26),(1+SUP_VOLUMEN!$C$27)))*INDEX(SUP_C3_EXPANSION!$C$6:$F$6,MIN(4,COUNTIF(CAPA3_EXPANSION!$D$56:G$56,"&gt;="&amp;7)))*CAPA3_EXPANSION!G$36)</f>
        <v>0</v>
      </c>
      <c r="H14" s="298" t="n">
        <f aca="false">IF(COUNTIF(CAPA3_EXPANSION!$D$56:H$56,"&gt;="&amp;7)=0,0,SUP_CONTROL!$C$8*IF($B14="V",1,IF($B14="D",(1+SUP_VOLUMEN!$C$26),(1+SUP_VOLUMEN!$C$27)))*INDEX(SUP_C3_EXPANSION!$C$6:$F$6,MIN(4,COUNTIF(CAPA3_EXPANSION!$D$56:H$56,"&gt;="&amp;7)))*CAPA3_EXPANSION!H$36)</f>
        <v>0</v>
      </c>
      <c r="I14" s="298" t="n">
        <f aca="false">IF(COUNTIF(CAPA3_EXPANSION!$D$56:I$56,"&gt;="&amp;7)=0,0,SUP_CONTROL!$C$8*IF($B14="V",1,IF($B14="D",(1+SUP_VOLUMEN!$C$26),(1+SUP_VOLUMEN!$C$27)))*INDEX(SUP_C3_EXPANSION!$C$6:$F$6,MIN(4,COUNTIF(CAPA3_EXPANSION!$D$56:I$56,"&gt;="&amp;7)))*CAPA3_EXPANSION!I$36)</f>
        <v>0</v>
      </c>
      <c r="J14" s="298" t="n">
        <f aca="false">IF(COUNTIF(CAPA3_EXPANSION!$D$56:J$56,"&gt;="&amp;7)=0,0,SUP_CONTROL!$C$8*IF($B14="V",1,IF($B14="D",(1+SUP_VOLUMEN!$C$26),(1+SUP_VOLUMEN!$C$27)))*INDEX(SUP_C3_EXPANSION!$C$6:$F$6,MIN(4,COUNTIF(CAPA3_EXPANSION!$D$56:J$56,"&gt;="&amp;7)))*CAPA3_EXPANSION!J$36)</f>
        <v>0</v>
      </c>
      <c r="K14" s="298" t="n">
        <f aca="false">IF(COUNTIF(CAPA3_EXPANSION!$D$56:K$56,"&gt;="&amp;7)=0,0,SUP_CONTROL!$C$8*IF($B14="V",1,IF($B14="D",(1+SUP_VOLUMEN!$C$26),(1+SUP_VOLUMEN!$C$27)))*INDEX(SUP_C3_EXPANSION!$C$6:$F$6,MIN(4,COUNTIF(CAPA3_EXPANSION!$D$56:K$56,"&gt;="&amp;7)))*CAPA3_EXPANSION!K$36)</f>
        <v>0</v>
      </c>
      <c r="L14" s="298" t="n">
        <f aca="false">IF(COUNTIF(CAPA3_EXPANSION!$D$56:L$56,"&gt;="&amp;7)=0,0,SUP_CONTROL!$C$8*IF($B14="V",1,IF($B14="D",(1+SUP_VOLUMEN!$C$26),(1+SUP_VOLUMEN!$C$27)))*INDEX(SUP_C3_EXPANSION!$C$6:$F$6,MIN(4,COUNTIF(CAPA3_EXPANSION!$D$56:L$56,"&gt;="&amp;7)))*CAPA3_EXPANSION!L$36)</f>
        <v>0</v>
      </c>
      <c r="M14" s="298" t="n">
        <f aca="false">IF(COUNTIF(CAPA3_EXPANSION!$D$56:M$56,"&gt;="&amp;7)=0,0,SUP_CONTROL!$C$8*IF($B14="V",1,IF($B14="D",(1+SUP_VOLUMEN!$C$26),(1+SUP_VOLUMEN!$C$27)))*INDEX(SUP_C3_EXPANSION!$C$6:$F$6,MIN(4,COUNTIF(CAPA3_EXPANSION!$D$56:M$56,"&gt;="&amp;7)))*CAPA3_EXPANSION!M$36)</f>
        <v>0</v>
      </c>
      <c r="N14" s="298" t="n">
        <f aca="false">IF(COUNTIF(CAPA3_EXPANSION!$D$56:N$56,"&gt;="&amp;7)=0,0,SUP_CONTROL!$C$8*IF($B14="V",1,IF($B14="D",(1+SUP_VOLUMEN!$C$26),(1+SUP_VOLUMEN!$C$27)))*INDEX(SUP_C3_EXPANSION!$C$6:$F$6,MIN(4,COUNTIF(CAPA3_EXPANSION!$D$56:N$56,"&gt;="&amp;7)))*CAPA3_EXPANSION!N$36)</f>
        <v>0</v>
      </c>
      <c r="O14" s="298" t="n">
        <f aca="false">IF(COUNTIF(CAPA3_EXPANSION!$D$56:O$56,"&gt;="&amp;7)=0,0,SUP_CONTROL!$C$8*IF($B14="V",1,IF($B14="D",(1+SUP_VOLUMEN!$C$26),(1+SUP_VOLUMEN!$C$27)))*INDEX(SUP_C3_EXPANSION!$C$6:$F$6,MIN(4,COUNTIF(CAPA3_EXPANSION!$D$56:O$56,"&gt;="&amp;7)))*CAPA3_EXPANSION!O$36)</f>
        <v>0</v>
      </c>
      <c r="P14" s="298" t="n">
        <f aca="false">IF(COUNTIF(CAPA3_EXPANSION!$D$56:P$56,"&gt;="&amp;7)=0,0,SUP_CONTROL!$C$8*IF($B14="V",1,IF($B14="D",(1+SUP_VOLUMEN!$C$26),(1+SUP_VOLUMEN!$C$27)))*INDEX(SUP_C3_EXPANSION!$C$6:$F$6,MIN(4,COUNTIF(CAPA3_EXPANSION!$D$56:P$56,"&gt;="&amp;7)))*CAPA3_EXPANSION!P$36)</f>
        <v>0</v>
      </c>
      <c r="Q14" s="298" t="n">
        <f aca="false">IF(COUNTIF(CAPA3_EXPANSION!$D$56:Q$56,"&gt;="&amp;7)=0,0,SUP_CONTROL!$C$8*IF($B14="V",1,IF($B14="D",(1+SUP_VOLUMEN!$C$26),(1+SUP_VOLUMEN!$C$27)))*INDEX(SUP_C3_EXPANSION!$C$6:$F$6,MIN(4,COUNTIF(CAPA3_EXPANSION!$D$56:Q$56,"&gt;="&amp;7)))*CAPA3_EXPANSION!Q$36)</f>
        <v>0</v>
      </c>
      <c r="R14" s="298" t="n">
        <f aca="false">IF(COUNTIF(CAPA3_EXPANSION!$D$56:R$56,"&gt;="&amp;7)=0,0,SUP_CONTROL!$C$8*IF($B14="V",1,IF($B14="D",(1+SUP_VOLUMEN!$C$26),(1+SUP_VOLUMEN!$C$27)))*INDEX(SUP_C3_EXPANSION!$C$6:$F$6,MIN(4,COUNTIF(CAPA3_EXPANSION!$D$56:R$56,"&gt;="&amp;7)))*CAPA3_EXPANSION!R$36)</f>
        <v>0</v>
      </c>
      <c r="S14" s="298" t="n">
        <f aca="false">IF(COUNTIF(CAPA3_EXPANSION!$D$56:S$56,"&gt;="&amp;7)=0,0,SUP_CONTROL!$C$8*IF($B14="V",1,IF($B14="D",(1+SUP_VOLUMEN!$C$26),(1+SUP_VOLUMEN!$C$27)))*INDEX(SUP_C3_EXPANSION!$C$6:$F$6,MIN(4,COUNTIF(CAPA3_EXPANSION!$D$56:S$56,"&gt;="&amp;7)))*CAPA3_EXPANSION!S$36)</f>
        <v>0</v>
      </c>
      <c r="T14" s="298" t="n">
        <f aca="false">IF(COUNTIF(CAPA3_EXPANSION!$D$56:T$56,"&gt;="&amp;7)=0,0,SUP_CONTROL!$C$8*IF($B14="V",1,IF($B14="D",(1+SUP_VOLUMEN!$C$26),(1+SUP_VOLUMEN!$C$27)))*INDEX(SUP_C3_EXPANSION!$C$6:$F$6,MIN(4,COUNTIF(CAPA3_EXPANSION!$D$56:T$56,"&gt;="&amp;7)))*CAPA3_EXPANSION!T$36)</f>
        <v>0</v>
      </c>
      <c r="U14" s="298" t="n">
        <f aca="false">IF(COUNTIF(CAPA3_EXPANSION!$D$56:U$56,"&gt;="&amp;7)=0,0,SUP_CONTROL!$C$8*IF($B14="V",1,IF($B14="D",(1+SUP_VOLUMEN!$C$26),(1+SUP_VOLUMEN!$C$27)))*INDEX(SUP_C3_EXPANSION!$C$6:$F$6,MIN(4,COUNTIF(CAPA3_EXPANSION!$D$56:U$56,"&gt;="&amp;7)))*CAPA3_EXPANSION!U$36)</f>
        <v>0</v>
      </c>
      <c r="V14" s="298" t="n">
        <f aca="false">IF(COUNTIF(CAPA3_EXPANSION!$D$56:V$56,"&gt;="&amp;7)=0,0,SUP_CONTROL!$C$8*IF($B14="V",1,IF($B14="D",(1+SUP_VOLUMEN!$C$26),(1+SUP_VOLUMEN!$C$27)))*INDEX(SUP_C3_EXPANSION!$C$6:$F$6,MIN(4,COUNTIF(CAPA3_EXPANSION!$D$56:V$56,"&gt;="&amp;7)))*CAPA3_EXPANSION!V$36)</f>
        <v>0</v>
      </c>
      <c r="W14" s="298" t="n">
        <f aca="false">IF(COUNTIF(CAPA3_EXPANSION!$D$56:W$56,"&gt;="&amp;7)=0,0,SUP_CONTROL!$C$8*IF($B14="V",1,IF($B14="D",(1+SUP_VOLUMEN!$C$26),(1+SUP_VOLUMEN!$C$27)))*INDEX(SUP_C3_EXPANSION!$C$6:$F$6,MIN(4,COUNTIF(CAPA3_EXPANSION!$D$56:W$56,"&gt;="&amp;7)))*CAPA3_EXPANSION!W$36)</f>
        <v>0</v>
      </c>
      <c r="X14" s="298" t="n">
        <f aca="false">IF(COUNTIF(CAPA3_EXPANSION!$D$56:X$56,"&gt;="&amp;7)=0,0,SUP_CONTROL!$C$8*IF($B14="V",1,IF($B14="D",(1+SUP_VOLUMEN!$C$26),(1+SUP_VOLUMEN!$C$27)))*INDEX(SUP_C3_EXPANSION!$C$6:$F$6,MIN(4,COUNTIF(CAPA3_EXPANSION!$D$56:X$56,"&gt;="&amp;7)))*CAPA3_EXPANSION!X$36)</f>
        <v>0</v>
      </c>
      <c r="Y14" s="298" t="n">
        <f aca="false">IF(COUNTIF(CAPA3_EXPANSION!$D$56:Y$56,"&gt;="&amp;7)=0,0,SUP_CONTROL!$C$8*IF($B14="V",1,IF($B14="D",(1+SUP_VOLUMEN!$C$26),(1+SUP_VOLUMEN!$C$27)))*INDEX(SUP_C3_EXPANSION!$C$6:$F$6,MIN(4,COUNTIF(CAPA3_EXPANSION!$D$56:Y$56,"&gt;="&amp;7)))*CAPA3_EXPANSION!Y$36)</f>
        <v>0</v>
      </c>
      <c r="Z14" s="298" t="n">
        <f aca="false">IF(COUNTIF(CAPA3_EXPANSION!$D$56:Z$56,"&gt;="&amp;7)=0,0,SUP_CONTROL!$C$8*IF($B14="V",1,IF($B14="D",(1+SUP_VOLUMEN!$C$26),(1+SUP_VOLUMEN!$C$27)))*INDEX(SUP_C3_EXPANSION!$C$6:$F$6,MIN(4,COUNTIF(CAPA3_EXPANSION!$D$56:Z$56,"&gt;="&amp;7)))*CAPA3_EXPANSION!Z$36)</f>
        <v>0</v>
      </c>
      <c r="AA14" s="298" t="n">
        <f aca="false">IF(COUNTIF(CAPA3_EXPANSION!$D$56:AA$56,"&gt;="&amp;7)=0,0,SUP_CONTROL!$C$8*IF($B14="V",1,IF($B14="D",(1+SUP_VOLUMEN!$C$26),(1+SUP_VOLUMEN!$C$27)))*INDEX(SUP_C3_EXPANSION!$C$6:$F$6,MIN(4,COUNTIF(CAPA3_EXPANSION!$D$56:AA$56,"&gt;="&amp;7)))*CAPA3_EXPANSION!AA$36)</f>
        <v>0</v>
      </c>
      <c r="AB14" s="298" t="n">
        <f aca="false">IF(COUNTIF(CAPA3_EXPANSION!$D$56:AB$56,"&gt;="&amp;7)=0,0,SUP_CONTROL!$C$8*IF($B14="V",1,IF($B14="D",(1+SUP_VOLUMEN!$C$26),(1+SUP_VOLUMEN!$C$27)))*INDEX(SUP_C3_EXPANSION!$C$6:$F$6,MIN(4,COUNTIF(CAPA3_EXPANSION!$D$56:AB$56,"&gt;="&amp;7)))*CAPA3_EXPANSION!AB$36)</f>
        <v>0</v>
      </c>
      <c r="AC14" s="298" t="n">
        <f aca="false">IF(COUNTIF(CAPA3_EXPANSION!$D$56:AC$56,"&gt;="&amp;7)=0,0,SUP_CONTROL!$C$8*IF($B14="V",1,IF($B14="D",(1+SUP_VOLUMEN!$C$26),(1+SUP_VOLUMEN!$C$27)))*INDEX(SUP_C3_EXPANSION!$C$6:$F$6,MIN(4,COUNTIF(CAPA3_EXPANSION!$D$56:AC$56,"&gt;="&amp;7)))*CAPA3_EXPANSION!AC$36)</f>
        <v>0</v>
      </c>
      <c r="AD14" s="298" t="n">
        <f aca="false">IF(COUNTIF(CAPA3_EXPANSION!$D$56:AD$56,"&gt;="&amp;7)=0,0,SUP_CONTROL!$C$8*IF($B14="V",1,IF($B14="D",(1+SUP_VOLUMEN!$C$26),(1+SUP_VOLUMEN!$C$27)))*INDEX(SUP_C3_EXPANSION!$C$6:$F$6,MIN(4,COUNTIF(CAPA3_EXPANSION!$D$56:AD$56,"&gt;="&amp;7)))*CAPA3_EXPANSION!AD$36)</f>
        <v>0</v>
      </c>
      <c r="AE14" s="298" t="n">
        <f aca="false">IF(COUNTIF(CAPA3_EXPANSION!$D$56:AE$56,"&gt;="&amp;7)=0,0,SUP_CONTROL!$C$8*IF($B14="V",1,IF($B14="D",(1+SUP_VOLUMEN!$C$26),(1+SUP_VOLUMEN!$C$27)))*INDEX(SUP_C3_EXPANSION!$C$6:$F$6,MIN(4,COUNTIF(CAPA3_EXPANSION!$D$56:AE$56,"&gt;="&amp;7)))*CAPA3_EXPANSION!AE$36)</f>
        <v>0</v>
      </c>
      <c r="AF14" s="298" t="n">
        <f aca="false">IF(COUNTIF(CAPA3_EXPANSION!$D$56:AF$56,"&gt;="&amp;7)=0,0,SUP_CONTROL!$C$8*IF($B14="V",1,IF($B14="D",(1+SUP_VOLUMEN!$C$26),(1+SUP_VOLUMEN!$C$27)))*INDEX(SUP_C3_EXPANSION!$C$6:$F$6,MIN(4,COUNTIF(CAPA3_EXPANSION!$D$56:AF$56,"&gt;="&amp;7)))*CAPA3_EXPANSION!AF$36)</f>
        <v>0</v>
      </c>
      <c r="AG14" s="298" t="n">
        <f aca="false">IF(COUNTIF(CAPA3_EXPANSION!$D$56:AG$56,"&gt;="&amp;7)=0,0,SUP_CONTROL!$C$8*IF($B14="V",1,IF($B14="D",(1+SUP_VOLUMEN!$C$26),(1+SUP_VOLUMEN!$C$27)))*INDEX(SUP_C3_EXPANSION!$C$6:$F$6,MIN(4,COUNTIF(CAPA3_EXPANSION!$D$56:AG$56,"&gt;="&amp;7)))*CAPA3_EXPANSION!AG$36)</f>
        <v>0</v>
      </c>
      <c r="AH14" s="298" t="n">
        <f aca="false">IF(COUNTIF(CAPA3_EXPANSION!$D$56:AH$56,"&gt;="&amp;7)=0,0,SUP_CONTROL!$C$8*IF($B14="V",1,IF($B14="D",(1+SUP_VOLUMEN!$C$26),(1+SUP_VOLUMEN!$C$27)))*INDEX(SUP_C3_EXPANSION!$C$6:$F$6,MIN(4,COUNTIF(CAPA3_EXPANSION!$D$56:AH$56,"&gt;="&amp;7)))*CAPA3_EXPANSION!AH$36)</f>
        <v>0</v>
      </c>
      <c r="AI14" s="298" t="n">
        <f aca="false">IF(COUNTIF(CAPA3_EXPANSION!$D$56:AI$56,"&gt;="&amp;7)=0,0,SUP_CONTROL!$C$8*IF($B14="V",1,IF($B14="D",(1+SUP_VOLUMEN!$C$26),(1+SUP_VOLUMEN!$C$27)))*INDEX(SUP_C3_EXPANSION!$C$6:$F$6,MIN(4,COUNTIF(CAPA3_EXPANSION!$D$56:AI$56,"&gt;="&amp;7)))*CAPA3_EXPANSION!AI$36)</f>
        <v>0</v>
      </c>
      <c r="AJ14" s="298" t="n">
        <f aca="false">IF(COUNTIF(CAPA3_EXPANSION!$D$56:AJ$56,"&gt;="&amp;7)=0,0,SUP_CONTROL!$C$8*IF($B14="V",1,IF($B14="D",(1+SUP_VOLUMEN!$C$26),(1+SUP_VOLUMEN!$C$27)))*INDEX(SUP_C3_EXPANSION!$C$6:$F$6,MIN(4,COUNTIF(CAPA3_EXPANSION!$D$56:AJ$56,"&gt;="&amp;7)))*CAPA3_EXPANSION!AJ$36)</f>
        <v>0</v>
      </c>
      <c r="AK14" s="298" t="n">
        <f aca="false">IF(COUNTIF(CAPA3_EXPANSION!$D$56:AK$56,"&gt;="&amp;7)=0,0,SUP_CONTROL!$C$8*IF($B14="V",1,IF($B14="D",(1+SUP_VOLUMEN!$C$26),(1+SUP_VOLUMEN!$C$27)))*INDEX(SUP_C3_EXPANSION!$C$6:$F$6,MIN(4,COUNTIF(CAPA3_EXPANSION!$D$56:AK$56,"&gt;="&amp;7)))*CAPA3_EXPANSION!AK$36)</f>
        <v>0</v>
      </c>
      <c r="AL14" s="298" t="n">
        <f aca="false">IF(COUNTIF(CAPA3_EXPANSION!$D$56:AL$56,"&gt;="&amp;7)=0,0,SUP_CONTROL!$C$8*IF($B14="V",1,IF($B14="D",(1+SUP_VOLUMEN!$C$26),(1+SUP_VOLUMEN!$C$27)))*INDEX(SUP_C3_EXPANSION!$C$6:$F$6,MIN(4,COUNTIF(CAPA3_EXPANSION!$D$56:AL$56,"&gt;="&amp;7)))*CAPA3_EXPANSION!AL$36)</f>
        <v>0</v>
      </c>
      <c r="AM14" s="298" t="n">
        <f aca="false">IF(COUNTIF(CAPA3_EXPANSION!$D$56:AM$56,"&gt;="&amp;7)=0,0,SUP_CONTROL!$C$8*IF($B14="V",1,IF($B14="D",(1+SUP_VOLUMEN!$C$26),(1+SUP_VOLUMEN!$C$27)))*INDEX(SUP_C3_EXPANSION!$C$6:$F$6,MIN(4,COUNTIF(CAPA3_EXPANSION!$D$56:AM$56,"&gt;="&amp;7)))*CAPA3_EXPANSION!AM$36)</f>
        <v>0</v>
      </c>
      <c r="AN14" s="298" t="n">
        <f aca="false">IF(COUNTIF(CAPA3_EXPANSION!$D$56:AN$56,"&gt;="&amp;7)=0,0,SUP_CONTROL!$C$8*IF($B14="V",1,IF($B14="D",(1+SUP_VOLUMEN!$C$26),(1+SUP_VOLUMEN!$C$27)))*INDEX(SUP_C3_EXPANSION!$C$6:$F$6,MIN(4,COUNTIF(CAPA3_EXPANSION!$D$56:AN$56,"&gt;="&amp;7)))*CAPA3_EXPANSION!AN$36)</f>
        <v>2648.1</v>
      </c>
      <c r="AO14" s="298" t="n">
        <f aca="false">IF(COUNTIF(CAPA3_EXPANSION!$D$56:AO$56,"&gt;="&amp;7)=0,0,SUP_CONTROL!$C$8*IF($B14="V",1,IF($B14="D",(1+SUP_VOLUMEN!$C$26),(1+SUP_VOLUMEN!$C$27)))*INDEX(SUP_C3_EXPANSION!$C$6:$F$6,MIN(4,COUNTIF(CAPA3_EXPANSION!$D$56:AO$56,"&gt;="&amp;7)))*CAPA3_EXPANSION!AO$36)</f>
        <v>3259.2</v>
      </c>
      <c r="AP14" s="298" t="n">
        <f aca="false">IF(COUNTIF(CAPA3_EXPANSION!$D$56:AP$56,"&gt;="&amp;7)=0,0,SUP_CONTROL!$C$8*IF($B14="V",1,IF($B14="D",(1+SUP_VOLUMEN!$C$26),(1+SUP_VOLUMEN!$C$27)))*INDEX(SUP_C3_EXPANSION!$C$6:$F$6,MIN(4,COUNTIF(CAPA3_EXPANSION!$D$56:AP$56,"&gt;="&amp;7)))*CAPA3_EXPANSION!AP$36)</f>
        <v>3572.1</v>
      </c>
      <c r="AQ14" s="298" t="n">
        <f aca="false">IF(COUNTIF(CAPA3_EXPANSION!$D$56:AQ$56,"&gt;="&amp;7)=0,0,SUP_CONTROL!$C$8*IF($B14="V",1,IF($B14="D",(1+SUP_VOLUMEN!$C$26),(1+SUP_VOLUMEN!$C$27)))*INDEX(SUP_C3_EXPANSION!$C$6:$F$6,MIN(4,COUNTIF(CAPA3_EXPANSION!$D$56:AQ$56,"&gt;="&amp;7)))*CAPA3_EXPANSION!AQ$36)</f>
        <v>3969</v>
      </c>
      <c r="AR14" s="298" t="n">
        <f aca="false">IF(COUNTIF(CAPA3_EXPANSION!$D$56:AR$56,"&gt;="&amp;7)=0,0,SUP_CONTROL!$C$8*IF($B14="V",1,IF($B14="D",(1+SUP_VOLUMEN!$C$26),(1+SUP_VOLUMEN!$C$27)))*INDEX(SUP_C3_EXPANSION!$C$6:$F$6,MIN(4,COUNTIF(CAPA3_EXPANSION!$D$56:AR$56,"&gt;="&amp;7)))*CAPA3_EXPANSION!AR$36)</f>
        <v>3969</v>
      </c>
      <c r="AS14" s="298" t="n">
        <f aca="false">IF(COUNTIF(CAPA3_EXPANSION!$D$56:AS$56,"&gt;="&amp;7)=0,0,SUP_CONTROL!$C$8*IF($B14="V",1,IF($B14="D",(1+SUP_VOLUMEN!$C$26),(1+SUP_VOLUMEN!$C$27)))*INDEX(SUP_C3_EXPANSION!$C$6:$F$6,MIN(4,COUNTIF(CAPA3_EXPANSION!$D$56:AS$56,"&gt;="&amp;7)))*CAPA3_EXPANSION!AS$36)</f>
        <v>3969</v>
      </c>
      <c r="AT14" s="298" t="n">
        <f aca="false">IF(COUNTIF(CAPA3_EXPANSION!$D$56:AT$56,"&gt;="&amp;7)=0,0,SUP_CONTROL!$C$8*IF($B14="V",1,IF($B14="D",(1+SUP_VOLUMEN!$C$26),(1+SUP_VOLUMEN!$C$27)))*INDEX(SUP_C3_EXPANSION!$C$6:$F$6,MIN(4,COUNTIF(CAPA3_EXPANSION!$D$56:AT$56,"&gt;="&amp;7)))*CAPA3_EXPANSION!AT$36)</f>
        <v>3969</v>
      </c>
      <c r="AU14" s="298" t="n">
        <f aca="false">IF(COUNTIF(CAPA3_EXPANSION!$D$56:AU$56,"&gt;="&amp;7)=0,0,SUP_CONTROL!$C$8*IF($B14="V",1,IF($B14="D",(1+SUP_VOLUMEN!$C$26),(1+SUP_VOLUMEN!$C$27)))*INDEX(SUP_C3_EXPANSION!$C$6:$F$6,MIN(4,COUNTIF(CAPA3_EXPANSION!$D$56:AU$56,"&gt;="&amp;7)))*CAPA3_EXPANSION!AU$36)</f>
        <v>3969</v>
      </c>
      <c r="AV14" s="298" t="n">
        <f aca="false">IF(COUNTIF(CAPA3_EXPANSION!$D$56:AV$56,"&gt;="&amp;7)=0,0,SUP_CONTROL!$C$8*IF($B14="V",1,IF($B14="D",(1+SUP_VOLUMEN!$C$26),(1+SUP_VOLUMEN!$C$27)))*INDEX(SUP_C3_EXPANSION!$C$6:$F$6,MIN(4,COUNTIF(CAPA3_EXPANSION!$D$56:AV$56,"&gt;="&amp;7)))*CAPA3_EXPANSION!AV$36)</f>
        <v>3969</v>
      </c>
      <c r="AW14" s="298" t="n">
        <f aca="false">IF(COUNTIF(CAPA3_EXPANSION!$D$56:AW$56,"&gt;="&amp;7)=0,0,SUP_CONTROL!$C$8*IF($B14="V",1,IF($B14="D",(1+SUP_VOLUMEN!$C$26),(1+SUP_VOLUMEN!$C$27)))*INDEX(SUP_C3_EXPANSION!$C$6:$F$6,MIN(4,COUNTIF(CAPA3_EXPANSION!$D$56:AW$56,"&gt;="&amp;7)))*CAPA3_EXPANSION!AW$36)</f>
        <v>3969</v>
      </c>
      <c r="AX14" s="298" t="n">
        <f aca="false">IF(COUNTIF(CAPA3_EXPANSION!$D$56:AX$56,"&gt;="&amp;7)=0,0,SUP_CONTROL!$C$8*IF($B14="V",1,IF($B14="D",(1+SUP_VOLUMEN!$C$26),(1+SUP_VOLUMEN!$C$27)))*INDEX(SUP_C3_EXPANSION!$C$6:$F$6,MIN(4,COUNTIF(CAPA3_EXPANSION!$D$56:AX$56,"&gt;="&amp;7)))*CAPA3_EXPANSION!AX$36)</f>
        <v>3969</v>
      </c>
      <c r="AY14" s="298" t="n">
        <f aca="false">IF(COUNTIF(CAPA3_EXPANSION!$D$56:AY$56,"&gt;="&amp;7)=0,0,SUP_CONTROL!$C$8*IF($B14="V",1,IF($B14="D",(1+SUP_VOLUMEN!$C$26),(1+SUP_VOLUMEN!$C$27)))*INDEX(SUP_C3_EXPANSION!$C$6:$F$6,MIN(4,COUNTIF(CAPA3_EXPANSION!$D$56:AY$56,"&gt;="&amp;7)))*CAPA3_EXPANSION!AY$36)</f>
        <v>3969</v>
      </c>
      <c r="AZ14" s="298" t="n">
        <f aca="false">IF(COUNTIF(CAPA3_EXPANSION!$D$56:AZ$56,"&gt;="&amp;7)=0,0,SUP_CONTROL!$C$8*IF($B14="V",1,IF($B14="D",(1+SUP_VOLUMEN!$C$26),(1+SUP_VOLUMEN!$C$27)))*INDEX(SUP_C3_EXPANSION!$C$6:$F$6,MIN(4,COUNTIF(CAPA3_EXPANSION!$D$56:AZ$56,"&gt;="&amp;7)))*CAPA3_EXPANSION!AZ$36)</f>
        <v>3969</v>
      </c>
      <c r="BA14" s="298" t="n">
        <f aca="false">IF(COUNTIF(CAPA3_EXPANSION!$D$56:BA$56,"&gt;="&amp;7)=0,0,SUP_CONTROL!$C$8*IF($B14="V",1,IF($B14="D",(1+SUP_VOLUMEN!$C$26),(1+SUP_VOLUMEN!$C$27)))*INDEX(SUP_C3_EXPANSION!$C$6:$F$6,MIN(4,COUNTIF(CAPA3_EXPANSION!$D$56:BA$56,"&gt;="&amp;7)))*CAPA3_EXPANSION!BA$36)</f>
        <v>3969</v>
      </c>
      <c r="BB14" s="298" t="n">
        <f aca="false">IF(COUNTIF(CAPA3_EXPANSION!$D$56:BB$56,"&gt;="&amp;7)=0,0,SUP_CONTROL!$C$8*IF($B14="V",1,IF($B14="D",(1+SUP_VOLUMEN!$C$26),(1+SUP_VOLUMEN!$C$27)))*INDEX(SUP_C3_EXPANSION!$C$6:$F$6,MIN(4,COUNTIF(CAPA3_EXPANSION!$D$56:BB$56,"&gt;="&amp;7)))*CAPA3_EXPANSION!BB$36)</f>
        <v>3969</v>
      </c>
      <c r="BC14" s="298" t="n">
        <f aca="false">IF(COUNTIF(CAPA3_EXPANSION!$D$56:BC$56,"&gt;="&amp;7)=0,0,SUP_CONTROL!$C$8*IF($B14="V",1,IF($B14="D",(1+SUP_VOLUMEN!$C$26),(1+SUP_VOLUMEN!$C$27)))*INDEX(SUP_C3_EXPANSION!$C$6:$F$6,MIN(4,COUNTIF(CAPA3_EXPANSION!$D$56:BC$56,"&gt;="&amp;7)))*CAPA3_EXPANSION!BC$36)</f>
        <v>3969</v>
      </c>
      <c r="BD14" s="298" t="n">
        <f aca="false">IF(COUNTIF(CAPA3_EXPANSION!$D$56:BD$56,"&gt;="&amp;7)=0,0,SUP_CONTROL!$C$8*IF($B14="V",1,IF($B14="D",(1+SUP_VOLUMEN!$C$26),(1+SUP_VOLUMEN!$C$27)))*INDEX(SUP_C3_EXPANSION!$C$6:$F$6,MIN(4,COUNTIF(CAPA3_EXPANSION!$D$56:BD$56,"&gt;="&amp;7)))*CAPA3_EXPANSION!BD$36)</f>
        <v>3969</v>
      </c>
      <c r="BE14" s="298" t="n">
        <f aca="false">IF(COUNTIF(CAPA3_EXPANSION!$D$56:BE$56,"&gt;="&amp;7)=0,0,SUP_CONTROL!$C$8*IF($B14="V",1,IF($B14="D",(1+SUP_VOLUMEN!$C$26),(1+SUP_VOLUMEN!$C$27)))*INDEX(SUP_C3_EXPANSION!$C$6:$F$6,MIN(4,COUNTIF(CAPA3_EXPANSION!$D$56:BE$56,"&gt;="&amp;7)))*CAPA3_EXPANSION!BE$36)</f>
        <v>3969</v>
      </c>
      <c r="BF14" s="298" t="n">
        <f aca="false">IF(COUNTIF(CAPA3_EXPANSION!$D$56:BF$56,"&gt;="&amp;7)=0,0,SUP_CONTROL!$C$8*IF($B14="V",1,IF($B14="D",(1+SUP_VOLUMEN!$C$26),(1+SUP_VOLUMEN!$C$27)))*INDEX(SUP_C3_EXPANSION!$C$6:$F$6,MIN(4,COUNTIF(CAPA3_EXPANSION!$D$56:BF$56,"&gt;="&amp;7)))*CAPA3_EXPANSION!BF$36)</f>
        <v>3864</v>
      </c>
      <c r="BG14" s="298" t="n">
        <f aca="false">IF(COUNTIF(CAPA3_EXPANSION!$D$56:BG$56,"&gt;="&amp;7)=0,0,SUP_CONTROL!$C$8*IF($B14="V",1,IF($B14="D",(1+SUP_VOLUMEN!$C$26),(1+SUP_VOLUMEN!$C$27)))*INDEX(SUP_C3_EXPANSION!$C$6:$F$6,MIN(4,COUNTIF(CAPA3_EXPANSION!$D$56:BG$56,"&gt;="&amp;7)))*CAPA3_EXPANSION!BG$36)</f>
        <v>3864</v>
      </c>
      <c r="BH14" s="298" t="n">
        <f aca="false">IF(COUNTIF(CAPA3_EXPANSION!$D$56:BH$56,"&gt;="&amp;7)=0,0,SUP_CONTROL!$C$8*IF($B14="V",1,IF($B14="D",(1+SUP_VOLUMEN!$C$26),(1+SUP_VOLUMEN!$C$27)))*INDEX(SUP_C3_EXPANSION!$C$6:$F$6,MIN(4,COUNTIF(CAPA3_EXPANSION!$D$56:BH$56,"&gt;="&amp;7)))*CAPA3_EXPANSION!BH$36)</f>
        <v>3864</v>
      </c>
      <c r="BI14" s="298" t="n">
        <f aca="false">IF(COUNTIF(CAPA3_EXPANSION!$D$56:BI$56,"&gt;="&amp;7)=0,0,SUP_CONTROL!$C$8*IF($B14="V",1,IF($B14="D",(1+SUP_VOLUMEN!$C$26),(1+SUP_VOLUMEN!$C$27)))*INDEX(SUP_C3_EXPANSION!$C$6:$F$6,MIN(4,COUNTIF(CAPA3_EXPANSION!$D$56:BI$56,"&gt;="&amp;7)))*CAPA3_EXPANSION!BI$36)</f>
        <v>3864</v>
      </c>
      <c r="BJ14" s="298" t="n">
        <f aca="false">IF(COUNTIF(CAPA3_EXPANSION!$D$56:BJ$56,"&gt;="&amp;7)=0,0,SUP_CONTROL!$C$8*IF($B14="V",1,IF($B14="D",(1+SUP_VOLUMEN!$C$26),(1+SUP_VOLUMEN!$C$27)))*INDEX(SUP_C3_EXPANSION!$C$6:$F$6,MIN(4,COUNTIF(CAPA3_EXPANSION!$D$56:BJ$56,"&gt;="&amp;7)))*CAPA3_EXPANSION!BJ$36)</f>
        <v>3864</v>
      </c>
      <c r="BK14" s="298" t="n">
        <f aca="false">IF(COUNTIF(CAPA3_EXPANSION!$D$56:BK$56,"&gt;="&amp;7)=0,0,SUP_CONTROL!$C$8*IF($B14="V",1,IF($B14="D",(1+SUP_VOLUMEN!$C$26),(1+SUP_VOLUMEN!$C$27)))*INDEX(SUP_C3_EXPANSION!$C$6:$F$6,MIN(4,COUNTIF(CAPA3_EXPANSION!$D$56:BK$56,"&gt;="&amp;7)))*CAPA3_EXPANSION!BK$36)</f>
        <v>3780</v>
      </c>
      <c r="BL14" s="298" t="n">
        <f aca="false">IF(COUNTIF(CAPA3_EXPANSION!$D$56:BL$56,"&gt;="&amp;7)=0,0,SUP_CONTROL!$C$8*IF($B14="V",1,IF($B14="D",(1+SUP_VOLUMEN!$C$26),(1+SUP_VOLUMEN!$C$27)))*INDEX(SUP_C3_EXPANSION!$C$6:$F$6,MIN(4,COUNTIF(CAPA3_EXPANSION!$D$56:BL$56,"&gt;="&amp;7)))*CAPA3_EXPANSION!BL$36)</f>
        <v>3780</v>
      </c>
      <c r="BM14" s="298" t="n">
        <f aca="false">IF(COUNTIF(CAPA3_EXPANSION!$D$56:BM$56,"&gt;="&amp;7)=0,0,SUP_CONTROL!$C$8*IF($B14="V",1,IF($B14="D",(1+SUP_VOLUMEN!$C$26),(1+SUP_VOLUMEN!$C$27)))*INDEX(SUP_C3_EXPANSION!$C$6:$F$6,MIN(4,COUNTIF(CAPA3_EXPANSION!$D$56:BM$56,"&gt;="&amp;7)))*CAPA3_EXPANSION!BM$36)</f>
        <v>3780</v>
      </c>
      <c r="BN14" s="298" t="n">
        <f aca="false">IF(COUNTIF(CAPA3_EXPANSION!$D$56:BN$56,"&gt;="&amp;7)=0,0,SUP_CONTROL!$C$8*IF($B14="V",1,IF($B14="D",(1+SUP_VOLUMEN!$C$26),(1+SUP_VOLUMEN!$C$27)))*INDEX(SUP_C3_EXPANSION!$C$6:$F$6,MIN(4,COUNTIF(CAPA3_EXPANSION!$D$56:BN$56,"&gt;="&amp;7)))*CAPA3_EXPANSION!BN$36)</f>
        <v>3780</v>
      </c>
      <c r="BO14" s="298" t="n">
        <f aca="false">IF(COUNTIF(CAPA3_EXPANSION!$D$56:BO$56,"&gt;="&amp;7)=0,0,SUP_CONTROL!$C$8*IF($B14="V",1,IF($B14="D",(1+SUP_VOLUMEN!$C$26),(1+SUP_VOLUMEN!$C$27)))*INDEX(SUP_C3_EXPANSION!$C$6:$F$6,MIN(4,COUNTIF(CAPA3_EXPANSION!$D$56:BO$56,"&gt;="&amp;7)))*CAPA3_EXPANSION!BO$36)</f>
        <v>3780</v>
      </c>
      <c r="BP14" s="298" t="n">
        <f aca="false">IF(COUNTIF(CAPA3_EXPANSION!$D$56:BP$56,"&gt;="&amp;7)=0,0,SUP_CONTROL!$C$8*IF($B14="V",1,IF($B14="D",(1+SUP_VOLUMEN!$C$26),(1+SUP_VOLUMEN!$C$27)))*INDEX(SUP_C3_EXPANSION!$C$6:$F$6,MIN(4,COUNTIF(CAPA3_EXPANSION!$D$56:BP$56,"&gt;="&amp;7)))*CAPA3_EXPANSION!BP$36)</f>
        <v>3780</v>
      </c>
      <c r="BQ14" s="298" t="n">
        <f aca="false">IF(COUNTIF(CAPA3_EXPANSION!$D$56:BQ$56,"&gt;="&amp;7)=0,0,SUP_CONTROL!$C$8*IF($B14="V",1,IF($B14="D",(1+SUP_VOLUMEN!$C$26),(1+SUP_VOLUMEN!$C$27)))*INDEX(SUP_C3_EXPANSION!$C$6:$F$6,MIN(4,COUNTIF(CAPA3_EXPANSION!$D$56:BQ$56,"&gt;="&amp;7)))*CAPA3_EXPANSION!BQ$36)</f>
        <v>3696</v>
      </c>
      <c r="BR14" s="298" t="n">
        <f aca="false">IF(COUNTIF(CAPA3_EXPANSION!$D$56:BR$56,"&gt;="&amp;7)=0,0,SUP_CONTROL!$C$8*IF($B14="V",1,IF($B14="D",(1+SUP_VOLUMEN!$C$26),(1+SUP_VOLUMEN!$C$27)))*INDEX(SUP_C3_EXPANSION!$C$6:$F$6,MIN(4,COUNTIF(CAPA3_EXPANSION!$D$56:BR$56,"&gt;="&amp;7)))*CAPA3_EXPANSION!BR$36)</f>
        <v>3696</v>
      </c>
      <c r="BS14" s="298" t="n">
        <f aca="false">IF(COUNTIF(CAPA3_EXPANSION!$D$56:BS$56,"&gt;="&amp;7)=0,0,SUP_CONTROL!$C$8*IF($B14="V",1,IF($B14="D",(1+SUP_VOLUMEN!$C$26),(1+SUP_VOLUMEN!$C$27)))*INDEX(SUP_C3_EXPANSION!$C$6:$F$6,MIN(4,COUNTIF(CAPA3_EXPANSION!$D$56:BS$56,"&gt;="&amp;7)))*CAPA3_EXPANSION!BS$36)</f>
        <v>3696</v>
      </c>
      <c r="BT14" s="298" t="n">
        <f aca="false">IF(COUNTIF(CAPA3_EXPANSION!$D$56:BT$56,"&gt;="&amp;7)=0,0,SUP_CONTROL!$C$8*IF($B14="V",1,IF($B14="D",(1+SUP_VOLUMEN!$C$26),(1+SUP_VOLUMEN!$C$27)))*INDEX(SUP_C3_EXPANSION!$C$6:$F$6,MIN(4,COUNTIF(CAPA3_EXPANSION!$D$56:BT$56,"&gt;="&amp;7)))*CAPA3_EXPANSION!BT$36)</f>
        <v>3696</v>
      </c>
      <c r="BU14" s="298" t="n">
        <f aca="false">IF(COUNTIF(CAPA3_EXPANSION!$D$56:BU$56,"&gt;="&amp;7)=0,0,SUP_CONTROL!$C$8*IF($B14="V",1,IF($B14="D",(1+SUP_VOLUMEN!$C$26),(1+SUP_VOLUMEN!$C$27)))*INDEX(SUP_C3_EXPANSION!$C$6:$F$6,MIN(4,COUNTIF(CAPA3_EXPANSION!$D$56:BU$56,"&gt;="&amp;7)))*CAPA3_EXPANSION!BU$36)</f>
        <v>3696</v>
      </c>
      <c r="BV14" s="298" t="n">
        <f aca="false">IF(COUNTIF(CAPA3_EXPANSION!$D$56:BV$56,"&gt;="&amp;7)=0,0,SUP_CONTROL!$C$8*IF($B14="V",1,IF($B14="D",(1+SUP_VOLUMEN!$C$26),(1+SUP_VOLUMEN!$C$27)))*INDEX(SUP_C3_EXPANSION!$C$6:$F$6,MIN(4,COUNTIF(CAPA3_EXPANSION!$D$56:BV$56,"&gt;="&amp;7)))*CAPA3_EXPANSION!BV$36)</f>
        <v>3696</v>
      </c>
      <c r="BW14" s="298" t="n">
        <f aca="false">IF(COUNTIF(CAPA3_EXPANSION!$D$56:BW$56,"&gt;="&amp;7)=0,0,SUP_CONTROL!$C$8*IF($B14="V",1,IF($B14="D",(1+SUP_VOLUMEN!$C$26),(1+SUP_VOLUMEN!$C$27)))*INDEX(SUP_C3_EXPANSION!$C$6:$F$6,MIN(4,COUNTIF(CAPA3_EXPANSION!$D$56:BW$56,"&gt;="&amp;7)))*CAPA3_EXPANSION!BW$36)</f>
        <v>3633</v>
      </c>
      <c r="BX14" s="298" t="n">
        <f aca="false">IF(COUNTIF(CAPA3_EXPANSION!$D$56:BX$56,"&gt;="&amp;7)=0,0,SUP_CONTROL!$C$8*IF($B14="V",1,IF($B14="D",(1+SUP_VOLUMEN!$C$26),(1+SUP_VOLUMEN!$C$27)))*INDEX(SUP_C3_EXPANSION!$C$6:$F$6,MIN(4,COUNTIF(CAPA3_EXPANSION!$D$56:BX$56,"&gt;="&amp;7)))*CAPA3_EXPANSION!BX$36)</f>
        <v>3633</v>
      </c>
      <c r="BY14" s="298" t="n">
        <f aca="false">IF(COUNTIF(CAPA3_EXPANSION!$D$56:BY$56,"&gt;="&amp;7)=0,0,SUP_CONTROL!$C$8*IF($B14="V",1,IF($B14="D",(1+SUP_VOLUMEN!$C$26),(1+SUP_VOLUMEN!$C$27)))*INDEX(SUP_C3_EXPANSION!$C$6:$F$6,MIN(4,COUNTIF(CAPA3_EXPANSION!$D$56:BY$56,"&gt;="&amp;7)))*CAPA3_EXPANSION!BY$36)</f>
        <v>3633</v>
      </c>
      <c r="BZ14" s="298" t="n">
        <f aca="false">IF(COUNTIF(CAPA3_EXPANSION!$D$56:BZ$56,"&gt;="&amp;7)=0,0,SUP_CONTROL!$C$8*IF($B14="V",1,IF($B14="D",(1+SUP_VOLUMEN!$C$26),(1+SUP_VOLUMEN!$C$27)))*INDEX(SUP_C3_EXPANSION!$C$6:$F$6,MIN(4,COUNTIF(CAPA3_EXPANSION!$D$56:BZ$56,"&gt;="&amp;7)))*CAPA3_EXPANSION!BZ$36)</f>
        <v>3633</v>
      </c>
      <c r="CA14" s="298" t="n">
        <f aca="false">IF(COUNTIF(CAPA3_EXPANSION!$D$56:CA$56,"&gt;="&amp;7)=0,0,SUP_CONTROL!$C$8*IF($B14="V",1,IF($B14="D",(1+SUP_VOLUMEN!$C$26),(1+SUP_VOLUMEN!$C$27)))*INDEX(SUP_C3_EXPANSION!$C$6:$F$6,MIN(4,COUNTIF(CAPA3_EXPANSION!$D$56:CA$56,"&gt;="&amp;7)))*CAPA3_EXPANSION!CA$36)</f>
        <v>3633</v>
      </c>
      <c r="CB14" s="298" t="n">
        <f aca="false">IF(COUNTIF(CAPA3_EXPANSION!$D$56:CB$56,"&gt;="&amp;7)=0,0,SUP_CONTROL!$C$8*IF($B14="V",1,IF($B14="D",(1+SUP_VOLUMEN!$C$26),(1+SUP_VOLUMEN!$C$27)))*INDEX(SUP_C3_EXPANSION!$C$6:$F$6,MIN(4,COUNTIF(CAPA3_EXPANSION!$D$56:CB$56,"&gt;="&amp;7)))*CAPA3_EXPANSION!CB$36)</f>
        <v>3570</v>
      </c>
      <c r="CC14" s="298" t="n">
        <f aca="false">IF(COUNTIF(CAPA3_EXPANSION!$D$56:CC$56,"&gt;="&amp;7)=0,0,SUP_CONTROL!$C$8*IF($B14="V",1,IF($B14="D",(1+SUP_VOLUMEN!$C$26),(1+SUP_VOLUMEN!$C$27)))*INDEX(SUP_C3_EXPANSION!$C$6:$F$6,MIN(4,COUNTIF(CAPA3_EXPANSION!$D$56:CC$56,"&gt;="&amp;7)))*CAPA3_EXPANSION!CC$36)</f>
        <v>3570</v>
      </c>
      <c r="CD14" s="298" t="n">
        <f aca="false">IF(COUNTIF(CAPA3_EXPANSION!$D$56:CD$56,"&gt;="&amp;7)=0,0,SUP_CONTROL!$C$8*IF($B14="V",1,IF($B14="D",(1+SUP_VOLUMEN!$C$26),(1+SUP_VOLUMEN!$C$27)))*INDEX(SUP_C3_EXPANSION!$C$6:$F$6,MIN(4,COUNTIF(CAPA3_EXPANSION!$D$56:CD$56,"&gt;="&amp;7)))*CAPA3_EXPANSION!CD$36)</f>
        <v>3570</v>
      </c>
      <c r="CE14" s="298" t="n">
        <f aca="false">IF(COUNTIF(CAPA3_EXPANSION!$D$56:CE$56,"&gt;="&amp;7)=0,0,SUP_CONTROL!$C$8*IF($B14="V",1,IF($B14="D",(1+SUP_VOLUMEN!$C$26),(1+SUP_VOLUMEN!$C$27)))*INDEX(SUP_C3_EXPANSION!$C$6:$F$6,MIN(4,COUNTIF(CAPA3_EXPANSION!$D$56:CE$56,"&gt;="&amp;7)))*CAPA3_EXPANSION!CE$36)</f>
        <v>3570</v>
      </c>
      <c r="CF14" s="298" t="n">
        <f aca="false">IF(COUNTIF(CAPA3_EXPANSION!$D$56:CF$56,"&gt;="&amp;7)=0,0,SUP_CONTROL!$C$8*IF($B14="V",1,IF($B14="D",(1+SUP_VOLUMEN!$C$26),(1+SUP_VOLUMEN!$C$27)))*INDEX(SUP_C3_EXPANSION!$C$6:$F$6,MIN(4,COUNTIF(CAPA3_EXPANSION!$D$56:CF$56,"&gt;="&amp;7)))*CAPA3_EXPANSION!CF$36)</f>
        <v>3570</v>
      </c>
      <c r="CG14" s="298" t="n">
        <f aca="false">IF(COUNTIF(CAPA3_EXPANSION!$D$56:CG$56,"&gt;="&amp;7)=0,0,SUP_CONTROL!$C$8*IF($B14="V",1,IF($B14="D",(1+SUP_VOLUMEN!$C$26),(1+SUP_VOLUMEN!$C$27)))*INDEX(SUP_C3_EXPANSION!$C$6:$F$6,MIN(4,COUNTIF(CAPA3_EXPANSION!$D$56:CG$56,"&gt;="&amp;7)))*CAPA3_EXPANSION!CG$36)</f>
        <v>3528</v>
      </c>
      <c r="CH14" s="298" t="n">
        <f aca="false">IF(COUNTIF(CAPA3_EXPANSION!$D$56:CH$56,"&gt;="&amp;7)=0,0,SUP_CONTROL!$C$8*IF($B14="V",1,IF($B14="D",(1+SUP_VOLUMEN!$C$26),(1+SUP_VOLUMEN!$C$27)))*INDEX(SUP_C3_EXPANSION!$C$6:$F$6,MIN(4,COUNTIF(CAPA3_EXPANSION!$D$56:CH$56,"&gt;="&amp;7)))*CAPA3_EXPANSION!CH$36)</f>
        <v>3528</v>
      </c>
      <c r="CI14" s="298" t="n">
        <f aca="false">IF(COUNTIF(CAPA3_EXPANSION!$D$56:CI$56,"&gt;="&amp;7)=0,0,SUP_CONTROL!$C$8*IF($B14="V",1,IF($B14="D",(1+SUP_VOLUMEN!$C$26),(1+SUP_VOLUMEN!$C$27)))*INDEX(SUP_C3_EXPANSION!$C$6:$F$6,MIN(4,COUNTIF(CAPA3_EXPANSION!$D$56:CI$56,"&gt;="&amp;7)))*CAPA3_EXPANSION!CI$36)</f>
        <v>3528</v>
      </c>
      <c r="CJ14" s="298" t="n">
        <f aca="false">IF(COUNTIF(CAPA3_EXPANSION!$D$56:CJ$56,"&gt;="&amp;7)=0,0,SUP_CONTROL!$C$8*IF($B14="V",1,IF($B14="D",(1+SUP_VOLUMEN!$C$26),(1+SUP_VOLUMEN!$C$27)))*INDEX(SUP_C3_EXPANSION!$C$6:$F$6,MIN(4,COUNTIF(CAPA3_EXPANSION!$D$56:CJ$56,"&gt;="&amp;7)))*CAPA3_EXPANSION!CJ$36)</f>
        <v>3528</v>
      </c>
      <c r="CK14" s="298" t="n">
        <f aca="false">IF(COUNTIF(CAPA3_EXPANSION!$D$56:CK$56,"&gt;="&amp;7)=0,0,SUP_CONTROL!$C$8*IF($B14="V",1,IF($B14="D",(1+SUP_VOLUMEN!$C$26),(1+SUP_VOLUMEN!$C$27)))*INDEX(SUP_C3_EXPANSION!$C$6:$F$6,MIN(4,COUNTIF(CAPA3_EXPANSION!$D$56:CK$56,"&gt;="&amp;7)))*CAPA3_EXPANSION!CK$36)</f>
        <v>3528</v>
      </c>
      <c r="CL14" s="298" t="n">
        <f aca="false">IF(COUNTIF(CAPA3_EXPANSION!$D$56:CL$56,"&gt;="&amp;7)=0,0,SUP_CONTROL!$C$8*IF($B14="V",1,IF($B14="D",(1+SUP_VOLUMEN!$C$26),(1+SUP_VOLUMEN!$C$27)))*INDEX(SUP_C3_EXPANSION!$C$6:$F$6,MIN(4,COUNTIF(CAPA3_EXPANSION!$D$56:CL$56,"&gt;="&amp;7)))*CAPA3_EXPANSION!CL$36)</f>
        <v>3528</v>
      </c>
      <c r="CM14" s="298" t="n">
        <f aca="false">IF(COUNTIF(CAPA3_EXPANSION!$D$56:CM$56,"&gt;="&amp;7)=0,0,SUP_CONTROL!$C$8*IF($B14="V",1,IF($B14="D",(1+SUP_VOLUMEN!$C$26),(1+SUP_VOLUMEN!$C$27)))*INDEX(SUP_C3_EXPANSION!$C$6:$F$6,MIN(4,COUNTIF(CAPA3_EXPANSION!$D$56:CM$56,"&gt;="&amp;7)))*CAPA3_EXPANSION!CM$36)</f>
        <v>3528</v>
      </c>
      <c r="CN14" s="298" t="n">
        <f aca="false">IF(COUNTIF(CAPA3_EXPANSION!$D$56:CN$56,"&gt;="&amp;7)=0,0,SUP_CONTROL!$C$8*IF($B14="V",1,IF($B14="D",(1+SUP_VOLUMEN!$C$26),(1+SUP_VOLUMEN!$C$27)))*INDEX(SUP_C3_EXPANSION!$C$6:$F$6,MIN(4,COUNTIF(CAPA3_EXPANSION!$D$56:CN$56,"&gt;="&amp;7)))*CAPA3_EXPANSION!CN$36)</f>
        <v>3528</v>
      </c>
      <c r="CO14" s="298" t="n">
        <f aca="false">IF(COUNTIF(CAPA3_EXPANSION!$D$56:CO$56,"&gt;="&amp;7)=0,0,SUP_CONTROL!$C$8*IF($B14="V",1,IF($B14="D",(1+SUP_VOLUMEN!$C$26),(1+SUP_VOLUMEN!$C$27)))*INDEX(SUP_C3_EXPANSION!$C$6:$F$6,MIN(4,COUNTIF(CAPA3_EXPANSION!$D$56:CO$56,"&gt;="&amp;7)))*CAPA3_EXPANSION!CO$36)</f>
        <v>3528</v>
      </c>
      <c r="CP14" s="298" t="n">
        <f aca="false">IF(COUNTIF(CAPA3_EXPANSION!$D$56:CP$56,"&gt;="&amp;7)=0,0,SUP_CONTROL!$C$8*IF($B14="V",1,IF($B14="D",(1+SUP_VOLUMEN!$C$26),(1+SUP_VOLUMEN!$C$27)))*INDEX(SUP_C3_EXPANSION!$C$6:$F$6,MIN(4,COUNTIF(CAPA3_EXPANSION!$D$56:CP$56,"&gt;="&amp;7)))*CAPA3_EXPANSION!CP$36)</f>
        <v>3528</v>
      </c>
      <c r="CQ14" s="298" t="n">
        <f aca="false">IF(COUNTIF(CAPA3_EXPANSION!$D$56:CQ$56,"&gt;="&amp;7)=0,0,SUP_CONTROL!$C$8*IF($B14="V",1,IF($B14="D",(1+SUP_VOLUMEN!$C$26),(1+SUP_VOLUMEN!$C$27)))*INDEX(SUP_C3_EXPANSION!$C$6:$F$6,MIN(4,COUNTIF(CAPA3_EXPANSION!$D$56:CQ$56,"&gt;="&amp;7)))*CAPA3_EXPANSION!CQ$36)</f>
        <v>3528</v>
      </c>
      <c r="CR14" s="298" t="n">
        <f aca="false">IF(COUNTIF(CAPA3_EXPANSION!$D$56:CR$56,"&gt;="&amp;7)=0,0,SUP_CONTROL!$C$8*IF($B14="V",1,IF($B14="D",(1+SUP_VOLUMEN!$C$26),(1+SUP_VOLUMEN!$C$27)))*INDEX(SUP_C3_EXPANSION!$C$6:$F$6,MIN(4,COUNTIF(CAPA3_EXPANSION!$D$56:CR$56,"&gt;="&amp;7)))*CAPA3_EXPANSION!CR$36)</f>
        <v>3528</v>
      </c>
      <c r="CS14" s="298" t="n">
        <f aca="false">IF(COUNTIF(CAPA3_EXPANSION!$D$56:CS$56,"&gt;="&amp;7)=0,0,SUP_CONTROL!$C$8*IF($B14="V",1,IF($B14="D",(1+SUP_VOLUMEN!$C$26),(1+SUP_VOLUMEN!$C$27)))*INDEX(SUP_C3_EXPANSION!$C$6:$F$6,MIN(4,COUNTIF(CAPA3_EXPANSION!$D$56:CS$56,"&gt;="&amp;7)))*CAPA3_EXPANSION!CS$36)</f>
        <v>3528</v>
      </c>
      <c r="CT14" s="298" t="n">
        <f aca="false">IF(COUNTIF(CAPA3_EXPANSION!$D$56:CT$56,"&gt;="&amp;7)=0,0,SUP_CONTROL!$C$8*IF($B14="V",1,IF($B14="D",(1+SUP_VOLUMEN!$C$26),(1+SUP_VOLUMEN!$C$27)))*INDEX(SUP_C3_EXPANSION!$C$6:$F$6,MIN(4,COUNTIF(CAPA3_EXPANSION!$D$56:CT$56,"&gt;="&amp;7)))*CAPA3_EXPANSION!CT$36)</f>
        <v>3528</v>
      </c>
      <c r="CU14" s="298" t="n">
        <f aca="false">IF(COUNTIF(CAPA3_EXPANSION!$D$56:CU$56,"&gt;="&amp;7)=0,0,SUP_CONTROL!$C$8*IF($B14="V",1,IF($B14="D",(1+SUP_VOLUMEN!$C$26),(1+SUP_VOLUMEN!$C$27)))*INDEX(SUP_C3_EXPANSION!$C$6:$F$6,MIN(4,COUNTIF(CAPA3_EXPANSION!$D$56:CU$56,"&gt;="&amp;7)))*CAPA3_EXPANSION!CU$36)</f>
        <v>3528</v>
      </c>
      <c r="CV14" s="298" t="n">
        <f aca="false">IF(COUNTIF(CAPA3_EXPANSION!$D$56:CV$56,"&gt;="&amp;7)=0,0,SUP_CONTROL!$C$8*IF($B14="V",1,IF($B14="D",(1+SUP_VOLUMEN!$C$26),(1+SUP_VOLUMEN!$C$27)))*INDEX(SUP_C3_EXPANSION!$C$6:$F$6,MIN(4,COUNTIF(CAPA3_EXPANSION!$D$56:CV$56,"&gt;="&amp;7)))*CAPA3_EXPANSION!CV$36)</f>
        <v>3528</v>
      </c>
      <c r="CW14" s="298" t="n">
        <f aca="false">IF(COUNTIF(CAPA3_EXPANSION!$D$56:CW$56,"&gt;="&amp;7)=0,0,SUP_CONTROL!$C$8*IF($B14="V",1,IF($B14="D",(1+SUP_VOLUMEN!$C$26),(1+SUP_VOLUMEN!$C$27)))*INDEX(SUP_C3_EXPANSION!$C$6:$F$6,MIN(4,COUNTIF(CAPA3_EXPANSION!$D$56:CW$56,"&gt;="&amp;7)))*CAPA3_EXPANSION!CW$36)</f>
        <v>3528</v>
      </c>
      <c r="CX14" s="298" t="n">
        <f aca="false">IF(COUNTIF(CAPA3_EXPANSION!$D$56:CX$56,"&gt;="&amp;7)=0,0,SUP_CONTROL!$C$8*IF($B14="V",1,IF($B14="D",(1+SUP_VOLUMEN!$C$26),(1+SUP_VOLUMEN!$C$27)))*INDEX(SUP_C3_EXPANSION!$C$6:$F$6,MIN(4,COUNTIF(CAPA3_EXPANSION!$D$56:CX$56,"&gt;="&amp;7)))*CAPA3_EXPANSION!CX$36)</f>
        <v>3528</v>
      </c>
      <c r="CY14" s="298" t="n">
        <f aca="false">IF(COUNTIF(CAPA3_EXPANSION!$D$56:CY$56,"&gt;="&amp;7)=0,0,SUP_CONTROL!$C$8*IF($B14="V",1,IF($B14="D",(1+SUP_VOLUMEN!$C$26),(1+SUP_VOLUMEN!$C$27)))*INDEX(SUP_C3_EXPANSION!$C$6:$F$6,MIN(4,COUNTIF(CAPA3_EXPANSION!$D$56:CY$56,"&gt;="&amp;7)))*CAPA3_EXPANSION!CY$36)</f>
        <v>3528</v>
      </c>
      <c r="CZ14" s="298" t="n">
        <f aca="false">IF(COUNTIF(CAPA3_EXPANSION!$D$56:CZ$56,"&gt;="&amp;7)=0,0,SUP_CONTROL!$C$8*IF($B14="V",1,IF($B14="D",(1+SUP_VOLUMEN!$C$26),(1+SUP_VOLUMEN!$C$27)))*INDEX(SUP_C3_EXPANSION!$C$6:$F$6,MIN(4,COUNTIF(CAPA3_EXPANSION!$D$56:CZ$56,"&gt;="&amp;7)))*CAPA3_EXPANSION!CZ$36)</f>
        <v>3528</v>
      </c>
      <c r="DA14" s="298" t="n">
        <f aca="false">IF(COUNTIF(CAPA3_EXPANSION!$D$56:DA$56,"&gt;="&amp;7)=0,0,SUP_CONTROL!$C$8*IF($B14="V",1,IF($B14="D",(1+SUP_VOLUMEN!$C$26),(1+SUP_VOLUMEN!$C$27)))*INDEX(SUP_C3_EXPANSION!$C$6:$F$6,MIN(4,COUNTIF(CAPA3_EXPANSION!$D$56:DA$56,"&gt;="&amp;7)))*CAPA3_EXPANSION!DA$36)</f>
        <v>3528</v>
      </c>
      <c r="DB14" s="298" t="n">
        <f aca="false">IF(COUNTIF(CAPA3_EXPANSION!$D$56:DB$56,"&gt;="&amp;7)=0,0,SUP_CONTROL!$C$8*IF($B14="V",1,IF($B14="D",(1+SUP_VOLUMEN!$C$26),(1+SUP_VOLUMEN!$C$27)))*INDEX(SUP_C3_EXPANSION!$C$6:$F$6,MIN(4,COUNTIF(CAPA3_EXPANSION!$D$56:DB$56,"&gt;="&amp;7)))*CAPA3_EXPANSION!DB$36)</f>
        <v>3528</v>
      </c>
      <c r="DC14" s="298" t="n">
        <f aca="false">IF(COUNTIF(CAPA3_EXPANSION!$D$56:DC$56,"&gt;="&amp;7)=0,0,SUP_CONTROL!$C$8*IF($B14="V",1,IF($B14="D",(1+SUP_VOLUMEN!$C$26),(1+SUP_VOLUMEN!$C$27)))*INDEX(SUP_C3_EXPANSION!$C$6:$F$6,MIN(4,COUNTIF(CAPA3_EXPANSION!$D$56:DC$56,"&gt;="&amp;7)))*CAPA3_EXPANSION!DC$36)</f>
        <v>3528</v>
      </c>
      <c r="DD14" s="298" t="n">
        <f aca="false">IF(COUNTIF(CAPA3_EXPANSION!$D$56:DD$56,"&gt;="&amp;7)=0,0,SUP_CONTROL!$C$8*IF($B14="V",1,IF($B14="D",(1+SUP_VOLUMEN!$C$26),(1+SUP_VOLUMEN!$C$27)))*INDEX(SUP_C3_EXPANSION!$C$6:$F$6,MIN(4,COUNTIF(CAPA3_EXPANSION!$D$56:DD$56,"&gt;="&amp;7)))*CAPA3_EXPANSION!DD$36)</f>
        <v>3528</v>
      </c>
      <c r="DE14" s="298" t="n">
        <f aca="false">IF(COUNTIF(CAPA3_EXPANSION!$D$56:DE$56,"&gt;="&amp;7)=0,0,SUP_CONTROL!$C$8*IF($B14="V",1,IF($B14="D",(1+SUP_VOLUMEN!$C$26),(1+SUP_VOLUMEN!$C$27)))*INDEX(SUP_C3_EXPANSION!$C$6:$F$6,MIN(4,COUNTIF(CAPA3_EXPANSION!$D$56:DE$56,"&gt;="&amp;7)))*CAPA3_EXPANSION!DE$36)</f>
        <v>3528</v>
      </c>
      <c r="DF14" s="298" t="n">
        <f aca="false">IF(COUNTIF(CAPA3_EXPANSION!$D$56:DF$56,"&gt;="&amp;7)=0,0,SUP_CONTROL!$C$8*IF($B14="V",1,IF($B14="D",(1+SUP_VOLUMEN!$C$26),(1+SUP_VOLUMEN!$C$27)))*INDEX(SUP_C3_EXPANSION!$C$6:$F$6,MIN(4,COUNTIF(CAPA3_EXPANSION!$D$56:DF$56,"&gt;="&amp;7)))*CAPA3_EXPANSION!DF$36)</f>
        <v>3528</v>
      </c>
      <c r="DG14" s="298" t="n">
        <f aca="false">IF(COUNTIF(CAPA3_EXPANSION!$D$56:DG$56,"&gt;="&amp;7)=0,0,SUP_CONTROL!$C$8*IF($B14="V",1,IF($B14="D",(1+SUP_VOLUMEN!$C$26),(1+SUP_VOLUMEN!$C$27)))*INDEX(SUP_C3_EXPANSION!$C$6:$F$6,MIN(4,COUNTIF(CAPA3_EXPANSION!$D$56:DG$56,"&gt;="&amp;7)))*CAPA3_EXPANSION!DG$36)</f>
        <v>3528</v>
      </c>
      <c r="DH14" s="298" t="n">
        <f aca="false">IF(COUNTIF(CAPA3_EXPANSION!$D$56:DH$56,"&gt;="&amp;7)=0,0,SUP_CONTROL!$C$8*IF($B14="V",1,IF($B14="D",(1+SUP_VOLUMEN!$C$26),(1+SUP_VOLUMEN!$C$27)))*INDEX(SUP_C3_EXPANSION!$C$6:$F$6,MIN(4,COUNTIF(CAPA3_EXPANSION!$D$56:DH$56,"&gt;="&amp;7)))*CAPA3_EXPANSION!DH$36)</f>
        <v>3528</v>
      </c>
      <c r="DI14" s="298" t="n">
        <f aca="false">IF(COUNTIF(CAPA3_EXPANSION!$D$56:DI$56,"&gt;="&amp;7)=0,0,SUP_CONTROL!$C$8*IF($B14="V",1,IF($B14="D",(1+SUP_VOLUMEN!$C$26),(1+SUP_VOLUMEN!$C$27)))*INDEX(SUP_C3_EXPANSION!$C$6:$F$6,MIN(4,COUNTIF(CAPA3_EXPANSION!$D$56:DI$56,"&gt;="&amp;7)))*CAPA3_EXPANSION!DI$36)</f>
        <v>3528</v>
      </c>
      <c r="DJ14" s="298" t="n">
        <f aca="false">IF(COUNTIF(CAPA3_EXPANSION!$D$56:DJ$56,"&gt;="&amp;7)=0,0,SUP_CONTROL!$C$8*IF($B14="V",1,IF($B14="D",(1+SUP_VOLUMEN!$C$26),(1+SUP_VOLUMEN!$C$27)))*INDEX(SUP_C3_EXPANSION!$C$6:$F$6,MIN(4,COUNTIF(CAPA3_EXPANSION!$D$56:DJ$56,"&gt;="&amp;7)))*CAPA3_EXPANSION!DJ$36)</f>
        <v>3528</v>
      </c>
      <c r="DK14" s="298" t="n">
        <f aca="false">IF(COUNTIF(CAPA3_EXPANSION!$D$56:DK$56,"&gt;="&amp;7)=0,0,SUP_CONTROL!$C$8*IF($B14="V",1,IF($B14="D",(1+SUP_VOLUMEN!$C$26),(1+SUP_VOLUMEN!$C$27)))*INDEX(SUP_C3_EXPANSION!$C$6:$F$6,MIN(4,COUNTIF(CAPA3_EXPANSION!$D$56:DK$56,"&gt;="&amp;7)))*CAPA3_EXPANSION!DK$36)</f>
        <v>3528</v>
      </c>
      <c r="DL14" s="298" t="n">
        <f aca="false">IF(COUNTIF(CAPA3_EXPANSION!$D$56:DL$56,"&gt;="&amp;7)=0,0,SUP_CONTROL!$C$8*IF($B14="V",1,IF($B14="D",(1+SUP_VOLUMEN!$C$26),(1+SUP_VOLUMEN!$C$27)))*INDEX(SUP_C3_EXPANSION!$C$6:$F$6,MIN(4,COUNTIF(CAPA3_EXPANSION!$D$56:DL$56,"&gt;="&amp;7)))*CAPA3_EXPANSION!DL$36)</f>
        <v>3528</v>
      </c>
      <c r="DM14" s="298" t="n">
        <f aca="false">IF(COUNTIF(CAPA3_EXPANSION!$D$56:DM$56,"&gt;="&amp;7)=0,0,SUP_CONTROL!$C$8*IF($B14="V",1,IF($B14="D",(1+SUP_VOLUMEN!$C$26),(1+SUP_VOLUMEN!$C$27)))*INDEX(SUP_C3_EXPANSION!$C$6:$F$6,MIN(4,COUNTIF(CAPA3_EXPANSION!$D$56:DM$56,"&gt;="&amp;7)))*CAPA3_EXPANSION!DM$36)</f>
        <v>3528</v>
      </c>
      <c r="DN14" s="298" t="n">
        <f aca="false">IF(COUNTIF(CAPA3_EXPANSION!$D$56:DN$56,"&gt;="&amp;7)=0,0,SUP_CONTROL!$C$8*IF($B14="V",1,IF($B14="D",(1+SUP_VOLUMEN!$C$26),(1+SUP_VOLUMEN!$C$27)))*INDEX(SUP_C3_EXPANSION!$C$6:$F$6,MIN(4,COUNTIF(CAPA3_EXPANSION!$D$56:DN$56,"&gt;="&amp;7)))*CAPA3_EXPANSION!DN$36)</f>
        <v>3528</v>
      </c>
      <c r="DO14" s="298" t="n">
        <f aca="false">IF(COUNTIF(CAPA3_EXPANSION!$D$56:DO$56,"&gt;="&amp;7)=0,0,SUP_CONTROL!$C$8*IF($B14="V",1,IF($B14="D",(1+SUP_VOLUMEN!$C$26),(1+SUP_VOLUMEN!$C$27)))*INDEX(SUP_C3_EXPANSION!$C$6:$F$6,MIN(4,COUNTIF(CAPA3_EXPANSION!$D$56:DO$56,"&gt;="&amp;7)))*CAPA3_EXPANSION!DO$36)</f>
        <v>3528</v>
      </c>
      <c r="DP14" s="298" t="n">
        <f aca="false">IF(COUNTIF(CAPA3_EXPANSION!$D$56:DP$56,"&gt;="&amp;7)=0,0,SUP_CONTROL!$C$8*IF($B14="V",1,IF($B14="D",(1+SUP_VOLUMEN!$C$26),(1+SUP_VOLUMEN!$C$27)))*INDEX(SUP_C3_EXPANSION!$C$6:$F$6,MIN(4,COUNTIF(CAPA3_EXPANSION!$D$56:DP$56,"&gt;="&amp;7)))*CAPA3_EXPANSION!DP$36)</f>
        <v>3528</v>
      </c>
      <c r="DQ14" s="298" t="n">
        <f aca="false">IF(COUNTIF(CAPA3_EXPANSION!$D$56:DQ$56,"&gt;="&amp;7)=0,0,SUP_CONTROL!$C$8*IF($B14="V",1,IF($B14="D",(1+SUP_VOLUMEN!$C$26),(1+SUP_VOLUMEN!$C$27)))*INDEX(SUP_C3_EXPANSION!$C$6:$F$6,MIN(4,COUNTIF(CAPA3_EXPANSION!$D$56:DQ$56,"&gt;="&amp;7)))*CAPA3_EXPANSION!DQ$36)</f>
        <v>3528</v>
      </c>
      <c r="DR14" s="298" t="n">
        <f aca="false">IF(COUNTIF(CAPA3_EXPANSION!$D$56:DR$56,"&gt;="&amp;7)=0,0,SUP_CONTROL!$C$8*IF($B14="V",1,IF($B14="D",(1+SUP_VOLUMEN!$C$26),(1+SUP_VOLUMEN!$C$27)))*INDEX(SUP_C3_EXPANSION!$C$6:$F$6,MIN(4,COUNTIF(CAPA3_EXPANSION!$D$56:DR$56,"&gt;="&amp;7)))*CAPA3_EXPANSION!DR$36)</f>
        <v>3528</v>
      </c>
      <c r="DS14" s="298" t="n">
        <f aca="false">IF(COUNTIF(CAPA3_EXPANSION!$D$56:DS$56,"&gt;="&amp;7)=0,0,SUP_CONTROL!$C$8*IF($B14="V",1,IF($B14="D",(1+SUP_VOLUMEN!$C$26),(1+SUP_VOLUMEN!$C$27)))*INDEX(SUP_C3_EXPANSION!$C$6:$F$6,MIN(4,COUNTIF(CAPA3_EXPANSION!$D$56:DS$56,"&gt;="&amp;7)))*CAPA3_EXPANSION!DS$36)</f>
        <v>3528</v>
      </c>
    </row>
    <row r="15" customFormat="false" ht="15" hidden="false" customHeight="true" outlineLevel="0" collapsed="false">
      <c r="A15" s="298" t="n">
        <v>18</v>
      </c>
      <c r="B15" s="497" t="str">
        <f aca="false">SUP_C3_EXPANSION!B27</f>
        <v>D</v>
      </c>
      <c r="C15" s="267" t="n">
        <f aca="false">SUP_C3_EXPANSION!G27</f>
        <v>37</v>
      </c>
      <c r="D15" s="298" t="n">
        <f aca="false">IF(COUNTIF(CAPA3_EXPANSION!$D$56:D$56,"&gt;="&amp;8)=0,0,SUP_CONTROL!$C$8*IF($B15="V",1,IF($B15="D",(1+SUP_VOLUMEN!$C$26),(1+SUP_VOLUMEN!$C$27)))*INDEX(SUP_C3_EXPANSION!$C$6:$F$6,MIN(4,COUNTIF(CAPA3_EXPANSION!$D$56:D$56,"&gt;="&amp;8)))*CAPA3_EXPANSION!D$36)</f>
        <v>0</v>
      </c>
      <c r="E15" s="298" t="n">
        <f aca="false">IF(COUNTIF(CAPA3_EXPANSION!$D$56:E$56,"&gt;="&amp;8)=0,0,SUP_CONTROL!$C$8*IF($B15="V",1,IF($B15="D",(1+SUP_VOLUMEN!$C$26),(1+SUP_VOLUMEN!$C$27)))*INDEX(SUP_C3_EXPANSION!$C$6:$F$6,MIN(4,COUNTIF(CAPA3_EXPANSION!$D$56:E$56,"&gt;="&amp;8)))*CAPA3_EXPANSION!E$36)</f>
        <v>0</v>
      </c>
      <c r="F15" s="298" t="n">
        <f aca="false">IF(COUNTIF(CAPA3_EXPANSION!$D$56:F$56,"&gt;="&amp;8)=0,0,SUP_CONTROL!$C$8*IF($B15="V",1,IF($B15="D",(1+SUP_VOLUMEN!$C$26),(1+SUP_VOLUMEN!$C$27)))*INDEX(SUP_C3_EXPANSION!$C$6:$F$6,MIN(4,COUNTIF(CAPA3_EXPANSION!$D$56:F$56,"&gt;="&amp;8)))*CAPA3_EXPANSION!F$36)</f>
        <v>0</v>
      </c>
      <c r="G15" s="298" t="n">
        <f aca="false">IF(COUNTIF(CAPA3_EXPANSION!$D$56:G$56,"&gt;="&amp;8)=0,0,SUP_CONTROL!$C$8*IF($B15="V",1,IF($B15="D",(1+SUP_VOLUMEN!$C$26),(1+SUP_VOLUMEN!$C$27)))*INDEX(SUP_C3_EXPANSION!$C$6:$F$6,MIN(4,COUNTIF(CAPA3_EXPANSION!$D$56:G$56,"&gt;="&amp;8)))*CAPA3_EXPANSION!G$36)</f>
        <v>0</v>
      </c>
      <c r="H15" s="298" t="n">
        <f aca="false">IF(COUNTIF(CAPA3_EXPANSION!$D$56:H$56,"&gt;="&amp;8)=0,0,SUP_CONTROL!$C$8*IF($B15="V",1,IF($B15="D",(1+SUP_VOLUMEN!$C$26),(1+SUP_VOLUMEN!$C$27)))*INDEX(SUP_C3_EXPANSION!$C$6:$F$6,MIN(4,COUNTIF(CAPA3_EXPANSION!$D$56:H$56,"&gt;="&amp;8)))*CAPA3_EXPANSION!H$36)</f>
        <v>0</v>
      </c>
      <c r="I15" s="298" t="n">
        <f aca="false">IF(COUNTIF(CAPA3_EXPANSION!$D$56:I$56,"&gt;="&amp;8)=0,0,SUP_CONTROL!$C$8*IF($B15="V",1,IF($B15="D",(1+SUP_VOLUMEN!$C$26),(1+SUP_VOLUMEN!$C$27)))*INDEX(SUP_C3_EXPANSION!$C$6:$F$6,MIN(4,COUNTIF(CAPA3_EXPANSION!$D$56:I$56,"&gt;="&amp;8)))*CAPA3_EXPANSION!I$36)</f>
        <v>0</v>
      </c>
      <c r="J15" s="298" t="n">
        <f aca="false">IF(COUNTIF(CAPA3_EXPANSION!$D$56:J$56,"&gt;="&amp;8)=0,0,SUP_CONTROL!$C$8*IF($B15="V",1,IF($B15="D",(1+SUP_VOLUMEN!$C$26),(1+SUP_VOLUMEN!$C$27)))*INDEX(SUP_C3_EXPANSION!$C$6:$F$6,MIN(4,COUNTIF(CAPA3_EXPANSION!$D$56:J$56,"&gt;="&amp;8)))*CAPA3_EXPANSION!J$36)</f>
        <v>0</v>
      </c>
      <c r="K15" s="298" t="n">
        <f aca="false">IF(COUNTIF(CAPA3_EXPANSION!$D$56:K$56,"&gt;="&amp;8)=0,0,SUP_CONTROL!$C$8*IF($B15="V",1,IF($B15="D",(1+SUP_VOLUMEN!$C$26),(1+SUP_VOLUMEN!$C$27)))*INDEX(SUP_C3_EXPANSION!$C$6:$F$6,MIN(4,COUNTIF(CAPA3_EXPANSION!$D$56:K$56,"&gt;="&amp;8)))*CAPA3_EXPANSION!K$36)</f>
        <v>0</v>
      </c>
      <c r="L15" s="298" t="n">
        <f aca="false">IF(COUNTIF(CAPA3_EXPANSION!$D$56:L$56,"&gt;="&amp;8)=0,0,SUP_CONTROL!$C$8*IF($B15="V",1,IF($B15="D",(1+SUP_VOLUMEN!$C$26),(1+SUP_VOLUMEN!$C$27)))*INDEX(SUP_C3_EXPANSION!$C$6:$F$6,MIN(4,COUNTIF(CAPA3_EXPANSION!$D$56:L$56,"&gt;="&amp;8)))*CAPA3_EXPANSION!L$36)</f>
        <v>0</v>
      </c>
      <c r="M15" s="298" t="n">
        <f aca="false">IF(COUNTIF(CAPA3_EXPANSION!$D$56:M$56,"&gt;="&amp;8)=0,0,SUP_CONTROL!$C$8*IF($B15="V",1,IF($B15="D",(1+SUP_VOLUMEN!$C$26),(1+SUP_VOLUMEN!$C$27)))*INDEX(SUP_C3_EXPANSION!$C$6:$F$6,MIN(4,COUNTIF(CAPA3_EXPANSION!$D$56:M$56,"&gt;="&amp;8)))*CAPA3_EXPANSION!M$36)</f>
        <v>0</v>
      </c>
      <c r="N15" s="298" t="n">
        <f aca="false">IF(COUNTIF(CAPA3_EXPANSION!$D$56:N$56,"&gt;="&amp;8)=0,0,SUP_CONTROL!$C$8*IF($B15="V",1,IF($B15="D",(1+SUP_VOLUMEN!$C$26),(1+SUP_VOLUMEN!$C$27)))*INDEX(SUP_C3_EXPANSION!$C$6:$F$6,MIN(4,COUNTIF(CAPA3_EXPANSION!$D$56:N$56,"&gt;="&amp;8)))*CAPA3_EXPANSION!N$36)</f>
        <v>0</v>
      </c>
      <c r="O15" s="298" t="n">
        <f aca="false">IF(COUNTIF(CAPA3_EXPANSION!$D$56:O$56,"&gt;="&amp;8)=0,0,SUP_CONTROL!$C$8*IF($B15="V",1,IF($B15="D",(1+SUP_VOLUMEN!$C$26),(1+SUP_VOLUMEN!$C$27)))*INDEX(SUP_C3_EXPANSION!$C$6:$F$6,MIN(4,COUNTIF(CAPA3_EXPANSION!$D$56:O$56,"&gt;="&amp;8)))*CAPA3_EXPANSION!O$36)</f>
        <v>0</v>
      </c>
      <c r="P15" s="298" t="n">
        <f aca="false">IF(COUNTIF(CAPA3_EXPANSION!$D$56:P$56,"&gt;="&amp;8)=0,0,SUP_CONTROL!$C$8*IF($B15="V",1,IF($B15="D",(1+SUP_VOLUMEN!$C$26),(1+SUP_VOLUMEN!$C$27)))*INDEX(SUP_C3_EXPANSION!$C$6:$F$6,MIN(4,COUNTIF(CAPA3_EXPANSION!$D$56:P$56,"&gt;="&amp;8)))*CAPA3_EXPANSION!P$36)</f>
        <v>0</v>
      </c>
      <c r="Q15" s="298" t="n">
        <f aca="false">IF(COUNTIF(CAPA3_EXPANSION!$D$56:Q$56,"&gt;="&amp;8)=0,0,SUP_CONTROL!$C$8*IF($B15="V",1,IF($B15="D",(1+SUP_VOLUMEN!$C$26),(1+SUP_VOLUMEN!$C$27)))*INDEX(SUP_C3_EXPANSION!$C$6:$F$6,MIN(4,COUNTIF(CAPA3_EXPANSION!$D$56:Q$56,"&gt;="&amp;8)))*CAPA3_EXPANSION!Q$36)</f>
        <v>0</v>
      </c>
      <c r="R15" s="298" t="n">
        <f aca="false">IF(COUNTIF(CAPA3_EXPANSION!$D$56:R$56,"&gt;="&amp;8)=0,0,SUP_CONTROL!$C$8*IF($B15="V",1,IF($B15="D",(1+SUP_VOLUMEN!$C$26),(1+SUP_VOLUMEN!$C$27)))*INDEX(SUP_C3_EXPANSION!$C$6:$F$6,MIN(4,COUNTIF(CAPA3_EXPANSION!$D$56:R$56,"&gt;="&amp;8)))*CAPA3_EXPANSION!R$36)</f>
        <v>0</v>
      </c>
      <c r="S15" s="298" t="n">
        <f aca="false">IF(COUNTIF(CAPA3_EXPANSION!$D$56:S$56,"&gt;="&amp;8)=0,0,SUP_CONTROL!$C$8*IF($B15="V",1,IF($B15="D",(1+SUP_VOLUMEN!$C$26),(1+SUP_VOLUMEN!$C$27)))*INDEX(SUP_C3_EXPANSION!$C$6:$F$6,MIN(4,COUNTIF(CAPA3_EXPANSION!$D$56:S$56,"&gt;="&amp;8)))*CAPA3_EXPANSION!S$36)</f>
        <v>0</v>
      </c>
      <c r="T15" s="298" t="n">
        <f aca="false">IF(COUNTIF(CAPA3_EXPANSION!$D$56:T$56,"&gt;="&amp;8)=0,0,SUP_CONTROL!$C$8*IF($B15="V",1,IF($B15="D",(1+SUP_VOLUMEN!$C$26),(1+SUP_VOLUMEN!$C$27)))*INDEX(SUP_C3_EXPANSION!$C$6:$F$6,MIN(4,COUNTIF(CAPA3_EXPANSION!$D$56:T$56,"&gt;="&amp;8)))*CAPA3_EXPANSION!T$36)</f>
        <v>0</v>
      </c>
      <c r="U15" s="298" t="n">
        <f aca="false">IF(COUNTIF(CAPA3_EXPANSION!$D$56:U$56,"&gt;="&amp;8)=0,0,SUP_CONTROL!$C$8*IF($B15="V",1,IF($B15="D",(1+SUP_VOLUMEN!$C$26),(1+SUP_VOLUMEN!$C$27)))*INDEX(SUP_C3_EXPANSION!$C$6:$F$6,MIN(4,COUNTIF(CAPA3_EXPANSION!$D$56:U$56,"&gt;="&amp;8)))*CAPA3_EXPANSION!U$36)</f>
        <v>0</v>
      </c>
      <c r="V15" s="298" t="n">
        <f aca="false">IF(COUNTIF(CAPA3_EXPANSION!$D$56:V$56,"&gt;="&amp;8)=0,0,SUP_CONTROL!$C$8*IF($B15="V",1,IF($B15="D",(1+SUP_VOLUMEN!$C$26),(1+SUP_VOLUMEN!$C$27)))*INDEX(SUP_C3_EXPANSION!$C$6:$F$6,MIN(4,COUNTIF(CAPA3_EXPANSION!$D$56:V$56,"&gt;="&amp;8)))*CAPA3_EXPANSION!V$36)</f>
        <v>0</v>
      </c>
      <c r="W15" s="298" t="n">
        <f aca="false">IF(COUNTIF(CAPA3_EXPANSION!$D$56:W$56,"&gt;="&amp;8)=0,0,SUP_CONTROL!$C$8*IF($B15="V",1,IF($B15="D",(1+SUP_VOLUMEN!$C$26),(1+SUP_VOLUMEN!$C$27)))*INDEX(SUP_C3_EXPANSION!$C$6:$F$6,MIN(4,COUNTIF(CAPA3_EXPANSION!$D$56:W$56,"&gt;="&amp;8)))*CAPA3_EXPANSION!W$36)</f>
        <v>0</v>
      </c>
      <c r="X15" s="298" t="n">
        <f aca="false">IF(COUNTIF(CAPA3_EXPANSION!$D$56:X$56,"&gt;="&amp;8)=0,0,SUP_CONTROL!$C$8*IF($B15="V",1,IF($B15="D",(1+SUP_VOLUMEN!$C$26),(1+SUP_VOLUMEN!$C$27)))*INDEX(SUP_C3_EXPANSION!$C$6:$F$6,MIN(4,COUNTIF(CAPA3_EXPANSION!$D$56:X$56,"&gt;="&amp;8)))*CAPA3_EXPANSION!X$36)</f>
        <v>0</v>
      </c>
      <c r="Y15" s="298" t="n">
        <f aca="false">IF(COUNTIF(CAPA3_EXPANSION!$D$56:Y$56,"&gt;="&amp;8)=0,0,SUP_CONTROL!$C$8*IF($B15="V",1,IF($B15="D",(1+SUP_VOLUMEN!$C$26),(1+SUP_VOLUMEN!$C$27)))*INDEX(SUP_C3_EXPANSION!$C$6:$F$6,MIN(4,COUNTIF(CAPA3_EXPANSION!$D$56:Y$56,"&gt;="&amp;8)))*CAPA3_EXPANSION!Y$36)</f>
        <v>0</v>
      </c>
      <c r="Z15" s="298" t="n">
        <f aca="false">IF(COUNTIF(CAPA3_EXPANSION!$D$56:Z$56,"&gt;="&amp;8)=0,0,SUP_CONTROL!$C$8*IF($B15="V",1,IF($B15="D",(1+SUP_VOLUMEN!$C$26),(1+SUP_VOLUMEN!$C$27)))*INDEX(SUP_C3_EXPANSION!$C$6:$F$6,MIN(4,COUNTIF(CAPA3_EXPANSION!$D$56:Z$56,"&gt;="&amp;8)))*CAPA3_EXPANSION!Z$36)</f>
        <v>0</v>
      </c>
      <c r="AA15" s="298" t="n">
        <f aca="false">IF(COUNTIF(CAPA3_EXPANSION!$D$56:AA$56,"&gt;="&amp;8)=0,0,SUP_CONTROL!$C$8*IF($B15="V",1,IF($B15="D",(1+SUP_VOLUMEN!$C$26),(1+SUP_VOLUMEN!$C$27)))*INDEX(SUP_C3_EXPANSION!$C$6:$F$6,MIN(4,COUNTIF(CAPA3_EXPANSION!$D$56:AA$56,"&gt;="&amp;8)))*CAPA3_EXPANSION!AA$36)</f>
        <v>0</v>
      </c>
      <c r="AB15" s="298" t="n">
        <f aca="false">IF(COUNTIF(CAPA3_EXPANSION!$D$56:AB$56,"&gt;="&amp;8)=0,0,SUP_CONTROL!$C$8*IF($B15="V",1,IF($B15="D",(1+SUP_VOLUMEN!$C$26),(1+SUP_VOLUMEN!$C$27)))*INDEX(SUP_C3_EXPANSION!$C$6:$F$6,MIN(4,COUNTIF(CAPA3_EXPANSION!$D$56:AB$56,"&gt;="&amp;8)))*CAPA3_EXPANSION!AB$36)</f>
        <v>0</v>
      </c>
      <c r="AC15" s="298" t="n">
        <f aca="false">IF(COUNTIF(CAPA3_EXPANSION!$D$56:AC$56,"&gt;="&amp;8)=0,0,SUP_CONTROL!$C$8*IF($B15="V",1,IF($B15="D",(1+SUP_VOLUMEN!$C$26),(1+SUP_VOLUMEN!$C$27)))*INDEX(SUP_C3_EXPANSION!$C$6:$F$6,MIN(4,COUNTIF(CAPA3_EXPANSION!$D$56:AC$56,"&gt;="&amp;8)))*CAPA3_EXPANSION!AC$36)</f>
        <v>0</v>
      </c>
      <c r="AD15" s="298" t="n">
        <f aca="false">IF(COUNTIF(CAPA3_EXPANSION!$D$56:AD$56,"&gt;="&amp;8)=0,0,SUP_CONTROL!$C$8*IF($B15="V",1,IF($B15="D",(1+SUP_VOLUMEN!$C$26),(1+SUP_VOLUMEN!$C$27)))*INDEX(SUP_C3_EXPANSION!$C$6:$F$6,MIN(4,COUNTIF(CAPA3_EXPANSION!$D$56:AD$56,"&gt;="&amp;8)))*CAPA3_EXPANSION!AD$36)</f>
        <v>0</v>
      </c>
      <c r="AE15" s="298" t="n">
        <f aca="false">IF(COUNTIF(CAPA3_EXPANSION!$D$56:AE$56,"&gt;="&amp;8)=0,0,SUP_CONTROL!$C$8*IF($B15="V",1,IF($B15="D",(1+SUP_VOLUMEN!$C$26),(1+SUP_VOLUMEN!$C$27)))*INDEX(SUP_C3_EXPANSION!$C$6:$F$6,MIN(4,COUNTIF(CAPA3_EXPANSION!$D$56:AE$56,"&gt;="&amp;8)))*CAPA3_EXPANSION!AE$36)</f>
        <v>0</v>
      </c>
      <c r="AF15" s="298" t="n">
        <f aca="false">IF(COUNTIF(CAPA3_EXPANSION!$D$56:AF$56,"&gt;="&amp;8)=0,0,SUP_CONTROL!$C$8*IF($B15="V",1,IF($B15="D",(1+SUP_VOLUMEN!$C$26),(1+SUP_VOLUMEN!$C$27)))*INDEX(SUP_C3_EXPANSION!$C$6:$F$6,MIN(4,COUNTIF(CAPA3_EXPANSION!$D$56:AF$56,"&gt;="&amp;8)))*CAPA3_EXPANSION!AF$36)</f>
        <v>0</v>
      </c>
      <c r="AG15" s="298" t="n">
        <f aca="false">IF(COUNTIF(CAPA3_EXPANSION!$D$56:AG$56,"&gt;="&amp;8)=0,0,SUP_CONTROL!$C$8*IF($B15="V",1,IF($B15="D",(1+SUP_VOLUMEN!$C$26),(1+SUP_VOLUMEN!$C$27)))*INDEX(SUP_C3_EXPANSION!$C$6:$F$6,MIN(4,COUNTIF(CAPA3_EXPANSION!$D$56:AG$56,"&gt;="&amp;8)))*CAPA3_EXPANSION!AG$36)</f>
        <v>0</v>
      </c>
      <c r="AH15" s="298" t="n">
        <f aca="false">IF(COUNTIF(CAPA3_EXPANSION!$D$56:AH$56,"&gt;="&amp;8)=0,0,SUP_CONTROL!$C$8*IF($B15="V",1,IF($B15="D",(1+SUP_VOLUMEN!$C$26),(1+SUP_VOLUMEN!$C$27)))*INDEX(SUP_C3_EXPANSION!$C$6:$F$6,MIN(4,COUNTIF(CAPA3_EXPANSION!$D$56:AH$56,"&gt;="&amp;8)))*CAPA3_EXPANSION!AH$36)</f>
        <v>0</v>
      </c>
      <c r="AI15" s="298" t="n">
        <f aca="false">IF(COUNTIF(CAPA3_EXPANSION!$D$56:AI$56,"&gt;="&amp;8)=0,0,SUP_CONTROL!$C$8*IF($B15="V",1,IF($B15="D",(1+SUP_VOLUMEN!$C$26),(1+SUP_VOLUMEN!$C$27)))*INDEX(SUP_C3_EXPANSION!$C$6:$F$6,MIN(4,COUNTIF(CAPA3_EXPANSION!$D$56:AI$56,"&gt;="&amp;8)))*CAPA3_EXPANSION!AI$36)</f>
        <v>0</v>
      </c>
      <c r="AJ15" s="298" t="n">
        <f aca="false">IF(COUNTIF(CAPA3_EXPANSION!$D$56:AJ$56,"&gt;="&amp;8)=0,0,SUP_CONTROL!$C$8*IF($B15="V",1,IF($B15="D",(1+SUP_VOLUMEN!$C$26),(1+SUP_VOLUMEN!$C$27)))*INDEX(SUP_C3_EXPANSION!$C$6:$F$6,MIN(4,COUNTIF(CAPA3_EXPANSION!$D$56:AJ$56,"&gt;="&amp;8)))*CAPA3_EXPANSION!AJ$36)</f>
        <v>0</v>
      </c>
      <c r="AK15" s="298" t="n">
        <f aca="false">IF(COUNTIF(CAPA3_EXPANSION!$D$56:AK$56,"&gt;="&amp;8)=0,0,SUP_CONTROL!$C$8*IF($B15="V",1,IF($B15="D",(1+SUP_VOLUMEN!$C$26),(1+SUP_VOLUMEN!$C$27)))*INDEX(SUP_C3_EXPANSION!$C$6:$F$6,MIN(4,COUNTIF(CAPA3_EXPANSION!$D$56:AK$56,"&gt;="&amp;8)))*CAPA3_EXPANSION!AK$36)</f>
        <v>0</v>
      </c>
      <c r="AL15" s="298" t="n">
        <f aca="false">IF(COUNTIF(CAPA3_EXPANSION!$D$56:AL$56,"&gt;="&amp;8)=0,0,SUP_CONTROL!$C$8*IF($B15="V",1,IF($B15="D",(1+SUP_VOLUMEN!$C$26),(1+SUP_VOLUMEN!$C$27)))*INDEX(SUP_C3_EXPANSION!$C$6:$F$6,MIN(4,COUNTIF(CAPA3_EXPANSION!$D$56:AL$56,"&gt;="&amp;8)))*CAPA3_EXPANSION!AL$36)</f>
        <v>0</v>
      </c>
      <c r="AM15" s="298" t="n">
        <f aca="false">IF(COUNTIF(CAPA3_EXPANSION!$D$56:AM$56,"&gt;="&amp;8)=0,0,SUP_CONTROL!$C$8*IF($B15="V",1,IF($B15="D",(1+SUP_VOLUMEN!$C$26),(1+SUP_VOLUMEN!$C$27)))*INDEX(SUP_C3_EXPANSION!$C$6:$F$6,MIN(4,COUNTIF(CAPA3_EXPANSION!$D$56:AM$56,"&gt;="&amp;8)))*CAPA3_EXPANSION!AM$36)</f>
        <v>0</v>
      </c>
      <c r="AN15" s="298" t="n">
        <f aca="false">IF(COUNTIF(CAPA3_EXPANSION!$D$56:AN$56,"&gt;="&amp;8)=0,0,SUP_CONTROL!$C$8*IF($B15="V",1,IF($B15="D",(1+SUP_VOLUMEN!$C$26),(1+SUP_VOLUMEN!$C$27)))*INDEX(SUP_C3_EXPANSION!$C$6:$F$6,MIN(4,COUNTIF(CAPA3_EXPANSION!$D$56:AN$56,"&gt;="&amp;8)))*CAPA3_EXPANSION!AN$36)</f>
        <v>0</v>
      </c>
      <c r="AO15" s="298" t="n">
        <f aca="false">IF(COUNTIF(CAPA3_EXPANSION!$D$56:AO$56,"&gt;="&amp;8)=0,0,SUP_CONTROL!$C$8*IF($B15="V",1,IF($B15="D",(1+SUP_VOLUMEN!$C$26),(1+SUP_VOLUMEN!$C$27)))*INDEX(SUP_C3_EXPANSION!$C$6:$F$6,MIN(4,COUNTIF(CAPA3_EXPANSION!$D$56:AO$56,"&gt;="&amp;8)))*CAPA3_EXPANSION!AO$36)</f>
        <v>0</v>
      </c>
      <c r="AP15" s="298" t="n">
        <f aca="false">IF(COUNTIF(CAPA3_EXPANSION!$D$56:AP$56,"&gt;="&amp;8)=0,0,SUP_CONTROL!$C$8*IF($B15="V",1,IF($B15="D",(1+SUP_VOLUMEN!$C$26),(1+SUP_VOLUMEN!$C$27)))*INDEX(SUP_C3_EXPANSION!$C$6:$F$6,MIN(4,COUNTIF(CAPA3_EXPANSION!$D$56:AP$56,"&gt;="&amp;8)))*CAPA3_EXPANSION!AP$36)</f>
        <v>0</v>
      </c>
      <c r="AQ15" s="298" t="n">
        <f aca="false">IF(COUNTIF(CAPA3_EXPANSION!$D$56:AQ$56,"&gt;="&amp;8)=0,0,SUP_CONTROL!$C$8*IF($B15="V",1,IF($B15="D",(1+SUP_VOLUMEN!$C$26),(1+SUP_VOLUMEN!$C$27)))*INDEX(SUP_C3_EXPANSION!$C$6:$F$6,MIN(4,COUNTIF(CAPA3_EXPANSION!$D$56:AQ$56,"&gt;="&amp;8)))*CAPA3_EXPANSION!AQ$36)</f>
        <v>3353.805</v>
      </c>
      <c r="AR15" s="298" t="n">
        <f aca="false">IF(COUNTIF(CAPA3_EXPANSION!$D$56:AR$56,"&gt;="&amp;8)=0,0,SUP_CONTROL!$C$8*IF($B15="V",1,IF($B15="D",(1+SUP_VOLUMEN!$C$26),(1+SUP_VOLUMEN!$C$27)))*INDEX(SUP_C3_EXPANSION!$C$6:$F$6,MIN(4,COUNTIF(CAPA3_EXPANSION!$D$56:AR$56,"&gt;="&amp;8)))*CAPA3_EXPANSION!AR$36)</f>
        <v>4127.76</v>
      </c>
      <c r="AS15" s="298" t="n">
        <f aca="false">IF(COUNTIF(CAPA3_EXPANSION!$D$56:AS$56,"&gt;="&amp;8)=0,0,SUP_CONTROL!$C$8*IF($B15="V",1,IF($B15="D",(1+SUP_VOLUMEN!$C$26),(1+SUP_VOLUMEN!$C$27)))*INDEX(SUP_C3_EXPANSION!$C$6:$F$6,MIN(4,COUNTIF(CAPA3_EXPANSION!$D$56:AS$56,"&gt;="&amp;8)))*CAPA3_EXPANSION!AS$36)</f>
        <v>4643.73</v>
      </c>
      <c r="AT15" s="298" t="n">
        <f aca="false">IF(COUNTIF(CAPA3_EXPANSION!$D$56:AT$56,"&gt;="&amp;8)=0,0,SUP_CONTROL!$C$8*IF($B15="V",1,IF($B15="D",(1+SUP_VOLUMEN!$C$26),(1+SUP_VOLUMEN!$C$27)))*INDEX(SUP_C3_EXPANSION!$C$6:$F$6,MIN(4,COUNTIF(CAPA3_EXPANSION!$D$56:AT$56,"&gt;="&amp;8)))*CAPA3_EXPANSION!AT$36)</f>
        <v>5159.7</v>
      </c>
      <c r="AU15" s="298" t="n">
        <f aca="false">IF(COUNTIF(CAPA3_EXPANSION!$D$56:AU$56,"&gt;="&amp;8)=0,0,SUP_CONTROL!$C$8*IF($B15="V",1,IF($B15="D",(1+SUP_VOLUMEN!$C$26),(1+SUP_VOLUMEN!$C$27)))*INDEX(SUP_C3_EXPANSION!$C$6:$F$6,MIN(4,COUNTIF(CAPA3_EXPANSION!$D$56:AU$56,"&gt;="&amp;8)))*CAPA3_EXPANSION!AU$36)</f>
        <v>5159.7</v>
      </c>
      <c r="AV15" s="298" t="n">
        <f aca="false">IF(COUNTIF(CAPA3_EXPANSION!$D$56:AV$56,"&gt;="&amp;8)=0,0,SUP_CONTROL!$C$8*IF($B15="V",1,IF($B15="D",(1+SUP_VOLUMEN!$C$26),(1+SUP_VOLUMEN!$C$27)))*INDEX(SUP_C3_EXPANSION!$C$6:$F$6,MIN(4,COUNTIF(CAPA3_EXPANSION!$D$56:AV$56,"&gt;="&amp;8)))*CAPA3_EXPANSION!AV$36)</f>
        <v>5159.7</v>
      </c>
      <c r="AW15" s="298" t="n">
        <f aca="false">IF(COUNTIF(CAPA3_EXPANSION!$D$56:AW$56,"&gt;="&amp;8)=0,0,SUP_CONTROL!$C$8*IF($B15="V",1,IF($B15="D",(1+SUP_VOLUMEN!$C$26),(1+SUP_VOLUMEN!$C$27)))*INDEX(SUP_C3_EXPANSION!$C$6:$F$6,MIN(4,COUNTIF(CAPA3_EXPANSION!$D$56:AW$56,"&gt;="&amp;8)))*CAPA3_EXPANSION!AW$36)</f>
        <v>5159.7</v>
      </c>
      <c r="AX15" s="298" t="n">
        <f aca="false">IF(COUNTIF(CAPA3_EXPANSION!$D$56:AX$56,"&gt;="&amp;8)=0,0,SUP_CONTROL!$C$8*IF($B15="V",1,IF($B15="D",(1+SUP_VOLUMEN!$C$26),(1+SUP_VOLUMEN!$C$27)))*INDEX(SUP_C3_EXPANSION!$C$6:$F$6,MIN(4,COUNTIF(CAPA3_EXPANSION!$D$56:AX$56,"&gt;="&amp;8)))*CAPA3_EXPANSION!AX$36)</f>
        <v>5159.7</v>
      </c>
      <c r="AY15" s="298" t="n">
        <f aca="false">IF(COUNTIF(CAPA3_EXPANSION!$D$56:AY$56,"&gt;="&amp;8)=0,0,SUP_CONTROL!$C$8*IF($B15="V",1,IF($B15="D",(1+SUP_VOLUMEN!$C$26),(1+SUP_VOLUMEN!$C$27)))*INDEX(SUP_C3_EXPANSION!$C$6:$F$6,MIN(4,COUNTIF(CAPA3_EXPANSION!$D$56:AY$56,"&gt;="&amp;8)))*CAPA3_EXPANSION!AY$36)</f>
        <v>5159.7</v>
      </c>
      <c r="AZ15" s="298" t="n">
        <f aca="false">IF(COUNTIF(CAPA3_EXPANSION!$D$56:AZ$56,"&gt;="&amp;8)=0,0,SUP_CONTROL!$C$8*IF($B15="V",1,IF($B15="D",(1+SUP_VOLUMEN!$C$26),(1+SUP_VOLUMEN!$C$27)))*INDEX(SUP_C3_EXPANSION!$C$6:$F$6,MIN(4,COUNTIF(CAPA3_EXPANSION!$D$56:AZ$56,"&gt;="&amp;8)))*CAPA3_EXPANSION!AZ$36)</f>
        <v>5159.7</v>
      </c>
      <c r="BA15" s="298" t="n">
        <f aca="false">IF(COUNTIF(CAPA3_EXPANSION!$D$56:BA$56,"&gt;="&amp;8)=0,0,SUP_CONTROL!$C$8*IF($B15="V",1,IF($B15="D",(1+SUP_VOLUMEN!$C$26),(1+SUP_VOLUMEN!$C$27)))*INDEX(SUP_C3_EXPANSION!$C$6:$F$6,MIN(4,COUNTIF(CAPA3_EXPANSION!$D$56:BA$56,"&gt;="&amp;8)))*CAPA3_EXPANSION!BA$36)</f>
        <v>5159.7</v>
      </c>
      <c r="BB15" s="298" t="n">
        <f aca="false">IF(COUNTIF(CAPA3_EXPANSION!$D$56:BB$56,"&gt;="&amp;8)=0,0,SUP_CONTROL!$C$8*IF($B15="V",1,IF($B15="D",(1+SUP_VOLUMEN!$C$26),(1+SUP_VOLUMEN!$C$27)))*INDEX(SUP_C3_EXPANSION!$C$6:$F$6,MIN(4,COUNTIF(CAPA3_EXPANSION!$D$56:BB$56,"&gt;="&amp;8)))*CAPA3_EXPANSION!BB$36)</f>
        <v>5159.7</v>
      </c>
      <c r="BC15" s="298" t="n">
        <f aca="false">IF(COUNTIF(CAPA3_EXPANSION!$D$56:BC$56,"&gt;="&amp;8)=0,0,SUP_CONTROL!$C$8*IF($B15="V",1,IF($B15="D",(1+SUP_VOLUMEN!$C$26),(1+SUP_VOLUMEN!$C$27)))*INDEX(SUP_C3_EXPANSION!$C$6:$F$6,MIN(4,COUNTIF(CAPA3_EXPANSION!$D$56:BC$56,"&gt;="&amp;8)))*CAPA3_EXPANSION!BC$36)</f>
        <v>5159.7</v>
      </c>
      <c r="BD15" s="298" t="n">
        <f aca="false">IF(COUNTIF(CAPA3_EXPANSION!$D$56:BD$56,"&gt;="&amp;8)=0,0,SUP_CONTROL!$C$8*IF($B15="V",1,IF($B15="D",(1+SUP_VOLUMEN!$C$26),(1+SUP_VOLUMEN!$C$27)))*INDEX(SUP_C3_EXPANSION!$C$6:$F$6,MIN(4,COUNTIF(CAPA3_EXPANSION!$D$56:BD$56,"&gt;="&amp;8)))*CAPA3_EXPANSION!BD$36)</f>
        <v>5159.7</v>
      </c>
      <c r="BE15" s="298" t="n">
        <f aca="false">IF(COUNTIF(CAPA3_EXPANSION!$D$56:BE$56,"&gt;="&amp;8)=0,0,SUP_CONTROL!$C$8*IF($B15="V",1,IF($B15="D",(1+SUP_VOLUMEN!$C$26),(1+SUP_VOLUMEN!$C$27)))*INDEX(SUP_C3_EXPANSION!$C$6:$F$6,MIN(4,COUNTIF(CAPA3_EXPANSION!$D$56:BE$56,"&gt;="&amp;8)))*CAPA3_EXPANSION!BE$36)</f>
        <v>5159.7</v>
      </c>
      <c r="BF15" s="298" t="n">
        <f aca="false">IF(COUNTIF(CAPA3_EXPANSION!$D$56:BF$56,"&gt;="&amp;8)=0,0,SUP_CONTROL!$C$8*IF($B15="V",1,IF($B15="D",(1+SUP_VOLUMEN!$C$26),(1+SUP_VOLUMEN!$C$27)))*INDEX(SUP_C3_EXPANSION!$C$6:$F$6,MIN(4,COUNTIF(CAPA3_EXPANSION!$D$56:BF$56,"&gt;="&amp;8)))*CAPA3_EXPANSION!BF$36)</f>
        <v>5023.2</v>
      </c>
      <c r="BG15" s="298" t="n">
        <f aca="false">IF(COUNTIF(CAPA3_EXPANSION!$D$56:BG$56,"&gt;="&amp;8)=0,0,SUP_CONTROL!$C$8*IF($B15="V",1,IF($B15="D",(1+SUP_VOLUMEN!$C$26),(1+SUP_VOLUMEN!$C$27)))*INDEX(SUP_C3_EXPANSION!$C$6:$F$6,MIN(4,COUNTIF(CAPA3_EXPANSION!$D$56:BG$56,"&gt;="&amp;8)))*CAPA3_EXPANSION!BG$36)</f>
        <v>5023.2</v>
      </c>
      <c r="BH15" s="298" t="n">
        <f aca="false">IF(COUNTIF(CAPA3_EXPANSION!$D$56:BH$56,"&gt;="&amp;8)=0,0,SUP_CONTROL!$C$8*IF($B15="V",1,IF($B15="D",(1+SUP_VOLUMEN!$C$26),(1+SUP_VOLUMEN!$C$27)))*INDEX(SUP_C3_EXPANSION!$C$6:$F$6,MIN(4,COUNTIF(CAPA3_EXPANSION!$D$56:BH$56,"&gt;="&amp;8)))*CAPA3_EXPANSION!BH$36)</f>
        <v>5023.2</v>
      </c>
      <c r="BI15" s="298" t="n">
        <f aca="false">IF(COUNTIF(CAPA3_EXPANSION!$D$56:BI$56,"&gt;="&amp;8)=0,0,SUP_CONTROL!$C$8*IF($B15="V",1,IF($B15="D",(1+SUP_VOLUMEN!$C$26),(1+SUP_VOLUMEN!$C$27)))*INDEX(SUP_C3_EXPANSION!$C$6:$F$6,MIN(4,COUNTIF(CAPA3_EXPANSION!$D$56:BI$56,"&gt;="&amp;8)))*CAPA3_EXPANSION!BI$36)</f>
        <v>5023.2</v>
      </c>
      <c r="BJ15" s="298" t="n">
        <f aca="false">IF(COUNTIF(CAPA3_EXPANSION!$D$56:BJ$56,"&gt;="&amp;8)=0,0,SUP_CONTROL!$C$8*IF($B15="V",1,IF($B15="D",(1+SUP_VOLUMEN!$C$26),(1+SUP_VOLUMEN!$C$27)))*INDEX(SUP_C3_EXPANSION!$C$6:$F$6,MIN(4,COUNTIF(CAPA3_EXPANSION!$D$56:BJ$56,"&gt;="&amp;8)))*CAPA3_EXPANSION!BJ$36)</f>
        <v>5023.2</v>
      </c>
      <c r="BK15" s="298" t="n">
        <f aca="false">IF(COUNTIF(CAPA3_EXPANSION!$D$56:BK$56,"&gt;="&amp;8)=0,0,SUP_CONTROL!$C$8*IF($B15="V",1,IF($B15="D",(1+SUP_VOLUMEN!$C$26),(1+SUP_VOLUMEN!$C$27)))*INDEX(SUP_C3_EXPANSION!$C$6:$F$6,MIN(4,COUNTIF(CAPA3_EXPANSION!$D$56:BK$56,"&gt;="&amp;8)))*CAPA3_EXPANSION!BK$36)</f>
        <v>4914</v>
      </c>
      <c r="BL15" s="298" t="n">
        <f aca="false">IF(COUNTIF(CAPA3_EXPANSION!$D$56:BL$56,"&gt;="&amp;8)=0,0,SUP_CONTROL!$C$8*IF($B15="V",1,IF($B15="D",(1+SUP_VOLUMEN!$C$26),(1+SUP_VOLUMEN!$C$27)))*INDEX(SUP_C3_EXPANSION!$C$6:$F$6,MIN(4,COUNTIF(CAPA3_EXPANSION!$D$56:BL$56,"&gt;="&amp;8)))*CAPA3_EXPANSION!BL$36)</f>
        <v>4914</v>
      </c>
      <c r="BM15" s="298" t="n">
        <f aca="false">IF(COUNTIF(CAPA3_EXPANSION!$D$56:BM$56,"&gt;="&amp;8)=0,0,SUP_CONTROL!$C$8*IF($B15="V",1,IF($B15="D",(1+SUP_VOLUMEN!$C$26),(1+SUP_VOLUMEN!$C$27)))*INDEX(SUP_C3_EXPANSION!$C$6:$F$6,MIN(4,COUNTIF(CAPA3_EXPANSION!$D$56:BM$56,"&gt;="&amp;8)))*CAPA3_EXPANSION!BM$36)</f>
        <v>4914</v>
      </c>
      <c r="BN15" s="298" t="n">
        <f aca="false">IF(COUNTIF(CAPA3_EXPANSION!$D$56:BN$56,"&gt;="&amp;8)=0,0,SUP_CONTROL!$C$8*IF($B15="V",1,IF($B15="D",(1+SUP_VOLUMEN!$C$26),(1+SUP_VOLUMEN!$C$27)))*INDEX(SUP_C3_EXPANSION!$C$6:$F$6,MIN(4,COUNTIF(CAPA3_EXPANSION!$D$56:BN$56,"&gt;="&amp;8)))*CAPA3_EXPANSION!BN$36)</f>
        <v>4914</v>
      </c>
      <c r="BO15" s="298" t="n">
        <f aca="false">IF(COUNTIF(CAPA3_EXPANSION!$D$56:BO$56,"&gt;="&amp;8)=0,0,SUP_CONTROL!$C$8*IF($B15="V",1,IF($B15="D",(1+SUP_VOLUMEN!$C$26),(1+SUP_VOLUMEN!$C$27)))*INDEX(SUP_C3_EXPANSION!$C$6:$F$6,MIN(4,COUNTIF(CAPA3_EXPANSION!$D$56:BO$56,"&gt;="&amp;8)))*CAPA3_EXPANSION!BO$36)</f>
        <v>4914</v>
      </c>
      <c r="BP15" s="298" t="n">
        <f aca="false">IF(COUNTIF(CAPA3_EXPANSION!$D$56:BP$56,"&gt;="&amp;8)=0,0,SUP_CONTROL!$C$8*IF($B15="V",1,IF($B15="D",(1+SUP_VOLUMEN!$C$26),(1+SUP_VOLUMEN!$C$27)))*INDEX(SUP_C3_EXPANSION!$C$6:$F$6,MIN(4,COUNTIF(CAPA3_EXPANSION!$D$56:BP$56,"&gt;="&amp;8)))*CAPA3_EXPANSION!BP$36)</f>
        <v>4914</v>
      </c>
      <c r="BQ15" s="298" t="n">
        <f aca="false">IF(COUNTIF(CAPA3_EXPANSION!$D$56:BQ$56,"&gt;="&amp;8)=0,0,SUP_CONTROL!$C$8*IF($B15="V",1,IF($B15="D",(1+SUP_VOLUMEN!$C$26),(1+SUP_VOLUMEN!$C$27)))*INDEX(SUP_C3_EXPANSION!$C$6:$F$6,MIN(4,COUNTIF(CAPA3_EXPANSION!$D$56:BQ$56,"&gt;="&amp;8)))*CAPA3_EXPANSION!BQ$36)</f>
        <v>4804.8</v>
      </c>
      <c r="BR15" s="298" t="n">
        <f aca="false">IF(COUNTIF(CAPA3_EXPANSION!$D$56:BR$56,"&gt;="&amp;8)=0,0,SUP_CONTROL!$C$8*IF($B15="V",1,IF($B15="D",(1+SUP_VOLUMEN!$C$26),(1+SUP_VOLUMEN!$C$27)))*INDEX(SUP_C3_EXPANSION!$C$6:$F$6,MIN(4,COUNTIF(CAPA3_EXPANSION!$D$56:BR$56,"&gt;="&amp;8)))*CAPA3_EXPANSION!BR$36)</f>
        <v>4804.8</v>
      </c>
      <c r="BS15" s="298" t="n">
        <f aca="false">IF(COUNTIF(CAPA3_EXPANSION!$D$56:BS$56,"&gt;="&amp;8)=0,0,SUP_CONTROL!$C$8*IF($B15="V",1,IF($B15="D",(1+SUP_VOLUMEN!$C$26),(1+SUP_VOLUMEN!$C$27)))*INDEX(SUP_C3_EXPANSION!$C$6:$F$6,MIN(4,COUNTIF(CAPA3_EXPANSION!$D$56:BS$56,"&gt;="&amp;8)))*CAPA3_EXPANSION!BS$36)</f>
        <v>4804.8</v>
      </c>
      <c r="BT15" s="298" t="n">
        <f aca="false">IF(COUNTIF(CAPA3_EXPANSION!$D$56:BT$56,"&gt;="&amp;8)=0,0,SUP_CONTROL!$C$8*IF($B15="V",1,IF($B15="D",(1+SUP_VOLUMEN!$C$26),(1+SUP_VOLUMEN!$C$27)))*INDEX(SUP_C3_EXPANSION!$C$6:$F$6,MIN(4,COUNTIF(CAPA3_EXPANSION!$D$56:BT$56,"&gt;="&amp;8)))*CAPA3_EXPANSION!BT$36)</f>
        <v>4804.8</v>
      </c>
      <c r="BU15" s="298" t="n">
        <f aca="false">IF(COUNTIF(CAPA3_EXPANSION!$D$56:BU$56,"&gt;="&amp;8)=0,0,SUP_CONTROL!$C$8*IF($B15="V",1,IF($B15="D",(1+SUP_VOLUMEN!$C$26),(1+SUP_VOLUMEN!$C$27)))*INDEX(SUP_C3_EXPANSION!$C$6:$F$6,MIN(4,COUNTIF(CAPA3_EXPANSION!$D$56:BU$56,"&gt;="&amp;8)))*CAPA3_EXPANSION!BU$36)</f>
        <v>4804.8</v>
      </c>
      <c r="BV15" s="298" t="n">
        <f aca="false">IF(COUNTIF(CAPA3_EXPANSION!$D$56:BV$56,"&gt;="&amp;8)=0,0,SUP_CONTROL!$C$8*IF($B15="V",1,IF($B15="D",(1+SUP_VOLUMEN!$C$26),(1+SUP_VOLUMEN!$C$27)))*INDEX(SUP_C3_EXPANSION!$C$6:$F$6,MIN(4,COUNTIF(CAPA3_EXPANSION!$D$56:BV$56,"&gt;="&amp;8)))*CAPA3_EXPANSION!BV$36)</f>
        <v>4804.8</v>
      </c>
      <c r="BW15" s="298" t="n">
        <f aca="false">IF(COUNTIF(CAPA3_EXPANSION!$D$56:BW$56,"&gt;="&amp;8)=0,0,SUP_CONTROL!$C$8*IF($B15="V",1,IF($B15="D",(1+SUP_VOLUMEN!$C$26),(1+SUP_VOLUMEN!$C$27)))*INDEX(SUP_C3_EXPANSION!$C$6:$F$6,MIN(4,COUNTIF(CAPA3_EXPANSION!$D$56:BW$56,"&gt;="&amp;8)))*CAPA3_EXPANSION!BW$36)</f>
        <v>4722.9</v>
      </c>
      <c r="BX15" s="298" t="n">
        <f aca="false">IF(COUNTIF(CAPA3_EXPANSION!$D$56:BX$56,"&gt;="&amp;8)=0,0,SUP_CONTROL!$C$8*IF($B15="V",1,IF($B15="D",(1+SUP_VOLUMEN!$C$26),(1+SUP_VOLUMEN!$C$27)))*INDEX(SUP_C3_EXPANSION!$C$6:$F$6,MIN(4,COUNTIF(CAPA3_EXPANSION!$D$56:BX$56,"&gt;="&amp;8)))*CAPA3_EXPANSION!BX$36)</f>
        <v>4722.9</v>
      </c>
      <c r="BY15" s="298" t="n">
        <f aca="false">IF(COUNTIF(CAPA3_EXPANSION!$D$56:BY$56,"&gt;="&amp;8)=0,0,SUP_CONTROL!$C$8*IF($B15="V",1,IF($B15="D",(1+SUP_VOLUMEN!$C$26),(1+SUP_VOLUMEN!$C$27)))*INDEX(SUP_C3_EXPANSION!$C$6:$F$6,MIN(4,COUNTIF(CAPA3_EXPANSION!$D$56:BY$56,"&gt;="&amp;8)))*CAPA3_EXPANSION!BY$36)</f>
        <v>4722.9</v>
      </c>
      <c r="BZ15" s="298" t="n">
        <f aca="false">IF(COUNTIF(CAPA3_EXPANSION!$D$56:BZ$56,"&gt;="&amp;8)=0,0,SUP_CONTROL!$C$8*IF($B15="V",1,IF($B15="D",(1+SUP_VOLUMEN!$C$26),(1+SUP_VOLUMEN!$C$27)))*INDEX(SUP_C3_EXPANSION!$C$6:$F$6,MIN(4,COUNTIF(CAPA3_EXPANSION!$D$56:BZ$56,"&gt;="&amp;8)))*CAPA3_EXPANSION!BZ$36)</f>
        <v>4722.9</v>
      </c>
      <c r="CA15" s="298" t="n">
        <f aca="false">IF(COUNTIF(CAPA3_EXPANSION!$D$56:CA$56,"&gt;="&amp;8)=0,0,SUP_CONTROL!$C$8*IF($B15="V",1,IF($B15="D",(1+SUP_VOLUMEN!$C$26),(1+SUP_VOLUMEN!$C$27)))*INDEX(SUP_C3_EXPANSION!$C$6:$F$6,MIN(4,COUNTIF(CAPA3_EXPANSION!$D$56:CA$56,"&gt;="&amp;8)))*CAPA3_EXPANSION!CA$36)</f>
        <v>4722.9</v>
      </c>
      <c r="CB15" s="298" t="n">
        <f aca="false">IF(COUNTIF(CAPA3_EXPANSION!$D$56:CB$56,"&gt;="&amp;8)=0,0,SUP_CONTROL!$C$8*IF($B15="V",1,IF($B15="D",(1+SUP_VOLUMEN!$C$26),(1+SUP_VOLUMEN!$C$27)))*INDEX(SUP_C3_EXPANSION!$C$6:$F$6,MIN(4,COUNTIF(CAPA3_EXPANSION!$D$56:CB$56,"&gt;="&amp;8)))*CAPA3_EXPANSION!CB$36)</f>
        <v>4641</v>
      </c>
      <c r="CC15" s="298" t="n">
        <f aca="false">IF(COUNTIF(CAPA3_EXPANSION!$D$56:CC$56,"&gt;="&amp;8)=0,0,SUP_CONTROL!$C$8*IF($B15="V",1,IF($B15="D",(1+SUP_VOLUMEN!$C$26),(1+SUP_VOLUMEN!$C$27)))*INDEX(SUP_C3_EXPANSION!$C$6:$F$6,MIN(4,COUNTIF(CAPA3_EXPANSION!$D$56:CC$56,"&gt;="&amp;8)))*CAPA3_EXPANSION!CC$36)</f>
        <v>4641</v>
      </c>
      <c r="CD15" s="298" t="n">
        <f aca="false">IF(COUNTIF(CAPA3_EXPANSION!$D$56:CD$56,"&gt;="&amp;8)=0,0,SUP_CONTROL!$C$8*IF($B15="V",1,IF($B15="D",(1+SUP_VOLUMEN!$C$26),(1+SUP_VOLUMEN!$C$27)))*INDEX(SUP_C3_EXPANSION!$C$6:$F$6,MIN(4,COUNTIF(CAPA3_EXPANSION!$D$56:CD$56,"&gt;="&amp;8)))*CAPA3_EXPANSION!CD$36)</f>
        <v>4641</v>
      </c>
      <c r="CE15" s="298" t="n">
        <f aca="false">IF(COUNTIF(CAPA3_EXPANSION!$D$56:CE$56,"&gt;="&amp;8)=0,0,SUP_CONTROL!$C$8*IF($B15="V",1,IF($B15="D",(1+SUP_VOLUMEN!$C$26),(1+SUP_VOLUMEN!$C$27)))*INDEX(SUP_C3_EXPANSION!$C$6:$F$6,MIN(4,COUNTIF(CAPA3_EXPANSION!$D$56:CE$56,"&gt;="&amp;8)))*CAPA3_EXPANSION!CE$36)</f>
        <v>4641</v>
      </c>
      <c r="CF15" s="298" t="n">
        <f aca="false">IF(COUNTIF(CAPA3_EXPANSION!$D$56:CF$56,"&gt;="&amp;8)=0,0,SUP_CONTROL!$C$8*IF($B15="V",1,IF($B15="D",(1+SUP_VOLUMEN!$C$26),(1+SUP_VOLUMEN!$C$27)))*INDEX(SUP_C3_EXPANSION!$C$6:$F$6,MIN(4,COUNTIF(CAPA3_EXPANSION!$D$56:CF$56,"&gt;="&amp;8)))*CAPA3_EXPANSION!CF$36)</f>
        <v>4641</v>
      </c>
      <c r="CG15" s="298" t="n">
        <f aca="false">IF(COUNTIF(CAPA3_EXPANSION!$D$56:CG$56,"&gt;="&amp;8)=0,0,SUP_CONTROL!$C$8*IF($B15="V",1,IF($B15="D",(1+SUP_VOLUMEN!$C$26),(1+SUP_VOLUMEN!$C$27)))*INDEX(SUP_C3_EXPANSION!$C$6:$F$6,MIN(4,COUNTIF(CAPA3_EXPANSION!$D$56:CG$56,"&gt;="&amp;8)))*CAPA3_EXPANSION!CG$36)</f>
        <v>4586.4</v>
      </c>
      <c r="CH15" s="298" t="n">
        <f aca="false">IF(COUNTIF(CAPA3_EXPANSION!$D$56:CH$56,"&gt;="&amp;8)=0,0,SUP_CONTROL!$C$8*IF($B15="V",1,IF($B15="D",(1+SUP_VOLUMEN!$C$26),(1+SUP_VOLUMEN!$C$27)))*INDEX(SUP_C3_EXPANSION!$C$6:$F$6,MIN(4,COUNTIF(CAPA3_EXPANSION!$D$56:CH$56,"&gt;="&amp;8)))*CAPA3_EXPANSION!CH$36)</f>
        <v>4586.4</v>
      </c>
      <c r="CI15" s="298" t="n">
        <f aca="false">IF(COUNTIF(CAPA3_EXPANSION!$D$56:CI$56,"&gt;="&amp;8)=0,0,SUP_CONTROL!$C$8*IF($B15="V",1,IF($B15="D",(1+SUP_VOLUMEN!$C$26),(1+SUP_VOLUMEN!$C$27)))*INDEX(SUP_C3_EXPANSION!$C$6:$F$6,MIN(4,COUNTIF(CAPA3_EXPANSION!$D$56:CI$56,"&gt;="&amp;8)))*CAPA3_EXPANSION!CI$36)</f>
        <v>4586.4</v>
      </c>
      <c r="CJ15" s="298" t="n">
        <f aca="false">IF(COUNTIF(CAPA3_EXPANSION!$D$56:CJ$56,"&gt;="&amp;8)=0,0,SUP_CONTROL!$C$8*IF($B15="V",1,IF($B15="D",(1+SUP_VOLUMEN!$C$26),(1+SUP_VOLUMEN!$C$27)))*INDEX(SUP_C3_EXPANSION!$C$6:$F$6,MIN(4,COUNTIF(CAPA3_EXPANSION!$D$56:CJ$56,"&gt;="&amp;8)))*CAPA3_EXPANSION!CJ$36)</f>
        <v>4586.4</v>
      </c>
      <c r="CK15" s="298" t="n">
        <f aca="false">IF(COUNTIF(CAPA3_EXPANSION!$D$56:CK$56,"&gt;="&amp;8)=0,0,SUP_CONTROL!$C$8*IF($B15="V",1,IF($B15="D",(1+SUP_VOLUMEN!$C$26),(1+SUP_VOLUMEN!$C$27)))*INDEX(SUP_C3_EXPANSION!$C$6:$F$6,MIN(4,COUNTIF(CAPA3_EXPANSION!$D$56:CK$56,"&gt;="&amp;8)))*CAPA3_EXPANSION!CK$36)</f>
        <v>4586.4</v>
      </c>
      <c r="CL15" s="298" t="n">
        <f aca="false">IF(COUNTIF(CAPA3_EXPANSION!$D$56:CL$56,"&gt;="&amp;8)=0,0,SUP_CONTROL!$C$8*IF($B15="V",1,IF($B15="D",(1+SUP_VOLUMEN!$C$26),(1+SUP_VOLUMEN!$C$27)))*INDEX(SUP_C3_EXPANSION!$C$6:$F$6,MIN(4,COUNTIF(CAPA3_EXPANSION!$D$56:CL$56,"&gt;="&amp;8)))*CAPA3_EXPANSION!CL$36)</f>
        <v>4586.4</v>
      </c>
      <c r="CM15" s="298" t="n">
        <f aca="false">IF(COUNTIF(CAPA3_EXPANSION!$D$56:CM$56,"&gt;="&amp;8)=0,0,SUP_CONTROL!$C$8*IF($B15="V",1,IF($B15="D",(1+SUP_VOLUMEN!$C$26),(1+SUP_VOLUMEN!$C$27)))*INDEX(SUP_C3_EXPANSION!$C$6:$F$6,MIN(4,COUNTIF(CAPA3_EXPANSION!$D$56:CM$56,"&gt;="&amp;8)))*CAPA3_EXPANSION!CM$36)</f>
        <v>4586.4</v>
      </c>
      <c r="CN15" s="298" t="n">
        <f aca="false">IF(COUNTIF(CAPA3_EXPANSION!$D$56:CN$56,"&gt;="&amp;8)=0,0,SUP_CONTROL!$C$8*IF($B15="V",1,IF($B15="D",(1+SUP_VOLUMEN!$C$26),(1+SUP_VOLUMEN!$C$27)))*INDEX(SUP_C3_EXPANSION!$C$6:$F$6,MIN(4,COUNTIF(CAPA3_EXPANSION!$D$56:CN$56,"&gt;="&amp;8)))*CAPA3_EXPANSION!CN$36)</f>
        <v>4586.4</v>
      </c>
      <c r="CO15" s="298" t="n">
        <f aca="false">IF(COUNTIF(CAPA3_EXPANSION!$D$56:CO$56,"&gt;="&amp;8)=0,0,SUP_CONTROL!$C$8*IF($B15="V",1,IF($B15="D",(1+SUP_VOLUMEN!$C$26),(1+SUP_VOLUMEN!$C$27)))*INDEX(SUP_C3_EXPANSION!$C$6:$F$6,MIN(4,COUNTIF(CAPA3_EXPANSION!$D$56:CO$56,"&gt;="&amp;8)))*CAPA3_EXPANSION!CO$36)</f>
        <v>4586.4</v>
      </c>
      <c r="CP15" s="298" t="n">
        <f aca="false">IF(COUNTIF(CAPA3_EXPANSION!$D$56:CP$56,"&gt;="&amp;8)=0,0,SUP_CONTROL!$C$8*IF($B15="V",1,IF($B15="D",(1+SUP_VOLUMEN!$C$26),(1+SUP_VOLUMEN!$C$27)))*INDEX(SUP_C3_EXPANSION!$C$6:$F$6,MIN(4,COUNTIF(CAPA3_EXPANSION!$D$56:CP$56,"&gt;="&amp;8)))*CAPA3_EXPANSION!CP$36)</f>
        <v>4586.4</v>
      </c>
      <c r="CQ15" s="298" t="n">
        <f aca="false">IF(COUNTIF(CAPA3_EXPANSION!$D$56:CQ$56,"&gt;="&amp;8)=0,0,SUP_CONTROL!$C$8*IF($B15="V",1,IF($B15="D",(1+SUP_VOLUMEN!$C$26),(1+SUP_VOLUMEN!$C$27)))*INDEX(SUP_C3_EXPANSION!$C$6:$F$6,MIN(4,COUNTIF(CAPA3_EXPANSION!$D$56:CQ$56,"&gt;="&amp;8)))*CAPA3_EXPANSION!CQ$36)</f>
        <v>4586.4</v>
      </c>
      <c r="CR15" s="298" t="n">
        <f aca="false">IF(COUNTIF(CAPA3_EXPANSION!$D$56:CR$56,"&gt;="&amp;8)=0,0,SUP_CONTROL!$C$8*IF($B15="V",1,IF($B15="D",(1+SUP_VOLUMEN!$C$26),(1+SUP_VOLUMEN!$C$27)))*INDEX(SUP_C3_EXPANSION!$C$6:$F$6,MIN(4,COUNTIF(CAPA3_EXPANSION!$D$56:CR$56,"&gt;="&amp;8)))*CAPA3_EXPANSION!CR$36)</f>
        <v>4586.4</v>
      </c>
      <c r="CS15" s="298" t="n">
        <f aca="false">IF(COUNTIF(CAPA3_EXPANSION!$D$56:CS$56,"&gt;="&amp;8)=0,0,SUP_CONTROL!$C$8*IF($B15="V",1,IF($B15="D",(1+SUP_VOLUMEN!$C$26),(1+SUP_VOLUMEN!$C$27)))*INDEX(SUP_C3_EXPANSION!$C$6:$F$6,MIN(4,COUNTIF(CAPA3_EXPANSION!$D$56:CS$56,"&gt;="&amp;8)))*CAPA3_EXPANSION!CS$36)</f>
        <v>4586.4</v>
      </c>
      <c r="CT15" s="298" t="n">
        <f aca="false">IF(COUNTIF(CAPA3_EXPANSION!$D$56:CT$56,"&gt;="&amp;8)=0,0,SUP_CONTROL!$C$8*IF($B15="V",1,IF($B15="D",(1+SUP_VOLUMEN!$C$26),(1+SUP_VOLUMEN!$C$27)))*INDEX(SUP_C3_EXPANSION!$C$6:$F$6,MIN(4,COUNTIF(CAPA3_EXPANSION!$D$56:CT$56,"&gt;="&amp;8)))*CAPA3_EXPANSION!CT$36)</f>
        <v>4586.4</v>
      </c>
      <c r="CU15" s="298" t="n">
        <f aca="false">IF(COUNTIF(CAPA3_EXPANSION!$D$56:CU$56,"&gt;="&amp;8)=0,0,SUP_CONTROL!$C$8*IF($B15="V",1,IF($B15="D",(1+SUP_VOLUMEN!$C$26),(1+SUP_VOLUMEN!$C$27)))*INDEX(SUP_C3_EXPANSION!$C$6:$F$6,MIN(4,COUNTIF(CAPA3_EXPANSION!$D$56:CU$56,"&gt;="&amp;8)))*CAPA3_EXPANSION!CU$36)</f>
        <v>4586.4</v>
      </c>
      <c r="CV15" s="298" t="n">
        <f aca="false">IF(COUNTIF(CAPA3_EXPANSION!$D$56:CV$56,"&gt;="&amp;8)=0,0,SUP_CONTROL!$C$8*IF($B15="V",1,IF($B15="D",(1+SUP_VOLUMEN!$C$26),(1+SUP_VOLUMEN!$C$27)))*INDEX(SUP_C3_EXPANSION!$C$6:$F$6,MIN(4,COUNTIF(CAPA3_EXPANSION!$D$56:CV$56,"&gt;="&amp;8)))*CAPA3_EXPANSION!CV$36)</f>
        <v>4586.4</v>
      </c>
      <c r="CW15" s="298" t="n">
        <f aca="false">IF(COUNTIF(CAPA3_EXPANSION!$D$56:CW$56,"&gt;="&amp;8)=0,0,SUP_CONTROL!$C$8*IF($B15="V",1,IF($B15="D",(1+SUP_VOLUMEN!$C$26),(1+SUP_VOLUMEN!$C$27)))*INDEX(SUP_C3_EXPANSION!$C$6:$F$6,MIN(4,COUNTIF(CAPA3_EXPANSION!$D$56:CW$56,"&gt;="&amp;8)))*CAPA3_EXPANSION!CW$36)</f>
        <v>4586.4</v>
      </c>
      <c r="CX15" s="298" t="n">
        <f aca="false">IF(COUNTIF(CAPA3_EXPANSION!$D$56:CX$56,"&gt;="&amp;8)=0,0,SUP_CONTROL!$C$8*IF($B15="V",1,IF($B15="D",(1+SUP_VOLUMEN!$C$26),(1+SUP_VOLUMEN!$C$27)))*INDEX(SUP_C3_EXPANSION!$C$6:$F$6,MIN(4,COUNTIF(CAPA3_EXPANSION!$D$56:CX$56,"&gt;="&amp;8)))*CAPA3_EXPANSION!CX$36)</f>
        <v>4586.4</v>
      </c>
      <c r="CY15" s="298" t="n">
        <f aca="false">IF(COUNTIF(CAPA3_EXPANSION!$D$56:CY$56,"&gt;="&amp;8)=0,0,SUP_CONTROL!$C$8*IF($B15="V",1,IF($B15="D",(1+SUP_VOLUMEN!$C$26),(1+SUP_VOLUMEN!$C$27)))*INDEX(SUP_C3_EXPANSION!$C$6:$F$6,MIN(4,COUNTIF(CAPA3_EXPANSION!$D$56:CY$56,"&gt;="&amp;8)))*CAPA3_EXPANSION!CY$36)</f>
        <v>4586.4</v>
      </c>
      <c r="CZ15" s="298" t="n">
        <f aca="false">IF(COUNTIF(CAPA3_EXPANSION!$D$56:CZ$56,"&gt;="&amp;8)=0,0,SUP_CONTROL!$C$8*IF($B15="V",1,IF($B15="D",(1+SUP_VOLUMEN!$C$26),(1+SUP_VOLUMEN!$C$27)))*INDEX(SUP_C3_EXPANSION!$C$6:$F$6,MIN(4,COUNTIF(CAPA3_EXPANSION!$D$56:CZ$56,"&gt;="&amp;8)))*CAPA3_EXPANSION!CZ$36)</f>
        <v>4586.4</v>
      </c>
      <c r="DA15" s="298" t="n">
        <f aca="false">IF(COUNTIF(CAPA3_EXPANSION!$D$56:DA$56,"&gt;="&amp;8)=0,0,SUP_CONTROL!$C$8*IF($B15="V",1,IF($B15="D",(1+SUP_VOLUMEN!$C$26),(1+SUP_VOLUMEN!$C$27)))*INDEX(SUP_C3_EXPANSION!$C$6:$F$6,MIN(4,COUNTIF(CAPA3_EXPANSION!$D$56:DA$56,"&gt;="&amp;8)))*CAPA3_EXPANSION!DA$36)</f>
        <v>4586.4</v>
      </c>
      <c r="DB15" s="298" t="n">
        <f aca="false">IF(COUNTIF(CAPA3_EXPANSION!$D$56:DB$56,"&gt;="&amp;8)=0,0,SUP_CONTROL!$C$8*IF($B15="V",1,IF($B15="D",(1+SUP_VOLUMEN!$C$26),(1+SUP_VOLUMEN!$C$27)))*INDEX(SUP_C3_EXPANSION!$C$6:$F$6,MIN(4,COUNTIF(CAPA3_EXPANSION!$D$56:DB$56,"&gt;="&amp;8)))*CAPA3_EXPANSION!DB$36)</f>
        <v>4586.4</v>
      </c>
      <c r="DC15" s="298" t="n">
        <f aca="false">IF(COUNTIF(CAPA3_EXPANSION!$D$56:DC$56,"&gt;="&amp;8)=0,0,SUP_CONTROL!$C$8*IF($B15="V",1,IF($B15="D",(1+SUP_VOLUMEN!$C$26),(1+SUP_VOLUMEN!$C$27)))*INDEX(SUP_C3_EXPANSION!$C$6:$F$6,MIN(4,COUNTIF(CAPA3_EXPANSION!$D$56:DC$56,"&gt;="&amp;8)))*CAPA3_EXPANSION!DC$36)</f>
        <v>4586.4</v>
      </c>
      <c r="DD15" s="298" t="n">
        <f aca="false">IF(COUNTIF(CAPA3_EXPANSION!$D$56:DD$56,"&gt;="&amp;8)=0,0,SUP_CONTROL!$C$8*IF($B15="V",1,IF($B15="D",(1+SUP_VOLUMEN!$C$26),(1+SUP_VOLUMEN!$C$27)))*INDEX(SUP_C3_EXPANSION!$C$6:$F$6,MIN(4,COUNTIF(CAPA3_EXPANSION!$D$56:DD$56,"&gt;="&amp;8)))*CAPA3_EXPANSION!DD$36)</f>
        <v>4586.4</v>
      </c>
      <c r="DE15" s="298" t="n">
        <f aca="false">IF(COUNTIF(CAPA3_EXPANSION!$D$56:DE$56,"&gt;="&amp;8)=0,0,SUP_CONTROL!$C$8*IF($B15="V",1,IF($B15="D",(1+SUP_VOLUMEN!$C$26),(1+SUP_VOLUMEN!$C$27)))*INDEX(SUP_C3_EXPANSION!$C$6:$F$6,MIN(4,COUNTIF(CAPA3_EXPANSION!$D$56:DE$56,"&gt;="&amp;8)))*CAPA3_EXPANSION!DE$36)</f>
        <v>4586.4</v>
      </c>
      <c r="DF15" s="298" t="n">
        <f aca="false">IF(COUNTIF(CAPA3_EXPANSION!$D$56:DF$56,"&gt;="&amp;8)=0,0,SUP_CONTROL!$C$8*IF($B15="V",1,IF($B15="D",(1+SUP_VOLUMEN!$C$26),(1+SUP_VOLUMEN!$C$27)))*INDEX(SUP_C3_EXPANSION!$C$6:$F$6,MIN(4,COUNTIF(CAPA3_EXPANSION!$D$56:DF$56,"&gt;="&amp;8)))*CAPA3_EXPANSION!DF$36)</f>
        <v>4586.4</v>
      </c>
      <c r="DG15" s="298" t="n">
        <f aca="false">IF(COUNTIF(CAPA3_EXPANSION!$D$56:DG$56,"&gt;="&amp;8)=0,0,SUP_CONTROL!$C$8*IF($B15="V",1,IF($B15="D",(1+SUP_VOLUMEN!$C$26),(1+SUP_VOLUMEN!$C$27)))*INDEX(SUP_C3_EXPANSION!$C$6:$F$6,MIN(4,COUNTIF(CAPA3_EXPANSION!$D$56:DG$56,"&gt;="&amp;8)))*CAPA3_EXPANSION!DG$36)</f>
        <v>4586.4</v>
      </c>
      <c r="DH15" s="298" t="n">
        <f aca="false">IF(COUNTIF(CAPA3_EXPANSION!$D$56:DH$56,"&gt;="&amp;8)=0,0,SUP_CONTROL!$C$8*IF($B15="V",1,IF($B15="D",(1+SUP_VOLUMEN!$C$26),(1+SUP_VOLUMEN!$C$27)))*INDEX(SUP_C3_EXPANSION!$C$6:$F$6,MIN(4,COUNTIF(CAPA3_EXPANSION!$D$56:DH$56,"&gt;="&amp;8)))*CAPA3_EXPANSION!DH$36)</f>
        <v>4586.4</v>
      </c>
      <c r="DI15" s="298" t="n">
        <f aca="false">IF(COUNTIF(CAPA3_EXPANSION!$D$56:DI$56,"&gt;="&amp;8)=0,0,SUP_CONTROL!$C$8*IF($B15="V",1,IF($B15="D",(1+SUP_VOLUMEN!$C$26),(1+SUP_VOLUMEN!$C$27)))*INDEX(SUP_C3_EXPANSION!$C$6:$F$6,MIN(4,COUNTIF(CAPA3_EXPANSION!$D$56:DI$56,"&gt;="&amp;8)))*CAPA3_EXPANSION!DI$36)</f>
        <v>4586.4</v>
      </c>
      <c r="DJ15" s="298" t="n">
        <f aca="false">IF(COUNTIF(CAPA3_EXPANSION!$D$56:DJ$56,"&gt;="&amp;8)=0,0,SUP_CONTROL!$C$8*IF($B15="V",1,IF($B15="D",(1+SUP_VOLUMEN!$C$26),(1+SUP_VOLUMEN!$C$27)))*INDEX(SUP_C3_EXPANSION!$C$6:$F$6,MIN(4,COUNTIF(CAPA3_EXPANSION!$D$56:DJ$56,"&gt;="&amp;8)))*CAPA3_EXPANSION!DJ$36)</f>
        <v>4586.4</v>
      </c>
      <c r="DK15" s="298" t="n">
        <f aca="false">IF(COUNTIF(CAPA3_EXPANSION!$D$56:DK$56,"&gt;="&amp;8)=0,0,SUP_CONTROL!$C$8*IF($B15="V",1,IF($B15="D",(1+SUP_VOLUMEN!$C$26),(1+SUP_VOLUMEN!$C$27)))*INDEX(SUP_C3_EXPANSION!$C$6:$F$6,MIN(4,COUNTIF(CAPA3_EXPANSION!$D$56:DK$56,"&gt;="&amp;8)))*CAPA3_EXPANSION!DK$36)</f>
        <v>4586.4</v>
      </c>
      <c r="DL15" s="298" t="n">
        <f aca="false">IF(COUNTIF(CAPA3_EXPANSION!$D$56:DL$56,"&gt;="&amp;8)=0,0,SUP_CONTROL!$C$8*IF($B15="V",1,IF($B15="D",(1+SUP_VOLUMEN!$C$26),(1+SUP_VOLUMEN!$C$27)))*INDEX(SUP_C3_EXPANSION!$C$6:$F$6,MIN(4,COUNTIF(CAPA3_EXPANSION!$D$56:DL$56,"&gt;="&amp;8)))*CAPA3_EXPANSION!DL$36)</f>
        <v>4586.4</v>
      </c>
      <c r="DM15" s="298" t="n">
        <f aca="false">IF(COUNTIF(CAPA3_EXPANSION!$D$56:DM$56,"&gt;="&amp;8)=0,0,SUP_CONTROL!$C$8*IF($B15="V",1,IF($B15="D",(1+SUP_VOLUMEN!$C$26),(1+SUP_VOLUMEN!$C$27)))*INDEX(SUP_C3_EXPANSION!$C$6:$F$6,MIN(4,COUNTIF(CAPA3_EXPANSION!$D$56:DM$56,"&gt;="&amp;8)))*CAPA3_EXPANSION!DM$36)</f>
        <v>4586.4</v>
      </c>
      <c r="DN15" s="298" t="n">
        <f aca="false">IF(COUNTIF(CAPA3_EXPANSION!$D$56:DN$56,"&gt;="&amp;8)=0,0,SUP_CONTROL!$C$8*IF($B15="V",1,IF($B15="D",(1+SUP_VOLUMEN!$C$26),(1+SUP_VOLUMEN!$C$27)))*INDEX(SUP_C3_EXPANSION!$C$6:$F$6,MIN(4,COUNTIF(CAPA3_EXPANSION!$D$56:DN$56,"&gt;="&amp;8)))*CAPA3_EXPANSION!DN$36)</f>
        <v>4586.4</v>
      </c>
      <c r="DO15" s="298" t="n">
        <f aca="false">IF(COUNTIF(CAPA3_EXPANSION!$D$56:DO$56,"&gt;="&amp;8)=0,0,SUP_CONTROL!$C$8*IF($B15="V",1,IF($B15="D",(1+SUP_VOLUMEN!$C$26),(1+SUP_VOLUMEN!$C$27)))*INDEX(SUP_C3_EXPANSION!$C$6:$F$6,MIN(4,COUNTIF(CAPA3_EXPANSION!$D$56:DO$56,"&gt;="&amp;8)))*CAPA3_EXPANSION!DO$36)</f>
        <v>4586.4</v>
      </c>
      <c r="DP15" s="298" t="n">
        <f aca="false">IF(COUNTIF(CAPA3_EXPANSION!$D$56:DP$56,"&gt;="&amp;8)=0,0,SUP_CONTROL!$C$8*IF($B15="V",1,IF($B15="D",(1+SUP_VOLUMEN!$C$26),(1+SUP_VOLUMEN!$C$27)))*INDEX(SUP_C3_EXPANSION!$C$6:$F$6,MIN(4,COUNTIF(CAPA3_EXPANSION!$D$56:DP$56,"&gt;="&amp;8)))*CAPA3_EXPANSION!DP$36)</f>
        <v>4586.4</v>
      </c>
      <c r="DQ15" s="298" t="n">
        <f aca="false">IF(COUNTIF(CAPA3_EXPANSION!$D$56:DQ$56,"&gt;="&amp;8)=0,0,SUP_CONTROL!$C$8*IF($B15="V",1,IF($B15="D",(1+SUP_VOLUMEN!$C$26),(1+SUP_VOLUMEN!$C$27)))*INDEX(SUP_C3_EXPANSION!$C$6:$F$6,MIN(4,COUNTIF(CAPA3_EXPANSION!$D$56:DQ$56,"&gt;="&amp;8)))*CAPA3_EXPANSION!DQ$36)</f>
        <v>4586.4</v>
      </c>
      <c r="DR15" s="298" t="n">
        <f aca="false">IF(COUNTIF(CAPA3_EXPANSION!$D$56:DR$56,"&gt;="&amp;8)=0,0,SUP_CONTROL!$C$8*IF($B15="V",1,IF($B15="D",(1+SUP_VOLUMEN!$C$26),(1+SUP_VOLUMEN!$C$27)))*INDEX(SUP_C3_EXPANSION!$C$6:$F$6,MIN(4,COUNTIF(CAPA3_EXPANSION!$D$56:DR$56,"&gt;="&amp;8)))*CAPA3_EXPANSION!DR$36)</f>
        <v>4586.4</v>
      </c>
      <c r="DS15" s="298" t="n">
        <f aca="false">IF(COUNTIF(CAPA3_EXPANSION!$D$56:DS$56,"&gt;="&amp;8)=0,0,SUP_CONTROL!$C$8*IF($B15="V",1,IF($B15="D",(1+SUP_VOLUMEN!$C$26),(1+SUP_VOLUMEN!$C$27)))*INDEX(SUP_C3_EXPANSION!$C$6:$F$6,MIN(4,COUNTIF(CAPA3_EXPANSION!$D$56:DS$56,"&gt;="&amp;8)))*CAPA3_EXPANSION!DS$36)</f>
        <v>4586.4</v>
      </c>
    </row>
    <row r="16" customFormat="false" ht="15" hidden="false" customHeight="true" outlineLevel="0" collapsed="false">
      <c r="A16" s="298" t="n">
        <v>19</v>
      </c>
      <c r="B16" s="497" t="str">
        <f aca="false">SUP_C3_EXPANSION!B28</f>
        <v>V</v>
      </c>
      <c r="C16" s="267" t="n">
        <f aca="false">SUP_C3_EXPANSION!G28</f>
        <v>38</v>
      </c>
      <c r="D16" s="298" t="n">
        <f aca="false">IF(COUNTIF(CAPA3_EXPANSION!$D$56:D$56,"&gt;="&amp;9)=0,0,SUP_CONTROL!$C$8*IF($B16="V",1,IF($B16="D",(1+SUP_VOLUMEN!$C$26),(1+SUP_VOLUMEN!$C$27)))*INDEX(SUP_C3_EXPANSION!$C$6:$F$6,MIN(4,COUNTIF(CAPA3_EXPANSION!$D$56:D$56,"&gt;="&amp;9)))*CAPA3_EXPANSION!D$36)</f>
        <v>0</v>
      </c>
      <c r="E16" s="298" t="n">
        <f aca="false">IF(COUNTIF(CAPA3_EXPANSION!$D$56:E$56,"&gt;="&amp;9)=0,0,SUP_CONTROL!$C$8*IF($B16="V",1,IF($B16="D",(1+SUP_VOLUMEN!$C$26),(1+SUP_VOLUMEN!$C$27)))*INDEX(SUP_C3_EXPANSION!$C$6:$F$6,MIN(4,COUNTIF(CAPA3_EXPANSION!$D$56:E$56,"&gt;="&amp;9)))*CAPA3_EXPANSION!E$36)</f>
        <v>0</v>
      </c>
      <c r="F16" s="298" t="n">
        <f aca="false">IF(COUNTIF(CAPA3_EXPANSION!$D$56:F$56,"&gt;="&amp;9)=0,0,SUP_CONTROL!$C$8*IF($B16="V",1,IF($B16="D",(1+SUP_VOLUMEN!$C$26),(1+SUP_VOLUMEN!$C$27)))*INDEX(SUP_C3_EXPANSION!$C$6:$F$6,MIN(4,COUNTIF(CAPA3_EXPANSION!$D$56:F$56,"&gt;="&amp;9)))*CAPA3_EXPANSION!F$36)</f>
        <v>0</v>
      </c>
      <c r="G16" s="298" t="n">
        <f aca="false">IF(COUNTIF(CAPA3_EXPANSION!$D$56:G$56,"&gt;="&amp;9)=0,0,SUP_CONTROL!$C$8*IF($B16="V",1,IF($B16="D",(1+SUP_VOLUMEN!$C$26),(1+SUP_VOLUMEN!$C$27)))*INDEX(SUP_C3_EXPANSION!$C$6:$F$6,MIN(4,COUNTIF(CAPA3_EXPANSION!$D$56:G$56,"&gt;="&amp;9)))*CAPA3_EXPANSION!G$36)</f>
        <v>0</v>
      </c>
      <c r="H16" s="298" t="n">
        <f aca="false">IF(COUNTIF(CAPA3_EXPANSION!$D$56:H$56,"&gt;="&amp;9)=0,0,SUP_CONTROL!$C$8*IF($B16="V",1,IF($B16="D",(1+SUP_VOLUMEN!$C$26),(1+SUP_VOLUMEN!$C$27)))*INDEX(SUP_C3_EXPANSION!$C$6:$F$6,MIN(4,COUNTIF(CAPA3_EXPANSION!$D$56:H$56,"&gt;="&amp;9)))*CAPA3_EXPANSION!H$36)</f>
        <v>0</v>
      </c>
      <c r="I16" s="298" t="n">
        <f aca="false">IF(COUNTIF(CAPA3_EXPANSION!$D$56:I$56,"&gt;="&amp;9)=0,0,SUP_CONTROL!$C$8*IF($B16="V",1,IF($B16="D",(1+SUP_VOLUMEN!$C$26),(1+SUP_VOLUMEN!$C$27)))*INDEX(SUP_C3_EXPANSION!$C$6:$F$6,MIN(4,COUNTIF(CAPA3_EXPANSION!$D$56:I$56,"&gt;="&amp;9)))*CAPA3_EXPANSION!I$36)</f>
        <v>0</v>
      </c>
      <c r="J16" s="298" t="n">
        <f aca="false">IF(COUNTIF(CAPA3_EXPANSION!$D$56:J$56,"&gt;="&amp;9)=0,0,SUP_CONTROL!$C$8*IF($B16="V",1,IF($B16="D",(1+SUP_VOLUMEN!$C$26),(1+SUP_VOLUMEN!$C$27)))*INDEX(SUP_C3_EXPANSION!$C$6:$F$6,MIN(4,COUNTIF(CAPA3_EXPANSION!$D$56:J$56,"&gt;="&amp;9)))*CAPA3_EXPANSION!J$36)</f>
        <v>0</v>
      </c>
      <c r="K16" s="298" t="n">
        <f aca="false">IF(COUNTIF(CAPA3_EXPANSION!$D$56:K$56,"&gt;="&amp;9)=0,0,SUP_CONTROL!$C$8*IF($B16="V",1,IF($B16="D",(1+SUP_VOLUMEN!$C$26),(1+SUP_VOLUMEN!$C$27)))*INDEX(SUP_C3_EXPANSION!$C$6:$F$6,MIN(4,COUNTIF(CAPA3_EXPANSION!$D$56:K$56,"&gt;="&amp;9)))*CAPA3_EXPANSION!K$36)</f>
        <v>0</v>
      </c>
      <c r="L16" s="298" t="n">
        <f aca="false">IF(COUNTIF(CAPA3_EXPANSION!$D$56:L$56,"&gt;="&amp;9)=0,0,SUP_CONTROL!$C$8*IF($B16="V",1,IF($B16="D",(1+SUP_VOLUMEN!$C$26),(1+SUP_VOLUMEN!$C$27)))*INDEX(SUP_C3_EXPANSION!$C$6:$F$6,MIN(4,COUNTIF(CAPA3_EXPANSION!$D$56:L$56,"&gt;="&amp;9)))*CAPA3_EXPANSION!L$36)</f>
        <v>0</v>
      </c>
      <c r="M16" s="298" t="n">
        <f aca="false">IF(COUNTIF(CAPA3_EXPANSION!$D$56:M$56,"&gt;="&amp;9)=0,0,SUP_CONTROL!$C$8*IF($B16="V",1,IF($B16="D",(1+SUP_VOLUMEN!$C$26),(1+SUP_VOLUMEN!$C$27)))*INDEX(SUP_C3_EXPANSION!$C$6:$F$6,MIN(4,COUNTIF(CAPA3_EXPANSION!$D$56:M$56,"&gt;="&amp;9)))*CAPA3_EXPANSION!M$36)</f>
        <v>0</v>
      </c>
      <c r="N16" s="298" t="n">
        <f aca="false">IF(COUNTIF(CAPA3_EXPANSION!$D$56:N$56,"&gt;="&amp;9)=0,0,SUP_CONTROL!$C$8*IF($B16="V",1,IF($B16="D",(1+SUP_VOLUMEN!$C$26),(1+SUP_VOLUMEN!$C$27)))*INDEX(SUP_C3_EXPANSION!$C$6:$F$6,MIN(4,COUNTIF(CAPA3_EXPANSION!$D$56:N$56,"&gt;="&amp;9)))*CAPA3_EXPANSION!N$36)</f>
        <v>0</v>
      </c>
      <c r="O16" s="298" t="n">
        <f aca="false">IF(COUNTIF(CAPA3_EXPANSION!$D$56:O$56,"&gt;="&amp;9)=0,0,SUP_CONTROL!$C$8*IF($B16="V",1,IF($B16="D",(1+SUP_VOLUMEN!$C$26),(1+SUP_VOLUMEN!$C$27)))*INDEX(SUP_C3_EXPANSION!$C$6:$F$6,MIN(4,COUNTIF(CAPA3_EXPANSION!$D$56:O$56,"&gt;="&amp;9)))*CAPA3_EXPANSION!O$36)</f>
        <v>0</v>
      </c>
      <c r="P16" s="298" t="n">
        <f aca="false">IF(COUNTIF(CAPA3_EXPANSION!$D$56:P$56,"&gt;="&amp;9)=0,0,SUP_CONTROL!$C$8*IF($B16="V",1,IF($B16="D",(1+SUP_VOLUMEN!$C$26),(1+SUP_VOLUMEN!$C$27)))*INDEX(SUP_C3_EXPANSION!$C$6:$F$6,MIN(4,COUNTIF(CAPA3_EXPANSION!$D$56:P$56,"&gt;="&amp;9)))*CAPA3_EXPANSION!P$36)</f>
        <v>0</v>
      </c>
      <c r="Q16" s="298" t="n">
        <f aca="false">IF(COUNTIF(CAPA3_EXPANSION!$D$56:Q$56,"&gt;="&amp;9)=0,0,SUP_CONTROL!$C$8*IF($B16="V",1,IF($B16="D",(1+SUP_VOLUMEN!$C$26),(1+SUP_VOLUMEN!$C$27)))*INDEX(SUP_C3_EXPANSION!$C$6:$F$6,MIN(4,COUNTIF(CAPA3_EXPANSION!$D$56:Q$56,"&gt;="&amp;9)))*CAPA3_EXPANSION!Q$36)</f>
        <v>0</v>
      </c>
      <c r="R16" s="298" t="n">
        <f aca="false">IF(COUNTIF(CAPA3_EXPANSION!$D$56:R$56,"&gt;="&amp;9)=0,0,SUP_CONTROL!$C$8*IF($B16="V",1,IF($B16="D",(1+SUP_VOLUMEN!$C$26),(1+SUP_VOLUMEN!$C$27)))*INDEX(SUP_C3_EXPANSION!$C$6:$F$6,MIN(4,COUNTIF(CAPA3_EXPANSION!$D$56:R$56,"&gt;="&amp;9)))*CAPA3_EXPANSION!R$36)</f>
        <v>0</v>
      </c>
      <c r="S16" s="298" t="n">
        <f aca="false">IF(COUNTIF(CAPA3_EXPANSION!$D$56:S$56,"&gt;="&amp;9)=0,0,SUP_CONTROL!$C$8*IF($B16="V",1,IF($B16="D",(1+SUP_VOLUMEN!$C$26),(1+SUP_VOLUMEN!$C$27)))*INDEX(SUP_C3_EXPANSION!$C$6:$F$6,MIN(4,COUNTIF(CAPA3_EXPANSION!$D$56:S$56,"&gt;="&amp;9)))*CAPA3_EXPANSION!S$36)</f>
        <v>0</v>
      </c>
      <c r="T16" s="298" t="n">
        <f aca="false">IF(COUNTIF(CAPA3_EXPANSION!$D$56:T$56,"&gt;="&amp;9)=0,0,SUP_CONTROL!$C$8*IF($B16="V",1,IF($B16="D",(1+SUP_VOLUMEN!$C$26),(1+SUP_VOLUMEN!$C$27)))*INDEX(SUP_C3_EXPANSION!$C$6:$F$6,MIN(4,COUNTIF(CAPA3_EXPANSION!$D$56:T$56,"&gt;="&amp;9)))*CAPA3_EXPANSION!T$36)</f>
        <v>0</v>
      </c>
      <c r="U16" s="298" t="n">
        <f aca="false">IF(COUNTIF(CAPA3_EXPANSION!$D$56:U$56,"&gt;="&amp;9)=0,0,SUP_CONTROL!$C$8*IF($B16="V",1,IF($B16="D",(1+SUP_VOLUMEN!$C$26),(1+SUP_VOLUMEN!$C$27)))*INDEX(SUP_C3_EXPANSION!$C$6:$F$6,MIN(4,COUNTIF(CAPA3_EXPANSION!$D$56:U$56,"&gt;="&amp;9)))*CAPA3_EXPANSION!U$36)</f>
        <v>0</v>
      </c>
      <c r="V16" s="298" t="n">
        <f aca="false">IF(COUNTIF(CAPA3_EXPANSION!$D$56:V$56,"&gt;="&amp;9)=0,0,SUP_CONTROL!$C$8*IF($B16="V",1,IF($B16="D",(1+SUP_VOLUMEN!$C$26),(1+SUP_VOLUMEN!$C$27)))*INDEX(SUP_C3_EXPANSION!$C$6:$F$6,MIN(4,COUNTIF(CAPA3_EXPANSION!$D$56:V$56,"&gt;="&amp;9)))*CAPA3_EXPANSION!V$36)</f>
        <v>0</v>
      </c>
      <c r="W16" s="298" t="n">
        <f aca="false">IF(COUNTIF(CAPA3_EXPANSION!$D$56:W$56,"&gt;="&amp;9)=0,0,SUP_CONTROL!$C$8*IF($B16="V",1,IF($B16="D",(1+SUP_VOLUMEN!$C$26),(1+SUP_VOLUMEN!$C$27)))*INDEX(SUP_C3_EXPANSION!$C$6:$F$6,MIN(4,COUNTIF(CAPA3_EXPANSION!$D$56:W$56,"&gt;="&amp;9)))*CAPA3_EXPANSION!W$36)</f>
        <v>0</v>
      </c>
      <c r="X16" s="298" t="n">
        <f aca="false">IF(COUNTIF(CAPA3_EXPANSION!$D$56:X$56,"&gt;="&amp;9)=0,0,SUP_CONTROL!$C$8*IF($B16="V",1,IF($B16="D",(1+SUP_VOLUMEN!$C$26),(1+SUP_VOLUMEN!$C$27)))*INDEX(SUP_C3_EXPANSION!$C$6:$F$6,MIN(4,COUNTIF(CAPA3_EXPANSION!$D$56:X$56,"&gt;="&amp;9)))*CAPA3_EXPANSION!X$36)</f>
        <v>0</v>
      </c>
      <c r="Y16" s="298" t="n">
        <f aca="false">IF(COUNTIF(CAPA3_EXPANSION!$D$56:Y$56,"&gt;="&amp;9)=0,0,SUP_CONTROL!$C$8*IF($B16="V",1,IF($B16="D",(1+SUP_VOLUMEN!$C$26),(1+SUP_VOLUMEN!$C$27)))*INDEX(SUP_C3_EXPANSION!$C$6:$F$6,MIN(4,COUNTIF(CAPA3_EXPANSION!$D$56:Y$56,"&gt;="&amp;9)))*CAPA3_EXPANSION!Y$36)</f>
        <v>0</v>
      </c>
      <c r="Z16" s="298" t="n">
        <f aca="false">IF(COUNTIF(CAPA3_EXPANSION!$D$56:Z$56,"&gt;="&amp;9)=0,0,SUP_CONTROL!$C$8*IF($B16="V",1,IF($B16="D",(1+SUP_VOLUMEN!$C$26),(1+SUP_VOLUMEN!$C$27)))*INDEX(SUP_C3_EXPANSION!$C$6:$F$6,MIN(4,COUNTIF(CAPA3_EXPANSION!$D$56:Z$56,"&gt;="&amp;9)))*CAPA3_EXPANSION!Z$36)</f>
        <v>0</v>
      </c>
      <c r="AA16" s="298" t="n">
        <f aca="false">IF(COUNTIF(CAPA3_EXPANSION!$D$56:AA$56,"&gt;="&amp;9)=0,0,SUP_CONTROL!$C$8*IF($B16="V",1,IF($B16="D",(1+SUP_VOLUMEN!$C$26),(1+SUP_VOLUMEN!$C$27)))*INDEX(SUP_C3_EXPANSION!$C$6:$F$6,MIN(4,COUNTIF(CAPA3_EXPANSION!$D$56:AA$56,"&gt;="&amp;9)))*CAPA3_EXPANSION!AA$36)</f>
        <v>0</v>
      </c>
      <c r="AB16" s="298" t="n">
        <f aca="false">IF(COUNTIF(CAPA3_EXPANSION!$D$56:AB$56,"&gt;="&amp;9)=0,0,SUP_CONTROL!$C$8*IF($B16="V",1,IF($B16="D",(1+SUP_VOLUMEN!$C$26),(1+SUP_VOLUMEN!$C$27)))*INDEX(SUP_C3_EXPANSION!$C$6:$F$6,MIN(4,COUNTIF(CAPA3_EXPANSION!$D$56:AB$56,"&gt;="&amp;9)))*CAPA3_EXPANSION!AB$36)</f>
        <v>0</v>
      </c>
      <c r="AC16" s="298" t="n">
        <f aca="false">IF(COUNTIF(CAPA3_EXPANSION!$D$56:AC$56,"&gt;="&amp;9)=0,0,SUP_CONTROL!$C$8*IF($B16="V",1,IF($B16="D",(1+SUP_VOLUMEN!$C$26),(1+SUP_VOLUMEN!$C$27)))*INDEX(SUP_C3_EXPANSION!$C$6:$F$6,MIN(4,COUNTIF(CAPA3_EXPANSION!$D$56:AC$56,"&gt;="&amp;9)))*CAPA3_EXPANSION!AC$36)</f>
        <v>0</v>
      </c>
      <c r="AD16" s="298" t="n">
        <f aca="false">IF(COUNTIF(CAPA3_EXPANSION!$D$56:AD$56,"&gt;="&amp;9)=0,0,SUP_CONTROL!$C$8*IF($B16="V",1,IF($B16="D",(1+SUP_VOLUMEN!$C$26),(1+SUP_VOLUMEN!$C$27)))*INDEX(SUP_C3_EXPANSION!$C$6:$F$6,MIN(4,COUNTIF(CAPA3_EXPANSION!$D$56:AD$56,"&gt;="&amp;9)))*CAPA3_EXPANSION!AD$36)</f>
        <v>0</v>
      </c>
      <c r="AE16" s="298" t="n">
        <f aca="false">IF(COUNTIF(CAPA3_EXPANSION!$D$56:AE$56,"&gt;="&amp;9)=0,0,SUP_CONTROL!$C$8*IF($B16="V",1,IF($B16="D",(1+SUP_VOLUMEN!$C$26),(1+SUP_VOLUMEN!$C$27)))*INDEX(SUP_C3_EXPANSION!$C$6:$F$6,MIN(4,COUNTIF(CAPA3_EXPANSION!$D$56:AE$56,"&gt;="&amp;9)))*CAPA3_EXPANSION!AE$36)</f>
        <v>0</v>
      </c>
      <c r="AF16" s="298" t="n">
        <f aca="false">IF(COUNTIF(CAPA3_EXPANSION!$D$56:AF$56,"&gt;="&amp;9)=0,0,SUP_CONTROL!$C$8*IF($B16="V",1,IF($B16="D",(1+SUP_VOLUMEN!$C$26),(1+SUP_VOLUMEN!$C$27)))*INDEX(SUP_C3_EXPANSION!$C$6:$F$6,MIN(4,COUNTIF(CAPA3_EXPANSION!$D$56:AF$56,"&gt;="&amp;9)))*CAPA3_EXPANSION!AF$36)</f>
        <v>0</v>
      </c>
      <c r="AG16" s="298" t="n">
        <f aca="false">IF(COUNTIF(CAPA3_EXPANSION!$D$56:AG$56,"&gt;="&amp;9)=0,0,SUP_CONTROL!$C$8*IF($B16="V",1,IF($B16="D",(1+SUP_VOLUMEN!$C$26),(1+SUP_VOLUMEN!$C$27)))*INDEX(SUP_C3_EXPANSION!$C$6:$F$6,MIN(4,COUNTIF(CAPA3_EXPANSION!$D$56:AG$56,"&gt;="&amp;9)))*CAPA3_EXPANSION!AG$36)</f>
        <v>0</v>
      </c>
      <c r="AH16" s="298" t="n">
        <f aca="false">IF(COUNTIF(CAPA3_EXPANSION!$D$56:AH$56,"&gt;="&amp;9)=0,0,SUP_CONTROL!$C$8*IF($B16="V",1,IF($B16="D",(1+SUP_VOLUMEN!$C$26),(1+SUP_VOLUMEN!$C$27)))*INDEX(SUP_C3_EXPANSION!$C$6:$F$6,MIN(4,COUNTIF(CAPA3_EXPANSION!$D$56:AH$56,"&gt;="&amp;9)))*CAPA3_EXPANSION!AH$36)</f>
        <v>0</v>
      </c>
      <c r="AI16" s="298" t="n">
        <f aca="false">IF(COUNTIF(CAPA3_EXPANSION!$D$56:AI$56,"&gt;="&amp;9)=0,0,SUP_CONTROL!$C$8*IF($B16="V",1,IF($B16="D",(1+SUP_VOLUMEN!$C$26),(1+SUP_VOLUMEN!$C$27)))*INDEX(SUP_C3_EXPANSION!$C$6:$F$6,MIN(4,COUNTIF(CAPA3_EXPANSION!$D$56:AI$56,"&gt;="&amp;9)))*CAPA3_EXPANSION!AI$36)</f>
        <v>0</v>
      </c>
      <c r="AJ16" s="298" t="n">
        <f aca="false">IF(COUNTIF(CAPA3_EXPANSION!$D$56:AJ$56,"&gt;="&amp;9)=0,0,SUP_CONTROL!$C$8*IF($B16="V",1,IF($B16="D",(1+SUP_VOLUMEN!$C$26),(1+SUP_VOLUMEN!$C$27)))*INDEX(SUP_C3_EXPANSION!$C$6:$F$6,MIN(4,COUNTIF(CAPA3_EXPANSION!$D$56:AJ$56,"&gt;="&amp;9)))*CAPA3_EXPANSION!AJ$36)</f>
        <v>0</v>
      </c>
      <c r="AK16" s="298" t="n">
        <f aca="false">IF(COUNTIF(CAPA3_EXPANSION!$D$56:AK$56,"&gt;="&amp;9)=0,0,SUP_CONTROL!$C$8*IF($B16="V",1,IF($B16="D",(1+SUP_VOLUMEN!$C$26),(1+SUP_VOLUMEN!$C$27)))*INDEX(SUP_C3_EXPANSION!$C$6:$F$6,MIN(4,COUNTIF(CAPA3_EXPANSION!$D$56:AK$56,"&gt;="&amp;9)))*CAPA3_EXPANSION!AK$36)</f>
        <v>0</v>
      </c>
      <c r="AL16" s="298" t="n">
        <f aca="false">IF(COUNTIF(CAPA3_EXPANSION!$D$56:AL$56,"&gt;="&amp;9)=0,0,SUP_CONTROL!$C$8*IF($B16="V",1,IF($B16="D",(1+SUP_VOLUMEN!$C$26),(1+SUP_VOLUMEN!$C$27)))*INDEX(SUP_C3_EXPANSION!$C$6:$F$6,MIN(4,COUNTIF(CAPA3_EXPANSION!$D$56:AL$56,"&gt;="&amp;9)))*CAPA3_EXPANSION!AL$36)</f>
        <v>0</v>
      </c>
      <c r="AM16" s="298" t="n">
        <f aca="false">IF(COUNTIF(CAPA3_EXPANSION!$D$56:AM$56,"&gt;="&amp;9)=0,0,SUP_CONTROL!$C$8*IF($B16="V",1,IF($B16="D",(1+SUP_VOLUMEN!$C$26),(1+SUP_VOLUMEN!$C$27)))*INDEX(SUP_C3_EXPANSION!$C$6:$F$6,MIN(4,COUNTIF(CAPA3_EXPANSION!$D$56:AM$56,"&gt;="&amp;9)))*CAPA3_EXPANSION!AM$36)</f>
        <v>0</v>
      </c>
      <c r="AN16" s="298" t="n">
        <f aca="false">IF(COUNTIF(CAPA3_EXPANSION!$D$56:AN$56,"&gt;="&amp;9)=0,0,SUP_CONTROL!$C$8*IF($B16="V",1,IF($B16="D",(1+SUP_VOLUMEN!$C$26),(1+SUP_VOLUMEN!$C$27)))*INDEX(SUP_C3_EXPANSION!$C$6:$F$6,MIN(4,COUNTIF(CAPA3_EXPANSION!$D$56:AN$56,"&gt;="&amp;9)))*CAPA3_EXPANSION!AN$36)</f>
        <v>0</v>
      </c>
      <c r="AO16" s="298" t="n">
        <f aca="false">IF(COUNTIF(CAPA3_EXPANSION!$D$56:AO$56,"&gt;="&amp;9)=0,0,SUP_CONTROL!$C$8*IF($B16="V",1,IF($B16="D",(1+SUP_VOLUMEN!$C$26),(1+SUP_VOLUMEN!$C$27)))*INDEX(SUP_C3_EXPANSION!$C$6:$F$6,MIN(4,COUNTIF(CAPA3_EXPANSION!$D$56:AO$56,"&gt;="&amp;9)))*CAPA3_EXPANSION!AO$36)</f>
        <v>0</v>
      </c>
      <c r="AP16" s="298" t="n">
        <f aca="false">IF(COUNTIF(CAPA3_EXPANSION!$D$56:AP$56,"&gt;="&amp;9)=0,0,SUP_CONTROL!$C$8*IF($B16="V",1,IF($B16="D",(1+SUP_VOLUMEN!$C$26),(1+SUP_VOLUMEN!$C$27)))*INDEX(SUP_C3_EXPANSION!$C$6:$F$6,MIN(4,COUNTIF(CAPA3_EXPANSION!$D$56:AP$56,"&gt;="&amp;9)))*CAPA3_EXPANSION!AP$36)</f>
        <v>0</v>
      </c>
      <c r="AQ16" s="298" t="n">
        <f aca="false">IF(COUNTIF(CAPA3_EXPANSION!$D$56:AQ$56,"&gt;="&amp;9)=0,0,SUP_CONTROL!$C$8*IF($B16="V",1,IF($B16="D",(1+SUP_VOLUMEN!$C$26),(1+SUP_VOLUMEN!$C$27)))*INDEX(SUP_C3_EXPANSION!$C$6:$F$6,MIN(4,COUNTIF(CAPA3_EXPANSION!$D$56:AQ$56,"&gt;="&amp;9)))*CAPA3_EXPANSION!AQ$36)</f>
        <v>0</v>
      </c>
      <c r="AR16" s="298" t="n">
        <f aca="false">IF(COUNTIF(CAPA3_EXPANSION!$D$56:AR$56,"&gt;="&amp;9)=0,0,SUP_CONTROL!$C$8*IF($B16="V",1,IF($B16="D",(1+SUP_VOLUMEN!$C$26),(1+SUP_VOLUMEN!$C$27)))*INDEX(SUP_C3_EXPANSION!$C$6:$F$6,MIN(4,COUNTIF(CAPA3_EXPANSION!$D$56:AR$56,"&gt;="&amp;9)))*CAPA3_EXPANSION!AR$36)</f>
        <v>2579.85</v>
      </c>
      <c r="AS16" s="298" t="n">
        <f aca="false">IF(COUNTIF(CAPA3_EXPANSION!$D$56:AS$56,"&gt;="&amp;9)=0,0,SUP_CONTROL!$C$8*IF($B16="V",1,IF($B16="D",(1+SUP_VOLUMEN!$C$26),(1+SUP_VOLUMEN!$C$27)))*INDEX(SUP_C3_EXPANSION!$C$6:$F$6,MIN(4,COUNTIF(CAPA3_EXPANSION!$D$56:AS$56,"&gt;="&amp;9)))*CAPA3_EXPANSION!AS$36)</f>
        <v>3175.2</v>
      </c>
      <c r="AT16" s="298" t="n">
        <f aca="false">IF(COUNTIF(CAPA3_EXPANSION!$D$56:AT$56,"&gt;="&amp;9)=0,0,SUP_CONTROL!$C$8*IF($B16="V",1,IF($B16="D",(1+SUP_VOLUMEN!$C$26),(1+SUP_VOLUMEN!$C$27)))*INDEX(SUP_C3_EXPANSION!$C$6:$F$6,MIN(4,COUNTIF(CAPA3_EXPANSION!$D$56:AT$56,"&gt;="&amp;9)))*CAPA3_EXPANSION!AT$36)</f>
        <v>3572.1</v>
      </c>
      <c r="AU16" s="298" t="n">
        <f aca="false">IF(COUNTIF(CAPA3_EXPANSION!$D$56:AU$56,"&gt;="&amp;9)=0,0,SUP_CONTROL!$C$8*IF($B16="V",1,IF($B16="D",(1+SUP_VOLUMEN!$C$26),(1+SUP_VOLUMEN!$C$27)))*INDEX(SUP_C3_EXPANSION!$C$6:$F$6,MIN(4,COUNTIF(CAPA3_EXPANSION!$D$56:AU$56,"&gt;="&amp;9)))*CAPA3_EXPANSION!AU$36)</f>
        <v>3969</v>
      </c>
      <c r="AV16" s="298" t="n">
        <f aca="false">IF(COUNTIF(CAPA3_EXPANSION!$D$56:AV$56,"&gt;="&amp;9)=0,0,SUP_CONTROL!$C$8*IF($B16="V",1,IF($B16="D",(1+SUP_VOLUMEN!$C$26),(1+SUP_VOLUMEN!$C$27)))*INDEX(SUP_C3_EXPANSION!$C$6:$F$6,MIN(4,COUNTIF(CAPA3_EXPANSION!$D$56:AV$56,"&gt;="&amp;9)))*CAPA3_EXPANSION!AV$36)</f>
        <v>3969</v>
      </c>
      <c r="AW16" s="298" t="n">
        <f aca="false">IF(COUNTIF(CAPA3_EXPANSION!$D$56:AW$56,"&gt;="&amp;9)=0,0,SUP_CONTROL!$C$8*IF($B16="V",1,IF($B16="D",(1+SUP_VOLUMEN!$C$26),(1+SUP_VOLUMEN!$C$27)))*INDEX(SUP_C3_EXPANSION!$C$6:$F$6,MIN(4,COUNTIF(CAPA3_EXPANSION!$D$56:AW$56,"&gt;="&amp;9)))*CAPA3_EXPANSION!AW$36)</f>
        <v>3969</v>
      </c>
      <c r="AX16" s="298" t="n">
        <f aca="false">IF(COUNTIF(CAPA3_EXPANSION!$D$56:AX$56,"&gt;="&amp;9)=0,0,SUP_CONTROL!$C$8*IF($B16="V",1,IF($B16="D",(1+SUP_VOLUMEN!$C$26),(1+SUP_VOLUMEN!$C$27)))*INDEX(SUP_C3_EXPANSION!$C$6:$F$6,MIN(4,COUNTIF(CAPA3_EXPANSION!$D$56:AX$56,"&gt;="&amp;9)))*CAPA3_EXPANSION!AX$36)</f>
        <v>3969</v>
      </c>
      <c r="AY16" s="298" t="n">
        <f aca="false">IF(COUNTIF(CAPA3_EXPANSION!$D$56:AY$56,"&gt;="&amp;9)=0,0,SUP_CONTROL!$C$8*IF($B16="V",1,IF($B16="D",(1+SUP_VOLUMEN!$C$26),(1+SUP_VOLUMEN!$C$27)))*INDEX(SUP_C3_EXPANSION!$C$6:$F$6,MIN(4,COUNTIF(CAPA3_EXPANSION!$D$56:AY$56,"&gt;="&amp;9)))*CAPA3_EXPANSION!AY$36)</f>
        <v>3969</v>
      </c>
      <c r="AZ16" s="298" t="n">
        <f aca="false">IF(COUNTIF(CAPA3_EXPANSION!$D$56:AZ$56,"&gt;="&amp;9)=0,0,SUP_CONTROL!$C$8*IF($B16="V",1,IF($B16="D",(1+SUP_VOLUMEN!$C$26),(1+SUP_VOLUMEN!$C$27)))*INDEX(SUP_C3_EXPANSION!$C$6:$F$6,MIN(4,COUNTIF(CAPA3_EXPANSION!$D$56:AZ$56,"&gt;="&amp;9)))*CAPA3_EXPANSION!AZ$36)</f>
        <v>3969</v>
      </c>
      <c r="BA16" s="298" t="n">
        <f aca="false">IF(COUNTIF(CAPA3_EXPANSION!$D$56:BA$56,"&gt;="&amp;9)=0,0,SUP_CONTROL!$C$8*IF($B16="V",1,IF($B16="D",(1+SUP_VOLUMEN!$C$26),(1+SUP_VOLUMEN!$C$27)))*INDEX(SUP_C3_EXPANSION!$C$6:$F$6,MIN(4,COUNTIF(CAPA3_EXPANSION!$D$56:BA$56,"&gt;="&amp;9)))*CAPA3_EXPANSION!BA$36)</f>
        <v>3969</v>
      </c>
      <c r="BB16" s="298" t="n">
        <f aca="false">IF(COUNTIF(CAPA3_EXPANSION!$D$56:BB$56,"&gt;="&amp;9)=0,0,SUP_CONTROL!$C$8*IF($B16="V",1,IF($B16="D",(1+SUP_VOLUMEN!$C$26),(1+SUP_VOLUMEN!$C$27)))*INDEX(SUP_C3_EXPANSION!$C$6:$F$6,MIN(4,COUNTIF(CAPA3_EXPANSION!$D$56:BB$56,"&gt;="&amp;9)))*CAPA3_EXPANSION!BB$36)</f>
        <v>3969</v>
      </c>
      <c r="BC16" s="298" t="n">
        <f aca="false">IF(COUNTIF(CAPA3_EXPANSION!$D$56:BC$56,"&gt;="&amp;9)=0,0,SUP_CONTROL!$C$8*IF($B16="V",1,IF($B16="D",(1+SUP_VOLUMEN!$C$26),(1+SUP_VOLUMEN!$C$27)))*INDEX(SUP_C3_EXPANSION!$C$6:$F$6,MIN(4,COUNTIF(CAPA3_EXPANSION!$D$56:BC$56,"&gt;="&amp;9)))*CAPA3_EXPANSION!BC$36)</f>
        <v>3969</v>
      </c>
      <c r="BD16" s="298" t="n">
        <f aca="false">IF(COUNTIF(CAPA3_EXPANSION!$D$56:BD$56,"&gt;="&amp;9)=0,0,SUP_CONTROL!$C$8*IF($B16="V",1,IF($B16="D",(1+SUP_VOLUMEN!$C$26),(1+SUP_VOLUMEN!$C$27)))*INDEX(SUP_C3_EXPANSION!$C$6:$F$6,MIN(4,COUNTIF(CAPA3_EXPANSION!$D$56:BD$56,"&gt;="&amp;9)))*CAPA3_EXPANSION!BD$36)</f>
        <v>3969</v>
      </c>
      <c r="BE16" s="298" t="n">
        <f aca="false">IF(COUNTIF(CAPA3_EXPANSION!$D$56:BE$56,"&gt;="&amp;9)=0,0,SUP_CONTROL!$C$8*IF($B16="V",1,IF($B16="D",(1+SUP_VOLUMEN!$C$26),(1+SUP_VOLUMEN!$C$27)))*INDEX(SUP_C3_EXPANSION!$C$6:$F$6,MIN(4,COUNTIF(CAPA3_EXPANSION!$D$56:BE$56,"&gt;="&amp;9)))*CAPA3_EXPANSION!BE$36)</f>
        <v>3969</v>
      </c>
      <c r="BF16" s="298" t="n">
        <f aca="false">IF(COUNTIF(CAPA3_EXPANSION!$D$56:BF$56,"&gt;="&amp;9)=0,0,SUP_CONTROL!$C$8*IF($B16="V",1,IF($B16="D",(1+SUP_VOLUMEN!$C$26),(1+SUP_VOLUMEN!$C$27)))*INDEX(SUP_C3_EXPANSION!$C$6:$F$6,MIN(4,COUNTIF(CAPA3_EXPANSION!$D$56:BF$56,"&gt;="&amp;9)))*CAPA3_EXPANSION!BF$36)</f>
        <v>3864</v>
      </c>
      <c r="BG16" s="298" t="n">
        <f aca="false">IF(COUNTIF(CAPA3_EXPANSION!$D$56:BG$56,"&gt;="&amp;9)=0,0,SUP_CONTROL!$C$8*IF($B16="V",1,IF($B16="D",(1+SUP_VOLUMEN!$C$26),(1+SUP_VOLUMEN!$C$27)))*INDEX(SUP_C3_EXPANSION!$C$6:$F$6,MIN(4,COUNTIF(CAPA3_EXPANSION!$D$56:BG$56,"&gt;="&amp;9)))*CAPA3_EXPANSION!BG$36)</f>
        <v>3864</v>
      </c>
      <c r="BH16" s="298" t="n">
        <f aca="false">IF(COUNTIF(CAPA3_EXPANSION!$D$56:BH$56,"&gt;="&amp;9)=0,0,SUP_CONTROL!$C$8*IF($B16="V",1,IF($B16="D",(1+SUP_VOLUMEN!$C$26),(1+SUP_VOLUMEN!$C$27)))*INDEX(SUP_C3_EXPANSION!$C$6:$F$6,MIN(4,COUNTIF(CAPA3_EXPANSION!$D$56:BH$56,"&gt;="&amp;9)))*CAPA3_EXPANSION!BH$36)</f>
        <v>3864</v>
      </c>
      <c r="BI16" s="298" t="n">
        <f aca="false">IF(COUNTIF(CAPA3_EXPANSION!$D$56:BI$56,"&gt;="&amp;9)=0,0,SUP_CONTROL!$C$8*IF($B16="V",1,IF($B16="D",(1+SUP_VOLUMEN!$C$26),(1+SUP_VOLUMEN!$C$27)))*INDEX(SUP_C3_EXPANSION!$C$6:$F$6,MIN(4,COUNTIF(CAPA3_EXPANSION!$D$56:BI$56,"&gt;="&amp;9)))*CAPA3_EXPANSION!BI$36)</f>
        <v>3864</v>
      </c>
      <c r="BJ16" s="298" t="n">
        <f aca="false">IF(COUNTIF(CAPA3_EXPANSION!$D$56:BJ$56,"&gt;="&amp;9)=0,0,SUP_CONTROL!$C$8*IF($B16="V",1,IF($B16="D",(1+SUP_VOLUMEN!$C$26),(1+SUP_VOLUMEN!$C$27)))*INDEX(SUP_C3_EXPANSION!$C$6:$F$6,MIN(4,COUNTIF(CAPA3_EXPANSION!$D$56:BJ$56,"&gt;="&amp;9)))*CAPA3_EXPANSION!BJ$36)</f>
        <v>3864</v>
      </c>
      <c r="BK16" s="298" t="n">
        <f aca="false">IF(COUNTIF(CAPA3_EXPANSION!$D$56:BK$56,"&gt;="&amp;9)=0,0,SUP_CONTROL!$C$8*IF($B16="V",1,IF($B16="D",(1+SUP_VOLUMEN!$C$26),(1+SUP_VOLUMEN!$C$27)))*INDEX(SUP_C3_EXPANSION!$C$6:$F$6,MIN(4,COUNTIF(CAPA3_EXPANSION!$D$56:BK$56,"&gt;="&amp;9)))*CAPA3_EXPANSION!BK$36)</f>
        <v>3780</v>
      </c>
      <c r="BL16" s="298" t="n">
        <f aca="false">IF(COUNTIF(CAPA3_EXPANSION!$D$56:BL$56,"&gt;="&amp;9)=0,0,SUP_CONTROL!$C$8*IF($B16="V",1,IF($B16="D",(1+SUP_VOLUMEN!$C$26),(1+SUP_VOLUMEN!$C$27)))*INDEX(SUP_C3_EXPANSION!$C$6:$F$6,MIN(4,COUNTIF(CAPA3_EXPANSION!$D$56:BL$56,"&gt;="&amp;9)))*CAPA3_EXPANSION!BL$36)</f>
        <v>3780</v>
      </c>
      <c r="BM16" s="298" t="n">
        <f aca="false">IF(COUNTIF(CAPA3_EXPANSION!$D$56:BM$56,"&gt;="&amp;9)=0,0,SUP_CONTROL!$C$8*IF($B16="V",1,IF($B16="D",(1+SUP_VOLUMEN!$C$26),(1+SUP_VOLUMEN!$C$27)))*INDEX(SUP_C3_EXPANSION!$C$6:$F$6,MIN(4,COUNTIF(CAPA3_EXPANSION!$D$56:BM$56,"&gt;="&amp;9)))*CAPA3_EXPANSION!BM$36)</f>
        <v>3780</v>
      </c>
      <c r="BN16" s="298" t="n">
        <f aca="false">IF(COUNTIF(CAPA3_EXPANSION!$D$56:BN$56,"&gt;="&amp;9)=0,0,SUP_CONTROL!$C$8*IF($B16="V",1,IF($B16="D",(1+SUP_VOLUMEN!$C$26),(1+SUP_VOLUMEN!$C$27)))*INDEX(SUP_C3_EXPANSION!$C$6:$F$6,MIN(4,COUNTIF(CAPA3_EXPANSION!$D$56:BN$56,"&gt;="&amp;9)))*CAPA3_EXPANSION!BN$36)</f>
        <v>3780</v>
      </c>
      <c r="BO16" s="298" t="n">
        <f aca="false">IF(COUNTIF(CAPA3_EXPANSION!$D$56:BO$56,"&gt;="&amp;9)=0,0,SUP_CONTROL!$C$8*IF($B16="V",1,IF($B16="D",(1+SUP_VOLUMEN!$C$26),(1+SUP_VOLUMEN!$C$27)))*INDEX(SUP_C3_EXPANSION!$C$6:$F$6,MIN(4,COUNTIF(CAPA3_EXPANSION!$D$56:BO$56,"&gt;="&amp;9)))*CAPA3_EXPANSION!BO$36)</f>
        <v>3780</v>
      </c>
      <c r="BP16" s="298" t="n">
        <f aca="false">IF(COUNTIF(CAPA3_EXPANSION!$D$56:BP$56,"&gt;="&amp;9)=0,0,SUP_CONTROL!$C$8*IF($B16="V",1,IF($B16="D",(1+SUP_VOLUMEN!$C$26),(1+SUP_VOLUMEN!$C$27)))*INDEX(SUP_C3_EXPANSION!$C$6:$F$6,MIN(4,COUNTIF(CAPA3_EXPANSION!$D$56:BP$56,"&gt;="&amp;9)))*CAPA3_EXPANSION!BP$36)</f>
        <v>3780</v>
      </c>
      <c r="BQ16" s="298" t="n">
        <f aca="false">IF(COUNTIF(CAPA3_EXPANSION!$D$56:BQ$56,"&gt;="&amp;9)=0,0,SUP_CONTROL!$C$8*IF($B16="V",1,IF($B16="D",(1+SUP_VOLUMEN!$C$26),(1+SUP_VOLUMEN!$C$27)))*INDEX(SUP_C3_EXPANSION!$C$6:$F$6,MIN(4,COUNTIF(CAPA3_EXPANSION!$D$56:BQ$56,"&gt;="&amp;9)))*CAPA3_EXPANSION!BQ$36)</f>
        <v>3696</v>
      </c>
      <c r="BR16" s="298" t="n">
        <f aca="false">IF(COUNTIF(CAPA3_EXPANSION!$D$56:BR$56,"&gt;="&amp;9)=0,0,SUP_CONTROL!$C$8*IF($B16="V",1,IF($B16="D",(1+SUP_VOLUMEN!$C$26),(1+SUP_VOLUMEN!$C$27)))*INDEX(SUP_C3_EXPANSION!$C$6:$F$6,MIN(4,COUNTIF(CAPA3_EXPANSION!$D$56:BR$56,"&gt;="&amp;9)))*CAPA3_EXPANSION!BR$36)</f>
        <v>3696</v>
      </c>
      <c r="BS16" s="298" t="n">
        <f aca="false">IF(COUNTIF(CAPA3_EXPANSION!$D$56:BS$56,"&gt;="&amp;9)=0,0,SUP_CONTROL!$C$8*IF($B16="V",1,IF($B16="D",(1+SUP_VOLUMEN!$C$26),(1+SUP_VOLUMEN!$C$27)))*INDEX(SUP_C3_EXPANSION!$C$6:$F$6,MIN(4,COUNTIF(CAPA3_EXPANSION!$D$56:BS$56,"&gt;="&amp;9)))*CAPA3_EXPANSION!BS$36)</f>
        <v>3696</v>
      </c>
      <c r="BT16" s="298" t="n">
        <f aca="false">IF(COUNTIF(CAPA3_EXPANSION!$D$56:BT$56,"&gt;="&amp;9)=0,0,SUP_CONTROL!$C$8*IF($B16="V",1,IF($B16="D",(1+SUP_VOLUMEN!$C$26),(1+SUP_VOLUMEN!$C$27)))*INDEX(SUP_C3_EXPANSION!$C$6:$F$6,MIN(4,COUNTIF(CAPA3_EXPANSION!$D$56:BT$56,"&gt;="&amp;9)))*CAPA3_EXPANSION!BT$36)</f>
        <v>3696</v>
      </c>
      <c r="BU16" s="298" t="n">
        <f aca="false">IF(COUNTIF(CAPA3_EXPANSION!$D$56:BU$56,"&gt;="&amp;9)=0,0,SUP_CONTROL!$C$8*IF($B16="V",1,IF($B16="D",(1+SUP_VOLUMEN!$C$26),(1+SUP_VOLUMEN!$C$27)))*INDEX(SUP_C3_EXPANSION!$C$6:$F$6,MIN(4,COUNTIF(CAPA3_EXPANSION!$D$56:BU$56,"&gt;="&amp;9)))*CAPA3_EXPANSION!BU$36)</f>
        <v>3696</v>
      </c>
      <c r="BV16" s="298" t="n">
        <f aca="false">IF(COUNTIF(CAPA3_EXPANSION!$D$56:BV$56,"&gt;="&amp;9)=0,0,SUP_CONTROL!$C$8*IF($B16="V",1,IF($B16="D",(1+SUP_VOLUMEN!$C$26),(1+SUP_VOLUMEN!$C$27)))*INDEX(SUP_C3_EXPANSION!$C$6:$F$6,MIN(4,COUNTIF(CAPA3_EXPANSION!$D$56:BV$56,"&gt;="&amp;9)))*CAPA3_EXPANSION!BV$36)</f>
        <v>3696</v>
      </c>
      <c r="BW16" s="298" t="n">
        <f aca="false">IF(COUNTIF(CAPA3_EXPANSION!$D$56:BW$56,"&gt;="&amp;9)=0,0,SUP_CONTROL!$C$8*IF($B16="V",1,IF($B16="D",(1+SUP_VOLUMEN!$C$26),(1+SUP_VOLUMEN!$C$27)))*INDEX(SUP_C3_EXPANSION!$C$6:$F$6,MIN(4,COUNTIF(CAPA3_EXPANSION!$D$56:BW$56,"&gt;="&amp;9)))*CAPA3_EXPANSION!BW$36)</f>
        <v>3633</v>
      </c>
      <c r="BX16" s="298" t="n">
        <f aca="false">IF(COUNTIF(CAPA3_EXPANSION!$D$56:BX$56,"&gt;="&amp;9)=0,0,SUP_CONTROL!$C$8*IF($B16="V",1,IF($B16="D",(1+SUP_VOLUMEN!$C$26),(1+SUP_VOLUMEN!$C$27)))*INDEX(SUP_C3_EXPANSION!$C$6:$F$6,MIN(4,COUNTIF(CAPA3_EXPANSION!$D$56:BX$56,"&gt;="&amp;9)))*CAPA3_EXPANSION!BX$36)</f>
        <v>3633</v>
      </c>
      <c r="BY16" s="298" t="n">
        <f aca="false">IF(COUNTIF(CAPA3_EXPANSION!$D$56:BY$56,"&gt;="&amp;9)=0,0,SUP_CONTROL!$C$8*IF($B16="V",1,IF($B16="D",(1+SUP_VOLUMEN!$C$26),(1+SUP_VOLUMEN!$C$27)))*INDEX(SUP_C3_EXPANSION!$C$6:$F$6,MIN(4,COUNTIF(CAPA3_EXPANSION!$D$56:BY$56,"&gt;="&amp;9)))*CAPA3_EXPANSION!BY$36)</f>
        <v>3633</v>
      </c>
      <c r="BZ16" s="298" t="n">
        <f aca="false">IF(COUNTIF(CAPA3_EXPANSION!$D$56:BZ$56,"&gt;="&amp;9)=0,0,SUP_CONTROL!$C$8*IF($B16="V",1,IF($B16="D",(1+SUP_VOLUMEN!$C$26),(1+SUP_VOLUMEN!$C$27)))*INDEX(SUP_C3_EXPANSION!$C$6:$F$6,MIN(4,COUNTIF(CAPA3_EXPANSION!$D$56:BZ$56,"&gt;="&amp;9)))*CAPA3_EXPANSION!BZ$36)</f>
        <v>3633</v>
      </c>
      <c r="CA16" s="298" t="n">
        <f aca="false">IF(COUNTIF(CAPA3_EXPANSION!$D$56:CA$56,"&gt;="&amp;9)=0,0,SUP_CONTROL!$C$8*IF($B16="V",1,IF($B16="D",(1+SUP_VOLUMEN!$C$26),(1+SUP_VOLUMEN!$C$27)))*INDEX(SUP_C3_EXPANSION!$C$6:$F$6,MIN(4,COUNTIF(CAPA3_EXPANSION!$D$56:CA$56,"&gt;="&amp;9)))*CAPA3_EXPANSION!CA$36)</f>
        <v>3633</v>
      </c>
      <c r="CB16" s="298" t="n">
        <f aca="false">IF(COUNTIF(CAPA3_EXPANSION!$D$56:CB$56,"&gt;="&amp;9)=0,0,SUP_CONTROL!$C$8*IF($B16="V",1,IF($B16="D",(1+SUP_VOLUMEN!$C$26),(1+SUP_VOLUMEN!$C$27)))*INDEX(SUP_C3_EXPANSION!$C$6:$F$6,MIN(4,COUNTIF(CAPA3_EXPANSION!$D$56:CB$56,"&gt;="&amp;9)))*CAPA3_EXPANSION!CB$36)</f>
        <v>3570</v>
      </c>
      <c r="CC16" s="298" t="n">
        <f aca="false">IF(COUNTIF(CAPA3_EXPANSION!$D$56:CC$56,"&gt;="&amp;9)=0,0,SUP_CONTROL!$C$8*IF($B16="V",1,IF($B16="D",(1+SUP_VOLUMEN!$C$26),(1+SUP_VOLUMEN!$C$27)))*INDEX(SUP_C3_EXPANSION!$C$6:$F$6,MIN(4,COUNTIF(CAPA3_EXPANSION!$D$56:CC$56,"&gt;="&amp;9)))*CAPA3_EXPANSION!CC$36)</f>
        <v>3570</v>
      </c>
      <c r="CD16" s="298" t="n">
        <f aca="false">IF(COUNTIF(CAPA3_EXPANSION!$D$56:CD$56,"&gt;="&amp;9)=0,0,SUP_CONTROL!$C$8*IF($B16="V",1,IF($B16="D",(1+SUP_VOLUMEN!$C$26),(1+SUP_VOLUMEN!$C$27)))*INDEX(SUP_C3_EXPANSION!$C$6:$F$6,MIN(4,COUNTIF(CAPA3_EXPANSION!$D$56:CD$56,"&gt;="&amp;9)))*CAPA3_EXPANSION!CD$36)</f>
        <v>3570</v>
      </c>
      <c r="CE16" s="298" t="n">
        <f aca="false">IF(COUNTIF(CAPA3_EXPANSION!$D$56:CE$56,"&gt;="&amp;9)=0,0,SUP_CONTROL!$C$8*IF($B16="V",1,IF($B16="D",(1+SUP_VOLUMEN!$C$26),(1+SUP_VOLUMEN!$C$27)))*INDEX(SUP_C3_EXPANSION!$C$6:$F$6,MIN(4,COUNTIF(CAPA3_EXPANSION!$D$56:CE$56,"&gt;="&amp;9)))*CAPA3_EXPANSION!CE$36)</f>
        <v>3570</v>
      </c>
      <c r="CF16" s="298" t="n">
        <f aca="false">IF(COUNTIF(CAPA3_EXPANSION!$D$56:CF$56,"&gt;="&amp;9)=0,0,SUP_CONTROL!$C$8*IF($B16="V",1,IF($B16="D",(1+SUP_VOLUMEN!$C$26),(1+SUP_VOLUMEN!$C$27)))*INDEX(SUP_C3_EXPANSION!$C$6:$F$6,MIN(4,COUNTIF(CAPA3_EXPANSION!$D$56:CF$56,"&gt;="&amp;9)))*CAPA3_EXPANSION!CF$36)</f>
        <v>3570</v>
      </c>
      <c r="CG16" s="298" t="n">
        <f aca="false">IF(COUNTIF(CAPA3_EXPANSION!$D$56:CG$56,"&gt;="&amp;9)=0,0,SUP_CONTROL!$C$8*IF($B16="V",1,IF($B16="D",(1+SUP_VOLUMEN!$C$26),(1+SUP_VOLUMEN!$C$27)))*INDEX(SUP_C3_EXPANSION!$C$6:$F$6,MIN(4,COUNTIF(CAPA3_EXPANSION!$D$56:CG$56,"&gt;="&amp;9)))*CAPA3_EXPANSION!CG$36)</f>
        <v>3528</v>
      </c>
      <c r="CH16" s="298" t="n">
        <f aca="false">IF(COUNTIF(CAPA3_EXPANSION!$D$56:CH$56,"&gt;="&amp;9)=0,0,SUP_CONTROL!$C$8*IF($B16="V",1,IF($B16="D",(1+SUP_VOLUMEN!$C$26),(1+SUP_VOLUMEN!$C$27)))*INDEX(SUP_C3_EXPANSION!$C$6:$F$6,MIN(4,COUNTIF(CAPA3_EXPANSION!$D$56:CH$56,"&gt;="&amp;9)))*CAPA3_EXPANSION!CH$36)</f>
        <v>3528</v>
      </c>
      <c r="CI16" s="298" t="n">
        <f aca="false">IF(COUNTIF(CAPA3_EXPANSION!$D$56:CI$56,"&gt;="&amp;9)=0,0,SUP_CONTROL!$C$8*IF($B16="V",1,IF($B16="D",(1+SUP_VOLUMEN!$C$26),(1+SUP_VOLUMEN!$C$27)))*INDEX(SUP_C3_EXPANSION!$C$6:$F$6,MIN(4,COUNTIF(CAPA3_EXPANSION!$D$56:CI$56,"&gt;="&amp;9)))*CAPA3_EXPANSION!CI$36)</f>
        <v>3528</v>
      </c>
      <c r="CJ16" s="298" t="n">
        <f aca="false">IF(COUNTIF(CAPA3_EXPANSION!$D$56:CJ$56,"&gt;="&amp;9)=0,0,SUP_CONTROL!$C$8*IF($B16="V",1,IF($B16="D",(1+SUP_VOLUMEN!$C$26),(1+SUP_VOLUMEN!$C$27)))*INDEX(SUP_C3_EXPANSION!$C$6:$F$6,MIN(4,COUNTIF(CAPA3_EXPANSION!$D$56:CJ$56,"&gt;="&amp;9)))*CAPA3_EXPANSION!CJ$36)</f>
        <v>3528</v>
      </c>
      <c r="CK16" s="298" t="n">
        <f aca="false">IF(COUNTIF(CAPA3_EXPANSION!$D$56:CK$56,"&gt;="&amp;9)=0,0,SUP_CONTROL!$C$8*IF($B16="V",1,IF($B16="D",(1+SUP_VOLUMEN!$C$26),(1+SUP_VOLUMEN!$C$27)))*INDEX(SUP_C3_EXPANSION!$C$6:$F$6,MIN(4,COUNTIF(CAPA3_EXPANSION!$D$56:CK$56,"&gt;="&amp;9)))*CAPA3_EXPANSION!CK$36)</f>
        <v>3528</v>
      </c>
      <c r="CL16" s="298" t="n">
        <f aca="false">IF(COUNTIF(CAPA3_EXPANSION!$D$56:CL$56,"&gt;="&amp;9)=0,0,SUP_CONTROL!$C$8*IF($B16="V",1,IF($B16="D",(1+SUP_VOLUMEN!$C$26),(1+SUP_VOLUMEN!$C$27)))*INDEX(SUP_C3_EXPANSION!$C$6:$F$6,MIN(4,COUNTIF(CAPA3_EXPANSION!$D$56:CL$56,"&gt;="&amp;9)))*CAPA3_EXPANSION!CL$36)</f>
        <v>3528</v>
      </c>
      <c r="CM16" s="298" t="n">
        <f aca="false">IF(COUNTIF(CAPA3_EXPANSION!$D$56:CM$56,"&gt;="&amp;9)=0,0,SUP_CONTROL!$C$8*IF($B16="V",1,IF($B16="D",(1+SUP_VOLUMEN!$C$26),(1+SUP_VOLUMEN!$C$27)))*INDEX(SUP_C3_EXPANSION!$C$6:$F$6,MIN(4,COUNTIF(CAPA3_EXPANSION!$D$56:CM$56,"&gt;="&amp;9)))*CAPA3_EXPANSION!CM$36)</f>
        <v>3528</v>
      </c>
      <c r="CN16" s="298" t="n">
        <f aca="false">IF(COUNTIF(CAPA3_EXPANSION!$D$56:CN$56,"&gt;="&amp;9)=0,0,SUP_CONTROL!$C$8*IF($B16="V",1,IF($B16="D",(1+SUP_VOLUMEN!$C$26),(1+SUP_VOLUMEN!$C$27)))*INDEX(SUP_C3_EXPANSION!$C$6:$F$6,MIN(4,COUNTIF(CAPA3_EXPANSION!$D$56:CN$56,"&gt;="&amp;9)))*CAPA3_EXPANSION!CN$36)</f>
        <v>3528</v>
      </c>
      <c r="CO16" s="298" t="n">
        <f aca="false">IF(COUNTIF(CAPA3_EXPANSION!$D$56:CO$56,"&gt;="&amp;9)=0,0,SUP_CONTROL!$C$8*IF($B16="V",1,IF($B16="D",(1+SUP_VOLUMEN!$C$26),(1+SUP_VOLUMEN!$C$27)))*INDEX(SUP_C3_EXPANSION!$C$6:$F$6,MIN(4,COUNTIF(CAPA3_EXPANSION!$D$56:CO$56,"&gt;="&amp;9)))*CAPA3_EXPANSION!CO$36)</f>
        <v>3528</v>
      </c>
      <c r="CP16" s="298" t="n">
        <f aca="false">IF(COUNTIF(CAPA3_EXPANSION!$D$56:CP$56,"&gt;="&amp;9)=0,0,SUP_CONTROL!$C$8*IF($B16="V",1,IF($B16="D",(1+SUP_VOLUMEN!$C$26),(1+SUP_VOLUMEN!$C$27)))*INDEX(SUP_C3_EXPANSION!$C$6:$F$6,MIN(4,COUNTIF(CAPA3_EXPANSION!$D$56:CP$56,"&gt;="&amp;9)))*CAPA3_EXPANSION!CP$36)</f>
        <v>3528</v>
      </c>
      <c r="CQ16" s="298" t="n">
        <f aca="false">IF(COUNTIF(CAPA3_EXPANSION!$D$56:CQ$56,"&gt;="&amp;9)=0,0,SUP_CONTROL!$C$8*IF($B16="V",1,IF($B16="D",(1+SUP_VOLUMEN!$C$26),(1+SUP_VOLUMEN!$C$27)))*INDEX(SUP_C3_EXPANSION!$C$6:$F$6,MIN(4,COUNTIF(CAPA3_EXPANSION!$D$56:CQ$56,"&gt;="&amp;9)))*CAPA3_EXPANSION!CQ$36)</f>
        <v>3528</v>
      </c>
      <c r="CR16" s="298" t="n">
        <f aca="false">IF(COUNTIF(CAPA3_EXPANSION!$D$56:CR$56,"&gt;="&amp;9)=0,0,SUP_CONTROL!$C$8*IF($B16="V",1,IF($B16="D",(1+SUP_VOLUMEN!$C$26),(1+SUP_VOLUMEN!$C$27)))*INDEX(SUP_C3_EXPANSION!$C$6:$F$6,MIN(4,COUNTIF(CAPA3_EXPANSION!$D$56:CR$56,"&gt;="&amp;9)))*CAPA3_EXPANSION!CR$36)</f>
        <v>3528</v>
      </c>
      <c r="CS16" s="298" t="n">
        <f aca="false">IF(COUNTIF(CAPA3_EXPANSION!$D$56:CS$56,"&gt;="&amp;9)=0,0,SUP_CONTROL!$C$8*IF($B16="V",1,IF($B16="D",(1+SUP_VOLUMEN!$C$26),(1+SUP_VOLUMEN!$C$27)))*INDEX(SUP_C3_EXPANSION!$C$6:$F$6,MIN(4,COUNTIF(CAPA3_EXPANSION!$D$56:CS$56,"&gt;="&amp;9)))*CAPA3_EXPANSION!CS$36)</f>
        <v>3528</v>
      </c>
      <c r="CT16" s="298" t="n">
        <f aca="false">IF(COUNTIF(CAPA3_EXPANSION!$D$56:CT$56,"&gt;="&amp;9)=0,0,SUP_CONTROL!$C$8*IF($B16="V",1,IF($B16="D",(1+SUP_VOLUMEN!$C$26),(1+SUP_VOLUMEN!$C$27)))*INDEX(SUP_C3_EXPANSION!$C$6:$F$6,MIN(4,COUNTIF(CAPA3_EXPANSION!$D$56:CT$56,"&gt;="&amp;9)))*CAPA3_EXPANSION!CT$36)</f>
        <v>3528</v>
      </c>
      <c r="CU16" s="298" t="n">
        <f aca="false">IF(COUNTIF(CAPA3_EXPANSION!$D$56:CU$56,"&gt;="&amp;9)=0,0,SUP_CONTROL!$C$8*IF($B16="V",1,IF($B16="D",(1+SUP_VOLUMEN!$C$26),(1+SUP_VOLUMEN!$C$27)))*INDEX(SUP_C3_EXPANSION!$C$6:$F$6,MIN(4,COUNTIF(CAPA3_EXPANSION!$D$56:CU$56,"&gt;="&amp;9)))*CAPA3_EXPANSION!CU$36)</f>
        <v>3528</v>
      </c>
      <c r="CV16" s="298" t="n">
        <f aca="false">IF(COUNTIF(CAPA3_EXPANSION!$D$56:CV$56,"&gt;="&amp;9)=0,0,SUP_CONTROL!$C$8*IF($B16="V",1,IF($B16="D",(1+SUP_VOLUMEN!$C$26),(1+SUP_VOLUMEN!$C$27)))*INDEX(SUP_C3_EXPANSION!$C$6:$F$6,MIN(4,COUNTIF(CAPA3_EXPANSION!$D$56:CV$56,"&gt;="&amp;9)))*CAPA3_EXPANSION!CV$36)</f>
        <v>3528</v>
      </c>
      <c r="CW16" s="298" t="n">
        <f aca="false">IF(COUNTIF(CAPA3_EXPANSION!$D$56:CW$56,"&gt;="&amp;9)=0,0,SUP_CONTROL!$C$8*IF($B16="V",1,IF($B16="D",(1+SUP_VOLUMEN!$C$26),(1+SUP_VOLUMEN!$C$27)))*INDEX(SUP_C3_EXPANSION!$C$6:$F$6,MIN(4,COUNTIF(CAPA3_EXPANSION!$D$56:CW$56,"&gt;="&amp;9)))*CAPA3_EXPANSION!CW$36)</f>
        <v>3528</v>
      </c>
      <c r="CX16" s="298" t="n">
        <f aca="false">IF(COUNTIF(CAPA3_EXPANSION!$D$56:CX$56,"&gt;="&amp;9)=0,0,SUP_CONTROL!$C$8*IF($B16="V",1,IF($B16="D",(1+SUP_VOLUMEN!$C$26),(1+SUP_VOLUMEN!$C$27)))*INDEX(SUP_C3_EXPANSION!$C$6:$F$6,MIN(4,COUNTIF(CAPA3_EXPANSION!$D$56:CX$56,"&gt;="&amp;9)))*CAPA3_EXPANSION!CX$36)</f>
        <v>3528</v>
      </c>
      <c r="CY16" s="298" t="n">
        <f aca="false">IF(COUNTIF(CAPA3_EXPANSION!$D$56:CY$56,"&gt;="&amp;9)=0,0,SUP_CONTROL!$C$8*IF($B16="V",1,IF($B16="D",(1+SUP_VOLUMEN!$C$26),(1+SUP_VOLUMEN!$C$27)))*INDEX(SUP_C3_EXPANSION!$C$6:$F$6,MIN(4,COUNTIF(CAPA3_EXPANSION!$D$56:CY$56,"&gt;="&amp;9)))*CAPA3_EXPANSION!CY$36)</f>
        <v>3528</v>
      </c>
      <c r="CZ16" s="298" t="n">
        <f aca="false">IF(COUNTIF(CAPA3_EXPANSION!$D$56:CZ$56,"&gt;="&amp;9)=0,0,SUP_CONTROL!$C$8*IF($B16="V",1,IF($B16="D",(1+SUP_VOLUMEN!$C$26),(1+SUP_VOLUMEN!$C$27)))*INDEX(SUP_C3_EXPANSION!$C$6:$F$6,MIN(4,COUNTIF(CAPA3_EXPANSION!$D$56:CZ$56,"&gt;="&amp;9)))*CAPA3_EXPANSION!CZ$36)</f>
        <v>3528</v>
      </c>
      <c r="DA16" s="298" t="n">
        <f aca="false">IF(COUNTIF(CAPA3_EXPANSION!$D$56:DA$56,"&gt;="&amp;9)=0,0,SUP_CONTROL!$C$8*IF($B16="V",1,IF($B16="D",(1+SUP_VOLUMEN!$C$26),(1+SUP_VOLUMEN!$C$27)))*INDEX(SUP_C3_EXPANSION!$C$6:$F$6,MIN(4,COUNTIF(CAPA3_EXPANSION!$D$56:DA$56,"&gt;="&amp;9)))*CAPA3_EXPANSION!DA$36)</f>
        <v>3528</v>
      </c>
      <c r="DB16" s="298" t="n">
        <f aca="false">IF(COUNTIF(CAPA3_EXPANSION!$D$56:DB$56,"&gt;="&amp;9)=0,0,SUP_CONTROL!$C$8*IF($B16="V",1,IF($B16="D",(1+SUP_VOLUMEN!$C$26),(1+SUP_VOLUMEN!$C$27)))*INDEX(SUP_C3_EXPANSION!$C$6:$F$6,MIN(4,COUNTIF(CAPA3_EXPANSION!$D$56:DB$56,"&gt;="&amp;9)))*CAPA3_EXPANSION!DB$36)</f>
        <v>3528</v>
      </c>
      <c r="DC16" s="298" t="n">
        <f aca="false">IF(COUNTIF(CAPA3_EXPANSION!$D$56:DC$56,"&gt;="&amp;9)=0,0,SUP_CONTROL!$C$8*IF($B16="V",1,IF($B16="D",(1+SUP_VOLUMEN!$C$26),(1+SUP_VOLUMEN!$C$27)))*INDEX(SUP_C3_EXPANSION!$C$6:$F$6,MIN(4,COUNTIF(CAPA3_EXPANSION!$D$56:DC$56,"&gt;="&amp;9)))*CAPA3_EXPANSION!DC$36)</f>
        <v>3528</v>
      </c>
      <c r="DD16" s="298" t="n">
        <f aca="false">IF(COUNTIF(CAPA3_EXPANSION!$D$56:DD$56,"&gt;="&amp;9)=0,0,SUP_CONTROL!$C$8*IF($B16="V",1,IF($B16="D",(1+SUP_VOLUMEN!$C$26),(1+SUP_VOLUMEN!$C$27)))*INDEX(SUP_C3_EXPANSION!$C$6:$F$6,MIN(4,COUNTIF(CAPA3_EXPANSION!$D$56:DD$56,"&gt;="&amp;9)))*CAPA3_EXPANSION!DD$36)</f>
        <v>3528</v>
      </c>
      <c r="DE16" s="298" t="n">
        <f aca="false">IF(COUNTIF(CAPA3_EXPANSION!$D$56:DE$56,"&gt;="&amp;9)=0,0,SUP_CONTROL!$C$8*IF($B16="V",1,IF($B16="D",(1+SUP_VOLUMEN!$C$26),(1+SUP_VOLUMEN!$C$27)))*INDEX(SUP_C3_EXPANSION!$C$6:$F$6,MIN(4,COUNTIF(CAPA3_EXPANSION!$D$56:DE$56,"&gt;="&amp;9)))*CAPA3_EXPANSION!DE$36)</f>
        <v>3528</v>
      </c>
      <c r="DF16" s="298" t="n">
        <f aca="false">IF(COUNTIF(CAPA3_EXPANSION!$D$56:DF$56,"&gt;="&amp;9)=0,0,SUP_CONTROL!$C$8*IF($B16="V",1,IF($B16="D",(1+SUP_VOLUMEN!$C$26),(1+SUP_VOLUMEN!$C$27)))*INDEX(SUP_C3_EXPANSION!$C$6:$F$6,MIN(4,COUNTIF(CAPA3_EXPANSION!$D$56:DF$56,"&gt;="&amp;9)))*CAPA3_EXPANSION!DF$36)</f>
        <v>3528</v>
      </c>
      <c r="DG16" s="298" t="n">
        <f aca="false">IF(COUNTIF(CAPA3_EXPANSION!$D$56:DG$56,"&gt;="&amp;9)=0,0,SUP_CONTROL!$C$8*IF($B16="V",1,IF($B16="D",(1+SUP_VOLUMEN!$C$26),(1+SUP_VOLUMEN!$C$27)))*INDEX(SUP_C3_EXPANSION!$C$6:$F$6,MIN(4,COUNTIF(CAPA3_EXPANSION!$D$56:DG$56,"&gt;="&amp;9)))*CAPA3_EXPANSION!DG$36)</f>
        <v>3528</v>
      </c>
      <c r="DH16" s="298" t="n">
        <f aca="false">IF(COUNTIF(CAPA3_EXPANSION!$D$56:DH$56,"&gt;="&amp;9)=0,0,SUP_CONTROL!$C$8*IF($B16="V",1,IF($B16="D",(1+SUP_VOLUMEN!$C$26),(1+SUP_VOLUMEN!$C$27)))*INDEX(SUP_C3_EXPANSION!$C$6:$F$6,MIN(4,COUNTIF(CAPA3_EXPANSION!$D$56:DH$56,"&gt;="&amp;9)))*CAPA3_EXPANSION!DH$36)</f>
        <v>3528</v>
      </c>
      <c r="DI16" s="298" t="n">
        <f aca="false">IF(COUNTIF(CAPA3_EXPANSION!$D$56:DI$56,"&gt;="&amp;9)=0,0,SUP_CONTROL!$C$8*IF($B16="V",1,IF($B16="D",(1+SUP_VOLUMEN!$C$26),(1+SUP_VOLUMEN!$C$27)))*INDEX(SUP_C3_EXPANSION!$C$6:$F$6,MIN(4,COUNTIF(CAPA3_EXPANSION!$D$56:DI$56,"&gt;="&amp;9)))*CAPA3_EXPANSION!DI$36)</f>
        <v>3528</v>
      </c>
      <c r="DJ16" s="298" t="n">
        <f aca="false">IF(COUNTIF(CAPA3_EXPANSION!$D$56:DJ$56,"&gt;="&amp;9)=0,0,SUP_CONTROL!$C$8*IF($B16="V",1,IF($B16="D",(1+SUP_VOLUMEN!$C$26),(1+SUP_VOLUMEN!$C$27)))*INDEX(SUP_C3_EXPANSION!$C$6:$F$6,MIN(4,COUNTIF(CAPA3_EXPANSION!$D$56:DJ$56,"&gt;="&amp;9)))*CAPA3_EXPANSION!DJ$36)</f>
        <v>3528</v>
      </c>
      <c r="DK16" s="298" t="n">
        <f aca="false">IF(COUNTIF(CAPA3_EXPANSION!$D$56:DK$56,"&gt;="&amp;9)=0,0,SUP_CONTROL!$C$8*IF($B16="V",1,IF($B16="D",(1+SUP_VOLUMEN!$C$26),(1+SUP_VOLUMEN!$C$27)))*INDEX(SUP_C3_EXPANSION!$C$6:$F$6,MIN(4,COUNTIF(CAPA3_EXPANSION!$D$56:DK$56,"&gt;="&amp;9)))*CAPA3_EXPANSION!DK$36)</f>
        <v>3528</v>
      </c>
      <c r="DL16" s="298" t="n">
        <f aca="false">IF(COUNTIF(CAPA3_EXPANSION!$D$56:DL$56,"&gt;="&amp;9)=0,0,SUP_CONTROL!$C$8*IF($B16="V",1,IF($B16="D",(1+SUP_VOLUMEN!$C$26),(1+SUP_VOLUMEN!$C$27)))*INDEX(SUP_C3_EXPANSION!$C$6:$F$6,MIN(4,COUNTIF(CAPA3_EXPANSION!$D$56:DL$56,"&gt;="&amp;9)))*CAPA3_EXPANSION!DL$36)</f>
        <v>3528</v>
      </c>
      <c r="DM16" s="298" t="n">
        <f aca="false">IF(COUNTIF(CAPA3_EXPANSION!$D$56:DM$56,"&gt;="&amp;9)=0,0,SUP_CONTROL!$C$8*IF($B16="V",1,IF($B16="D",(1+SUP_VOLUMEN!$C$26),(1+SUP_VOLUMEN!$C$27)))*INDEX(SUP_C3_EXPANSION!$C$6:$F$6,MIN(4,COUNTIF(CAPA3_EXPANSION!$D$56:DM$56,"&gt;="&amp;9)))*CAPA3_EXPANSION!DM$36)</f>
        <v>3528</v>
      </c>
      <c r="DN16" s="298" t="n">
        <f aca="false">IF(COUNTIF(CAPA3_EXPANSION!$D$56:DN$56,"&gt;="&amp;9)=0,0,SUP_CONTROL!$C$8*IF($B16="V",1,IF($B16="D",(1+SUP_VOLUMEN!$C$26),(1+SUP_VOLUMEN!$C$27)))*INDEX(SUP_C3_EXPANSION!$C$6:$F$6,MIN(4,COUNTIF(CAPA3_EXPANSION!$D$56:DN$56,"&gt;="&amp;9)))*CAPA3_EXPANSION!DN$36)</f>
        <v>3528</v>
      </c>
      <c r="DO16" s="298" t="n">
        <f aca="false">IF(COUNTIF(CAPA3_EXPANSION!$D$56:DO$56,"&gt;="&amp;9)=0,0,SUP_CONTROL!$C$8*IF($B16="V",1,IF($B16="D",(1+SUP_VOLUMEN!$C$26),(1+SUP_VOLUMEN!$C$27)))*INDEX(SUP_C3_EXPANSION!$C$6:$F$6,MIN(4,COUNTIF(CAPA3_EXPANSION!$D$56:DO$56,"&gt;="&amp;9)))*CAPA3_EXPANSION!DO$36)</f>
        <v>3528</v>
      </c>
      <c r="DP16" s="298" t="n">
        <f aca="false">IF(COUNTIF(CAPA3_EXPANSION!$D$56:DP$56,"&gt;="&amp;9)=0,0,SUP_CONTROL!$C$8*IF($B16="V",1,IF($B16="D",(1+SUP_VOLUMEN!$C$26),(1+SUP_VOLUMEN!$C$27)))*INDEX(SUP_C3_EXPANSION!$C$6:$F$6,MIN(4,COUNTIF(CAPA3_EXPANSION!$D$56:DP$56,"&gt;="&amp;9)))*CAPA3_EXPANSION!DP$36)</f>
        <v>3528</v>
      </c>
      <c r="DQ16" s="298" t="n">
        <f aca="false">IF(COUNTIF(CAPA3_EXPANSION!$D$56:DQ$56,"&gt;="&amp;9)=0,0,SUP_CONTROL!$C$8*IF($B16="V",1,IF($B16="D",(1+SUP_VOLUMEN!$C$26),(1+SUP_VOLUMEN!$C$27)))*INDEX(SUP_C3_EXPANSION!$C$6:$F$6,MIN(4,COUNTIF(CAPA3_EXPANSION!$D$56:DQ$56,"&gt;="&amp;9)))*CAPA3_EXPANSION!DQ$36)</f>
        <v>3528</v>
      </c>
      <c r="DR16" s="298" t="n">
        <f aca="false">IF(COUNTIF(CAPA3_EXPANSION!$D$56:DR$56,"&gt;="&amp;9)=0,0,SUP_CONTROL!$C$8*IF($B16="V",1,IF($B16="D",(1+SUP_VOLUMEN!$C$26),(1+SUP_VOLUMEN!$C$27)))*INDEX(SUP_C3_EXPANSION!$C$6:$F$6,MIN(4,COUNTIF(CAPA3_EXPANSION!$D$56:DR$56,"&gt;="&amp;9)))*CAPA3_EXPANSION!DR$36)</f>
        <v>3528</v>
      </c>
      <c r="DS16" s="298" t="n">
        <f aca="false">IF(COUNTIF(CAPA3_EXPANSION!$D$56:DS$56,"&gt;="&amp;9)=0,0,SUP_CONTROL!$C$8*IF($B16="V",1,IF($B16="D",(1+SUP_VOLUMEN!$C$26),(1+SUP_VOLUMEN!$C$27)))*INDEX(SUP_C3_EXPANSION!$C$6:$F$6,MIN(4,COUNTIF(CAPA3_EXPANSION!$D$56:DS$56,"&gt;="&amp;9)))*CAPA3_EXPANSION!DS$36)</f>
        <v>3528</v>
      </c>
    </row>
    <row r="17" customFormat="false" ht="15" hidden="false" customHeight="true" outlineLevel="0" collapsed="false">
      <c r="A17" s="298" t="n">
        <v>20</v>
      </c>
      <c r="B17" s="497" t="str">
        <f aca="false">SUP_C3_EXPANSION!B29</f>
        <v>V</v>
      </c>
      <c r="C17" s="267" t="n">
        <f aca="false">SUP_C3_EXPANSION!G29</f>
        <v>39</v>
      </c>
      <c r="D17" s="298" t="n">
        <f aca="false">IF(COUNTIF(CAPA3_EXPANSION!$D$56:D$56,"&gt;="&amp;10)=0,0,SUP_CONTROL!$C$8*IF($B17="V",1,IF($B17="D",(1+SUP_VOLUMEN!$C$26),(1+SUP_VOLUMEN!$C$27)))*INDEX(SUP_C3_EXPANSION!$C$6:$F$6,MIN(4,COUNTIF(CAPA3_EXPANSION!$D$56:D$56,"&gt;="&amp;10)))*CAPA3_EXPANSION!D$36)</f>
        <v>0</v>
      </c>
      <c r="E17" s="298" t="n">
        <f aca="false">IF(COUNTIF(CAPA3_EXPANSION!$D$56:E$56,"&gt;="&amp;10)=0,0,SUP_CONTROL!$C$8*IF($B17="V",1,IF($B17="D",(1+SUP_VOLUMEN!$C$26),(1+SUP_VOLUMEN!$C$27)))*INDEX(SUP_C3_EXPANSION!$C$6:$F$6,MIN(4,COUNTIF(CAPA3_EXPANSION!$D$56:E$56,"&gt;="&amp;10)))*CAPA3_EXPANSION!E$36)</f>
        <v>0</v>
      </c>
      <c r="F17" s="298" t="n">
        <f aca="false">IF(COUNTIF(CAPA3_EXPANSION!$D$56:F$56,"&gt;="&amp;10)=0,0,SUP_CONTROL!$C$8*IF($B17="V",1,IF($B17="D",(1+SUP_VOLUMEN!$C$26),(1+SUP_VOLUMEN!$C$27)))*INDEX(SUP_C3_EXPANSION!$C$6:$F$6,MIN(4,COUNTIF(CAPA3_EXPANSION!$D$56:F$56,"&gt;="&amp;10)))*CAPA3_EXPANSION!F$36)</f>
        <v>0</v>
      </c>
      <c r="G17" s="298" t="n">
        <f aca="false">IF(COUNTIF(CAPA3_EXPANSION!$D$56:G$56,"&gt;="&amp;10)=0,0,SUP_CONTROL!$C$8*IF($B17="V",1,IF($B17="D",(1+SUP_VOLUMEN!$C$26),(1+SUP_VOLUMEN!$C$27)))*INDEX(SUP_C3_EXPANSION!$C$6:$F$6,MIN(4,COUNTIF(CAPA3_EXPANSION!$D$56:G$56,"&gt;="&amp;10)))*CAPA3_EXPANSION!G$36)</f>
        <v>0</v>
      </c>
      <c r="H17" s="298" t="n">
        <f aca="false">IF(COUNTIF(CAPA3_EXPANSION!$D$56:H$56,"&gt;="&amp;10)=0,0,SUP_CONTROL!$C$8*IF($B17="V",1,IF($B17="D",(1+SUP_VOLUMEN!$C$26),(1+SUP_VOLUMEN!$C$27)))*INDEX(SUP_C3_EXPANSION!$C$6:$F$6,MIN(4,COUNTIF(CAPA3_EXPANSION!$D$56:H$56,"&gt;="&amp;10)))*CAPA3_EXPANSION!H$36)</f>
        <v>0</v>
      </c>
      <c r="I17" s="298" t="n">
        <f aca="false">IF(COUNTIF(CAPA3_EXPANSION!$D$56:I$56,"&gt;="&amp;10)=0,0,SUP_CONTROL!$C$8*IF($B17="V",1,IF($B17="D",(1+SUP_VOLUMEN!$C$26),(1+SUP_VOLUMEN!$C$27)))*INDEX(SUP_C3_EXPANSION!$C$6:$F$6,MIN(4,COUNTIF(CAPA3_EXPANSION!$D$56:I$56,"&gt;="&amp;10)))*CAPA3_EXPANSION!I$36)</f>
        <v>0</v>
      </c>
      <c r="J17" s="298" t="n">
        <f aca="false">IF(COUNTIF(CAPA3_EXPANSION!$D$56:J$56,"&gt;="&amp;10)=0,0,SUP_CONTROL!$C$8*IF($B17="V",1,IF($B17="D",(1+SUP_VOLUMEN!$C$26),(1+SUP_VOLUMEN!$C$27)))*INDEX(SUP_C3_EXPANSION!$C$6:$F$6,MIN(4,COUNTIF(CAPA3_EXPANSION!$D$56:J$56,"&gt;="&amp;10)))*CAPA3_EXPANSION!J$36)</f>
        <v>0</v>
      </c>
      <c r="K17" s="298" t="n">
        <f aca="false">IF(COUNTIF(CAPA3_EXPANSION!$D$56:K$56,"&gt;="&amp;10)=0,0,SUP_CONTROL!$C$8*IF($B17="V",1,IF($B17="D",(1+SUP_VOLUMEN!$C$26),(1+SUP_VOLUMEN!$C$27)))*INDEX(SUP_C3_EXPANSION!$C$6:$F$6,MIN(4,COUNTIF(CAPA3_EXPANSION!$D$56:K$56,"&gt;="&amp;10)))*CAPA3_EXPANSION!K$36)</f>
        <v>0</v>
      </c>
      <c r="L17" s="298" t="n">
        <f aca="false">IF(COUNTIF(CAPA3_EXPANSION!$D$56:L$56,"&gt;="&amp;10)=0,0,SUP_CONTROL!$C$8*IF($B17="V",1,IF($B17="D",(1+SUP_VOLUMEN!$C$26),(1+SUP_VOLUMEN!$C$27)))*INDEX(SUP_C3_EXPANSION!$C$6:$F$6,MIN(4,COUNTIF(CAPA3_EXPANSION!$D$56:L$56,"&gt;="&amp;10)))*CAPA3_EXPANSION!L$36)</f>
        <v>0</v>
      </c>
      <c r="M17" s="298" t="n">
        <f aca="false">IF(COUNTIF(CAPA3_EXPANSION!$D$56:M$56,"&gt;="&amp;10)=0,0,SUP_CONTROL!$C$8*IF($B17="V",1,IF($B17="D",(1+SUP_VOLUMEN!$C$26),(1+SUP_VOLUMEN!$C$27)))*INDEX(SUP_C3_EXPANSION!$C$6:$F$6,MIN(4,COUNTIF(CAPA3_EXPANSION!$D$56:M$56,"&gt;="&amp;10)))*CAPA3_EXPANSION!M$36)</f>
        <v>0</v>
      </c>
      <c r="N17" s="298" t="n">
        <f aca="false">IF(COUNTIF(CAPA3_EXPANSION!$D$56:N$56,"&gt;="&amp;10)=0,0,SUP_CONTROL!$C$8*IF($B17="V",1,IF($B17="D",(1+SUP_VOLUMEN!$C$26),(1+SUP_VOLUMEN!$C$27)))*INDEX(SUP_C3_EXPANSION!$C$6:$F$6,MIN(4,COUNTIF(CAPA3_EXPANSION!$D$56:N$56,"&gt;="&amp;10)))*CAPA3_EXPANSION!N$36)</f>
        <v>0</v>
      </c>
      <c r="O17" s="298" t="n">
        <f aca="false">IF(COUNTIF(CAPA3_EXPANSION!$D$56:O$56,"&gt;="&amp;10)=0,0,SUP_CONTROL!$C$8*IF($B17="V",1,IF($B17="D",(1+SUP_VOLUMEN!$C$26),(1+SUP_VOLUMEN!$C$27)))*INDEX(SUP_C3_EXPANSION!$C$6:$F$6,MIN(4,COUNTIF(CAPA3_EXPANSION!$D$56:O$56,"&gt;="&amp;10)))*CAPA3_EXPANSION!O$36)</f>
        <v>0</v>
      </c>
      <c r="P17" s="298" t="n">
        <f aca="false">IF(COUNTIF(CAPA3_EXPANSION!$D$56:P$56,"&gt;="&amp;10)=0,0,SUP_CONTROL!$C$8*IF($B17="V",1,IF($B17="D",(1+SUP_VOLUMEN!$C$26),(1+SUP_VOLUMEN!$C$27)))*INDEX(SUP_C3_EXPANSION!$C$6:$F$6,MIN(4,COUNTIF(CAPA3_EXPANSION!$D$56:P$56,"&gt;="&amp;10)))*CAPA3_EXPANSION!P$36)</f>
        <v>0</v>
      </c>
      <c r="Q17" s="298" t="n">
        <f aca="false">IF(COUNTIF(CAPA3_EXPANSION!$D$56:Q$56,"&gt;="&amp;10)=0,0,SUP_CONTROL!$C$8*IF($B17="V",1,IF($B17="D",(1+SUP_VOLUMEN!$C$26),(1+SUP_VOLUMEN!$C$27)))*INDEX(SUP_C3_EXPANSION!$C$6:$F$6,MIN(4,COUNTIF(CAPA3_EXPANSION!$D$56:Q$56,"&gt;="&amp;10)))*CAPA3_EXPANSION!Q$36)</f>
        <v>0</v>
      </c>
      <c r="R17" s="298" t="n">
        <f aca="false">IF(COUNTIF(CAPA3_EXPANSION!$D$56:R$56,"&gt;="&amp;10)=0,0,SUP_CONTROL!$C$8*IF($B17="V",1,IF($B17="D",(1+SUP_VOLUMEN!$C$26),(1+SUP_VOLUMEN!$C$27)))*INDEX(SUP_C3_EXPANSION!$C$6:$F$6,MIN(4,COUNTIF(CAPA3_EXPANSION!$D$56:R$56,"&gt;="&amp;10)))*CAPA3_EXPANSION!R$36)</f>
        <v>0</v>
      </c>
      <c r="S17" s="298" t="n">
        <f aca="false">IF(COUNTIF(CAPA3_EXPANSION!$D$56:S$56,"&gt;="&amp;10)=0,0,SUP_CONTROL!$C$8*IF($B17="V",1,IF($B17="D",(1+SUP_VOLUMEN!$C$26),(1+SUP_VOLUMEN!$C$27)))*INDEX(SUP_C3_EXPANSION!$C$6:$F$6,MIN(4,COUNTIF(CAPA3_EXPANSION!$D$56:S$56,"&gt;="&amp;10)))*CAPA3_EXPANSION!S$36)</f>
        <v>0</v>
      </c>
      <c r="T17" s="298" t="n">
        <f aca="false">IF(COUNTIF(CAPA3_EXPANSION!$D$56:T$56,"&gt;="&amp;10)=0,0,SUP_CONTROL!$C$8*IF($B17="V",1,IF($B17="D",(1+SUP_VOLUMEN!$C$26),(1+SUP_VOLUMEN!$C$27)))*INDEX(SUP_C3_EXPANSION!$C$6:$F$6,MIN(4,COUNTIF(CAPA3_EXPANSION!$D$56:T$56,"&gt;="&amp;10)))*CAPA3_EXPANSION!T$36)</f>
        <v>0</v>
      </c>
      <c r="U17" s="298" t="n">
        <f aca="false">IF(COUNTIF(CAPA3_EXPANSION!$D$56:U$56,"&gt;="&amp;10)=0,0,SUP_CONTROL!$C$8*IF($B17="V",1,IF($B17="D",(1+SUP_VOLUMEN!$C$26),(1+SUP_VOLUMEN!$C$27)))*INDEX(SUP_C3_EXPANSION!$C$6:$F$6,MIN(4,COUNTIF(CAPA3_EXPANSION!$D$56:U$56,"&gt;="&amp;10)))*CAPA3_EXPANSION!U$36)</f>
        <v>0</v>
      </c>
      <c r="V17" s="298" t="n">
        <f aca="false">IF(COUNTIF(CAPA3_EXPANSION!$D$56:V$56,"&gt;="&amp;10)=0,0,SUP_CONTROL!$C$8*IF($B17="V",1,IF($B17="D",(1+SUP_VOLUMEN!$C$26),(1+SUP_VOLUMEN!$C$27)))*INDEX(SUP_C3_EXPANSION!$C$6:$F$6,MIN(4,COUNTIF(CAPA3_EXPANSION!$D$56:V$56,"&gt;="&amp;10)))*CAPA3_EXPANSION!V$36)</f>
        <v>0</v>
      </c>
      <c r="W17" s="298" t="n">
        <f aca="false">IF(COUNTIF(CAPA3_EXPANSION!$D$56:W$56,"&gt;="&amp;10)=0,0,SUP_CONTROL!$C$8*IF($B17="V",1,IF($B17="D",(1+SUP_VOLUMEN!$C$26),(1+SUP_VOLUMEN!$C$27)))*INDEX(SUP_C3_EXPANSION!$C$6:$F$6,MIN(4,COUNTIF(CAPA3_EXPANSION!$D$56:W$56,"&gt;="&amp;10)))*CAPA3_EXPANSION!W$36)</f>
        <v>0</v>
      </c>
      <c r="X17" s="298" t="n">
        <f aca="false">IF(COUNTIF(CAPA3_EXPANSION!$D$56:X$56,"&gt;="&amp;10)=0,0,SUP_CONTROL!$C$8*IF($B17="V",1,IF($B17="D",(1+SUP_VOLUMEN!$C$26),(1+SUP_VOLUMEN!$C$27)))*INDEX(SUP_C3_EXPANSION!$C$6:$F$6,MIN(4,COUNTIF(CAPA3_EXPANSION!$D$56:X$56,"&gt;="&amp;10)))*CAPA3_EXPANSION!X$36)</f>
        <v>0</v>
      </c>
      <c r="Y17" s="298" t="n">
        <f aca="false">IF(COUNTIF(CAPA3_EXPANSION!$D$56:Y$56,"&gt;="&amp;10)=0,0,SUP_CONTROL!$C$8*IF($B17="V",1,IF($B17="D",(1+SUP_VOLUMEN!$C$26),(1+SUP_VOLUMEN!$C$27)))*INDEX(SUP_C3_EXPANSION!$C$6:$F$6,MIN(4,COUNTIF(CAPA3_EXPANSION!$D$56:Y$56,"&gt;="&amp;10)))*CAPA3_EXPANSION!Y$36)</f>
        <v>0</v>
      </c>
      <c r="Z17" s="298" t="n">
        <f aca="false">IF(COUNTIF(CAPA3_EXPANSION!$D$56:Z$56,"&gt;="&amp;10)=0,0,SUP_CONTROL!$C$8*IF($B17="V",1,IF($B17="D",(1+SUP_VOLUMEN!$C$26),(1+SUP_VOLUMEN!$C$27)))*INDEX(SUP_C3_EXPANSION!$C$6:$F$6,MIN(4,COUNTIF(CAPA3_EXPANSION!$D$56:Z$56,"&gt;="&amp;10)))*CAPA3_EXPANSION!Z$36)</f>
        <v>0</v>
      </c>
      <c r="AA17" s="298" t="n">
        <f aca="false">IF(COUNTIF(CAPA3_EXPANSION!$D$56:AA$56,"&gt;="&amp;10)=0,0,SUP_CONTROL!$C$8*IF($B17="V",1,IF($B17="D",(1+SUP_VOLUMEN!$C$26),(1+SUP_VOLUMEN!$C$27)))*INDEX(SUP_C3_EXPANSION!$C$6:$F$6,MIN(4,COUNTIF(CAPA3_EXPANSION!$D$56:AA$56,"&gt;="&amp;10)))*CAPA3_EXPANSION!AA$36)</f>
        <v>0</v>
      </c>
      <c r="AB17" s="298" t="n">
        <f aca="false">IF(COUNTIF(CAPA3_EXPANSION!$D$56:AB$56,"&gt;="&amp;10)=0,0,SUP_CONTROL!$C$8*IF($B17="V",1,IF($B17="D",(1+SUP_VOLUMEN!$C$26),(1+SUP_VOLUMEN!$C$27)))*INDEX(SUP_C3_EXPANSION!$C$6:$F$6,MIN(4,COUNTIF(CAPA3_EXPANSION!$D$56:AB$56,"&gt;="&amp;10)))*CAPA3_EXPANSION!AB$36)</f>
        <v>0</v>
      </c>
      <c r="AC17" s="298" t="n">
        <f aca="false">IF(COUNTIF(CAPA3_EXPANSION!$D$56:AC$56,"&gt;="&amp;10)=0,0,SUP_CONTROL!$C$8*IF($B17="V",1,IF($B17="D",(1+SUP_VOLUMEN!$C$26),(1+SUP_VOLUMEN!$C$27)))*INDEX(SUP_C3_EXPANSION!$C$6:$F$6,MIN(4,COUNTIF(CAPA3_EXPANSION!$D$56:AC$56,"&gt;="&amp;10)))*CAPA3_EXPANSION!AC$36)</f>
        <v>0</v>
      </c>
      <c r="AD17" s="298" t="n">
        <f aca="false">IF(COUNTIF(CAPA3_EXPANSION!$D$56:AD$56,"&gt;="&amp;10)=0,0,SUP_CONTROL!$C$8*IF($B17="V",1,IF($B17="D",(1+SUP_VOLUMEN!$C$26),(1+SUP_VOLUMEN!$C$27)))*INDEX(SUP_C3_EXPANSION!$C$6:$F$6,MIN(4,COUNTIF(CAPA3_EXPANSION!$D$56:AD$56,"&gt;="&amp;10)))*CAPA3_EXPANSION!AD$36)</f>
        <v>0</v>
      </c>
      <c r="AE17" s="298" t="n">
        <f aca="false">IF(COUNTIF(CAPA3_EXPANSION!$D$56:AE$56,"&gt;="&amp;10)=0,0,SUP_CONTROL!$C$8*IF($B17="V",1,IF($B17="D",(1+SUP_VOLUMEN!$C$26),(1+SUP_VOLUMEN!$C$27)))*INDEX(SUP_C3_EXPANSION!$C$6:$F$6,MIN(4,COUNTIF(CAPA3_EXPANSION!$D$56:AE$56,"&gt;="&amp;10)))*CAPA3_EXPANSION!AE$36)</f>
        <v>0</v>
      </c>
      <c r="AF17" s="298" t="n">
        <f aca="false">IF(COUNTIF(CAPA3_EXPANSION!$D$56:AF$56,"&gt;="&amp;10)=0,0,SUP_CONTROL!$C$8*IF($B17="V",1,IF($B17="D",(1+SUP_VOLUMEN!$C$26),(1+SUP_VOLUMEN!$C$27)))*INDEX(SUP_C3_EXPANSION!$C$6:$F$6,MIN(4,COUNTIF(CAPA3_EXPANSION!$D$56:AF$56,"&gt;="&amp;10)))*CAPA3_EXPANSION!AF$36)</f>
        <v>0</v>
      </c>
      <c r="AG17" s="298" t="n">
        <f aca="false">IF(COUNTIF(CAPA3_EXPANSION!$D$56:AG$56,"&gt;="&amp;10)=0,0,SUP_CONTROL!$C$8*IF($B17="V",1,IF($B17="D",(1+SUP_VOLUMEN!$C$26),(1+SUP_VOLUMEN!$C$27)))*INDEX(SUP_C3_EXPANSION!$C$6:$F$6,MIN(4,COUNTIF(CAPA3_EXPANSION!$D$56:AG$56,"&gt;="&amp;10)))*CAPA3_EXPANSION!AG$36)</f>
        <v>0</v>
      </c>
      <c r="AH17" s="298" t="n">
        <f aca="false">IF(COUNTIF(CAPA3_EXPANSION!$D$56:AH$56,"&gt;="&amp;10)=0,0,SUP_CONTROL!$C$8*IF($B17="V",1,IF($B17="D",(1+SUP_VOLUMEN!$C$26),(1+SUP_VOLUMEN!$C$27)))*INDEX(SUP_C3_EXPANSION!$C$6:$F$6,MIN(4,COUNTIF(CAPA3_EXPANSION!$D$56:AH$56,"&gt;="&amp;10)))*CAPA3_EXPANSION!AH$36)</f>
        <v>0</v>
      </c>
      <c r="AI17" s="298" t="n">
        <f aca="false">IF(COUNTIF(CAPA3_EXPANSION!$D$56:AI$56,"&gt;="&amp;10)=0,0,SUP_CONTROL!$C$8*IF($B17="V",1,IF($B17="D",(1+SUP_VOLUMEN!$C$26),(1+SUP_VOLUMEN!$C$27)))*INDEX(SUP_C3_EXPANSION!$C$6:$F$6,MIN(4,COUNTIF(CAPA3_EXPANSION!$D$56:AI$56,"&gt;="&amp;10)))*CAPA3_EXPANSION!AI$36)</f>
        <v>0</v>
      </c>
      <c r="AJ17" s="298" t="n">
        <f aca="false">IF(COUNTIF(CAPA3_EXPANSION!$D$56:AJ$56,"&gt;="&amp;10)=0,0,SUP_CONTROL!$C$8*IF($B17="V",1,IF($B17="D",(1+SUP_VOLUMEN!$C$26),(1+SUP_VOLUMEN!$C$27)))*INDEX(SUP_C3_EXPANSION!$C$6:$F$6,MIN(4,COUNTIF(CAPA3_EXPANSION!$D$56:AJ$56,"&gt;="&amp;10)))*CAPA3_EXPANSION!AJ$36)</f>
        <v>0</v>
      </c>
      <c r="AK17" s="298" t="n">
        <f aca="false">IF(COUNTIF(CAPA3_EXPANSION!$D$56:AK$56,"&gt;="&amp;10)=0,0,SUP_CONTROL!$C$8*IF($B17="V",1,IF($B17="D",(1+SUP_VOLUMEN!$C$26),(1+SUP_VOLUMEN!$C$27)))*INDEX(SUP_C3_EXPANSION!$C$6:$F$6,MIN(4,COUNTIF(CAPA3_EXPANSION!$D$56:AK$56,"&gt;="&amp;10)))*CAPA3_EXPANSION!AK$36)</f>
        <v>0</v>
      </c>
      <c r="AL17" s="298" t="n">
        <f aca="false">IF(COUNTIF(CAPA3_EXPANSION!$D$56:AL$56,"&gt;="&amp;10)=0,0,SUP_CONTROL!$C$8*IF($B17="V",1,IF($B17="D",(1+SUP_VOLUMEN!$C$26),(1+SUP_VOLUMEN!$C$27)))*INDEX(SUP_C3_EXPANSION!$C$6:$F$6,MIN(4,COUNTIF(CAPA3_EXPANSION!$D$56:AL$56,"&gt;="&amp;10)))*CAPA3_EXPANSION!AL$36)</f>
        <v>0</v>
      </c>
      <c r="AM17" s="298" t="n">
        <f aca="false">IF(COUNTIF(CAPA3_EXPANSION!$D$56:AM$56,"&gt;="&amp;10)=0,0,SUP_CONTROL!$C$8*IF($B17="V",1,IF($B17="D",(1+SUP_VOLUMEN!$C$26),(1+SUP_VOLUMEN!$C$27)))*INDEX(SUP_C3_EXPANSION!$C$6:$F$6,MIN(4,COUNTIF(CAPA3_EXPANSION!$D$56:AM$56,"&gt;="&amp;10)))*CAPA3_EXPANSION!AM$36)</f>
        <v>0</v>
      </c>
      <c r="AN17" s="298" t="n">
        <f aca="false">IF(COUNTIF(CAPA3_EXPANSION!$D$56:AN$56,"&gt;="&amp;10)=0,0,SUP_CONTROL!$C$8*IF($B17="V",1,IF($B17="D",(1+SUP_VOLUMEN!$C$26),(1+SUP_VOLUMEN!$C$27)))*INDEX(SUP_C3_EXPANSION!$C$6:$F$6,MIN(4,COUNTIF(CAPA3_EXPANSION!$D$56:AN$56,"&gt;="&amp;10)))*CAPA3_EXPANSION!AN$36)</f>
        <v>0</v>
      </c>
      <c r="AO17" s="298" t="n">
        <f aca="false">IF(COUNTIF(CAPA3_EXPANSION!$D$56:AO$56,"&gt;="&amp;10)=0,0,SUP_CONTROL!$C$8*IF($B17="V",1,IF($B17="D",(1+SUP_VOLUMEN!$C$26),(1+SUP_VOLUMEN!$C$27)))*INDEX(SUP_C3_EXPANSION!$C$6:$F$6,MIN(4,COUNTIF(CAPA3_EXPANSION!$D$56:AO$56,"&gt;="&amp;10)))*CAPA3_EXPANSION!AO$36)</f>
        <v>0</v>
      </c>
      <c r="AP17" s="298" t="n">
        <f aca="false">IF(COUNTIF(CAPA3_EXPANSION!$D$56:AP$56,"&gt;="&amp;10)=0,0,SUP_CONTROL!$C$8*IF($B17="V",1,IF($B17="D",(1+SUP_VOLUMEN!$C$26),(1+SUP_VOLUMEN!$C$27)))*INDEX(SUP_C3_EXPANSION!$C$6:$F$6,MIN(4,COUNTIF(CAPA3_EXPANSION!$D$56:AP$56,"&gt;="&amp;10)))*CAPA3_EXPANSION!AP$36)</f>
        <v>0</v>
      </c>
      <c r="AQ17" s="298" t="n">
        <f aca="false">IF(COUNTIF(CAPA3_EXPANSION!$D$56:AQ$56,"&gt;="&amp;10)=0,0,SUP_CONTROL!$C$8*IF($B17="V",1,IF($B17="D",(1+SUP_VOLUMEN!$C$26),(1+SUP_VOLUMEN!$C$27)))*INDEX(SUP_C3_EXPANSION!$C$6:$F$6,MIN(4,COUNTIF(CAPA3_EXPANSION!$D$56:AQ$56,"&gt;="&amp;10)))*CAPA3_EXPANSION!AQ$36)</f>
        <v>0</v>
      </c>
      <c r="AR17" s="298" t="n">
        <f aca="false">IF(COUNTIF(CAPA3_EXPANSION!$D$56:AR$56,"&gt;="&amp;10)=0,0,SUP_CONTROL!$C$8*IF($B17="V",1,IF($B17="D",(1+SUP_VOLUMEN!$C$26),(1+SUP_VOLUMEN!$C$27)))*INDEX(SUP_C3_EXPANSION!$C$6:$F$6,MIN(4,COUNTIF(CAPA3_EXPANSION!$D$56:AR$56,"&gt;="&amp;10)))*CAPA3_EXPANSION!AR$36)</f>
        <v>0</v>
      </c>
      <c r="AS17" s="298" t="n">
        <f aca="false">IF(COUNTIF(CAPA3_EXPANSION!$D$56:AS$56,"&gt;="&amp;10)=0,0,SUP_CONTROL!$C$8*IF($B17="V",1,IF($B17="D",(1+SUP_VOLUMEN!$C$26),(1+SUP_VOLUMEN!$C$27)))*INDEX(SUP_C3_EXPANSION!$C$6:$F$6,MIN(4,COUNTIF(CAPA3_EXPANSION!$D$56:AS$56,"&gt;="&amp;10)))*CAPA3_EXPANSION!AS$36)</f>
        <v>2579.85</v>
      </c>
      <c r="AT17" s="298" t="n">
        <f aca="false">IF(COUNTIF(CAPA3_EXPANSION!$D$56:AT$56,"&gt;="&amp;10)=0,0,SUP_CONTROL!$C$8*IF($B17="V",1,IF($B17="D",(1+SUP_VOLUMEN!$C$26),(1+SUP_VOLUMEN!$C$27)))*INDEX(SUP_C3_EXPANSION!$C$6:$F$6,MIN(4,COUNTIF(CAPA3_EXPANSION!$D$56:AT$56,"&gt;="&amp;10)))*CAPA3_EXPANSION!AT$36)</f>
        <v>3175.2</v>
      </c>
      <c r="AU17" s="298" t="n">
        <f aca="false">IF(COUNTIF(CAPA3_EXPANSION!$D$56:AU$56,"&gt;="&amp;10)=0,0,SUP_CONTROL!$C$8*IF($B17="V",1,IF($B17="D",(1+SUP_VOLUMEN!$C$26),(1+SUP_VOLUMEN!$C$27)))*INDEX(SUP_C3_EXPANSION!$C$6:$F$6,MIN(4,COUNTIF(CAPA3_EXPANSION!$D$56:AU$56,"&gt;="&amp;10)))*CAPA3_EXPANSION!AU$36)</f>
        <v>3572.1</v>
      </c>
      <c r="AV17" s="298" t="n">
        <f aca="false">IF(COUNTIF(CAPA3_EXPANSION!$D$56:AV$56,"&gt;="&amp;10)=0,0,SUP_CONTROL!$C$8*IF($B17="V",1,IF($B17="D",(1+SUP_VOLUMEN!$C$26),(1+SUP_VOLUMEN!$C$27)))*INDEX(SUP_C3_EXPANSION!$C$6:$F$6,MIN(4,COUNTIF(CAPA3_EXPANSION!$D$56:AV$56,"&gt;="&amp;10)))*CAPA3_EXPANSION!AV$36)</f>
        <v>3969</v>
      </c>
      <c r="AW17" s="298" t="n">
        <f aca="false">IF(COUNTIF(CAPA3_EXPANSION!$D$56:AW$56,"&gt;="&amp;10)=0,0,SUP_CONTROL!$C$8*IF($B17="V",1,IF($B17="D",(1+SUP_VOLUMEN!$C$26),(1+SUP_VOLUMEN!$C$27)))*INDEX(SUP_C3_EXPANSION!$C$6:$F$6,MIN(4,COUNTIF(CAPA3_EXPANSION!$D$56:AW$56,"&gt;="&amp;10)))*CAPA3_EXPANSION!AW$36)</f>
        <v>3969</v>
      </c>
      <c r="AX17" s="298" t="n">
        <f aca="false">IF(COUNTIF(CAPA3_EXPANSION!$D$56:AX$56,"&gt;="&amp;10)=0,0,SUP_CONTROL!$C$8*IF($B17="V",1,IF($B17="D",(1+SUP_VOLUMEN!$C$26),(1+SUP_VOLUMEN!$C$27)))*INDEX(SUP_C3_EXPANSION!$C$6:$F$6,MIN(4,COUNTIF(CAPA3_EXPANSION!$D$56:AX$56,"&gt;="&amp;10)))*CAPA3_EXPANSION!AX$36)</f>
        <v>3969</v>
      </c>
      <c r="AY17" s="298" t="n">
        <f aca="false">IF(COUNTIF(CAPA3_EXPANSION!$D$56:AY$56,"&gt;="&amp;10)=0,0,SUP_CONTROL!$C$8*IF($B17="V",1,IF($B17="D",(1+SUP_VOLUMEN!$C$26),(1+SUP_VOLUMEN!$C$27)))*INDEX(SUP_C3_EXPANSION!$C$6:$F$6,MIN(4,COUNTIF(CAPA3_EXPANSION!$D$56:AY$56,"&gt;="&amp;10)))*CAPA3_EXPANSION!AY$36)</f>
        <v>3969</v>
      </c>
      <c r="AZ17" s="298" t="n">
        <f aca="false">IF(COUNTIF(CAPA3_EXPANSION!$D$56:AZ$56,"&gt;="&amp;10)=0,0,SUP_CONTROL!$C$8*IF($B17="V",1,IF($B17="D",(1+SUP_VOLUMEN!$C$26),(1+SUP_VOLUMEN!$C$27)))*INDEX(SUP_C3_EXPANSION!$C$6:$F$6,MIN(4,COUNTIF(CAPA3_EXPANSION!$D$56:AZ$56,"&gt;="&amp;10)))*CAPA3_EXPANSION!AZ$36)</f>
        <v>3969</v>
      </c>
      <c r="BA17" s="298" t="n">
        <f aca="false">IF(COUNTIF(CAPA3_EXPANSION!$D$56:BA$56,"&gt;="&amp;10)=0,0,SUP_CONTROL!$C$8*IF($B17="V",1,IF($B17="D",(1+SUP_VOLUMEN!$C$26),(1+SUP_VOLUMEN!$C$27)))*INDEX(SUP_C3_EXPANSION!$C$6:$F$6,MIN(4,COUNTIF(CAPA3_EXPANSION!$D$56:BA$56,"&gt;="&amp;10)))*CAPA3_EXPANSION!BA$36)</f>
        <v>3969</v>
      </c>
      <c r="BB17" s="298" t="n">
        <f aca="false">IF(COUNTIF(CAPA3_EXPANSION!$D$56:BB$56,"&gt;="&amp;10)=0,0,SUP_CONTROL!$C$8*IF($B17="V",1,IF($B17="D",(1+SUP_VOLUMEN!$C$26),(1+SUP_VOLUMEN!$C$27)))*INDEX(SUP_C3_EXPANSION!$C$6:$F$6,MIN(4,COUNTIF(CAPA3_EXPANSION!$D$56:BB$56,"&gt;="&amp;10)))*CAPA3_EXPANSION!BB$36)</f>
        <v>3969</v>
      </c>
      <c r="BC17" s="298" t="n">
        <f aca="false">IF(COUNTIF(CAPA3_EXPANSION!$D$56:BC$56,"&gt;="&amp;10)=0,0,SUP_CONTROL!$C$8*IF($B17="V",1,IF($B17="D",(1+SUP_VOLUMEN!$C$26),(1+SUP_VOLUMEN!$C$27)))*INDEX(SUP_C3_EXPANSION!$C$6:$F$6,MIN(4,COUNTIF(CAPA3_EXPANSION!$D$56:BC$56,"&gt;="&amp;10)))*CAPA3_EXPANSION!BC$36)</f>
        <v>3969</v>
      </c>
      <c r="BD17" s="298" t="n">
        <f aca="false">IF(COUNTIF(CAPA3_EXPANSION!$D$56:BD$56,"&gt;="&amp;10)=0,0,SUP_CONTROL!$C$8*IF($B17="V",1,IF($B17="D",(1+SUP_VOLUMEN!$C$26),(1+SUP_VOLUMEN!$C$27)))*INDEX(SUP_C3_EXPANSION!$C$6:$F$6,MIN(4,COUNTIF(CAPA3_EXPANSION!$D$56:BD$56,"&gt;="&amp;10)))*CAPA3_EXPANSION!BD$36)</f>
        <v>3969</v>
      </c>
      <c r="BE17" s="298" t="n">
        <f aca="false">IF(COUNTIF(CAPA3_EXPANSION!$D$56:BE$56,"&gt;="&amp;10)=0,0,SUP_CONTROL!$C$8*IF($B17="V",1,IF($B17="D",(1+SUP_VOLUMEN!$C$26),(1+SUP_VOLUMEN!$C$27)))*INDEX(SUP_C3_EXPANSION!$C$6:$F$6,MIN(4,COUNTIF(CAPA3_EXPANSION!$D$56:BE$56,"&gt;="&amp;10)))*CAPA3_EXPANSION!BE$36)</f>
        <v>3969</v>
      </c>
      <c r="BF17" s="298" t="n">
        <f aca="false">IF(COUNTIF(CAPA3_EXPANSION!$D$56:BF$56,"&gt;="&amp;10)=0,0,SUP_CONTROL!$C$8*IF($B17="V",1,IF($B17="D",(1+SUP_VOLUMEN!$C$26),(1+SUP_VOLUMEN!$C$27)))*INDEX(SUP_C3_EXPANSION!$C$6:$F$6,MIN(4,COUNTIF(CAPA3_EXPANSION!$D$56:BF$56,"&gt;="&amp;10)))*CAPA3_EXPANSION!BF$36)</f>
        <v>3864</v>
      </c>
      <c r="BG17" s="298" t="n">
        <f aca="false">IF(COUNTIF(CAPA3_EXPANSION!$D$56:BG$56,"&gt;="&amp;10)=0,0,SUP_CONTROL!$C$8*IF($B17="V",1,IF($B17="D",(1+SUP_VOLUMEN!$C$26),(1+SUP_VOLUMEN!$C$27)))*INDEX(SUP_C3_EXPANSION!$C$6:$F$6,MIN(4,COUNTIF(CAPA3_EXPANSION!$D$56:BG$56,"&gt;="&amp;10)))*CAPA3_EXPANSION!BG$36)</f>
        <v>3864</v>
      </c>
      <c r="BH17" s="298" t="n">
        <f aca="false">IF(COUNTIF(CAPA3_EXPANSION!$D$56:BH$56,"&gt;="&amp;10)=0,0,SUP_CONTROL!$C$8*IF($B17="V",1,IF($B17="D",(1+SUP_VOLUMEN!$C$26),(1+SUP_VOLUMEN!$C$27)))*INDEX(SUP_C3_EXPANSION!$C$6:$F$6,MIN(4,COUNTIF(CAPA3_EXPANSION!$D$56:BH$56,"&gt;="&amp;10)))*CAPA3_EXPANSION!BH$36)</f>
        <v>3864</v>
      </c>
      <c r="BI17" s="298" t="n">
        <f aca="false">IF(COUNTIF(CAPA3_EXPANSION!$D$56:BI$56,"&gt;="&amp;10)=0,0,SUP_CONTROL!$C$8*IF($B17="V",1,IF($B17="D",(1+SUP_VOLUMEN!$C$26),(1+SUP_VOLUMEN!$C$27)))*INDEX(SUP_C3_EXPANSION!$C$6:$F$6,MIN(4,COUNTIF(CAPA3_EXPANSION!$D$56:BI$56,"&gt;="&amp;10)))*CAPA3_EXPANSION!BI$36)</f>
        <v>3864</v>
      </c>
      <c r="BJ17" s="298" t="n">
        <f aca="false">IF(COUNTIF(CAPA3_EXPANSION!$D$56:BJ$56,"&gt;="&amp;10)=0,0,SUP_CONTROL!$C$8*IF($B17="V",1,IF($B17="D",(1+SUP_VOLUMEN!$C$26),(1+SUP_VOLUMEN!$C$27)))*INDEX(SUP_C3_EXPANSION!$C$6:$F$6,MIN(4,COUNTIF(CAPA3_EXPANSION!$D$56:BJ$56,"&gt;="&amp;10)))*CAPA3_EXPANSION!BJ$36)</f>
        <v>3864</v>
      </c>
      <c r="BK17" s="298" t="n">
        <f aca="false">IF(COUNTIF(CAPA3_EXPANSION!$D$56:BK$56,"&gt;="&amp;10)=0,0,SUP_CONTROL!$C$8*IF($B17="V",1,IF($B17="D",(1+SUP_VOLUMEN!$C$26),(1+SUP_VOLUMEN!$C$27)))*INDEX(SUP_C3_EXPANSION!$C$6:$F$6,MIN(4,COUNTIF(CAPA3_EXPANSION!$D$56:BK$56,"&gt;="&amp;10)))*CAPA3_EXPANSION!BK$36)</f>
        <v>3780</v>
      </c>
      <c r="BL17" s="298" t="n">
        <f aca="false">IF(COUNTIF(CAPA3_EXPANSION!$D$56:BL$56,"&gt;="&amp;10)=0,0,SUP_CONTROL!$C$8*IF($B17="V",1,IF($B17="D",(1+SUP_VOLUMEN!$C$26),(1+SUP_VOLUMEN!$C$27)))*INDEX(SUP_C3_EXPANSION!$C$6:$F$6,MIN(4,COUNTIF(CAPA3_EXPANSION!$D$56:BL$56,"&gt;="&amp;10)))*CAPA3_EXPANSION!BL$36)</f>
        <v>3780</v>
      </c>
      <c r="BM17" s="298" t="n">
        <f aca="false">IF(COUNTIF(CAPA3_EXPANSION!$D$56:BM$56,"&gt;="&amp;10)=0,0,SUP_CONTROL!$C$8*IF($B17="V",1,IF($B17="D",(1+SUP_VOLUMEN!$C$26),(1+SUP_VOLUMEN!$C$27)))*INDEX(SUP_C3_EXPANSION!$C$6:$F$6,MIN(4,COUNTIF(CAPA3_EXPANSION!$D$56:BM$56,"&gt;="&amp;10)))*CAPA3_EXPANSION!BM$36)</f>
        <v>3780</v>
      </c>
      <c r="BN17" s="298" t="n">
        <f aca="false">IF(COUNTIF(CAPA3_EXPANSION!$D$56:BN$56,"&gt;="&amp;10)=0,0,SUP_CONTROL!$C$8*IF($B17="V",1,IF($B17="D",(1+SUP_VOLUMEN!$C$26),(1+SUP_VOLUMEN!$C$27)))*INDEX(SUP_C3_EXPANSION!$C$6:$F$6,MIN(4,COUNTIF(CAPA3_EXPANSION!$D$56:BN$56,"&gt;="&amp;10)))*CAPA3_EXPANSION!BN$36)</f>
        <v>3780</v>
      </c>
      <c r="BO17" s="298" t="n">
        <f aca="false">IF(COUNTIF(CAPA3_EXPANSION!$D$56:BO$56,"&gt;="&amp;10)=0,0,SUP_CONTROL!$C$8*IF($B17="V",1,IF($B17="D",(1+SUP_VOLUMEN!$C$26),(1+SUP_VOLUMEN!$C$27)))*INDEX(SUP_C3_EXPANSION!$C$6:$F$6,MIN(4,COUNTIF(CAPA3_EXPANSION!$D$56:BO$56,"&gt;="&amp;10)))*CAPA3_EXPANSION!BO$36)</f>
        <v>3780</v>
      </c>
      <c r="BP17" s="298" t="n">
        <f aca="false">IF(COUNTIF(CAPA3_EXPANSION!$D$56:BP$56,"&gt;="&amp;10)=0,0,SUP_CONTROL!$C$8*IF($B17="V",1,IF($B17="D",(1+SUP_VOLUMEN!$C$26),(1+SUP_VOLUMEN!$C$27)))*INDEX(SUP_C3_EXPANSION!$C$6:$F$6,MIN(4,COUNTIF(CAPA3_EXPANSION!$D$56:BP$56,"&gt;="&amp;10)))*CAPA3_EXPANSION!BP$36)</f>
        <v>3780</v>
      </c>
      <c r="BQ17" s="298" t="n">
        <f aca="false">IF(COUNTIF(CAPA3_EXPANSION!$D$56:BQ$56,"&gt;="&amp;10)=0,0,SUP_CONTROL!$C$8*IF($B17="V",1,IF($B17="D",(1+SUP_VOLUMEN!$C$26),(1+SUP_VOLUMEN!$C$27)))*INDEX(SUP_C3_EXPANSION!$C$6:$F$6,MIN(4,COUNTIF(CAPA3_EXPANSION!$D$56:BQ$56,"&gt;="&amp;10)))*CAPA3_EXPANSION!BQ$36)</f>
        <v>3696</v>
      </c>
      <c r="BR17" s="298" t="n">
        <f aca="false">IF(COUNTIF(CAPA3_EXPANSION!$D$56:BR$56,"&gt;="&amp;10)=0,0,SUP_CONTROL!$C$8*IF($B17="V",1,IF($B17="D",(1+SUP_VOLUMEN!$C$26),(1+SUP_VOLUMEN!$C$27)))*INDEX(SUP_C3_EXPANSION!$C$6:$F$6,MIN(4,COUNTIF(CAPA3_EXPANSION!$D$56:BR$56,"&gt;="&amp;10)))*CAPA3_EXPANSION!BR$36)</f>
        <v>3696</v>
      </c>
      <c r="BS17" s="298" t="n">
        <f aca="false">IF(COUNTIF(CAPA3_EXPANSION!$D$56:BS$56,"&gt;="&amp;10)=0,0,SUP_CONTROL!$C$8*IF($B17="V",1,IF($B17="D",(1+SUP_VOLUMEN!$C$26),(1+SUP_VOLUMEN!$C$27)))*INDEX(SUP_C3_EXPANSION!$C$6:$F$6,MIN(4,COUNTIF(CAPA3_EXPANSION!$D$56:BS$56,"&gt;="&amp;10)))*CAPA3_EXPANSION!BS$36)</f>
        <v>3696</v>
      </c>
      <c r="BT17" s="298" t="n">
        <f aca="false">IF(COUNTIF(CAPA3_EXPANSION!$D$56:BT$56,"&gt;="&amp;10)=0,0,SUP_CONTROL!$C$8*IF($B17="V",1,IF($B17="D",(1+SUP_VOLUMEN!$C$26),(1+SUP_VOLUMEN!$C$27)))*INDEX(SUP_C3_EXPANSION!$C$6:$F$6,MIN(4,COUNTIF(CAPA3_EXPANSION!$D$56:BT$56,"&gt;="&amp;10)))*CAPA3_EXPANSION!BT$36)</f>
        <v>3696</v>
      </c>
      <c r="BU17" s="298" t="n">
        <f aca="false">IF(COUNTIF(CAPA3_EXPANSION!$D$56:BU$56,"&gt;="&amp;10)=0,0,SUP_CONTROL!$C$8*IF($B17="V",1,IF($B17="D",(1+SUP_VOLUMEN!$C$26),(1+SUP_VOLUMEN!$C$27)))*INDEX(SUP_C3_EXPANSION!$C$6:$F$6,MIN(4,COUNTIF(CAPA3_EXPANSION!$D$56:BU$56,"&gt;="&amp;10)))*CAPA3_EXPANSION!BU$36)</f>
        <v>3696</v>
      </c>
      <c r="BV17" s="298" t="n">
        <f aca="false">IF(COUNTIF(CAPA3_EXPANSION!$D$56:BV$56,"&gt;="&amp;10)=0,0,SUP_CONTROL!$C$8*IF($B17="V",1,IF($B17="D",(1+SUP_VOLUMEN!$C$26),(1+SUP_VOLUMEN!$C$27)))*INDEX(SUP_C3_EXPANSION!$C$6:$F$6,MIN(4,COUNTIF(CAPA3_EXPANSION!$D$56:BV$56,"&gt;="&amp;10)))*CAPA3_EXPANSION!BV$36)</f>
        <v>3696</v>
      </c>
      <c r="BW17" s="298" t="n">
        <f aca="false">IF(COUNTIF(CAPA3_EXPANSION!$D$56:BW$56,"&gt;="&amp;10)=0,0,SUP_CONTROL!$C$8*IF($B17="V",1,IF($B17="D",(1+SUP_VOLUMEN!$C$26),(1+SUP_VOLUMEN!$C$27)))*INDEX(SUP_C3_EXPANSION!$C$6:$F$6,MIN(4,COUNTIF(CAPA3_EXPANSION!$D$56:BW$56,"&gt;="&amp;10)))*CAPA3_EXPANSION!BW$36)</f>
        <v>3633</v>
      </c>
      <c r="BX17" s="298" t="n">
        <f aca="false">IF(COUNTIF(CAPA3_EXPANSION!$D$56:BX$56,"&gt;="&amp;10)=0,0,SUP_CONTROL!$C$8*IF($B17="V",1,IF($B17="D",(1+SUP_VOLUMEN!$C$26),(1+SUP_VOLUMEN!$C$27)))*INDEX(SUP_C3_EXPANSION!$C$6:$F$6,MIN(4,COUNTIF(CAPA3_EXPANSION!$D$56:BX$56,"&gt;="&amp;10)))*CAPA3_EXPANSION!BX$36)</f>
        <v>3633</v>
      </c>
      <c r="BY17" s="298" t="n">
        <f aca="false">IF(COUNTIF(CAPA3_EXPANSION!$D$56:BY$56,"&gt;="&amp;10)=0,0,SUP_CONTROL!$C$8*IF($B17="V",1,IF($B17="D",(1+SUP_VOLUMEN!$C$26),(1+SUP_VOLUMEN!$C$27)))*INDEX(SUP_C3_EXPANSION!$C$6:$F$6,MIN(4,COUNTIF(CAPA3_EXPANSION!$D$56:BY$56,"&gt;="&amp;10)))*CAPA3_EXPANSION!BY$36)</f>
        <v>3633</v>
      </c>
      <c r="BZ17" s="298" t="n">
        <f aca="false">IF(COUNTIF(CAPA3_EXPANSION!$D$56:BZ$56,"&gt;="&amp;10)=0,0,SUP_CONTROL!$C$8*IF($B17="V",1,IF($B17="D",(1+SUP_VOLUMEN!$C$26),(1+SUP_VOLUMEN!$C$27)))*INDEX(SUP_C3_EXPANSION!$C$6:$F$6,MIN(4,COUNTIF(CAPA3_EXPANSION!$D$56:BZ$56,"&gt;="&amp;10)))*CAPA3_EXPANSION!BZ$36)</f>
        <v>3633</v>
      </c>
      <c r="CA17" s="298" t="n">
        <f aca="false">IF(COUNTIF(CAPA3_EXPANSION!$D$56:CA$56,"&gt;="&amp;10)=0,0,SUP_CONTROL!$C$8*IF($B17="V",1,IF($B17="D",(1+SUP_VOLUMEN!$C$26),(1+SUP_VOLUMEN!$C$27)))*INDEX(SUP_C3_EXPANSION!$C$6:$F$6,MIN(4,COUNTIF(CAPA3_EXPANSION!$D$56:CA$56,"&gt;="&amp;10)))*CAPA3_EXPANSION!CA$36)</f>
        <v>3633</v>
      </c>
      <c r="CB17" s="298" t="n">
        <f aca="false">IF(COUNTIF(CAPA3_EXPANSION!$D$56:CB$56,"&gt;="&amp;10)=0,0,SUP_CONTROL!$C$8*IF($B17="V",1,IF($B17="D",(1+SUP_VOLUMEN!$C$26),(1+SUP_VOLUMEN!$C$27)))*INDEX(SUP_C3_EXPANSION!$C$6:$F$6,MIN(4,COUNTIF(CAPA3_EXPANSION!$D$56:CB$56,"&gt;="&amp;10)))*CAPA3_EXPANSION!CB$36)</f>
        <v>3570</v>
      </c>
      <c r="CC17" s="298" t="n">
        <f aca="false">IF(COUNTIF(CAPA3_EXPANSION!$D$56:CC$56,"&gt;="&amp;10)=0,0,SUP_CONTROL!$C$8*IF($B17="V",1,IF($B17="D",(1+SUP_VOLUMEN!$C$26),(1+SUP_VOLUMEN!$C$27)))*INDEX(SUP_C3_EXPANSION!$C$6:$F$6,MIN(4,COUNTIF(CAPA3_EXPANSION!$D$56:CC$56,"&gt;="&amp;10)))*CAPA3_EXPANSION!CC$36)</f>
        <v>3570</v>
      </c>
      <c r="CD17" s="298" t="n">
        <f aca="false">IF(COUNTIF(CAPA3_EXPANSION!$D$56:CD$56,"&gt;="&amp;10)=0,0,SUP_CONTROL!$C$8*IF($B17="V",1,IF($B17="D",(1+SUP_VOLUMEN!$C$26),(1+SUP_VOLUMEN!$C$27)))*INDEX(SUP_C3_EXPANSION!$C$6:$F$6,MIN(4,COUNTIF(CAPA3_EXPANSION!$D$56:CD$56,"&gt;="&amp;10)))*CAPA3_EXPANSION!CD$36)</f>
        <v>3570</v>
      </c>
      <c r="CE17" s="298" t="n">
        <f aca="false">IF(COUNTIF(CAPA3_EXPANSION!$D$56:CE$56,"&gt;="&amp;10)=0,0,SUP_CONTROL!$C$8*IF($B17="V",1,IF($B17="D",(1+SUP_VOLUMEN!$C$26),(1+SUP_VOLUMEN!$C$27)))*INDEX(SUP_C3_EXPANSION!$C$6:$F$6,MIN(4,COUNTIF(CAPA3_EXPANSION!$D$56:CE$56,"&gt;="&amp;10)))*CAPA3_EXPANSION!CE$36)</f>
        <v>3570</v>
      </c>
      <c r="CF17" s="298" t="n">
        <f aca="false">IF(COUNTIF(CAPA3_EXPANSION!$D$56:CF$56,"&gt;="&amp;10)=0,0,SUP_CONTROL!$C$8*IF($B17="V",1,IF($B17="D",(1+SUP_VOLUMEN!$C$26),(1+SUP_VOLUMEN!$C$27)))*INDEX(SUP_C3_EXPANSION!$C$6:$F$6,MIN(4,COUNTIF(CAPA3_EXPANSION!$D$56:CF$56,"&gt;="&amp;10)))*CAPA3_EXPANSION!CF$36)</f>
        <v>3570</v>
      </c>
      <c r="CG17" s="298" t="n">
        <f aca="false">IF(COUNTIF(CAPA3_EXPANSION!$D$56:CG$56,"&gt;="&amp;10)=0,0,SUP_CONTROL!$C$8*IF($B17="V",1,IF($B17="D",(1+SUP_VOLUMEN!$C$26),(1+SUP_VOLUMEN!$C$27)))*INDEX(SUP_C3_EXPANSION!$C$6:$F$6,MIN(4,COUNTIF(CAPA3_EXPANSION!$D$56:CG$56,"&gt;="&amp;10)))*CAPA3_EXPANSION!CG$36)</f>
        <v>3528</v>
      </c>
      <c r="CH17" s="298" t="n">
        <f aca="false">IF(COUNTIF(CAPA3_EXPANSION!$D$56:CH$56,"&gt;="&amp;10)=0,0,SUP_CONTROL!$C$8*IF($B17="V",1,IF($B17="D",(1+SUP_VOLUMEN!$C$26),(1+SUP_VOLUMEN!$C$27)))*INDEX(SUP_C3_EXPANSION!$C$6:$F$6,MIN(4,COUNTIF(CAPA3_EXPANSION!$D$56:CH$56,"&gt;="&amp;10)))*CAPA3_EXPANSION!CH$36)</f>
        <v>3528</v>
      </c>
      <c r="CI17" s="298" t="n">
        <f aca="false">IF(COUNTIF(CAPA3_EXPANSION!$D$56:CI$56,"&gt;="&amp;10)=0,0,SUP_CONTROL!$C$8*IF($B17="V",1,IF($B17="D",(1+SUP_VOLUMEN!$C$26),(1+SUP_VOLUMEN!$C$27)))*INDEX(SUP_C3_EXPANSION!$C$6:$F$6,MIN(4,COUNTIF(CAPA3_EXPANSION!$D$56:CI$56,"&gt;="&amp;10)))*CAPA3_EXPANSION!CI$36)</f>
        <v>3528</v>
      </c>
      <c r="CJ17" s="298" t="n">
        <f aca="false">IF(COUNTIF(CAPA3_EXPANSION!$D$56:CJ$56,"&gt;="&amp;10)=0,0,SUP_CONTROL!$C$8*IF($B17="V",1,IF($B17="D",(1+SUP_VOLUMEN!$C$26),(1+SUP_VOLUMEN!$C$27)))*INDEX(SUP_C3_EXPANSION!$C$6:$F$6,MIN(4,COUNTIF(CAPA3_EXPANSION!$D$56:CJ$56,"&gt;="&amp;10)))*CAPA3_EXPANSION!CJ$36)</f>
        <v>3528</v>
      </c>
      <c r="CK17" s="298" t="n">
        <f aca="false">IF(COUNTIF(CAPA3_EXPANSION!$D$56:CK$56,"&gt;="&amp;10)=0,0,SUP_CONTROL!$C$8*IF($B17="V",1,IF($B17="D",(1+SUP_VOLUMEN!$C$26),(1+SUP_VOLUMEN!$C$27)))*INDEX(SUP_C3_EXPANSION!$C$6:$F$6,MIN(4,COUNTIF(CAPA3_EXPANSION!$D$56:CK$56,"&gt;="&amp;10)))*CAPA3_EXPANSION!CK$36)</f>
        <v>3528</v>
      </c>
      <c r="CL17" s="298" t="n">
        <f aca="false">IF(COUNTIF(CAPA3_EXPANSION!$D$56:CL$56,"&gt;="&amp;10)=0,0,SUP_CONTROL!$C$8*IF($B17="V",1,IF($B17="D",(1+SUP_VOLUMEN!$C$26),(1+SUP_VOLUMEN!$C$27)))*INDEX(SUP_C3_EXPANSION!$C$6:$F$6,MIN(4,COUNTIF(CAPA3_EXPANSION!$D$56:CL$56,"&gt;="&amp;10)))*CAPA3_EXPANSION!CL$36)</f>
        <v>3528</v>
      </c>
      <c r="CM17" s="298" t="n">
        <f aca="false">IF(COUNTIF(CAPA3_EXPANSION!$D$56:CM$56,"&gt;="&amp;10)=0,0,SUP_CONTROL!$C$8*IF($B17="V",1,IF($B17="D",(1+SUP_VOLUMEN!$C$26),(1+SUP_VOLUMEN!$C$27)))*INDEX(SUP_C3_EXPANSION!$C$6:$F$6,MIN(4,COUNTIF(CAPA3_EXPANSION!$D$56:CM$56,"&gt;="&amp;10)))*CAPA3_EXPANSION!CM$36)</f>
        <v>3528</v>
      </c>
      <c r="CN17" s="298" t="n">
        <f aca="false">IF(COUNTIF(CAPA3_EXPANSION!$D$56:CN$56,"&gt;="&amp;10)=0,0,SUP_CONTROL!$C$8*IF($B17="V",1,IF($B17="D",(1+SUP_VOLUMEN!$C$26),(1+SUP_VOLUMEN!$C$27)))*INDEX(SUP_C3_EXPANSION!$C$6:$F$6,MIN(4,COUNTIF(CAPA3_EXPANSION!$D$56:CN$56,"&gt;="&amp;10)))*CAPA3_EXPANSION!CN$36)</f>
        <v>3528</v>
      </c>
      <c r="CO17" s="298" t="n">
        <f aca="false">IF(COUNTIF(CAPA3_EXPANSION!$D$56:CO$56,"&gt;="&amp;10)=0,0,SUP_CONTROL!$C$8*IF($B17="V",1,IF($B17="D",(1+SUP_VOLUMEN!$C$26),(1+SUP_VOLUMEN!$C$27)))*INDEX(SUP_C3_EXPANSION!$C$6:$F$6,MIN(4,COUNTIF(CAPA3_EXPANSION!$D$56:CO$56,"&gt;="&amp;10)))*CAPA3_EXPANSION!CO$36)</f>
        <v>3528</v>
      </c>
      <c r="CP17" s="298" t="n">
        <f aca="false">IF(COUNTIF(CAPA3_EXPANSION!$D$56:CP$56,"&gt;="&amp;10)=0,0,SUP_CONTROL!$C$8*IF($B17="V",1,IF($B17="D",(1+SUP_VOLUMEN!$C$26),(1+SUP_VOLUMEN!$C$27)))*INDEX(SUP_C3_EXPANSION!$C$6:$F$6,MIN(4,COUNTIF(CAPA3_EXPANSION!$D$56:CP$56,"&gt;="&amp;10)))*CAPA3_EXPANSION!CP$36)</f>
        <v>3528</v>
      </c>
      <c r="CQ17" s="298" t="n">
        <f aca="false">IF(COUNTIF(CAPA3_EXPANSION!$D$56:CQ$56,"&gt;="&amp;10)=0,0,SUP_CONTROL!$C$8*IF($B17="V",1,IF($B17="D",(1+SUP_VOLUMEN!$C$26),(1+SUP_VOLUMEN!$C$27)))*INDEX(SUP_C3_EXPANSION!$C$6:$F$6,MIN(4,COUNTIF(CAPA3_EXPANSION!$D$56:CQ$56,"&gt;="&amp;10)))*CAPA3_EXPANSION!CQ$36)</f>
        <v>3528</v>
      </c>
      <c r="CR17" s="298" t="n">
        <f aca="false">IF(COUNTIF(CAPA3_EXPANSION!$D$56:CR$56,"&gt;="&amp;10)=0,0,SUP_CONTROL!$C$8*IF($B17="V",1,IF($B17="D",(1+SUP_VOLUMEN!$C$26),(1+SUP_VOLUMEN!$C$27)))*INDEX(SUP_C3_EXPANSION!$C$6:$F$6,MIN(4,COUNTIF(CAPA3_EXPANSION!$D$56:CR$56,"&gt;="&amp;10)))*CAPA3_EXPANSION!CR$36)</f>
        <v>3528</v>
      </c>
      <c r="CS17" s="298" t="n">
        <f aca="false">IF(COUNTIF(CAPA3_EXPANSION!$D$56:CS$56,"&gt;="&amp;10)=0,0,SUP_CONTROL!$C$8*IF($B17="V",1,IF($B17="D",(1+SUP_VOLUMEN!$C$26),(1+SUP_VOLUMEN!$C$27)))*INDEX(SUP_C3_EXPANSION!$C$6:$F$6,MIN(4,COUNTIF(CAPA3_EXPANSION!$D$56:CS$56,"&gt;="&amp;10)))*CAPA3_EXPANSION!CS$36)</f>
        <v>3528</v>
      </c>
      <c r="CT17" s="298" t="n">
        <f aca="false">IF(COUNTIF(CAPA3_EXPANSION!$D$56:CT$56,"&gt;="&amp;10)=0,0,SUP_CONTROL!$C$8*IF($B17="V",1,IF($B17="D",(1+SUP_VOLUMEN!$C$26),(1+SUP_VOLUMEN!$C$27)))*INDEX(SUP_C3_EXPANSION!$C$6:$F$6,MIN(4,COUNTIF(CAPA3_EXPANSION!$D$56:CT$56,"&gt;="&amp;10)))*CAPA3_EXPANSION!CT$36)</f>
        <v>3528</v>
      </c>
      <c r="CU17" s="298" t="n">
        <f aca="false">IF(COUNTIF(CAPA3_EXPANSION!$D$56:CU$56,"&gt;="&amp;10)=0,0,SUP_CONTROL!$C$8*IF($B17="V",1,IF($B17="D",(1+SUP_VOLUMEN!$C$26),(1+SUP_VOLUMEN!$C$27)))*INDEX(SUP_C3_EXPANSION!$C$6:$F$6,MIN(4,COUNTIF(CAPA3_EXPANSION!$D$56:CU$56,"&gt;="&amp;10)))*CAPA3_EXPANSION!CU$36)</f>
        <v>3528</v>
      </c>
      <c r="CV17" s="298" t="n">
        <f aca="false">IF(COUNTIF(CAPA3_EXPANSION!$D$56:CV$56,"&gt;="&amp;10)=0,0,SUP_CONTROL!$C$8*IF($B17="V",1,IF($B17="D",(1+SUP_VOLUMEN!$C$26),(1+SUP_VOLUMEN!$C$27)))*INDEX(SUP_C3_EXPANSION!$C$6:$F$6,MIN(4,COUNTIF(CAPA3_EXPANSION!$D$56:CV$56,"&gt;="&amp;10)))*CAPA3_EXPANSION!CV$36)</f>
        <v>3528</v>
      </c>
      <c r="CW17" s="298" t="n">
        <f aca="false">IF(COUNTIF(CAPA3_EXPANSION!$D$56:CW$56,"&gt;="&amp;10)=0,0,SUP_CONTROL!$C$8*IF($B17="V",1,IF($B17="D",(1+SUP_VOLUMEN!$C$26),(1+SUP_VOLUMEN!$C$27)))*INDEX(SUP_C3_EXPANSION!$C$6:$F$6,MIN(4,COUNTIF(CAPA3_EXPANSION!$D$56:CW$56,"&gt;="&amp;10)))*CAPA3_EXPANSION!CW$36)</f>
        <v>3528</v>
      </c>
      <c r="CX17" s="298" t="n">
        <f aca="false">IF(COUNTIF(CAPA3_EXPANSION!$D$56:CX$56,"&gt;="&amp;10)=0,0,SUP_CONTROL!$C$8*IF($B17="V",1,IF($B17="D",(1+SUP_VOLUMEN!$C$26),(1+SUP_VOLUMEN!$C$27)))*INDEX(SUP_C3_EXPANSION!$C$6:$F$6,MIN(4,COUNTIF(CAPA3_EXPANSION!$D$56:CX$56,"&gt;="&amp;10)))*CAPA3_EXPANSION!CX$36)</f>
        <v>3528</v>
      </c>
      <c r="CY17" s="298" t="n">
        <f aca="false">IF(COUNTIF(CAPA3_EXPANSION!$D$56:CY$56,"&gt;="&amp;10)=0,0,SUP_CONTROL!$C$8*IF($B17="V",1,IF($B17="D",(1+SUP_VOLUMEN!$C$26),(1+SUP_VOLUMEN!$C$27)))*INDEX(SUP_C3_EXPANSION!$C$6:$F$6,MIN(4,COUNTIF(CAPA3_EXPANSION!$D$56:CY$56,"&gt;="&amp;10)))*CAPA3_EXPANSION!CY$36)</f>
        <v>3528</v>
      </c>
      <c r="CZ17" s="298" t="n">
        <f aca="false">IF(COUNTIF(CAPA3_EXPANSION!$D$56:CZ$56,"&gt;="&amp;10)=0,0,SUP_CONTROL!$C$8*IF($B17="V",1,IF($B17="D",(1+SUP_VOLUMEN!$C$26),(1+SUP_VOLUMEN!$C$27)))*INDEX(SUP_C3_EXPANSION!$C$6:$F$6,MIN(4,COUNTIF(CAPA3_EXPANSION!$D$56:CZ$56,"&gt;="&amp;10)))*CAPA3_EXPANSION!CZ$36)</f>
        <v>3528</v>
      </c>
      <c r="DA17" s="298" t="n">
        <f aca="false">IF(COUNTIF(CAPA3_EXPANSION!$D$56:DA$56,"&gt;="&amp;10)=0,0,SUP_CONTROL!$C$8*IF($B17="V",1,IF($B17="D",(1+SUP_VOLUMEN!$C$26),(1+SUP_VOLUMEN!$C$27)))*INDEX(SUP_C3_EXPANSION!$C$6:$F$6,MIN(4,COUNTIF(CAPA3_EXPANSION!$D$56:DA$56,"&gt;="&amp;10)))*CAPA3_EXPANSION!DA$36)</f>
        <v>3528</v>
      </c>
      <c r="DB17" s="298" t="n">
        <f aca="false">IF(COUNTIF(CAPA3_EXPANSION!$D$56:DB$56,"&gt;="&amp;10)=0,0,SUP_CONTROL!$C$8*IF($B17="V",1,IF($B17="D",(1+SUP_VOLUMEN!$C$26),(1+SUP_VOLUMEN!$C$27)))*INDEX(SUP_C3_EXPANSION!$C$6:$F$6,MIN(4,COUNTIF(CAPA3_EXPANSION!$D$56:DB$56,"&gt;="&amp;10)))*CAPA3_EXPANSION!DB$36)</f>
        <v>3528</v>
      </c>
      <c r="DC17" s="298" t="n">
        <f aca="false">IF(COUNTIF(CAPA3_EXPANSION!$D$56:DC$56,"&gt;="&amp;10)=0,0,SUP_CONTROL!$C$8*IF($B17="V",1,IF($B17="D",(1+SUP_VOLUMEN!$C$26),(1+SUP_VOLUMEN!$C$27)))*INDEX(SUP_C3_EXPANSION!$C$6:$F$6,MIN(4,COUNTIF(CAPA3_EXPANSION!$D$56:DC$56,"&gt;="&amp;10)))*CAPA3_EXPANSION!DC$36)</f>
        <v>3528</v>
      </c>
      <c r="DD17" s="298" t="n">
        <f aca="false">IF(COUNTIF(CAPA3_EXPANSION!$D$56:DD$56,"&gt;="&amp;10)=0,0,SUP_CONTROL!$C$8*IF($B17="V",1,IF($B17="D",(1+SUP_VOLUMEN!$C$26),(1+SUP_VOLUMEN!$C$27)))*INDEX(SUP_C3_EXPANSION!$C$6:$F$6,MIN(4,COUNTIF(CAPA3_EXPANSION!$D$56:DD$56,"&gt;="&amp;10)))*CAPA3_EXPANSION!DD$36)</f>
        <v>3528</v>
      </c>
      <c r="DE17" s="298" t="n">
        <f aca="false">IF(COUNTIF(CAPA3_EXPANSION!$D$56:DE$56,"&gt;="&amp;10)=0,0,SUP_CONTROL!$C$8*IF($B17="V",1,IF($B17="D",(1+SUP_VOLUMEN!$C$26),(1+SUP_VOLUMEN!$C$27)))*INDEX(SUP_C3_EXPANSION!$C$6:$F$6,MIN(4,COUNTIF(CAPA3_EXPANSION!$D$56:DE$56,"&gt;="&amp;10)))*CAPA3_EXPANSION!DE$36)</f>
        <v>3528</v>
      </c>
      <c r="DF17" s="298" t="n">
        <f aca="false">IF(COUNTIF(CAPA3_EXPANSION!$D$56:DF$56,"&gt;="&amp;10)=0,0,SUP_CONTROL!$C$8*IF($B17="V",1,IF($B17="D",(1+SUP_VOLUMEN!$C$26),(1+SUP_VOLUMEN!$C$27)))*INDEX(SUP_C3_EXPANSION!$C$6:$F$6,MIN(4,COUNTIF(CAPA3_EXPANSION!$D$56:DF$56,"&gt;="&amp;10)))*CAPA3_EXPANSION!DF$36)</f>
        <v>3528</v>
      </c>
      <c r="DG17" s="298" t="n">
        <f aca="false">IF(COUNTIF(CAPA3_EXPANSION!$D$56:DG$56,"&gt;="&amp;10)=0,0,SUP_CONTROL!$C$8*IF($B17="V",1,IF($B17="D",(1+SUP_VOLUMEN!$C$26),(1+SUP_VOLUMEN!$C$27)))*INDEX(SUP_C3_EXPANSION!$C$6:$F$6,MIN(4,COUNTIF(CAPA3_EXPANSION!$D$56:DG$56,"&gt;="&amp;10)))*CAPA3_EXPANSION!DG$36)</f>
        <v>3528</v>
      </c>
      <c r="DH17" s="298" t="n">
        <f aca="false">IF(COUNTIF(CAPA3_EXPANSION!$D$56:DH$56,"&gt;="&amp;10)=0,0,SUP_CONTROL!$C$8*IF($B17="V",1,IF($B17="D",(1+SUP_VOLUMEN!$C$26),(1+SUP_VOLUMEN!$C$27)))*INDEX(SUP_C3_EXPANSION!$C$6:$F$6,MIN(4,COUNTIF(CAPA3_EXPANSION!$D$56:DH$56,"&gt;="&amp;10)))*CAPA3_EXPANSION!DH$36)</f>
        <v>3528</v>
      </c>
      <c r="DI17" s="298" t="n">
        <f aca="false">IF(COUNTIF(CAPA3_EXPANSION!$D$56:DI$56,"&gt;="&amp;10)=0,0,SUP_CONTROL!$C$8*IF($B17="V",1,IF($B17="D",(1+SUP_VOLUMEN!$C$26),(1+SUP_VOLUMEN!$C$27)))*INDEX(SUP_C3_EXPANSION!$C$6:$F$6,MIN(4,COUNTIF(CAPA3_EXPANSION!$D$56:DI$56,"&gt;="&amp;10)))*CAPA3_EXPANSION!DI$36)</f>
        <v>3528</v>
      </c>
      <c r="DJ17" s="298" t="n">
        <f aca="false">IF(COUNTIF(CAPA3_EXPANSION!$D$56:DJ$56,"&gt;="&amp;10)=0,0,SUP_CONTROL!$C$8*IF($B17="V",1,IF($B17="D",(1+SUP_VOLUMEN!$C$26),(1+SUP_VOLUMEN!$C$27)))*INDEX(SUP_C3_EXPANSION!$C$6:$F$6,MIN(4,COUNTIF(CAPA3_EXPANSION!$D$56:DJ$56,"&gt;="&amp;10)))*CAPA3_EXPANSION!DJ$36)</f>
        <v>3528</v>
      </c>
      <c r="DK17" s="298" t="n">
        <f aca="false">IF(COUNTIF(CAPA3_EXPANSION!$D$56:DK$56,"&gt;="&amp;10)=0,0,SUP_CONTROL!$C$8*IF($B17="V",1,IF($B17="D",(1+SUP_VOLUMEN!$C$26),(1+SUP_VOLUMEN!$C$27)))*INDEX(SUP_C3_EXPANSION!$C$6:$F$6,MIN(4,COUNTIF(CAPA3_EXPANSION!$D$56:DK$56,"&gt;="&amp;10)))*CAPA3_EXPANSION!DK$36)</f>
        <v>3528</v>
      </c>
      <c r="DL17" s="298" t="n">
        <f aca="false">IF(COUNTIF(CAPA3_EXPANSION!$D$56:DL$56,"&gt;="&amp;10)=0,0,SUP_CONTROL!$C$8*IF($B17="V",1,IF($B17="D",(1+SUP_VOLUMEN!$C$26),(1+SUP_VOLUMEN!$C$27)))*INDEX(SUP_C3_EXPANSION!$C$6:$F$6,MIN(4,COUNTIF(CAPA3_EXPANSION!$D$56:DL$56,"&gt;="&amp;10)))*CAPA3_EXPANSION!DL$36)</f>
        <v>3528</v>
      </c>
      <c r="DM17" s="298" t="n">
        <f aca="false">IF(COUNTIF(CAPA3_EXPANSION!$D$56:DM$56,"&gt;="&amp;10)=0,0,SUP_CONTROL!$C$8*IF($B17="V",1,IF($B17="D",(1+SUP_VOLUMEN!$C$26),(1+SUP_VOLUMEN!$C$27)))*INDEX(SUP_C3_EXPANSION!$C$6:$F$6,MIN(4,COUNTIF(CAPA3_EXPANSION!$D$56:DM$56,"&gt;="&amp;10)))*CAPA3_EXPANSION!DM$36)</f>
        <v>3528</v>
      </c>
      <c r="DN17" s="298" t="n">
        <f aca="false">IF(COUNTIF(CAPA3_EXPANSION!$D$56:DN$56,"&gt;="&amp;10)=0,0,SUP_CONTROL!$C$8*IF($B17="V",1,IF($B17="D",(1+SUP_VOLUMEN!$C$26),(1+SUP_VOLUMEN!$C$27)))*INDEX(SUP_C3_EXPANSION!$C$6:$F$6,MIN(4,COUNTIF(CAPA3_EXPANSION!$D$56:DN$56,"&gt;="&amp;10)))*CAPA3_EXPANSION!DN$36)</f>
        <v>3528</v>
      </c>
      <c r="DO17" s="298" t="n">
        <f aca="false">IF(COUNTIF(CAPA3_EXPANSION!$D$56:DO$56,"&gt;="&amp;10)=0,0,SUP_CONTROL!$C$8*IF($B17="V",1,IF($B17="D",(1+SUP_VOLUMEN!$C$26),(1+SUP_VOLUMEN!$C$27)))*INDEX(SUP_C3_EXPANSION!$C$6:$F$6,MIN(4,COUNTIF(CAPA3_EXPANSION!$D$56:DO$56,"&gt;="&amp;10)))*CAPA3_EXPANSION!DO$36)</f>
        <v>3528</v>
      </c>
      <c r="DP17" s="298" t="n">
        <f aca="false">IF(COUNTIF(CAPA3_EXPANSION!$D$56:DP$56,"&gt;="&amp;10)=0,0,SUP_CONTROL!$C$8*IF($B17="V",1,IF($B17="D",(1+SUP_VOLUMEN!$C$26),(1+SUP_VOLUMEN!$C$27)))*INDEX(SUP_C3_EXPANSION!$C$6:$F$6,MIN(4,COUNTIF(CAPA3_EXPANSION!$D$56:DP$56,"&gt;="&amp;10)))*CAPA3_EXPANSION!DP$36)</f>
        <v>3528</v>
      </c>
      <c r="DQ17" s="298" t="n">
        <f aca="false">IF(COUNTIF(CAPA3_EXPANSION!$D$56:DQ$56,"&gt;="&amp;10)=0,0,SUP_CONTROL!$C$8*IF($B17="V",1,IF($B17="D",(1+SUP_VOLUMEN!$C$26),(1+SUP_VOLUMEN!$C$27)))*INDEX(SUP_C3_EXPANSION!$C$6:$F$6,MIN(4,COUNTIF(CAPA3_EXPANSION!$D$56:DQ$56,"&gt;="&amp;10)))*CAPA3_EXPANSION!DQ$36)</f>
        <v>3528</v>
      </c>
      <c r="DR17" s="298" t="n">
        <f aca="false">IF(COUNTIF(CAPA3_EXPANSION!$D$56:DR$56,"&gt;="&amp;10)=0,0,SUP_CONTROL!$C$8*IF($B17="V",1,IF($B17="D",(1+SUP_VOLUMEN!$C$26),(1+SUP_VOLUMEN!$C$27)))*INDEX(SUP_C3_EXPANSION!$C$6:$F$6,MIN(4,COUNTIF(CAPA3_EXPANSION!$D$56:DR$56,"&gt;="&amp;10)))*CAPA3_EXPANSION!DR$36)</f>
        <v>3528</v>
      </c>
      <c r="DS17" s="298" t="n">
        <f aca="false">IF(COUNTIF(CAPA3_EXPANSION!$D$56:DS$56,"&gt;="&amp;10)=0,0,SUP_CONTROL!$C$8*IF($B17="V",1,IF($B17="D",(1+SUP_VOLUMEN!$C$26),(1+SUP_VOLUMEN!$C$27)))*INDEX(SUP_C3_EXPANSION!$C$6:$F$6,MIN(4,COUNTIF(CAPA3_EXPANSION!$D$56:DS$56,"&gt;="&amp;10)))*CAPA3_EXPANSION!DS$36)</f>
        <v>3528</v>
      </c>
    </row>
    <row r="18" customFormat="false" ht="15" hidden="false" customHeight="true" outlineLevel="0" collapsed="false">
      <c r="A18" s="298" t="n">
        <v>21</v>
      </c>
      <c r="B18" s="497" t="str">
        <f aca="false">SUP_C3_EXPANSION!B30</f>
        <v>V</v>
      </c>
      <c r="C18" s="267" t="n">
        <f aca="false">SUP_C3_EXPANSION!G30</f>
        <v>40</v>
      </c>
      <c r="D18" s="298" t="n">
        <f aca="false">IF(COUNTIF(CAPA3_EXPANSION!$D$56:D$56,"&gt;="&amp;11)=0,0,SUP_CONTROL!$C$8*IF($B18="V",1,IF($B18="D",(1+SUP_VOLUMEN!$C$26),(1+SUP_VOLUMEN!$C$27)))*INDEX(SUP_C3_EXPANSION!$C$6:$F$6,MIN(4,COUNTIF(CAPA3_EXPANSION!$D$56:D$56,"&gt;="&amp;11)))*CAPA3_EXPANSION!D$36)</f>
        <v>0</v>
      </c>
      <c r="E18" s="298" t="n">
        <f aca="false">IF(COUNTIF(CAPA3_EXPANSION!$D$56:E$56,"&gt;="&amp;11)=0,0,SUP_CONTROL!$C$8*IF($B18="V",1,IF($B18="D",(1+SUP_VOLUMEN!$C$26),(1+SUP_VOLUMEN!$C$27)))*INDEX(SUP_C3_EXPANSION!$C$6:$F$6,MIN(4,COUNTIF(CAPA3_EXPANSION!$D$56:E$56,"&gt;="&amp;11)))*CAPA3_EXPANSION!E$36)</f>
        <v>0</v>
      </c>
      <c r="F18" s="298" t="n">
        <f aca="false">IF(COUNTIF(CAPA3_EXPANSION!$D$56:F$56,"&gt;="&amp;11)=0,0,SUP_CONTROL!$C$8*IF($B18="V",1,IF($B18="D",(1+SUP_VOLUMEN!$C$26),(1+SUP_VOLUMEN!$C$27)))*INDEX(SUP_C3_EXPANSION!$C$6:$F$6,MIN(4,COUNTIF(CAPA3_EXPANSION!$D$56:F$56,"&gt;="&amp;11)))*CAPA3_EXPANSION!F$36)</f>
        <v>0</v>
      </c>
      <c r="G18" s="298" t="n">
        <f aca="false">IF(COUNTIF(CAPA3_EXPANSION!$D$56:G$56,"&gt;="&amp;11)=0,0,SUP_CONTROL!$C$8*IF($B18="V",1,IF($B18="D",(1+SUP_VOLUMEN!$C$26),(1+SUP_VOLUMEN!$C$27)))*INDEX(SUP_C3_EXPANSION!$C$6:$F$6,MIN(4,COUNTIF(CAPA3_EXPANSION!$D$56:G$56,"&gt;="&amp;11)))*CAPA3_EXPANSION!G$36)</f>
        <v>0</v>
      </c>
      <c r="H18" s="298" t="n">
        <f aca="false">IF(COUNTIF(CAPA3_EXPANSION!$D$56:H$56,"&gt;="&amp;11)=0,0,SUP_CONTROL!$C$8*IF($B18="V",1,IF($B18="D",(1+SUP_VOLUMEN!$C$26),(1+SUP_VOLUMEN!$C$27)))*INDEX(SUP_C3_EXPANSION!$C$6:$F$6,MIN(4,COUNTIF(CAPA3_EXPANSION!$D$56:H$56,"&gt;="&amp;11)))*CAPA3_EXPANSION!H$36)</f>
        <v>0</v>
      </c>
      <c r="I18" s="298" t="n">
        <f aca="false">IF(COUNTIF(CAPA3_EXPANSION!$D$56:I$56,"&gt;="&amp;11)=0,0,SUP_CONTROL!$C$8*IF($B18="V",1,IF($B18="D",(1+SUP_VOLUMEN!$C$26),(1+SUP_VOLUMEN!$C$27)))*INDEX(SUP_C3_EXPANSION!$C$6:$F$6,MIN(4,COUNTIF(CAPA3_EXPANSION!$D$56:I$56,"&gt;="&amp;11)))*CAPA3_EXPANSION!I$36)</f>
        <v>0</v>
      </c>
      <c r="J18" s="298" t="n">
        <f aca="false">IF(COUNTIF(CAPA3_EXPANSION!$D$56:J$56,"&gt;="&amp;11)=0,0,SUP_CONTROL!$C$8*IF($B18="V",1,IF($B18="D",(1+SUP_VOLUMEN!$C$26),(1+SUP_VOLUMEN!$C$27)))*INDEX(SUP_C3_EXPANSION!$C$6:$F$6,MIN(4,COUNTIF(CAPA3_EXPANSION!$D$56:J$56,"&gt;="&amp;11)))*CAPA3_EXPANSION!J$36)</f>
        <v>0</v>
      </c>
      <c r="K18" s="298" t="n">
        <f aca="false">IF(COUNTIF(CAPA3_EXPANSION!$D$56:K$56,"&gt;="&amp;11)=0,0,SUP_CONTROL!$C$8*IF($B18="V",1,IF($B18="D",(1+SUP_VOLUMEN!$C$26),(1+SUP_VOLUMEN!$C$27)))*INDEX(SUP_C3_EXPANSION!$C$6:$F$6,MIN(4,COUNTIF(CAPA3_EXPANSION!$D$56:K$56,"&gt;="&amp;11)))*CAPA3_EXPANSION!K$36)</f>
        <v>0</v>
      </c>
      <c r="L18" s="298" t="n">
        <f aca="false">IF(COUNTIF(CAPA3_EXPANSION!$D$56:L$56,"&gt;="&amp;11)=0,0,SUP_CONTROL!$C$8*IF($B18="V",1,IF($B18="D",(1+SUP_VOLUMEN!$C$26),(1+SUP_VOLUMEN!$C$27)))*INDEX(SUP_C3_EXPANSION!$C$6:$F$6,MIN(4,COUNTIF(CAPA3_EXPANSION!$D$56:L$56,"&gt;="&amp;11)))*CAPA3_EXPANSION!L$36)</f>
        <v>0</v>
      </c>
      <c r="M18" s="298" t="n">
        <f aca="false">IF(COUNTIF(CAPA3_EXPANSION!$D$56:M$56,"&gt;="&amp;11)=0,0,SUP_CONTROL!$C$8*IF($B18="V",1,IF($B18="D",(1+SUP_VOLUMEN!$C$26),(1+SUP_VOLUMEN!$C$27)))*INDEX(SUP_C3_EXPANSION!$C$6:$F$6,MIN(4,COUNTIF(CAPA3_EXPANSION!$D$56:M$56,"&gt;="&amp;11)))*CAPA3_EXPANSION!M$36)</f>
        <v>0</v>
      </c>
      <c r="N18" s="298" t="n">
        <f aca="false">IF(COUNTIF(CAPA3_EXPANSION!$D$56:N$56,"&gt;="&amp;11)=0,0,SUP_CONTROL!$C$8*IF($B18="V",1,IF($B18="D",(1+SUP_VOLUMEN!$C$26),(1+SUP_VOLUMEN!$C$27)))*INDEX(SUP_C3_EXPANSION!$C$6:$F$6,MIN(4,COUNTIF(CAPA3_EXPANSION!$D$56:N$56,"&gt;="&amp;11)))*CAPA3_EXPANSION!N$36)</f>
        <v>0</v>
      </c>
      <c r="O18" s="298" t="n">
        <f aca="false">IF(COUNTIF(CAPA3_EXPANSION!$D$56:O$56,"&gt;="&amp;11)=0,0,SUP_CONTROL!$C$8*IF($B18="V",1,IF($B18="D",(1+SUP_VOLUMEN!$C$26),(1+SUP_VOLUMEN!$C$27)))*INDEX(SUP_C3_EXPANSION!$C$6:$F$6,MIN(4,COUNTIF(CAPA3_EXPANSION!$D$56:O$56,"&gt;="&amp;11)))*CAPA3_EXPANSION!O$36)</f>
        <v>0</v>
      </c>
      <c r="P18" s="298" t="n">
        <f aca="false">IF(COUNTIF(CAPA3_EXPANSION!$D$56:P$56,"&gt;="&amp;11)=0,0,SUP_CONTROL!$C$8*IF($B18="V",1,IF($B18="D",(1+SUP_VOLUMEN!$C$26),(1+SUP_VOLUMEN!$C$27)))*INDEX(SUP_C3_EXPANSION!$C$6:$F$6,MIN(4,COUNTIF(CAPA3_EXPANSION!$D$56:P$56,"&gt;="&amp;11)))*CAPA3_EXPANSION!P$36)</f>
        <v>0</v>
      </c>
      <c r="Q18" s="298" t="n">
        <f aca="false">IF(COUNTIF(CAPA3_EXPANSION!$D$56:Q$56,"&gt;="&amp;11)=0,0,SUP_CONTROL!$C$8*IF($B18="V",1,IF($B18="D",(1+SUP_VOLUMEN!$C$26),(1+SUP_VOLUMEN!$C$27)))*INDEX(SUP_C3_EXPANSION!$C$6:$F$6,MIN(4,COUNTIF(CAPA3_EXPANSION!$D$56:Q$56,"&gt;="&amp;11)))*CAPA3_EXPANSION!Q$36)</f>
        <v>0</v>
      </c>
      <c r="R18" s="298" t="n">
        <f aca="false">IF(COUNTIF(CAPA3_EXPANSION!$D$56:R$56,"&gt;="&amp;11)=0,0,SUP_CONTROL!$C$8*IF($B18="V",1,IF($B18="D",(1+SUP_VOLUMEN!$C$26),(1+SUP_VOLUMEN!$C$27)))*INDEX(SUP_C3_EXPANSION!$C$6:$F$6,MIN(4,COUNTIF(CAPA3_EXPANSION!$D$56:R$56,"&gt;="&amp;11)))*CAPA3_EXPANSION!R$36)</f>
        <v>0</v>
      </c>
      <c r="S18" s="298" t="n">
        <f aca="false">IF(COUNTIF(CAPA3_EXPANSION!$D$56:S$56,"&gt;="&amp;11)=0,0,SUP_CONTROL!$C$8*IF($B18="V",1,IF($B18="D",(1+SUP_VOLUMEN!$C$26),(1+SUP_VOLUMEN!$C$27)))*INDEX(SUP_C3_EXPANSION!$C$6:$F$6,MIN(4,COUNTIF(CAPA3_EXPANSION!$D$56:S$56,"&gt;="&amp;11)))*CAPA3_EXPANSION!S$36)</f>
        <v>0</v>
      </c>
      <c r="T18" s="298" t="n">
        <f aca="false">IF(COUNTIF(CAPA3_EXPANSION!$D$56:T$56,"&gt;="&amp;11)=0,0,SUP_CONTROL!$C$8*IF($B18="V",1,IF($B18="D",(1+SUP_VOLUMEN!$C$26),(1+SUP_VOLUMEN!$C$27)))*INDEX(SUP_C3_EXPANSION!$C$6:$F$6,MIN(4,COUNTIF(CAPA3_EXPANSION!$D$56:T$56,"&gt;="&amp;11)))*CAPA3_EXPANSION!T$36)</f>
        <v>0</v>
      </c>
      <c r="U18" s="298" t="n">
        <f aca="false">IF(COUNTIF(CAPA3_EXPANSION!$D$56:U$56,"&gt;="&amp;11)=0,0,SUP_CONTROL!$C$8*IF($B18="V",1,IF($B18="D",(1+SUP_VOLUMEN!$C$26),(1+SUP_VOLUMEN!$C$27)))*INDEX(SUP_C3_EXPANSION!$C$6:$F$6,MIN(4,COUNTIF(CAPA3_EXPANSION!$D$56:U$56,"&gt;="&amp;11)))*CAPA3_EXPANSION!U$36)</f>
        <v>0</v>
      </c>
      <c r="V18" s="298" t="n">
        <f aca="false">IF(COUNTIF(CAPA3_EXPANSION!$D$56:V$56,"&gt;="&amp;11)=0,0,SUP_CONTROL!$C$8*IF($B18="V",1,IF($B18="D",(1+SUP_VOLUMEN!$C$26),(1+SUP_VOLUMEN!$C$27)))*INDEX(SUP_C3_EXPANSION!$C$6:$F$6,MIN(4,COUNTIF(CAPA3_EXPANSION!$D$56:V$56,"&gt;="&amp;11)))*CAPA3_EXPANSION!V$36)</f>
        <v>0</v>
      </c>
      <c r="W18" s="298" t="n">
        <f aca="false">IF(COUNTIF(CAPA3_EXPANSION!$D$56:W$56,"&gt;="&amp;11)=0,0,SUP_CONTROL!$C$8*IF($B18="V",1,IF($B18="D",(1+SUP_VOLUMEN!$C$26),(1+SUP_VOLUMEN!$C$27)))*INDEX(SUP_C3_EXPANSION!$C$6:$F$6,MIN(4,COUNTIF(CAPA3_EXPANSION!$D$56:W$56,"&gt;="&amp;11)))*CAPA3_EXPANSION!W$36)</f>
        <v>0</v>
      </c>
      <c r="X18" s="298" t="n">
        <f aca="false">IF(COUNTIF(CAPA3_EXPANSION!$D$56:X$56,"&gt;="&amp;11)=0,0,SUP_CONTROL!$C$8*IF($B18="V",1,IF($B18="D",(1+SUP_VOLUMEN!$C$26),(1+SUP_VOLUMEN!$C$27)))*INDEX(SUP_C3_EXPANSION!$C$6:$F$6,MIN(4,COUNTIF(CAPA3_EXPANSION!$D$56:X$56,"&gt;="&amp;11)))*CAPA3_EXPANSION!X$36)</f>
        <v>0</v>
      </c>
      <c r="Y18" s="298" t="n">
        <f aca="false">IF(COUNTIF(CAPA3_EXPANSION!$D$56:Y$56,"&gt;="&amp;11)=0,0,SUP_CONTROL!$C$8*IF($B18="V",1,IF($B18="D",(1+SUP_VOLUMEN!$C$26),(1+SUP_VOLUMEN!$C$27)))*INDEX(SUP_C3_EXPANSION!$C$6:$F$6,MIN(4,COUNTIF(CAPA3_EXPANSION!$D$56:Y$56,"&gt;="&amp;11)))*CAPA3_EXPANSION!Y$36)</f>
        <v>0</v>
      </c>
      <c r="Z18" s="298" t="n">
        <f aca="false">IF(COUNTIF(CAPA3_EXPANSION!$D$56:Z$56,"&gt;="&amp;11)=0,0,SUP_CONTROL!$C$8*IF($B18="V",1,IF($B18="D",(1+SUP_VOLUMEN!$C$26),(1+SUP_VOLUMEN!$C$27)))*INDEX(SUP_C3_EXPANSION!$C$6:$F$6,MIN(4,COUNTIF(CAPA3_EXPANSION!$D$56:Z$56,"&gt;="&amp;11)))*CAPA3_EXPANSION!Z$36)</f>
        <v>0</v>
      </c>
      <c r="AA18" s="298" t="n">
        <f aca="false">IF(COUNTIF(CAPA3_EXPANSION!$D$56:AA$56,"&gt;="&amp;11)=0,0,SUP_CONTROL!$C$8*IF($B18="V",1,IF($B18="D",(1+SUP_VOLUMEN!$C$26),(1+SUP_VOLUMEN!$C$27)))*INDEX(SUP_C3_EXPANSION!$C$6:$F$6,MIN(4,COUNTIF(CAPA3_EXPANSION!$D$56:AA$56,"&gt;="&amp;11)))*CAPA3_EXPANSION!AA$36)</f>
        <v>0</v>
      </c>
      <c r="AB18" s="298" t="n">
        <f aca="false">IF(COUNTIF(CAPA3_EXPANSION!$D$56:AB$56,"&gt;="&amp;11)=0,0,SUP_CONTROL!$C$8*IF($B18="V",1,IF($B18="D",(1+SUP_VOLUMEN!$C$26),(1+SUP_VOLUMEN!$C$27)))*INDEX(SUP_C3_EXPANSION!$C$6:$F$6,MIN(4,COUNTIF(CAPA3_EXPANSION!$D$56:AB$56,"&gt;="&amp;11)))*CAPA3_EXPANSION!AB$36)</f>
        <v>0</v>
      </c>
      <c r="AC18" s="298" t="n">
        <f aca="false">IF(COUNTIF(CAPA3_EXPANSION!$D$56:AC$56,"&gt;="&amp;11)=0,0,SUP_CONTROL!$C$8*IF($B18="V",1,IF($B18="D",(1+SUP_VOLUMEN!$C$26),(1+SUP_VOLUMEN!$C$27)))*INDEX(SUP_C3_EXPANSION!$C$6:$F$6,MIN(4,COUNTIF(CAPA3_EXPANSION!$D$56:AC$56,"&gt;="&amp;11)))*CAPA3_EXPANSION!AC$36)</f>
        <v>0</v>
      </c>
      <c r="AD18" s="298" t="n">
        <f aca="false">IF(COUNTIF(CAPA3_EXPANSION!$D$56:AD$56,"&gt;="&amp;11)=0,0,SUP_CONTROL!$C$8*IF($B18="V",1,IF($B18="D",(1+SUP_VOLUMEN!$C$26),(1+SUP_VOLUMEN!$C$27)))*INDEX(SUP_C3_EXPANSION!$C$6:$F$6,MIN(4,COUNTIF(CAPA3_EXPANSION!$D$56:AD$56,"&gt;="&amp;11)))*CAPA3_EXPANSION!AD$36)</f>
        <v>0</v>
      </c>
      <c r="AE18" s="298" t="n">
        <f aca="false">IF(COUNTIF(CAPA3_EXPANSION!$D$56:AE$56,"&gt;="&amp;11)=0,0,SUP_CONTROL!$C$8*IF($B18="V",1,IF($B18="D",(1+SUP_VOLUMEN!$C$26),(1+SUP_VOLUMEN!$C$27)))*INDEX(SUP_C3_EXPANSION!$C$6:$F$6,MIN(4,COUNTIF(CAPA3_EXPANSION!$D$56:AE$56,"&gt;="&amp;11)))*CAPA3_EXPANSION!AE$36)</f>
        <v>0</v>
      </c>
      <c r="AF18" s="298" t="n">
        <f aca="false">IF(COUNTIF(CAPA3_EXPANSION!$D$56:AF$56,"&gt;="&amp;11)=0,0,SUP_CONTROL!$C$8*IF($B18="V",1,IF($B18="D",(1+SUP_VOLUMEN!$C$26),(1+SUP_VOLUMEN!$C$27)))*INDEX(SUP_C3_EXPANSION!$C$6:$F$6,MIN(4,COUNTIF(CAPA3_EXPANSION!$D$56:AF$56,"&gt;="&amp;11)))*CAPA3_EXPANSION!AF$36)</f>
        <v>0</v>
      </c>
      <c r="AG18" s="298" t="n">
        <f aca="false">IF(COUNTIF(CAPA3_EXPANSION!$D$56:AG$56,"&gt;="&amp;11)=0,0,SUP_CONTROL!$C$8*IF($B18="V",1,IF($B18="D",(1+SUP_VOLUMEN!$C$26),(1+SUP_VOLUMEN!$C$27)))*INDEX(SUP_C3_EXPANSION!$C$6:$F$6,MIN(4,COUNTIF(CAPA3_EXPANSION!$D$56:AG$56,"&gt;="&amp;11)))*CAPA3_EXPANSION!AG$36)</f>
        <v>0</v>
      </c>
      <c r="AH18" s="298" t="n">
        <f aca="false">IF(COUNTIF(CAPA3_EXPANSION!$D$56:AH$56,"&gt;="&amp;11)=0,0,SUP_CONTROL!$C$8*IF($B18="V",1,IF($B18="D",(1+SUP_VOLUMEN!$C$26),(1+SUP_VOLUMEN!$C$27)))*INDEX(SUP_C3_EXPANSION!$C$6:$F$6,MIN(4,COUNTIF(CAPA3_EXPANSION!$D$56:AH$56,"&gt;="&amp;11)))*CAPA3_EXPANSION!AH$36)</f>
        <v>0</v>
      </c>
      <c r="AI18" s="298" t="n">
        <f aca="false">IF(COUNTIF(CAPA3_EXPANSION!$D$56:AI$56,"&gt;="&amp;11)=0,0,SUP_CONTROL!$C$8*IF($B18="V",1,IF($B18="D",(1+SUP_VOLUMEN!$C$26),(1+SUP_VOLUMEN!$C$27)))*INDEX(SUP_C3_EXPANSION!$C$6:$F$6,MIN(4,COUNTIF(CAPA3_EXPANSION!$D$56:AI$56,"&gt;="&amp;11)))*CAPA3_EXPANSION!AI$36)</f>
        <v>0</v>
      </c>
      <c r="AJ18" s="298" t="n">
        <f aca="false">IF(COUNTIF(CAPA3_EXPANSION!$D$56:AJ$56,"&gt;="&amp;11)=0,0,SUP_CONTROL!$C$8*IF($B18="V",1,IF($B18="D",(1+SUP_VOLUMEN!$C$26),(1+SUP_VOLUMEN!$C$27)))*INDEX(SUP_C3_EXPANSION!$C$6:$F$6,MIN(4,COUNTIF(CAPA3_EXPANSION!$D$56:AJ$56,"&gt;="&amp;11)))*CAPA3_EXPANSION!AJ$36)</f>
        <v>0</v>
      </c>
      <c r="AK18" s="298" t="n">
        <f aca="false">IF(COUNTIF(CAPA3_EXPANSION!$D$56:AK$56,"&gt;="&amp;11)=0,0,SUP_CONTROL!$C$8*IF($B18="V",1,IF($B18="D",(1+SUP_VOLUMEN!$C$26),(1+SUP_VOLUMEN!$C$27)))*INDEX(SUP_C3_EXPANSION!$C$6:$F$6,MIN(4,COUNTIF(CAPA3_EXPANSION!$D$56:AK$56,"&gt;="&amp;11)))*CAPA3_EXPANSION!AK$36)</f>
        <v>0</v>
      </c>
      <c r="AL18" s="298" t="n">
        <f aca="false">IF(COUNTIF(CAPA3_EXPANSION!$D$56:AL$56,"&gt;="&amp;11)=0,0,SUP_CONTROL!$C$8*IF($B18="V",1,IF($B18="D",(1+SUP_VOLUMEN!$C$26),(1+SUP_VOLUMEN!$C$27)))*INDEX(SUP_C3_EXPANSION!$C$6:$F$6,MIN(4,COUNTIF(CAPA3_EXPANSION!$D$56:AL$56,"&gt;="&amp;11)))*CAPA3_EXPANSION!AL$36)</f>
        <v>0</v>
      </c>
      <c r="AM18" s="298" t="n">
        <f aca="false">IF(COUNTIF(CAPA3_EXPANSION!$D$56:AM$56,"&gt;="&amp;11)=0,0,SUP_CONTROL!$C$8*IF($B18="V",1,IF($B18="D",(1+SUP_VOLUMEN!$C$26),(1+SUP_VOLUMEN!$C$27)))*INDEX(SUP_C3_EXPANSION!$C$6:$F$6,MIN(4,COUNTIF(CAPA3_EXPANSION!$D$56:AM$56,"&gt;="&amp;11)))*CAPA3_EXPANSION!AM$36)</f>
        <v>0</v>
      </c>
      <c r="AN18" s="298" t="n">
        <f aca="false">IF(COUNTIF(CAPA3_EXPANSION!$D$56:AN$56,"&gt;="&amp;11)=0,0,SUP_CONTROL!$C$8*IF($B18="V",1,IF($B18="D",(1+SUP_VOLUMEN!$C$26),(1+SUP_VOLUMEN!$C$27)))*INDEX(SUP_C3_EXPANSION!$C$6:$F$6,MIN(4,COUNTIF(CAPA3_EXPANSION!$D$56:AN$56,"&gt;="&amp;11)))*CAPA3_EXPANSION!AN$36)</f>
        <v>0</v>
      </c>
      <c r="AO18" s="298" t="n">
        <f aca="false">IF(COUNTIF(CAPA3_EXPANSION!$D$56:AO$56,"&gt;="&amp;11)=0,0,SUP_CONTROL!$C$8*IF($B18="V",1,IF($B18="D",(1+SUP_VOLUMEN!$C$26),(1+SUP_VOLUMEN!$C$27)))*INDEX(SUP_C3_EXPANSION!$C$6:$F$6,MIN(4,COUNTIF(CAPA3_EXPANSION!$D$56:AO$56,"&gt;="&amp;11)))*CAPA3_EXPANSION!AO$36)</f>
        <v>0</v>
      </c>
      <c r="AP18" s="298" t="n">
        <f aca="false">IF(COUNTIF(CAPA3_EXPANSION!$D$56:AP$56,"&gt;="&amp;11)=0,0,SUP_CONTROL!$C$8*IF($B18="V",1,IF($B18="D",(1+SUP_VOLUMEN!$C$26),(1+SUP_VOLUMEN!$C$27)))*INDEX(SUP_C3_EXPANSION!$C$6:$F$6,MIN(4,COUNTIF(CAPA3_EXPANSION!$D$56:AP$56,"&gt;="&amp;11)))*CAPA3_EXPANSION!AP$36)</f>
        <v>0</v>
      </c>
      <c r="AQ18" s="298" t="n">
        <f aca="false">IF(COUNTIF(CAPA3_EXPANSION!$D$56:AQ$56,"&gt;="&amp;11)=0,0,SUP_CONTROL!$C$8*IF($B18="V",1,IF($B18="D",(1+SUP_VOLUMEN!$C$26),(1+SUP_VOLUMEN!$C$27)))*INDEX(SUP_C3_EXPANSION!$C$6:$F$6,MIN(4,COUNTIF(CAPA3_EXPANSION!$D$56:AQ$56,"&gt;="&amp;11)))*CAPA3_EXPANSION!AQ$36)</f>
        <v>0</v>
      </c>
      <c r="AR18" s="298" t="n">
        <f aca="false">IF(COUNTIF(CAPA3_EXPANSION!$D$56:AR$56,"&gt;="&amp;11)=0,0,SUP_CONTROL!$C$8*IF($B18="V",1,IF($B18="D",(1+SUP_VOLUMEN!$C$26),(1+SUP_VOLUMEN!$C$27)))*INDEX(SUP_C3_EXPANSION!$C$6:$F$6,MIN(4,COUNTIF(CAPA3_EXPANSION!$D$56:AR$56,"&gt;="&amp;11)))*CAPA3_EXPANSION!AR$36)</f>
        <v>0</v>
      </c>
      <c r="AS18" s="298" t="n">
        <f aca="false">IF(COUNTIF(CAPA3_EXPANSION!$D$56:AS$56,"&gt;="&amp;11)=0,0,SUP_CONTROL!$C$8*IF($B18="V",1,IF($B18="D",(1+SUP_VOLUMEN!$C$26),(1+SUP_VOLUMEN!$C$27)))*INDEX(SUP_C3_EXPANSION!$C$6:$F$6,MIN(4,COUNTIF(CAPA3_EXPANSION!$D$56:AS$56,"&gt;="&amp;11)))*CAPA3_EXPANSION!AS$36)</f>
        <v>0</v>
      </c>
      <c r="AT18" s="298" t="n">
        <f aca="false">IF(COUNTIF(CAPA3_EXPANSION!$D$56:AT$56,"&gt;="&amp;11)=0,0,SUP_CONTROL!$C$8*IF($B18="V",1,IF($B18="D",(1+SUP_VOLUMEN!$C$26),(1+SUP_VOLUMEN!$C$27)))*INDEX(SUP_C3_EXPANSION!$C$6:$F$6,MIN(4,COUNTIF(CAPA3_EXPANSION!$D$56:AT$56,"&gt;="&amp;11)))*CAPA3_EXPANSION!AT$36)</f>
        <v>2579.85</v>
      </c>
      <c r="AU18" s="298" t="n">
        <f aca="false">IF(COUNTIF(CAPA3_EXPANSION!$D$56:AU$56,"&gt;="&amp;11)=0,0,SUP_CONTROL!$C$8*IF($B18="V",1,IF($B18="D",(1+SUP_VOLUMEN!$C$26),(1+SUP_VOLUMEN!$C$27)))*INDEX(SUP_C3_EXPANSION!$C$6:$F$6,MIN(4,COUNTIF(CAPA3_EXPANSION!$D$56:AU$56,"&gt;="&amp;11)))*CAPA3_EXPANSION!AU$36)</f>
        <v>3175.2</v>
      </c>
      <c r="AV18" s="298" t="n">
        <f aca="false">IF(COUNTIF(CAPA3_EXPANSION!$D$56:AV$56,"&gt;="&amp;11)=0,0,SUP_CONTROL!$C$8*IF($B18="V",1,IF($B18="D",(1+SUP_VOLUMEN!$C$26),(1+SUP_VOLUMEN!$C$27)))*INDEX(SUP_C3_EXPANSION!$C$6:$F$6,MIN(4,COUNTIF(CAPA3_EXPANSION!$D$56:AV$56,"&gt;="&amp;11)))*CAPA3_EXPANSION!AV$36)</f>
        <v>3572.1</v>
      </c>
      <c r="AW18" s="298" t="n">
        <f aca="false">IF(COUNTIF(CAPA3_EXPANSION!$D$56:AW$56,"&gt;="&amp;11)=0,0,SUP_CONTROL!$C$8*IF($B18="V",1,IF($B18="D",(1+SUP_VOLUMEN!$C$26),(1+SUP_VOLUMEN!$C$27)))*INDEX(SUP_C3_EXPANSION!$C$6:$F$6,MIN(4,COUNTIF(CAPA3_EXPANSION!$D$56:AW$56,"&gt;="&amp;11)))*CAPA3_EXPANSION!AW$36)</f>
        <v>3969</v>
      </c>
      <c r="AX18" s="298" t="n">
        <f aca="false">IF(COUNTIF(CAPA3_EXPANSION!$D$56:AX$56,"&gt;="&amp;11)=0,0,SUP_CONTROL!$C$8*IF($B18="V",1,IF($B18="D",(1+SUP_VOLUMEN!$C$26),(1+SUP_VOLUMEN!$C$27)))*INDEX(SUP_C3_EXPANSION!$C$6:$F$6,MIN(4,COUNTIF(CAPA3_EXPANSION!$D$56:AX$56,"&gt;="&amp;11)))*CAPA3_EXPANSION!AX$36)</f>
        <v>3969</v>
      </c>
      <c r="AY18" s="298" t="n">
        <f aca="false">IF(COUNTIF(CAPA3_EXPANSION!$D$56:AY$56,"&gt;="&amp;11)=0,0,SUP_CONTROL!$C$8*IF($B18="V",1,IF($B18="D",(1+SUP_VOLUMEN!$C$26),(1+SUP_VOLUMEN!$C$27)))*INDEX(SUP_C3_EXPANSION!$C$6:$F$6,MIN(4,COUNTIF(CAPA3_EXPANSION!$D$56:AY$56,"&gt;="&amp;11)))*CAPA3_EXPANSION!AY$36)</f>
        <v>3969</v>
      </c>
      <c r="AZ18" s="298" t="n">
        <f aca="false">IF(COUNTIF(CAPA3_EXPANSION!$D$56:AZ$56,"&gt;="&amp;11)=0,0,SUP_CONTROL!$C$8*IF($B18="V",1,IF($B18="D",(1+SUP_VOLUMEN!$C$26),(1+SUP_VOLUMEN!$C$27)))*INDEX(SUP_C3_EXPANSION!$C$6:$F$6,MIN(4,COUNTIF(CAPA3_EXPANSION!$D$56:AZ$56,"&gt;="&amp;11)))*CAPA3_EXPANSION!AZ$36)</f>
        <v>3969</v>
      </c>
      <c r="BA18" s="298" t="n">
        <f aca="false">IF(COUNTIF(CAPA3_EXPANSION!$D$56:BA$56,"&gt;="&amp;11)=0,0,SUP_CONTROL!$C$8*IF($B18="V",1,IF($B18="D",(1+SUP_VOLUMEN!$C$26),(1+SUP_VOLUMEN!$C$27)))*INDEX(SUP_C3_EXPANSION!$C$6:$F$6,MIN(4,COUNTIF(CAPA3_EXPANSION!$D$56:BA$56,"&gt;="&amp;11)))*CAPA3_EXPANSION!BA$36)</f>
        <v>3969</v>
      </c>
      <c r="BB18" s="298" t="n">
        <f aca="false">IF(COUNTIF(CAPA3_EXPANSION!$D$56:BB$56,"&gt;="&amp;11)=0,0,SUP_CONTROL!$C$8*IF($B18="V",1,IF($B18="D",(1+SUP_VOLUMEN!$C$26),(1+SUP_VOLUMEN!$C$27)))*INDEX(SUP_C3_EXPANSION!$C$6:$F$6,MIN(4,COUNTIF(CAPA3_EXPANSION!$D$56:BB$56,"&gt;="&amp;11)))*CAPA3_EXPANSION!BB$36)</f>
        <v>3969</v>
      </c>
      <c r="BC18" s="298" t="n">
        <f aca="false">IF(COUNTIF(CAPA3_EXPANSION!$D$56:BC$56,"&gt;="&amp;11)=0,0,SUP_CONTROL!$C$8*IF($B18="V",1,IF($B18="D",(1+SUP_VOLUMEN!$C$26),(1+SUP_VOLUMEN!$C$27)))*INDEX(SUP_C3_EXPANSION!$C$6:$F$6,MIN(4,COUNTIF(CAPA3_EXPANSION!$D$56:BC$56,"&gt;="&amp;11)))*CAPA3_EXPANSION!BC$36)</f>
        <v>3969</v>
      </c>
      <c r="BD18" s="298" t="n">
        <f aca="false">IF(COUNTIF(CAPA3_EXPANSION!$D$56:BD$56,"&gt;="&amp;11)=0,0,SUP_CONTROL!$C$8*IF($B18="V",1,IF($B18="D",(1+SUP_VOLUMEN!$C$26),(1+SUP_VOLUMEN!$C$27)))*INDEX(SUP_C3_EXPANSION!$C$6:$F$6,MIN(4,COUNTIF(CAPA3_EXPANSION!$D$56:BD$56,"&gt;="&amp;11)))*CAPA3_EXPANSION!BD$36)</f>
        <v>3969</v>
      </c>
      <c r="BE18" s="298" t="n">
        <f aca="false">IF(COUNTIF(CAPA3_EXPANSION!$D$56:BE$56,"&gt;="&amp;11)=0,0,SUP_CONTROL!$C$8*IF($B18="V",1,IF($B18="D",(1+SUP_VOLUMEN!$C$26),(1+SUP_VOLUMEN!$C$27)))*INDEX(SUP_C3_EXPANSION!$C$6:$F$6,MIN(4,COUNTIF(CAPA3_EXPANSION!$D$56:BE$56,"&gt;="&amp;11)))*CAPA3_EXPANSION!BE$36)</f>
        <v>3969</v>
      </c>
      <c r="BF18" s="298" t="n">
        <f aca="false">IF(COUNTIF(CAPA3_EXPANSION!$D$56:BF$56,"&gt;="&amp;11)=0,0,SUP_CONTROL!$C$8*IF($B18="V",1,IF($B18="D",(1+SUP_VOLUMEN!$C$26),(1+SUP_VOLUMEN!$C$27)))*INDEX(SUP_C3_EXPANSION!$C$6:$F$6,MIN(4,COUNTIF(CAPA3_EXPANSION!$D$56:BF$56,"&gt;="&amp;11)))*CAPA3_EXPANSION!BF$36)</f>
        <v>3864</v>
      </c>
      <c r="BG18" s="298" t="n">
        <f aca="false">IF(COUNTIF(CAPA3_EXPANSION!$D$56:BG$56,"&gt;="&amp;11)=0,0,SUP_CONTROL!$C$8*IF($B18="V",1,IF($B18="D",(1+SUP_VOLUMEN!$C$26),(1+SUP_VOLUMEN!$C$27)))*INDEX(SUP_C3_EXPANSION!$C$6:$F$6,MIN(4,COUNTIF(CAPA3_EXPANSION!$D$56:BG$56,"&gt;="&amp;11)))*CAPA3_EXPANSION!BG$36)</f>
        <v>3864</v>
      </c>
      <c r="BH18" s="298" t="n">
        <f aca="false">IF(COUNTIF(CAPA3_EXPANSION!$D$56:BH$56,"&gt;="&amp;11)=0,0,SUP_CONTROL!$C$8*IF($B18="V",1,IF($B18="D",(1+SUP_VOLUMEN!$C$26),(1+SUP_VOLUMEN!$C$27)))*INDEX(SUP_C3_EXPANSION!$C$6:$F$6,MIN(4,COUNTIF(CAPA3_EXPANSION!$D$56:BH$56,"&gt;="&amp;11)))*CAPA3_EXPANSION!BH$36)</f>
        <v>3864</v>
      </c>
      <c r="BI18" s="298" t="n">
        <f aca="false">IF(COUNTIF(CAPA3_EXPANSION!$D$56:BI$56,"&gt;="&amp;11)=0,0,SUP_CONTROL!$C$8*IF($B18="V",1,IF($B18="D",(1+SUP_VOLUMEN!$C$26),(1+SUP_VOLUMEN!$C$27)))*INDEX(SUP_C3_EXPANSION!$C$6:$F$6,MIN(4,COUNTIF(CAPA3_EXPANSION!$D$56:BI$56,"&gt;="&amp;11)))*CAPA3_EXPANSION!BI$36)</f>
        <v>3864</v>
      </c>
      <c r="BJ18" s="298" t="n">
        <f aca="false">IF(COUNTIF(CAPA3_EXPANSION!$D$56:BJ$56,"&gt;="&amp;11)=0,0,SUP_CONTROL!$C$8*IF($B18="V",1,IF($B18="D",(1+SUP_VOLUMEN!$C$26),(1+SUP_VOLUMEN!$C$27)))*INDEX(SUP_C3_EXPANSION!$C$6:$F$6,MIN(4,COUNTIF(CAPA3_EXPANSION!$D$56:BJ$56,"&gt;="&amp;11)))*CAPA3_EXPANSION!BJ$36)</f>
        <v>3864</v>
      </c>
      <c r="BK18" s="298" t="n">
        <f aca="false">IF(COUNTIF(CAPA3_EXPANSION!$D$56:BK$56,"&gt;="&amp;11)=0,0,SUP_CONTROL!$C$8*IF($B18="V",1,IF($B18="D",(1+SUP_VOLUMEN!$C$26),(1+SUP_VOLUMEN!$C$27)))*INDEX(SUP_C3_EXPANSION!$C$6:$F$6,MIN(4,COUNTIF(CAPA3_EXPANSION!$D$56:BK$56,"&gt;="&amp;11)))*CAPA3_EXPANSION!BK$36)</f>
        <v>3780</v>
      </c>
      <c r="BL18" s="298" t="n">
        <f aca="false">IF(COUNTIF(CAPA3_EXPANSION!$D$56:BL$56,"&gt;="&amp;11)=0,0,SUP_CONTROL!$C$8*IF($B18="V",1,IF($B18="D",(1+SUP_VOLUMEN!$C$26),(1+SUP_VOLUMEN!$C$27)))*INDEX(SUP_C3_EXPANSION!$C$6:$F$6,MIN(4,COUNTIF(CAPA3_EXPANSION!$D$56:BL$56,"&gt;="&amp;11)))*CAPA3_EXPANSION!BL$36)</f>
        <v>3780</v>
      </c>
      <c r="BM18" s="298" t="n">
        <f aca="false">IF(COUNTIF(CAPA3_EXPANSION!$D$56:BM$56,"&gt;="&amp;11)=0,0,SUP_CONTROL!$C$8*IF($B18="V",1,IF($B18="D",(1+SUP_VOLUMEN!$C$26),(1+SUP_VOLUMEN!$C$27)))*INDEX(SUP_C3_EXPANSION!$C$6:$F$6,MIN(4,COUNTIF(CAPA3_EXPANSION!$D$56:BM$56,"&gt;="&amp;11)))*CAPA3_EXPANSION!BM$36)</f>
        <v>3780</v>
      </c>
      <c r="BN18" s="298" t="n">
        <f aca="false">IF(COUNTIF(CAPA3_EXPANSION!$D$56:BN$56,"&gt;="&amp;11)=0,0,SUP_CONTROL!$C$8*IF($B18="V",1,IF($B18="D",(1+SUP_VOLUMEN!$C$26),(1+SUP_VOLUMEN!$C$27)))*INDEX(SUP_C3_EXPANSION!$C$6:$F$6,MIN(4,COUNTIF(CAPA3_EXPANSION!$D$56:BN$56,"&gt;="&amp;11)))*CAPA3_EXPANSION!BN$36)</f>
        <v>3780</v>
      </c>
      <c r="BO18" s="298" t="n">
        <f aca="false">IF(COUNTIF(CAPA3_EXPANSION!$D$56:BO$56,"&gt;="&amp;11)=0,0,SUP_CONTROL!$C$8*IF($B18="V",1,IF($B18="D",(1+SUP_VOLUMEN!$C$26),(1+SUP_VOLUMEN!$C$27)))*INDEX(SUP_C3_EXPANSION!$C$6:$F$6,MIN(4,COUNTIF(CAPA3_EXPANSION!$D$56:BO$56,"&gt;="&amp;11)))*CAPA3_EXPANSION!BO$36)</f>
        <v>3780</v>
      </c>
      <c r="BP18" s="298" t="n">
        <f aca="false">IF(COUNTIF(CAPA3_EXPANSION!$D$56:BP$56,"&gt;="&amp;11)=0,0,SUP_CONTROL!$C$8*IF($B18="V",1,IF($B18="D",(1+SUP_VOLUMEN!$C$26),(1+SUP_VOLUMEN!$C$27)))*INDEX(SUP_C3_EXPANSION!$C$6:$F$6,MIN(4,COUNTIF(CAPA3_EXPANSION!$D$56:BP$56,"&gt;="&amp;11)))*CAPA3_EXPANSION!BP$36)</f>
        <v>3780</v>
      </c>
      <c r="BQ18" s="298" t="n">
        <f aca="false">IF(COUNTIF(CAPA3_EXPANSION!$D$56:BQ$56,"&gt;="&amp;11)=0,0,SUP_CONTROL!$C$8*IF($B18="V",1,IF($B18="D",(1+SUP_VOLUMEN!$C$26),(1+SUP_VOLUMEN!$C$27)))*INDEX(SUP_C3_EXPANSION!$C$6:$F$6,MIN(4,COUNTIF(CAPA3_EXPANSION!$D$56:BQ$56,"&gt;="&amp;11)))*CAPA3_EXPANSION!BQ$36)</f>
        <v>3696</v>
      </c>
      <c r="BR18" s="298" t="n">
        <f aca="false">IF(COUNTIF(CAPA3_EXPANSION!$D$56:BR$56,"&gt;="&amp;11)=0,0,SUP_CONTROL!$C$8*IF($B18="V",1,IF($B18="D",(1+SUP_VOLUMEN!$C$26),(1+SUP_VOLUMEN!$C$27)))*INDEX(SUP_C3_EXPANSION!$C$6:$F$6,MIN(4,COUNTIF(CAPA3_EXPANSION!$D$56:BR$56,"&gt;="&amp;11)))*CAPA3_EXPANSION!BR$36)</f>
        <v>3696</v>
      </c>
      <c r="BS18" s="298" t="n">
        <f aca="false">IF(COUNTIF(CAPA3_EXPANSION!$D$56:BS$56,"&gt;="&amp;11)=0,0,SUP_CONTROL!$C$8*IF($B18="V",1,IF($B18="D",(1+SUP_VOLUMEN!$C$26),(1+SUP_VOLUMEN!$C$27)))*INDEX(SUP_C3_EXPANSION!$C$6:$F$6,MIN(4,COUNTIF(CAPA3_EXPANSION!$D$56:BS$56,"&gt;="&amp;11)))*CAPA3_EXPANSION!BS$36)</f>
        <v>3696</v>
      </c>
      <c r="BT18" s="298" t="n">
        <f aca="false">IF(COUNTIF(CAPA3_EXPANSION!$D$56:BT$56,"&gt;="&amp;11)=0,0,SUP_CONTROL!$C$8*IF($B18="V",1,IF($B18="D",(1+SUP_VOLUMEN!$C$26),(1+SUP_VOLUMEN!$C$27)))*INDEX(SUP_C3_EXPANSION!$C$6:$F$6,MIN(4,COUNTIF(CAPA3_EXPANSION!$D$56:BT$56,"&gt;="&amp;11)))*CAPA3_EXPANSION!BT$36)</f>
        <v>3696</v>
      </c>
      <c r="BU18" s="298" t="n">
        <f aca="false">IF(COUNTIF(CAPA3_EXPANSION!$D$56:BU$56,"&gt;="&amp;11)=0,0,SUP_CONTROL!$C$8*IF($B18="V",1,IF($B18="D",(1+SUP_VOLUMEN!$C$26),(1+SUP_VOLUMEN!$C$27)))*INDEX(SUP_C3_EXPANSION!$C$6:$F$6,MIN(4,COUNTIF(CAPA3_EXPANSION!$D$56:BU$56,"&gt;="&amp;11)))*CAPA3_EXPANSION!BU$36)</f>
        <v>3696</v>
      </c>
      <c r="BV18" s="298" t="n">
        <f aca="false">IF(COUNTIF(CAPA3_EXPANSION!$D$56:BV$56,"&gt;="&amp;11)=0,0,SUP_CONTROL!$C$8*IF($B18="V",1,IF($B18="D",(1+SUP_VOLUMEN!$C$26),(1+SUP_VOLUMEN!$C$27)))*INDEX(SUP_C3_EXPANSION!$C$6:$F$6,MIN(4,COUNTIF(CAPA3_EXPANSION!$D$56:BV$56,"&gt;="&amp;11)))*CAPA3_EXPANSION!BV$36)</f>
        <v>3696</v>
      </c>
      <c r="BW18" s="298" t="n">
        <f aca="false">IF(COUNTIF(CAPA3_EXPANSION!$D$56:BW$56,"&gt;="&amp;11)=0,0,SUP_CONTROL!$C$8*IF($B18="V",1,IF($B18="D",(1+SUP_VOLUMEN!$C$26),(1+SUP_VOLUMEN!$C$27)))*INDEX(SUP_C3_EXPANSION!$C$6:$F$6,MIN(4,COUNTIF(CAPA3_EXPANSION!$D$56:BW$56,"&gt;="&amp;11)))*CAPA3_EXPANSION!BW$36)</f>
        <v>3633</v>
      </c>
      <c r="BX18" s="298" t="n">
        <f aca="false">IF(COUNTIF(CAPA3_EXPANSION!$D$56:BX$56,"&gt;="&amp;11)=0,0,SUP_CONTROL!$C$8*IF($B18="V",1,IF($B18="D",(1+SUP_VOLUMEN!$C$26),(1+SUP_VOLUMEN!$C$27)))*INDEX(SUP_C3_EXPANSION!$C$6:$F$6,MIN(4,COUNTIF(CAPA3_EXPANSION!$D$56:BX$56,"&gt;="&amp;11)))*CAPA3_EXPANSION!BX$36)</f>
        <v>3633</v>
      </c>
      <c r="BY18" s="298" t="n">
        <f aca="false">IF(COUNTIF(CAPA3_EXPANSION!$D$56:BY$56,"&gt;="&amp;11)=0,0,SUP_CONTROL!$C$8*IF($B18="V",1,IF($B18="D",(1+SUP_VOLUMEN!$C$26),(1+SUP_VOLUMEN!$C$27)))*INDEX(SUP_C3_EXPANSION!$C$6:$F$6,MIN(4,COUNTIF(CAPA3_EXPANSION!$D$56:BY$56,"&gt;="&amp;11)))*CAPA3_EXPANSION!BY$36)</f>
        <v>3633</v>
      </c>
      <c r="BZ18" s="298" t="n">
        <f aca="false">IF(COUNTIF(CAPA3_EXPANSION!$D$56:BZ$56,"&gt;="&amp;11)=0,0,SUP_CONTROL!$C$8*IF($B18="V",1,IF($B18="D",(1+SUP_VOLUMEN!$C$26),(1+SUP_VOLUMEN!$C$27)))*INDEX(SUP_C3_EXPANSION!$C$6:$F$6,MIN(4,COUNTIF(CAPA3_EXPANSION!$D$56:BZ$56,"&gt;="&amp;11)))*CAPA3_EXPANSION!BZ$36)</f>
        <v>3633</v>
      </c>
      <c r="CA18" s="298" t="n">
        <f aca="false">IF(COUNTIF(CAPA3_EXPANSION!$D$56:CA$56,"&gt;="&amp;11)=0,0,SUP_CONTROL!$C$8*IF($B18="V",1,IF($B18="D",(1+SUP_VOLUMEN!$C$26),(1+SUP_VOLUMEN!$C$27)))*INDEX(SUP_C3_EXPANSION!$C$6:$F$6,MIN(4,COUNTIF(CAPA3_EXPANSION!$D$56:CA$56,"&gt;="&amp;11)))*CAPA3_EXPANSION!CA$36)</f>
        <v>3633</v>
      </c>
      <c r="CB18" s="298" t="n">
        <f aca="false">IF(COUNTIF(CAPA3_EXPANSION!$D$56:CB$56,"&gt;="&amp;11)=0,0,SUP_CONTROL!$C$8*IF($B18="V",1,IF($B18="D",(1+SUP_VOLUMEN!$C$26),(1+SUP_VOLUMEN!$C$27)))*INDEX(SUP_C3_EXPANSION!$C$6:$F$6,MIN(4,COUNTIF(CAPA3_EXPANSION!$D$56:CB$56,"&gt;="&amp;11)))*CAPA3_EXPANSION!CB$36)</f>
        <v>3570</v>
      </c>
      <c r="CC18" s="298" t="n">
        <f aca="false">IF(COUNTIF(CAPA3_EXPANSION!$D$56:CC$56,"&gt;="&amp;11)=0,0,SUP_CONTROL!$C$8*IF($B18="V",1,IF($B18="D",(1+SUP_VOLUMEN!$C$26),(1+SUP_VOLUMEN!$C$27)))*INDEX(SUP_C3_EXPANSION!$C$6:$F$6,MIN(4,COUNTIF(CAPA3_EXPANSION!$D$56:CC$56,"&gt;="&amp;11)))*CAPA3_EXPANSION!CC$36)</f>
        <v>3570</v>
      </c>
      <c r="CD18" s="298" t="n">
        <f aca="false">IF(COUNTIF(CAPA3_EXPANSION!$D$56:CD$56,"&gt;="&amp;11)=0,0,SUP_CONTROL!$C$8*IF($B18="V",1,IF($B18="D",(1+SUP_VOLUMEN!$C$26),(1+SUP_VOLUMEN!$C$27)))*INDEX(SUP_C3_EXPANSION!$C$6:$F$6,MIN(4,COUNTIF(CAPA3_EXPANSION!$D$56:CD$56,"&gt;="&amp;11)))*CAPA3_EXPANSION!CD$36)</f>
        <v>3570</v>
      </c>
      <c r="CE18" s="298" t="n">
        <f aca="false">IF(COUNTIF(CAPA3_EXPANSION!$D$56:CE$56,"&gt;="&amp;11)=0,0,SUP_CONTROL!$C$8*IF($B18="V",1,IF($B18="D",(1+SUP_VOLUMEN!$C$26),(1+SUP_VOLUMEN!$C$27)))*INDEX(SUP_C3_EXPANSION!$C$6:$F$6,MIN(4,COUNTIF(CAPA3_EXPANSION!$D$56:CE$56,"&gt;="&amp;11)))*CAPA3_EXPANSION!CE$36)</f>
        <v>3570</v>
      </c>
      <c r="CF18" s="298" t="n">
        <f aca="false">IF(COUNTIF(CAPA3_EXPANSION!$D$56:CF$56,"&gt;="&amp;11)=0,0,SUP_CONTROL!$C$8*IF($B18="V",1,IF($B18="D",(1+SUP_VOLUMEN!$C$26),(1+SUP_VOLUMEN!$C$27)))*INDEX(SUP_C3_EXPANSION!$C$6:$F$6,MIN(4,COUNTIF(CAPA3_EXPANSION!$D$56:CF$56,"&gt;="&amp;11)))*CAPA3_EXPANSION!CF$36)</f>
        <v>3570</v>
      </c>
      <c r="CG18" s="298" t="n">
        <f aca="false">IF(COUNTIF(CAPA3_EXPANSION!$D$56:CG$56,"&gt;="&amp;11)=0,0,SUP_CONTROL!$C$8*IF($B18="V",1,IF($B18="D",(1+SUP_VOLUMEN!$C$26),(1+SUP_VOLUMEN!$C$27)))*INDEX(SUP_C3_EXPANSION!$C$6:$F$6,MIN(4,COUNTIF(CAPA3_EXPANSION!$D$56:CG$56,"&gt;="&amp;11)))*CAPA3_EXPANSION!CG$36)</f>
        <v>3528</v>
      </c>
      <c r="CH18" s="298" t="n">
        <f aca="false">IF(COUNTIF(CAPA3_EXPANSION!$D$56:CH$56,"&gt;="&amp;11)=0,0,SUP_CONTROL!$C$8*IF($B18="V",1,IF($B18="D",(1+SUP_VOLUMEN!$C$26),(1+SUP_VOLUMEN!$C$27)))*INDEX(SUP_C3_EXPANSION!$C$6:$F$6,MIN(4,COUNTIF(CAPA3_EXPANSION!$D$56:CH$56,"&gt;="&amp;11)))*CAPA3_EXPANSION!CH$36)</f>
        <v>3528</v>
      </c>
      <c r="CI18" s="298" t="n">
        <f aca="false">IF(COUNTIF(CAPA3_EXPANSION!$D$56:CI$56,"&gt;="&amp;11)=0,0,SUP_CONTROL!$C$8*IF($B18="V",1,IF($B18="D",(1+SUP_VOLUMEN!$C$26),(1+SUP_VOLUMEN!$C$27)))*INDEX(SUP_C3_EXPANSION!$C$6:$F$6,MIN(4,COUNTIF(CAPA3_EXPANSION!$D$56:CI$56,"&gt;="&amp;11)))*CAPA3_EXPANSION!CI$36)</f>
        <v>3528</v>
      </c>
      <c r="CJ18" s="298" t="n">
        <f aca="false">IF(COUNTIF(CAPA3_EXPANSION!$D$56:CJ$56,"&gt;="&amp;11)=0,0,SUP_CONTROL!$C$8*IF($B18="V",1,IF($B18="D",(1+SUP_VOLUMEN!$C$26),(1+SUP_VOLUMEN!$C$27)))*INDEX(SUP_C3_EXPANSION!$C$6:$F$6,MIN(4,COUNTIF(CAPA3_EXPANSION!$D$56:CJ$56,"&gt;="&amp;11)))*CAPA3_EXPANSION!CJ$36)</f>
        <v>3528</v>
      </c>
      <c r="CK18" s="298" t="n">
        <f aca="false">IF(COUNTIF(CAPA3_EXPANSION!$D$56:CK$56,"&gt;="&amp;11)=0,0,SUP_CONTROL!$C$8*IF($B18="V",1,IF($B18="D",(1+SUP_VOLUMEN!$C$26),(1+SUP_VOLUMEN!$C$27)))*INDEX(SUP_C3_EXPANSION!$C$6:$F$6,MIN(4,COUNTIF(CAPA3_EXPANSION!$D$56:CK$56,"&gt;="&amp;11)))*CAPA3_EXPANSION!CK$36)</f>
        <v>3528</v>
      </c>
      <c r="CL18" s="298" t="n">
        <f aca="false">IF(COUNTIF(CAPA3_EXPANSION!$D$56:CL$56,"&gt;="&amp;11)=0,0,SUP_CONTROL!$C$8*IF($B18="V",1,IF($B18="D",(1+SUP_VOLUMEN!$C$26),(1+SUP_VOLUMEN!$C$27)))*INDEX(SUP_C3_EXPANSION!$C$6:$F$6,MIN(4,COUNTIF(CAPA3_EXPANSION!$D$56:CL$56,"&gt;="&amp;11)))*CAPA3_EXPANSION!CL$36)</f>
        <v>3528</v>
      </c>
      <c r="CM18" s="298" t="n">
        <f aca="false">IF(COUNTIF(CAPA3_EXPANSION!$D$56:CM$56,"&gt;="&amp;11)=0,0,SUP_CONTROL!$C$8*IF($B18="V",1,IF($B18="D",(1+SUP_VOLUMEN!$C$26),(1+SUP_VOLUMEN!$C$27)))*INDEX(SUP_C3_EXPANSION!$C$6:$F$6,MIN(4,COUNTIF(CAPA3_EXPANSION!$D$56:CM$56,"&gt;="&amp;11)))*CAPA3_EXPANSION!CM$36)</f>
        <v>3528</v>
      </c>
      <c r="CN18" s="298" t="n">
        <f aca="false">IF(COUNTIF(CAPA3_EXPANSION!$D$56:CN$56,"&gt;="&amp;11)=0,0,SUP_CONTROL!$C$8*IF($B18="V",1,IF($B18="D",(1+SUP_VOLUMEN!$C$26),(1+SUP_VOLUMEN!$C$27)))*INDEX(SUP_C3_EXPANSION!$C$6:$F$6,MIN(4,COUNTIF(CAPA3_EXPANSION!$D$56:CN$56,"&gt;="&amp;11)))*CAPA3_EXPANSION!CN$36)</f>
        <v>3528</v>
      </c>
      <c r="CO18" s="298" t="n">
        <f aca="false">IF(COUNTIF(CAPA3_EXPANSION!$D$56:CO$56,"&gt;="&amp;11)=0,0,SUP_CONTROL!$C$8*IF($B18="V",1,IF($B18="D",(1+SUP_VOLUMEN!$C$26),(1+SUP_VOLUMEN!$C$27)))*INDEX(SUP_C3_EXPANSION!$C$6:$F$6,MIN(4,COUNTIF(CAPA3_EXPANSION!$D$56:CO$56,"&gt;="&amp;11)))*CAPA3_EXPANSION!CO$36)</f>
        <v>3528</v>
      </c>
      <c r="CP18" s="298" t="n">
        <f aca="false">IF(COUNTIF(CAPA3_EXPANSION!$D$56:CP$56,"&gt;="&amp;11)=0,0,SUP_CONTROL!$C$8*IF($B18="V",1,IF($B18="D",(1+SUP_VOLUMEN!$C$26),(1+SUP_VOLUMEN!$C$27)))*INDEX(SUP_C3_EXPANSION!$C$6:$F$6,MIN(4,COUNTIF(CAPA3_EXPANSION!$D$56:CP$56,"&gt;="&amp;11)))*CAPA3_EXPANSION!CP$36)</f>
        <v>3528</v>
      </c>
      <c r="CQ18" s="298" t="n">
        <f aca="false">IF(COUNTIF(CAPA3_EXPANSION!$D$56:CQ$56,"&gt;="&amp;11)=0,0,SUP_CONTROL!$C$8*IF($B18="V",1,IF($B18="D",(1+SUP_VOLUMEN!$C$26),(1+SUP_VOLUMEN!$C$27)))*INDEX(SUP_C3_EXPANSION!$C$6:$F$6,MIN(4,COUNTIF(CAPA3_EXPANSION!$D$56:CQ$56,"&gt;="&amp;11)))*CAPA3_EXPANSION!CQ$36)</f>
        <v>3528</v>
      </c>
      <c r="CR18" s="298" t="n">
        <f aca="false">IF(COUNTIF(CAPA3_EXPANSION!$D$56:CR$56,"&gt;="&amp;11)=0,0,SUP_CONTROL!$C$8*IF($B18="V",1,IF($B18="D",(1+SUP_VOLUMEN!$C$26),(1+SUP_VOLUMEN!$C$27)))*INDEX(SUP_C3_EXPANSION!$C$6:$F$6,MIN(4,COUNTIF(CAPA3_EXPANSION!$D$56:CR$56,"&gt;="&amp;11)))*CAPA3_EXPANSION!CR$36)</f>
        <v>3528</v>
      </c>
      <c r="CS18" s="298" t="n">
        <f aca="false">IF(COUNTIF(CAPA3_EXPANSION!$D$56:CS$56,"&gt;="&amp;11)=0,0,SUP_CONTROL!$C$8*IF($B18="V",1,IF($B18="D",(1+SUP_VOLUMEN!$C$26),(1+SUP_VOLUMEN!$C$27)))*INDEX(SUP_C3_EXPANSION!$C$6:$F$6,MIN(4,COUNTIF(CAPA3_EXPANSION!$D$56:CS$56,"&gt;="&amp;11)))*CAPA3_EXPANSION!CS$36)</f>
        <v>3528</v>
      </c>
      <c r="CT18" s="298" t="n">
        <f aca="false">IF(COUNTIF(CAPA3_EXPANSION!$D$56:CT$56,"&gt;="&amp;11)=0,0,SUP_CONTROL!$C$8*IF($B18="V",1,IF($B18="D",(1+SUP_VOLUMEN!$C$26),(1+SUP_VOLUMEN!$C$27)))*INDEX(SUP_C3_EXPANSION!$C$6:$F$6,MIN(4,COUNTIF(CAPA3_EXPANSION!$D$56:CT$56,"&gt;="&amp;11)))*CAPA3_EXPANSION!CT$36)</f>
        <v>3528</v>
      </c>
      <c r="CU18" s="298" t="n">
        <f aca="false">IF(COUNTIF(CAPA3_EXPANSION!$D$56:CU$56,"&gt;="&amp;11)=0,0,SUP_CONTROL!$C$8*IF($B18="V",1,IF($B18="D",(1+SUP_VOLUMEN!$C$26),(1+SUP_VOLUMEN!$C$27)))*INDEX(SUP_C3_EXPANSION!$C$6:$F$6,MIN(4,COUNTIF(CAPA3_EXPANSION!$D$56:CU$56,"&gt;="&amp;11)))*CAPA3_EXPANSION!CU$36)</f>
        <v>3528</v>
      </c>
      <c r="CV18" s="298" t="n">
        <f aca="false">IF(COUNTIF(CAPA3_EXPANSION!$D$56:CV$56,"&gt;="&amp;11)=0,0,SUP_CONTROL!$C$8*IF($B18="V",1,IF($B18="D",(1+SUP_VOLUMEN!$C$26),(1+SUP_VOLUMEN!$C$27)))*INDEX(SUP_C3_EXPANSION!$C$6:$F$6,MIN(4,COUNTIF(CAPA3_EXPANSION!$D$56:CV$56,"&gt;="&amp;11)))*CAPA3_EXPANSION!CV$36)</f>
        <v>3528</v>
      </c>
      <c r="CW18" s="298" t="n">
        <f aca="false">IF(COUNTIF(CAPA3_EXPANSION!$D$56:CW$56,"&gt;="&amp;11)=0,0,SUP_CONTROL!$C$8*IF($B18="V",1,IF($B18="D",(1+SUP_VOLUMEN!$C$26),(1+SUP_VOLUMEN!$C$27)))*INDEX(SUP_C3_EXPANSION!$C$6:$F$6,MIN(4,COUNTIF(CAPA3_EXPANSION!$D$56:CW$56,"&gt;="&amp;11)))*CAPA3_EXPANSION!CW$36)</f>
        <v>3528</v>
      </c>
      <c r="CX18" s="298" t="n">
        <f aca="false">IF(COUNTIF(CAPA3_EXPANSION!$D$56:CX$56,"&gt;="&amp;11)=0,0,SUP_CONTROL!$C$8*IF($B18="V",1,IF($B18="D",(1+SUP_VOLUMEN!$C$26),(1+SUP_VOLUMEN!$C$27)))*INDEX(SUP_C3_EXPANSION!$C$6:$F$6,MIN(4,COUNTIF(CAPA3_EXPANSION!$D$56:CX$56,"&gt;="&amp;11)))*CAPA3_EXPANSION!CX$36)</f>
        <v>3528</v>
      </c>
      <c r="CY18" s="298" t="n">
        <f aca="false">IF(COUNTIF(CAPA3_EXPANSION!$D$56:CY$56,"&gt;="&amp;11)=0,0,SUP_CONTROL!$C$8*IF($B18="V",1,IF($B18="D",(1+SUP_VOLUMEN!$C$26),(1+SUP_VOLUMEN!$C$27)))*INDEX(SUP_C3_EXPANSION!$C$6:$F$6,MIN(4,COUNTIF(CAPA3_EXPANSION!$D$56:CY$56,"&gt;="&amp;11)))*CAPA3_EXPANSION!CY$36)</f>
        <v>3528</v>
      </c>
      <c r="CZ18" s="298" t="n">
        <f aca="false">IF(COUNTIF(CAPA3_EXPANSION!$D$56:CZ$56,"&gt;="&amp;11)=0,0,SUP_CONTROL!$C$8*IF($B18="V",1,IF($B18="D",(1+SUP_VOLUMEN!$C$26),(1+SUP_VOLUMEN!$C$27)))*INDEX(SUP_C3_EXPANSION!$C$6:$F$6,MIN(4,COUNTIF(CAPA3_EXPANSION!$D$56:CZ$56,"&gt;="&amp;11)))*CAPA3_EXPANSION!CZ$36)</f>
        <v>3528</v>
      </c>
      <c r="DA18" s="298" t="n">
        <f aca="false">IF(COUNTIF(CAPA3_EXPANSION!$D$56:DA$56,"&gt;="&amp;11)=0,0,SUP_CONTROL!$C$8*IF($B18="V",1,IF($B18="D",(1+SUP_VOLUMEN!$C$26),(1+SUP_VOLUMEN!$C$27)))*INDEX(SUP_C3_EXPANSION!$C$6:$F$6,MIN(4,COUNTIF(CAPA3_EXPANSION!$D$56:DA$56,"&gt;="&amp;11)))*CAPA3_EXPANSION!DA$36)</f>
        <v>3528</v>
      </c>
      <c r="DB18" s="298" t="n">
        <f aca="false">IF(COUNTIF(CAPA3_EXPANSION!$D$56:DB$56,"&gt;="&amp;11)=0,0,SUP_CONTROL!$C$8*IF($B18="V",1,IF($B18="D",(1+SUP_VOLUMEN!$C$26),(1+SUP_VOLUMEN!$C$27)))*INDEX(SUP_C3_EXPANSION!$C$6:$F$6,MIN(4,COUNTIF(CAPA3_EXPANSION!$D$56:DB$56,"&gt;="&amp;11)))*CAPA3_EXPANSION!DB$36)</f>
        <v>3528</v>
      </c>
      <c r="DC18" s="298" t="n">
        <f aca="false">IF(COUNTIF(CAPA3_EXPANSION!$D$56:DC$56,"&gt;="&amp;11)=0,0,SUP_CONTROL!$C$8*IF($B18="V",1,IF($B18="D",(1+SUP_VOLUMEN!$C$26),(1+SUP_VOLUMEN!$C$27)))*INDEX(SUP_C3_EXPANSION!$C$6:$F$6,MIN(4,COUNTIF(CAPA3_EXPANSION!$D$56:DC$56,"&gt;="&amp;11)))*CAPA3_EXPANSION!DC$36)</f>
        <v>3528</v>
      </c>
      <c r="DD18" s="298" t="n">
        <f aca="false">IF(COUNTIF(CAPA3_EXPANSION!$D$56:DD$56,"&gt;="&amp;11)=0,0,SUP_CONTROL!$C$8*IF($B18="V",1,IF($B18="D",(1+SUP_VOLUMEN!$C$26),(1+SUP_VOLUMEN!$C$27)))*INDEX(SUP_C3_EXPANSION!$C$6:$F$6,MIN(4,COUNTIF(CAPA3_EXPANSION!$D$56:DD$56,"&gt;="&amp;11)))*CAPA3_EXPANSION!DD$36)</f>
        <v>3528</v>
      </c>
      <c r="DE18" s="298" t="n">
        <f aca="false">IF(COUNTIF(CAPA3_EXPANSION!$D$56:DE$56,"&gt;="&amp;11)=0,0,SUP_CONTROL!$C$8*IF($B18="V",1,IF($B18="D",(1+SUP_VOLUMEN!$C$26),(1+SUP_VOLUMEN!$C$27)))*INDEX(SUP_C3_EXPANSION!$C$6:$F$6,MIN(4,COUNTIF(CAPA3_EXPANSION!$D$56:DE$56,"&gt;="&amp;11)))*CAPA3_EXPANSION!DE$36)</f>
        <v>3528</v>
      </c>
      <c r="DF18" s="298" t="n">
        <f aca="false">IF(COUNTIF(CAPA3_EXPANSION!$D$56:DF$56,"&gt;="&amp;11)=0,0,SUP_CONTROL!$C$8*IF($B18="V",1,IF($B18="D",(1+SUP_VOLUMEN!$C$26),(1+SUP_VOLUMEN!$C$27)))*INDEX(SUP_C3_EXPANSION!$C$6:$F$6,MIN(4,COUNTIF(CAPA3_EXPANSION!$D$56:DF$56,"&gt;="&amp;11)))*CAPA3_EXPANSION!DF$36)</f>
        <v>3528</v>
      </c>
      <c r="DG18" s="298" t="n">
        <f aca="false">IF(COUNTIF(CAPA3_EXPANSION!$D$56:DG$56,"&gt;="&amp;11)=0,0,SUP_CONTROL!$C$8*IF($B18="V",1,IF($B18="D",(1+SUP_VOLUMEN!$C$26),(1+SUP_VOLUMEN!$C$27)))*INDEX(SUP_C3_EXPANSION!$C$6:$F$6,MIN(4,COUNTIF(CAPA3_EXPANSION!$D$56:DG$56,"&gt;="&amp;11)))*CAPA3_EXPANSION!DG$36)</f>
        <v>3528</v>
      </c>
      <c r="DH18" s="298" t="n">
        <f aca="false">IF(COUNTIF(CAPA3_EXPANSION!$D$56:DH$56,"&gt;="&amp;11)=0,0,SUP_CONTROL!$C$8*IF($B18="V",1,IF($B18="D",(1+SUP_VOLUMEN!$C$26),(1+SUP_VOLUMEN!$C$27)))*INDEX(SUP_C3_EXPANSION!$C$6:$F$6,MIN(4,COUNTIF(CAPA3_EXPANSION!$D$56:DH$56,"&gt;="&amp;11)))*CAPA3_EXPANSION!DH$36)</f>
        <v>3528</v>
      </c>
      <c r="DI18" s="298" t="n">
        <f aca="false">IF(COUNTIF(CAPA3_EXPANSION!$D$56:DI$56,"&gt;="&amp;11)=0,0,SUP_CONTROL!$C$8*IF($B18="V",1,IF($B18="D",(1+SUP_VOLUMEN!$C$26),(1+SUP_VOLUMEN!$C$27)))*INDEX(SUP_C3_EXPANSION!$C$6:$F$6,MIN(4,COUNTIF(CAPA3_EXPANSION!$D$56:DI$56,"&gt;="&amp;11)))*CAPA3_EXPANSION!DI$36)</f>
        <v>3528</v>
      </c>
      <c r="DJ18" s="298" t="n">
        <f aca="false">IF(COUNTIF(CAPA3_EXPANSION!$D$56:DJ$56,"&gt;="&amp;11)=0,0,SUP_CONTROL!$C$8*IF($B18="V",1,IF($B18="D",(1+SUP_VOLUMEN!$C$26),(1+SUP_VOLUMEN!$C$27)))*INDEX(SUP_C3_EXPANSION!$C$6:$F$6,MIN(4,COUNTIF(CAPA3_EXPANSION!$D$56:DJ$56,"&gt;="&amp;11)))*CAPA3_EXPANSION!DJ$36)</f>
        <v>3528</v>
      </c>
      <c r="DK18" s="298" t="n">
        <f aca="false">IF(COUNTIF(CAPA3_EXPANSION!$D$56:DK$56,"&gt;="&amp;11)=0,0,SUP_CONTROL!$C$8*IF($B18="V",1,IF($B18="D",(1+SUP_VOLUMEN!$C$26),(1+SUP_VOLUMEN!$C$27)))*INDEX(SUP_C3_EXPANSION!$C$6:$F$6,MIN(4,COUNTIF(CAPA3_EXPANSION!$D$56:DK$56,"&gt;="&amp;11)))*CAPA3_EXPANSION!DK$36)</f>
        <v>3528</v>
      </c>
      <c r="DL18" s="298" t="n">
        <f aca="false">IF(COUNTIF(CAPA3_EXPANSION!$D$56:DL$56,"&gt;="&amp;11)=0,0,SUP_CONTROL!$C$8*IF($B18="V",1,IF($B18="D",(1+SUP_VOLUMEN!$C$26),(1+SUP_VOLUMEN!$C$27)))*INDEX(SUP_C3_EXPANSION!$C$6:$F$6,MIN(4,COUNTIF(CAPA3_EXPANSION!$D$56:DL$56,"&gt;="&amp;11)))*CAPA3_EXPANSION!DL$36)</f>
        <v>3528</v>
      </c>
      <c r="DM18" s="298" t="n">
        <f aca="false">IF(COUNTIF(CAPA3_EXPANSION!$D$56:DM$56,"&gt;="&amp;11)=0,0,SUP_CONTROL!$C$8*IF($B18="V",1,IF($B18="D",(1+SUP_VOLUMEN!$C$26),(1+SUP_VOLUMEN!$C$27)))*INDEX(SUP_C3_EXPANSION!$C$6:$F$6,MIN(4,COUNTIF(CAPA3_EXPANSION!$D$56:DM$56,"&gt;="&amp;11)))*CAPA3_EXPANSION!DM$36)</f>
        <v>3528</v>
      </c>
      <c r="DN18" s="298" t="n">
        <f aca="false">IF(COUNTIF(CAPA3_EXPANSION!$D$56:DN$56,"&gt;="&amp;11)=0,0,SUP_CONTROL!$C$8*IF($B18="V",1,IF($B18="D",(1+SUP_VOLUMEN!$C$26),(1+SUP_VOLUMEN!$C$27)))*INDEX(SUP_C3_EXPANSION!$C$6:$F$6,MIN(4,COUNTIF(CAPA3_EXPANSION!$D$56:DN$56,"&gt;="&amp;11)))*CAPA3_EXPANSION!DN$36)</f>
        <v>3528</v>
      </c>
      <c r="DO18" s="298" t="n">
        <f aca="false">IF(COUNTIF(CAPA3_EXPANSION!$D$56:DO$56,"&gt;="&amp;11)=0,0,SUP_CONTROL!$C$8*IF($B18="V",1,IF($B18="D",(1+SUP_VOLUMEN!$C$26),(1+SUP_VOLUMEN!$C$27)))*INDEX(SUP_C3_EXPANSION!$C$6:$F$6,MIN(4,COUNTIF(CAPA3_EXPANSION!$D$56:DO$56,"&gt;="&amp;11)))*CAPA3_EXPANSION!DO$36)</f>
        <v>3528</v>
      </c>
      <c r="DP18" s="298" t="n">
        <f aca="false">IF(COUNTIF(CAPA3_EXPANSION!$D$56:DP$56,"&gt;="&amp;11)=0,0,SUP_CONTROL!$C$8*IF($B18="V",1,IF($B18="D",(1+SUP_VOLUMEN!$C$26),(1+SUP_VOLUMEN!$C$27)))*INDEX(SUP_C3_EXPANSION!$C$6:$F$6,MIN(4,COUNTIF(CAPA3_EXPANSION!$D$56:DP$56,"&gt;="&amp;11)))*CAPA3_EXPANSION!DP$36)</f>
        <v>3528</v>
      </c>
      <c r="DQ18" s="298" t="n">
        <f aca="false">IF(COUNTIF(CAPA3_EXPANSION!$D$56:DQ$56,"&gt;="&amp;11)=0,0,SUP_CONTROL!$C$8*IF($B18="V",1,IF($B18="D",(1+SUP_VOLUMEN!$C$26),(1+SUP_VOLUMEN!$C$27)))*INDEX(SUP_C3_EXPANSION!$C$6:$F$6,MIN(4,COUNTIF(CAPA3_EXPANSION!$D$56:DQ$56,"&gt;="&amp;11)))*CAPA3_EXPANSION!DQ$36)</f>
        <v>3528</v>
      </c>
      <c r="DR18" s="298" t="n">
        <f aca="false">IF(COUNTIF(CAPA3_EXPANSION!$D$56:DR$56,"&gt;="&amp;11)=0,0,SUP_CONTROL!$C$8*IF($B18="V",1,IF($B18="D",(1+SUP_VOLUMEN!$C$26),(1+SUP_VOLUMEN!$C$27)))*INDEX(SUP_C3_EXPANSION!$C$6:$F$6,MIN(4,COUNTIF(CAPA3_EXPANSION!$D$56:DR$56,"&gt;="&amp;11)))*CAPA3_EXPANSION!DR$36)</f>
        <v>3528</v>
      </c>
      <c r="DS18" s="298" t="n">
        <f aca="false">IF(COUNTIF(CAPA3_EXPANSION!$D$56:DS$56,"&gt;="&amp;11)=0,0,SUP_CONTROL!$C$8*IF($B18="V",1,IF($B18="D",(1+SUP_VOLUMEN!$C$26),(1+SUP_VOLUMEN!$C$27)))*INDEX(SUP_C3_EXPANSION!$C$6:$F$6,MIN(4,COUNTIF(CAPA3_EXPANSION!$D$56:DS$56,"&gt;="&amp;11)))*CAPA3_EXPANSION!DS$36)</f>
        <v>3528</v>
      </c>
    </row>
    <row r="19" customFormat="false" ht="15" hidden="false" customHeight="true" outlineLevel="0" collapsed="false">
      <c r="A19" s="298" t="n">
        <v>22</v>
      </c>
      <c r="B19" s="497" t="str">
        <f aca="false">SUP_C3_EXPANSION!B31</f>
        <v>D</v>
      </c>
      <c r="C19" s="267" t="n">
        <f aca="false">SUP_C3_EXPANSION!G31</f>
        <v>43</v>
      </c>
      <c r="D19" s="298" t="n">
        <f aca="false">IF(COUNTIF(CAPA3_EXPANSION!$D$56:D$56,"&gt;="&amp;12)=0,0,SUP_CONTROL!$C$8*IF($B19="V",1,IF($B19="D",(1+SUP_VOLUMEN!$C$26),(1+SUP_VOLUMEN!$C$27)))*INDEX(SUP_C3_EXPANSION!$C$6:$F$6,MIN(4,COUNTIF(CAPA3_EXPANSION!$D$56:D$56,"&gt;="&amp;12)))*CAPA3_EXPANSION!D$36)</f>
        <v>0</v>
      </c>
      <c r="E19" s="298" t="n">
        <f aca="false">IF(COUNTIF(CAPA3_EXPANSION!$D$56:E$56,"&gt;="&amp;12)=0,0,SUP_CONTROL!$C$8*IF($B19="V",1,IF($B19="D",(1+SUP_VOLUMEN!$C$26),(1+SUP_VOLUMEN!$C$27)))*INDEX(SUP_C3_EXPANSION!$C$6:$F$6,MIN(4,COUNTIF(CAPA3_EXPANSION!$D$56:E$56,"&gt;="&amp;12)))*CAPA3_EXPANSION!E$36)</f>
        <v>0</v>
      </c>
      <c r="F19" s="298" t="n">
        <f aca="false">IF(COUNTIF(CAPA3_EXPANSION!$D$56:F$56,"&gt;="&amp;12)=0,0,SUP_CONTROL!$C$8*IF($B19="V",1,IF($B19="D",(1+SUP_VOLUMEN!$C$26),(1+SUP_VOLUMEN!$C$27)))*INDEX(SUP_C3_EXPANSION!$C$6:$F$6,MIN(4,COUNTIF(CAPA3_EXPANSION!$D$56:F$56,"&gt;="&amp;12)))*CAPA3_EXPANSION!F$36)</f>
        <v>0</v>
      </c>
      <c r="G19" s="298" t="n">
        <f aca="false">IF(COUNTIF(CAPA3_EXPANSION!$D$56:G$56,"&gt;="&amp;12)=0,0,SUP_CONTROL!$C$8*IF($B19="V",1,IF($B19="D",(1+SUP_VOLUMEN!$C$26),(1+SUP_VOLUMEN!$C$27)))*INDEX(SUP_C3_EXPANSION!$C$6:$F$6,MIN(4,COUNTIF(CAPA3_EXPANSION!$D$56:G$56,"&gt;="&amp;12)))*CAPA3_EXPANSION!G$36)</f>
        <v>0</v>
      </c>
      <c r="H19" s="298" t="n">
        <f aca="false">IF(COUNTIF(CAPA3_EXPANSION!$D$56:H$56,"&gt;="&amp;12)=0,0,SUP_CONTROL!$C$8*IF($B19="V",1,IF($B19="D",(1+SUP_VOLUMEN!$C$26),(1+SUP_VOLUMEN!$C$27)))*INDEX(SUP_C3_EXPANSION!$C$6:$F$6,MIN(4,COUNTIF(CAPA3_EXPANSION!$D$56:H$56,"&gt;="&amp;12)))*CAPA3_EXPANSION!H$36)</f>
        <v>0</v>
      </c>
      <c r="I19" s="298" t="n">
        <f aca="false">IF(COUNTIF(CAPA3_EXPANSION!$D$56:I$56,"&gt;="&amp;12)=0,0,SUP_CONTROL!$C$8*IF($B19="V",1,IF($B19="D",(1+SUP_VOLUMEN!$C$26),(1+SUP_VOLUMEN!$C$27)))*INDEX(SUP_C3_EXPANSION!$C$6:$F$6,MIN(4,COUNTIF(CAPA3_EXPANSION!$D$56:I$56,"&gt;="&amp;12)))*CAPA3_EXPANSION!I$36)</f>
        <v>0</v>
      </c>
      <c r="J19" s="298" t="n">
        <f aca="false">IF(COUNTIF(CAPA3_EXPANSION!$D$56:J$56,"&gt;="&amp;12)=0,0,SUP_CONTROL!$C$8*IF($B19="V",1,IF($B19="D",(1+SUP_VOLUMEN!$C$26),(1+SUP_VOLUMEN!$C$27)))*INDEX(SUP_C3_EXPANSION!$C$6:$F$6,MIN(4,COUNTIF(CAPA3_EXPANSION!$D$56:J$56,"&gt;="&amp;12)))*CAPA3_EXPANSION!J$36)</f>
        <v>0</v>
      </c>
      <c r="K19" s="298" t="n">
        <f aca="false">IF(COUNTIF(CAPA3_EXPANSION!$D$56:K$56,"&gt;="&amp;12)=0,0,SUP_CONTROL!$C$8*IF($B19="V",1,IF($B19="D",(1+SUP_VOLUMEN!$C$26),(1+SUP_VOLUMEN!$C$27)))*INDEX(SUP_C3_EXPANSION!$C$6:$F$6,MIN(4,COUNTIF(CAPA3_EXPANSION!$D$56:K$56,"&gt;="&amp;12)))*CAPA3_EXPANSION!K$36)</f>
        <v>0</v>
      </c>
      <c r="L19" s="298" t="n">
        <f aca="false">IF(COUNTIF(CAPA3_EXPANSION!$D$56:L$56,"&gt;="&amp;12)=0,0,SUP_CONTROL!$C$8*IF($B19="V",1,IF($B19="D",(1+SUP_VOLUMEN!$C$26),(1+SUP_VOLUMEN!$C$27)))*INDEX(SUP_C3_EXPANSION!$C$6:$F$6,MIN(4,COUNTIF(CAPA3_EXPANSION!$D$56:L$56,"&gt;="&amp;12)))*CAPA3_EXPANSION!L$36)</f>
        <v>0</v>
      </c>
      <c r="M19" s="298" t="n">
        <f aca="false">IF(COUNTIF(CAPA3_EXPANSION!$D$56:M$56,"&gt;="&amp;12)=0,0,SUP_CONTROL!$C$8*IF($B19="V",1,IF($B19="D",(1+SUP_VOLUMEN!$C$26),(1+SUP_VOLUMEN!$C$27)))*INDEX(SUP_C3_EXPANSION!$C$6:$F$6,MIN(4,COUNTIF(CAPA3_EXPANSION!$D$56:M$56,"&gt;="&amp;12)))*CAPA3_EXPANSION!M$36)</f>
        <v>0</v>
      </c>
      <c r="N19" s="298" t="n">
        <f aca="false">IF(COUNTIF(CAPA3_EXPANSION!$D$56:N$56,"&gt;="&amp;12)=0,0,SUP_CONTROL!$C$8*IF($B19="V",1,IF($B19="D",(1+SUP_VOLUMEN!$C$26),(1+SUP_VOLUMEN!$C$27)))*INDEX(SUP_C3_EXPANSION!$C$6:$F$6,MIN(4,COUNTIF(CAPA3_EXPANSION!$D$56:N$56,"&gt;="&amp;12)))*CAPA3_EXPANSION!N$36)</f>
        <v>0</v>
      </c>
      <c r="O19" s="298" t="n">
        <f aca="false">IF(COUNTIF(CAPA3_EXPANSION!$D$56:O$56,"&gt;="&amp;12)=0,0,SUP_CONTROL!$C$8*IF($B19="V",1,IF($B19="D",(1+SUP_VOLUMEN!$C$26),(1+SUP_VOLUMEN!$C$27)))*INDEX(SUP_C3_EXPANSION!$C$6:$F$6,MIN(4,COUNTIF(CAPA3_EXPANSION!$D$56:O$56,"&gt;="&amp;12)))*CAPA3_EXPANSION!O$36)</f>
        <v>0</v>
      </c>
      <c r="P19" s="298" t="n">
        <f aca="false">IF(COUNTIF(CAPA3_EXPANSION!$D$56:P$56,"&gt;="&amp;12)=0,0,SUP_CONTROL!$C$8*IF($B19="V",1,IF($B19="D",(1+SUP_VOLUMEN!$C$26),(1+SUP_VOLUMEN!$C$27)))*INDEX(SUP_C3_EXPANSION!$C$6:$F$6,MIN(4,COUNTIF(CAPA3_EXPANSION!$D$56:P$56,"&gt;="&amp;12)))*CAPA3_EXPANSION!P$36)</f>
        <v>0</v>
      </c>
      <c r="Q19" s="298" t="n">
        <f aca="false">IF(COUNTIF(CAPA3_EXPANSION!$D$56:Q$56,"&gt;="&amp;12)=0,0,SUP_CONTROL!$C$8*IF($B19="V",1,IF($B19="D",(1+SUP_VOLUMEN!$C$26),(1+SUP_VOLUMEN!$C$27)))*INDEX(SUP_C3_EXPANSION!$C$6:$F$6,MIN(4,COUNTIF(CAPA3_EXPANSION!$D$56:Q$56,"&gt;="&amp;12)))*CAPA3_EXPANSION!Q$36)</f>
        <v>0</v>
      </c>
      <c r="R19" s="298" t="n">
        <f aca="false">IF(COUNTIF(CAPA3_EXPANSION!$D$56:R$56,"&gt;="&amp;12)=0,0,SUP_CONTROL!$C$8*IF($B19="V",1,IF($B19="D",(1+SUP_VOLUMEN!$C$26),(1+SUP_VOLUMEN!$C$27)))*INDEX(SUP_C3_EXPANSION!$C$6:$F$6,MIN(4,COUNTIF(CAPA3_EXPANSION!$D$56:R$56,"&gt;="&amp;12)))*CAPA3_EXPANSION!R$36)</f>
        <v>0</v>
      </c>
      <c r="S19" s="298" t="n">
        <f aca="false">IF(COUNTIF(CAPA3_EXPANSION!$D$56:S$56,"&gt;="&amp;12)=0,0,SUP_CONTROL!$C$8*IF($B19="V",1,IF($B19="D",(1+SUP_VOLUMEN!$C$26),(1+SUP_VOLUMEN!$C$27)))*INDEX(SUP_C3_EXPANSION!$C$6:$F$6,MIN(4,COUNTIF(CAPA3_EXPANSION!$D$56:S$56,"&gt;="&amp;12)))*CAPA3_EXPANSION!S$36)</f>
        <v>0</v>
      </c>
      <c r="T19" s="298" t="n">
        <f aca="false">IF(COUNTIF(CAPA3_EXPANSION!$D$56:T$56,"&gt;="&amp;12)=0,0,SUP_CONTROL!$C$8*IF($B19="V",1,IF($B19="D",(1+SUP_VOLUMEN!$C$26),(1+SUP_VOLUMEN!$C$27)))*INDEX(SUP_C3_EXPANSION!$C$6:$F$6,MIN(4,COUNTIF(CAPA3_EXPANSION!$D$56:T$56,"&gt;="&amp;12)))*CAPA3_EXPANSION!T$36)</f>
        <v>0</v>
      </c>
      <c r="U19" s="298" t="n">
        <f aca="false">IF(COUNTIF(CAPA3_EXPANSION!$D$56:U$56,"&gt;="&amp;12)=0,0,SUP_CONTROL!$C$8*IF($B19="V",1,IF($B19="D",(1+SUP_VOLUMEN!$C$26),(1+SUP_VOLUMEN!$C$27)))*INDEX(SUP_C3_EXPANSION!$C$6:$F$6,MIN(4,COUNTIF(CAPA3_EXPANSION!$D$56:U$56,"&gt;="&amp;12)))*CAPA3_EXPANSION!U$36)</f>
        <v>0</v>
      </c>
      <c r="V19" s="298" t="n">
        <f aca="false">IF(COUNTIF(CAPA3_EXPANSION!$D$56:V$56,"&gt;="&amp;12)=0,0,SUP_CONTROL!$C$8*IF($B19="V",1,IF($B19="D",(1+SUP_VOLUMEN!$C$26),(1+SUP_VOLUMEN!$C$27)))*INDEX(SUP_C3_EXPANSION!$C$6:$F$6,MIN(4,COUNTIF(CAPA3_EXPANSION!$D$56:V$56,"&gt;="&amp;12)))*CAPA3_EXPANSION!V$36)</f>
        <v>0</v>
      </c>
      <c r="W19" s="298" t="n">
        <f aca="false">IF(COUNTIF(CAPA3_EXPANSION!$D$56:W$56,"&gt;="&amp;12)=0,0,SUP_CONTROL!$C$8*IF($B19="V",1,IF($B19="D",(1+SUP_VOLUMEN!$C$26),(1+SUP_VOLUMEN!$C$27)))*INDEX(SUP_C3_EXPANSION!$C$6:$F$6,MIN(4,COUNTIF(CAPA3_EXPANSION!$D$56:W$56,"&gt;="&amp;12)))*CAPA3_EXPANSION!W$36)</f>
        <v>0</v>
      </c>
      <c r="X19" s="298" t="n">
        <f aca="false">IF(COUNTIF(CAPA3_EXPANSION!$D$56:X$56,"&gt;="&amp;12)=0,0,SUP_CONTROL!$C$8*IF($B19="V",1,IF($B19="D",(1+SUP_VOLUMEN!$C$26),(1+SUP_VOLUMEN!$C$27)))*INDEX(SUP_C3_EXPANSION!$C$6:$F$6,MIN(4,COUNTIF(CAPA3_EXPANSION!$D$56:X$56,"&gt;="&amp;12)))*CAPA3_EXPANSION!X$36)</f>
        <v>0</v>
      </c>
      <c r="Y19" s="298" t="n">
        <f aca="false">IF(COUNTIF(CAPA3_EXPANSION!$D$56:Y$56,"&gt;="&amp;12)=0,0,SUP_CONTROL!$C$8*IF($B19="V",1,IF($B19="D",(1+SUP_VOLUMEN!$C$26),(1+SUP_VOLUMEN!$C$27)))*INDEX(SUP_C3_EXPANSION!$C$6:$F$6,MIN(4,COUNTIF(CAPA3_EXPANSION!$D$56:Y$56,"&gt;="&amp;12)))*CAPA3_EXPANSION!Y$36)</f>
        <v>0</v>
      </c>
      <c r="Z19" s="298" t="n">
        <f aca="false">IF(COUNTIF(CAPA3_EXPANSION!$D$56:Z$56,"&gt;="&amp;12)=0,0,SUP_CONTROL!$C$8*IF($B19="V",1,IF($B19="D",(1+SUP_VOLUMEN!$C$26),(1+SUP_VOLUMEN!$C$27)))*INDEX(SUP_C3_EXPANSION!$C$6:$F$6,MIN(4,COUNTIF(CAPA3_EXPANSION!$D$56:Z$56,"&gt;="&amp;12)))*CAPA3_EXPANSION!Z$36)</f>
        <v>0</v>
      </c>
      <c r="AA19" s="298" t="n">
        <f aca="false">IF(COUNTIF(CAPA3_EXPANSION!$D$56:AA$56,"&gt;="&amp;12)=0,0,SUP_CONTROL!$C$8*IF($B19="V",1,IF($B19="D",(1+SUP_VOLUMEN!$C$26),(1+SUP_VOLUMEN!$C$27)))*INDEX(SUP_C3_EXPANSION!$C$6:$F$6,MIN(4,COUNTIF(CAPA3_EXPANSION!$D$56:AA$56,"&gt;="&amp;12)))*CAPA3_EXPANSION!AA$36)</f>
        <v>0</v>
      </c>
      <c r="AB19" s="298" t="n">
        <f aca="false">IF(COUNTIF(CAPA3_EXPANSION!$D$56:AB$56,"&gt;="&amp;12)=0,0,SUP_CONTROL!$C$8*IF($B19="V",1,IF($B19="D",(1+SUP_VOLUMEN!$C$26),(1+SUP_VOLUMEN!$C$27)))*INDEX(SUP_C3_EXPANSION!$C$6:$F$6,MIN(4,COUNTIF(CAPA3_EXPANSION!$D$56:AB$56,"&gt;="&amp;12)))*CAPA3_EXPANSION!AB$36)</f>
        <v>0</v>
      </c>
      <c r="AC19" s="298" t="n">
        <f aca="false">IF(COUNTIF(CAPA3_EXPANSION!$D$56:AC$56,"&gt;="&amp;12)=0,0,SUP_CONTROL!$C$8*IF($B19="V",1,IF($B19="D",(1+SUP_VOLUMEN!$C$26),(1+SUP_VOLUMEN!$C$27)))*INDEX(SUP_C3_EXPANSION!$C$6:$F$6,MIN(4,COUNTIF(CAPA3_EXPANSION!$D$56:AC$56,"&gt;="&amp;12)))*CAPA3_EXPANSION!AC$36)</f>
        <v>0</v>
      </c>
      <c r="AD19" s="298" t="n">
        <f aca="false">IF(COUNTIF(CAPA3_EXPANSION!$D$56:AD$56,"&gt;="&amp;12)=0,0,SUP_CONTROL!$C$8*IF($B19="V",1,IF($B19="D",(1+SUP_VOLUMEN!$C$26),(1+SUP_VOLUMEN!$C$27)))*INDEX(SUP_C3_EXPANSION!$C$6:$F$6,MIN(4,COUNTIF(CAPA3_EXPANSION!$D$56:AD$56,"&gt;="&amp;12)))*CAPA3_EXPANSION!AD$36)</f>
        <v>0</v>
      </c>
      <c r="AE19" s="298" t="n">
        <f aca="false">IF(COUNTIF(CAPA3_EXPANSION!$D$56:AE$56,"&gt;="&amp;12)=0,0,SUP_CONTROL!$C$8*IF($B19="V",1,IF($B19="D",(1+SUP_VOLUMEN!$C$26),(1+SUP_VOLUMEN!$C$27)))*INDEX(SUP_C3_EXPANSION!$C$6:$F$6,MIN(4,COUNTIF(CAPA3_EXPANSION!$D$56:AE$56,"&gt;="&amp;12)))*CAPA3_EXPANSION!AE$36)</f>
        <v>0</v>
      </c>
      <c r="AF19" s="298" t="n">
        <f aca="false">IF(COUNTIF(CAPA3_EXPANSION!$D$56:AF$56,"&gt;="&amp;12)=0,0,SUP_CONTROL!$C$8*IF($B19="V",1,IF($B19="D",(1+SUP_VOLUMEN!$C$26),(1+SUP_VOLUMEN!$C$27)))*INDEX(SUP_C3_EXPANSION!$C$6:$F$6,MIN(4,COUNTIF(CAPA3_EXPANSION!$D$56:AF$56,"&gt;="&amp;12)))*CAPA3_EXPANSION!AF$36)</f>
        <v>0</v>
      </c>
      <c r="AG19" s="298" t="n">
        <f aca="false">IF(COUNTIF(CAPA3_EXPANSION!$D$56:AG$56,"&gt;="&amp;12)=0,0,SUP_CONTROL!$C$8*IF($B19="V",1,IF($B19="D",(1+SUP_VOLUMEN!$C$26),(1+SUP_VOLUMEN!$C$27)))*INDEX(SUP_C3_EXPANSION!$C$6:$F$6,MIN(4,COUNTIF(CAPA3_EXPANSION!$D$56:AG$56,"&gt;="&amp;12)))*CAPA3_EXPANSION!AG$36)</f>
        <v>0</v>
      </c>
      <c r="AH19" s="298" t="n">
        <f aca="false">IF(COUNTIF(CAPA3_EXPANSION!$D$56:AH$56,"&gt;="&amp;12)=0,0,SUP_CONTROL!$C$8*IF($B19="V",1,IF($B19="D",(1+SUP_VOLUMEN!$C$26),(1+SUP_VOLUMEN!$C$27)))*INDEX(SUP_C3_EXPANSION!$C$6:$F$6,MIN(4,COUNTIF(CAPA3_EXPANSION!$D$56:AH$56,"&gt;="&amp;12)))*CAPA3_EXPANSION!AH$36)</f>
        <v>0</v>
      </c>
      <c r="AI19" s="298" t="n">
        <f aca="false">IF(COUNTIF(CAPA3_EXPANSION!$D$56:AI$56,"&gt;="&amp;12)=0,0,SUP_CONTROL!$C$8*IF($B19="V",1,IF($B19="D",(1+SUP_VOLUMEN!$C$26),(1+SUP_VOLUMEN!$C$27)))*INDEX(SUP_C3_EXPANSION!$C$6:$F$6,MIN(4,COUNTIF(CAPA3_EXPANSION!$D$56:AI$56,"&gt;="&amp;12)))*CAPA3_EXPANSION!AI$36)</f>
        <v>0</v>
      </c>
      <c r="AJ19" s="298" t="n">
        <f aca="false">IF(COUNTIF(CAPA3_EXPANSION!$D$56:AJ$56,"&gt;="&amp;12)=0,0,SUP_CONTROL!$C$8*IF($B19="V",1,IF($B19="D",(1+SUP_VOLUMEN!$C$26),(1+SUP_VOLUMEN!$C$27)))*INDEX(SUP_C3_EXPANSION!$C$6:$F$6,MIN(4,COUNTIF(CAPA3_EXPANSION!$D$56:AJ$56,"&gt;="&amp;12)))*CAPA3_EXPANSION!AJ$36)</f>
        <v>0</v>
      </c>
      <c r="AK19" s="298" t="n">
        <f aca="false">IF(COUNTIF(CAPA3_EXPANSION!$D$56:AK$56,"&gt;="&amp;12)=0,0,SUP_CONTROL!$C$8*IF($B19="V",1,IF($B19="D",(1+SUP_VOLUMEN!$C$26),(1+SUP_VOLUMEN!$C$27)))*INDEX(SUP_C3_EXPANSION!$C$6:$F$6,MIN(4,COUNTIF(CAPA3_EXPANSION!$D$56:AK$56,"&gt;="&amp;12)))*CAPA3_EXPANSION!AK$36)</f>
        <v>0</v>
      </c>
      <c r="AL19" s="298" t="n">
        <f aca="false">IF(COUNTIF(CAPA3_EXPANSION!$D$56:AL$56,"&gt;="&amp;12)=0,0,SUP_CONTROL!$C$8*IF($B19="V",1,IF($B19="D",(1+SUP_VOLUMEN!$C$26),(1+SUP_VOLUMEN!$C$27)))*INDEX(SUP_C3_EXPANSION!$C$6:$F$6,MIN(4,COUNTIF(CAPA3_EXPANSION!$D$56:AL$56,"&gt;="&amp;12)))*CAPA3_EXPANSION!AL$36)</f>
        <v>0</v>
      </c>
      <c r="AM19" s="298" t="n">
        <f aca="false">IF(COUNTIF(CAPA3_EXPANSION!$D$56:AM$56,"&gt;="&amp;12)=0,0,SUP_CONTROL!$C$8*IF($B19="V",1,IF($B19="D",(1+SUP_VOLUMEN!$C$26),(1+SUP_VOLUMEN!$C$27)))*INDEX(SUP_C3_EXPANSION!$C$6:$F$6,MIN(4,COUNTIF(CAPA3_EXPANSION!$D$56:AM$56,"&gt;="&amp;12)))*CAPA3_EXPANSION!AM$36)</f>
        <v>0</v>
      </c>
      <c r="AN19" s="298" t="n">
        <f aca="false">IF(COUNTIF(CAPA3_EXPANSION!$D$56:AN$56,"&gt;="&amp;12)=0,0,SUP_CONTROL!$C$8*IF($B19="V",1,IF($B19="D",(1+SUP_VOLUMEN!$C$26),(1+SUP_VOLUMEN!$C$27)))*INDEX(SUP_C3_EXPANSION!$C$6:$F$6,MIN(4,COUNTIF(CAPA3_EXPANSION!$D$56:AN$56,"&gt;="&amp;12)))*CAPA3_EXPANSION!AN$36)</f>
        <v>0</v>
      </c>
      <c r="AO19" s="298" t="n">
        <f aca="false">IF(COUNTIF(CAPA3_EXPANSION!$D$56:AO$56,"&gt;="&amp;12)=0,0,SUP_CONTROL!$C$8*IF($B19="V",1,IF($B19="D",(1+SUP_VOLUMEN!$C$26),(1+SUP_VOLUMEN!$C$27)))*INDEX(SUP_C3_EXPANSION!$C$6:$F$6,MIN(4,COUNTIF(CAPA3_EXPANSION!$D$56:AO$56,"&gt;="&amp;12)))*CAPA3_EXPANSION!AO$36)</f>
        <v>0</v>
      </c>
      <c r="AP19" s="298" t="n">
        <f aca="false">IF(COUNTIF(CAPA3_EXPANSION!$D$56:AP$56,"&gt;="&amp;12)=0,0,SUP_CONTROL!$C$8*IF($B19="V",1,IF($B19="D",(1+SUP_VOLUMEN!$C$26),(1+SUP_VOLUMEN!$C$27)))*INDEX(SUP_C3_EXPANSION!$C$6:$F$6,MIN(4,COUNTIF(CAPA3_EXPANSION!$D$56:AP$56,"&gt;="&amp;12)))*CAPA3_EXPANSION!AP$36)</f>
        <v>0</v>
      </c>
      <c r="AQ19" s="298" t="n">
        <f aca="false">IF(COUNTIF(CAPA3_EXPANSION!$D$56:AQ$56,"&gt;="&amp;12)=0,0,SUP_CONTROL!$C$8*IF($B19="V",1,IF($B19="D",(1+SUP_VOLUMEN!$C$26),(1+SUP_VOLUMEN!$C$27)))*INDEX(SUP_C3_EXPANSION!$C$6:$F$6,MIN(4,COUNTIF(CAPA3_EXPANSION!$D$56:AQ$56,"&gt;="&amp;12)))*CAPA3_EXPANSION!AQ$36)</f>
        <v>0</v>
      </c>
      <c r="AR19" s="298" t="n">
        <f aca="false">IF(COUNTIF(CAPA3_EXPANSION!$D$56:AR$56,"&gt;="&amp;12)=0,0,SUP_CONTROL!$C$8*IF($B19="V",1,IF($B19="D",(1+SUP_VOLUMEN!$C$26),(1+SUP_VOLUMEN!$C$27)))*INDEX(SUP_C3_EXPANSION!$C$6:$F$6,MIN(4,COUNTIF(CAPA3_EXPANSION!$D$56:AR$56,"&gt;="&amp;12)))*CAPA3_EXPANSION!AR$36)</f>
        <v>0</v>
      </c>
      <c r="AS19" s="298" t="n">
        <f aca="false">IF(COUNTIF(CAPA3_EXPANSION!$D$56:AS$56,"&gt;="&amp;12)=0,0,SUP_CONTROL!$C$8*IF($B19="V",1,IF($B19="D",(1+SUP_VOLUMEN!$C$26),(1+SUP_VOLUMEN!$C$27)))*INDEX(SUP_C3_EXPANSION!$C$6:$F$6,MIN(4,COUNTIF(CAPA3_EXPANSION!$D$56:AS$56,"&gt;="&amp;12)))*CAPA3_EXPANSION!AS$36)</f>
        <v>0</v>
      </c>
      <c r="AT19" s="298" t="n">
        <f aca="false">IF(COUNTIF(CAPA3_EXPANSION!$D$56:AT$56,"&gt;="&amp;12)=0,0,SUP_CONTROL!$C$8*IF($B19="V",1,IF($B19="D",(1+SUP_VOLUMEN!$C$26),(1+SUP_VOLUMEN!$C$27)))*INDEX(SUP_C3_EXPANSION!$C$6:$F$6,MIN(4,COUNTIF(CAPA3_EXPANSION!$D$56:AT$56,"&gt;="&amp;12)))*CAPA3_EXPANSION!AT$36)</f>
        <v>0</v>
      </c>
      <c r="AU19" s="298" t="n">
        <f aca="false">IF(COUNTIF(CAPA3_EXPANSION!$D$56:AU$56,"&gt;="&amp;12)=0,0,SUP_CONTROL!$C$8*IF($B19="V",1,IF($B19="D",(1+SUP_VOLUMEN!$C$26),(1+SUP_VOLUMEN!$C$27)))*INDEX(SUP_C3_EXPANSION!$C$6:$F$6,MIN(4,COUNTIF(CAPA3_EXPANSION!$D$56:AU$56,"&gt;="&amp;12)))*CAPA3_EXPANSION!AU$36)</f>
        <v>0</v>
      </c>
      <c r="AV19" s="298" t="n">
        <f aca="false">IF(COUNTIF(CAPA3_EXPANSION!$D$56:AV$56,"&gt;="&amp;12)=0,0,SUP_CONTROL!$C$8*IF($B19="V",1,IF($B19="D",(1+SUP_VOLUMEN!$C$26),(1+SUP_VOLUMEN!$C$27)))*INDEX(SUP_C3_EXPANSION!$C$6:$F$6,MIN(4,COUNTIF(CAPA3_EXPANSION!$D$56:AV$56,"&gt;="&amp;12)))*CAPA3_EXPANSION!AV$36)</f>
        <v>0</v>
      </c>
      <c r="AW19" s="298" t="n">
        <f aca="false">IF(COUNTIF(CAPA3_EXPANSION!$D$56:AW$56,"&gt;="&amp;12)=0,0,SUP_CONTROL!$C$8*IF($B19="V",1,IF($B19="D",(1+SUP_VOLUMEN!$C$26),(1+SUP_VOLUMEN!$C$27)))*INDEX(SUP_C3_EXPANSION!$C$6:$F$6,MIN(4,COUNTIF(CAPA3_EXPANSION!$D$56:AW$56,"&gt;="&amp;12)))*CAPA3_EXPANSION!AW$36)</f>
        <v>3353.805</v>
      </c>
      <c r="AX19" s="298" t="n">
        <f aca="false">IF(COUNTIF(CAPA3_EXPANSION!$D$56:AX$56,"&gt;="&amp;12)=0,0,SUP_CONTROL!$C$8*IF($B19="V",1,IF($B19="D",(1+SUP_VOLUMEN!$C$26),(1+SUP_VOLUMEN!$C$27)))*INDEX(SUP_C3_EXPANSION!$C$6:$F$6,MIN(4,COUNTIF(CAPA3_EXPANSION!$D$56:AX$56,"&gt;="&amp;12)))*CAPA3_EXPANSION!AX$36)</f>
        <v>4127.76</v>
      </c>
      <c r="AY19" s="298" t="n">
        <f aca="false">IF(COUNTIF(CAPA3_EXPANSION!$D$56:AY$56,"&gt;="&amp;12)=0,0,SUP_CONTROL!$C$8*IF($B19="V",1,IF($B19="D",(1+SUP_VOLUMEN!$C$26),(1+SUP_VOLUMEN!$C$27)))*INDEX(SUP_C3_EXPANSION!$C$6:$F$6,MIN(4,COUNTIF(CAPA3_EXPANSION!$D$56:AY$56,"&gt;="&amp;12)))*CAPA3_EXPANSION!AY$36)</f>
        <v>4643.73</v>
      </c>
      <c r="AZ19" s="298" t="n">
        <f aca="false">IF(COUNTIF(CAPA3_EXPANSION!$D$56:AZ$56,"&gt;="&amp;12)=0,0,SUP_CONTROL!$C$8*IF($B19="V",1,IF($B19="D",(1+SUP_VOLUMEN!$C$26),(1+SUP_VOLUMEN!$C$27)))*INDEX(SUP_C3_EXPANSION!$C$6:$F$6,MIN(4,COUNTIF(CAPA3_EXPANSION!$D$56:AZ$56,"&gt;="&amp;12)))*CAPA3_EXPANSION!AZ$36)</f>
        <v>5159.7</v>
      </c>
      <c r="BA19" s="298" t="n">
        <f aca="false">IF(COUNTIF(CAPA3_EXPANSION!$D$56:BA$56,"&gt;="&amp;12)=0,0,SUP_CONTROL!$C$8*IF($B19="V",1,IF($B19="D",(1+SUP_VOLUMEN!$C$26),(1+SUP_VOLUMEN!$C$27)))*INDEX(SUP_C3_EXPANSION!$C$6:$F$6,MIN(4,COUNTIF(CAPA3_EXPANSION!$D$56:BA$56,"&gt;="&amp;12)))*CAPA3_EXPANSION!BA$36)</f>
        <v>5159.7</v>
      </c>
      <c r="BB19" s="298" t="n">
        <f aca="false">IF(COUNTIF(CAPA3_EXPANSION!$D$56:BB$56,"&gt;="&amp;12)=0,0,SUP_CONTROL!$C$8*IF($B19="V",1,IF($B19="D",(1+SUP_VOLUMEN!$C$26),(1+SUP_VOLUMEN!$C$27)))*INDEX(SUP_C3_EXPANSION!$C$6:$F$6,MIN(4,COUNTIF(CAPA3_EXPANSION!$D$56:BB$56,"&gt;="&amp;12)))*CAPA3_EXPANSION!BB$36)</f>
        <v>5159.7</v>
      </c>
      <c r="BC19" s="298" t="n">
        <f aca="false">IF(COUNTIF(CAPA3_EXPANSION!$D$56:BC$56,"&gt;="&amp;12)=0,0,SUP_CONTROL!$C$8*IF($B19="V",1,IF($B19="D",(1+SUP_VOLUMEN!$C$26),(1+SUP_VOLUMEN!$C$27)))*INDEX(SUP_C3_EXPANSION!$C$6:$F$6,MIN(4,COUNTIF(CAPA3_EXPANSION!$D$56:BC$56,"&gt;="&amp;12)))*CAPA3_EXPANSION!BC$36)</f>
        <v>5159.7</v>
      </c>
      <c r="BD19" s="298" t="n">
        <f aca="false">IF(COUNTIF(CAPA3_EXPANSION!$D$56:BD$56,"&gt;="&amp;12)=0,0,SUP_CONTROL!$C$8*IF($B19="V",1,IF($B19="D",(1+SUP_VOLUMEN!$C$26),(1+SUP_VOLUMEN!$C$27)))*INDEX(SUP_C3_EXPANSION!$C$6:$F$6,MIN(4,COUNTIF(CAPA3_EXPANSION!$D$56:BD$56,"&gt;="&amp;12)))*CAPA3_EXPANSION!BD$36)</f>
        <v>5159.7</v>
      </c>
      <c r="BE19" s="298" t="n">
        <f aca="false">IF(COUNTIF(CAPA3_EXPANSION!$D$56:BE$56,"&gt;="&amp;12)=0,0,SUP_CONTROL!$C$8*IF($B19="V",1,IF($B19="D",(1+SUP_VOLUMEN!$C$26),(1+SUP_VOLUMEN!$C$27)))*INDEX(SUP_C3_EXPANSION!$C$6:$F$6,MIN(4,COUNTIF(CAPA3_EXPANSION!$D$56:BE$56,"&gt;="&amp;12)))*CAPA3_EXPANSION!BE$36)</f>
        <v>5159.7</v>
      </c>
      <c r="BF19" s="298" t="n">
        <f aca="false">IF(COUNTIF(CAPA3_EXPANSION!$D$56:BF$56,"&gt;="&amp;12)=0,0,SUP_CONTROL!$C$8*IF($B19="V",1,IF($B19="D",(1+SUP_VOLUMEN!$C$26),(1+SUP_VOLUMEN!$C$27)))*INDEX(SUP_C3_EXPANSION!$C$6:$F$6,MIN(4,COUNTIF(CAPA3_EXPANSION!$D$56:BF$56,"&gt;="&amp;12)))*CAPA3_EXPANSION!BF$36)</f>
        <v>5023.2</v>
      </c>
      <c r="BG19" s="298" t="n">
        <f aca="false">IF(COUNTIF(CAPA3_EXPANSION!$D$56:BG$56,"&gt;="&amp;12)=0,0,SUP_CONTROL!$C$8*IF($B19="V",1,IF($B19="D",(1+SUP_VOLUMEN!$C$26),(1+SUP_VOLUMEN!$C$27)))*INDEX(SUP_C3_EXPANSION!$C$6:$F$6,MIN(4,COUNTIF(CAPA3_EXPANSION!$D$56:BG$56,"&gt;="&amp;12)))*CAPA3_EXPANSION!BG$36)</f>
        <v>5023.2</v>
      </c>
      <c r="BH19" s="298" t="n">
        <f aca="false">IF(COUNTIF(CAPA3_EXPANSION!$D$56:BH$56,"&gt;="&amp;12)=0,0,SUP_CONTROL!$C$8*IF($B19="V",1,IF($B19="D",(1+SUP_VOLUMEN!$C$26),(1+SUP_VOLUMEN!$C$27)))*INDEX(SUP_C3_EXPANSION!$C$6:$F$6,MIN(4,COUNTIF(CAPA3_EXPANSION!$D$56:BH$56,"&gt;="&amp;12)))*CAPA3_EXPANSION!BH$36)</f>
        <v>5023.2</v>
      </c>
      <c r="BI19" s="298" t="n">
        <f aca="false">IF(COUNTIF(CAPA3_EXPANSION!$D$56:BI$56,"&gt;="&amp;12)=0,0,SUP_CONTROL!$C$8*IF($B19="V",1,IF($B19="D",(1+SUP_VOLUMEN!$C$26),(1+SUP_VOLUMEN!$C$27)))*INDEX(SUP_C3_EXPANSION!$C$6:$F$6,MIN(4,COUNTIF(CAPA3_EXPANSION!$D$56:BI$56,"&gt;="&amp;12)))*CAPA3_EXPANSION!BI$36)</f>
        <v>5023.2</v>
      </c>
      <c r="BJ19" s="298" t="n">
        <f aca="false">IF(COUNTIF(CAPA3_EXPANSION!$D$56:BJ$56,"&gt;="&amp;12)=0,0,SUP_CONTROL!$C$8*IF($B19="V",1,IF($B19="D",(1+SUP_VOLUMEN!$C$26),(1+SUP_VOLUMEN!$C$27)))*INDEX(SUP_C3_EXPANSION!$C$6:$F$6,MIN(4,COUNTIF(CAPA3_EXPANSION!$D$56:BJ$56,"&gt;="&amp;12)))*CAPA3_EXPANSION!BJ$36)</f>
        <v>5023.2</v>
      </c>
      <c r="BK19" s="298" t="n">
        <f aca="false">IF(COUNTIF(CAPA3_EXPANSION!$D$56:BK$56,"&gt;="&amp;12)=0,0,SUP_CONTROL!$C$8*IF($B19="V",1,IF($B19="D",(1+SUP_VOLUMEN!$C$26),(1+SUP_VOLUMEN!$C$27)))*INDEX(SUP_C3_EXPANSION!$C$6:$F$6,MIN(4,COUNTIF(CAPA3_EXPANSION!$D$56:BK$56,"&gt;="&amp;12)))*CAPA3_EXPANSION!BK$36)</f>
        <v>4914</v>
      </c>
      <c r="BL19" s="298" t="n">
        <f aca="false">IF(COUNTIF(CAPA3_EXPANSION!$D$56:BL$56,"&gt;="&amp;12)=0,0,SUP_CONTROL!$C$8*IF($B19="V",1,IF($B19="D",(1+SUP_VOLUMEN!$C$26),(1+SUP_VOLUMEN!$C$27)))*INDEX(SUP_C3_EXPANSION!$C$6:$F$6,MIN(4,COUNTIF(CAPA3_EXPANSION!$D$56:BL$56,"&gt;="&amp;12)))*CAPA3_EXPANSION!BL$36)</f>
        <v>4914</v>
      </c>
      <c r="BM19" s="298" t="n">
        <f aca="false">IF(COUNTIF(CAPA3_EXPANSION!$D$56:BM$56,"&gt;="&amp;12)=0,0,SUP_CONTROL!$C$8*IF($B19="V",1,IF($B19="D",(1+SUP_VOLUMEN!$C$26),(1+SUP_VOLUMEN!$C$27)))*INDEX(SUP_C3_EXPANSION!$C$6:$F$6,MIN(4,COUNTIF(CAPA3_EXPANSION!$D$56:BM$56,"&gt;="&amp;12)))*CAPA3_EXPANSION!BM$36)</f>
        <v>4914</v>
      </c>
      <c r="BN19" s="298" t="n">
        <f aca="false">IF(COUNTIF(CAPA3_EXPANSION!$D$56:BN$56,"&gt;="&amp;12)=0,0,SUP_CONTROL!$C$8*IF($B19="V",1,IF($B19="D",(1+SUP_VOLUMEN!$C$26),(1+SUP_VOLUMEN!$C$27)))*INDEX(SUP_C3_EXPANSION!$C$6:$F$6,MIN(4,COUNTIF(CAPA3_EXPANSION!$D$56:BN$56,"&gt;="&amp;12)))*CAPA3_EXPANSION!BN$36)</f>
        <v>4914</v>
      </c>
      <c r="BO19" s="298" t="n">
        <f aca="false">IF(COUNTIF(CAPA3_EXPANSION!$D$56:BO$56,"&gt;="&amp;12)=0,0,SUP_CONTROL!$C$8*IF($B19="V",1,IF($B19="D",(1+SUP_VOLUMEN!$C$26),(1+SUP_VOLUMEN!$C$27)))*INDEX(SUP_C3_EXPANSION!$C$6:$F$6,MIN(4,COUNTIF(CAPA3_EXPANSION!$D$56:BO$56,"&gt;="&amp;12)))*CAPA3_EXPANSION!BO$36)</f>
        <v>4914</v>
      </c>
      <c r="BP19" s="298" t="n">
        <f aca="false">IF(COUNTIF(CAPA3_EXPANSION!$D$56:BP$56,"&gt;="&amp;12)=0,0,SUP_CONTROL!$C$8*IF($B19="V",1,IF($B19="D",(1+SUP_VOLUMEN!$C$26),(1+SUP_VOLUMEN!$C$27)))*INDEX(SUP_C3_EXPANSION!$C$6:$F$6,MIN(4,COUNTIF(CAPA3_EXPANSION!$D$56:BP$56,"&gt;="&amp;12)))*CAPA3_EXPANSION!BP$36)</f>
        <v>4914</v>
      </c>
      <c r="BQ19" s="298" t="n">
        <f aca="false">IF(COUNTIF(CAPA3_EXPANSION!$D$56:BQ$56,"&gt;="&amp;12)=0,0,SUP_CONTROL!$C$8*IF($B19="V",1,IF($B19="D",(1+SUP_VOLUMEN!$C$26),(1+SUP_VOLUMEN!$C$27)))*INDEX(SUP_C3_EXPANSION!$C$6:$F$6,MIN(4,COUNTIF(CAPA3_EXPANSION!$D$56:BQ$56,"&gt;="&amp;12)))*CAPA3_EXPANSION!BQ$36)</f>
        <v>4804.8</v>
      </c>
      <c r="BR19" s="298" t="n">
        <f aca="false">IF(COUNTIF(CAPA3_EXPANSION!$D$56:BR$56,"&gt;="&amp;12)=0,0,SUP_CONTROL!$C$8*IF($B19="V",1,IF($B19="D",(1+SUP_VOLUMEN!$C$26),(1+SUP_VOLUMEN!$C$27)))*INDEX(SUP_C3_EXPANSION!$C$6:$F$6,MIN(4,COUNTIF(CAPA3_EXPANSION!$D$56:BR$56,"&gt;="&amp;12)))*CAPA3_EXPANSION!BR$36)</f>
        <v>4804.8</v>
      </c>
      <c r="BS19" s="298" t="n">
        <f aca="false">IF(COUNTIF(CAPA3_EXPANSION!$D$56:BS$56,"&gt;="&amp;12)=0,0,SUP_CONTROL!$C$8*IF($B19="V",1,IF($B19="D",(1+SUP_VOLUMEN!$C$26),(1+SUP_VOLUMEN!$C$27)))*INDEX(SUP_C3_EXPANSION!$C$6:$F$6,MIN(4,COUNTIF(CAPA3_EXPANSION!$D$56:BS$56,"&gt;="&amp;12)))*CAPA3_EXPANSION!BS$36)</f>
        <v>4804.8</v>
      </c>
      <c r="BT19" s="298" t="n">
        <f aca="false">IF(COUNTIF(CAPA3_EXPANSION!$D$56:BT$56,"&gt;="&amp;12)=0,0,SUP_CONTROL!$C$8*IF($B19="V",1,IF($B19="D",(1+SUP_VOLUMEN!$C$26),(1+SUP_VOLUMEN!$C$27)))*INDEX(SUP_C3_EXPANSION!$C$6:$F$6,MIN(4,COUNTIF(CAPA3_EXPANSION!$D$56:BT$56,"&gt;="&amp;12)))*CAPA3_EXPANSION!BT$36)</f>
        <v>4804.8</v>
      </c>
      <c r="BU19" s="298" t="n">
        <f aca="false">IF(COUNTIF(CAPA3_EXPANSION!$D$56:BU$56,"&gt;="&amp;12)=0,0,SUP_CONTROL!$C$8*IF($B19="V",1,IF($B19="D",(1+SUP_VOLUMEN!$C$26),(1+SUP_VOLUMEN!$C$27)))*INDEX(SUP_C3_EXPANSION!$C$6:$F$6,MIN(4,COUNTIF(CAPA3_EXPANSION!$D$56:BU$56,"&gt;="&amp;12)))*CAPA3_EXPANSION!BU$36)</f>
        <v>4804.8</v>
      </c>
      <c r="BV19" s="298" t="n">
        <f aca="false">IF(COUNTIF(CAPA3_EXPANSION!$D$56:BV$56,"&gt;="&amp;12)=0,0,SUP_CONTROL!$C$8*IF($B19="V",1,IF($B19="D",(1+SUP_VOLUMEN!$C$26),(1+SUP_VOLUMEN!$C$27)))*INDEX(SUP_C3_EXPANSION!$C$6:$F$6,MIN(4,COUNTIF(CAPA3_EXPANSION!$D$56:BV$56,"&gt;="&amp;12)))*CAPA3_EXPANSION!BV$36)</f>
        <v>4804.8</v>
      </c>
      <c r="BW19" s="298" t="n">
        <f aca="false">IF(COUNTIF(CAPA3_EXPANSION!$D$56:BW$56,"&gt;="&amp;12)=0,0,SUP_CONTROL!$C$8*IF($B19="V",1,IF($B19="D",(1+SUP_VOLUMEN!$C$26),(1+SUP_VOLUMEN!$C$27)))*INDEX(SUP_C3_EXPANSION!$C$6:$F$6,MIN(4,COUNTIF(CAPA3_EXPANSION!$D$56:BW$56,"&gt;="&amp;12)))*CAPA3_EXPANSION!BW$36)</f>
        <v>4722.9</v>
      </c>
      <c r="BX19" s="298" t="n">
        <f aca="false">IF(COUNTIF(CAPA3_EXPANSION!$D$56:BX$56,"&gt;="&amp;12)=0,0,SUP_CONTROL!$C$8*IF($B19="V",1,IF($B19="D",(1+SUP_VOLUMEN!$C$26),(1+SUP_VOLUMEN!$C$27)))*INDEX(SUP_C3_EXPANSION!$C$6:$F$6,MIN(4,COUNTIF(CAPA3_EXPANSION!$D$56:BX$56,"&gt;="&amp;12)))*CAPA3_EXPANSION!BX$36)</f>
        <v>4722.9</v>
      </c>
      <c r="BY19" s="298" t="n">
        <f aca="false">IF(COUNTIF(CAPA3_EXPANSION!$D$56:BY$56,"&gt;="&amp;12)=0,0,SUP_CONTROL!$C$8*IF($B19="V",1,IF($B19="D",(1+SUP_VOLUMEN!$C$26),(1+SUP_VOLUMEN!$C$27)))*INDEX(SUP_C3_EXPANSION!$C$6:$F$6,MIN(4,COUNTIF(CAPA3_EXPANSION!$D$56:BY$56,"&gt;="&amp;12)))*CAPA3_EXPANSION!BY$36)</f>
        <v>4722.9</v>
      </c>
      <c r="BZ19" s="298" t="n">
        <f aca="false">IF(COUNTIF(CAPA3_EXPANSION!$D$56:BZ$56,"&gt;="&amp;12)=0,0,SUP_CONTROL!$C$8*IF($B19="V",1,IF($B19="D",(1+SUP_VOLUMEN!$C$26),(1+SUP_VOLUMEN!$C$27)))*INDEX(SUP_C3_EXPANSION!$C$6:$F$6,MIN(4,COUNTIF(CAPA3_EXPANSION!$D$56:BZ$56,"&gt;="&amp;12)))*CAPA3_EXPANSION!BZ$36)</f>
        <v>4722.9</v>
      </c>
      <c r="CA19" s="298" t="n">
        <f aca="false">IF(COUNTIF(CAPA3_EXPANSION!$D$56:CA$56,"&gt;="&amp;12)=0,0,SUP_CONTROL!$C$8*IF($B19="V",1,IF($B19="D",(1+SUP_VOLUMEN!$C$26),(1+SUP_VOLUMEN!$C$27)))*INDEX(SUP_C3_EXPANSION!$C$6:$F$6,MIN(4,COUNTIF(CAPA3_EXPANSION!$D$56:CA$56,"&gt;="&amp;12)))*CAPA3_EXPANSION!CA$36)</f>
        <v>4722.9</v>
      </c>
      <c r="CB19" s="298" t="n">
        <f aca="false">IF(COUNTIF(CAPA3_EXPANSION!$D$56:CB$56,"&gt;="&amp;12)=0,0,SUP_CONTROL!$C$8*IF($B19="V",1,IF($B19="D",(1+SUP_VOLUMEN!$C$26),(1+SUP_VOLUMEN!$C$27)))*INDEX(SUP_C3_EXPANSION!$C$6:$F$6,MIN(4,COUNTIF(CAPA3_EXPANSION!$D$56:CB$56,"&gt;="&amp;12)))*CAPA3_EXPANSION!CB$36)</f>
        <v>4641</v>
      </c>
      <c r="CC19" s="298" t="n">
        <f aca="false">IF(COUNTIF(CAPA3_EXPANSION!$D$56:CC$56,"&gt;="&amp;12)=0,0,SUP_CONTROL!$C$8*IF($B19="V",1,IF($B19="D",(1+SUP_VOLUMEN!$C$26),(1+SUP_VOLUMEN!$C$27)))*INDEX(SUP_C3_EXPANSION!$C$6:$F$6,MIN(4,COUNTIF(CAPA3_EXPANSION!$D$56:CC$56,"&gt;="&amp;12)))*CAPA3_EXPANSION!CC$36)</f>
        <v>4641</v>
      </c>
      <c r="CD19" s="298" t="n">
        <f aca="false">IF(COUNTIF(CAPA3_EXPANSION!$D$56:CD$56,"&gt;="&amp;12)=0,0,SUP_CONTROL!$C$8*IF($B19="V",1,IF($B19="D",(1+SUP_VOLUMEN!$C$26),(1+SUP_VOLUMEN!$C$27)))*INDEX(SUP_C3_EXPANSION!$C$6:$F$6,MIN(4,COUNTIF(CAPA3_EXPANSION!$D$56:CD$56,"&gt;="&amp;12)))*CAPA3_EXPANSION!CD$36)</f>
        <v>4641</v>
      </c>
      <c r="CE19" s="298" t="n">
        <f aca="false">IF(COUNTIF(CAPA3_EXPANSION!$D$56:CE$56,"&gt;="&amp;12)=0,0,SUP_CONTROL!$C$8*IF($B19="V",1,IF($B19="D",(1+SUP_VOLUMEN!$C$26),(1+SUP_VOLUMEN!$C$27)))*INDEX(SUP_C3_EXPANSION!$C$6:$F$6,MIN(4,COUNTIF(CAPA3_EXPANSION!$D$56:CE$56,"&gt;="&amp;12)))*CAPA3_EXPANSION!CE$36)</f>
        <v>4641</v>
      </c>
      <c r="CF19" s="298" t="n">
        <f aca="false">IF(COUNTIF(CAPA3_EXPANSION!$D$56:CF$56,"&gt;="&amp;12)=0,0,SUP_CONTROL!$C$8*IF($B19="V",1,IF($B19="D",(1+SUP_VOLUMEN!$C$26),(1+SUP_VOLUMEN!$C$27)))*INDEX(SUP_C3_EXPANSION!$C$6:$F$6,MIN(4,COUNTIF(CAPA3_EXPANSION!$D$56:CF$56,"&gt;="&amp;12)))*CAPA3_EXPANSION!CF$36)</f>
        <v>4641</v>
      </c>
      <c r="CG19" s="298" t="n">
        <f aca="false">IF(COUNTIF(CAPA3_EXPANSION!$D$56:CG$56,"&gt;="&amp;12)=0,0,SUP_CONTROL!$C$8*IF($B19="V",1,IF($B19="D",(1+SUP_VOLUMEN!$C$26),(1+SUP_VOLUMEN!$C$27)))*INDEX(SUP_C3_EXPANSION!$C$6:$F$6,MIN(4,COUNTIF(CAPA3_EXPANSION!$D$56:CG$56,"&gt;="&amp;12)))*CAPA3_EXPANSION!CG$36)</f>
        <v>4586.4</v>
      </c>
      <c r="CH19" s="298" t="n">
        <f aca="false">IF(COUNTIF(CAPA3_EXPANSION!$D$56:CH$56,"&gt;="&amp;12)=0,0,SUP_CONTROL!$C$8*IF($B19="V",1,IF($B19="D",(1+SUP_VOLUMEN!$C$26),(1+SUP_VOLUMEN!$C$27)))*INDEX(SUP_C3_EXPANSION!$C$6:$F$6,MIN(4,COUNTIF(CAPA3_EXPANSION!$D$56:CH$56,"&gt;="&amp;12)))*CAPA3_EXPANSION!CH$36)</f>
        <v>4586.4</v>
      </c>
      <c r="CI19" s="298" t="n">
        <f aca="false">IF(COUNTIF(CAPA3_EXPANSION!$D$56:CI$56,"&gt;="&amp;12)=0,0,SUP_CONTROL!$C$8*IF($B19="V",1,IF($B19="D",(1+SUP_VOLUMEN!$C$26),(1+SUP_VOLUMEN!$C$27)))*INDEX(SUP_C3_EXPANSION!$C$6:$F$6,MIN(4,COUNTIF(CAPA3_EXPANSION!$D$56:CI$56,"&gt;="&amp;12)))*CAPA3_EXPANSION!CI$36)</f>
        <v>4586.4</v>
      </c>
      <c r="CJ19" s="298" t="n">
        <f aca="false">IF(COUNTIF(CAPA3_EXPANSION!$D$56:CJ$56,"&gt;="&amp;12)=0,0,SUP_CONTROL!$C$8*IF($B19="V",1,IF($B19="D",(1+SUP_VOLUMEN!$C$26),(1+SUP_VOLUMEN!$C$27)))*INDEX(SUP_C3_EXPANSION!$C$6:$F$6,MIN(4,COUNTIF(CAPA3_EXPANSION!$D$56:CJ$56,"&gt;="&amp;12)))*CAPA3_EXPANSION!CJ$36)</f>
        <v>4586.4</v>
      </c>
      <c r="CK19" s="298" t="n">
        <f aca="false">IF(COUNTIF(CAPA3_EXPANSION!$D$56:CK$56,"&gt;="&amp;12)=0,0,SUP_CONTROL!$C$8*IF($B19="V",1,IF($B19="D",(1+SUP_VOLUMEN!$C$26),(1+SUP_VOLUMEN!$C$27)))*INDEX(SUP_C3_EXPANSION!$C$6:$F$6,MIN(4,COUNTIF(CAPA3_EXPANSION!$D$56:CK$56,"&gt;="&amp;12)))*CAPA3_EXPANSION!CK$36)</f>
        <v>4586.4</v>
      </c>
      <c r="CL19" s="298" t="n">
        <f aca="false">IF(COUNTIF(CAPA3_EXPANSION!$D$56:CL$56,"&gt;="&amp;12)=0,0,SUP_CONTROL!$C$8*IF($B19="V",1,IF($B19="D",(1+SUP_VOLUMEN!$C$26),(1+SUP_VOLUMEN!$C$27)))*INDEX(SUP_C3_EXPANSION!$C$6:$F$6,MIN(4,COUNTIF(CAPA3_EXPANSION!$D$56:CL$56,"&gt;="&amp;12)))*CAPA3_EXPANSION!CL$36)</f>
        <v>4586.4</v>
      </c>
      <c r="CM19" s="298" t="n">
        <f aca="false">IF(COUNTIF(CAPA3_EXPANSION!$D$56:CM$56,"&gt;="&amp;12)=0,0,SUP_CONTROL!$C$8*IF($B19="V",1,IF($B19="D",(1+SUP_VOLUMEN!$C$26),(1+SUP_VOLUMEN!$C$27)))*INDEX(SUP_C3_EXPANSION!$C$6:$F$6,MIN(4,COUNTIF(CAPA3_EXPANSION!$D$56:CM$56,"&gt;="&amp;12)))*CAPA3_EXPANSION!CM$36)</f>
        <v>4586.4</v>
      </c>
      <c r="CN19" s="298" t="n">
        <f aca="false">IF(COUNTIF(CAPA3_EXPANSION!$D$56:CN$56,"&gt;="&amp;12)=0,0,SUP_CONTROL!$C$8*IF($B19="V",1,IF($B19="D",(1+SUP_VOLUMEN!$C$26),(1+SUP_VOLUMEN!$C$27)))*INDEX(SUP_C3_EXPANSION!$C$6:$F$6,MIN(4,COUNTIF(CAPA3_EXPANSION!$D$56:CN$56,"&gt;="&amp;12)))*CAPA3_EXPANSION!CN$36)</f>
        <v>4586.4</v>
      </c>
      <c r="CO19" s="298" t="n">
        <f aca="false">IF(COUNTIF(CAPA3_EXPANSION!$D$56:CO$56,"&gt;="&amp;12)=0,0,SUP_CONTROL!$C$8*IF($B19="V",1,IF($B19="D",(1+SUP_VOLUMEN!$C$26),(1+SUP_VOLUMEN!$C$27)))*INDEX(SUP_C3_EXPANSION!$C$6:$F$6,MIN(4,COUNTIF(CAPA3_EXPANSION!$D$56:CO$56,"&gt;="&amp;12)))*CAPA3_EXPANSION!CO$36)</f>
        <v>4586.4</v>
      </c>
      <c r="CP19" s="298" t="n">
        <f aca="false">IF(COUNTIF(CAPA3_EXPANSION!$D$56:CP$56,"&gt;="&amp;12)=0,0,SUP_CONTROL!$C$8*IF($B19="V",1,IF($B19="D",(1+SUP_VOLUMEN!$C$26),(1+SUP_VOLUMEN!$C$27)))*INDEX(SUP_C3_EXPANSION!$C$6:$F$6,MIN(4,COUNTIF(CAPA3_EXPANSION!$D$56:CP$56,"&gt;="&amp;12)))*CAPA3_EXPANSION!CP$36)</f>
        <v>4586.4</v>
      </c>
      <c r="CQ19" s="298" t="n">
        <f aca="false">IF(COUNTIF(CAPA3_EXPANSION!$D$56:CQ$56,"&gt;="&amp;12)=0,0,SUP_CONTROL!$C$8*IF($B19="V",1,IF($B19="D",(1+SUP_VOLUMEN!$C$26),(1+SUP_VOLUMEN!$C$27)))*INDEX(SUP_C3_EXPANSION!$C$6:$F$6,MIN(4,COUNTIF(CAPA3_EXPANSION!$D$56:CQ$56,"&gt;="&amp;12)))*CAPA3_EXPANSION!CQ$36)</f>
        <v>4586.4</v>
      </c>
      <c r="CR19" s="298" t="n">
        <f aca="false">IF(COUNTIF(CAPA3_EXPANSION!$D$56:CR$56,"&gt;="&amp;12)=0,0,SUP_CONTROL!$C$8*IF($B19="V",1,IF($B19="D",(1+SUP_VOLUMEN!$C$26),(1+SUP_VOLUMEN!$C$27)))*INDEX(SUP_C3_EXPANSION!$C$6:$F$6,MIN(4,COUNTIF(CAPA3_EXPANSION!$D$56:CR$56,"&gt;="&amp;12)))*CAPA3_EXPANSION!CR$36)</f>
        <v>4586.4</v>
      </c>
      <c r="CS19" s="298" t="n">
        <f aca="false">IF(COUNTIF(CAPA3_EXPANSION!$D$56:CS$56,"&gt;="&amp;12)=0,0,SUP_CONTROL!$C$8*IF($B19="V",1,IF($B19="D",(1+SUP_VOLUMEN!$C$26),(1+SUP_VOLUMEN!$C$27)))*INDEX(SUP_C3_EXPANSION!$C$6:$F$6,MIN(4,COUNTIF(CAPA3_EXPANSION!$D$56:CS$56,"&gt;="&amp;12)))*CAPA3_EXPANSION!CS$36)</f>
        <v>4586.4</v>
      </c>
      <c r="CT19" s="298" t="n">
        <f aca="false">IF(COUNTIF(CAPA3_EXPANSION!$D$56:CT$56,"&gt;="&amp;12)=0,0,SUP_CONTROL!$C$8*IF($B19="V",1,IF($B19="D",(1+SUP_VOLUMEN!$C$26),(1+SUP_VOLUMEN!$C$27)))*INDEX(SUP_C3_EXPANSION!$C$6:$F$6,MIN(4,COUNTIF(CAPA3_EXPANSION!$D$56:CT$56,"&gt;="&amp;12)))*CAPA3_EXPANSION!CT$36)</f>
        <v>4586.4</v>
      </c>
      <c r="CU19" s="298" t="n">
        <f aca="false">IF(COUNTIF(CAPA3_EXPANSION!$D$56:CU$56,"&gt;="&amp;12)=0,0,SUP_CONTROL!$C$8*IF($B19="V",1,IF($B19="D",(1+SUP_VOLUMEN!$C$26),(1+SUP_VOLUMEN!$C$27)))*INDEX(SUP_C3_EXPANSION!$C$6:$F$6,MIN(4,COUNTIF(CAPA3_EXPANSION!$D$56:CU$56,"&gt;="&amp;12)))*CAPA3_EXPANSION!CU$36)</f>
        <v>4586.4</v>
      </c>
      <c r="CV19" s="298" t="n">
        <f aca="false">IF(COUNTIF(CAPA3_EXPANSION!$D$56:CV$56,"&gt;="&amp;12)=0,0,SUP_CONTROL!$C$8*IF($B19="V",1,IF($B19="D",(1+SUP_VOLUMEN!$C$26),(1+SUP_VOLUMEN!$C$27)))*INDEX(SUP_C3_EXPANSION!$C$6:$F$6,MIN(4,COUNTIF(CAPA3_EXPANSION!$D$56:CV$56,"&gt;="&amp;12)))*CAPA3_EXPANSION!CV$36)</f>
        <v>4586.4</v>
      </c>
      <c r="CW19" s="298" t="n">
        <f aca="false">IF(COUNTIF(CAPA3_EXPANSION!$D$56:CW$56,"&gt;="&amp;12)=0,0,SUP_CONTROL!$C$8*IF($B19="V",1,IF($B19="D",(1+SUP_VOLUMEN!$C$26),(1+SUP_VOLUMEN!$C$27)))*INDEX(SUP_C3_EXPANSION!$C$6:$F$6,MIN(4,COUNTIF(CAPA3_EXPANSION!$D$56:CW$56,"&gt;="&amp;12)))*CAPA3_EXPANSION!CW$36)</f>
        <v>4586.4</v>
      </c>
      <c r="CX19" s="298" t="n">
        <f aca="false">IF(COUNTIF(CAPA3_EXPANSION!$D$56:CX$56,"&gt;="&amp;12)=0,0,SUP_CONTROL!$C$8*IF($B19="V",1,IF($B19="D",(1+SUP_VOLUMEN!$C$26),(1+SUP_VOLUMEN!$C$27)))*INDEX(SUP_C3_EXPANSION!$C$6:$F$6,MIN(4,COUNTIF(CAPA3_EXPANSION!$D$56:CX$56,"&gt;="&amp;12)))*CAPA3_EXPANSION!CX$36)</f>
        <v>4586.4</v>
      </c>
      <c r="CY19" s="298" t="n">
        <f aca="false">IF(COUNTIF(CAPA3_EXPANSION!$D$56:CY$56,"&gt;="&amp;12)=0,0,SUP_CONTROL!$C$8*IF($B19="V",1,IF($B19="D",(1+SUP_VOLUMEN!$C$26),(1+SUP_VOLUMEN!$C$27)))*INDEX(SUP_C3_EXPANSION!$C$6:$F$6,MIN(4,COUNTIF(CAPA3_EXPANSION!$D$56:CY$56,"&gt;="&amp;12)))*CAPA3_EXPANSION!CY$36)</f>
        <v>4586.4</v>
      </c>
      <c r="CZ19" s="298" t="n">
        <f aca="false">IF(COUNTIF(CAPA3_EXPANSION!$D$56:CZ$56,"&gt;="&amp;12)=0,0,SUP_CONTROL!$C$8*IF($B19="V",1,IF($B19="D",(1+SUP_VOLUMEN!$C$26),(1+SUP_VOLUMEN!$C$27)))*INDEX(SUP_C3_EXPANSION!$C$6:$F$6,MIN(4,COUNTIF(CAPA3_EXPANSION!$D$56:CZ$56,"&gt;="&amp;12)))*CAPA3_EXPANSION!CZ$36)</f>
        <v>4586.4</v>
      </c>
      <c r="DA19" s="298" t="n">
        <f aca="false">IF(COUNTIF(CAPA3_EXPANSION!$D$56:DA$56,"&gt;="&amp;12)=0,0,SUP_CONTROL!$C$8*IF($B19="V",1,IF($B19="D",(1+SUP_VOLUMEN!$C$26),(1+SUP_VOLUMEN!$C$27)))*INDEX(SUP_C3_EXPANSION!$C$6:$F$6,MIN(4,COUNTIF(CAPA3_EXPANSION!$D$56:DA$56,"&gt;="&amp;12)))*CAPA3_EXPANSION!DA$36)</f>
        <v>4586.4</v>
      </c>
      <c r="DB19" s="298" t="n">
        <f aca="false">IF(COUNTIF(CAPA3_EXPANSION!$D$56:DB$56,"&gt;="&amp;12)=0,0,SUP_CONTROL!$C$8*IF($B19="V",1,IF($B19="D",(1+SUP_VOLUMEN!$C$26),(1+SUP_VOLUMEN!$C$27)))*INDEX(SUP_C3_EXPANSION!$C$6:$F$6,MIN(4,COUNTIF(CAPA3_EXPANSION!$D$56:DB$56,"&gt;="&amp;12)))*CAPA3_EXPANSION!DB$36)</f>
        <v>4586.4</v>
      </c>
      <c r="DC19" s="298" t="n">
        <f aca="false">IF(COUNTIF(CAPA3_EXPANSION!$D$56:DC$56,"&gt;="&amp;12)=0,0,SUP_CONTROL!$C$8*IF($B19="V",1,IF($B19="D",(1+SUP_VOLUMEN!$C$26),(1+SUP_VOLUMEN!$C$27)))*INDEX(SUP_C3_EXPANSION!$C$6:$F$6,MIN(4,COUNTIF(CAPA3_EXPANSION!$D$56:DC$56,"&gt;="&amp;12)))*CAPA3_EXPANSION!DC$36)</f>
        <v>4586.4</v>
      </c>
      <c r="DD19" s="298" t="n">
        <f aca="false">IF(COUNTIF(CAPA3_EXPANSION!$D$56:DD$56,"&gt;="&amp;12)=0,0,SUP_CONTROL!$C$8*IF($B19="V",1,IF($B19="D",(1+SUP_VOLUMEN!$C$26),(1+SUP_VOLUMEN!$C$27)))*INDEX(SUP_C3_EXPANSION!$C$6:$F$6,MIN(4,COUNTIF(CAPA3_EXPANSION!$D$56:DD$56,"&gt;="&amp;12)))*CAPA3_EXPANSION!DD$36)</f>
        <v>4586.4</v>
      </c>
      <c r="DE19" s="298" t="n">
        <f aca="false">IF(COUNTIF(CAPA3_EXPANSION!$D$56:DE$56,"&gt;="&amp;12)=0,0,SUP_CONTROL!$C$8*IF($B19="V",1,IF($B19="D",(1+SUP_VOLUMEN!$C$26),(1+SUP_VOLUMEN!$C$27)))*INDEX(SUP_C3_EXPANSION!$C$6:$F$6,MIN(4,COUNTIF(CAPA3_EXPANSION!$D$56:DE$56,"&gt;="&amp;12)))*CAPA3_EXPANSION!DE$36)</f>
        <v>4586.4</v>
      </c>
      <c r="DF19" s="298" t="n">
        <f aca="false">IF(COUNTIF(CAPA3_EXPANSION!$D$56:DF$56,"&gt;="&amp;12)=0,0,SUP_CONTROL!$C$8*IF($B19="V",1,IF($B19="D",(1+SUP_VOLUMEN!$C$26),(1+SUP_VOLUMEN!$C$27)))*INDEX(SUP_C3_EXPANSION!$C$6:$F$6,MIN(4,COUNTIF(CAPA3_EXPANSION!$D$56:DF$56,"&gt;="&amp;12)))*CAPA3_EXPANSION!DF$36)</f>
        <v>4586.4</v>
      </c>
      <c r="DG19" s="298" t="n">
        <f aca="false">IF(COUNTIF(CAPA3_EXPANSION!$D$56:DG$56,"&gt;="&amp;12)=0,0,SUP_CONTROL!$C$8*IF($B19="V",1,IF($B19="D",(1+SUP_VOLUMEN!$C$26),(1+SUP_VOLUMEN!$C$27)))*INDEX(SUP_C3_EXPANSION!$C$6:$F$6,MIN(4,COUNTIF(CAPA3_EXPANSION!$D$56:DG$56,"&gt;="&amp;12)))*CAPA3_EXPANSION!DG$36)</f>
        <v>4586.4</v>
      </c>
      <c r="DH19" s="298" t="n">
        <f aca="false">IF(COUNTIF(CAPA3_EXPANSION!$D$56:DH$56,"&gt;="&amp;12)=0,0,SUP_CONTROL!$C$8*IF($B19="V",1,IF($B19="D",(1+SUP_VOLUMEN!$C$26),(1+SUP_VOLUMEN!$C$27)))*INDEX(SUP_C3_EXPANSION!$C$6:$F$6,MIN(4,COUNTIF(CAPA3_EXPANSION!$D$56:DH$56,"&gt;="&amp;12)))*CAPA3_EXPANSION!DH$36)</f>
        <v>4586.4</v>
      </c>
      <c r="DI19" s="298" t="n">
        <f aca="false">IF(COUNTIF(CAPA3_EXPANSION!$D$56:DI$56,"&gt;="&amp;12)=0,0,SUP_CONTROL!$C$8*IF($B19="V",1,IF($B19="D",(1+SUP_VOLUMEN!$C$26),(1+SUP_VOLUMEN!$C$27)))*INDEX(SUP_C3_EXPANSION!$C$6:$F$6,MIN(4,COUNTIF(CAPA3_EXPANSION!$D$56:DI$56,"&gt;="&amp;12)))*CAPA3_EXPANSION!DI$36)</f>
        <v>4586.4</v>
      </c>
      <c r="DJ19" s="298" t="n">
        <f aca="false">IF(COUNTIF(CAPA3_EXPANSION!$D$56:DJ$56,"&gt;="&amp;12)=0,0,SUP_CONTROL!$C$8*IF($B19="V",1,IF($B19="D",(1+SUP_VOLUMEN!$C$26),(1+SUP_VOLUMEN!$C$27)))*INDEX(SUP_C3_EXPANSION!$C$6:$F$6,MIN(4,COUNTIF(CAPA3_EXPANSION!$D$56:DJ$56,"&gt;="&amp;12)))*CAPA3_EXPANSION!DJ$36)</f>
        <v>4586.4</v>
      </c>
      <c r="DK19" s="298" t="n">
        <f aca="false">IF(COUNTIF(CAPA3_EXPANSION!$D$56:DK$56,"&gt;="&amp;12)=0,0,SUP_CONTROL!$C$8*IF($B19="V",1,IF($B19="D",(1+SUP_VOLUMEN!$C$26),(1+SUP_VOLUMEN!$C$27)))*INDEX(SUP_C3_EXPANSION!$C$6:$F$6,MIN(4,COUNTIF(CAPA3_EXPANSION!$D$56:DK$56,"&gt;="&amp;12)))*CAPA3_EXPANSION!DK$36)</f>
        <v>4586.4</v>
      </c>
      <c r="DL19" s="298" t="n">
        <f aca="false">IF(COUNTIF(CAPA3_EXPANSION!$D$56:DL$56,"&gt;="&amp;12)=0,0,SUP_CONTROL!$C$8*IF($B19="V",1,IF($B19="D",(1+SUP_VOLUMEN!$C$26),(1+SUP_VOLUMEN!$C$27)))*INDEX(SUP_C3_EXPANSION!$C$6:$F$6,MIN(4,COUNTIF(CAPA3_EXPANSION!$D$56:DL$56,"&gt;="&amp;12)))*CAPA3_EXPANSION!DL$36)</f>
        <v>4586.4</v>
      </c>
      <c r="DM19" s="298" t="n">
        <f aca="false">IF(COUNTIF(CAPA3_EXPANSION!$D$56:DM$56,"&gt;="&amp;12)=0,0,SUP_CONTROL!$C$8*IF($B19="V",1,IF($B19="D",(1+SUP_VOLUMEN!$C$26),(1+SUP_VOLUMEN!$C$27)))*INDEX(SUP_C3_EXPANSION!$C$6:$F$6,MIN(4,COUNTIF(CAPA3_EXPANSION!$D$56:DM$56,"&gt;="&amp;12)))*CAPA3_EXPANSION!DM$36)</f>
        <v>4586.4</v>
      </c>
      <c r="DN19" s="298" t="n">
        <f aca="false">IF(COUNTIF(CAPA3_EXPANSION!$D$56:DN$56,"&gt;="&amp;12)=0,0,SUP_CONTROL!$C$8*IF($B19="V",1,IF($B19="D",(1+SUP_VOLUMEN!$C$26),(1+SUP_VOLUMEN!$C$27)))*INDEX(SUP_C3_EXPANSION!$C$6:$F$6,MIN(4,COUNTIF(CAPA3_EXPANSION!$D$56:DN$56,"&gt;="&amp;12)))*CAPA3_EXPANSION!DN$36)</f>
        <v>4586.4</v>
      </c>
      <c r="DO19" s="298" t="n">
        <f aca="false">IF(COUNTIF(CAPA3_EXPANSION!$D$56:DO$56,"&gt;="&amp;12)=0,0,SUP_CONTROL!$C$8*IF($B19="V",1,IF($B19="D",(1+SUP_VOLUMEN!$C$26),(1+SUP_VOLUMEN!$C$27)))*INDEX(SUP_C3_EXPANSION!$C$6:$F$6,MIN(4,COUNTIF(CAPA3_EXPANSION!$D$56:DO$56,"&gt;="&amp;12)))*CAPA3_EXPANSION!DO$36)</f>
        <v>4586.4</v>
      </c>
      <c r="DP19" s="298" t="n">
        <f aca="false">IF(COUNTIF(CAPA3_EXPANSION!$D$56:DP$56,"&gt;="&amp;12)=0,0,SUP_CONTROL!$C$8*IF($B19="V",1,IF($B19="D",(1+SUP_VOLUMEN!$C$26),(1+SUP_VOLUMEN!$C$27)))*INDEX(SUP_C3_EXPANSION!$C$6:$F$6,MIN(4,COUNTIF(CAPA3_EXPANSION!$D$56:DP$56,"&gt;="&amp;12)))*CAPA3_EXPANSION!DP$36)</f>
        <v>4586.4</v>
      </c>
      <c r="DQ19" s="298" t="n">
        <f aca="false">IF(COUNTIF(CAPA3_EXPANSION!$D$56:DQ$56,"&gt;="&amp;12)=0,0,SUP_CONTROL!$C$8*IF($B19="V",1,IF($B19="D",(1+SUP_VOLUMEN!$C$26),(1+SUP_VOLUMEN!$C$27)))*INDEX(SUP_C3_EXPANSION!$C$6:$F$6,MIN(4,COUNTIF(CAPA3_EXPANSION!$D$56:DQ$56,"&gt;="&amp;12)))*CAPA3_EXPANSION!DQ$36)</f>
        <v>4586.4</v>
      </c>
      <c r="DR19" s="298" t="n">
        <f aca="false">IF(COUNTIF(CAPA3_EXPANSION!$D$56:DR$56,"&gt;="&amp;12)=0,0,SUP_CONTROL!$C$8*IF($B19="V",1,IF($B19="D",(1+SUP_VOLUMEN!$C$26),(1+SUP_VOLUMEN!$C$27)))*INDEX(SUP_C3_EXPANSION!$C$6:$F$6,MIN(4,COUNTIF(CAPA3_EXPANSION!$D$56:DR$56,"&gt;="&amp;12)))*CAPA3_EXPANSION!DR$36)</f>
        <v>4586.4</v>
      </c>
      <c r="DS19" s="298" t="n">
        <f aca="false">IF(COUNTIF(CAPA3_EXPANSION!$D$56:DS$56,"&gt;="&amp;12)=0,0,SUP_CONTROL!$C$8*IF($B19="V",1,IF($B19="D",(1+SUP_VOLUMEN!$C$26),(1+SUP_VOLUMEN!$C$27)))*INDEX(SUP_C3_EXPANSION!$C$6:$F$6,MIN(4,COUNTIF(CAPA3_EXPANSION!$D$56:DS$56,"&gt;="&amp;12)))*CAPA3_EXPANSION!DS$36)</f>
        <v>4586.4</v>
      </c>
    </row>
    <row r="20" customFormat="false" ht="15" hidden="false" customHeight="true" outlineLevel="0" collapsed="false">
      <c r="A20" s="298" t="n">
        <v>23</v>
      </c>
      <c r="B20" s="497" t="str">
        <f aca="false">SUP_C3_EXPANSION!B32</f>
        <v>V</v>
      </c>
      <c r="C20" s="267" t="n">
        <f aca="false">SUP_C3_EXPANSION!G32</f>
        <v>45</v>
      </c>
      <c r="D20" s="298" t="n">
        <f aca="false">IF(COUNTIF(CAPA3_EXPANSION!$D$56:D$56,"&gt;="&amp;13)=0,0,SUP_CONTROL!$C$8*IF($B20="V",1,IF($B20="D",(1+SUP_VOLUMEN!$C$26),(1+SUP_VOLUMEN!$C$27)))*INDEX(SUP_C3_EXPANSION!$C$6:$F$6,MIN(4,COUNTIF(CAPA3_EXPANSION!$D$56:D$56,"&gt;="&amp;13)))*CAPA3_EXPANSION!D$36)</f>
        <v>0</v>
      </c>
      <c r="E20" s="298" t="n">
        <f aca="false">IF(COUNTIF(CAPA3_EXPANSION!$D$56:E$56,"&gt;="&amp;13)=0,0,SUP_CONTROL!$C$8*IF($B20="V",1,IF($B20="D",(1+SUP_VOLUMEN!$C$26),(1+SUP_VOLUMEN!$C$27)))*INDEX(SUP_C3_EXPANSION!$C$6:$F$6,MIN(4,COUNTIF(CAPA3_EXPANSION!$D$56:E$56,"&gt;="&amp;13)))*CAPA3_EXPANSION!E$36)</f>
        <v>0</v>
      </c>
      <c r="F20" s="298" t="n">
        <f aca="false">IF(COUNTIF(CAPA3_EXPANSION!$D$56:F$56,"&gt;="&amp;13)=0,0,SUP_CONTROL!$C$8*IF($B20="V",1,IF($B20="D",(1+SUP_VOLUMEN!$C$26),(1+SUP_VOLUMEN!$C$27)))*INDEX(SUP_C3_EXPANSION!$C$6:$F$6,MIN(4,COUNTIF(CAPA3_EXPANSION!$D$56:F$56,"&gt;="&amp;13)))*CAPA3_EXPANSION!F$36)</f>
        <v>0</v>
      </c>
      <c r="G20" s="298" t="n">
        <f aca="false">IF(COUNTIF(CAPA3_EXPANSION!$D$56:G$56,"&gt;="&amp;13)=0,0,SUP_CONTROL!$C$8*IF($B20="V",1,IF($B20="D",(1+SUP_VOLUMEN!$C$26),(1+SUP_VOLUMEN!$C$27)))*INDEX(SUP_C3_EXPANSION!$C$6:$F$6,MIN(4,COUNTIF(CAPA3_EXPANSION!$D$56:G$56,"&gt;="&amp;13)))*CAPA3_EXPANSION!G$36)</f>
        <v>0</v>
      </c>
      <c r="H20" s="298" t="n">
        <f aca="false">IF(COUNTIF(CAPA3_EXPANSION!$D$56:H$56,"&gt;="&amp;13)=0,0,SUP_CONTROL!$C$8*IF($B20="V",1,IF($B20="D",(1+SUP_VOLUMEN!$C$26),(1+SUP_VOLUMEN!$C$27)))*INDEX(SUP_C3_EXPANSION!$C$6:$F$6,MIN(4,COUNTIF(CAPA3_EXPANSION!$D$56:H$56,"&gt;="&amp;13)))*CAPA3_EXPANSION!H$36)</f>
        <v>0</v>
      </c>
      <c r="I20" s="298" t="n">
        <f aca="false">IF(COUNTIF(CAPA3_EXPANSION!$D$56:I$56,"&gt;="&amp;13)=0,0,SUP_CONTROL!$C$8*IF($B20="V",1,IF($B20="D",(1+SUP_VOLUMEN!$C$26),(1+SUP_VOLUMEN!$C$27)))*INDEX(SUP_C3_EXPANSION!$C$6:$F$6,MIN(4,COUNTIF(CAPA3_EXPANSION!$D$56:I$56,"&gt;="&amp;13)))*CAPA3_EXPANSION!I$36)</f>
        <v>0</v>
      </c>
      <c r="J20" s="298" t="n">
        <f aca="false">IF(COUNTIF(CAPA3_EXPANSION!$D$56:J$56,"&gt;="&amp;13)=0,0,SUP_CONTROL!$C$8*IF($B20="V",1,IF($B20="D",(1+SUP_VOLUMEN!$C$26),(1+SUP_VOLUMEN!$C$27)))*INDEX(SUP_C3_EXPANSION!$C$6:$F$6,MIN(4,COUNTIF(CAPA3_EXPANSION!$D$56:J$56,"&gt;="&amp;13)))*CAPA3_EXPANSION!J$36)</f>
        <v>0</v>
      </c>
      <c r="K20" s="298" t="n">
        <f aca="false">IF(COUNTIF(CAPA3_EXPANSION!$D$56:K$56,"&gt;="&amp;13)=0,0,SUP_CONTROL!$C$8*IF($B20="V",1,IF($B20="D",(1+SUP_VOLUMEN!$C$26),(1+SUP_VOLUMEN!$C$27)))*INDEX(SUP_C3_EXPANSION!$C$6:$F$6,MIN(4,COUNTIF(CAPA3_EXPANSION!$D$56:K$56,"&gt;="&amp;13)))*CAPA3_EXPANSION!K$36)</f>
        <v>0</v>
      </c>
      <c r="L20" s="298" t="n">
        <f aca="false">IF(COUNTIF(CAPA3_EXPANSION!$D$56:L$56,"&gt;="&amp;13)=0,0,SUP_CONTROL!$C$8*IF($B20="V",1,IF($B20="D",(1+SUP_VOLUMEN!$C$26),(1+SUP_VOLUMEN!$C$27)))*INDEX(SUP_C3_EXPANSION!$C$6:$F$6,MIN(4,COUNTIF(CAPA3_EXPANSION!$D$56:L$56,"&gt;="&amp;13)))*CAPA3_EXPANSION!L$36)</f>
        <v>0</v>
      </c>
      <c r="M20" s="298" t="n">
        <f aca="false">IF(COUNTIF(CAPA3_EXPANSION!$D$56:M$56,"&gt;="&amp;13)=0,0,SUP_CONTROL!$C$8*IF($B20="V",1,IF($B20="D",(1+SUP_VOLUMEN!$C$26),(1+SUP_VOLUMEN!$C$27)))*INDEX(SUP_C3_EXPANSION!$C$6:$F$6,MIN(4,COUNTIF(CAPA3_EXPANSION!$D$56:M$56,"&gt;="&amp;13)))*CAPA3_EXPANSION!M$36)</f>
        <v>0</v>
      </c>
      <c r="N20" s="298" t="n">
        <f aca="false">IF(COUNTIF(CAPA3_EXPANSION!$D$56:N$56,"&gt;="&amp;13)=0,0,SUP_CONTROL!$C$8*IF($B20="V",1,IF($B20="D",(1+SUP_VOLUMEN!$C$26),(1+SUP_VOLUMEN!$C$27)))*INDEX(SUP_C3_EXPANSION!$C$6:$F$6,MIN(4,COUNTIF(CAPA3_EXPANSION!$D$56:N$56,"&gt;="&amp;13)))*CAPA3_EXPANSION!N$36)</f>
        <v>0</v>
      </c>
      <c r="O20" s="298" t="n">
        <f aca="false">IF(COUNTIF(CAPA3_EXPANSION!$D$56:O$56,"&gt;="&amp;13)=0,0,SUP_CONTROL!$C$8*IF($B20="V",1,IF($B20="D",(1+SUP_VOLUMEN!$C$26),(1+SUP_VOLUMEN!$C$27)))*INDEX(SUP_C3_EXPANSION!$C$6:$F$6,MIN(4,COUNTIF(CAPA3_EXPANSION!$D$56:O$56,"&gt;="&amp;13)))*CAPA3_EXPANSION!O$36)</f>
        <v>0</v>
      </c>
      <c r="P20" s="298" t="n">
        <f aca="false">IF(COUNTIF(CAPA3_EXPANSION!$D$56:P$56,"&gt;="&amp;13)=0,0,SUP_CONTROL!$C$8*IF($B20="V",1,IF($B20="D",(1+SUP_VOLUMEN!$C$26),(1+SUP_VOLUMEN!$C$27)))*INDEX(SUP_C3_EXPANSION!$C$6:$F$6,MIN(4,COUNTIF(CAPA3_EXPANSION!$D$56:P$56,"&gt;="&amp;13)))*CAPA3_EXPANSION!P$36)</f>
        <v>0</v>
      </c>
      <c r="Q20" s="298" t="n">
        <f aca="false">IF(COUNTIF(CAPA3_EXPANSION!$D$56:Q$56,"&gt;="&amp;13)=0,0,SUP_CONTROL!$C$8*IF($B20="V",1,IF($B20="D",(1+SUP_VOLUMEN!$C$26),(1+SUP_VOLUMEN!$C$27)))*INDEX(SUP_C3_EXPANSION!$C$6:$F$6,MIN(4,COUNTIF(CAPA3_EXPANSION!$D$56:Q$56,"&gt;="&amp;13)))*CAPA3_EXPANSION!Q$36)</f>
        <v>0</v>
      </c>
      <c r="R20" s="298" t="n">
        <f aca="false">IF(COUNTIF(CAPA3_EXPANSION!$D$56:R$56,"&gt;="&amp;13)=0,0,SUP_CONTROL!$C$8*IF($B20="V",1,IF($B20="D",(1+SUP_VOLUMEN!$C$26),(1+SUP_VOLUMEN!$C$27)))*INDEX(SUP_C3_EXPANSION!$C$6:$F$6,MIN(4,COUNTIF(CAPA3_EXPANSION!$D$56:R$56,"&gt;="&amp;13)))*CAPA3_EXPANSION!R$36)</f>
        <v>0</v>
      </c>
      <c r="S20" s="298" t="n">
        <f aca="false">IF(COUNTIF(CAPA3_EXPANSION!$D$56:S$56,"&gt;="&amp;13)=0,0,SUP_CONTROL!$C$8*IF($B20="V",1,IF($B20="D",(1+SUP_VOLUMEN!$C$26),(1+SUP_VOLUMEN!$C$27)))*INDEX(SUP_C3_EXPANSION!$C$6:$F$6,MIN(4,COUNTIF(CAPA3_EXPANSION!$D$56:S$56,"&gt;="&amp;13)))*CAPA3_EXPANSION!S$36)</f>
        <v>0</v>
      </c>
      <c r="T20" s="298" t="n">
        <f aca="false">IF(COUNTIF(CAPA3_EXPANSION!$D$56:T$56,"&gt;="&amp;13)=0,0,SUP_CONTROL!$C$8*IF($B20="V",1,IF($B20="D",(1+SUP_VOLUMEN!$C$26),(1+SUP_VOLUMEN!$C$27)))*INDEX(SUP_C3_EXPANSION!$C$6:$F$6,MIN(4,COUNTIF(CAPA3_EXPANSION!$D$56:T$56,"&gt;="&amp;13)))*CAPA3_EXPANSION!T$36)</f>
        <v>0</v>
      </c>
      <c r="U20" s="298" t="n">
        <f aca="false">IF(COUNTIF(CAPA3_EXPANSION!$D$56:U$56,"&gt;="&amp;13)=0,0,SUP_CONTROL!$C$8*IF($B20="V",1,IF($B20="D",(1+SUP_VOLUMEN!$C$26),(1+SUP_VOLUMEN!$C$27)))*INDEX(SUP_C3_EXPANSION!$C$6:$F$6,MIN(4,COUNTIF(CAPA3_EXPANSION!$D$56:U$56,"&gt;="&amp;13)))*CAPA3_EXPANSION!U$36)</f>
        <v>0</v>
      </c>
      <c r="V20" s="298" t="n">
        <f aca="false">IF(COUNTIF(CAPA3_EXPANSION!$D$56:V$56,"&gt;="&amp;13)=0,0,SUP_CONTROL!$C$8*IF($B20="V",1,IF($B20="D",(1+SUP_VOLUMEN!$C$26),(1+SUP_VOLUMEN!$C$27)))*INDEX(SUP_C3_EXPANSION!$C$6:$F$6,MIN(4,COUNTIF(CAPA3_EXPANSION!$D$56:V$56,"&gt;="&amp;13)))*CAPA3_EXPANSION!V$36)</f>
        <v>0</v>
      </c>
      <c r="W20" s="298" t="n">
        <f aca="false">IF(COUNTIF(CAPA3_EXPANSION!$D$56:W$56,"&gt;="&amp;13)=0,0,SUP_CONTROL!$C$8*IF($B20="V",1,IF($B20="D",(1+SUP_VOLUMEN!$C$26),(1+SUP_VOLUMEN!$C$27)))*INDEX(SUP_C3_EXPANSION!$C$6:$F$6,MIN(4,COUNTIF(CAPA3_EXPANSION!$D$56:W$56,"&gt;="&amp;13)))*CAPA3_EXPANSION!W$36)</f>
        <v>0</v>
      </c>
      <c r="X20" s="298" t="n">
        <f aca="false">IF(COUNTIF(CAPA3_EXPANSION!$D$56:X$56,"&gt;="&amp;13)=0,0,SUP_CONTROL!$C$8*IF($B20="V",1,IF($B20="D",(1+SUP_VOLUMEN!$C$26),(1+SUP_VOLUMEN!$C$27)))*INDEX(SUP_C3_EXPANSION!$C$6:$F$6,MIN(4,COUNTIF(CAPA3_EXPANSION!$D$56:X$56,"&gt;="&amp;13)))*CAPA3_EXPANSION!X$36)</f>
        <v>0</v>
      </c>
      <c r="Y20" s="298" t="n">
        <f aca="false">IF(COUNTIF(CAPA3_EXPANSION!$D$56:Y$56,"&gt;="&amp;13)=0,0,SUP_CONTROL!$C$8*IF($B20="V",1,IF($B20="D",(1+SUP_VOLUMEN!$C$26),(1+SUP_VOLUMEN!$C$27)))*INDEX(SUP_C3_EXPANSION!$C$6:$F$6,MIN(4,COUNTIF(CAPA3_EXPANSION!$D$56:Y$56,"&gt;="&amp;13)))*CAPA3_EXPANSION!Y$36)</f>
        <v>0</v>
      </c>
      <c r="Z20" s="298" t="n">
        <f aca="false">IF(COUNTIF(CAPA3_EXPANSION!$D$56:Z$56,"&gt;="&amp;13)=0,0,SUP_CONTROL!$C$8*IF($B20="V",1,IF($B20="D",(1+SUP_VOLUMEN!$C$26),(1+SUP_VOLUMEN!$C$27)))*INDEX(SUP_C3_EXPANSION!$C$6:$F$6,MIN(4,COUNTIF(CAPA3_EXPANSION!$D$56:Z$56,"&gt;="&amp;13)))*CAPA3_EXPANSION!Z$36)</f>
        <v>0</v>
      </c>
      <c r="AA20" s="298" t="n">
        <f aca="false">IF(COUNTIF(CAPA3_EXPANSION!$D$56:AA$56,"&gt;="&amp;13)=0,0,SUP_CONTROL!$C$8*IF($B20="V",1,IF($B20="D",(1+SUP_VOLUMEN!$C$26),(1+SUP_VOLUMEN!$C$27)))*INDEX(SUP_C3_EXPANSION!$C$6:$F$6,MIN(4,COUNTIF(CAPA3_EXPANSION!$D$56:AA$56,"&gt;="&amp;13)))*CAPA3_EXPANSION!AA$36)</f>
        <v>0</v>
      </c>
      <c r="AB20" s="298" t="n">
        <f aca="false">IF(COUNTIF(CAPA3_EXPANSION!$D$56:AB$56,"&gt;="&amp;13)=0,0,SUP_CONTROL!$C$8*IF($B20="V",1,IF($B20="D",(1+SUP_VOLUMEN!$C$26),(1+SUP_VOLUMEN!$C$27)))*INDEX(SUP_C3_EXPANSION!$C$6:$F$6,MIN(4,COUNTIF(CAPA3_EXPANSION!$D$56:AB$56,"&gt;="&amp;13)))*CAPA3_EXPANSION!AB$36)</f>
        <v>0</v>
      </c>
      <c r="AC20" s="298" t="n">
        <f aca="false">IF(COUNTIF(CAPA3_EXPANSION!$D$56:AC$56,"&gt;="&amp;13)=0,0,SUP_CONTROL!$C$8*IF($B20="V",1,IF($B20="D",(1+SUP_VOLUMEN!$C$26),(1+SUP_VOLUMEN!$C$27)))*INDEX(SUP_C3_EXPANSION!$C$6:$F$6,MIN(4,COUNTIF(CAPA3_EXPANSION!$D$56:AC$56,"&gt;="&amp;13)))*CAPA3_EXPANSION!AC$36)</f>
        <v>0</v>
      </c>
      <c r="AD20" s="298" t="n">
        <f aca="false">IF(COUNTIF(CAPA3_EXPANSION!$D$56:AD$56,"&gt;="&amp;13)=0,0,SUP_CONTROL!$C$8*IF($B20="V",1,IF($B20="D",(1+SUP_VOLUMEN!$C$26),(1+SUP_VOLUMEN!$C$27)))*INDEX(SUP_C3_EXPANSION!$C$6:$F$6,MIN(4,COUNTIF(CAPA3_EXPANSION!$D$56:AD$56,"&gt;="&amp;13)))*CAPA3_EXPANSION!AD$36)</f>
        <v>0</v>
      </c>
      <c r="AE20" s="298" t="n">
        <f aca="false">IF(COUNTIF(CAPA3_EXPANSION!$D$56:AE$56,"&gt;="&amp;13)=0,0,SUP_CONTROL!$C$8*IF($B20="V",1,IF($B20="D",(1+SUP_VOLUMEN!$C$26),(1+SUP_VOLUMEN!$C$27)))*INDEX(SUP_C3_EXPANSION!$C$6:$F$6,MIN(4,COUNTIF(CAPA3_EXPANSION!$D$56:AE$56,"&gt;="&amp;13)))*CAPA3_EXPANSION!AE$36)</f>
        <v>0</v>
      </c>
      <c r="AF20" s="298" t="n">
        <f aca="false">IF(COUNTIF(CAPA3_EXPANSION!$D$56:AF$56,"&gt;="&amp;13)=0,0,SUP_CONTROL!$C$8*IF($B20="V",1,IF($B20="D",(1+SUP_VOLUMEN!$C$26),(1+SUP_VOLUMEN!$C$27)))*INDEX(SUP_C3_EXPANSION!$C$6:$F$6,MIN(4,COUNTIF(CAPA3_EXPANSION!$D$56:AF$56,"&gt;="&amp;13)))*CAPA3_EXPANSION!AF$36)</f>
        <v>0</v>
      </c>
      <c r="AG20" s="298" t="n">
        <f aca="false">IF(COUNTIF(CAPA3_EXPANSION!$D$56:AG$56,"&gt;="&amp;13)=0,0,SUP_CONTROL!$C$8*IF($B20="V",1,IF($B20="D",(1+SUP_VOLUMEN!$C$26),(1+SUP_VOLUMEN!$C$27)))*INDEX(SUP_C3_EXPANSION!$C$6:$F$6,MIN(4,COUNTIF(CAPA3_EXPANSION!$D$56:AG$56,"&gt;="&amp;13)))*CAPA3_EXPANSION!AG$36)</f>
        <v>0</v>
      </c>
      <c r="AH20" s="298" t="n">
        <f aca="false">IF(COUNTIF(CAPA3_EXPANSION!$D$56:AH$56,"&gt;="&amp;13)=0,0,SUP_CONTROL!$C$8*IF($B20="V",1,IF($B20="D",(1+SUP_VOLUMEN!$C$26),(1+SUP_VOLUMEN!$C$27)))*INDEX(SUP_C3_EXPANSION!$C$6:$F$6,MIN(4,COUNTIF(CAPA3_EXPANSION!$D$56:AH$56,"&gt;="&amp;13)))*CAPA3_EXPANSION!AH$36)</f>
        <v>0</v>
      </c>
      <c r="AI20" s="298" t="n">
        <f aca="false">IF(COUNTIF(CAPA3_EXPANSION!$D$56:AI$56,"&gt;="&amp;13)=0,0,SUP_CONTROL!$C$8*IF($B20="V",1,IF($B20="D",(1+SUP_VOLUMEN!$C$26),(1+SUP_VOLUMEN!$C$27)))*INDEX(SUP_C3_EXPANSION!$C$6:$F$6,MIN(4,COUNTIF(CAPA3_EXPANSION!$D$56:AI$56,"&gt;="&amp;13)))*CAPA3_EXPANSION!AI$36)</f>
        <v>0</v>
      </c>
      <c r="AJ20" s="298" t="n">
        <f aca="false">IF(COUNTIF(CAPA3_EXPANSION!$D$56:AJ$56,"&gt;="&amp;13)=0,0,SUP_CONTROL!$C$8*IF($B20="V",1,IF($B20="D",(1+SUP_VOLUMEN!$C$26),(1+SUP_VOLUMEN!$C$27)))*INDEX(SUP_C3_EXPANSION!$C$6:$F$6,MIN(4,COUNTIF(CAPA3_EXPANSION!$D$56:AJ$56,"&gt;="&amp;13)))*CAPA3_EXPANSION!AJ$36)</f>
        <v>0</v>
      </c>
      <c r="AK20" s="298" t="n">
        <f aca="false">IF(COUNTIF(CAPA3_EXPANSION!$D$56:AK$56,"&gt;="&amp;13)=0,0,SUP_CONTROL!$C$8*IF($B20="V",1,IF($B20="D",(1+SUP_VOLUMEN!$C$26),(1+SUP_VOLUMEN!$C$27)))*INDEX(SUP_C3_EXPANSION!$C$6:$F$6,MIN(4,COUNTIF(CAPA3_EXPANSION!$D$56:AK$56,"&gt;="&amp;13)))*CAPA3_EXPANSION!AK$36)</f>
        <v>0</v>
      </c>
      <c r="AL20" s="298" t="n">
        <f aca="false">IF(COUNTIF(CAPA3_EXPANSION!$D$56:AL$56,"&gt;="&amp;13)=0,0,SUP_CONTROL!$C$8*IF($B20="V",1,IF($B20="D",(1+SUP_VOLUMEN!$C$26),(1+SUP_VOLUMEN!$C$27)))*INDEX(SUP_C3_EXPANSION!$C$6:$F$6,MIN(4,COUNTIF(CAPA3_EXPANSION!$D$56:AL$56,"&gt;="&amp;13)))*CAPA3_EXPANSION!AL$36)</f>
        <v>0</v>
      </c>
      <c r="AM20" s="298" t="n">
        <f aca="false">IF(COUNTIF(CAPA3_EXPANSION!$D$56:AM$56,"&gt;="&amp;13)=0,0,SUP_CONTROL!$C$8*IF($B20="V",1,IF($B20="D",(1+SUP_VOLUMEN!$C$26),(1+SUP_VOLUMEN!$C$27)))*INDEX(SUP_C3_EXPANSION!$C$6:$F$6,MIN(4,COUNTIF(CAPA3_EXPANSION!$D$56:AM$56,"&gt;="&amp;13)))*CAPA3_EXPANSION!AM$36)</f>
        <v>0</v>
      </c>
      <c r="AN20" s="298" t="n">
        <f aca="false">IF(COUNTIF(CAPA3_EXPANSION!$D$56:AN$56,"&gt;="&amp;13)=0,0,SUP_CONTROL!$C$8*IF($B20="V",1,IF($B20="D",(1+SUP_VOLUMEN!$C$26),(1+SUP_VOLUMEN!$C$27)))*INDEX(SUP_C3_EXPANSION!$C$6:$F$6,MIN(4,COUNTIF(CAPA3_EXPANSION!$D$56:AN$56,"&gt;="&amp;13)))*CAPA3_EXPANSION!AN$36)</f>
        <v>0</v>
      </c>
      <c r="AO20" s="298" t="n">
        <f aca="false">IF(COUNTIF(CAPA3_EXPANSION!$D$56:AO$56,"&gt;="&amp;13)=0,0,SUP_CONTROL!$C$8*IF($B20="V",1,IF($B20="D",(1+SUP_VOLUMEN!$C$26),(1+SUP_VOLUMEN!$C$27)))*INDEX(SUP_C3_EXPANSION!$C$6:$F$6,MIN(4,COUNTIF(CAPA3_EXPANSION!$D$56:AO$56,"&gt;="&amp;13)))*CAPA3_EXPANSION!AO$36)</f>
        <v>0</v>
      </c>
      <c r="AP20" s="298" t="n">
        <f aca="false">IF(COUNTIF(CAPA3_EXPANSION!$D$56:AP$56,"&gt;="&amp;13)=0,0,SUP_CONTROL!$C$8*IF($B20="V",1,IF($B20="D",(1+SUP_VOLUMEN!$C$26),(1+SUP_VOLUMEN!$C$27)))*INDEX(SUP_C3_EXPANSION!$C$6:$F$6,MIN(4,COUNTIF(CAPA3_EXPANSION!$D$56:AP$56,"&gt;="&amp;13)))*CAPA3_EXPANSION!AP$36)</f>
        <v>0</v>
      </c>
      <c r="AQ20" s="298" t="n">
        <f aca="false">IF(COUNTIF(CAPA3_EXPANSION!$D$56:AQ$56,"&gt;="&amp;13)=0,0,SUP_CONTROL!$C$8*IF($B20="V",1,IF($B20="D",(1+SUP_VOLUMEN!$C$26),(1+SUP_VOLUMEN!$C$27)))*INDEX(SUP_C3_EXPANSION!$C$6:$F$6,MIN(4,COUNTIF(CAPA3_EXPANSION!$D$56:AQ$56,"&gt;="&amp;13)))*CAPA3_EXPANSION!AQ$36)</f>
        <v>0</v>
      </c>
      <c r="AR20" s="298" t="n">
        <f aca="false">IF(COUNTIF(CAPA3_EXPANSION!$D$56:AR$56,"&gt;="&amp;13)=0,0,SUP_CONTROL!$C$8*IF($B20="V",1,IF($B20="D",(1+SUP_VOLUMEN!$C$26),(1+SUP_VOLUMEN!$C$27)))*INDEX(SUP_C3_EXPANSION!$C$6:$F$6,MIN(4,COUNTIF(CAPA3_EXPANSION!$D$56:AR$56,"&gt;="&amp;13)))*CAPA3_EXPANSION!AR$36)</f>
        <v>0</v>
      </c>
      <c r="AS20" s="298" t="n">
        <f aca="false">IF(COUNTIF(CAPA3_EXPANSION!$D$56:AS$56,"&gt;="&amp;13)=0,0,SUP_CONTROL!$C$8*IF($B20="V",1,IF($B20="D",(1+SUP_VOLUMEN!$C$26),(1+SUP_VOLUMEN!$C$27)))*INDEX(SUP_C3_EXPANSION!$C$6:$F$6,MIN(4,COUNTIF(CAPA3_EXPANSION!$D$56:AS$56,"&gt;="&amp;13)))*CAPA3_EXPANSION!AS$36)</f>
        <v>0</v>
      </c>
      <c r="AT20" s="298" t="n">
        <f aca="false">IF(COUNTIF(CAPA3_EXPANSION!$D$56:AT$56,"&gt;="&amp;13)=0,0,SUP_CONTROL!$C$8*IF($B20="V",1,IF($B20="D",(1+SUP_VOLUMEN!$C$26),(1+SUP_VOLUMEN!$C$27)))*INDEX(SUP_C3_EXPANSION!$C$6:$F$6,MIN(4,COUNTIF(CAPA3_EXPANSION!$D$56:AT$56,"&gt;="&amp;13)))*CAPA3_EXPANSION!AT$36)</f>
        <v>0</v>
      </c>
      <c r="AU20" s="298" t="n">
        <f aca="false">IF(COUNTIF(CAPA3_EXPANSION!$D$56:AU$56,"&gt;="&amp;13)=0,0,SUP_CONTROL!$C$8*IF($B20="V",1,IF($B20="D",(1+SUP_VOLUMEN!$C$26),(1+SUP_VOLUMEN!$C$27)))*INDEX(SUP_C3_EXPANSION!$C$6:$F$6,MIN(4,COUNTIF(CAPA3_EXPANSION!$D$56:AU$56,"&gt;="&amp;13)))*CAPA3_EXPANSION!AU$36)</f>
        <v>0</v>
      </c>
      <c r="AV20" s="298" t="n">
        <f aca="false">IF(COUNTIF(CAPA3_EXPANSION!$D$56:AV$56,"&gt;="&amp;13)=0,0,SUP_CONTROL!$C$8*IF($B20="V",1,IF($B20="D",(1+SUP_VOLUMEN!$C$26),(1+SUP_VOLUMEN!$C$27)))*INDEX(SUP_C3_EXPANSION!$C$6:$F$6,MIN(4,COUNTIF(CAPA3_EXPANSION!$D$56:AV$56,"&gt;="&amp;13)))*CAPA3_EXPANSION!AV$36)</f>
        <v>0</v>
      </c>
      <c r="AW20" s="298" t="n">
        <f aca="false">IF(COUNTIF(CAPA3_EXPANSION!$D$56:AW$56,"&gt;="&amp;13)=0,0,SUP_CONTROL!$C$8*IF($B20="V",1,IF($B20="D",(1+SUP_VOLUMEN!$C$26),(1+SUP_VOLUMEN!$C$27)))*INDEX(SUP_C3_EXPANSION!$C$6:$F$6,MIN(4,COUNTIF(CAPA3_EXPANSION!$D$56:AW$56,"&gt;="&amp;13)))*CAPA3_EXPANSION!AW$36)</f>
        <v>0</v>
      </c>
      <c r="AX20" s="298" t="n">
        <f aca="false">IF(COUNTIF(CAPA3_EXPANSION!$D$56:AX$56,"&gt;="&amp;13)=0,0,SUP_CONTROL!$C$8*IF($B20="V",1,IF($B20="D",(1+SUP_VOLUMEN!$C$26),(1+SUP_VOLUMEN!$C$27)))*INDEX(SUP_C3_EXPANSION!$C$6:$F$6,MIN(4,COUNTIF(CAPA3_EXPANSION!$D$56:AX$56,"&gt;="&amp;13)))*CAPA3_EXPANSION!AX$36)</f>
        <v>0</v>
      </c>
      <c r="AY20" s="298" t="n">
        <f aca="false">IF(COUNTIF(CAPA3_EXPANSION!$D$56:AY$56,"&gt;="&amp;13)=0,0,SUP_CONTROL!$C$8*IF($B20="V",1,IF($B20="D",(1+SUP_VOLUMEN!$C$26),(1+SUP_VOLUMEN!$C$27)))*INDEX(SUP_C3_EXPANSION!$C$6:$F$6,MIN(4,COUNTIF(CAPA3_EXPANSION!$D$56:AY$56,"&gt;="&amp;13)))*CAPA3_EXPANSION!AY$36)</f>
        <v>2579.85</v>
      </c>
      <c r="AZ20" s="298" t="n">
        <f aca="false">IF(COUNTIF(CAPA3_EXPANSION!$D$56:AZ$56,"&gt;="&amp;13)=0,0,SUP_CONTROL!$C$8*IF($B20="V",1,IF($B20="D",(1+SUP_VOLUMEN!$C$26),(1+SUP_VOLUMEN!$C$27)))*INDEX(SUP_C3_EXPANSION!$C$6:$F$6,MIN(4,COUNTIF(CAPA3_EXPANSION!$D$56:AZ$56,"&gt;="&amp;13)))*CAPA3_EXPANSION!AZ$36)</f>
        <v>3175.2</v>
      </c>
      <c r="BA20" s="298" t="n">
        <f aca="false">IF(COUNTIF(CAPA3_EXPANSION!$D$56:BA$56,"&gt;="&amp;13)=0,0,SUP_CONTROL!$C$8*IF($B20="V",1,IF($B20="D",(1+SUP_VOLUMEN!$C$26),(1+SUP_VOLUMEN!$C$27)))*INDEX(SUP_C3_EXPANSION!$C$6:$F$6,MIN(4,COUNTIF(CAPA3_EXPANSION!$D$56:BA$56,"&gt;="&amp;13)))*CAPA3_EXPANSION!BA$36)</f>
        <v>3572.1</v>
      </c>
      <c r="BB20" s="298" t="n">
        <f aca="false">IF(COUNTIF(CAPA3_EXPANSION!$D$56:BB$56,"&gt;="&amp;13)=0,0,SUP_CONTROL!$C$8*IF($B20="V",1,IF($B20="D",(1+SUP_VOLUMEN!$C$26),(1+SUP_VOLUMEN!$C$27)))*INDEX(SUP_C3_EXPANSION!$C$6:$F$6,MIN(4,COUNTIF(CAPA3_EXPANSION!$D$56:BB$56,"&gt;="&amp;13)))*CAPA3_EXPANSION!BB$36)</f>
        <v>3969</v>
      </c>
      <c r="BC20" s="298" t="n">
        <f aca="false">IF(COUNTIF(CAPA3_EXPANSION!$D$56:BC$56,"&gt;="&amp;13)=0,0,SUP_CONTROL!$C$8*IF($B20="V",1,IF($B20="D",(1+SUP_VOLUMEN!$C$26),(1+SUP_VOLUMEN!$C$27)))*INDEX(SUP_C3_EXPANSION!$C$6:$F$6,MIN(4,COUNTIF(CAPA3_EXPANSION!$D$56:BC$56,"&gt;="&amp;13)))*CAPA3_EXPANSION!BC$36)</f>
        <v>3969</v>
      </c>
      <c r="BD20" s="298" t="n">
        <f aca="false">IF(COUNTIF(CAPA3_EXPANSION!$D$56:BD$56,"&gt;="&amp;13)=0,0,SUP_CONTROL!$C$8*IF($B20="V",1,IF($B20="D",(1+SUP_VOLUMEN!$C$26),(1+SUP_VOLUMEN!$C$27)))*INDEX(SUP_C3_EXPANSION!$C$6:$F$6,MIN(4,COUNTIF(CAPA3_EXPANSION!$D$56:BD$56,"&gt;="&amp;13)))*CAPA3_EXPANSION!BD$36)</f>
        <v>3969</v>
      </c>
      <c r="BE20" s="298" t="n">
        <f aca="false">IF(COUNTIF(CAPA3_EXPANSION!$D$56:BE$56,"&gt;="&amp;13)=0,0,SUP_CONTROL!$C$8*IF($B20="V",1,IF($B20="D",(1+SUP_VOLUMEN!$C$26),(1+SUP_VOLUMEN!$C$27)))*INDEX(SUP_C3_EXPANSION!$C$6:$F$6,MIN(4,COUNTIF(CAPA3_EXPANSION!$D$56:BE$56,"&gt;="&amp;13)))*CAPA3_EXPANSION!BE$36)</f>
        <v>3969</v>
      </c>
      <c r="BF20" s="298" t="n">
        <f aca="false">IF(COUNTIF(CAPA3_EXPANSION!$D$56:BF$56,"&gt;="&amp;13)=0,0,SUP_CONTROL!$C$8*IF($B20="V",1,IF($B20="D",(1+SUP_VOLUMEN!$C$26),(1+SUP_VOLUMEN!$C$27)))*INDEX(SUP_C3_EXPANSION!$C$6:$F$6,MIN(4,COUNTIF(CAPA3_EXPANSION!$D$56:BF$56,"&gt;="&amp;13)))*CAPA3_EXPANSION!BF$36)</f>
        <v>3864</v>
      </c>
      <c r="BG20" s="298" t="n">
        <f aca="false">IF(COUNTIF(CAPA3_EXPANSION!$D$56:BG$56,"&gt;="&amp;13)=0,0,SUP_CONTROL!$C$8*IF($B20="V",1,IF($B20="D",(1+SUP_VOLUMEN!$C$26),(1+SUP_VOLUMEN!$C$27)))*INDEX(SUP_C3_EXPANSION!$C$6:$F$6,MIN(4,COUNTIF(CAPA3_EXPANSION!$D$56:BG$56,"&gt;="&amp;13)))*CAPA3_EXPANSION!BG$36)</f>
        <v>3864</v>
      </c>
      <c r="BH20" s="298" t="n">
        <f aca="false">IF(COUNTIF(CAPA3_EXPANSION!$D$56:BH$56,"&gt;="&amp;13)=0,0,SUP_CONTROL!$C$8*IF($B20="V",1,IF($B20="D",(1+SUP_VOLUMEN!$C$26),(1+SUP_VOLUMEN!$C$27)))*INDEX(SUP_C3_EXPANSION!$C$6:$F$6,MIN(4,COUNTIF(CAPA3_EXPANSION!$D$56:BH$56,"&gt;="&amp;13)))*CAPA3_EXPANSION!BH$36)</f>
        <v>3864</v>
      </c>
      <c r="BI20" s="298" t="n">
        <f aca="false">IF(COUNTIF(CAPA3_EXPANSION!$D$56:BI$56,"&gt;="&amp;13)=0,0,SUP_CONTROL!$C$8*IF($B20="V",1,IF($B20="D",(1+SUP_VOLUMEN!$C$26),(1+SUP_VOLUMEN!$C$27)))*INDEX(SUP_C3_EXPANSION!$C$6:$F$6,MIN(4,COUNTIF(CAPA3_EXPANSION!$D$56:BI$56,"&gt;="&amp;13)))*CAPA3_EXPANSION!BI$36)</f>
        <v>3864</v>
      </c>
      <c r="BJ20" s="298" t="n">
        <f aca="false">IF(COUNTIF(CAPA3_EXPANSION!$D$56:BJ$56,"&gt;="&amp;13)=0,0,SUP_CONTROL!$C$8*IF($B20="V",1,IF($B20="D",(1+SUP_VOLUMEN!$C$26),(1+SUP_VOLUMEN!$C$27)))*INDEX(SUP_C3_EXPANSION!$C$6:$F$6,MIN(4,COUNTIF(CAPA3_EXPANSION!$D$56:BJ$56,"&gt;="&amp;13)))*CAPA3_EXPANSION!BJ$36)</f>
        <v>3864</v>
      </c>
      <c r="BK20" s="298" t="n">
        <f aca="false">IF(COUNTIF(CAPA3_EXPANSION!$D$56:BK$56,"&gt;="&amp;13)=0,0,SUP_CONTROL!$C$8*IF($B20="V",1,IF($B20="D",(1+SUP_VOLUMEN!$C$26),(1+SUP_VOLUMEN!$C$27)))*INDEX(SUP_C3_EXPANSION!$C$6:$F$6,MIN(4,COUNTIF(CAPA3_EXPANSION!$D$56:BK$56,"&gt;="&amp;13)))*CAPA3_EXPANSION!BK$36)</f>
        <v>3780</v>
      </c>
      <c r="BL20" s="298" t="n">
        <f aca="false">IF(COUNTIF(CAPA3_EXPANSION!$D$56:BL$56,"&gt;="&amp;13)=0,0,SUP_CONTROL!$C$8*IF($B20="V",1,IF($B20="D",(1+SUP_VOLUMEN!$C$26),(1+SUP_VOLUMEN!$C$27)))*INDEX(SUP_C3_EXPANSION!$C$6:$F$6,MIN(4,COUNTIF(CAPA3_EXPANSION!$D$56:BL$56,"&gt;="&amp;13)))*CAPA3_EXPANSION!BL$36)</f>
        <v>3780</v>
      </c>
      <c r="BM20" s="298" t="n">
        <f aca="false">IF(COUNTIF(CAPA3_EXPANSION!$D$56:BM$56,"&gt;="&amp;13)=0,0,SUP_CONTROL!$C$8*IF($B20="V",1,IF($B20="D",(1+SUP_VOLUMEN!$C$26),(1+SUP_VOLUMEN!$C$27)))*INDEX(SUP_C3_EXPANSION!$C$6:$F$6,MIN(4,COUNTIF(CAPA3_EXPANSION!$D$56:BM$56,"&gt;="&amp;13)))*CAPA3_EXPANSION!BM$36)</f>
        <v>3780</v>
      </c>
      <c r="BN20" s="298" t="n">
        <f aca="false">IF(COUNTIF(CAPA3_EXPANSION!$D$56:BN$56,"&gt;="&amp;13)=0,0,SUP_CONTROL!$C$8*IF($B20="V",1,IF($B20="D",(1+SUP_VOLUMEN!$C$26),(1+SUP_VOLUMEN!$C$27)))*INDEX(SUP_C3_EXPANSION!$C$6:$F$6,MIN(4,COUNTIF(CAPA3_EXPANSION!$D$56:BN$56,"&gt;="&amp;13)))*CAPA3_EXPANSION!BN$36)</f>
        <v>3780</v>
      </c>
      <c r="BO20" s="298" t="n">
        <f aca="false">IF(COUNTIF(CAPA3_EXPANSION!$D$56:BO$56,"&gt;="&amp;13)=0,0,SUP_CONTROL!$C$8*IF($B20="V",1,IF($B20="D",(1+SUP_VOLUMEN!$C$26),(1+SUP_VOLUMEN!$C$27)))*INDEX(SUP_C3_EXPANSION!$C$6:$F$6,MIN(4,COUNTIF(CAPA3_EXPANSION!$D$56:BO$56,"&gt;="&amp;13)))*CAPA3_EXPANSION!BO$36)</f>
        <v>3780</v>
      </c>
      <c r="BP20" s="298" t="n">
        <f aca="false">IF(COUNTIF(CAPA3_EXPANSION!$D$56:BP$56,"&gt;="&amp;13)=0,0,SUP_CONTROL!$C$8*IF($B20="V",1,IF($B20="D",(1+SUP_VOLUMEN!$C$26),(1+SUP_VOLUMEN!$C$27)))*INDEX(SUP_C3_EXPANSION!$C$6:$F$6,MIN(4,COUNTIF(CAPA3_EXPANSION!$D$56:BP$56,"&gt;="&amp;13)))*CAPA3_EXPANSION!BP$36)</f>
        <v>3780</v>
      </c>
      <c r="BQ20" s="298" t="n">
        <f aca="false">IF(COUNTIF(CAPA3_EXPANSION!$D$56:BQ$56,"&gt;="&amp;13)=0,0,SUP_CONTROL!$C$8*IF($B20="V",1,IF($B20="D",(1+SUP_VOLUMEN!$C$26),(1+SUP_VOLUMEN!$C$27)))*INDEX(SUP_C3_EXPANSION!$C$6:$F$6,MIN(4,COUNTIF(CAPA3_EXPANSION!$D$56:BQ$56,"&gt;="&amp;13)))*CAPA3_EXPANSION!BQ$36)</f>
        <v>3696</v>
      </c>
      <c r="BR20" s="298" t="n">
        <f aca="false">IF(COUNTIF(CAPA3_EXPANSION!$D$56:BR$56,"&gt;="&amp;13)=0,0,SUP_CONTROL!$C$8*IF($B20="V",1,IF($B20="D",(1+SUP_VOLUMEN!$C$26),(1+SUP_VOLUMEN!$C$27)))*INDEX(SUP_C3_EXPANSION!$C$6:$F$6,MIN(4,COUNTIF(CAPA3_EXPANSION!$D$56:BR$56,"&gt;="&amp;13)))*CAPA3_EXPANSION!BR$36)</f>
        <v>3696</v>
      </c>
      <c r="BS20" s="298" t="n">
        <f aca="false">IF(COUNTIF(CAPA3_EXPANSION!$D$56:BS$56,"&gt;="&amp;13)=0,0,SUP_CONTROL!$C$8*IF($B20="V",1,IF($B20="D",(1+SUP_VOLUMEN!$C$26),(1+SUP_VOLUMEN!$C$27)))*INDEX(SUP_C3_EXPANSION!$C$6:$F$6,MIN(4,COUNTIF(CAPA3_EXPANSION!$D$56:BS$56,"&gt;="&amp;13)))*CAPA3_EXPANSION!BS$36)</f>
        <v>3696</v>
      </c>
      <c r="BT20" s="298" t="n">
        <f aca="false">IF(COUNTIF(CAPA3_EXPANSION!$D$56:BT$56,"&gt;="&amp;13)=0,0,SUP_CONTROL!$C$8*IF($B20="V",1,IF($B20="D",(1+SUP_VOLUMEN!$C$26),(1+SUP_VOLUMEN!$C$27)))*INDEX(SUP_C3_EXPANSION!$C$6:$F$6,MIN(4,COUNTIF(CAPA3_EXPANSION!$D$56:BT$56,"&gt;="&amp;13)))*CAPA3_EXPANSION!BT$36)</f>
        <v>3696</v>
      </c>
      <c r="BU20" s="298" t="n">
        <f aca="false">IF(COUNTIF(CAPA3_EXPANSION!$D$56:BU$56,"&gt;="&amp;13)=0,0,SUP_CONTROL!$C$8*IF($B20="V",1,IF($B20="D",(1+SUP_VOLUMEN!$C$26),(1+SUP_VOLUMEN!$C$27)))*INDEX(SUP_C3_EXPANSION!$C$6:$F$6,MIN(4,COUNTIF(CAPA3_EXPANSION!$D$56:BU$56,"&gt;="&amp;13)))*CAPA3_EXPANSION!BU$36)</f>
        <v>3696</v>
      </c>
      <c r="BV20" s="298" t="n">
        <f aca="false">IF(COUNTIF(CAPA3_EXPANSION!$D$56:BV$56,"&gt;="&amp;13)=0,0,SUP_CONTROL!$C$8*IF($B20="V",1,IF($B20="D",(1+SUP_VOLUMEN!$C$26),(1+SUP_VOLUMEN!$C$27)))*INDEX(SUP_C3_EXPANSION!$C$6:$F$6,MIN(4,COUNTIF(CAPA3_EXPANSION!$D$56:BV$56,"&gt;="&amp;13)))*CAPA3_EXPANSION!BV$36)</f>
        <v>3696</v>
      </c>
      <c r="BW20" s="298" t="n">
        <f aca="false">IF(COUNTIF(CAPA3_EXPANSION!$D$56:BW$56,"&gt;="&amp;13)=0,0,SUP_CONTROL!$C$8*IF($B20="V",1,IF($B20="D",(1+SUP_VOLUMEN!$C$26),(1+SUP_VOLUMEN!$C$27)))*INDEX(SUP_C3_EXPANSION!$C$6:$F$6,MIN(4,COUNTIF(CAPA3_EXPANSION!$D$56:BW$56,"&gt;="&amp;13)))*CAPA3_EXPANSION!BW$36)</f>
        <v>3633</v>
      </c>
      <c r="BX20" s="298" t="n">
        <f aca="false">IF(COUNTIF(CAPA3_EXPANSION!$D$56:BX$56,"&gt;="&amp;13)=0,0,SUP_CONTROL!$C$8*IF($B20="V",1,IF($B20="D",(1+SUP_VOLUMEN!$C$26),(1+SUP_VOLUMEN!$C$27)))*INDEX(SUP_C3_EXPANSION!$C$6:$F$6,MIN(4,COUNTIF(CAPA3_EXPANSION!$D$56:BX$56,"&gt;="&amp;13)))*CAPA3_EXPANSION!BX$36)</f>
        <v>3633</v>
      </c>
      <c r="BY20" s="298" t="n">
        <f aca="false">IF(COUNTIF(CAPA3_EXPANSION!$D$56:BY$56,"&gt;="&amp;13)=0,0,SUP_CONTROL!$C$8*IF($B20="V",1,IF($B20="D",(1+SUP_VOLUMEN!$C$26),(1+SUP_VOLUMEN!$C$27)))*INDEX(SUP_C3_EXPANSION!$C$6:$F$6,MIN(4,COUNTIF(CAPA3_EXPANSION!$D$56:BY$56,"&gt;="&amp;13)))*CAPA3_EXPANSION!BY$36)</f>
        <v>3633</v>
      </c>
      <c r="BZ20" s="298" t="n">
        <f aca="false">IF(COUNTIF(CAPA3_EXPANSION!$D$56:BZ$56,"&gt;="&amp;13)=0,0,SUP_CONTROL!$C$8*IF($B20="V",1,IF($B20="D",(1+SUP_VOLUMEN!$C$26),(1+SUP_VOLUMEN!$C$27)))*INDEX(SUP_C3_EXPANSION!$C$6:$F$6,MIN(4,COUNTIF(CAPA3_EXPANSION!$D$56:BZ$56,"&gt;="&amp;13)))*CAPA3_EXPANSION!BZ$36)</f>
        <v>3633</v>
      </c>
      <c r="CA20" s="298" t="n">
        <f aca="false">IF(COUNTIF(CAPA3_EXPANSION!$D$56:CA$56,"&gt;="&amp;13)=0,0,SUP_CONTROL!$C$8*IF($B20="V",1,IF($B20="D",(1+SUP_VOLUMEN!$C$26),(1+SUP_VOLUMEN!$C$27)))*INDEX(SUP_C3_EXPANSION!$C$6:$F$6,MIN(4,COUNTIF(CAPA3_EXPANSION!$D$56:CA$56,"&gt;="&amp;13)))*CAPA3_EXPANSION!CA$36)</f>
        <v>3633</v>
      </c>
      <c r="CB20" s="298" t="n">
        <f aca="false">IF(COUNTIF(CAPA3_EXPANSION!$D$56:CB$56,"&gt;="&amp;13)=0,0,SUP_CONTROL!$C$8*IF($B20="V",1,IF($B20="D",(1+SUP_VOLUMEN!$C$26),(1+SUP_VOLUMEN!$C$27)))*INDEX(SUP_C3_EXPANSION!$C$6:$F$6,MIN(4,COUNTIF(CAPA3_EXPANSION!$D$56:CB$56,"&gt;="&amp;13)))*CAPA3_EXPANSION!CB$36)</f>
        <v>3570</v>
      </c>
      <c r="CC20" s="298" t="n">
        <f aca="false">IF(COUNTIF(CAPA3_EXPANSION!$D$56:CC$56,"&gt;="&amp;13)=0,0,SUP_CONTROL!$C$8*IF($B20="V",1,IF($B20="D",(1+SUP_VOLUMEN!$C$26),(1+SUP_VOLUMEN!$C$27)))*INDEX(SUP_C3_EXPANSION!$C$6:$F$6,MIN(4,COUNTIF(CAPA3_EXPANSION!$D$56:CC$56,"&gt;="&amp;13)))*CAPA3_EXPANSION!CC$36)</f>
        <v>3570</v>
      </c>
      <c r="CD20" s="298" t="n">
        <f aca="false">IF(COUNTIF(CAPA3_EXPANSION!$D$56:CD$56,"&gt;="&amp;13)=0,0,SUP_CONTROL!$C$8*IF($B20="V",1,IF($B20="D",(1+SUP_VOLUMEN!$C$26),(1+SUP_VOLUMEN!$C$27)))*INDEX(SUP_C3_EXPANSION!$C$6:$F$6,MIN(4,COUNTIF(CAPA3_EXPANSION!$D$56:CD$56,"&gt;="&amp;13)))*CAPA3_EXPANSION!CD$36)</f>
        <v>3570</v>
      </c>
      <c r="CE20" s="298" t="n">
        <f aca="false">IF(COUNTIF(CAPA3_EXPANSION!$D$56:CE$56,"&gt;="&amp;13)=0,0,SUP_CONTROL!$C$8*IF($B20="V",1,IF($B20="D",(1+SUP_VOLUMEN!$C$26),(1+SUP_VOLUMEN!$C$27)))*INDEX(SUP_C3_EXPANSION!$C$6:$F$6,MIN(4,COUNTIF(CAPA3_EXPANSION!$D$56:CE$56,"&gt;="&amp;13)))*CAPA3_EXPANSION!CE$36)</f>
        <v>3570</v>
      </c>
      <c r="CF20" s="298" t="n">
        <f aca="false">IF(COUNTIF(CAPA3_EXPANSION!$D$56:CF$56,"&gt;="&amp;13)=0,0,SUP_CONTROL!$C$8*IF($B20="V",1,IF($B20="D",(1+SUP_VOLUMEN!$C$26),(1+SUP_VOLUMEN!$C$27)))*INDEX(SUP_C3_EXPANSION!$C$6:$F$6,MIN(4,COUNTIF(CAPA3_EXPANSION!$D$56:CF$56,"&gt;="&amp;13)))*CAPA3_EXPANSION!CF$36)</f>
        <v>3570</v>
      </c>
      <c r="CG20" s="298" t="n">
        <f aca="false">IF(COUNTIF(CAPA3_EXPANSION!$D$56:CG$56,"&gt;="&amp;13)=0,0,SUP_CONTROL!$C$8*IF($B20="V",1,IF($B20="D",(1+SUP_VOLUMEN!$C$26),(1+SUP_VOLUMEN!$C$27)))*INDEX(SUP_C3_EXPANSION!$C$6:$F$6,MIN(4,COUNTIF(CAPA3_EXPANSION!$D$56:CG$56,"&gt;="&amp;13)))*CAPA3_EXPANSION!CG$36)</f>
        <v>3528</v>
      </c>
      <c r="CH20" s="298" t="n">
        <f aca="false">IF(COUNTIF(CAPA3_EXPANSION!$D$56:CH$56,"&gt;="&amp;13)=0,0,SUP_CONTROL!$C$8*IF($B20="V",1,IF($B20="D",(1+SUP_VOLUMEN!$C$26),(1+SUP_VOLUMEN!$C$27)))*INDEX(SUP_C3_EXPANSION!$C$6:$F$6,MIN(4,COUNTIF(CAPA3_EXPANSION!$D$56:CH$56,"&gt;="&amp;13)))*CAPA3_EXPANSION!CH$36)</f>
        <v>3528</v>
      </c>
      <c r="CI20" s="298" t="n">
        <f aca="false">IF(COUNTIF(CAPA3_EXPANSION!$D$56:CI$56,"&gt;="&amp;13)=0,0,SUP_CONTROL!$C$8*IF($B20="V",1,IF($B20="D",(1+SUP_VOLUMEN!$C$26),(1+SUP_VOLUMEN!$C$27)))*INDEX(SUP_C3_EXPANSION!$C$6:$F$6,MIN(4,COUNTIF(CAPA3_EXPANSION!$D$56:CI$56,"&gt;="&amp;13)))*CAPA3_EXPANSION!CI$36)</f>
        <v>3528</v>
      </c>
      <c r="CJ20" s="298" t="n">
        <f aca="false">IF(COUNTIF(CAPA3_EXPANSION!$D$56:CJ$56,"&gt;="&amp;13)=0,0,SUP_CONTROL!$C$8*IF($B20="V",1,IF($B20="D",(1+SUP_VOLUMEN!$C$26),(1+SUP_VOLUMEN!$C$27)))*INDEX(SUP_C3_EXPANSION!$C$6:$F$6,MIN(4,COUNTIF(CAPA3_EXPANSION!$D$56:CJ$56,"&gt;="&amp;13)))*CAPA3_EXPANSION!CJ$36)</f>
        <v>3528</v>
      </c>
      <c r="CK20" s="298" t="n">
        <f aca="false">IF(COUNTIF(CAPA3_EXPANSION!$D$56:CK$56,"&gt;="&amp;13)=0,0,SUP_CONTROL!$C$8*IF($B20="V",1,IF($B20="D",(1+SUP_VOLUMEN!$C$26),(1+SUP_VOLUMEN!$C$27)))*INDEX(SUP_C3_EXPANSION!$C$6:$F$6,MIN(4,COUNTIF(CAPA3_EXPANSION!$D$56:CK$56,"&gt;="&amp;13)))*CAPA3_EXPANSION!CK$36)</f>
        <v>3528</v>
      </c>
      <c r="CL20" s="298" t="n">
        <f aca="false">IF(COUNTIF(CAPA3_EXPANSION!$D$56:CL$56,"&gt;="&amp;13)=0,0,SUP_CONTROL!$C$8*IF($B20="V",1,IF($B20="D",(1+SUP_VOLUMEN!$C$26),(1+SUP_VOLUMEN!$C$27)))*INDEX(SUP_C3_EXPANSION!$C$6:$F$6,MIN(4,COUNTIF(CAPA3_EXPANSION!$D$56:CL$56,"&gt;="&amp;13)))*CAPA3_EXPANSION!CL$36)</f>
        <v>3528</v>
      </c>
      <c r="CM20" s="298" t="n">
        <f aca="false">IF(COUNTIF(CAPA3_EXPANSION!$D$56:CM$56,"&gt;="&amp;13)=0,0,SUP_CONTROL!$C$8*IF($B20="V",1,IF($B20="D",(1+SUP_VOLUMEN!$C$26),(1+SUP_VOLUMEN!$C$27)))*INDEX(SUP_C3_EXPANSION!$C$6:$F$6,MIN(4,COUNTIF(CAPA3_EXPANSION!$D$56:CM$56,"&gt;="&amp;13)))*CAPA3_EXPANSION!CM$36)</f>
        <v>3528</v>
      </c>
      <c r="CN20" s="298" t="n">
        <f aca="false">IF(COUNTIF(CAPA3_EXPANSION!$D$56:CN$56,"&gt;="&amp;13)=0,0,SUP_CONTROL!$C$8*IF($B20="V",1,IF($B20="D",(1+SUP_VOLUMEN!$C$26),(1+SUP_VOLUMEN!$C$27)))*INDEX(SUP_C3_EXPANSION!$C$6:$F$6,MIN(4,COUNTIF(CAPA3_EXPANSION!$D$56:CN$56,"&gt;="&amp;13)))*CAPA3_EXPANSION!CN$36)</f>
        <v>3528</v>
      </c>
      <c r="CO20" s="298" t="n">
        <f aca="false">IF(COUNTIF(CAPA3_EXPANSION!$D$56:CO$56,"&gt;="&amp;13)=0,0,SUP_CONTROL!$C$8*IF($B20="V",1,IF($B20="D",(1+SUP_VOLUMEN!$C$26),(1+SUP_VOLUMEN!$C$27)))*INDEX(SUP_C3_EXPANSION!$C$6:$F$6,MIN(4,COUNTIF(CAPA3_EXPANSION!$D$56:CO$56,"&gt;="&amp;13)))*CAPA3_EXPANSION!CO$36)</f>
        <v>3528</v>
      </c>
      <c r="CP20" s="298" t="n">
        <f aca="false">IF(COUNTIF(CAPA3_EXPANSION!$D$56:CP$56,"&gt;="&amp;13)=0,0,SUP_CONTROL!$C$8*IF($B20="V",1,IF($B20="D",(1+SUP_VOLUMEN!$C$26),(1+SUP_VOLUMEN!$C$27)))*INDEX(SUP_C3_EXPANSION!$C$6:$F$6,MIN(4,COUNTIF(CAPA3_EXPANSION!$D$56:CP$56,"&gt;="&amp;13)))*CAPA3_EXPANSION!CP$36)</f>
        <v>3528</v>
      </c>
      <c r="CQ20" s="298" t="n">
        <f aca="false">IF(COUNTIF(CAPA3_EXPANSION!$D$56:CQ$56,"&gt;="&amp;13)=0,0,SUP_CONTROL!$C$8*IF($B20="V",1,IF($B20="D",(1+SUP_VOLUMEN!$C$26),(1+SUP_VOLUMEN!$C$27)))*INDEX(SUP_C3_EXPANSION!$C$6:$F$6,MIN(4,COUNTIF(CAPA3_EXPANSION!$D$56:CQ$56,"&gt;="&amp;13)))*CAPA3_EXPANSION!CQ$36)</f>
        <v>3528</v>
      </c>
      <c r="CR20" s="298" t="n">
        <f aca="false">IF(COUNTIF(CAPA3_EXPANSION!$D$56:CR$56,"&gt;="&amp;13)=0,0,SUP_CONTROL!$C$8*IF($B20="V",1,IF($B20="D",(1+SUP_VOLUMEN!$C$26),(1+SUP_VOLUMEN!$C$27)))*INDEX(SUP_C3_EXPANSION!$C$6:$F$6,MIN(4,COUNTIF(CAPA3_EXPANSION!$D$56:CR$56,"&gt;="&amp;13)))*CAPA3_EXPANSION!CR$36)</f>
        <v>3528</v>
      </c>
      <c r="CS20" s="298" t="n">
        <f aca="false">IF(COUNTIF(CAPA3_EXPANSION!$D$56:CS$56,"&gt;="&amp;13)=0,0,SUP_CONTROL!$C$8*IF($B20="V",1,IF($B20="D",(1+SUP_VOLUMEN!$C$26),(1+SUP_VOLUMEN!$C$27)))*INDEX(SUP_C3_EXPANSION!$C$6:$F$6,MIN(4,COUNTIF(CAPA3_EXPANSION!$D$56:CS$56,"&gt;="&amp;13)))*CAPA3_EXPANSION!CS$36)</f>
        <v>3528</v>
      </c>
      <c r="CT20" s="298" t="n">
        <f aca="false">IF(COUNTIF(CAPA3_EXPANSION!$D$56:CT$56,"&gt;="&amp;13)=0,0,SUP_CONTROL!$C$8*IF($B20="V",1,IF($B20="D",(1+SUP_VOLUMEN!$C$26),(1+SUP_VOLUMEN!$C$27)))*INDEX(SUP_C3_EXPANSION!$C$6:$F$6,MIN(4,COUNTIF(CAPA3_EXPANSION!$D$56:CT$56,"&gt;="&amp;13)))*CAPA3_EXPANSION!CT$36)</f>
        <v>3528</v>
      </c>
      <c r="CU20" s="298" t="n">
        <f aca="false">IF(COUNTIF(CAPA3_EXPANSION!$D$56:CU$56,"&gt;="&amp;13)=0,0,SUP_CONTROL!$C$8*IF($B20="V",1,IF($B20="D",(1+SUP_VOLUMEN!$C$26),(1+SUP_VOLUMEN!$C$27)))*INDEX(SUP_C3_EXPANSION!$C$6:$F$6,MIN(4,COUNTIF(CAPA3_EXPANSION!$D$56:CU$56,"&gt;="&amp;13)))*CAPA3_EXPANSION!CU$36)</f>
        <v>3528</v>
      </c>
      <c r="CV20" s="298" t="n">
        <f aca="false">IF(COUNTIF(CAPA3_EXPANSION!$D$56:CV$56,"&gt;="&amp;13)=0,0,SUP_CONTROL!$C$8*IF($B20="V",1,IF($B20="D",(1+SUP_VOLUMEN!$C$26),(1+SUP_VOLUMEN!$C$27)))*INDEX(SUP_C3_EXPANSION!$C$6:$F$6,MIN(4,COUNTIF(CAPA3_EXPANSION!$D$56:CV$56,"&gt;="&amp;13)))*CAPA3_EXPANSION!CV$36)</f>
        <v>3528</v>
      </c>
      <c r="CW20" s="298" t="n">
        <f aca="false">IF(COUNTIF(CAPA3_EXPANSION!$D$56:CW$56,"&gt;="&amp;13)=0,0,SUP_CONTROL!$C$8*IF($B20="V",1,IF($B20="D",(1+SUP_VOLUMEN!$C$26),(1+SUP_VOLUMEN!$C$27)))*INDEX(SUP_C3_EXPANSION!$C$6:$F$6,MIN(4,COUNTIF(CAPA3_EXPANSION!$D$56:CW$56,"&gt;="&amp;13)))*CAPA3_EXPANSION!CW$36)</f>
        <v>3528</v>
      </c>
      <c r="CX20" s="298" t="n">
        <f aca="false">IF(COUNTIF(CAPA3_EXPANSION!$D$56:CX$56,"&gt;="&amp;13)=0,0,SUP_CONTROL!$C$8*IF($B20="V",1,IF($B20="D",(1+SUP_VOLUMEN!$C$26),(1+SUP_VOLUMEN!$C$27)))*INDEX(SUP_C3_EXPANSION!$C$6:$F$6,MIN(4,COUNTIF(CAPA3_EXPANSION!$D$56:CX$56,"&gt;="&amp;13)))*CAPA3_EXPANSION!CX$36)</f>
        <v>3528</v>
      </c>
      <c r="CY20" s="298" t="n">
        <f aca="false">IF(COUNTIF(CAPA3_EXPANSION!$D$56:CY$56,"&gt;="&amp;13)=0,0,SUP_CONTROL!$C$8*IF($B20="V",1,IF($B20="D",(1+SUP_VOLUMEN!$C$26),(1+SUP_VOLUMEN!$C$27)))*INDEX(SUP_C3_EXPANSION!$C$6:$F$6,MIN(4,COUNTIF(CAPA3_EXPANSION!$D$56:CY$56,"&gt;="&amp;13)))*CAPA3_EXPANSION!CY$36)</f>
        <v>3528</v>
      </c>
      <c r="CZ20" s="298" t="n">
        <f aca="false">IF(COUNTIF(CAPA3_EXPANSION!$D$56:CZ$56,"&gt;="&amp;13)=0,0,SUP_CONTROL!$C$8*IF($B20="V",1,IF($B20="D",(1+SUP_VOLUMEN!$C$26),(1+SUP_VOLUMEN!$C$27)))*INDEX(SUP_C3_EXPANSION!$C$6:$F$6,MIN(4,COUNTIF(CAPA3_EXPANSION!$D$56:CZ$56,"&gt;="&amp;13)))*CAPA3_EXPANSION!CZ$36)</f>
        <v>3528</v>
      </c>
      <c r="DA20" s="298" t="n">
        <f aca="false">IF(COUNTIF(CAPA3_EXPANSION!$D$56:DA$56,"&gt;="&amp;13)=0,0,SUP_CONTROL!$C$8*IF($B20="V",1,IF($B20="D",(1+SUP_VOLUMEN!$C$26),(1+SUP_VOLUMEN!$C$27)))*INDEX(SUP_C3_EXPANSION!$C$6:$F$6,MIN(4,COUNTIF(CAPA3_EXPANSION!$D$56:DA$56,"&gt;="&amp;13)))*CAPA3_EXPANSION!DA$36)</f>
        <v>3528</v>
      </c>
      <c r="DB20" s="298" t="n">
        <f aca="false">IF(COUNTIF(CAPA3_EXPANSION!$D$56:DB$56,"&gt;="&amp;13)=0,0,SUP_CONTROL!$C$8*IF($B20="V",1,IF($B20="D",(1+SUP_VOLUMEN!$C$26),(1+SUP_VOLUMEN!$C$27)))*INDEX(SUP_C3_EXPANSION!$C$6:$F$6,MIN(4,COUNTIF(CAPA3_EXPANSION!$D$56:DB$56,"&gt;="&amp;13)))*CAPA3_EXPANSION!DB$36)</f>
        <v>3528</v>
      </c>
      <c r="DC20" s="298" t="n">
        <f aca="false">IF(COUNTIF(CAPA3_EXPANSION!$D$56:DC$56,"&gt;="&amp;13)=0,0,SUP_CONTROL!$C$8*IF($B20="V",1,IF($B20="D",(1+SUP_VOLUMEN!$C$26),(1+SUP_VOLUMEN!$C$27)))*INDEX(SUP_C3_EXPANSION!$C$6:$F$6,MIN(4,COUNTIF(CAPA3_EXPANSION!$D$56:DC$56,"&gt;="&amp;13)))*CAPA3_EXPANSION!DC$36)</f>
        <v>3528</v>
      </c>
      <c r="DD20" s="298" t="n">
        <f aca="false">IF(COUNTIF(CAPA3_EXPANSION!$D$56:DD$56,"&gt;="&amp;13)=0,0,SUP_CONTROL!$C$8*IF($B20="V",1,IF($B20="D",(1+SUP_VOLUMEN!$C$26),(1+SUP_VOLUMEN!$C$27)))*INDEX(SUP_C3_EXPANSION!$C$6:$F$6,MIN(4,COUNTIF(CAPA3_EXPANSION!$D$56:DD$56,"&gt;="&amp;13)))*CAPA3_EXPANSION!DD$36)</f>
        <v>3528</v>
      </c>
      <c r="DE20" s="298" t="n">
        <f aca="false">IF(COUNTIF(CAPA3_EXPANSION!$D$56:DE$56,"&gt;="&amp;13)=0,0,SUP_CONTROL!$C$8*IF($B20="V",1,IF($B20="D",(1+SUP_VOLUMEN!$C$26),(1+SUP_VOLUMEN!$C$27)))*INDEX(SUP_C3_EXPANSION!$C$6:$F$6,MIN(4,COUNTIF(CAPA3_EXPANSION!$D$56:DE$56,"&gt;="&amp;13)))*CAPA3_EXPANSION!DE$36)</f>
        <v>3528</v>
      </c>
      <c r="DF20" s="298" t="n">
        <f aca="false">IF(COUNTIF(CAPA3_EXPANSION!$D$56:DF$56,"&gt;="&amp;13)=0,0,SUP_CONTROL!$C$8*IF($B20="V",1,IF($B20="D",(1+SUP_VOLUMEN!$C$26),(1+SUP_VOLUMEN!$C$27)))*INDEX(SUP_C3_EXPANSION!$C$6:$F$6,MIN(4,COUNTIF(CAPA3_EXPANSION!$D$56:DF$56,"&gt;="&amp;13)))*CAPA3_EXPANSION!DF$36)</f>
        <v>3528</v>
      </c>
      <c r="DG20" s="298" t="n">
        <f aca="false">IF(COUNTIF(CAPA3_EXPANSION!$D$56:DG$56,"&gt;="&amp;13)=0,0,SUP_CONTROL!$C$8*IF($B20="V",1,IF($B20="D",(1+SUP_VOLUMEN!$C$26),(1+SUP_VOLUMEN!$C$27)))*INDEX(SUP_C3_EXPANSION!$C$6:$F$6,MIN(4,COUNTIF(CAPA3_EXPANSION!$D$56:DG$56,"&gt;="&amp;13)))*CAPA3_EXPANSION!DG$36)</f>
        <v>3528</v>
      </c>
      <c r="DH20" s="298" t="n">
        <f aca="false">IF(COUNTIF(CAPA3_EXPANSION!$D$56:DH$56,"&gt;="&amp;13)=0,0,SUP_CONTROL!$C$8*IF($B20="V",1,IF($B20="D",(1+SUP_VOLUMEN!$C$26),(1+SUP_VOLUMEN!$C$27)))*INDEX(SUP_C3_EXPANSION!$C$6:$F$6,MIN(4,COUNTIF(CAPA3_EXPANSION!$D$56:DH$56,"&gt;="&amp;13)))*CAPA3_EXPANSION!DH$36)</f>
        <v>3528</v>
      </c>
      <c r="DI20" s="298" t="n">
        <f aca="false">IF(COUNTIF(CAPA3_EXPANSION!$D$56:DI$56,"&gt;="&amp;13)=0,0,SUP_CONTROL!$C$8*IF($B20="V",1,IF($B20="D",(1+SUP_VOLUMEN!$C$26),(1+SUP_VOLUMEN!$C$27)))*INDEX(SUP_C3_EXPANSION!$C$6:$F$6,MIN(4,COUNTIF(CAPA3_EXPANSION!$D$56:DI$56,"&gt;="&amp;13)))*CAPA3_EXPANSION!DI$36)</f>
        <v>3528</v>
      </c>
      <c r="DJ20" s="298" t="n">
        <f aca="false">IF(COUNTIF(CAPA3_EXPANSION!$D$56:DJ$56,"&gt;="&amp;13)=0,0,SUP_CONTROL!$C$8*IF($B20="V",1,IF($B20="D",(1+SUP_VOLUMEN!$C$26),(1+SUP_VOLUMEN!$C$27)))*INDEX(SUP_C3_EXPANSION!$C$6:$F$6,MIN(4,COUNTIF(CAPA3_EXPANSION!$D$56:DJ$56,"&gt;="&amp;13)))*CAPA3_EXPANSION!DJ$36)</f>
        <v>3528</v>
      </c>
      <c r="DK20" s="298" t="n">
        <f aca="false">IF(COUNTIF(CAPA3_EXPANSION!$D$56:DK$56,"&gt;="&amp;13)=0,0,SUP_CONTROL!$C$8*IF($B20="V",1,IF($B20="D",(1+SUP_VOLUMEN!$C$26),(1+SUP_VOLUMEN!$C$27)))*INDEX(SUP_C3_EXPANSION!$C$6:$F$6,MIN(4,COUNTIF(CAPA3_EXPANSION!$D$56:DK$56,"&gt;="&amp;13)))*CAPA3_EXPANSION!DK$36)</f>
        <v>3528</v>
      </c>
      <c r="DL20" s="298" t="n">
        <f aca="false">IF(COUNTIF(CAPA3_EXPANSION!$D$56:DL$56,"&gt;="&amp;13)=0,0,SUP_CONTROL!$C$8*IF($B20="V",1,IF($B20="D",(1+SUP_VOLUMEN!$C$26),(1+SUP_VOLUMEN!$C$27)))*INDEX(SUP_C3_EXPANSION!$C$6:$F$6,MIN(4,COUNTIF(CAPA3_EXPANSION!$D$56:DL$56,"&gt;="&amp;13)))*CAPA3_EXPANSION!DL$36)</f>
        <v>3528</v>
      </c>
      <c r="DM20" s="298" t="n">
        <f aca="false">IF(COUNTIF(CAPA3_EXPANSION!$D$56:DM$56,"&gt;="&amp;13)=0,0,SUP_CONTROL!$C$8*IF($B20="V",1,IF($B20="D",(1+SUP_VOLUMEN!$C$26),(1+SUP_VOLUMEN!$C$27)))*INDEX(SUP_C3_EXPANSION!$C$6:$F$6,MIN(4,COUNTIF(CAPA3_EXPANSION!$D$56:DM$56,"&gt;="&amp;13)))*CAPA3_EXPANSION!DM$36)</f>
        <v>3528</v>
      </c>
      <c r="DN20" s="298" t="n">
        <f aca="false">IF(COUNTIF(CAPA3_EXPANSION!$D$56:DN$56,"&gt;="&amp;13)=0,0,SUP_CONTROL!$C$8*IF($B20="V",1,IF($B20="D",(1+SUP_VOLUMEN!$C$26),(1+SUP_VOLUMEN!$C$27)))*INDEX(SUP_C3_EXPANSION!$C$6:$F$6,MIN(4,COUNTIF(CAPA3_EXPANSION!$D$56:DN$56,"&gt;="&amp;13)))*CAPA3_EXPANSION!DN$36)</f>
        <v>3528</v>
      </c>
      <c r="DO20" s="298" t="n">
        <f aca="false">IF(COUNTIF(CAPA3_EXPANSION!$D$56:DO$56,"&gt;="&amp;13)=0,0,SUP_CONTROL!$C$8*IF($B20="V",1,IF($B20="D",(1+SUP_VOLUMEN!$C$26),(1+SUP_VOLUMEN!$C$27)))*INDEX(SUP_C3_EXPANSION!$C$6:$F$6,MIN(4,COUNTIF(CAPA3_EXPANSION!$D$56:DO$56,"&gt;="&amp;13)))*CAPA3_EXPANSION!DO$36)</f>
        <v>3528</v>
      </c>
      <c r="DP20" s="298" t="n">
        <f aca="false">IF(COUNTIF(CAPA3_EXPANSION!$D$56:DP$56,"&gt;="&amp;13)=0,0,SUP_CONTROL!$C$8*IF($B20="V",1,IF($B20="D",(1+SUP_VOLUMEN!$C$26),(1+SUP_VOLUMEN!$C$27)))*INDEX(SUP_C3_EXPANSION!$C$6:$F$6,MIN(4,COUNTIF(CAPA3_EXPANSION!$D$56:DP$56,"&gt;="&amp;13)))*CAPA3_EXPANSION!DP$36)</f>
        <v>3528</v>
      </c>
      <c r="DQ20" s="298" t="n">
        <f aca="false">IF(COUNTIF(CAPA3_EXPANSION!$D$56:DQ$56,"&gt;="&amp;13)=0,0,SUP_CONTROL!$C$8*IF($B20="V",1,IF($B20="D",(1+SUP_VOLUMEN!$C$26),(1+SUP_VOLUMEN!$C$27)))*INDEX(SUP_C3_EXPANSION!$C$6:$F$6,MIN(4,COUNTIF(CAPA3_EXPANSION!$D$56:DQ$56,"&gt;="&amp;13)))*CAPA3_EXPANSION!DQ$36)</f>
        <v>3528</v>
      </c>
      <c r="DR20" s="298" t="n">
        <f aca="false">IF(COUNTIF(CAPA3_EXPANSION!$D$56:DR$56,"&gt;="&amp;13)=0,0,SUP_CONTROL!$C$8*IF($B20="V",1,IF($B20="D",(1+SUP_VOLUMEN!$C$26),(1+SUP_VOLUMEN!$C$27)))*INDEX(SUP_C3_EXPANSION!$C$6:$F$6,MIN(4,COUNTIF(CAPA3_EXPANSION!$D$56:DR$56,"&gt;="&amp;13)))*CAPA3_EXPANSION!DR$36)</f>
        <v>3528</v>
      </c>
      <c r="DS20" s="298" t="n">
        <f aca="false">IF(COUNTIF(CAPA3_EXPANSION!$D$56:DS$56,"&gt;="&amp;13)=0,0,SUP_CONTROL!$C$8*IF($B20="V",1,IF($B20="D",(1+SUP_VOLUMEN!$C$26),(1+SUP_VOLUMEN!$C$27)))*INDEX(SUP_C3_EXPANSION!$C$6:$F$6,MIN(4,COUNTIF(CAPA3_EXPANSION!$D$56:DS$56,"&gt;="&amp;13)))*CAPA3_EXPANSION!DS$36)</f>
        <v>3528</v>
      </c>
    </row>
    <row r="21" customFormat="false" ht="15" hidden="false" customHeight="true" outlineLevel="0" collapsed="false">
      <c r="A21" s="298" t="n">
        <v>24</v>
      </c>
      <c r="B21" s="497" t="str">
        <f aca="false">SUP_C3_EXPANSION!B33</f>
        <v>V</v>
      </c>
      <c r="C21" s="267" t="n">
        <f aca="false">SUP_C3_EXPANSION!G33</f>
        <v>46</v>
      </c>
      <c r="D21" s="298" t="n">
        <f aca="false">IF(COUNTIF(CAPA3_EXPANSION!$D$56:D$56,"&gt;="&amp;14)=0,0,SUP_CONTROL!$C$8*IF($B21="V",1,IF($B21="D",(1+SUP_VOLUMEN!$C$26),(1+SUP_VOLUMEN!$C$27)))*INDEX(SUP_C3_EXPANSION!$C$6:$F$6,MIN(4,COUNTIF(CAPA3_EXPANSION!$D$56:D$56,"&gt;="&amp;14)))*CAPA3_EXPANSION!D$36)</f>
        <v>0</v>
      </c>
      <c r="E21" s="298" t="n">
        <f aca="false">IF(COUNTIF(CAPA3_EXPANSION!$D$56:E$56,"&gt;="&amp;14)=0,0,SUP_CONTROL!$C$8*IF($B21="V",1,IF($B21="D",(1+SUP_VOLUMEN!$C$26),(1+SUP_VOLUMEN!$C$27)))*INDEX(SUP_C3_EXPANSION!$C$6:$F$6,MIN(4,COUNTIF(CAPA3_EXPANSION!$D$56:E$56,"&gt;="&amp;14)))*CAPA3_EXPANSION!E$36)</f>
        <v>0</v>
      </c>
      <c r="F21" s="298" t="n">
        <f aca="false">IF(COUNTIF(CAPA3_EXPANSION!$D$56:F$56,"&gt;="&amp;14)=0,0,SUP_CONTROL!$C$8*IF($B21="V",1,IF($B21="D",(1+SUP_VOLUMEN!$C$26),(1+SUP_VOLUMEN!$C$27)))*INDEX(SUP_C3_EXPANSION!$C$6:$F$6,MIN(4,COUNTIF(CAPA3_EXPANSION!$D$56:F$56,"&gt;="&amp;14)))*CAPA3_EXPANSION!F$36)</f>
        <v>0</v>
      </c>
      <c r="G21" s="298" t="n">
        <f aca="false">IF(COUNTIF(CAPA3_EXPANSION!$D$56:G$56,"&gt;="&amp;14)=0,0,SUP_CONTROL!$C$8*IF($B21="V",1,IF($B21="D",(1+SUP_VOLUMEN!$C$26),(1+SUP_VOLUMEN!$C$27)))*INDEX(SUP_C3_EXPANSION!$C$6:$F$6,MIN(4,COUNTIF(CAPA3_EXPANSION!$D$56:G$56,"&gt;="&amp;14)))*CAPA3_EXPANSION!G$36)</f>
        <v>0</v>
      </c>
      <c r="H21" s="298" t="n">
        <f aca="false">IF(COUNTIF(CAPA3_EXPANSION!$D$56:H$56,"&gt;="&amp;14)=0,0,SUP_CONTROL!$C$8*IF($B21="V",1,IF($B21="D",(1+SUP_VOLUMEN!$C$26),(1+SUP_VOLUMEN!$C$27)))*INDEX(SUP_C3_EXPANSION!$C$6:$F$6,MIN(4,COUNTIF(CAPA3_EXPANSION!$D$56:H$56,"&gt;="&amp;14)))*CAPA3_EXPANSION!H$36)</f>
        <v>0</v>
      </c>
      <c r="I21" s="298" t="n">
        <f aca="false">IF(COUNTIF(CAPA3_EXPANSION!$D$56:I$56,"&gt;="&amp;14)=0,0,SUP_CONTROL!$C$8*IF($B21="V",1,IF($B21="D",(1+SUP_VOLUMEN!$C$26),(1+SUP_VOLUMEN!$C$27)))*INDEX(SUP_C3_EXPANSION!$C$6:$F$6,MIN(4,COUNTIF(CAPA3_EXPANSION!$D$56:I$56,"&gt;="&amp;14)))*CAPA3_EXPANSION!I$36)</f>
        <v>0</v>
      </c>
      <c r="J21" s="298" t="n">
        <f aca="false">IF(COUNTIF(CAPA3_EXPANSION!$D$56:J$56,"&gt;="&amp;14)=0,0,SUP_CONTROL!$C$8*IF($B21="V",1,IF($B21="D",(1+SUP_VOLUMEN!$C$26),(1+SUP_VOLUMEN!$C$27)))*INDEX(SUP_C3_EXPANSION!$C$6:$F$6,MIN(4,COUNTIF(CAPA3_EXPANSION!$D$56:J$56,"&gt;="&amp;14)))*CAPA3_EXPANSION!J$36)</f>
        <v>0</v>
      </c>
      <c r="K21" s="298" t="n">
        <f aca="false">IF(COUNTIF(CAPA3_EXPANSION!$D$56:K$56,"&gt;="&amp;14)=0,0,SUP_CONTROL!$C$8*IF($B21="V",1,IF($B21="D",(1+SUP_VOLUMEN!$C$26),(1+SUP_VOLUMEN!$C$27)))*INDEX(SUP_C3_EXPANSION!$C$6:$F$6,MIN(4,COUNTIF(CAPA3_EXPANSION!$D$56:K$56,"&gt;="&amp;14)))*CAPA3_EXPANSION!K$36)</f>
        <v>0</v>
      </c>
      <c r="L21" s="298" t="n">
        <f aca="false">IF(COUNTIF(CAPA3_EXPANSION!$D$56:L$56,"&gt;="&amp;14)=0,0,SUP_CONTROL!$C$8*IF($B21="V",1,IF($B21="D",(1+SUP_VOLUMEN!$C$26),(1+SUP_VOLUMEN!$C$27)))*INDEX(SUP_C3_EXPANSION!$C$6:$F$6,MIN(4,COUNTIF(CAPA3_EXPANSION!$D$56:L$56,"&gt;="&amp;14)))*CAPA3_EXPANSION!L$36)</f>
        <v>0</v>
      </c>
      <c r="M21" s="298" t="n">
        <f aca="false">IF(COUNTIF(CAPA3_EXPANSION!$D$56:M$56,"&gt;="&amp;14)=0,0,SUP_CONTROL!$C$8*IF($B21="V",1,IF($B21="D",(1+SUP_VOLUMEN!$C$26),(1+SUP_VOLUMEN!$C$27)))*INDEX(SUP_C3_EXPANSION!$C$6:$F$6,MIN(4,COUNTIF(CAPA3_EXPANSION!$D$56:M$56,"&gt;="&amp;14)))*CAPA3_EXPANSION!M$36)</f>
        <v>0</v>
      </c>
      <c r="N21" s="298" t="n">
        <f aca="false">IF(COUNTIF(CAPA3_EXPANSION!$D$56:N$56,"&gt;="&amp;14)=0,0,SUP_CONTROL!$C$8*IF($B21="V",1,IF($B21="D",(1+SUP_VOLUMEN!$C$26),(1+SUP_VOLUMEN!$C$27)))*INDEX(SUP_C3_EXPANSION!$C$6:$F$6,MIN(4,COUNTIF(CAPA3_EXPANSION!$D$56:N$56,"&gt;="&amp;14)))*CAPA3_EXPANSION!N$36)</f>
        <v>0</v>
      </c>
      <c r="O21" s="298" t="n">
        <f aca="false">IF(COUNTIF(CAPA3_EXPANSION!$D$56:O$56,"&gt;="&amp;14)=0,0,SUP_CONTROL!$C$8*IF($B21="V",1,IF($B21="D",(1+SUP_VOLUMEN!$C$26),(1+SUP_VOLUMEN!$C$27)))*INDEX(SUP_C3_EXPANSION!$C$6:$F$6,MIN(4,COUNTIF(CAPA3_EXPANSION!$D$56:O$56,"&gt;="&amp;14)))*CAPA3_EXPANSION!O$36)</f>
        <v>0</v>
      </c>
      <c r="P21" s="298" t="n">
        <f aca="false">IF(COUNTIF(CAPA3_EXPANSION!$D$56:P$56,"&gt;="&amp;14)=0,0,SUP_CONTROL!$C$8*IF($B21="V",1,IF($B21="D",(1+SUP_VOLUMEN!$C$26),(1+SUP_VOLUMEN!$C$27)))*INDEX(SUP_C3_EXPANSION!$C$6:$F$6,MIN(4,COUNTIF(CAPA3_EXPANSION!$D$56:P$56,"&gt;="&amp;14)))*CAPA3_EXPANSION!P$36)</f>
        <v>0</v>
      </c>
      <c r="Q21" s="298" t="n">
        <f aca="false">IF(COUNTIF(CAPA3_EXPANSION!$D$56:Q$56,"&gt;="&amp;14)=0,0,SUP_CONTROL!$C$8*IF($B21="V",1,IF($B21="D",(1+SUP_VOLUMEN!$C$26),(1+SUP_VOLUMEN!$C$27)))*INDEX(SUP_C3_EXPANSION!$C$6:$F$6,MIN(4,COUNTIF(CAPA3_EXPANSION!$D$56:Q$56,"&gt;="&amp;14)))*CAPA3_EXPANSION!Q$36)</f>
        <v>0</v>
      </c>
      <c r="R21" s="298" t="n">
        <f aca="false">IF(COUNTIF(CAPA3_EXPANSION!$D$56:R$56,"&gt;="&amp;14)=0,0,SUP_CONTROL!$C$8*IF($B21="V",1,IF($B21="D",(1+SUP_VOLUMEN!$C$26),(1+SUP_VOLUMEN!$C$27)))*INDEX(SUP_C3_EXPANSION!$C$6:$F$6,MIN(4,COUNTIF(CAPA3_EXPANSION!$D$56:R$56,"&gt;="&amp;14)))*CAPA3_EXPANSION!R$36)</f>
        <v>0</v>
      </c>
      <c r="S21" s="298" t="n">
        <f aca="false">IF(COUNTIF(CAPA3_EXPANSION!$D$56:S$56,"&gt;="&amp;14)=0,0,SUP_CONTROL!$C$8*IF($B21="V",1,IF($B21="D",(1+SUP_VOLUMEN!$C$26),(1+SUP_VOLUMEN!$C$27)))*INDEX(SUP_C3_EXPANSION!$C$6:$F$6,MIN(4,COUNTIF(CAPA3_EXPANSION!$D$56:S$56,"&gt;="&amp;14)))*CAPA3_EXPANSION!S$36)</f>
        <v>0</v>
      </c>
      <c r="T21" s="298" t="n">
        <f aca="false">IF(COUNTIF(CAPA3_EXPANSION!$D$56:T$56,"&gt;="&amp;14)=0,0,SUP_CONTROL!$C$8*IF($B21="V",1,IF($B21="D",(1+SUP_VOLUMEN!$C$26),(1+SUP_VOLUMEN!$C$27)))*INDEX(SUP_C3_EXPANSION!$C$6:$F$6,MIN(4,COUNTIF(CAPA3_EXPANSION!$D$56:T$56,"&gt;="&amp;14)))*CAPA3_EXPANSION!T$36)</f>
        <v>0</v>
      </c>
      <c r="U21" s="298" t="n">
        <f aca="false">IF(COUNTIF(CAPA3_EXPANSION!$D$56:U$56,"&gt;="&amp;14)=0,0,SUP_CONTROL!$C$8*IF($B21="V",1,IF($B21="D",(1+SUP_VOLUMEN!$C$26),(1+SUP_VOLUMEN!$C$27)))*INDEX(SUP_C3_EXPANSION!$C$6:$F$6,MIN(4,COUNTIF(CAPA3_EXPANSION!$D$56:U$56,"&gt;="&amp;14)))*CAPA3_EXPANSION!U$36)</f>
        <v>0</v>
      </c>
      <c r="V21" s="298" t="n">
        <f aca="false">IF(COUNTIF(CAPA3_EXPANSION!$D$56:V$56,"&gt;="&amp;14)=0,0,SUP_CONTROL!$C$8*IF($B21="V",1,IF($B21="D",(1+SUP_VOLUMEN!$C$26),(1+SUP_VOLUMEN!$C$27)))*INDEX(SUP_C3_EXPANSION!$C$6:$F$6,MIN(4,COUNTIF(CAPA3_EXPANSION!$D$56:V$56,"&gt;="&amp;14)))*CAPA3_EXPANSION!V$36)</f>
        <v>0</v>
      </c>
      <c r="W21" s="298" t="n">
        <f aca="false">IF(COUNTIF(CAPA3_EXPANSION!$D$56:W$56,"&gt;="&amp;14)=0,0,SUP_CONTROL!$C$8*IF($B21="V",1,IF($B21="D",(1+SUP_VOLUMEN!$C$26),(1+SUP_VOLUMEN!$C$27)))*INDEX(SUP_C3_EXPANSION!$C$6:$F$6,MIN(4,COUNTIF(CAPA3_EXPANSION!$D$56:W$56,"&gt;="&amp;14)))*CAPA3_EXPANSION!W$36)</f>
        <v>0</v>
      </c>
      <c r="X21" s="298" t="n">
        <f aca="false">IF(COUNTIF(CAPA3_EXPANSION!$D$56:X$56,"&gt;="&amp;14)=0,0,SUP_CONTROL!$C$8*IF($B21="V",1,IF($B21="D",(1+SUP_VOLUMEN!$C$26),(1+SUP_VOLUMEN!$C$27)))*INDEX(SUP_C3_EXPANSION!$C$6:$F$6,MIN(4,COUNTIF(CAPA3_EXPANSION!$D$56:X$56,"&gt;="&amp;14)))*CAPA3_EXPANSION!X$36)</f>
        <v>0</v>
      </c>
      <c r="Y21" s="298" t="n">
        <f aca="false">IF(COUNTIF(CAPA3_EXPANSION!$D$56:Y$56,"&gt;="&amp;14)=0,0,SUP_CONTROL!$C$8*IF($B21="V",1,IF($B21="D",(1+SUP_VOLUMEN!$C$26),(1+SUP_VOLUMEN!$C$27)))*INDEX(SUP_C3_EXPANSION!$C$6:$F$6,MIN(4,COUNTIF(CAPA3_EXPANSION!$D$56:Y$56,"&gt;="&amp;14)))*CAPA3_EXPANSION!Y$36)</f>
        <v>0</v>
      </c>
      <c r="Z21" s="298" t="n">
        <f aca="false">IF(COUNTIF(CAPA3_EXPANSION!$D$56:Z$56,"&gt;="&amp;14)=0,0,SUP_CONTROL!$C$8*IF($B21="V",1,IF($B21="D",(1+SUP_VOLUMEN!$C$26),(1+SUP_VOLUMEN!$C$27)))*INDEX(SUP_C3_EXPANSION!$C$6:$F$6,MIN(4,COUNTIF(CAPA3_EXPANSION!$D$56:Z$56,"&gt;="&amp;14)))*CAPA3_EXPANSION!Z$36)</f>
        <v>0</v>
      </c>
      <c r="AA21" s="298" t="n">
        <f aca="false">IF(COUNTIF(CAPA3_EXPANSION!$D$56:AA$56,"&gt;="&amp;14)=0,0,SUP_CONTROL!$C$8*IF($B21="V",1,IF($B21="D",(1+SUP_VOLUMEN!$C$26),(1+SUP_VOLUMEN!$C$27)))*INDEX(SUP_C3_EXPANSION!$C$6:$F$6,MIN(4,COUNTIF(CAPA3_EXPANSION!$D$56:AA$56,"&gt;="&amp;14)))*CAPA3_EXPANSION!AA$36)</f>
        <v>0</v>
      </c>
      <c r="AB21" s="298" t="n">
        <f aca="false">IF(COUNTIF(CAPA3_EXPANSION!$D$56:AB$56,"&gt;="&amp;14)=0,0,SUP_CONTROL!$C$8*IF($B21="V",1,IF($B21="D",(1+SUP_VOLUMEN!$C$26),(1+SUP_VOLUMEN!$C$27)))*INDEX(SUP_C3_EXPANSION!$C$6:$F$6,MIN(4,COUNTIF(CAPA3_EXPANSION!$D$56:AB$56,"&gt;="&amp;14)))*CAPA3_EXPANSION!AB$36)</f>
        <v>0</v>
      </c>
      <c r="AC21" s="298" t="n">
        <f aca="false">IF(COUNTIF(CAPA3_EXPANSION!$D$56:AC$56,"&gt;="&amp;14)=0,0,SUP_CONTROL!$C$8*IF($B21="V",1,IF($B21="D",(1+SUP_VOLUMEN!$C$26),(1+SUP_VOLUMEN!$C$27)))*INDEX(SUP_C3_EXPANSION!$C$6:$F$6,MIN(4,COUNTIF(CAPA3_EXPANSION!$D$56:AC$56,"&gt;="&amp;14)))*CAPA3_EXPANSION!AC$36)</f>
        <v>0</v>
      </c>
      <c r="AD21" s="298" t="n">
        <f aca="false">IF(COUNTIF(CAPA3_EXPANSION!$D$56:AD$56,"&gt;="&amp;14)=0,0,SUP_CONTROL!$C$8*IF($B21="V",1,IF($B21="D",(1+SUP_VOLUMEN!$C$26),(1+SUP_VOLUMEN!$C$27)))*INDEX(SUP_C3_EXPANSION!$C$6:$F$6,MIN(4,COUNTIF(CAPA3_EXPANSION!$D$56:AD$56,"&gt;="&amp;14)))*CAPA3_EXPANSION!AD$36)</f>
        <v>0</v>
      </c>
      <c r="AE21" s="298" t="n">
        <f aca="false">IF(COUNTIF(CAPA3_EXPANSION!$D$56:AE$56,"&gt;="&amp;14)=0,0,SUP_CONTROL!$C$8*IF($B21="V",1,IF($B21="D",(1+SUP_VOLUMEN!$C$26),(1+SUP_VOLUMEN!$C$27)))*INDEX(SUP_C3_EXPANSION!$C$6:$F$6,MIN(4,COUNTIF(CAPA3_EXPANSION!$D$56:AE$56,"&gt;="&amp;14)))*CAPA3_EXPANSION!AE$36)</f>
        <v>0</v>
      </c>
      <c r="AF21" s="298" t="n">
        <f aca="false">IF(COUNTIF(CAPA3_EXPANSION!$D$56:AF$56,"&gt;="&amp;14)=0,0,SUP_CONTROL!$C$8*IF($B21="V",1,IF($B21="D",(1+SUP_VOLUMEN!$C$26),(1+SUP_VOLUMEN!$C$27)))*INDEX(SUP_C3_EXPANSION!$C$6:$F$6,MIN(4,COUNTIF(CAPA3_EXPANSION!$D$56:AF$56,"&gt;="&amp;14)))*CAPA3_EXPANSION!AF$36)</f>
        <v>0</v>
      </c>
      <c r="AG21" s="298" t="n">
        <f aca="false">IF(COUNTIF(CAPA3_EXPANSION!$D$56:AG$56,"&gt;="&amp;14)=0,0,SUP_CONTROL!$C$8*IF($B21="V",1,IF($B21="D",(1+SUP_VOLUMEN!$C$26),(1+SUP_VOLUMEN!$C$27)))*INDEX(SUP_C3_EXPANSION!$C$6:$F$6,MIN(4,COUNTIF(CAPA3_EXPANSION!$D$56:AG$56,"&gt;="&amp;14)))*CAPA3_EXPANSION!AG$36)</f>
        <v>0</v>
      </c>
      <c r="AH21" s="298" t="n">
        <f aca="false">IF(COUNTIF(CAPA3_EXPANSION!$D$56:AH$56,"&gt;="&amp;14)=0,0,SUP_CONTROL!$C$8*IF($B21="V",1,IF($B21="D",(1+SUP_VOLUMEN!$C$26),(1+SUP_VOLUMEN!$C$27)))*INDEX(SUP_C3_EXPANSION!$C$6:$F$6,MIN(4,COUNTIF(CAPA3_EXPANSION!$D$56:AH$56,"&gt;="&amp;14)))*CAPA3_EXPANSION!AH$36)</f>
        <v>0</v>
      </c>
      <c r="AI21" s="298" t="n">
        <f aca="false">IF(COUNTIF(CAPA3_EXPANSION!$D$56:AI$56,"&gt;="&amp;14)=0,0,SUP_CONTROL!$C$8*IF($B21="V",1,IF($B21="D",(1+SUP_VOLUMEN!$C$26),(1+SUP_VOLUMEN!$C$27)))*INDEX(SUP_C3_EXPANSION!$C$6:$F$6,MIN(4,COUNTIF(CAPA3_EXPANSION!$D$56:AI$56,"&gt;="&amp;14)))*CAPA3_EXPANSION!AI$36)</f>
        <v>0</v>
      </c>
      <c r="AJ21" s="298" t="n">
        <f aca="false">IF(COUNTIF(CAPA3_EXPANSION!$D$56:AJ$56,"&gt;="&amp;14)=0,0,SUP_CONTROL!$C$8*IF($B21="V",1,IF($B21="D",(1+SUP_VOLUMEN!$C$26),(1+SUP_VOLUMEN!$C$27)))*INDEX(SUP_C3_EXPANSION!$C$6:$F$6,MIN(4,COUNTIF(CAPA3_EXPANSION!$D$56:AJ$56,"&gt;="&amp;14)))*CAPA3_EXPANSION!AJ$36)</f>
        <v>0</v>
      </c>
      <c r="AK21" s="298" t="n">
        <f aca="false">IF(COUNTIF(CAPA3_EXPANSION!$D$56:AK$56,"&gt;="&amp;14)=0,0,SUP_CONTROL!$C$8*IF($B21="V",1,IF($B21="D",(1+SUP_VOLUMEN!$C$26),(1+SUP_VOLUMEN!$C$27)))*INDEX(SUP_C3_EXPANSION!$C$6:$F$6,MIN(4,COUNTIF(CAPA3_EXPANSION!$D$56:AK$56,"&gt;="&amp;14)))*CAPA3_EXPANSION!AK$36)</f>
        <v>0</v>
      </c>
      <c r="AL21" s="298" t="n">
        <f aca="false">IF(COUNTIF(CAPA3_EXPANSION!$D$56:AL$56,"&gt;="&amp;14)=0,0,SUP_CONTROL!$C$8*IF($B21="V",1,IF($B21="D",(1+SUP_VOLUMEN!$C$26),(1+SUP_VOLUMEN!$C$27)))*INDEX(SUP_C3_EXPANSION!$C$6:$F$6,MIN(4,COUNTIF(CAPA3_EXPANSION!$D$56:AL$56,"&gt;="&amp;14)))*CAPA3_EXPANSION!AL$36)</f>
        <v>0</v>
      </c>
      <c r="AM21" s="298" t="n">
        <f aca="false">IF(COUNTIF(CAPA3_EXPANSION!$D$56:AM$56,"&gt;="&amp;14)=0,0,SUP_CONTROL!$C$8*IF($B21="V",1,IF($B21="D",(1+SUP_VOLUMEN!$C$26),(1+SUP_VOLUMEN!$C$27)))*INDEX(SUP_C3_EXPANSION!$C$6:$F$6,MIN(4,COUNTIF(CAPA3_EXPANSION!$D$56:AM$56,"&gt;="&amp;14)))*CAPA3_EXPANSION!AM$36)</f>
        <v>0</v>
      </c>
      <c r="AN21" s="298" t="n">
        <f aca="false">IF(COUNTIF(CAPA3_EXPANSION!$D$56:AN$56,"&gt;="&amp;14)=0,0,SUP_CONTROL!$C$8*IF($B21="V",1,IF($B21="D",(1+SUP_VOLUMEN!$C$26),(1+SUP_VOLUMEN!$C$27)))*INDEX(SUP_C3_EXPANSION!$C$6:$F$6,MIN(4,COUNTIF(CAPA3_EXPANSION!$D$56:AN$56,"&gt;="&amp;14)))*CAPA3_EXPANSION!AN$36)</f>
        <v>0</v>
      </c>
      <c r="AO21" s="298" t="n">
        <f aca="false">IF(COUNTIF(CAPA3_EXPANSION!$D$56:AO$56,"&gt;="&amp;14)=0,0,SUP_CONTROL!$C$8*IF($B21="V",1,IF($B21="D",(1+SUP_VOLUMEN!$C$26),(1+SUP_VOLUMEN!$C$27)))*INDEX(SUP_C3_EXPANSION!$C$6:$F$6,MIN(4,COUNTIF(CAPA3_EXPANSION!$D$56:AO$56,"&gt;="&amp;14)))*CAPA3_EXPANSION!AO$36)</f>
        <v>0</v>
      </c>
      <c r="AP21" s="298" t="n">
        <f aca="false">IF(COUNTIF(CAPA3_EXPANSION!$D$56:AP$56,"&gt;="&amp;14)=0,0,SUP_CONTROL!$C$8*IF($B21="V",1,IF($B21="D",(1+SUP_VOLUMEN!$C$26),(1+SUP_VOLUMEN!$C$27)))*INDEX(SUP_C3_EXPANSION!$C$6:$F$6,MIN(4,COUNTIF(CAPA3_EXPANSION!$D$56:AP$56,"&gt;="&amp;14)))*CAPA3_EXPANSION!AP$36)</f>
        <v>0</v>
      </c>
      <c r="AQ21" s="298" t="n">
        <f aca="false">IF(COUNTIF(CAPA3_EXPANSION!$D$56:AQ$56,"&gt;="&amp;14)=0,0,SUP_CONTROL!$C$8*IF($B21="V",1,IF($B21="D",(1+SUP_VOLUMEN!$C$26),(1+SUP_VOLUMEN!$C$27)))*INDEX(SUP_C3_EXPANSION!$C$6:$F$6,MIN(4,COUNTIF(CAPA3_EXPANSION!$D$56:AQ$56,"&gt;="&amp;14)))*CAPA3_EXPANSION!AQ$36)</f>
        <v>0</v>
      </c>
      <c r="AR21" s="298" t="n">
        <f aca="false">IF(COUNTIF(CAPA3_EXPANSION!$D$56:AR$56,"&gt;="&amp;14)=0,0,SUP_CONTROL!$C$8*IF($B21="V",1,IF($B21="D",(1+SUP_VOLUMEN!$C$26),(1+SUP_VOLUMEN!$C$27)))*INDEX(SUP_C3_EXPANSION!$C$6:$F$6,MIN(4,COUNTIF(CAPA3_EXPANSION!$D$56:AR$56,"&gt;="&amp;14)))*CAPA3_EXPANSION!AR$36)</f>
        <v>0</v>
      </c>
      <c r="AS21" s="298" t="n">
        <f aca="false">IF(COUNTIF(CAPA3_EXPANSION!$D$56:AS$56,"&gt;="&amp;14)=0,0,SUP_CONTROL!$C$8*IF($B21="V",1,IF($B21="D",(1+SUP_VOLUMEN!$C$26),(1+SUP_VOLUMEN!$C$27)))*INDEX(SUP_C3_EXPANSION!$C$6:$F$6,MIN(4,COUNTIF(CAPA3_EXPANSION!$D$56:AS$56,"&gt;="&amp;14)))*CAPA3_EXPANSION!AS$36)</f>
        <v>0</v>
      </c>
      <c r="AT21" s="298" t="n">
        <f aca="false">IF(COUNTIF(CAPA3_EXPANSION!$D$56:AT$56,"&gt;="&amp;14)=0,0,SUP_CONTROL!$C$8*IF($B21="V",1,IF($B21="D",(1+SUP_VOLUMEN!$C$26),(1+SUP_VOLUMEN!$C$27)))*INDEX(SUP_C3_EXPANSION!$C$6:$F$6,MIN(4,COUNTIF(CAPA3_EXPANSION!$D$56:AT$56,"&gt;="&amp;14)))*CAPA3_EXPANSION!AT$36)</f>
        <v>0</v>
      </c>
      <c r="AU21" s="298" t="n">
        <f aca="false">IF(COUNTIF(CAPA3_EXPANSION!$D$56:AU$56,"&gt;="&amp;14)=0,0,SUP_CONTROL!$C$8*IF($B21="V",1,IF($B21="D",(1+SUP_VOLUMEN!$C$26),(1+SUP_VOLUMEN!$C$27)))*INDEX(SUP_C3_EXPANSION!$C$6:$F$6,MIN(4,COUNTIF(CAPA3_EXPANSION!$D$56:AU$56,"&gt;="&amp;14)))*CAPA3_EXPANSION!AU$36)</f>
        <v>0</v>
      </c>
      <c r="AV21" s="298" t="n">
        <f aca="false">IF(COUNTIF(CAPA3_EXPANSION!$D$56:AV$56,"&gt;="&amp;14)=0,0,SUP_CONTROL!$C$8*IF($B21="V",1,IF($B21="D",(1+SUP_VOLUMEN!$C$26),(1+SUP_VOLUMEN!$C$27)))*INDEX(SUP_C3_EXPANSION!$C$6:$F$6,MIN(4,COUNTIF(CAPA3_EXPANSION!$D$56:AV$56,"&gt;="&amp;14)))*CAPA3_EXPANSION!AV$36)</f>
        <v>0</v>
      </c>
      <c r="AW21" s="298" t="n">
        <f aca="false">IF(COUNTIF(CAPA3_EXPANSION!$D$56:AW$56,"&gt;="&amp;14)=0,0,SUP_CONTROL!$C$8*IF($B21="V",1,IF($B21="D",(1+SUP_VOLUMEN!$C$26),(1+SUP_VOLUMEN!$C$27)))*INDEX(SUP_C3_EXPANSION!$C$6:$F$6,MIN(4,COUNTIF(CAPA3_EXPANSION!$D$56:AW$56,"&gt;="&amp;14)))*CAPA3_EXPANSION!AW$36)</f>
        <v>0</v>
      </c>
      <c r="AX21" s="298" t="n">
        <f aca="false">IF(COUNTIF(CAPA3_EXPANSION!$D$56:AX$56,"&gt;="&amp;14)=0,0,SUP_CONTROL!$C$8*IF($B21="V",1,IF($B21="D",(1+SUP_VOLUMEN!$C$26),(1+SUP_VOLUMEN!$C$27)))*INDEX(SUP_C3_EXPANSION!$C$6:$F$6,MIN(4,COUNTIF(CAPA3_EXPANSION!$D$56:AX$56,"&gt;="&amp;14)))*CAPA3_EXPANSION!AX$36)</f>
        <v>0</v>
      </c>
      <c r="AY21" s="298" t="n">
        <f aca="false">IF(COUNTIF(CAPA3_EXPANSION!$D$56:AY$56,"&gt;="&amp;14)=0,0,SUP_CONTROL!$C$8*IF($B21="V",1,IF($B21="D",(1+SUP_VOLUMEN!$C$26),(1+SUP_VOLUMEN!$C$27)))*INDEX(SUP_C3_EXPANSION!$C$6:$F$6,MIN(4,COUNTIF(CAPA3_EXPANSION!$D$56:AY$56,"&gt;="&amp;14)))*CAPA3_EXPANSION!AY$36)</f>
        <v>0</v>
      </c>
      <c r="AZ21" s="298" t="n">
        <f aca="false">IF(COUNTIF(CAPA3_EXPANSION!$D$56:AZ$56,"&gt;="&amp;14)=0,0,SUP_CONTROL!$C$8*IF($B21="V",1,IF($B21="D",(1+SUP_VOLUMEN!$C$26),(1+SUP_VOLUMEN!$C$27)))*INDEX(SUP_C3_EXPANSION!$C$6:$F$6,MIN(4,COUNTIF(CAPA3_EXPANSION!$D$56:AZ$56,"&gt;="&amp;14)))*CAPA3_EXPANSION!AZ$36)</f>
        <v>2579.85</v>
      </c>
      <c r="BA21" s="298" t="n">
        <f aca="false">IF(COUNTIF(CAPA3_EXPANSION!$D$56:BA$56,"&gt;="&amp;14)=0,0,SUP_CONTROL!$C$8*IF($B21="V",1,IF($B21="D",(1+SUP_VOLUMEN!$C$26),(1+SUP_VOLUMEN!$C$27)))*INDEX(SUP_C3_EXPANSION!$C$6:$F$6,MIN(4,COUNTIF(CAPA3_EXPANSION!$D$56:BA$56,"&gt;="&amp;14)))*CAPA3_EXPANSION!BA$36)</f>
        <v>3175.2</v>
      </c>
      <c r="BB21" s="298" t="n">
        <f aca="false">IF(COUNTIF(CAPA3_EXPANSION!$D$56:BB$56,"&gt;="&amp;14)=0,0,SUP_CONTROL!$C$8*IF($B21="V",1,IF($B21="D",(1+SUP_VOLUMEN!$C$26),(1+SUP_VOLUMEN!$C$27)))*INDEX(SUP_C3_EXPANSION!$C$6:$F$6,MIN(4,COUNTIF(CAPA3_EXPANSION!$D$56:BB$56,"&gt;="&amp;14)))*CAPA3_EXPANSION!BB$36)</f>
        <v>3572.1</v>
      </c>
      <c r="BC21" s="298" t="n">
        <f aca="false">IF(COUNTIF(CAPA3_EXPANSION!$D$56:BC$56,"&gt;="&amp;14)=0,0,SUP_CONTROL!$C$8*IF($B21="V",1,IF($B21="D",(1+SUP_VOLUMEN!$C$26),(1+SUP_VOLUMEN!$C$27)))*INDEX(SUP_C3_EXPANSION!$C$6:$F$6,MIN(4,COUNTIF(CAPA3_EXPANSION!$D$56:BC$56,"&gt;="&amp;14)))*CAPA3_EXPANSION!BC$36)</f>
        <v>3969</v>
      </c>
      <c r="BD21" s="298" t="n">
        <f aca="false">IF(COUNTIF(CAPA3_EXPANSION!$D$56:BD$56,"&gt;="&amp;14)=0,0,SUP_CONTROL!$C$8*IF($B21="V",1,IF($B21="D",(1+SUP_VOLUMEN!$C$26),(1+SUP_VOLUMEN!$C$27)))*INDEX(SUP_C3_EXPANSION!$C$6:$F$6,MIN(4,COUNTIF(CAPA3_EXPANSION!$D$56:BD$56,"&gt;="&amp;14)))*CAPA3_EXPANSION!BD$36)</f>
        <v>3969</v>
      </c>
      <c r="BE21" s="298" t="n">
        <f aca="false">IF(COUNTIF(CAPA3_EXPANSION!$D$56:BE$56,"&gt;="&amp;14)=0,0,SUP_CONTROL!$C$8*IF($B21="V",1,IF($B21="D",(1+SUP_VOLUMEN!$C$26),(1+SUP_VOLUMEN!$C$27)))*INDEX(SUP_C3_EXPANSION!$C$6:$F$6,MIN(4,COUNTIF(CAPA3_EXPANSION!$D$56:BE$56,"&gt;="&amp;14)))*CAPA3_EXPANSION!BE$36)</f>
        <v>3969</v>
      </c>
      <c r="BF21" s="298" t="n">
        <f aca="false">IF(COUNTIF(CAPA3_EXPANSION!$D$56:BF$56,"&gt;="&amp;14)=0,0,SUP_CONTROL!$C$8*IF($B21="V",1,IF($B21="D",(1+SUP_VOLUMEN!$C$26),(1+SUP_VOLUMEN!$C$27)))*INDEX(SUP_C3_EXPANSION!$C$6:$F$6,MIN(4,COUNTIF(CAPA3_EXPANSION!$D$56:BF$56,"&gt;="&amp;14)))*CAPA3_EXPANSION!BF$36)</f>
        <v>3864</v>
      </c>
      <c r="BG21" s="298" t="n">
        <f aca="false">IF(COUNTIF(CAPA3_EXPANSION!$D$56:BG$56,"&gt;="&amp;14)=0,0,SUP_CONTROL!$C$8*IF($B21="V",1,IF($B21="D",(1+SUP_VOLUMEN!$C$26),(1+SUP_VOLUMEN!$C$27)))*INDEX(SUP_C3_EXPANSION!$C$6:$F$6,MIN(4,COUNTIF(CAPA3_EXPANSION!$D$56:BG$56,"&gt;="&amp;14)))*CAPA3_EXPANSION!BG$36)</f>
        <v>3864</v>
      </c>
      <c r="BH21" s="298" t="n">
        <f aca="false">IF(COUNTIF(CAPA3_EXPANSION!$D$56:BH$56,"&gt;="&amp;14)=0,0,SUP_CONTROL!$C$8*IF($B21="V",1,IF($B21="D",(1+SUP_VOLUMEN!$C$26),(1+SUP_VOLUMEN!$C$27)))*INDEX(SUP_C3_EXPANSION!$C$6:$F$6,MIN(4,COUNTIF(CAPA3_EXPANSION!$D$56:BH$56,"&gt;="&amp;14)))*CAPA3_EXPANSION!BH$36)</f>
        <v>3864</v>
      </c>
      <c r="BI21" s="298" t="n">
        <f aca="false">IF(COUNTIF(CAPA3_EXPANSION!$D$56:BI$56,"&gt;="&amp;14)=0,0,SUP_CONTROL!$C$8*IF($B21="V",1,IF($B21="D",(1+SUP_VOLUMEN!$C$26),(1+SUP_VOLUMEN!$C$27)))*INDEX(SUP_C3_EXPANSION!$C$6:$F$6,MIN(4,COUNTIF(CAPA3_EXPANSION!$D$56:BI$56,"&gt;="&amp;14)))*CAPA3_EXPANSION!BI$36)</f>
        <v>3864</v>
      </c>
      <c r="BJ21" s="298" t="n">
        <f aca="false">IF(COUNTIF(CAPA3_EXPANSION!$D$56:BJ$56,"&gt;="&amp;14)=0,0,SUP_CONTROL!$C$8*IF($B21="V",1,IF($B21="D",(1+SUP_VOLUMEN!$C$26),(1+SUP_VOLUMEN!$C$27)))*INDEX(SUP_C3_EXPANSION!$C$6:$F$6,MIN(4,COUNTIF(CAPA3_EXPANSION!$D$56:BJ$56,"&gt;="&amp;14)))*CAPA3_EXPANSION!BJ$36)</f>
        <v>3864</v>
      </c>
      <c r="BK21" s="298" t="n">
        <f aca="false">IF(COUNTIF(CAPA3_EXPANSION!$D$56:BK$56,"&gt;="&amp;14)=0,0,SUP_CONTROL!$C$8*IF($B21="V",1,IF($B21="D",(1+SUP_VOLUMEN!$C$26),(1+SUP_VOLUMEN!$C$27)))*INDEX(SUP_C3_EXPANSION!$C$6:$F$6,MIN(4,COUNTIF(CAPA3_EXPANSION!$D$56:BK$56,"&gt;="&amp;14)))*CAPA3_EXPANSION!BK$36)</f>
        <v>3780</v>
      </c>
      <c r="BL21" s="298" t="n">
        <f aca="false">IF(COUNTIF(CAPA3_EXPANSION!$D$56:BL$56,"&gt;="&amp;14)=0,0,SUP_CONTROL!$C$8*IF($B21="V",1,IF($B21="D",(1+SUP_VOLUMEN!$C$26),(1+SUP_VOLUMEN!$C$27)))*INDEX(SUP_C3_EXPANSION!$C$6:$F$6,MIN(4,COUNTIF(CAPA3_EXPANSION!$D$56:BL$56,"&gt;="&amp;14)))*CAPA3_EXPANSION!BL$36)</f>
        <v>3780</v>
      </c>
      <c r="BM21" s="298" t="n">
        <f aca="false">IF(COUNTIF(CAPA3_EXPANSION!$D$56:BM$56,"&gt;="&amp;14)=0,0,SUP_CONTROL!$C$8*IF($B21="V",1,IF($B21="D",(1+SUP_VOLUMEN!$C$26),(1+SUP_VOLUMEN!$C$27)))*INDEX(SUP_C3_EXPANSION!$C$6:$F$6,MIN(4,COUNTIF(CAPA3_EXPANSION!$D$56:BM$56,"&gt;="&amp;14)))*CAPA3_EXPANSION!BM$36)</f>
        <v>3780</v>
      </c>
      <c r="BN21" s="298" t="n">
        <f aca="false">IF(COUNTIF(CAPA3_EXPANSION!$D$56:BN$56,"&gt;="&amp;14)=0,0,SUP_CONTROL!$C$8*IF($B21="V",1,IF($B21="D",(1+SUP_VOLUMEN!$C$26),(1+SUP_VOLUMEN!$C$27)))*INDEX(SUP_C3_EXPANSION!$C$6:$F$6,MIN(4,COUNTIF(CAPA3_EXPANSION!$D$56:BN$56,"&gt;="&amp;14)))*CAPA3_EXPANSION!BN$36)</f>
        <v>3780</v>
      </c>
      <c r="BO21" s="298" t="n">
        <f aca="false">IF(COUNTIF(CAPA3_EXPANSION!$D$56:BO$56,"&gt;="&amp;14)=0,0,SUP_CONTROL!$C$8*IF($B21="V",1,IF($B21="D",(1+SUP_VOLUMEN!$C$26),(1+SUP_VOLUMEN!$C$27)))*INDEX(SUP_C3_EXPANSION!$C$6:$F$6,MIN(4,COUNTIF(CAPA3_EXPANSION!$D$56:BO$56,"&gt;="&amp;14)))*CAPA3_EXPANSION!BO$36)</f>
        <v>3780</v>
      </c>
      <c r="BP21" s="298" t="n">
        <f aca="false">IF(COUNTIF(CAPA3_EXPANSION!$D$56:BP$56,"&gt;="&amp;14)=0,0,SUP_CONTROL!$C$8*IF($B21="V",1,IF($B21="D",(1+SUP_VOLUMEN!$C$26),(1+SUP_VOLUMEN!$C$27)))*INDEX(SUP_C3_EXPANSION!$C$6:$F$6,MIN(4,COUNTIF(CAPA3_EXPANSION!$D$56:BP$56,"&gt;="&amp;14)))*CAPA3_EXPANSION!BP$36)</f>
        <v>3780</v>
      </c>
      <c r="BQ21" s="298" t="n">
        <f aca="false">IF(COUNTIF(CAPA3_EXPANSION!$D$56:BQ$56,"&gt;="&amp;14)=0,0,SUP_CONTROL!$C$8*IF($B21="V",1,IF($B21="D",(1+SUP_VOLUMEN!$C$26),(1+SUP_VOLUMEN!$C$27)))*INDEX(SUP_C3_EXPANSION!$C$6:$F$6,MIN(4,COUNTIF(CAPA3_EXPANSION!$D$56:BQ$56,"&gt;="&amp;14)))*CAPA3_EXPANSION!BQ$36)</f>
        <v>3696</v>
      </c>
      <c r="BR21" s="298" t="n">
        <f aca="false">IF(COUNTIF(CAPA3_EXPANSION!$D$56:BR$56,"&gt;="&amp;14)=0,0,SUP_CONTROL!$C$8*IF($B21="V",1,IF($B21="D",(1+SUP_VOLUMEN!$C$26),(1+SUP_VOLUMEN!$C$27)))*INDEX(SUP_C3_EXPANSION!$C$6:$F$6,MIN(4,COUNTIF(CAPA3_EXPANSION!$D$56:BR$56,"&gt;="&amp;14)))*CAPA3_EXPANSION!BR$36)</f>
        <v>3696</v>
      </c>
      <c r="BS21" s="298" t="n">
        <f aca="false">IF(COUNTIF(CAPA3_EXPANSION!$D$56:BS$56,"&gt;="&amp;14)=0,0,SUP_CONTROL!$C$8*IF($B21="V",1,IF($B21="D",(1+SUP_VOLUMEN!$C$26),(1+SUP_VOLUMEN!$C$27)))*INDEX(SUP_C3_EXPANSION!$C$6:$F$6,MIN(4,COUNTIF(CAPA3_EXPANSION!$D$56:BS$56,"&gt;="&amp;14)))*CAPA3_EXPANSION!BS$36)</f>
        <v>3696</v>
      </c>
      <c r="BT21" s="298" t="n">
        <f aca="false">IF(COUNTIF(CAPA3_EXPANSION!$D$56:BT$56,"&gt;="&amp;14)=0,0,SUP_CONTROL!$C$8*IF($B21="V",1,IF($B21="D",(1+SUP_VOLUMEN!$C$26),(1+SUP_VOLUMEN!$C$27)))*INDEX(SUP_C3_EXPANSION!$C$6:$F$6,MIN(4,COUNTIF(CAPA3_EXPANSION!$D$56:BT$56,"&gt;="&amp;14)))*CAPA3_EXPANSION!BT$36)</f>
        <v>3696</v>
      </c>
      <c r="BU21" s="298" t="n">
        <f aca="false">IF(COUNTIF(CAPA3_EXPANSION!$D$56:BU$56,"&gt;="&amp;14)=0,0,SUP_CONTROL!$C$8*IF($B21="V",1,IF($B21="D",(1+SUP_VOLUMEN!$C$26),(1+SUP_VOLUMEN!$C$27)))*INDEX(SUP_C3_EXPANSION!$C$6:$F$6,MIN(4,COUNTIF(CAPA3_EXPANSION!$D$56:BU$56,"&gt;="&amp;14)))*CAPA3_EXPANSION!BU$36)</f>
        <v>3696</v>
      </c>
      <c r="BV21" s="298" t="n">
        <f aca="false">IF(COUNTIF(CAPA3_EXPANSION!$D$56:BV$56,"&gt;="&amp;14)=0,0,SUP_CONTROL!$C$8*IF($B21="V",1,IF($B21="D",(1+SUP_VOLUMEN!$C$26),(1+SUP_VOLUMEN!$C$27)))*INDEX(SUP_C3_EXPANSION!$C$6:$F$6,MIN(4,COUNTIF(CAPA3_EXPANSION!$D$56:BV$56,"&gt;="&amp;14)))*CAPA3_EXPANSION!BV$36)</f>
        <v>3696</v>
      </c>
      <c r="BW21" s="298" t="n">
        <f aca="false">IF(COUNTIF(CAPA3_EXPANSION!$D$56:BW$56,"&gt;="&amp;14)=0,0,SUP_CONTROL!$C$8*IF($B21="V",1,IF($B21="D",(1+SUP_VOLUMEN!$C$26),(1+SUP_VOLUMEN!$C$27)))*INDEX(SUP_C3_EXPANSION!$C$6:$F$6,MIN(4,COUNTIF(CAPA3_EXPANSION!$D$56:BW$56,"&gt;="&amp;14)))*CAPA3_EXPANSION!BW$36)</f>
        <v>3633</v>
      </c>
      <c r="BX21" s="298" t="n">
        <f aca="false">IF(COUNTIF(CAPA3_EXPANSION!$D$56:BX$56,"&gt;="&amp;14)=0,0,SUP_CONTROL!$C$8*IF($B21="V",1,IF($B21="D",(1+SUP_VOLUMEN!$C$26),(1+SUP_VOLUMEN!$C$27)))*INDEX(SUP_C3_EXPANSION!$C$6:$F$6,MIN(4,COUNTIF(CAPA3_EXPANSION!$D$56:BX$56,"&gt;="&amp;14)))*CAPA3_EXPANSION!BX$36)</f>
        <v>3633</v>
      </c>
      <c r="BY21" s="298" t="n">
        <f aca="false">IF(COUNTIF(CAPA3_EXPANSION!$D$56:BY$56,"&gt;="&amp;14)=0,0,SUP_CONTROL!$C$8*IF($B21="V",1,IF($B21="D",(1+SUP_VOLUMEN!$C$26),(1+SUP_VOLUMEN!$C$27)))*INDEX(SUP_C3_EXPANSION!$C$6:$F$6,MIN(4,COUNTIF(CAPA3_EXPANSION!$D$56:BY$56,"&gt;="&amp;14)))*CAPA3_EXPANSION!BY$36)</f>
        <v>3633</v>
      </c>
      <c r="BZ21" s="298" t="n">
        <f aca="false">IF(COUNTIF(CAPA3_EXPANSION!$D$56:BZ$56,"&gt;="&amp;14)=0,0,SUP_CONTROL!$C$8*IF($B21="V",1,IF($B21="D",(1+SUP_VOLUMEN!$C$26),(1+SUP_VOLUMEN!$C$27)))*INDEX(SUP_C3_EXPANSION!$C$6:$F$6,MIN(4,COUNTIF(CAPA3_EXPANSION!$D$56:BZ$56,"&gt;="&amp;14)))*CAPA3_EXPANSION!BZ$36)</f>
        <v>3633</v>
      </c>
      <c r="CA21" s="298" t="n">
        <f aca="false">IF(COUNTIF(CAPA3_EXPANSION!$D$56:CA$56,"&gt;="&amp;14)=0,0,SUP_CONTROL!$C$8*IF($B21="V",1,IF($B21="D",(1+SUP_VOLUMEN!$C$26),(1+SUP_VOLUMEN!$C$27)))*INDEX(SUP_C3_EXPANSION!$C$6:$F$6,MIN(4,COUNTIF(CAPA3_EXPANSION!$D$56:CA$56,"&gt;="&amp;14)))*CAPA3_EXPANSION!CA$36)</f>
        <v>3633</v>
      </c>
      <c r="CB21" s="298" t="n">
        <f aca="false">IF(COUNTIF(CAPA3_EXPANSION!$D$56:CB$56,"&gt;="&amp;14)=0,0,SUP_CONTROL!$C$8*IF($B21="V",1,IF($B21="D",(1+SUP_VOLUMEN!$C$26),(1+SUP_VOLUMEN!$C$27)))*INDEX(SUP_C3_EXPANSION!$C$6:$F$6,MIN(4,COUNTIF(CAPA3_EXPANSION!$D$56:CB$56,"&gt;="&amp;14)))*CAPA3_EXPANSION!CB$36)</f>
        <v>3570</v>
      </c>
      <c r="CC21" s="298" t="n">
        <f aca="false">IF(COUNTIF(CAPA3_EXPANSION!$D$56:CC$56,"&gt;="&amp;14)=0,0,SUP_CONTROL!$C$8*IF($B21="V",1,IF($B21="D",(1+SUP_VOLUMEN!$C$26),(1+SUP_VOLUMEN!$C$27)))*INDEX(SUP_C3_EXPANSION!$C$6:$F$6,MIN(4,COUNTIF(CAPA3_EXPANSION!$D$56:CC$56,"&gt;="&amp;14)))*CAPA3_EXPANSION!CC$36)</f>
        <v>3570</v>
      </c>
      <c r="CD21" s="298" t="n">
        <f aca="false">IF(COUNTIF(CAPA3_EXPANSION!$D$56:CD$56,"&gt;="&amp;14)=0,0,SUP_CONTROL!$C$8*IF($B21="V",1,IF($B21="D",(1+SUP_VOLUMEN!$C$26),(1+SUP_VOLUMEN!$C$27)))*INDEX(SUP_C3_EXPANSION!$C$6:$F$6,MIN(4,COUNTIF(CAPA3_EXPANSION!$D$56:CD$56,"&gt;="&amp;14)))*CAPA3_EXPANSION!CD$36)</f>
        <v>3570</v>
      </c>
      <c r="CE21" s="298" t="n">
        <f aca="false">IF(COUNTIF(CAPA3_EXPANSION!$D$56:CE$56,"&gt;="&amp;14)=0,0,SUP_CONTROL!$C$8*IF($B21="V",1,IF($B21="D",(1+SUP_VOLUMEN!$C$26),(1+SUP_VOLUMEN!$C$27)))*INDEX(SUP_C3_EXPANSION!$C$6:$F$6,MIN(4,COUNTIF(CAPA3_EXPANSION!$D$56:CE$56,"&gt;="&amp;14)))*CAPA3_EXPANSION!CE$36)</f>
        <v>3570</v>
      </c>
      <c r="CF21" s="298" t="n">
        <f aca="false">IF(COUNTIF(CAPA3_EXPANSION!$D$56:CF$56,"&gt;="&amp;14)=0,0,SUP_CONTROL!$C$8*IF($B21="V",1,IF($B21="D",(1+SUP_VOLUMEN!$C$26),(1+SUP_VOLUMEN!$C$27)))*INDEX(SUP_C3_EXPANSION!$C$6:$F$6,MIN(4,COUNTIF(CAPA3_EXPANSION!$D$56:CF$56,"&gt;="&amp;14)))*CAPA3_EXPANSION!CF$36)</f>
        <v>3570</v>
      </c>
      <c r="CG21" s="298" t="n">
        <f aca="false">IF(COUNTIF(CAPA3_EXPANSION!$D$56:CG$56,"&gt;="&amp;14)=0,0,SUP_CONTROL!$C$8*IF($B21="V",1,IF($B21="D",(1+SUP_VOLUMEN!$C$26),(1+SUP_VOLUMEN!$C$27)))*INDEX(SUP_C3_EXPANSION!$C$6:$F$6,MIN(4,COUNTIF(CAPA3_EXPANSION!$D$56:CG$56,"&gt;="&amp;14)))*CAPA3_EXPANSION!CG$36)</f>
        <v>3528</v>
      </c>
      <c r="CH21" s="298" t="n">
        <f aca="false">IF(COUNTIF(CAPA3_EXPANSION!$D$56:CH$56,"&gt;="&amp;14)=0,0,SUP_CONTROL!$C$8*IF($B21="V",1,IF($B21="D",(1+SUP_VOLUMEN!$C$26),(1+SUP_VOLUMEN!$C$27)))*INDEX(SUP_C3_EXPANSION!$C$6:$F$6,MIN(4,COUNTIF(CAPA3_EXPANSION!$D$56:CH$56,"&gt;="&amp;14)))*CAPA3_EXPANSION!CH$36)</f>
        <v>3528</v>
      </c>
      <c r="CI21" s="298" t="n">
        <f aca="false">IF(COUNTIF(CAPA3_EXPANSION!$D$56:CI$56,"&gt;="&amp;14)=0,0,SUP_CONTROL!$C$8*IF($B21="V",1,IF($B21="D",(1+SUP_VOLUMEN!$C$26),(1+SUP_VOLUMEN!$C$27)))*INDEX(SUP_C3_EXPANSION!$C$6:$F$6,MIN(4,COUNTIF(CAPA3_EXPANSION!$D$56:CI$56,"&gt;="&amp;14)))*CAPA3_EXPANSION!CI$36)</f>
        <v>3528</v>
      </c>
      <c r="CJ21" s="298" t="n">
        <f aca="false">IF(COUNTIF(CAPA3_EXPANSION!$D$56:CJ$56,"&gt;="&amp;14)=0,0,SUP_CONTROL!$C$8*IF($B21="V",1,IF($B21="D",(1+SUP_VOLUMEN!$C$26),(1+SUP_VOLUMEN!$C$27)))*INDEX(SUP_C3_EXPANSION!$C$6:$F$6,MIN(4,COUNTIF(CAPA3_EXPANSION!$D$56:CJ$56,"&gt;="&amp;14)))*CAPA3_EXPANSION!CJ$36)</f>
        <v>3528</v>
      </c>
      <c r="CK21" s="298" t="n">
        <f aca="false">IF(COUNTIF(CAPA3_EXPANSION!$D$56:CK$56,"&gt;="&amp;14)=0,0,SUP_CONTROL!$C$8*IF($B21="V",1,IF($B21="D",(1+SUP_VOLUMEN!$C$26),(1+SUP_VOLUMEN!$C$27)))*INDEX(SUP_C3_EXPANSION!$C$6:$F$6,MIN(4,COUNTIF(CAPA3_EXPANSION!$D$56:CK$56,"&gt;="&amp;14)))*CAPA3_EXPANSION!CK$36)</f>
        <v>3528</v>
      </c>
      <c r="CL21" s="298" t="n">
        <f aca="false">IF(COUNTIF(CAPA3_EXPANSION!$D$56:CL$56,"&gt;="&amp;14)=0,0,SUP_CONTROL!$C$8*IF($B21="V",1,IF($B21="D",(1+SUP_VOLUMEN!$C$26),(1+SUP_VOLUMEN!$C$27)))*INDEX(SUP_C3_EXPANSION!$C$6:$F$6,MIN(4,COUNTIF(CAPA3_EXPANSION!$D$56:CL$56,"&gt;="&amp;14)))*CAPA3_EXPANSION!CL$36)</f>
        <v>3528</v>
      </c>
      <c r="CM21" s="298" t="n">
        <f aca="false">IF(COUNTIF(CAPA3_EXPANSION!$D$56:CM$56,"&gt;="&amp;14)=0,0,SUP_CONTROL!$C$8*IF($B21="V",1,IF($B21="D",(1+SUP_VOLUMEN!$C$26),(1+SUP_VOLUMEN!$C$27)))*INDEX(SUP_C3_EXPANSION!$C$6:$F$6,MIN(4,COUNTIF(CAPA3_EXPANSION!$D$56:CM$56,"&gt;="&amp;14)))*CAPA3_EXPANSION!CM$36)</f>
        <v>3528</v>
      </c>
      <c r="CN21" s="298" t="n">
        <f aca="false">IF(COUNTIF(CAPA3_EXPANSION!$D$56:CN$56,"&gt;="&amp;14)=0,0,SUP_CONTROL!$C$8*IF($B21="V",1,IF($B21="D",(1+SUP_VOLUMEN!$C$26),(1+SUP_VOLUMEN!$C$27)))*INDEX(SUP_C3_EXPANSION!$C$6:$F$6,MIN(4,COUNTIF(CAPA3_EXPANSION!$D$56:CN$56,"&gt;="&amp;14)))*CAPA3_EXPANSION!CN$36)</f>
        <v>3528</v>
      </c>
      <c r="CO21" s="298" t="n">
        <f aca="false">IF(COUNTIF(CAPA3_EXPANSION!$D$56:CO$56,"&gt;="&amp;14)=0,0,SUP_CONTROL!$C$8*IF($B21="V",1,IF($B21="D",(1+SUP_VOLUMEN!$C$26),(1+SUP_VOLUMEN!$C$27)))*INDEX(SUP_C3_EXPANSION!$C$6:$F$6,MIN(4,COUNTIF(CAPA3_EXPANSION!$D$56:CO$56,"&gt;="&amp;14)))*CAPA3_EXPANSION!CO$36)</f>
        <v>3528</v>
      </c>
      <c r="CP21" s="298" t="n">
        <f aca="false">IF(COUNTIF(CAPA3_EXPANSION!$D$56:CP$56,"&gt;="&amp;14)=0,0,SUP_CONTROL!$C$8*IF($B21="V",1,IF($B21="D",(1+SUP_VOLUMEN!$C$26),(1+SUP_VOLUMEN!$C$27)))*INDEX(SUP_C3_EXPANSION!$C$6:$F$6,MIN(4,COUNTIF(CAPA3_EXPANSION!$D$56:CP$56,"&gt;="&amp;14)))*CAPA3_EXPANSION!CP$36)</f>
        <v>3528</v>
      </c>
      <c r="CQ21" s="298" t="n">
        <f aca="false">IF(COUNTIF(CAPA3_EXPANSION!$D$56:CQ$56,"&gt;="&amp;14)=0,0,SUP_CONTROL!$C$8*IF($B21="V",1,IF($B21="D",(1+SUP_VOLUMEN!$C$26),(1+SUP_VOLUMEN!$C$27)))*INDEX(SUP_C3_EXPANSION!$C$6:$F$6,MIN(4,COUNTIF(CAPA3_EXPANSION!$D$56:CQ$56,"&gt;="&amp;14)))*CAPA3_EXPANSION!CQ$36)</f>
        <v>3528</v>
      </c>
      <c r="CR21" s="298" t="n">
        <f aca="false">IF(COUNTIF(CAPA3_EXPANSION!$D$56:CR$56,"&gt;="&amp;14)=0,0,SUP_CONTROL!$C$8*IF($B21="V",1,IF($B21="D",(1+SUP_VOLUMEN!$C$26),(1+SUP_VOLUMEN!$C$27)))*INDEX(SUP_C3_EXPANSION!$C$6:$F$6,MIN(4,COUNTIF(CAPA3_EXPANSION!$D$56:CR$56,"&gt;="&amp;14)))*CAPA3_EXPANSION!CR$36)</f>
        <v>3528</v>
      </c>
      <c r="CS21" s="298" t="n">
        <f aca="false">IF(COUNTIF(CAPA3_EXPANSION!$D$56:CS$56,"&gt;="&amp;14)=0,0,SUP_CONTROL!$C$8*IF($B21="V",1,IF($B21="D",(1+SUP_VOLUMEN!$C$26),(1+SUP_VOLUMEN!$C$27)))*INDEX(SUP_C3_EXPANSION!$C$6:$F$6,MIN(4,COUNTIF(CAPA3_EXPANSION!$D$56:CS$56,"&gt;="&amp;14)))*CAPA3_EXPANSION!CS$36)</f>
        <v>3528</v>
      </c>
      <c r="CT21" s="298" t="n">
        <f aca="false">IF(COUNTIF(CAPA3_EXPANSION!$D$56:CT$56,"&gt;="&amp;14)=0,0,SUP_CONTROL!$C$8*IF($B21="V",1,IF($B21="D",(1+SUP_VOLUMEN!$C$26),(1+SUP_VOLUMEN!$C$27)))*INDEX(SUP_C3_EXPANSION!$C$6:$F$6,MIN(4,COUNTIF(CAPA3_EXPANSION!$D$56:CT$56,"&gt;="&amp;14)))*CAPA3_EXPANSION!CT$36)</f>
        <v>3528</v>
      </c>
      <c r="CU21" s="298" t="n">
        <f aca="false">IF(COUNTIF(CAPA3_EXPANSION!$D$56:CU$56,"&gt;="&amp;14)=0,0,SUP_CONTROL!$C$8*IF($B21="V",1,IF($B21="D",(1+SUP_VOLUMEN!$C$26),(1+SUP_VOLUMEN!$C$27)))*INDEX(SUP_C3_EXPANSION!$C$6:$F$6,MIN(4,COUNTIF(CAPA3_EXPANSION!$D$56:CU$56,"&gt;="&amp;14)))*CAPA3_EXPANSION!CU$36)</f>
        <v>3528</v>
      </c>
      <c r="CV21" s="298" t="n">
        <f aca="false">IF(COUNTIF(CAPA3_EXPANSION!$D$56:CV$56,"&gt;="&amp;14)=0,0,SUP_CONTROL!$C$8*IF($B21="V",1,IF($B21="D",(1+SUP_VOLUMEN!$C$26),(1+SUP_VOLUMEN!$C$27)))*INDEX(SUP_C3_EXPANSION!$C$6:$F$6,MIN(4,COUNTIF(CAPA3_EXPANSION!$D$56:CV$56,"&gt;="&amp;14)))*CAPA3_EXPANSION!CV$36)</f>
        <v>3528</v>
      </c>
      <c r="CW21" s="298" t="n">
        <f aca="false">IF(COUNTIF(CAPA3_EXPANSION!$D$56:CW$56,"&gt;="&amp;14)=0,0,SUP_CONTROL!$C$8*IF($B21="V",1,IF($B21="D",(1+SUP_VOLUMEN!$C$26),(1+SUP_VOLUMEN!$C$27)))*INDEX(SUP_C3_EXPANSION!$C$6:$F$6,MIN(4,COUNTIF(CAPA3_EXPANSION!$D$56:CW$56,"&gt;="&amp;14)))*CAPA3_EXPANSION!CW$36)</f>
        <v>3528</v>
      </c>
      <c r="CX21" s="298" t="n">
        <f aca="false">IF(COUNTIF(CAPA3_EXPANSION!$D$56:CX$56,"&gt;="&amp;14)=0,0,SUP_CONTROL!$C$8*IF($B21="V",1,IF($B21="D",(1+SUP_VOLUMEN!$C$26),(1+SUP_VOLUMEN!$C$27)))*INDEX(SUP_C3_EXPANSION!$C$6:$F$6,MIN(4,COUNTIF(CAPA3_EXPANSION!$D$56:CX$56,"&gt;="&amp;14)))*CAPA3_EXPANSION!CX$36)</f>
        <v>3528</v>
      </c>
      <c r="CY21" s="298" t="n">
        <f aca="false">IF(COUNTIF(CAPA3_EXPANSION!$D$56:CY$56,"&gt;="&amp;14)=0,0,SUP_CONTROL!$C$8*IF($B21="V",1,IF($B21="D",(1+SUP_VOLUMEN!$C$26),(1+SUP_VOLUMEN!$C$27)))*INDEX(SUP_C3_EXPANSION!$C$6:$F$6,MIN(4,COUNTIF(CAPA3_EXPANSION!$D$56:CY$56,"&gt;="&amp;14)))*CAPA3_EXPANSION!CY$36)</f>
        <v>3528</v>
      </c>
      <c r="CZ21" s="298" t="n">
        <f aca="false">IF(COUNTIF(CAPA3_EXPANSION!$D$56:CZ$56,"&gt;="&amp;14)=0,0,SUP_CONTROL!$C$8*IF($B21="V",1,IF($B21="D",(1+SUP_VOLUMEN!$C$26),(1+SUP_VOLUMEN!$C$27)))*INDEX(SUP_C3_EXPANSION!$C$6:$F$6,MIN(4,COUNTIF(CAPA3_EXPANSION!$D$56:CZ$56,"&gt;="&amp;14)))*CAPA3_EXPANSION!CZ$36)</f>
        <v>3528</v>
      </c>
      <c r="DA21" s="298" t="n">
        <f aca="false">IF(COUNTIF(CAPA3_EXPANSION!$D$56:DA$56,"&gt;="&amp;14)=0,0,SUP_CONTROL!$C$8*IF($B21="V",1,IF($B21="D",(1+SUP_VOLUMEN!$C$26),(1+SUP_VOLUMEN!$C$27)))*INDEX(SUP_C3_EXPANSION!$C$6:$F$6,MIN(4,COUNTIF(CAPA3_EXPANSION!$D$56:DA$56,"&gt;="&amp;14)))*CAPA3_EXPANSION!DA$36)</f>
        <v>3528</v>
      </c>
      <c r="DB21" s="298" t="n">
        <f aca="false">IF(COUNTIF(CAPA3_EXPANSION!$D$56:DB$56,"&gt;="&amp;14)=0,0,SUP_CONTROL!$C$8*IF($B21="V",1,IF($B21="D",(1+SUP_VOLUMEN!$C$26),(1+SUP_VOLUMEN!$C$27)))*INDEX(SUP_C3_EXPANSION!$C$6:$F$6,MIN(4,COUNTIF(CAPA3_EXPANSION!$D$56:DB$56,"&gt;="&amp;14)))*CAPA3_EXPANSION!DB$36)</f>
        <v>3528</v>
      </c>
      <c r="DC21" s="298" t="n">
        <f aca="false">IF(COUNTIF(CAPA3_EXPANSION!$D$56:DC$56,"&gt;="&amp;14)=0,0,SUP_CONTROL!$C$8*IF($B21="V",1,IF($B21="D",(1+SUP_VOLUMEN!$C$26),(1+SUP_VOLUMEN!$C$27)))*INDEX(SUP_C3_EXPANSION!$C$6:$F$6,MIN(4,COUNTIF(CAPA3_EXPANSION!$D$56:DC$56,"&gt;="&amp;14)))*CAPA3_EXPANSION!DC$36)</f>
        <v>3528</v>
      </c>
      <c r="DD21" s="298" t="n">
        <f aca="false">IF(COUNTIF(CAPA3_EXPANSION!$D$56:DD$56,"&gt;="&amp;14)=0,0,SUP_CONTROL!$C$8*IF($B21="V",1,IF($B21="D",(1+SUP_VOLUMEN!$C$26),(1+SUP_VOLUMEN!$C$27)))*INDEX(SUP_C3_EXPANSION!$C$6:$F$6,MIN(4,COUNTIF(CAPA3_EXPANSION!$D$56:DD$56,"&gt;="&amp;14)))*CAPA3_EXPANSION!DD$36)</f>
        <v>3528</v>
      </c>
      <c r="DE21" s="298" t="n">
        <f aca="false">IF(COUNTIF(CAPA3_EXPANSION!$D$56:DE$56,"&gt;="&amp;14)=0,0,SUP_CONTROL!$C$8*IF($B21="V",1,IF($B21="D",(1+SUP_VOLUMEN!$C$26),(1+SUP_VOLUMEN!$C$27)))*INDEX(SUP_C3_EXPANSION!$C$6:$F$6,MIN(4,COUNTIF(CAPA3_EXPANSION!$D$56:DE$56,"&gt;="&amp;14)))*CAPA3_EXPANSION!DE$36)</f>
        <v>3528</v>
      </c>
      <c r="DF21" s="298" t="n">
        <f aca="false">IF(COUNTIF(CAPA3_EXPANSION!$D$56:DF$56,"&gt;="&amp;14)=0,0,SUP_CONTROL!$C$8*IF($B21="V",1,IF($B21="D",(1+SUP_VOLUMEN!$C$26),(1+SUP_VOLUMEN!$C$27)))*INDEX(SUP_C3_EXPANSION!$C$6:$F$6,MIN(4,COUNTIF(CAPA3_EXPANSION!$D$56:DF$56,"&gt;="&amp;14)))*CAPA3_EXPANSION!DF$36)</f>
        <v>3528</v>
      </c>
      <c r="DG21" s="298" t="n">
        <f aca="false">IF(COUNTIF(CAPA3_EXPANSION!$D$56:DG$56,"&gt;="&amp;14)=0,0,SUP_CONTROL!$C$8*IF($B21="V",1,IF($B21="D",(1+SUP_VOLUMEN!$C$26),(1+SUP_VOLUMEN!$C$27)))*INDEX(SUP_C3_EXPANSION!$C$6:$F$6,MIN(4,COUNTIF(CAPA3_EXPANSION!$D$56:DG$56,"&gt;="&amp;14)))*CAPA3_EXPANSION!DG$36)</f>
        <v>3528</v>
      </c>
      <c r="DH21" s="298" t="n">
        <f aca="false">IF(COUNTIF(CAPA3_EXPANSION!$D$56:DH$56,"&gt;="&amp;14)=0,0,SUP_CONTROL!$C$8*IF($B21="V",1,IF($B21="D",(1+SUP_VOLUMEN!$C$26),(1+SUP_VOLUMEN!$C$27)))*INDEX(SUP_C3_EXPANSION!$C$6:$F$6,MIN(4,COUNTIF(CAPA3_EXPANSION!$D$56:DH$56,"&gt;="&amp;14)))*CAPA3_EXPANSION!DH$36)</f>
        <v>3528</v>
      </c>
      <c r="DI21" s="298" t="n">
        <f aca="false">IF(COUNTIF(CAPA3_EXPANSION!$D$56:DI$56,"&gt;="&amp;14)=0,0,SUP_CONTROL!$C$8*IF($B21="V",1,IF($B21="D",(1+SUP_VOLUMEN!$C$26),(1+SUP_VOLUMEN!$C$27)))*INDEX(SUP_C3_EXPANSION!$C$6:$F$6,MIN(4,COUNTIF(CAPA3_EXPANSION!$D$56:DI$56,"&gt;="&amp;14)))*CAPA3_EXPANSION!DI$36)</f>
        <v>3528</v>
      </c>
      <c r="DJ21" s="298" t="n">
        <f aca="false">IF(COUNTIF(CAPA3_EXPANSION!$D$56:DJ$56,"&gt;="&amp;14)=0,0,SUP_CONTROL!$C$8*IF($B21="V",1,IF($B21="D",(1+SUP_VOLUMEN!$C$26),(1+SUP_VOLUMEN!$C$27)))*INDEX(SUP_C3_EXPANSION!$C$6:$F$6,MIN(4,COUNTIF(CAPA3_EXPANSION!$D$56:DJ$56,"&gt;="&amp;14)))*CAPA3_EXPANSION!DJ$36)</f>
        <v>3528</v>
      </c>
      <c r="DK21" s="298" t="n">
        <f aca="false">IF(COUNTIF(CAPA3_EXPANSION!$D$56:DK$56,"&gt;="&amp;14)=0,0,SUP_CONTROL!$C$8*IF($B21="V",1,IF($B21="D",(1+SUP_VOLUMEN!$C$26),(1+SUP_VOLUMEN!$C$27)))*INDEX(SUP_C3_EXPANSION!$C$6:$F$6,MIN(4,COUNTIF(CAPA3_EXPANSION!$D$56:DK$56,"&gt;="&amp;14)))*CAPA3_EXPANSION!DK$36)</f>
        <v>3528</v>
      </c>
      <c r="DL21" s="298" t="n">
        <f aca="false">IF(COUNTIF(CAPA3_EXPANSION!$D$56:DL$56,"&gt;="&amp;14)=0,0,SUP_CONTROL!$C$8*IF($B21="V",1,IF($B21="D",(1+SUP_VOLUMEN!$C$26),(1+SUP_VOLUMEN!$C$27)))*INDEX(SUP_C3_EXPANSION!$C$6:$F$6,MIN(4,COUNTIF(CAPA3_EXPANSION!$D$56:DL$56,"&gt;="&amp;14)))*CAPA3_EXPANSION!DL$36)</f>
        <v>3528</v>
      </c>
      <c r="DM21" s="298" t="n">
        <f aca="false">IF(COUNTIF(CAPA3_EXPANSION!$D$56:DM$56,"&gt;="&amp;14)=0,0,SUP_CONTROL!$C$8*IF($B21="V",1,IF($B21="D",(1+SUP_VOLUMEN!$C$26),(1+SUP_VOLUMEN!$C$27)))*INDEX(SUP_C3_EXPANSION!$C$6:$F$6,MIN(4,COUNTIF(CAPA3_EXPANSION!$D$56:DM$56,"&gt;="&amp;14)))*CAPA3_EXPANSION!DM$36)</f>
        <v>3528</v>
      </c>
      <c r="DN21" s="298" t="n">
        <f aca="false">IF(COUNTIF(CAPA3_EXPANSION!$D$56:DN$56,"&gt;="&amp;14)=0,0,SUP_CONTROL!$C$8*IF($B21="V",1,IF($B21="D",(1+SUP_VOLUMEN!$C$26),(1+SUP_VOLUMEN!$C$27)))*INDEX(SUP_C3_EXPANSION!$C$6:$F$6,MIN(4,COUNTIF(CAPA3_EXPANSION!$D$56:DN$56,"&gt;="&amp;14)))*CAPA3_EXPANSION!DN$36)</f>
        <v>3528</v>
      </c>
      <c r="DO21" s="298" t="n">
        <f aca="false">IF(COUNTIF(CAPA3_EXPANSION!$D$56:DO$56,"&gt;="&amp;14)=0,0,SUP_CONTROL!$C$8*IF($B21="V",1,IF($B21="D",(1+SUP_VOLUMEN!$C$26),(1+SUP_VOLUMEN!$C$27)))*INDEX(SUP_C3_EXPANSION!$C$6:$F$6,MIN(4,COUNTIF(CAPA3_EXPANSION!$D$56:DO$56,"&gt;="&amp;14)))*CAPA3_EXPANSION!DO$36)</f>
        <v>3528</v>
      </c>
      <c r="DP21" s="298" t="n">
        <f aca="false">IF(COUNTIF(CAPA3_EXPANSION!$D$56:DP$56,"&gt;="&amp;14)=0,0,SUP_CONTROL!$C$8*IF($B21="V",1,IF($B21="D",(1+SUP_VOLUMEN!$C$26),(1+SUP_VOLUMEN!$C$27)))*INDEX(SUP_C3_EXPANSION!$C$6:$F$6,MIN(4,COUNTIF(CAPA3_EXPANSION!$D$56:DP$56,"&gt;="&amp;14)))*CAPA3_EXPANSION!DP$36)</f>
        <v>3528</v>
      </c>
      <c r="DQ21" s="298" t="n">
        <f aca="false">IF(COUNTIF(CAPA3_EXPANSION!$D$56:DQ$56,"&gt;="&amp;14)=0,0,SUP_CONTROL!$C$8*IF($B21="V",1,IF($B21="D",(1+SUP_VOLUMEN!$C$26),(1+SUP_VOLUMEN!$C$27)))*INDEX(SUP_C3_EXPANSION!$C$6:$F$6,MIN(4,COUNTIF(CAPA3_EXPANSION!$D$56:DQ$56,"&gt;="&amp;14)))*CAPA3_EXPANSION!DQ$36)</f>
        <v>3528</v>
      </c>
      <c r="DR21" s="298" t="n">
        <f aca="false">IF(COUNTIF(CAPA3_EXPANSION!$D$56:DR$56,"&gt;="&amp;14)=0,0,SUP_CONTROL!$C$8*IF($B21="V",1,IF($B21="D",(1+SUP_VOLUMEN!$C$26),(1+SUP_VOLUMEN!$C$27)))*INDEX(SUP_C3_EXPANSION!$C$6:$F$6,MIN(4,COUNTIF(CAPA3_EXPANSION!$D$56:DR$56,"&gt;="&amp;14)))*CAPA3_EXPANSION!DR$36)</f>
        <v>3528</v>
      </c>
      <c r="DS21" s="298" t="n">
        <f aca="false">IF(COUNTIF(CAPA3_EXPANSION!$D$56:DS$56,"&gt;="&amp;14)=0,0,SUP_CONTROL!$C$8*IF($B21="V",1,IF($B21="D",(1+SUP_VOLUMEN!$C$26),(1+SUP_VOLUMEN!$C$27)))*INDEX(SUP_C3_EXPANSION!$C$6:$F$6,MIN(4,COUNTIF(CAPA3_EXPANSION!$D$56:DS$56,"&gt;="&amp;14)))*CAPA3_EXPANSION!DS$36)</f>
        <v>3528</v>
      </c>
    </row>
    <row r="22" customFormat="false" ht="15" hidden="false" customHeight="true" outlineLevel="0" collapsed="false">
      <c r="A22" s="298" t="n">
        <v>25</v>
      </c>
      <c r="B22" s="497" t="str">
        <f aca="false">SUP_C3_EXPANSION!B34</f>
        <v>F</v>
      </c>
      <c r="C22" s="267" t="n">
        <f aca="false">SUP_C3_EXPANSION!G34</f>
        <v>55</v>
      </c>
      <c r="D22" s="298" t="n">
        <f aca="false">IF(COUNTIF(CAPA3_EXPANSION!$D$56:D$56,"&gt;="&amp;15)=0,0,SUP_CONTROL!$C$8*IF($B22="V",1,IF($B22="D",(1+SUP_VOLUMEN!$C$26),(1+SUP_VOLUMEN!$C$27)))*INDEX(SUP_C3_EXPANSION!$C$6:$F$6,MIN(4,COUNTIF(CAPA3_EXPANSION!$D$56:D$56,"&gt;="&amp;15)))*CAPA3_EXPANSION!D$36)</f>
        <v>0</v>
      </c>
      <c r="E22" s="298" t="n">
        <f aca="false">IF(COUNTIF(CAPA3_EXPANSION!$D$56:E$56,"&gt;="&amp;15)=0,0,SUP_CONTROL!$C$8*IF($B22="V",1,IF($B22="D",(1+SUP_VOLUMEN!$C$26),(1+SUP_VOLUMEN!$C$27)))*INDEX(SUP_C3_EXPANSION!$C$6:$F$6,MIN(4,COUNTIF(CAPA3_EXPANSION!$D$56:E$56,"&gt;="&amp;15)))*CAPA3_EXPANSION!E$36)</f>
        <v>0</v>
      </c>
      <c r="F22" s="298" t="n">
        <f aca="false">IF(COUNTIF(CAPA3_EXPANSION!$D$56:F$56,"&gt;="&amp;15)=0,0,SUP_CONTROL!$C$8*IF($B22="V",1,IF($B22="D",(1+SUP_VOLUMEN!$C$26),(1+SUP_VOLUMEN!$C$27)))*INDEX(SUP_C3_EXPANSION!$C$6:$F$6,MIN(4,COUNTIF(CAPA3_EXPANSION!$D$56:F$56,"&gt;="&amp;15)))*CAPA3_EXPANSION!F$36)</f>
        <v>0</v>
      </c>
      <c r="G22" s="298" t="n">
        <f aca="false">IF(COUNTIF(CAPA3_EXPANSION!$D$56:G$56,"&gt;="&amp;15)=0,0,SUP_CONTROL!$C$8*IF($B22="V",1,IF($B22="D",(1+SUP_VOLUMEN!$C$26),(1+SUP_VOLUMEN!$C$27)))*INDEX(SUP_C3_EXPANSION!$C$6:$F$6,MIN(4,COUNTIF(CAPA3_EXPANSION!$D$56:G$56,"&gt;="&amp;15)))*CAPA3_EXPANSION!G$36)</f>
        <v>0</v>
      </c>
      <c r="H22" s="298" t="n">
        <f aca="false">IF(COUNTIF(CAPA3_EXPANSION!$D$56:H$56,"&gt;="&amp;15)=0,0,SUP_CONTROL!$C$8*IF($B22="V",1,IF($B22="D",(1+SUP_VOLUMEN!$C$26),(1+SUP_VOLUMEN!$C$27)))*INDEX(SUP_C3_EXPANSION!$C$6:$F$6,MIN(4,COUNTIF(CAPA3_EXPANSION!$D$56:H$56,"&gt;="&amp;15)))*CAPA3_EXPANSION!H$36)</f>
        <v>0</v>
      </c>
      <c r="I22" s="298" t="n">
        <f aca="false">IF(COUNTIF(CAPA3_EXPANSION!$D$56:I$56,"&gt;="&amp;15)=0,0,SUP_CONTROL!$C$8*IF($B22="V",1,IF($B22="D",(1+SUP_VOLUMEN!$C$26),(1+SUP_VOLUMEN!$C$27)))*INDEX(SUP_C3_EXPANSION!$C$6:$F$6,MIN(4,COUNTIF(CAPA3_EXPANSION!$D$56:I$56,"&gt;="&amp;15)))*CAPA3_EXPANSION!I$36)</f>
        <v>0</v>
      </c>
      <c r="J22" s="298" t="n">
        <f aca="false">IF(COUNTIF(CAPA3_EXPANSION!$D$56:J$56,"&gt;="&amp;15)=0,0,SUP_CONTROL!$C$8*IF($B22="V",1,IF($B22="D",(1+SUP_VOLUMEN!$C$26),(1+SUP_VOLUMEN!$C$27)))*INDEX(SUP_C3_EXPANSION!$C$6:$F$6,MIN(4,COUNTIF(CAPA3_EXPANSION!$D$56:J$56,"&gt;="&amp;15)))*CAPA3_EXPANSION!J$36)</f>
        <v>0</v>
      </c>
      <c r="K22" s="298" t="n">
        <f aca="false">IF(COUNTIF(CAPA3_EXPANSION!$D$56:K$56,"&gt;="&amp;15)=0,0,SUP_CONTROL!$C$8*IF($B22="V",1,IF($B22="D",(1+SUP_VOLUMEN!$C$26),(1+SUP_VOLUMEN!$C$27)))*INDEX(SUP_C3_EXPANSION!$C$6:$F$6,MIN(4,COUNTIF(CAPA3_EXPANSION!$D$56:K$56,"&gt;="&amp;15)))*CAPA3_EXPANSION!K$36)</f>
        <v>0</v>
      </c>
      <c r="L22" s="298" t="n">
        <f aca="false">IF(COUNTIF(CAPA3_EXPANSION!$D$56:L$56,"&gt;="&amp;15)=0,0,SUP_CONTROL!$C$8*IF($B22="V",1,IF($B22="D",(1+SUP_VOLUMEN!$C$26),(1+SUP_VOLUMEN!$C$27)))*INDEX(SUP_C3_EXPANSION!$C$6:$F$6,MIN(4,COUNTIF(CAPA3_EXPANSION!$D$56:L$56,"&gt;="&amp;15)))*CAPA3_EXPANSION!L$36)</f>
        <v>0</v>
      </c>
      <c r="M22" s="298" t="n">
        <f aca="false">IF(COUNTIF(CAPA3_EXPANSION!$D$56:M$56,"&gt;="&amp;15)=0,0,SUP_CONTROL!$C$8*IF($B22="V",1,IF($B22="D",(1+SUP_VOLUMEN!$C$26),(1+SUP_VOLUMEN!$C$27)))*INDEX(SUP_C3_EXPANSION!$C$6:$F$6,MIN(4,COUNTIF(CAPA3_EXPANSION!$D$56:M$56,"&gt;="&amp;15)))*CAPA3_EXPANSION!M$36)</f>
        <v>0</v>
      </c>
      <c r="N22" s="298" t="n">
        <f aca="false">IF(COUNTIF(CAPA3_EXPANSION!$D$56:N$56,"&gt;="&amp;15)=0,0,SUP_CONTROL!$C$8*IF($B22="V",1,IF($B22="D",(1+SUP_VOLUMEN!$C$26),(1+SUP_VOLUMEN!$C$27)))*INDEX(SUP_C3_EXPANSION!$C$6:$F$6,MIN(4,COUNTIF(CAPA3_EXPANSION!$D$56:N$56,"&gt;="&amp;15)))*CAPA3_EXPANSION!N$36)</f>
        <v>0</v>
      </c>
      <c r="O22" s="298" t="n">
        <f aca="false">IF(COUNTIF(CAPA3_EXPANSION!$D$56:O$56,"&gt;="&amp;15)=0,0,SUP_CONTROL!$C$8*IF($B22="V",1,IF($B22="D",(1+SUP_VOLUMEN!$C$26),(1+SUP_VOLUMEN!$C$27)))*INDEX(SUP_C3_EXPANSION!$C$6:$F$6,MIN(4,COUNTIF(CAPA3_EXPANSION!$D$56:O$56,"&gt;="&amp;15)))*CAPA3_EXPANSION!O$36)</f>
        <v>0</v>
      </c>
      <c r="P22" s="298" t="n">
        <f aca="false">IF(COUNTIF(CAPA3_EXPANSION!$D$56:P$56,"&gt;="&amp;15)=0,0,SUP_CONTROL!$C$8*IF($B22="V",1,IF($B22="D",(1+SUP_VOLUMEN!$C$26),(1+SUP_VOLUMEN!$C$27)))*INDEX(SUP_C3_EXPANSION!$C$6:$F$6,MIN(4,COUNTIF(CAPA3_EXPANSION!$D$56:P$56,"&gt;="&amp;15)))*CAPA3_EXPANSION!P$36)</f>
        <v>0</v>
      </c>
      <c r="Q22" s="298" t="n">
        <f aca="false">IF(COUNTIF(CAPA3_EXPANSION!$D$56:Q$56,"&gt;="&amp;15)=0,0,SUP_CONTROL!$C$8*IF($B22="V",1,IF($B22="D",(1+SUP_VOLUMEN!$C$26),(1+SUP_VOLUMEN!$C$27)))*INDEX(SUP_C3_EXPANSION!$C$6:$F$6,MIN(4,COUNTIF(CAPA3_EXPANSION!$D$56:Q$56,"&gt;="&amp;15)))*CAPA3_EXPANSION!Q$36)</f>
        <v>0</v>
      </c>
      <c r="R22" s="298" t="n">
        <f aca="false">IF(COUNTIF(CAPA3_EXPANSION!$D$56:R$56,"&gt;="&amp;15)=0,0,SUP_CONTROL!$C$8*IF($B22="V",1,IF($B22="D",(1+SUP_VOLUMEN!$C$26),(1+SUP_VOLUMEN!$C$27)))*INDEX(SUP_C3_EXPANSION!$C$6:$F$6,MIN(4,COUNTIF(CAPA3_EXPANSION!$D$56:R$56,"&gt;="&amp;15)))*CAPA3_EXPANSION!R$36)</f>
        <v>0</v>
      </c>
      <c r="S22" s="298" t="n">
        <f aca="false">IF(COUNTIF(CAPA3_EXPANSION!$D$56:S$56,"&gt;="&amp;15)=0,0,SUP_CONTROL!$C$8*IF($B22="V",1,IF($B22="D",(1+SUP_VOLUMEN!$C$26),(1+SUP_VOLUMEN!$C$27)))*INDEX(SUP_C3_EXPANSION!$C$6:$F$6,MIN(4,COUNTIF(CAPA3_EXPANSION!$D$56:S$56,"&gt;="&amp;15)))*CAPA3_EXPANSION!S$36)</f>
        <v>0</v>
      </c>
      <c r="T22" s="298" t="n">
        <f aca="false">IF(COUNTIF(CAPA3_EXPANSION!$D$56:T$56,"&gt;="&amp;15)=0,0,SUP_CONTROL!$C$8*IF($B22="V",1,IF($B22="D",(1+SUP_VOLUMEN!$C$26),(1+SUP_VOLUMEN!$C$27)))*INDEX(SUP_C3_EXPANSION!$C$6:$F$6,MIN(4,COUNTIF(CAPA3_EXPANSION!$D$56:T$56,"&gt;="&amp;15)))*CAPA3_EXPANSION!T$36)</f>
        <v>0</v>
      </c>
      <c r="U22" s="298" t="n">
        <f aca="false">IF(COUNTIF(CAPA3_EXPANSION!$D$56:U$56,"&gt;="&amp;15)=0,0,SUP_CONTROL!$C$8*IF($B22="V",1,IF($B22="D",(1+SUP_VOLUMEN!$C$26),(1+SUP_VOLUMEN!$C$27)))*INDEX(SUP_C3_EXPANSION!$C$6:$F$6,MIN(4,COUNTIF(CAPA3_EXPANSION!$D$56:U$56,"&gt;="&amp;15)))*CAPA3_EXPANSION!U$36)</f>
        <v>0</v>
      </c>
      <c r="V22" s="298" t="n">
        <f aca="false">IF(COUNTIF(CAPA3_EXPANSION!$D$56:V$56,"&gt;="&amp;15)=0,0,SUP_CONTROL!$C$8*IF($B22="V",1,IF($B22="D",(1+SUP_VOLUMEN!$C$26),(1+SUP_VOLUMEN!$C$27)))*INDEX(SUP_C3_EXPANSION!$C$6:$F$6,MIN(4,COUNTIF(CAPA3_EXPANSION!$D$56:V$56,"&gt;="&amp;15)))*CAPA3_EXPANSION!V$36)</f>
        <v>0</v>
      </c>
      <c r="W22" s="298" t="n">
        <f aca="false">IF(COUNTIF(CAPA3_EXPANSION!$D$56:W$56,"&gt;="&amp;15)=0,0,SUP_CONTROL!$C$8*IF($B22="V",1,IF($B22="D",(1+SUP_VOLUMEN!$C$26),(1+SUP_VOLUMEN!$C$27)))*INDEX(SUP_C3_EXPANSION!$C$6:$F$6,MIN(4,COUNTIF(CAPA3_EXPANSION!$D$56:W$56,"&gt;="&amp;15)))*CAPA3_EXPANSION!W$36)</f>
        <v>0</v>
      </c>
      <c r="X22" s="298" t="n">
        <f aca="false">IF(COUNTIF(CAPA3_EXPANSION!$D$56:X$56,"&gt;="&amp;15)=0,0,SUP_CONTROL!$C$8*IF($B22="V",1,IF($B22="D",(1+SUP_VOLUMEN!$C$26),(1+SUP_VOLUMEN!$C$27)))*INDEX(SUP_C3_EXPANSION!$C$6:$F$6,MIN(4,COUNTIF(CAPA3_EXPANSION!$D$56:X$56,"&gt;="&amp;15)))*CAPA3_EXPANSION!X$36)</f>
        <v>0</v>
      </c>
      <c r="Y22" s="298" t="n">
        <f aca="false">IF(COUNTIF(CAPA3_EXPANSION!$D$56:Y$56,"&gt;="&amp;15)=0,0,SUP_CONTROL!$C$8*IF($B22="V",1,IF($B22="D",(1+SUP_VOLUMEN!$C$26),(1+SUP_VOLUMEN!$C$27)))*INDEX(SUP_C3_EXPANSION!$C$6:$F$6,MIN(4,COUNTIF(CAPA3_EXPANSION!$D$56:Y$56,"&gt;="&amp;15)))*CAPA3_EXPANSION!Y$36)</f>
        <v>0</v>
      </c>
      <c r="Z22" s="298" t="n">
        <f aca="false">IF(COUNTIF(CAPA3_EXPANSION!$D$56:Z$56,"&gt;="&amp;15)=0,0,SUP_CONTROL!$C$8*IF($B22="V",1,IF($B22="D",(1+SUP_VOLUMEN!$C$26),(1+SUP_VOLUMEN!$C$27)))*INDEX(SUP_C3_EXPANSION!$C$6:$F$6,MIN(4,COUNTIF(CAPA3_EXPANSION!$D$56:Z$56,"&gt;="&amp;15)))*CAPA3_EXPANSION!Z$36)</f>
        <v>0</v>
      </c>
      <c r="AA22" s="298" t="n">
        <f aca="false">IF(COUNTIF(CAPA3_EXPANSION!$D$56:AA$56,"&gt;="&amp;15)=0,0,SUP_CONTROL!$C$8*IF($B22="V",1,IF($B22="D",(1+SUP_VOLUMEN!$C$26),(1+SUP_VOLUMEN!$C$27)))*INDEX(SUP_C3_EXPANSION!$C$6:$F$6,MIN(4,COUNTIF(CAPA3_EXPANSION!$D$56:AA$56,"&gt;="&amp;15)))*CAPA3_EXPANSION!AA$36)</f>
        <v>0</v>
      </c>
      <c r="AB22" s="298" t="n">
        <f aca="false">IF(COUNTIF(CAPA3_EXPANSION!$D$56:AB$56,"&gt;="&amp;15)=0,0,SUP_CONTROL!$C$8*IF($B22="V",1,IF($B22="D",(1+SUP_VOLUMEN!$C$26),(1+SUP_VOLUMEN!$C$27)))*INDEX(SUP_C3_EXPANSION!$C$6:$F$6,MIN(4,COUNTIF(CAPA3_EXPANSION!$D$56:AB$56,"&gt;="&amp;15)))*CAPA3_EXPANSION!AB$36)</f>
        <v>0</v>
      </c>
      <c r="AC22" s="298" t="n">
        <f aca="false">IF(COUNTIF(CAPA3_EXPANSION!$D$56:AC$56,"&gt;="&amp;15)=0,0,SUP_CONTROL!$C$8*IF($B22="V",1,IF($B22="D",(1+SUP_VOLUMEN!$C$26),(1+SUP_VOLUMEN!$C$27)))*INDEX(SUP_C3_EXPANSION!$C$6:$F$6,MIN(4,COUNTIF(CAPA3_EXPANSION!$D$56:AC$56,"&gt;="&amp;15)))*CAPA3_EXPANSION!AC$36)</f>
        <v>0</v>
      </c>
      <c r="AD22" s="298" t="n">
        <f aca="false">IF(COUNTIF(CAPA3_EXPANSION!$D$56:AD$56,"&gt;="&amp;15)=0,0,SUP_CONTROL!$C$8*IF($B22="V",1,IF($B22="D",(1+SUP_VOLUMEN!$C$26),(1+SUP_VOLUMEN!$C$27)))*INDEX(SUP_C3_EXPANSION!$C$6:$F$6,MIN(4,COUNTIF(CAPA3_EXPANSION!$D$56:AD$56,"&gt;="&amp;15)))*CAPA3_EXPANSION!AD$36)</f>
        <v>0</v>
      </c>
      <c r="AE22" s="298" t="n">
        <f aca="false">IF(COUNTIF(CAPA3_EXPANSION!$D$56:AE$56,"&gt;="&amp;15)=0,0,SUP_CONTROL!$C$8*IF($B22="V",1,IF($B22="D",(1+SUP_VOLUMEN!$C$26),(1+SUP_VOLUMEN!$C$27)))*INDEX(SUP_C3_EXPANSION!$C$6:$F$6,MIN(4,COUNTIF(CAPA3_EXPANSION!$D$56:AE$56,"&gt;="&amp;15)))*CAPA3_EXPANSION!AE$36)</f>
        <v>0</v>
      </c>
      <c r="AF22" s="298" t="n">
        <f aca="false">IF(COUNTIF(CAPA3_EXPANSION!$D$56:AF$56,"&gt;="&amp;15)=0,0,SUP_CONTROL!$C$8*IF($B22="V",1,IF($B22="D",(1+SUP_VOLUMEN!$C$26),(1+SUP_VOLUMEN!$C$27)))*INDEX(SUP_C3_EXPANSION!$C$6:$F$6,MIN(4,COUNTIF(CAPA3_EXPANSION!$D$56:AF$56,"&gt;="&amp;15)))*CAPA3_EXPANSION!AF$36)</f>
        <v>0</v>
      </c>
      <c r="AG22" s="298" t="n">
        <f aca="false">IF(COUNTIF(CAPA3_EXPANSION!$D$56:AG$56,"&gt;="&amp;15)=0,0,SUP_CONTROL!$C$8*IF($B22="V",1,IF($B22="D",(1+SUP_VOLUMEN!$C$26),(1+SUP_VOLUMEN!$C$27)))*INDEX(SUP_C3_EXPANSION!$C$6:$F$6,MIN(4,COUNTIF(CAPA3_EXPANSION!$D$56:AG$56,"&gt;="&amp;15)))*CAPA3_EXPANSION!AG$36)</f>
        <v>0</v>
      </c>
      <c r="AH22" s="298" t="n">
        <f aca="false">IF(COUNTIF(CAPA3_EXPANSION!$D$56:AH$56,"&gt;="&amp;15)=0,0,SUP_CONTROL!$C$8*IF($B22="V",1,IF($B22="D",(1+SUP_VOLUMEN!$C$26),(1+SUP_VOLUMEN!$C$27)))*INDEX(SUP_C3_EXPANSION!$C$6:$F$6,MIN(4,COUNTIF(CAPA3_EXPANSION!$D$56:AH$56,"&gt;="&amp;15)))*CAPA3_EXPANSION!AH$36)</f>
        <v>0</v>
      </c>
      <c r="AI22" s="298" t="n">
        <f aca="false">IF(COUNTIF(CAPA3_EXPANSION!$D$56:AI$56,"&gt;="&amp;15)=0,0,SUP_CONTROL!$C$8*IF($B22="V",1,IF($B22="D",(1+SUP_VOLUMEN!$C$26),(1+SUP_VOLUMEN!$C$27)))*INDEX(SUP_C3_EXPANSION!$C$6:$F$6,MIN(4,COUNTIF(CAPA3_EXPANSION!$D$56:AI$56,"&gt;="&amp;15)))*CAPA3_EXPANSION!AI$36)</f>
        <v>0</v>
      </c>
      <c r="AJ22" s="298" t="n">
        <f aca="false">IF(COUNTIF(CAPA3_EXPANSION!$D$56:AJ$56,"&gt;="&amp;15)=0,0,SUP_CONTROL!$C$8*IF($B22="V",1,IF($B22="D",(1+SUP_VOLUMEN!$C$26),(1+SUP_VOLUMEN!$C$27)))*INDEX(SUP_C3_EXPANSION!$C$6:$F$6,MIN(4,COUNTIF(CAPA3_EXPANSION!$D$56:AJ$56,"&gt;="&amp;15)))*CAPA3_EXPANSION!AJ$36)</f>
        <v>0</v>
      </c>
      <c r="AK22" s="298" t="n">
        <f aca="false">IF(COUNTIF(CAPA3_EXPANSION!$D$56:AK$56,"&gt;="&amp;15)=0,0,SUP_CONTROL!$C$8*IF($B22="V",1,IF($B22="D",(1+SUP_VOLUMEN!$C$26),(1+SUP_VOLUMEN!$C$27)))*INDEX(SUP_C3_EXPANSION!$C$6:$F$6,MIN(4,COUNTIF(CAPA3_EXPANSION!$D$56:AK$56,"&gt;="&amp;15)))*CAPA3_EXPANSION!AK$36)</f>
        <v>0</v>
      </c>
      <c r="AL22" s="298" t="n">
        <f aca="false">IF(COUNTIF(CAPA3_EXPANSION!$D$56:AL$56,"&gt;="&amp;15)=0,0,SUP_CONTROL!$C$8*IF($B22="V",1,IF($B22="D",(1+SUP_VOLUMEN!$C$26),(1+SUP_VOLUMEN!$C$27)))*INDEX(SUP_C3_EXPANSION!$C$6:$F$6,MIN(4,COUNTIF(CAPA3_EXPANSION!$D$56:AL$56,"&gt;="&amp;15)))*CAPA3_EXPANSION!AL$36)</f>
        <v>0</v>
      </c>
      <c r="AM22" s="298" t="n">
        <f aca="false">IF(COUNTIF(CAPA3_EXPANSION!$D$56:AM$56,"&gt;="&amp;15)=0,0,SUP_CONTROL!$C$8*IF($B22="V",1,IF($B22="D",(1+SUP_VOLUMEN!$C$26),(1+SUP_VOLUMEN!$C$27)))*INDEX(SUP_C3_EXPANSION!$C$6:$F$6,MIN(4,COUNTIF(CAPA3_EXPANSION!$D$56:AM$56,"&gt;="&amp;15)))*CAPA3_EXPANSION!AM$36)</f>
        <v>0</v>
      </c>
      <c r="AN22" s="298" t="n">
        <f aca="false">IF(COUNTIF(CAPA3_EXPANSION!$D$56:AN$56,"&gt;="&amp;15)=0,0,SUP_CONTROL!$C$8*IF($B22="V",1,IF($B22="D",(1+SUP_VOLUMEN!$C$26),(1+SUP_VOLUMEN!$C$27)))*INDEX(SUP_C3_EXPANSION!$C$6:$F$6,MIN(4,COUNTIF(CAPA3_EXPANSION!$D$56:AN$56,"&gt;="&amp;15)))*CAPA3_EXPANSION!AN$36)</f>
        <v>0</v>
      </c>
      <c r="AO22" s="298" t="n">
        <f aca="false">IF(COUNTIF(CAPA3_EXPANSION!$D$56:AO$56,"&gt;="&amp;15)=0,0,SUP_CONTROL!$C$8*IF($B22="V",1,IF($B22="D",(1+SUP_VOLUMEN!$C$26),(1+SUP_VOLUMEN!$C$27)))*INDEX(SUP_C3_EXPANSION!$C$6:$F$6,MIN(4,COUNTIF(CAPA3_EXPANSION!$D$56:AO$56,"&gt;="&amp;15)))*CAPA3_EXPANSION!AO$36)</f>
        <v>0</v>
      </c>
      <c r="AP22" s="298" t="n">
        <f aca="false">IF(COUNTIF(CAPA3_EXPANSION!$D$56:AP$56,"&gt;="&amp;15)=0,0,SUP_CONTROL!$C$8*IF($B22="V",1,IF($B22="D",(1+SUP_VOLUMEN!$C$26),(1+SUP_VOLUMEN!$C$27)))*INDEX(SUP_C3_EXPANSION!$C$6:$F$6,MIN(4,COUNTIF(CAPA3_EXPANSION!$D$56:AP$56,"&gt;="&amp;15)))*CAPA3_EXPANSION!AP$36)</f>
        <v>0</v>
      </c>
      <c r="AQ22" s="298" t="n">
        <f aca="false">IF(COUNTIF(CAPA3_EXPANSION!$D$56:AQ$56,"&gt;="&amp;15)=0,0,SUP_CONTROL!$C$8*IF($B22="V",1,IF($B22="D",(1+SUP_VOLUMEN!$C$26),(1+SUP_VOLUMEN!$C$27)))*INDEX(SUP_C3_EXPANSION!$C$6:$F$6,MIN(4,COUNTIF(CAPA3_EXPANSION!$D$56:AQ$56,"&gt;="&amp;15)))*CAPA3_EXPANSION!AQ$36)</f>
        <v>0</v>
      </c>
      <c r="AR22" s="298" t="n">
        <f aca="false">IF(COUNTIF(CAPA3_EXPANSION!$D$56:AR$56,"&gt;="&amp;15)=0,0,SUP_CONTROL!$C$8*IF($B22="V",1,IF($B22="D",(1+SUP_VOLUMEN!$C$26),(1+SUP_VOLUMEN!$C$27)))*INDEX(SUP_C3_EXPANSION!$C$6:$F$6,MIN(4,COUNTIF(CAPA3_EXPANSION!$D$56:AR$56,"&gt;="&amp;15)))*CAPA3_EXPANSION!AR$36)</f>
        <v>0</v>
      </c>
      <c r="AS22" s="298" t="n">
        <f aca="false">IF(COUNTIF(CAPA3_EXPANSION!$D$56:AS$56,"&gt;="&amp;15)=0,0,SUP_CONTROL!$C$8*IF($B22="V",1,IF($B22="D",(1+SUP_VOLUMEN!$C$26),(1+SUP_VOLUMEN!$C$27)))*INDEX(SUP_C3_EXPANSION!$C$6:$F$6,MIN(4,COUNTIF(CAPA3_EXPANSION!$D$56:AS$56,"&gt;="&amp;15)))*CAPA3_EXPANSION!AS$36)</f>
        <v>0</v>
      </c>
      <c r="AT22" s="298" t="n">
        <f aca="false">IF(COUNTIF(CAPA3_EXPANSION!$D$56:AT$56,"&gt;="&amp;15)=0,0,SUP_CONTROL!$C$8*IF($B22="V",1,IF($B22="D",(1+SUP_VOLUMEN!$C$26),(1+SUP_VOLUMEN!$C$27)))*INDEX(SUP_C3_EXPANSION!$C$6:$F$6,MIN(4,COUNTIF(CAPA3_EXPANSION!$D$56:AT$56,"&gt;="&amp;15)))*CAPA3_EXPANSION!AT$36)</f>
        <v>0</v>
      </c>
      <c r="AU22" s="298" t="n">
        <f aca="false">IF(COUNTIF(CAPA3_EXPANSION!$D$56:AU$56,"&gt;="&amp;15)=0,0,SUP_CONTROL!$C$8*IF($B22="V",1,IF($B22="D",(1+SUP_VOLUMEN!$C$26),(1+SUP_VOLUMEN!$C$27)))*INDEX(SUP_C3_EXPANSION!$C$6:$F$6,MIN(4,COUNTIF(CAPA3_EXPANSION!$D$56:AU$56,"&gt;="&amp;15)))*CAPA3_EXPANSION!AU$36)</f>
        <v>0</v>
      </c>
      <c r="AV22" s="298" t="n">
        <f aca="false">IF(COUNTIF(CAPA3_EXPANSION!$D$56:AV$56,"&gt;="&amp;15)=0,0,SUP_CONTROL!$C$8*IF($B22="V",1,IF($B22="D",(1+SUP_VOLUMEN!$C$26),(1+SUP_VOLUMEN!$C$27)))*INDEX(SUP_C3_EXPANSION!$C$6:$F$6,MIN(4,COUNTIF(CAPA3_EXPANSION!$D$56:AV$56,"&gt;="&amp;15)))*CAPA3_EXPANSION!AV$36)</f>
        <v>0</v>
      </c>
      <c r="AW22" s="298" t="n">
        <f aca="false">IF(COUNTIF(CAPA3_EXPANSION!$D$56:AW$56,"&gt;="&amp;15)=0,0,SUP_CONTROL!$C$8*IF($B22="V",1,IF($B22="D",(1+SUP_VOLUMEN!$C$26),(1+SUP_VOLUMEN!$C$27)))*INDEX(SUP_C3_EXPANSION!$C$6:$F$6,MIN(4,COUNTIF(CAPA3_EXPANSION!$D$56:AW$56,"&gt;="&amp;15)))*CAPA3_EXPANSION!AW$36)</f>
        <v>0</v>
      </c>
      <c r="AX22" s="298" t="n">
        <f aca="false">IF(COUNTIF(CAPA3_EXPANSION!$D$56:AX$56,"&gt;="&amp;15)=0,0,SUP_CONTROL!$C$8*IF($B22="V",1,IF($B22="D",(1+SUP_VOLUMEN!$C$26),(1+SUP_VOLUMEN!$C$27)))*INDEX(SUP_C3_EXPANSION!$C$6:$F$6,MIN(4,COUNTIF(CAPA3_EXPANSION!$D$56:AX$56,"&gt;="&amp;15)))*CAPA3_EXPANSION!AX$36)</f>
        <v>0</v>
      </c>
      <c r="AY22" s="298" t="n">
        <f aca="false">IF(COUNTIF(CAPA3_EXPANSION!$D$56:AY$56,"&gt;="&amp;15)=0,0,SUP_CONTROL!$C$8*IF($B22="V",1,IF($B22="D",(1+SUP_VOLUMEN!$C$26),(1+SUP_VOLUMEN!$C$27)))*INDEX(SUP_C3_EXPANSION!$C$6:$F$6,MIN(4,COUNTIF(CAPA3_EXPANSION!$D$56:AY$56,"&gt;="&amp;15)))*CAPA3_EXPANSION!AY$36)</f>
        <v>0</v>
      </c>
      <c r="AZ22" s="298" t="n">
        <f aca="false">IF(COUNTIF(CAPA3_EXPANSION!$D$56:AZ$56,"&gt;="&amp;15)=0,0,SUP_CONTROL!$C$8*IF($B22="V",1,IF($B22="D",(1+SUP_VOLUMEN!$C$26),(1+SUP_VOLUMEN!$C$27)))*INDEX(SUP_C3_EXPANSION!$C$6:$F$6,MIN(4,COUNTIF(CAPA3_EXPANSION!$D$56:AZ$56,"&gt;="&amp;15)))*CAPA3_EXPANSION!AZ$36)</f>
        <v>0</v>
      </c>
      <c r="BA22" s="298" t="n">
        <f aca="false">IF(COUNTIF(CAPA3_EXPANSION!$D$56:BA$56,"&gt;="&amp;15)=0,0,SUP_CONTROL!$C$8*IF($B22="V",1,IF($B22="D",(1+SUP_VOLUMEN!$C$26),(1+SUP_VOLUMEN!$C$27)))*INDEX(SUP_C3_EXPANSION!$C$6:$F$6,MIN(4,COUNTIF(CAPA3_EXPANSION!$D$56:BA$56,"&gt;="&amp;15)))*CAPA3_EXPANSION!BA$36)</f>
        <v>0</v>
      </c>
      <c r="BB22" s="298" t="n">
        <f aca="false">IF(COUNTIF(CAPA3_EXPANSION!$D$56:BB$56,"&gt;="&amp;15)=0,0,SUP_CONTROL!$C$8*IF($B22="V",1,IF($B22="D",(1+SUP_VOLUMEN!$C$26),(1+SUP_VOLUMEN!$C$27)))*INDEX(SUP_C3_EXPANSION!$C$6:$F$6,MIN(4,COUNTIF(CAPA3_EXPANSION!$D$56:BB$56,"&gt;="&amp;15)))*CAPA3_EXPANSION!BB$36)</f>
        <v>0</v>
      </c>
      <c r="BC22" s="298" t="n">
        <f aca="false">IF(COUNTIF(CAPA3_EXPANSION!$D$56:BC$56,"&gt;="&amp;15)=0,0,SUP_CONTROL!$C$8*IF($B22="V",1,IF($B22="D",(1+SUP_VOLUMEN!$C$26),(1+SUP_VOLUMEN!$C$27)))*INDEX(SUP_C3_EXPANSION!$C$6:$F$6,MIN(4,COUNTIF(CAPA3_EXPANSION!$D$56:BC$56,"&gt;="&amp;15)))*CAPA3_EXPANSION!BC$36)</f>
        <v>0</v>
      </c>
      <c r="BD22" s="298" t="n">
        <f aca="false">IF(COUNTIF(CAPA3_EXPANSION!$D$56:BD$56,"&gt;="&amp;15)=0,0,SUP_CONTROL!$C$8*IF($B22="V",1,IF($B22="D",(1+SUP_VOLUMEN!$C$26),(1+SUP_VOLUMEN!$C$27)))*INDEX(SUP_C3_EXPANSION!$C$6:$F$6,MIN(4,COUNTIF(CAPA3_EXPANSION!$D$56:BD$56,"&gt;="&amp;15)))*CAPA3_EXPANSION!BD$36)</f>
        <v>0</v>
      </c>
      <c r="BE22" s="298" t="n">
        <f aca="false">IF(COUNTIF(CAPA3_EXPANSION!$D$56:BE$56,"&gt;="&amp;15)=0,0,SUP_CONTROL!$C$8*IF($B22="V",1,IF($B22="D",(1+SUP_VOLUMEN!$C$26),(1+SUP_VOLUMEN!$C$27)))*INDEX(SUP_C3_EXPANSION!$C$6:$F$6,MIN(4,COUNTIF(CAPA3_EXPANSION!$D$56:BE$56,"&gt;="&amp;15)))*CAPA3_EXPANSION!BE$36)</f>
        <v>0</v>
      </c>
      <c r="BF22" s="298" t="n">
        <f aca="false">IF(COUNTIF(CAPA3_EXPANSION!$D$56:BF$56,"&gt;="&amp;15)=0,0,SUP_CONTROL!$C$8*IF($B22="V",1,IF($B22="D",(1+SUP_VOLUMEN!$C$26),(1+SUP_VOLUMEN!$C$27)))*INDEX(SUP_C3_EXPANSION!$C$6:$F$6,MIN(4,COUNTIF(CAPA3_EXPANSION!$D$56:BF$56,"&gt;="&amp;15)))*CAPA3_EXPANSION!BF$36)</f>
        <v>0</v>
      </c>
      <c r="BG22" s="298" t="n">
        <f aca="false">IF(COUNTIF(CAPA3_EXPANSION!$D$56:BG$56,"&gt;="&amp;15)=0,0,SUP_CONTROL!$C$8*IF($B22="V",1,IF($B22="D",(1+SUP_VOLUMEN!$C$26),(1+SUP_VOLUMEN!$C$27)))*INDEX(SUP_C3_EXPANSION!$C$6:$F$6,MIN(4,COUNTIF(CAPA3_EXPANSION!$D$56:BG$56,"&gt;="&amp;15)))*CAPA3_EXPANSION!BG$36)</f>
        <v>0</v>
      </c>
      <c r="BH22" s="298" t="n">
        <f aca="false">IF(COUNTIF(CAPA3_EXPANSION!$D$56:BH$56,"&gt;="&amp;15)=0,0,SUP_CONTROL!$C$8*IF($B22="V",1,IF($B22="D",(1+SUP_VOLUMEN!$C$26),(1+SUP_VOLUMEN!$C$27)))*INDEX(SUP_C3_EXPANSION!$C$6:$F$6,MIN(4,COUNTIF(CAPA3_EXPANSION!$D$56:BH$56,"&gt;="&amp;15)))*CAPA3_EXPANSION!BH$36)</f>
        <v>0</v>
      </c>
      <c r="BI22" s="298" t="n">
        <f aca="false">IF(COUNTIF(CAPA3_EXPANSION!$D$56:BI$56,"&gt;="&amp;15)=0,0,SUP_CONTROL!$C$8*IF($B22="V",1,IF($B22="D",(1+SUP_VOLUMEN!$C$26),(1+SUP_VOLUMEN!$C$27)))*INDEX(SUP_C3_EXPANSION!$C$6:$F$6,MIN(4,COUNTIF(CAPA3_EXPANSION!$D$56:BI$56,"&gt;="&amp;15)))*CAPA3_EXPANSION!BI$36)</f>
        <v>5023.2</v>
      </c>
      <c r="BJ22" s="298" t="n">
        <f aca="false">IF(COUNTIF(CAPA3_EXPANSION!$D$56:BJ$56,"&gt;="&amp;15)=0,0,SUP_CONTROL!$C$8*IF($B22="V",1,IF($B22="D",(1+SUP_VOLUMEN!$C$26),(1+SUP_VOLUMEN!$C$27)))*INDEX(SUP_C3_EXPANSION!$C$6:$F$6,MIN(4,COUNTIF(CAPA3_EXPANSION!$D$56:BJ$56,"&gt;="&amp;15)))*CAPA3_EXPANSION!BJ$36)</f>
        <v>6182.4</v>
      </c>
      <c r="BK22" s="298" t="n">
        <f aca="false">IF(COUNTIF(CAPA3_EXPANSION!$D$56:BK$56,"&gt;="&amp;15)=0,0,SUP_CONTROL!$C$8*IF($B22="V",1,IF($B22="D",(1+SUP_VOLUMEN!$C$26),(1+SUP_VOLUMEN!$C$27)))*INDEX(SUP_C3_EXPANSION!$C$6:$F$6,MIN(4,COUNTIF(CAPA3_EXPANSION!$D$56:BK$56,"&gt;="&amp;15)))*CAPA3_EXPANSION!BK$36)</f>
        <v>6804</v>
      </c>
      <c r="BL22" s="298" t="n">
        <f aca="false">IF(COUNTIF(CAPA3_EXPANSION!$D$56:BL$56,"&gt;="&amp;15)=0,0,SUP_CONTROL!$C$8*IF($B22="V",1,IF($B22="D",(1+SUP_VOLUMEN!$C$26),(1+SUP_VOLUMEN!$C$27)))*INDEX(SUP_C3_EXPANSION!$C$6:$F$6,MIN(4,COUNTIF(CAPA3_EXPANSION!$D$56:BL$56,"&gt;="&amp;15)))*CAPA3_EXPANSION!BL$36)</f>
        <v>7560</v>
      </c>
      <c r="BM22" s="298" t="n">
        <f aca="false">IF(COUNTIF(CAPA3_EXPANSION!$D$56:BM$56,"&gt;="&amp;15)=0,0,SUP_CONTROL!$C$8*IF($B22="V",1,IF($B22="D",(1+SUP_VOLUMEN!$C$26),(1+SUP_VOLUMEN!$C$27)))*INDEX(SUP_C3_EXPANSION!$C$6:$F$6,MIN(4,COUNTIF(CAPA3_EXPANSION!$D$56:BM$56,"&gt;="&amp;15)))*CAPA3_EXPANSION!BM$36)</f>
        <v>7560</v>
      </c>
      <c r="BN22" s="298" t="n">
        <f aca="false">IF(COUNTIF(CAPA3_EXPANSION!$D$56:BN$56,"&gt;="&amp;15)=0,0,SUP_CONTROL!$C$8*IF($B22="V",1,IF($B22="D",(1+SUP_VOLUMEN!$C$26),(1+SUP_VOLUMEN!$C$27)))*INDEX(SUP_C3_EXPANSION!$C$6:$F$6,MIN(4,COUNTIF(CAPA3_EXPANSION!$D$56:BN$56,"&gt;="&amp;15)))*CAPA3_EXPANSION!BN$36)</f>
        <v>7560</v>
      </c>
      <c r="BO22" s="298" t="n">
        <f aca="false">IF(COUNTIF(CAPA3_EXPANSION!$D$56:BO$56,"&gt;="&amp;15)=0,0,SUP_CONTROL!$C$8*IF($B22="V",1,IF($B22="D",(1+SUP_VOLUMEN!$C$26),(1+SUP_VOLUMEN!$C$27)))*INDEX(SUP_C3_EXPANSION!$C$6:$F$6,MIN(4,COUNTIF(CAPA3_EXPANSION!$D$56:BO$56,"&gt;="&amp;15)))*CAPA3_EXPANSION!BO$36)</f>
        <v>7560</v>
      </c>
      <c r="BP22" s="298" t="n">
        <f aca="false">IF(COUNTIF(CAPA3_EXPANSION!$D$56:BP$56,"&gt;="&amp;15)=0,0,SUP_CONTROL!$C$8*IF($B22="V",1,IF($B22="D",(1+SUP_VOLUMEN!$C$26),(1+SUP_VOLUMEN!$C$27)))*INDEX(SUP_C3_EXPANSION!$C$6:$F$6,MIN(4,COUNTIF(CAPA3_EXPANSION!$D$56:BP$56,"&gt;="&amp;15)))*CAPA3_EXPANSION!BP$36)</f>
        <v>7560</v>
      </c>
      <c r="BQ22" s="298" t="n">
        <f aca="false">IF(COUNTIF(CAPA3_EXPANSION!$D$56:BQ$56,"&gt;="&amp;15)=0,0,SUP_CONTROL!$C$8*IF($B22="V",1,IF($B22="D",(1+SUP_VOLUMEN!$C$26),(1+SUP_VOLUMEN!$C$27)))*INDEX(SUP_C3_EXPANSION!$C$6:$F$6,MIN(4,COUNTIF(CAPA3_EXPANSION!$D$56:BQ$56,"&gt;="&amp;15)))*CAPA3_EXPANSION!BQ$36)</f>
        <v>7392</v>
      </c>
      <c r="BR22" s="298" t="n">
        <f aca="false">IF(COUNTIF(CAPA3_EXPANSION!$D$56:BR$56,"&gt;="&amp;15)=0,0,SUP_CONTROL!$C$8*IF($B22="V",1,IF($B22="D",(1+SUP_VOLUMEN!$C$26),(1+SUP_VOLUMEN!$C$27)))*INDEX(SUP_C3_EXPANSION!$C$6:$F$6,MIN(4,COUNTIF(CAPA3_EXPANSION!$D$56:BR$56,"&gt;="&amp;15)))*CAPA3_EXPANSION!BR$36)</f>
        <v>7392</v>
      </c>
      <c r="BS22" s="298" t="n">
        <f aca="false">IF(COUNTIF(CAPA3_EXPANSION!$D$56:BS$56,"&gt;="&amp;15)=0,0,SUP_CONTROL!$C$8*IF($B22="V",1,IF($B22="D",(1+SUP_VOLUMEN!$C$26),(1+SUP_VOLUMEN!$C$27)))*INDEX(SUP_C3_EXPANSION!$C$6:$F$6,MIN(4,COUNTIF(CAPA3_EXPANSION!$D$56:BS$56,"&gt;="&amp;15)))*CAPA3_EXPANSION!BS$36)</f>
        <v>7392</v>
      </c>
      <c r="BT22" s="298" t="n">
        <f aca="false">IF(COUNTIF(CAPA3_EXPANSION!$D$56:BT$56,"&gt;="&amp;15)=0,0,SUP_CONTROL!$C$8*IF($B22="V",1,IF($B22="D",(1+SUP_VOLUMEN!$C$26),(1+SUP_VOLUMEN!$C$27)))*INDEX(SUP_C3_EXPANSION!$C$6:$F$6,MIN(4,COUNTIF(CAPA3_EXPANSION!$D$56:BT$56,"&gt;="&amp;15)))*CAPA3_EXPANSION!BT$36)</f>
        <v>7392</v>
      </c>
      <c r="BU22" s="298" t="n">
        <f aca="false">IF(COUNTIF(CAPA3_EXPANSION!$D$56:BU$56,"&gt;="&amp;15)=0,0,SUP_CONTROL!$C$8*IF($B22="V",1,IF($B22="D",(1+SUP_VOLUMEN!$C$26),(1+SUP_VOLUMEN!$C$27)))*INDEX(SUP_C3_EXPANSION!$C$6:$F$6,MIN(4,COUNTIF(CAPA3_EXPANSION!$D$56:BU$56,"&gt;="&amp;15)))*CAPA3_EXPANSION!BU$36)</f>
        <v>7392</v>
      </c>
      <c r="BV22" s="298" t="n">
        <f aca="false">IF(COUNTIF(CAPA3_EXPANSION!$D$56:BV$56,"&gt;="&amp;15)=0,0,SUP_CONTROL!$C$8*IF($B22="V",1,IF($B22="D",(1+SUP_VOLUMEN!$C$26),(1+SUP_VOLUMEN!$C$27)))*INDEX(SUP_C3_EXPANSION!$C$6:$F$6,MIN(4,COUNTIF(CAPA3_EXPANSION!$D$56:BV$56,"&gt;="&amp;15)))*CAPA3_EXPANSION!BV$36)</f>
        <v>7392</v>
      </c>
      <c r="BW22" s="298" t="n">
        <f aca="false">IF(COUNTIF(CAPA3_EXPANSION!$D$56:BW$56,"&gt;="&amp;15)=0,0,SUP_CONTROL!$C$8*IF($B22="V",1,IF($B22="D",(1+SUP_VOLUMEN!$C$26),(1+SUP_VOLUMEN!$C$27)))*INDEX(SUP_C3_EXPANSION!$C$6:$F$6,MIN(4,COUNTIF(CAPA3_EXPANSION!$D$56:BW$56,"&gt;="&amp;15)))*CAPA3_EXPANSION!BW$36)</f>
        <v>7266</v>
      </c>
      <c r="BX22" s="298" t="n">
        <f aca="false">IF(COUNTIF(CAPA3_EXPANSION!$D$56:BX$56,"&gt;="&amp;15)=0,0,SUP_CONTROL!$C$8*IF($B22="V",1,IF($B22="D",(1+SUP_VOLUMEN!$C$26),(1+SUP_VOLUMEN!$C$27)))*INDEX(SUP_C3_EXPANSION!$C$6:$F$6,MIN(4,COUNTIF(CAPA3_EXPANSION!$D$56:BX$56,"&gt;="&amp;15)))*CAPA3_EXPANSION!BX$36)</f>
        <v>7266</v>
      </c>
      <c r="BY22" s="298" t="n">
        <f aca="false">IF(COUNTIF(CAPA3_EXPANSION!$D$56:BY$56,"&gt;="&amp;15)=0,0,SUP_CONTROL!$C$8*IF($B22="V",1,IF($B22="D",(1+SUP_VOLUMEN!$C$26),(1+SUP_VOLUMEN!$C$27)))*INDEX(SUP_C3_EXPANSION!$C$6:$F$6,MIN(4,COUNTIF(CAPA3_EXPANSION!$D$56:BY$56,"&gt;="&amp;15)))*CAPA3_EXPANSION!BY$36)</f>
        <v>7266</v>
      </c>
      <c r="BZ22" s="298" t="n">
        <f aca="false">IF(COUNTIF(CAPA3_EXPANSION!$D$56:BZ$56,"&gt;="&amp;15)=0,0,SUP_CONTROL!$C$8*IF($B22="V",1,IF($B22="D",(1+SUP_VOLUMEN!$C$26),(1+SUP_VOLUMEN!$C$27)))*INDEX(SUP_C3_EXPANSION!$C$6:$F$6,MIN(4,COUNTIF(CAPA3_EXPANSION!$D$56:BZ$56,"&gt;="&amp;15)))*CAPA3_EXPANSION!BZ$36)</f>
        <v>7266</v>
      </c>
      <c r="CA22" s="298" t="n">
        <f aca="false">IF(COUNTIF(CAPA3_EXPANSION!$D$56:CA$56,"&gt;="&amp;15)=0,0,SUP_CONTROL!$C$8*IF($B22="V",1,IF($B22="D",(1+SUP_VOLUMEN!$C$26),(1+SUP_VOLUMEN!$C$27)))*INDEX(SUP_C3_EXPANSION!$C$6:$F$6,MIN(4,COUNTIF(CAPA3_EXPANSION!$D$56:CA$56,"&gt;="&amp;15)))*CAPA3_EXPANSION!CA$36)</f>
        <v>7266</v>
      </c>
      <c r="CB22" s="298" t="n">
        <f aca="false">IF(COUNTIF(CAPA3_EXPANSION!$D$56:CB$56,"&gt;="&amp;15)=0,0,SUP_CONTROL!$C$8*IF($B22="V",1,IF($B22="D",(1+SUP_VOLUMEN!$C$26),(1+SUP_VOLUMEN!$C$27)))*INDEX(SUP_C3_EXPANSION!$C$6:$F$6,MIN(4,COUNTIF(CAPA3_EXPANSION!$D$56:CB$56,"&gt;="&amp;15)))*CAPA3_EXPANSION!CB$36)</f>
        <v>7140</v>
      </c>
      <c r="CC22" s="298" t="n">
        <f aca="false">IF(COUNTIF(CAPA3_EXPANSION!$D$56:CC$56,"&gt;="&amp;15)=0,0,SUP_CONTROL!$C$8*IF($B22="V",1,IF($B22="D",(1+SUP_VOLUMEN!$C$26),(1+SUP_VOLUMEN!$C$27)))*INDEX(SUP_C3_EXPANSION!$C$6:$F$6,MIN(4,COUNTIF(CAPA3_EXPANSION!$D$56:CC$56,"&gt;="&amp;15)))*CAPA3_EXPANSION!CC$36)</f>
        <v>7140</v>
      </c>
      <c r="CD22" s="298" t="n">
        <f aca="false">IF(COUNTIF(CAPA3_EXPANSION!$D$56:CD$56,"&gt;="&amp;15)=0,0,SUP_CONTROL!$C$8*IF($B22="V",1,IF($B22="D",(1+SUP_VOLUMEN!$C$26),(1+SUP_VOLUMEN!$C$27)))*INDEX(SUP_C3_EXPANSION!$C$6:$F$6,MIN(4,COUNTIF(CAPA3_EXPANSION!$D$56:CD$56,"&gt;="&amp;15)))*CAPA3_EXPANSION!CD$36)</f>
        <v>7140</v>
      </c>
      <c r="CE22" s="298" t="n">
        <f aca="false">IF(COUNTIF(CAPA3_EXPANSION!$D$56:CE$56,"&gt;="&amp;15)=0,0,SUP_CONTROL!$C$8*IF($B22="V",1,IF($B22="D",(1+SUP_VOLUMEN!$C$26),(1+SUP_VOLUMEN!$C$27)))*INDEX(SUP_C3_EXPANSION!$C$6:$F$6,MIN(4,COUNTIF(CAPA3_EXPANSION!$D$56:CE$56,"&gt;="&amp;15)))*CAPA3_EXPANSION!CE$36)</f>
        <v>7140</v>
      </c>
      <c r="CF22" s="298" t="n">
        <f aca="false">IF(COUNTIF(CAPA3_EXPANSION!$D$56:CF$56,"&gt;="&amp;15)=0,0,SUP_CONTROL!$C$8*IF($B22="V",1,IF($B22="D",(1+SUP_VOLUMEN!$C$26),(1+SUP_VOLUMEN!$C$27)))*INDEX(SUP_C3_EXPANSION!$C$6:$F$6,MIN(4,COUNTIF(CAPA3_EXPANSION!$D$56:CF$56,"&gt;="&amp;15)))*CAPA3_EXPANSION!CF$36)</f>
        <v>7140</v>
      </c>
      <c r="CG22" s="298" t="n">
        <f aca="false">IF(COUNTIF(CAPA3_EXPANSION!$D$56:CG$56,"&gt;="&amp;15)=0,0,SUP_CONTROL!$C$8*IF($B22="V",1,IF($B22="D",(1+SUP_VOLUMEN!$C$26),(1+SUP_VOLUMEN!$C$27)))*INDEX(SUP_C3_EXPANSION!$C$6:$F$6,MIN(4,COUNTIF(CAPA3_EXPANSION!$D$56:CG$56,"&gt;="&amp;15)))*CAPA3_EXPANSION!CG$36)</f>
        <v>7056</v>
      </c>
      <c r="CH22" s="298" t="n">
        <f aca="false">IF(COUNTIF(CAPA3_EXPANSION!$D$56:CH$56,"&gt;="&amp;15)=0,0,SUP_CONTROL!$C$8*IF($B22="V",1,IF($B22="D",(1+SUP_VOLUMEN!$C$26),(1+SUP_VOLUMEN!$C$27)))*INDEX(SUP_C3_EXPANSION!$C$6:$F$6,MIN(4,COUNTIF(CAPA3_EXPANSION!$D$56:CH$56,"&gt;="&amp;15)))*CAPA3_EXPANSION!CH$36)</f>
        <v>7056</v>
      </c>
      <c r="CI22" s="298" t="n">
        <f aca="false">IF(COUNTIF(CAPA3_EXPANSION!$D$56:CI$56,"&gt;="&amp;15)=0,0,SUP_CONTROL!$C$8*IF($B22="V",1,IF($B22="D",(1+SUP_VOLUMEN!$C$26),(1+SUP_VOLUMEN!$C$27)))*INDEX(SUP_C3_EXPANSION!$C$6:$F$6,MIN(4,COUNTIF(CAPA3_EXPANSION!$D$56:CI$56,"&gt;="&amp;15)))*CAPA3_EXPANSION!CI$36)</f>
        <v>7056</v>
      </c>
      <c r="CJ22" s="298" t="n">
        <f aca="false">IF(COUNTIF(CAPA3_EXPANSION!$D$56:CJ$56,"&gt;="&amp;15)=0,0,SUP_CONTROL!$C$8*IF($B22="V",1,IF($B22="D",(1+SUP_VOLUMEN!$C$26),(1+SUP_VOLUMEN!$C$27)))*INDEX(SUP_C3_EXPANSION!$C$6:$F$6,MIN(4,COUNTIF(CAPA3_EXPANSION!$D$56:CJ$56,"&gt;="&amp;15)))*CAPA3_EXPANSION!CJ$36)</f>
        <v>7056</v>
      </c>
      <c r="CK22" s="298" t="n">
        <f aca="false">IF(COUNTIF(CAPA3_EXPANSION!$D$56:CK$56,"&gt;="&amp;15)=0,0,SUP_CONTROL!$C$8*IF($B22="V",1,IF($B22="D",(1+SUP_VOLUMEN!$C$26),(1+SUP_VOLUMEN!$C$27)))*INDEX(SUP_C3_EXPANSION!$C$6:$F$6,MIN(4,COUNTIF(CAPA3_EXPANSION!$D$56:CK$56,"&gt;="&amp;15)))*CAPA3_EXPANSION!CK$36)</f>
        <v>7056</v>
      </c>
      <c r="CL22" s="298" t="n">
        <f aca="false">IF(COUNTIF(CAPA3_EXPANSION!$D$56:CL$56,"&gt;="&amp;15)=0,0,SUP_CONTROL!$C$8*IF($B22="V",1,IF($B22="D",(1+SUP_VOLUMEN!$C$26),(1+SUP_VOLUMEN!$C$27)))*INDEX(SUP_C3_EXPANSION!$C$6:$F$6,MIN(4,COUNTIF(CAPA3_EXPANSION!$D$56:CL$56,"&gt;="&amp;15)))*CAPA3_EXPANSION!CL$36)</f>
        <v>7056</v>
      </c>
      <c r="CM22" s="298" t="n">
        <f aca="false">IF(COUNTIF(CAPA3_EXPANSION!$D$56:CM$56,"&gt;="&amp;15)=0,0,SUP_CONTROL!$C$8*IF($B22="V",1,IF($B22="D",(1+SUP_VOLUMEN!$C$26),(1+SUP_VOLUMEN!$C$27)))*INDEX(SUP_C3_EXPANSION!$C$6:$F$6,MIN(4,COUNTIF(CAPA3_EXPANSION!$D$56:CM$56,"&gt;="&amp;15)))*CAPA3_EXPANSION!CM$36)</f>
        <v>7056</v>
      </c>
      <c r="CN22" s="298" t="n">
        <f aca="false">IF(COUNTIF(CAPA3_EXPANSION!$D$56:CN$56,"&gt;="&amp;15)=0,0,SUP_CONTROL!$C$8*IF($B22="V",1,IF($B22="D",(1+SUP_VOLUMEN!$C$26),(1+SUP_VOLUMEN!$C$27)))*INDEX(SUP_C3_EXPANSION!$C$6:$F$6,MIN(4,COUNTIF(CAPA3_EXPANSION!$D$56:CN$56,"&gt;="&amp;15)))*CAPA3_EXPANSION!CN$36)</f>
        <v>7056</v>
      </c>
      <c r="CO22" s="298" t="n">
        <f aca="false">IF(COUNTIF(CAPA3_EXPANSION!$D$56:CO$56,"&gt;="&amp;15)=0,0,SUP_CONTROL!$C$8*IF($B22="V",1,IF($B22="D",(1+SUP_VOLUMEN!$C$26),(1+SUP_VOLUMEN!$C$27)))*INDEX(SUP_C3_EXPANSION!$C$6:$F$6,MIN(4,COUNTIF(CAPA3_EXPANSION!$D$56:CO$56,"&gt;="&amp;15)))*CAPA3_EXPANSION!CO$36)</f>
        <v>7056</v>
      </c>
      <c r="CP22" s="298" t="n">
        <f aca="false">IF(COUNTIF(CAPA3_EXPANSION!$D$56:CP$56,"&gt;="&amp;15)=0,0,SUP_CONTROL!$C$8*IF($B22="V",1,IF($B22="D",(1+SUP_VOLUMEN!$C$26),(1+SUP_VOLUMEN!$C$27)))*INDEX(SUP_C3_EXPANSION!$C$6:$F$6,MIN(4,COUNTIF(CAPA3_EXPANSION!$D$56:CP$56,"&gt;="&amp;15)))*CAPA3_EXPANSION!CP$36)</f>
        <v>7056</v>
      </c>
      <c r="CQ22" s="298" t="n">
        <f aca="false">IF(COUNTIF(CAPA3_EXPANSION!$D$56:CQ$56,"&gt;="&amp;15)=0,0,SUP_CONTROL!$C$8*IF($B22="V",1,IF($B22="D",(1+SUP_VOLUMEN!$C$26),(1+SUP_VOLUMEN!$C$27)))*INDEX(SUP_C3_EXPANSION!$C$6:$F$6,MIN(4,COUNTIF(CAPA3_EXPANSION!$D$56:CQ$56,"&gt;="&amp;15)))*CAPA3_EXPANSION!CQ$36)</f>
        <v>7056</v>
      </c>
      <c r="CR22" s="298" t="n">
        <f aca="false">IF(COUNTIF(CAPA3_EXPANSION!$D$56:CR$56,"&gt;="&amp;15)=0,0,SUP_CONTROL!$C$8*IF($B22="V",1,IF($B22="D",(1+SUP_VOLUMEN!$C$26),(1+SUP_VOLUMEN!$C$27)))*INDEX(SUP_C3_EXPANSION!$C$6:$F$6,MIN(4,COUNTIF(CAPA3_EXPANSION!$D$56:CR$56,"&gt;="&amp;15)))*CAPA3_EXPANSION!CR$36)</f>
        <v>7056</v>
      </c>
      <c r="CS22" s="298" t="n">
        <f aca="false">IF(COUNTIF(CAPA3_EXPANSION!$D$56:CS$56,"&gt;="&amp;15)=0,0,SUP_CONTROL!$C$8*IF($B22="V",1,IF($B22="D",(1+SUP_VOLUMEN!$C$26),(1+SUP_VOLUMEN!$C$27)))*INDEX(SUP_C3_EXPANSION!$C$6:$F$6,MIN(4,COUNTIF(CAPA3_EXPANSION!$D$56:CS$56,"&gt;="&amp;15)))*CAPA3_EXPANSION!CS$36)</f>
        <v>7056</v>
      </c>
      <c r="CT22" s="298" t="n">
        <f aca="false">IF(COUNTIF(CAPA3_EXPANSION!$D$56:CT$56,"&gt;="&amp;15)=0,0,SUP_CONTROL!$C$8*IF($B22="V",1,IF($B22="D",(1+SUP_VOLUMEN!$C$26),(1+SUP_VOLUMEN!$C$27)))*INDEX(SUP_C3_EXPANSION!$C$6:$F$6,MIN(4,COUNTIF(CAPA3_EXPANSION!$D$56:CT$56,"&gt;="&amp;15)))*CAPA3_EXPANSION!CT$36)</f>
        <v>7056</v>
      </c>
      <c r="CU22" s="298" t="n">
        <f aca="false">IF(COUNTIF(CAPA3_EXPANSION!$D$56:CU$56,"&gt;="&amp;15)=0,0,SUP_CONTROL!$C$8*IF($B22="V",1,IF($B22="D",(1+SUP_VOLUMEN!$C$26),(1+SUP_VOLUMEN!$C$27)))*INDEX(SUP_C3_EXPANSION!$C$6:$F$6,MIN(4,COUNTIF(CAPA3_EXPANSION!$D$56:CU$56,"&gt;="&amp;15)))*CAPA3_EXPANSION!CU$36)</f>
        <v>7056</v>
      </c>
      <c r="CV22" s="298" t="n">
        <f aca="false">IF(COUNTIF(CAPA3_EXPANSION!$D$56:CV$56,"&gt;="&amp;15)=0,0,SUP_CONTROL!$C$8*IF($B22="V",1,IF($B22="D",(1+SUP_VOLUMEN!$C$26),(1+SUP_VOLUMEN!$C$27)))*INDEX(SUP_C3_EXPANSION!$C$6:$F$6,MIN(4,COUNTIF(CAPA3_EXPANSION!$D$56:CV$56,"&gt;="&amp;15)))*CAPA3_EXPANSION!CV$36)</f>
        <v>7056</v>
      </c>
      <c r="CW22" s="298" t="n">
        <f aca="false">IF(COUNTIF(CAPA3_EXPANSION!$D$56:CW$56,"&gt;="&amp;15)=0,0,SUP_CONTROL!$C$8*IF($B22="V",1,IF($B22="D",(1+SUP_VOLUMEN!$C$26),(1+SUP_VOLUMEN!$C$27)))*INDEX(SUP_C3_EXPANSION!$C$6:$F$6,MIN(4,COUNTIF(CAPA3_EXPANSION!$D$56:CW$56,"&gt;="&amp;15)))*CAPA3_EXPANSION!CW$36)</f>
        <v>7056</v>
      </c>
      <c r="CX22" s="298" t="n">
        <f aca="false">IF(COUNTIF(CAPA3_EXPANSION!$D$56:CX$56,"&gt;="&amp;15)=0,0,SUP_CONTROL!$C$8*IF($B22="V",1,IF($B22="D",(1+SUP_VOLUMEN!$C$26),(1+SUP_VOLUMEN!$C$27)))*INDEX(SUP_C3_EXPANSION!$C$6:$F$6,MIN(4,COUNTIF(CAPA3_EXPANSION!$D$56:CX$56,"&gt;="&amp;15)))*CAPA3_EXPANSION!CX$36)</f>
        <v>7056</v>
      </c>
      <c r="CY22" s="298" t="n">
        <f aca="false">IF(COUNTIF(CAPA3_EXPANSION!$D$56:CY$56,"&gt;="&amp;15)=0,0,SUP_CONTROL!$C$8*IF($B22="V",1,IF($B22="D",(1+SUP_VOLUMEN!$C$26),(1+SUP_VOLUMEN!$C$27)))*INDEX(SUP_C3_EXPANSION!$C$6:$F$6,MIN(4,COUNTIF(CAPA3_EXPANSION!$D$56:CY$56,"&gt;="&amp;15)))*CAPA3_EXPANSION!CY$36)</f>
        <v>7056</v>
      </c>
      <c r="CZ22" s="298" t="n">
        <f aca="false">IF(COUNTIF(CAPA3_EXPANSION!$D$56:CZ$56,"&gt;="&amp;15)=0,0,SUP_CONTROL!$C$8*IF($B22="V",1,IF($B22="D",(1+SUP_VOLUMEN!$C$26),(1+SUP_VOLUMEN!$C$27)))*INDEX(SUP_C3_EXPANSION!$C$6:$F$6,MIN(4,COUNTIF(CAPA3_EXPANSION!$D$56:CZ$56,"&gt;="&amp;15)))*CAPA3_EXPANSION!CZ$36)</f>
        <v>7056</v>
      </c>
      <c r="DA22" s="298" t="n">
        <f aca="false">IF(COUNTIF(CAPA3_EXPANSION!$D$56:DA$56,"&gt;="&amp;15)=0,0,SUP_CONTROL!$C$8*IF($B22="V",1,IF($B22="D",(1+SUP_VOLUMEN!$C$26),(1+SUP_VOLUMEN!$C$27)))*INDEX(SUP_C3_EXPANSION!$C$6:$F$6,MIN(4,COUNTIF(CAPA3_EXPANSION!$D$56:DA$56,"&gt;="&amp;15)))*CAPA3_EXPANSION!DA$36)</f>
        <v>7056</v>
      </c>
      <c r="DB22" s="298" t="n">
        <f aca="false">IF(COUNTIF(CAPA3_EXPANSION!$D$56:DB$56,"&gt;="&amp;15)=0,0,SUP_CONTROL!$C$8*IF($B22="V",1,IF($B22="D",(1+SUP_VOLUMEN!$C$26),(1+SUP_VOLUMEN!$C$27)))*INDEX(SUP_C3_EXPANSION!$C$6:$F$6,MIN(4,COUNTIF(CAPA3_EXPANSION!$D$56:DB$56,"&gt;="&amp;15)))*CAPA3_EXPANSION!DB$36)</f>
        <v>7056</v>
      </c>
      <c r="DC22" s="298" t="n">
        <f aca="false">IF(COUNTIF(CAPA3_EXPANSION!$D$56:DC$56,"&gt;="&amp;15)=0,0,SUP_CONTROL!$C$8*IF($B22="V",1,IF($B22="D",(1+SUP_VOLUMEN!$C$26),(1+SUP_VOLUMEN!$C$27)))*INDEX(SUP_C3_EXPANSION!$C$6:$F$6,MIN(4,COUNTIF(CAPA3_EXPANSION!$D$56:DC$56,"&gt;="&amp;15)))*CAPA3_EXPANSION!DC$36)</f>
        <v>7056</v>
      </c>
      <c r="DD22" s="298" t="n">
        <f aca="false">IF(COUNTIF(CAPA3_EXPANSION!$D$56:DD$56,"&gt;="&amp;15)=0,0,SUP_CONTROL!$C$8*IF($B22="V",1,IF($B22="D",(1+SUP_VOLUMEN!$C$26),(1+SUP_VOLUMEN!$C$27)))*INDEX(SUP_C3_EXPANSION!$C$6:$F$6,MIN(4,COUNTIF(CAPA3_EXPANSION!$D$56:DD$56,"&gt;="&amp;15)))*CAPA3_EXPANSION!DD$36)</f>
        <v>7056</v>
      </c>
      <c r="DE22" s="298" t="n">
        <f aca="false">IF(COUNTIF(CAPA3_EXPANSION!$D$56:DE$56,"&gt;="&amp;15)=0,0,SUP_CONTROL!$C$8*IF($B22="V",1,IF($B22="D",(1+SUP_VOLUMEN!$C$26),(1+SUP_VOLUMEN!$C$27)))*INDEX(SUP_C3_EXPANSION!$C$6:$F$6,MIN(4,COUNTIF(CAPA3_EXPANSION!$D$56:DE$56,"&gt;="&amp;15)))*CAPA3_EXPANSION!DE$36)</f>
        <v>7056</v>
      </c>
      <c r="DF22" s="298" t="n">
        <f aca="false">IF(COUNTIF(CAPA3_EXPANSION!$D$56:DF$56,"&gt;="&amp;15)=0,0,SUP_CONTROL!$C$8*IF($B22="V",1,IF($B22="D",(1+SUP_VOLUMEN!$C$26),(1+SUP_VOLUMEN!$C$27)))*INDEX(SUP_C3_EXPANSION!$C$6:$F$6,MIN(4,COUNTIF(CAPA3_EXPANSION!$D$56:DF$56,"&gt;="&amp;15)))*CAPA3_EXPANSION!DF$36)</f>
        <v>7056</v>
      </c>
      <c r="DG22" s="298" t="n">
        <f aca="false">IF(COUNTIF(CAPA3_EXPANSION!$D$56:DG$56,"&gt;="&amp;15)=0,0,SUP_CONTROL!$C$8*IF($B22="V",1,IF($B22="D",(1+SUP_VOLUMEN!$C$26),(1+SUP_VOLUMEN!$C$27)))*INDEX(SUP_C3_EXPANSION!$C$6:$F$6,MIN(4,COUNTIF(CAPA3_EXPANSION!$D$56:DG$56,"&gt;="&amp;15)))*CAPA3_EXPANSION!DG$36)</f>
        <v>7056</v>
      </c>
      <c r="DH22" s="298" t="n">
        <f aca="false">IF(COUNTIF(CAPA3_EXPANSION!$D$56:DH$56,"&gt;="&amp;15)=0,0,SUP_CONTROL!$C$8*IF($B22="V",1,IF($B22="D",(1+SUP_VOLUMEN!$C$26),(1+SUP_VOLUMEN!$C$27)))*INDEX(SUP_C3_EXPANSION!$C$6:$F$6,MIN(4,COUNTIF(CAPA3_EXPANSION!$D$56:DH$56,"&gt;="&amp;15)))*CAPA3_EXPANSION!DH$36)</f>
        <v>7056</v>
      </c>
      <c r="DI22" s="298" t="n">
        <f aca="false">IF(COUNTIF(CAPA3_EXPANSION!$D$56:DI$56,"&gt;="&amp;15)=0,0,SUP_CONTROL!$C$8*IF($B22="V",1,IF($B22="D",(1+SUP_VOLUMEN!$C$26),(1+SUP_VOLUMEN!$C$27)))*INDEX(SUP_C3_EXPANSION!$C$6:$F$6,MIN(4,COUNTIF(CAPA3_EXPANSION!$D$56:DI$56,"&gt;="&amp;15)))*CAPA3_EXPANSION!DI$36)</f>
        <v>7056</v>
      </c>
      <c r="DJ22" s="298" t="n">
        <f aca="false">IF(COUNTIF(CAPA3_EXPANSION!$D$56:DJ$56,"&gt;="&amp;15)=0,0,SUP_CONTROL!$C$8*IF($B22="V",1,IF($B22="D",(1+SUP_VOLUMEN!$C$26),(1+SUP_VOLUMEN!$C$27)))*INDEX(SUP_C3_EXPANSION!$C$6:$F$6,MIN(4,COUNTIF(CAPA3_EXPANSION!$D$56:DJ$56,"&gt;="&amp;15)))*CAPA3_EXPANSION!DJ$36)</f>
        <v>7056</v>
      </c>
      <c r="DK22" s="298" t="n">
        <f aca="false">IF(COUNTIF(CAPA3_EXPANSION!$D$56:DK$56,"&gt;="&amp;15)=0,0,SUP_CONTROL!$C$8*IF($B22="V",1,IF($B22="D",(1+SUP_VOLUMEN!$C$26),(1+SUP_VOLUMEN!$C$27)))*INDEX(SUP_C3_EXPANSION!$C$6:$F$6,MIN(4,COUNTIF(CAPA3_EXPANSION!$D$56:DK$56,"&gt;="&amp;15)))*CAPA3_EXPANSION!DK$36)</f>
        <v>7056</v>
      </c>
      <c r="DL22" s="298" t="n">
        <f aca="false">IF(COUNTIF(CAPA3_EXPANSION!$D$56:DL$56,"&gt;="&amp;15)=0,0,SUP_CONTROL!$C$8*IF($B22="V",1,IF($B22="D",(1+SUP_VOLUMEN!$C$26),(1+SUP_VOLUMEN!$C$27)))*INDEX(SUP_C3_EXPANSION!$C$6:$F$6,MIN(4,COUNTIF(CAPA3_EXPANSION!$D$56:DL$56,"&gt;="&amp;15)))*CAPA3_EXPANSION!DL$36)</f>
        <v>7056</v>
      </c>
      <c r="DM22" s="298" t="n">
        <f aca="false">IF(COUNTIF(CAPA3_EXPANSION!$D$56:DM$56,"&gt;="&amp;15)=0,0,SUP_CONTROL!$C$8*IF($B22="V",1,IF($B22="D",(1+SUP_VOLUMEN!$C$26),(1+SUP_VOLUMEN!$C$27)))*INDEX(SUP_C3_EXPANSION!$C$6:$F$6,MIN(4,COUNTIF(CAPA3_EXPANSION!$D$56:DM$56,"&gt;="&amp;15)))*CAPA3_EXPANSION!DM$36)</f>
        <v>7056</v>
      </c>
      <c r="DN22" s="298" t="n">
        <f aca="false">IF(COUNTIF(CAPA3_EXPANSION!$D$56:DN$56,"&gt;="&amp;15)=0,0,SUP_CONTROL!$C$8*IF($B22="V",1,IF($B22="D",(1+SUP_VOLUMEN!$C$26),(1+SUP_VOLUMEN!$C$27)))*INDEX(SUP_C3_EXPANSION!$C$6:$F$6,MIN(4,COUNTIF(CAPA3_EXPANSION!$D$56:DN$56,"&gt;="&amp;15)))*CAPA3_EXPANSION!DN$36)</f>
        <v>7056</v>
      </c>
      <c r="DO22" s="298" t="n">
        <f aca="false">IF(COUNTIF(CAPA3_EXPANSION!$D$56:DO$56,"&gt;="&amp;15)=0,0,SUP_CONTROL!$C$8*IF($B22="V",1,IF($B22="D",(1+SUP_VOLUMEN!$C$26),(1+SUP_VOLUMEN!$C$27)))*INDEX(SUP_C3_EXPANSION!$C$6:$F$6,MIN(4,COUNTIF(CAPA3_EXPANSION!$D$56:DO$56,"&gt;="&amp;15)))*CAPA3_EXPANSION!DO$36)</f>
        <v>7056</v>
      </c>
      <c r="DP22" s="298" t="n">
        <f aca="false">IF(COUNTIF(CAPA3_EXPANSION!$D$56:DP$56,"&gt;="&amp;15)=0,0,SUP_CONTROL!$C$8*IF($B22="V",1,IF($B22="D",(1+SUP_VOLUMEN!$C$26),(1+SUP_VOLUMEN!$C$27)))*INDEX(SUP_C3_EXPANSION!$C$6:$F$6,MIN(4,COUNTIF(CAPA3_EXPANSION!$D$56:DP$56,"&gt;="&amp;15)))*CAPA3_EXPANSION!DP$36)</f>
        <v>7056</v>
      </c>
      <c r="DQ22" s="298" t="n">
        <f aca="false">IF(COUNTIF(CAPA3_EXPANSION!$D$56:DQ$56,"&gt;="&amp;15)=0,0,SUP_CONTROL!$C$8*IF($B22="V",1,IF($B22="D",(1+SUP_VOLUMEN!$C$26),(1+SUP_VOLUMEN!$C$27)))*INDEX(SUP_C3_EXPANSION!$C$6:$F$6,MIN(4,COUNTIF(CAPA3_EXPANSION!$D$56:DQ$56,"&gt;="&amp;15)))*CAPA3_EXPANSION!DQ$36)</f>
        <v>7056</v>
      </c>
      <c r="DR22" s="298" t="n">
        <f aca="false">IF(COUNTIF(CAPA3_EXPANSION!$D$56:DR$56,"&gt;="&amp;15)=0,0,SUP_CONTROL!$C$8*IF($B22="V",1,IF($B22="D",(1+SUP_VOLUMEN!$C$26),(1+SUP_VOLUMEN!$C$27)))*INDEX(SUP_C3_EXPANSION!$C$6:$F$6,MIN(4,COUNTIF(CAPA3_EXPANSION!$D$56:DR$56,"&gt;="&amp;15)))*CAPA3_EXPANSION!DR$36)</f>
        <v>7056</v>
      </c>
      <c r="DS22" s="298" t="n">
        <f aca="false">IF(COUNTIF(CAPA3_EXPANSION!$D$56:DS$56,"&gt;="&amp;15)=0,0,SUP_CONTROL!$C$8*IF($B22="V",1,IF($B22="D",(1+SUP_VOLUMEN!$C$26),(1+SUP_VOLUMEN!$C$27)))*INDEX(SUP_C3_EXPANSION!$C$6:$F$6,MIN(4,COUNTIF(CAPA3_EXPANSION!$D$56:DS$56,"&gt;="&amp;15)))*CAPA3_EXPANSION!DS$36)</f>
        <v>7056</v>
      </c>
    </row>
    <row r="23" customFormat="false" ht="15" hidden="false" customHeight="true" outlineLevel="0" collapsed="false">
      <c r="A23" s="298" t="n">
        <v>26</v>
      </c>
      <c r="B23" s="497" t="str">
        <f aca="false">SUP_C3_EXPANSION!B35</f>
        <v>V</v>
      </c>
      <c r="C23" s="267" t="n">
        <f aca="false">SUP_C3_EXPANSION!G35</f>
        <v>56</v>
      </c>
      <c r="D23" s="298" t="n">
        <f aca="false">IF(COUNTIF(CAPA3_EXPANSION!$D$56:D$56,"&gt;="&amp;16)=0,0,SUP_CONTROL!$C$8*IF($B23="V",1,IF($B23="D",(1+SUP_VOLUMEN!$C$26),(1+SUP_VOLUMEN!$C$27)))*INDEX(SUP_C3_EXPANSION!$C$6:$F$6,MIN(4,COUNTIF(CAPA3_EXPANSION!$D$56:D$56,"&gt;="&amp;16)))*CAPA3_EXPANSION!D$36)</f>
        <v>0</v>
      </c>
      <c r="E23" s="298" t="n">
        <f aca="false">IF(COUNTIF(CAPA3_EXPANSION!$D$56:E$56,"&gt;="&amp;16)=0,0,SUP_CONTROL!$C$8*IF($B23="V",1,IF($B23="D",(1+SUP_VOLUMEN!$C$26),(1+SUP_VOLUMEN!$C$27)))*INDEX(SUP_C3_EXPANSION!$C$6:$F$6,MIN(4,COUNTIF(CAPA3_EXPANSION!$D$56:E$56,"&gt;="&amp;16)))*CAPA3_EXPANSION!E$36)</f>
        <v>0</v>
      </c>
      <c r="F23" s="298" t="n">
        <f aca="false">IF(COUNTIF(CAPA3_EXPANSION!$D$56:F$56,"&gt;="&amp;16)=0,0,SUP_CONTROL!$C$8*IF($B23="V",1,IF($B23="D",(1+SUP_VOLUMEN!$C$26),(1+SUP_VOLUMEN!$C$27)))*INDEX(SUP_C3_EXPANSION!$C$6:$F$6,MIN(4,COUNTIF(CAPA3_EXPANSION!$D$56:F$56,"&gt;="&amp;16)))*CAPA3_EXPANSION!F$36)</f>
        <v>0</v>
      </c>
      <c r="G23" s="298" t="n">
        <f aca="false">IF(COUNTIF(CAPA3_EXPANSION!$D$56:G$56,"&gt;="&amp;16)=0,0,SUP_CONTROL!$C$8*IF($B23="V",1,IF($B23="D",(1+SUP_VOLUMEN!$C$26),(1+SUP_VOLUMEN!$C$27)))*INDEX(SUP_C3_EXPANSION!$C$6:$F$6,MIN(4,COUNTIF(CAPA3_EXPANSION!$D$56:G$56,"&gt;="&amp;16)))*CAPA3_EXPANSION!G$36)</f>
        <v>0</v>
      </c>
      <c r="H23" s="298" t="n">
        <f aca="false">IF(COUNTIF(CAPA3_EXPANSION!$D$56:H$56,"&gt;="&amp;16)=0,0,SUP_CONTROL!$C$8*IF($B23="V",1,IF($B23="D",(1+SUP_VOLUMEN!$C$26),(1+SUP_VOLUMEN!$C$27)))*INDEX(SUP_C3_EXPANSION!$C$6:$F$6,MIN(4,COUNTIF(CAPA3_EXPANSION!$D$56:H$56,"&gt;="&amp;16)))*CAPA3_EXPANSION!H$36)</f>
        <v>0</v>
      </c>
      <c r="I23" s="298" t="n">
        <f aca="false">IF(COUNTIF(CAPA3_EXPANSION!$D$56:I$56,"&gt;="&amp;16)=0,0,SUP_CONTROL!$C$8*IF($B23="V",1,IF($B23="D",(1+SUP_VOLUMEN!$C$26),(1+SUP_VOLUMEN!$C$27)))*INDEX(SUP_C3_EXPANSION!$C$6:$F$6,MIN(4,COUNTIF(CAPA3_EXPANSION!$D$56:I$56,"&gt;="&amp;16)))*CAPA3_EXPANSION!I$36)</f>
        <v>0</v>
      </c>
      <c r="J23" s="298" t="n">
        <f aca="false">IF(COUNTIF(CAPA3_EXPANSION!$D$56:J$56,"&gt;="&amp;16)=0,0,SUP_CONTROL!$C$8*IF($B23="V",1,IF($B23="D",(1+SUP_VOLUMEN!$C$26),(1+SUP_VOLUMEN!$C$27)))*INDEX(SUP_C3_EXPANSION!$C$6:$F$6,MIN(4,COUNTIF(CAPA3_EXPANSION!$D$56:J$56,"&gt;="&amp;16)))*CAPA3_EXPANSION!J$36)</f>
        <v>0</v>
      </c>
      <c r="K23" s="298" t="n">
        <f aca="false">IF(COUNTIF(CAPA3_EXPANSION!$D$56:K$56,"&gt;="&amp;16)=0,0,SUP_CONTROL!$C$8*IF($B23="V",1,IF($B23="D",(1+SUP_VOLUMEN!$C$26),(1+SUP_VOLUMEN!$C$27)))*INDEX(SUP_C3_EXPANSION!$C$6:$F$6,MIN(4,COUNTIF(CAPA3_EXPANSION!$D$56:K$56,"&gt;="&amp;16)))*CAPA3_EXPANSION!K$36)</f>
        <v>0</v>
      </c>
      <c r="L23" s="298" t="n">
        <f aca="false">IF(COUNTIF(CAPA3_EXPANSION!$D$56:L$56,"&gt;="&amp;16)=0,0,SUP_CONTROL!$C$8*IF($B23="V",1,IF($B23="D",(1+SUP_VOLUMEN!$C$26),(1+SUP_VOLUMEN!$C$27)))*INDEX(SUP_C3_EXPANSION!$C$6:$F$6,MIN(4,COUNTIF(CAPA3_EXPANSION!$D$56:L$56,"&gt;="&amp;16)))*CAPA3_EXPANSION!L$36)</f>
        <v>0</v>
      </c>
      <c r="M23" s="298" t="n">
        <f aca="false">IF(COUNTIF(CAPA3_EXPANSION!$D$56:M$56,"&gt;="&amp;16)=0,0,SUP_CONTROL!$C$8*IF($B23="V",1,IF($B23="D",(1+SUP_VOLUMEN!$C$26),(1+SUP_VOLUMEN!$C$27)))*INDEX(SUP_C3_EXPANSION!$C$6:$F$6,MIN(4,COUNTIF(CAPA3_EXPANSION!$D$56:M$56,"&gt;="&amp;16)))*CAPA3_EXPANSION!M$36)</f>
        <v>0</v>
      </c>
      <c r="N23" s="298" t="n">
        <f aca="false">IF(COUNTIF(CAPA3_EXPANSION!$D$56:N$56,"&gt;="&amp;16)=0,0,SUP_CONTROL!$C$8*IF($B23="V",1,IF($B23="D",(1+SUP_VOLUMEN!$C$26),(1+SUP_VOLUMEN!$C$27)))*INDEX(SUP_C3_EXPANSION!$C$6:$F$6,MIN(4,COUNTIF(CAPA3_EXPANSION!$D$56:N$56,"&gt;="&amp;16)))*CAPA3_EXPANSION!N$36)</f>
        <v>0</v>
      </c>
      <c r="O23" s="298" t="n">
        <f aca="false">IF(COUNTIF(CAPA3_EXPANSION!$D$56:O$56,"&gt;="&amp;16)=0,0,SUP_CONTROL!$C$8*IF($B23="V",1,IF($B23="D",(1+SUP_VOLUMEN!$C$26),(1+SUP_VOLUMEN!$C$27)))*INDEX(SUP_C3_EXPANSION!$C$6:$F$6,MIN(4,COUNTIF(CAPA3_EXPANSION!$D$56:O$56,"&gt;="&amp;16)))*CAPA3_EXPANSION!O$36)</f>
        <v>0</v>
      </c>
      <c r="P23" s="298" t="n">
        <f aca="false">IF(COUNTIF(CAPA3_EXPANSION!$D$56:P$56,"&gt;="&amp;16)=0,0,SUP_CONTROL!$C$8*IF($B23="V",1,IF($B23="D",(1+SUP_VOLUMEN!$C$26),(1+SUP_VOLUMEN!$C$27)))*INDEX(SUP_C3_EXPANSION!$C$6:$F$6,MIN(4,COUNTIF(CAPA3_EXPANSION!$D$56:P$56,"&gt;="&amp;16)))*CAPA3_EXPANSION!P$36)</f>
        <v>0</v>
      </c>
      <c r="Q23" s="298" t="n">
        <f aca="false">IF(COUNTIF(CAPA3_EXPANSION!$D$56:Q$56,"&gt;="&amp;16)=0,0,SUP_CONTROL!$C$8*IF($B23="V",1,IF($B23="D",(1+SUP_VOLUMEN!$C$26),(1+SUP_VOLUMEN!$C$27)))*INDEX(SUP_C3_EXPANSION!$C$6:$F$6,MIN(4,COUNTIF(CAPA3_EXPANSION!$D$56:Q$56,"&gt;="&amp;16)))*CAPA3_EXPANSION!Q$36)</f>
        <v>0</v>
      </c>
      <c r="R23" s="298" t="n">
        <f aca="false">IF(COUNTIF(CAPA3_EXPANSION!$D$56:R$56,"&gt;="&amp;16)=0,0,SUP_CONTROL!$C$8*IF($B23="V",1,IF($B23="D",(1+SUP_VOLUMEN!$C$26),(1+SUP_VOLUMEN!$C$27)))*INDEX(SUP_C3_EXPANSION!$C$6:$F$6,MIN(4,COUNTIF(CAPA3_EXPANSION!$D$56:R$56,"&gt;="&amp;16)))*CAPA3_EXPANSION!R$36)</f>
        <v>0</v>
      </c>
      <c r="S23" s="298" t="n">
        <f aca="false">IF(COUNTIF(CAPA3_EXPANSION!$D$56:S$56,"&gt;="&amp;16)=0,0,SUP_CONTROL!$C$8*IF($B23="V",1,IF($B23="D",(1+SUP_VOLUMEN!$C$26),(1+SUP_VOLUMEN!$C$27)))*INDEX(SUP_C3_EXPANSION!$C$6:$F$6,MIN(4,COUNTIF(CAPA3_EXPANSION!$D$56:S$56,"&gt;="&amp;16)))*CAPA3_EXPANSION!S$36)</f>
        <v>0</v>
      </c>
      <c r="T23" s="298" t="n">
        <f aca="false">IF(COUNTIF(CAPA3_EXPANSION!$D$56:T$56,"&gt;="&amp;16)=0,0,SUP_CONTROL!$C$8*IF($B23="V",1,IF($B23="D",(1+SUP_VOLUMEN!$C$26),(1+SUP_VOLUMEN!$C$27)))*INDEX(SUP_C3_EXPANSION!$C$6:$F$6,MIN(4,COUNTIF(CAPA3_EXPANSION!$D$56:T$56,"&gt;="&amp;16)))*CAPA3_EXPANSION!T$36)</f>
        <v>0</v>
      </c>
      <c r="U23" s="298" t="n">
        <f aca="false">IF(COUNTIF(CAPA3_EXPANSION!$D$56:U$56,"&gt;="&amp;16)=0,0,SUP_CONTROL!$C$8*IF($B23="V",1,IF($B23="D",(1+SUP_VOLUMEN!$C$26),(1+SUP_VOLUMEN!$C$27)))*INDEX(SUP_C3_EXPANSION!$C$6:$F$6,MIN(4,COUNTIF(CAPA3_EXPANSION!$D$56:U$56,"&gt;="&amp;16)))*CAPA3_EXPANSION!U$36)</f>
        <v>0</v>
      </c>
      <c r="V23" s="298" t="n">
        <f aca="false">IF(COUNTIF(CAPA3_EXPANSION!$D$56:V$56,"&gt;="&amp;16)=0,0,SUP_CONTROL!$C$8*IF($B23="V",1,IF($B23="D",(1+SUP_VOLUMEN!$C$26),(1+SUP_VOLUMEN!$C$27)))*INDEX(SUP_C3_EXPANSION!$C$6:$F$6,MIN(4,COUNTIF(CAPA3_EXPANSION!$D$56:V$56,"&gt;="&amp;16)))*CAPA3_EXPANSION!V$36)</f>
        <v>0</v>
      </c>
      <c r="W23" s="298" t="n">
        <f aca="false">IF(COUNTIF(CAPA3_EXPANSION!$D$56:W$56,"&gt;="&amp;16)=0,0,SUP_CONTROL!$C$8*IF($B23="V",1,IF($B23="D",(1+SUP_VOLUMEN!$C$26),(1+SUP_VOLUMEN!$C$27)))*INDEX(SUP_C3_EXPANSION!$C$6:$F$6,MIN(4,COUNTIF(CAPA3_EXPANSION!$D$56:W$56,"&gt;="&amp;16)))*CAPA3_EXPANSION!W$36)</f>
        <v>0</v>
      </c>
      <c r="X23" s="298" t="n">
        <f aca="false">IF(COUNTIF(CAPA3_EXPANSION!$D$56:X$56,"&gt;="&amp;16)=0,0,SUP_CONTROL!$C$8*IF($B23="V",1,IF($B23="D",(1+SUP_VOLUMEN!$C$26),(1+SUP_VOLUMEN!$C$27)))*INDEX(SUP_C3_EXPANSION!$C$6:$F$6,MIN(4,COUNTIF(CAPA3_EXPANSION!$D$56:X$56,"&gt;="&amp;16)))*CAPA3_EXPANSION!X$36)</f>
        <v>0</v>
      </c>
      <c r="Y23" s="298" t="n">
        <f aca="false">IF(COUNTIF(CAPA3_EXPANSION!$D$56:Y$56,"&gt;="&amp;16)=0,0,SUP_CONTROL!$C$8*IF($B23="V",1,IF($B23="D",(1+SUP_VOLUMEN!$C$26),(1+SUP_VOLUMEN!$C$27)))*INDEX(SUP_C3_EXPANSION!$C$6:$F$6,MIN(4,COUNTIF(CAPA3_EXPANSION!$D$56:Y$56,"&gt;="&amp;16)))*CAPA3_EXPANSION!Y$36)</f>
        <v>0</v>
      </c>
      <c r="Z23" s="298" t="n">
        <f aca="false">IF(COUNTIF(CAPA3_EXPANSION!$D$56:Z$56,"&gt;="&amp;16)=0,0,SUP_CONTROL!$C$8*IF($B23="V",1,IF($B23="D",(1+SUP_VOLUMEN!$C$26),(1+SUP_VOLUMEN!$C$27)))*INDEX(SUP_C3_EXPANSION!$C$6:$F$6,MIN(4,COUNTIF(CAPA3_EXPANSION!$D$56:Z$56,"&gt;="&amp;16)))*CAPA3_EXPANSION!Z$36)</f>
        <v>0</v>
      </c>
      <c r="AA23" s="298" t="n">
        <f aca="false">IF(COUNTIF(CAPA3_EXPANSION!$D$56:AA$56,"&gt;="&amp;16)=0,0,SUP_CONTROL!$C$8*IF($B23="V",1,IF($B23="D",(1+SUP_VOLUMEN!$C$26),(1+SUP_VOLUMEN!$C$27)))*INDEX(SUP_C3_EXPANSION!$C$6:$F$6,MIN(4,COUNTIF(CAPA3_EXPANSION!$D$56:AA$56,"&gt;="&amp;16)))*CAPA3_EXPANSION!AA$36)</f>
        <v>0</v>
      </c>
      <c r="AB23" s="298" t="n">
        <f aca="false">IF(COUNTIF(CAPA3_EXPANSION!$D$56:AB$56,"&gt;="&amp;16)=0,0,SUP_CONTROL!$C$8*IF($B23="V",1,IF($B23="D",(1+SUP_VOLUMEN!$C$26),(1+SUP_VOLUMEN!$C$27)))*INDEX(SUP_C3_EXPANSION!$C$6:$F$6,MIN(4,COUNTIF(CAPA3_EXPANSION!$D$56:AB$56,"&gt;="&amp;16)))*CAPA3_EXPANSION!AB$36)</f>
        <v>0</v>
      </c>
      <c r="AC23" s="298" t="n">
        <f aca="false">IF(COUNTIF(CAPA3_EXPANSION!$D$56:AC$56,"&gt;="&amp;16)=0,0,SUP_CONTROL!$C$8*IF($B23="V",1,IF($B23="D",(1+SUP_VOLUMEN!$C$26),(1+SUP_VOLUMEN!$C$27)))*INDEX(SUP_C3_EXPANSION!$C$6:$F$6,MIN(4,COUNTIF(CAPA3_EXPANSION!$D$56:AC$56,"&gt;="&amp;16)))*CAPA3_EXPANSION!AC$36)</f>
        <v>0</v>
      </c>
      <c r="AD23" s="298" t="n">
        <f aca="false">IF(COUNTIF(CAPA3_EXPANSION!$D$56:AD$56,"&gt;="&amp;16)=0,0,SUP_CONTROL!$C$8*IF($B23="V",1,IF($B23="D",(1+SUP_VOLUMEN!$C$26),(1+SUP_VOLUMEN!$C$27)))*INDEX(SUP_C3_EXPANSION!$C$6:$F$6,MIN(4,COUNTIF(CAPA3_EXPANSION!$D$56:AD$56,"&gt;="&amp;16)))*CAPA3_EXPANSION!AD$36)</f>
        <v>0</v>
      </c>
      <c r="AE23" s="298" t="n">
        <f aca="false">IF(COUNTIF(CAPA3_EXPANSION!$D$56:AE$56,"&gt;="&amp;16)=0,0,SUP_CONTROL!$C$8*IF($B23="V",1,IF($B23="D",(1+SUP_VOLUMEN!$C$26),(1+SUP_VOLUMEN!$C$27)))*INDEX(SUP_C3_EXPANSION!$C$6:$F$6,MIN(4,COUNTIF(CAPA3_EXPANSION!$D$56:AE$56,"&gt;="&amp;16)))*CAPA3_EXPANSION!AE$36)</f>
        <v>0</v>
      </c>
      <c r="AF23" s="298" t="n">
        <f aca="false">IF(COUNTIF(CAPA3_EXPANSION!$D$56:AF$56,"&gt;="&amp;16)=0,0,SUP_CONTROL!$C$8*IF($B23="V",1,IF($B23="D",(1+SUP_VOLUMEN!$C$26),(1+SUP_VOLUMEN!$C$27)))*INDEX(SUP_C3_EXPANSION!$C$6:$F$6,MIN(4,COUNTIF(CAPA3_EXPANSION!$D$56:AF$56,"&gt;="&amp;16)))*CAPA3_EXPANSION!AF$36)</f>
        <v>0</v>
      </c>
      <c r="AG23" s="298" t="n">
        <f aca="false">IF(COUNTIF(CAPA3_EXPANSION!$D$56:AG$56,"&gt;="&amp;16)=0,0,SUP_CONTROL!$C$8*IF($B23="V",1,IF($B23="D",(1+SUP_VOLUMEN!$C$26),(1+SUP_VOLUMEN!$C$27)))*INDEX(SUP_C3_EXPANSION!$C$6:$F$6,MIN(4,COUNTIF(CAPA3_EXPANSION!$D$56:AG$56,"&gt;="&amp;16)))*CAPA3_EXPANSION!AG$36)</f>
        <v>0</v>
      </c>
      <c r="AH23" s="298" t="n">
        <f aca="false">IF(COUNTIF(CAPA3_EXPANSION!$D$56:AH$56,"&gt;="&amp;16)=0,0,SUP_CONTROL!$C$8*IF($B23="V",1,IF($B23="D",(1+SUP_VOLUMEN!$C$26),(1+SUP_VOLUMEN!$C$27)))*INDEX(SUP_C3_EXPANSION!$C$6:$F$6,MIN(4,COUNTIF(CAPA3_EXPANSION!$D$56:AH$56,"&gt;="&amp;16)))*CAPA3_EXPANSION!AH$36)</f>
        <v>0</v>
      </c>
      <c r="AI23" s="298" t="n">
        <f aca="false">IF(COUNTIF(CAPA3_EXPANSION!$D$56:AI$56,"&gt;="&amp;16)=0,0,SUP_CONTROL!$C$8*IF($B23="V",1,IF($B23="D",(1+SUP_VOLUMEN!$C$26),(1+SUP_VOLUMEN!$C$27)))*INDEX(SUP_C3_EXPANSION!$C$6:$F$6,MIN(4,COUNTIF(CAPA3_EXPANSION!$D$56:AI$56,"&gt;="&amp;16)))*CAPA3_EXPANSION!AI$36)</f>
        <v>0</v>
      </c>
      <c r="AJ23" s="298" t="n">
        <f aca="false">IF(COUNTIF(CAPA3_EXPANSION!$D$56:AJ$56,"&gt;="&amp;16)=0,0,SUP_CONTROL!$C$8*IF($B23="V",1,IF($B23="D",(1+SUP_VOLUMEN!$C$26),(1+SUP_VOLUMEN!$C$27)))*INDEX(SUP_C3_EXPANSION!$C$6:$F$6,MIN(4,COUNTIF(CAPA3_EXPANSION!$D$56:AJ$56,"&gt;="&amp;16)))*CAPA3_EXPANSION!AJ$36)</f>
        <v>0</v>
      </c>
      <c r="AK23" s="298" t="n">
        <f aca="false">IF(COUNTIF(CAPA3_EXPANSION!$D$56:AK$56,"&gt;="&amp;16)=0,0,SUP_CONTROL!$C$8*IF($B23="V",1,IF($B23="D",(1+SUP_VOLUMEN!$C$26),(1+SUP_VOLUMEN!$C$27)))*INDEX(SUP_C3_EXPANSION!$C$6:$F$6,MIN(4,COUNTIF(CAPA3_EXPANSION!$D$56:AK$56,"&gt;="&amp;16)))*CAPA3_EXPANSION!AK$36)</f>
        <v>0</v>
      </c>
      <c r="AL23" s="298" t="n">
        <f aca="false">IF(COUNTIF(CAPA3_EXPANSION!$D$56:AL$56,"&gt;="&amp;16)=0,0,SUP_CONTROL!$C$8*IF($B23="V",1,IF($B23="D",(1+SUP_VOLUMEN!$C$26),(1+SUP_VOLUMEN!$C$27)))*INDEX(SUP_C3_EXPANSION!$C$6:$F$6,MIN(4,COUNTIF(CAPA3_EXPANSION!$D$56:AL$56,"&gt;="&amp;16)))*CAPA3_EXPANSION!AL$36)</f>
        <v>0</v>
      </c>
      <c r="AM23" s="298" t="n">
        <f aca="false">IF(COUNTIF(CAPA3_EXPANSION!$D$56:AM$56,"&gt;="&amp;16)=0,0,SUP_CONTROL!$C$8*IF($B23="V",1,IF($B23="D",(1+SUP_VOLUMEN!$C$26),(1+SUP_VOLUMEN!$C$27)))*INDEX(SUP_C3_EXPANSION!$C$6:$F$6,MIN(4,COUNTIF(CAPA3_EXPANSION!$D$56:AM$56,"&gt;="&amp;16)))*CAPA3_EXPANSION!AM$36)</f>
        <v>0</v>
      </c>
      <c r="AN23" s="298" t="n">
        <f aca="false">IF(COUNTIF(CAPA3_EXPANSION!$D$56:AN$56,"&gt;="&amp;16)=0,0,SUP_CONTROL!$C$8*IF($B23="V",1,IF($B23="D",(1+SUP_VOLUMEN!$C$26),(1+SUP_VOLUMEN!$C$27)))*INDEX(SUP_C3_EXPANSION!$C$6:$F$6,MIN(4,COUNTIF(CAPA3_EXPANSION!$D$56:AN$56,"&gt;="&amp;16)))*CAPA3_EXPANSION!AN$36)</f>
        <v>0</v>
      </c>
      <c r="AO23" s="298" t="n">
        <f aca="false">IF(COUNTIF(CAPA3_EXPANSION!$D$56:AO$56,"&gt;="&amp;16)=0,0,SUP_CONTROL!$C$8*IF($B23="V",1,IF($B23="D",(1+SUP_VOLUMEN!$C$26),(1+SUP_VOLUMEN!$C$27)))*INDEX(SUP_C3_EXPANSION!$C$6:$F$6,MIN(4,COUNTIF(CAPA3_EXPANSION!$D$56:AO$56,"&gt;="&amp;16)))*CAPA3_EXPANSION!AO$36)</f>
        <v>0</v>
      </c>
      <c r="AP23" s="298" t="n">
        <f aca="false">IF(COUNTIF(CAPA3_EXPANSION!$D$56:AP$56,"&gt;="&amp;16)=0,0,SUP_CONTROL!$C$8*IF($B23="V",1,IF($B23="D",(1+SUP_VOLUMEN!$C$26),(1+SUP_VOLUMEN!$C$27)))*INDEX(SUP_C3_EXPANSION!$C$6:$F$6,MIN(4,COUNTIF(CAPA3_EXPANSION!$D$56:AP$56,"&gt;="&amp;16)))*CAPA3_EXPANSION!AP$36)</f>
        <v>0</v>
      </c>
      <c r="AQ23" s="298" t="n">
        <f aca="false">IF(COUNTIF(CAPA3_EXPANSION!$D$56:AQ$56,"&gt;="&amp;16)=0,0,SUP_CONTROL!$C$8*IF($B23="V",1,IF($B23="D",(1+SUP_VOLUMEN!$C$26),(1+SUP_VOLUMEN!$C$27)))*INDEX(SUP_C3_EXPANSION!$C$6:$F$6,MIN(4,COUNTIF(CAPA3_EXPANSION!$D$56:AQ$56,"&gt;="&amp;16)))*CAPA3_EXPANSION!AQ$36)</f>
        <v>0</v>
      </c>
      <c r="AR23" s="298" t="n">
        <f aca="false">IF(COUNTIF(CAPA3_EXPANSION!$D$56:AR$56,"&gt;="&amp;16)=0,0,SUP_CONTROL!$C$8*IF($B23="V",1,IF($B23="D",(1+SUP_VOLUMEN!$C$26),(1+SUP_VOLUMEN!$C$27)))*INDEX(SUP_C3_EXPANSION!$C$6:$F$6,MIN(4,COUNTIF(CAPA3_EXPANSION!$D$56:AR$56,"&gt;="&amp;16)))*CAPA3_EXPANSION!AR$36)</f>
        <v>0</v>
      </c>
      <c r="AS23" s="298" t="n">
        <f aca="false">IF(COUNTIF(CAPA3_EXPANSION!$D$56:AS$56,"&gt;="&amp;16)=0,0,SUP_CONTROL!$C$8*IF($B23="V",1,IF($B23="D",(1+SUP_VOLUMEN!$C$26),(1+SUP_VOLUMEN!$C$27)))*INDEX(SUP_C3_EXPANSION!$C$6:$F$6,MIN(4,COUNTIF(CAPA3_EXPANSION!$D$56:AS$56,"&gt;="&amp;16)))*CAPA3_EXPANSION!AS$36)</f>
        <v>0</v>
      </c>
      <c r="AT23" s="298" t="n">
        <f aca="false">IF(COUNTIF(CAPA3_EXPANSION!$D$56:AT$56,"&gt;="&amp;16)=0,0,SUP_CONTROL!$C$8*IF($B23="V",1,IF($B23="D",(1+SUP_VOLUMEN!$C$26),(1+SUP_VOLUMEN!$C$27)))*INDEX(SUP_C3_EXPANSION!$C$6:$F$6,MIN(4,COUNTIF(CAPA3_EXPANSION!$D$56:AT$56,"&gt;="&amp;16)))*CAPA3_EXPANSION!AT$36)</f>
        <v>0</v>
      </c>
      <c r="AU23" s="298" t="n">
        <f aca="false">IF(COUNTIF(CAPA3_EXPANSION!$D$56:AU$56,"&gt;="&amp;16)=0,0,SUP_CONTROL!$C$8*IF($B23="V",1,IF($B23="D",(1+SUP_VOLUMEN!$C$26),(1+SUP_VOLUMEN!$C$27)))*INDEX(SUP_C3_EXPANSION!$C$6:$F$6,MIN(4,COUNTIF(CAPA3_EXPANSION!$D$56:AU$56,"&gt;="&amp;16)))*CAPA3_EXPANSION!AU$36)</f>
        <v>0</v>
      </c>
      <c r="AV23" s="298" t="n">
        <f aca="false">IF(COUNTIF(CAPA3_EXPANSION!$D$56:AV$56,"&gt;="&amp;16)=0,0,SUP_CONTROL!$C$8*IF($B23="V",1,IF($B23="D",(1+SUP_VOLUMEN!$C$26),(1+SUP_VOLUMEN!$C$27)))*INDEX(SUP_C3_EXPANSION!$C$6:$F$6,MIN(4,COUNTIF(CAPA3_EXPANSION!$D$56:AV$56,"&gt;="&amp;16)))*CAPA3_EXPANSION!AV$36)</f>
        <v>0</v>
      </c>
      <c r="AW23" s="298" t="n">
        <f aca="false">IF(COUNTIF(CAPA3_EXPANSION!$D$56:AW$56,"&gt;="&amp;16)=0,0,SUP_CONTROL!$C$8*IF($B23="V",1,IF($B23="D",(1+SUP_VOLUMEN!$C$26),(1+SUP_VOLUMEN!$C$27)))*INDEX(SUP_C3_EXPANSION!$C$6:$F$6,MIN(4,COUNTIF(CAPA3_EXPANSION!$D$56:AW$56,"&gt;="&amp;16)))*CAPA3_EXPANSION!AW$36)</f>
        <v>0</v>
      </c>
      <c r="AX23" s="298" t="n">
        <f aca="false">IF(COUNTIF(CAPA3_EXPANSION!$D$56:AX$56,"&gt;="&amp;16)=0,0,SUP_CONTROL!$C$8*IF($B23="V",1,IF($B23="D",(1+SUP_VOLUMEN!$C$26),(1+SUP_VOLUMEN!$C$27)))*INDEX(SUP_C3_EXPANSION!$C$6:$F$6,MIN(4,COUNTIF(CAPA3_EXPANSION!$D$56:AX$56,"&gt;="&amp;16)))*CAPA3_EXPANSION!AX$36)</f>
        <v>0</v>
      </c>
      <c r="AY23" s="298" t="n">
        <f aca="false">IF(COUNTIF(CAPA3_EXPANSION!$D$56:AY$56,"&gt;="&amp;16)=0,0,SUP_CONTROL!$C$8*IF($B23="V",1,IF($B23="D",(1+SUP_VOLUMEN!$C$26),(1+SUP_VOLUMEN!$C$27)))*INDEX(SUP_C3_EXPANSION!$C$6:$F$6,MIN(4,COUNTIF(CAPA3_EXPANSION!$D$56:AY$56,"&gt;="&amp;16)))*CAPA3_EXPANSION!AY$36)</f>
        <v>0</v>
      </c>
      <c r="AZ23" s="298" t="n">
        <f aca="false">IF(COUNTIF(CAPA3_EXPANSION!$D$56:AZ$56,"&gt;="&amp;16)=0,0,SUP_CONTROL!$C$8*IF($B23="V",1,IF($B23="D",(1+SUP_VOLUMEN!$C$26),(1+SUP_VOLUMEN!$C$27)))*INDEX(SUP_C3_EXPANSION!$C$6:$F$6,MIN(4,COUNTIF(CAPA3_EXPANSION!$D$56:AZ$56,"&gt;="&amp;16)))*CAPA3_EXPANSION!AZ$36)</f>
        <v>0</v>
      </c>
      <c r="BA23" s="298" t="n">
        <f aca="false">IF(COUNTIF(CAPA3_EXPANSION!$D$56:BA$56,"&gt;="&amp;16)=0,0,SUP_CONTROL!$C$8*IF($B23="V",1,IF($B23="D",(1+SUP_VOLUMEN!$C$26),(1+SUP_VOLUMEN!$C$27)))*INDEX(SUP_C3_EXPANSION!$C$6:$F$6,MIN(4,COUNTIF(CAPA3_EXPANSION!$D$56:BA$56,"&gt;="&amp;16)))*CAPA3_EXPANSION!BA$36)</f>
        <v>0</v>
      </c>
      <c r="BB23" s="298" t="n">
        <f aca="false">IF(COUNTIF(CAPA3_EXPANSION!$D$56:BB$56,"&gt;="&amp;16)=0,0,SUP_CONTROL!$C$8*IF($B23="V",1,IF($B23="D",(1+SUP_VOLUMEN!$C$26),(1+SUP_VOLUMEN!$C$27)))*INDEX(SUP_C3_EXPANSION!$C$6:$F$6,MIN(4,COUNTIF(CAPA3_EXPANSION!$D$56:BB$56,"&gt;="&amp;16)))*CAPA3_EXPANSION!BB$36)</f>
        <v>0</v>
      </c>
      <c r="BC23" s="298" t="n">
        <f aca="false">IF(COUNTIF(CAPA3_EXPANSION!$D$56:BC$56,"&gt;="&amp;16)=0,0,SUP_CONTROL!$C$8*IF($B23="V",1,IF($B23="D",(1+SUP_VOLUMEN!$C$26),(1+SUP_VOLUMEN!$C$27)))*INDEX(SUP_C3_EXPANSION!$C$6:$F$6,MIN(4,COUNTIF(CAPA3_EXPANSION!$D$56:BC$56,"&gt;="&amp;16)))*CAPA3_EXPANSION!BC$36)</f>
        <v>0</v>
      </c>
      <c r="BD23" s="298" t="n">
        <f aca="false">IF(COUNTIF(CAPA3_EXPANSION!$D$56:BD$56,"&gt;="&amp;16)=0,0,SUP_CONTROL!$C$8*IF($B23="V",1,IF($B23="D",(1+SUP_VOLUMEN!$C$26),(1+SUP_VOLUMEN!$C$27)))*INDEX(SUP_C3_EXPANSION!$C$6:$F$6,MIN(4,COUNTIF(CAPA3_EXPANSION!$D$56:BD$56,"&gt;="&amp;16)))*CAPA3_EXPANSION!BD$36)</f>
        <v>0</v>
      </c>
      <c r="BE23" s="298" t="n">
        <f aca="false">IF(COUNTIF(CAPA3_EXPANSION!$D$56:BE$56,"&gt;="&amp;16)=0,0,SUP_CONTROL!$C$8*IF($B23="V",1,IF($B23="D",(1+SUP_VOLUMEN!$C$26),(1+SUP_VOLUMEN!$C$27)))*INDEX(SUP_C3_EXPANSION!$C$6:$F$6,MIN(4,COUNTIF(CAPA3_EXPANSION!$D$56:BE$56,"&gt;="&amp;16)))*CAPA3_EXPANSION!BE$36)</f>
        <v>0</v>
      </c>
      <c r="BF23" s="298" t="n">
        <f aca="false">IF(COUNTIF(CAPA3_EXPANSION!$D$56:BF$56,"&gt;="&amp;16)=0,0,SUP_CONTROL!$C$8*IF($B23="V",1,IF($B23="D",(1+SUP_VOLUMEN!$C$26),(1+SUP_VOLUMEN!$C$27)))*INDEX(SUP_C3_EXPANSION!$C$6:$F$6,MIN(4,COUNTIF(CAPA3_EXPANSION!$D$56:BF$56,"&gt;="&amp;16)))*CAPA3_EXPANSION!BF$36)</f>
        <v>0</v>
      </c>
      <c r="BG23" s="298" t="n">
        <f aca="false">IF(COUNTIF(CAPA3_EXPANSION!$D$56:BG$56,"&gt;="&amp;16)=0,0,SUP_CONTROL!$C$8*IF($B23="V",1,IF($B23="D",(1+SUP_VOLUMEN!$C$26),(1+SUP_VOLUMEN!$C$27)))*INDEX(SUP_C3_EXPANSION!$C$6:$F$6,MIN(4,COUNTIF(CAPA3_EXPANSION!$D$56:BG$56,"&gt;="&amp;16)))*CAPA3_EXPANSION!BG$36)</f>
        <v>0</v>
      </c>
      <c r="BH23" s="298" t="n">
        <f aca="false">IF(COUNTIF(CAPA3_EXPANSION!$D$56:BH$56,"&gt;="&amp;16)=0,0,SUP_CONTROL!$C$8*IF($B23="V",1,IF($B23="D",(1+SUP_VOLUMEN!$C$26),(1+SUP_VOLUMEN!$C$27)))*INDEX(SUP_C3_EXPANSION!$C$6:$F$6,MIN(4,COUNTIF(CAPA3_EXPANSION!$D$56:BH$56,"&gt;="&amp;16)))*CAPA3_EXPANSION!BH$36)</f>
        <v>0</v>
      </c>
      <c r="BI23" s="298" t="n">
        <f aca="false">IF(COUNTIF(CAPA3_EXPANSION!$D$56:BI$56,"&gt;="&amp;16)=0,0,SUP_CONTROL!$C$8*IF($B23="V",1,IF($B23="D",(1+SUP_VOLUMEN!$C$26),(1+SUP_VOLUMEN!$C$27)))*INDEX(SUP_C3_EXPANSION!$C$6:$F$6,MIN(4,COUNTIF(CAPA3_EXPANSION!$D$56:BI$56,"&gt;="&amp;16)))*CAPA3_EXPANSION!BI$36)</f>
        <v>0</v>
      </c>
      <c r="BJ23" s="298" t="n">
        <f aca="false">IF(COUNTIF(CAPA3_EXPANSION!$D$56:BJ$56,"&gt;="&amp;16)=0,0,SUP_CONTROL!$C$8*IF($B23="V",1,IF($B23="D",(1+SUP_VOLUMEN!$C$26),(1+SUP_VOLUMEN!$C$27)))*INDEX(SUP_C3_EXPANSION!$C$6:$F$6,MIN(4,COUNTIF(CAPA3_EXPANSION!$D$56:BJ$56,"&gt;="&amp;16)))*CAPA3_EXPANSION!BJ$36)</f>
        <v>2511.6</v>
      </c>
      <c r="BK23" s="298" t="n">
        <f aca="false">IF(COUNTIF(CAPA3_EXPANSION!$D$56:BK$56,"&gt;="&amp;16)=0,0,SUP_CONTROL!$C$8*IF($B23="V",1,IF($B23="D",(1+SUP_VOLUMEN!$C$26),(1+SUP_VOLUMEN!$C$27)))*INDEX(SUP_C3_EXPANSION!$C$6:$F$6,MIN(4,COUNTIF(CAPA3_EXPANSION!$D$56:BK$56,"&gt;="&amp;16)))*CAPA3_EXPANSION!BK$36)</f>
        <v>3024</v>
      </c>
      <c r="BL23" s="298" t="n">
        <f aca="false">IF(COUNTIF(CAPA3_EXPANSION!$D$56:BL$56,"&gt;="&amp;16)=0,0,SUP_CONTROL!$C$8*IF($B23="V",1,IF($B23="D",(1+SUP_VOLUMEN!$C$26),(1+SUP_VOLUMEN!$C$27)))*INDEX(SUP_C3_EXPANSION!$C$6:$F$6,MIN(4,COUNTIF(CAPA3_EXPANSION!$D$56:BL$56,"&gt;="&amp;16)))*CAPA3_EXPANSION!BL$36)</f>
        <v>3402</v>
      </c>
      <c r="BM23" s="298" t="n">
        <f aca="false">IF(COUNTIF(CAPA3_EXPANSION!$D$56:BM$56,"&gt;="&amp;16)=0,0,SUP_CONTROL!$C$8*IF($B23="V",1,IF($B23="D",(1+SUP_VOLUMEN!$C$26),(1+SUP_VOLUMEN!$C$27)))*INDEX(SUP_C3_EXPANSION!$C$6:$F$6,MIN(4,COUNTIF(CAPA3_EXPANSION!$D$56:BM$56,"&gt;="&amp;16)))*CAPA3_EXPANSION!BM$36)</f>
        <v>3780</v>
      </c>
      <c r="BN23" s="298" t="n">
        <f aca="false">IF(COUNTIF(CAPA3_EXPANSION!$D$56:BN$56,"&gt;="&amp;16)=0,0,SUP_CONTROL!$C$8*IF($B23="V",1,IF($B23="D",(1+SUP_VOLUMEN!$C$26),(1+SUP_VOLUMEN!$C$27)))*INDEX(SUP_C3_EXPANSION!$C$6:$F$6,MIN(4,COUNTIF(CAPA3_EXPANSION!$D$56:BN$56,"&gt;="&amp;16)))*CAPA3_EXPANSION!BN$36)</f>
        <v>3780</v>
      </c>
      <c r="BO23" s="298" t="n">
        <f aca="false">IF(COUNTIF(CAPA3_EXPANSION!$D$56:BO$56,"&gt;="&amp;16)=0,0,SUP_CONTROL!$C$8*IF($B23="V",1,IF($B23="D",(1+SUP_VOLUMEN!$C$26),(1+SUP_VOLUMEN!$C$27)))*INDEX(SUP_C3_EXPANSION!$C$6:$F$6,MIN(4,COUNTIF(CAPA3_EXPANSION!$D$56:BO$56,"&gt;="&amp;16)))*CAPA3_EXPANSION!BO$36)</f>
        <v>3780</v>
      </c>
      <c r="BP23" s="298" t="n">
        <f aca="false">IF(COUNTIF(CAPA3_EXPANSION!$D$56:BP$56,"&gt;="&amp;16)=0,0,SUP_CONTROL!$C$8*IF($B23="V",1,IF($B23="D",(1+SUP_VOLUMEN!$C$26),(1+SUP_VOLUMEN!$C$27)))*INDEX(SUP_C3_EXPANSION!$C$6:$F$6,MIN(4,COUNTIF(CAPA3_EXPANSION!$D$56:BP$56,"&gt;="&amp;16)))*CAPA3_EXPANSION!BP$36)</f>
        <v>3780</v>
      </c>
      <c r="BQ23" s="298" t="n">
        <f aca="false">IF(COUNTIF(CAPA3_EXPANSION!$D$56:BQ$56,"&gt;="&amp;16)=0,0,SUP_CONTROL!$C$8*IF($B23="V",1,IF($B23="D",(1+SUP_VOLUMEN!$C$26),(1+SUP_VOLUMEN!$C$27)))*INDEX(SUP_C3_EXPANSION!$C$6:$F$6,MIN(4,COUNTIF(CAPA3_EXPANSION!$D$56:BQ$56,"&gt;="&amp;16)))*CAPA3_EXPANSION!BQ$36)</f>
        <v>3696</v>
      </c>
      <c r="BR23" s="298" t="n">
        <f aca="false">IF(COUNTIF(CAPA3_EXPANSION!$D$56:BR$56,"&gt;="&amp;16)=0,0,SUP_CONTROL!$C$8*IF($B23="V",1,IF($B23="D",(1+SUP_VOLUMEN!$C$26),(1+SUP_VOLUMEN!$C$27)))*INDEX(SUP_C3_EXPANSION!$C$6:$F$6,MIN(4,COUNTIF(CAPA3_EXPANSION!$D$56:BR$56,"&gt;="&amp;16)))*CAPA3_EXPANSION!BR$36)</f>
        <v>3696</v>
      </c>
      <c r="BS23" s="298" t="n">
        <f aca="false">IF(COUNTIF(CAPA3_EXPANSION!$D$56:BS$56,"&gt;="&amp;16)=0,0,SUP_CONTROL!$C$8*IF($B23="V",1,IF($B23="D",(1+SUP_VOLUMEN!$C$26),(1+SUP_VOLUMEN!$C$27)))*INDEX(SUP_C3_EXPANSION!$C$6:$F$6,MIN(4,COUNTIF(CAPA3_EXPANSION!$D$56:BS$56,"&gt;="&amp;16)))*CAPA3_EXPANSION!BS$36)</f>
        <v>3696</v>
      </c>
      <c r="BT23" s="298" t="n">
        <f aca="false">IF(COUNTIF(CAPA3_EXPANSION!$D$56:BT$56,"&gt;="&amp;16)=0,0,SUP_CONTROL!$C$8*IF($B23="V",1,IF($B23="D",(1+SUP_VOLUMEN!$C$26),(1+SUP_VOLUMEN!$C$27)))*INDEX(SUP_C3_EXPANSION!$C$6:$F$6,MIN(4,COUNTIF(CAPA3_EXPANSION!$D$56:BT$56,"&gt;="&amp;16)))*CAPA3_EXPANSION!BT$36)</f>
        <v>3696</v>
      </c>
      <c r="BU23" s="298" t="n">
        <f aca="false">IF(COUNTIF(CAPA3_EXPANSION!$D$56:BU$56,"&gt;="&amp;16)=0,0,SUP_CONTROL!$C$8*IF($B23="V",1,IF($B23="D",(1+SUP_VOLUMEN!$C$26),(1+SUP_VOLUMEN!$C$27)))*INDEX(SUP_C3_EXPANSION!$C$6:$F$6,MIN(4,COUNTIF(CAPA3_EXPANSION!$D$56:BU$56,"&gt;="&amp;16)))*CAPA3_EXPANSION!BU$36)</f>
        <v>3696</v>
      </c>
      <c r="BV23" s="298" t="n">
        <f aca="false">IF(COUNTIF(CAPA3_EXPANSION!$D$56:BV$56,"&gt;="&amp;16)=0,0,SUP_CONTROL!$C$8*IF($B23="V",1,IF($B23="D",(1+SUP_VOLUMEN!$C$26),(1+SUP_VOLUMEN!$C$27)))*INDEX(SUP_C3_EXPANSION!$C$6:$F$6,MIN(4,COUNTIF(CAPA3_EXPANSION!$D$56:BV$56,"&gt;="&amp;16)))*CAPA3_EXPANSION!BV$36)</f>
        <v>3696</v>
      </c>
      <c r="BW23" s="298" t="n">
        <f aca="false">IF(COUNTIF(CAPA3_EXPANSION!$D$56:BW$56,"&gt;="&amp;16)=0,0,SUP_CONTROL!$C$8*IF($B23="V",1,IF($B23="D",(1+SUP_VOLUMEN!$C$26),(1+SUP_VOLUMEN!$C$27)))*INDEX(SUP_C3_EXPANSION!$C$6:$F$6,MIN(4,COUNTIF(CAPA3_EXPANSION!$D$56:BW$56,"&gt;="&amp;16)))*CAPA3_EXPANSION!BW$36)</f>
        <v>3633</v>
      </c>
      <c r="BX23" s="298" t="n">
        <f aca="false">IF(COUNTIF(CAPA3_EXPANSION!$D$56:BX$56,"&gt;="&amp;16)=0,0,SUP_CONTROL!$C$8*IF($B23="V",1,IF($B23="D",(1+SUP_VOLUMEN!$C$26),(1+SUP_VOLUMEN!$C$27)))*INDEX(SUP_C3_EXPANSION!$C$6:$F$6,MIN(4,COUNTIF(CAPA3_EXPANSION!$D$56:BX$56,"&gt;="&amp;16)))*CAPA3_EXPANSION!BX$36)</f>
        <v>3633</v>
      </c>
      <c r="BY23" s="298" t="n">
        <f aca="false">IF(COUNTIF(CAPA3_EXPANSION!$D$56:BY$56,"&gt;="&amp;16)=0,0,SUP_CONTROL!$C$8*IF($B23="V",1,IF($B23="D",(1+SUP_VOLUMEN!$C$26),(1+SUP_VOLUMEN!$C$27)))*INDEX(SUP_C3_EXPANSION!$C$6:$F$6,MIN(4,COUNTIF(CAPA3_EXPANSION!$D$56:BY$56,"&gt;="&amp;16)))*CAPA3_EXPANSION!BY$36)</f>
        <v>3633</v>
      </c>
      <c r="BZ23" s="298" t="n">
        <f aca="false">IF(COUNTIF(CAPA3_EXPANSION!$D$56:BZ$56,"&gt;="&amp;16)=0,0,SUP_CONTROL!$C$8*IF($B23="V",1,IF($B23="D",(1+SUP_VOLUMEN!$C$26),(1+SUP_VOLUMEN!$C$27)))*INDEX(SUP_C3_EXPANSION!$C$6:$F$6,MIN(4,COUNTIF(CAPA3_EXPANSION!$D$56:BZ$56,"&gt;="&amp;16)))*CAPA3_EXPANSION!BZ$36)</f>
        <v>3633</v>
      </c>
      <c r="CA23" s="298" t="n">
        <f aca="false">IF(COUNTIF(CAPA3_EXPANSION!$D$56:CA$56,"&gt;="&amp;16)=0,0,SUP_CONTROL!$C$8*IF($B23="V",1,IF($B23="D",(1+SUP_VOLUMEN!$C$26),(1+SUP_VOLUMEN!$C$27)))*INDEX(SUP_C3_EXPANSION!$C$6:$F$6,MIN(4,COUNTIF(CAPA3_EXPANSION!$D$56:CA$56,"&gt;="&amp;16)))*CAPA3_EXPANSION!CA$36)</f>
        <v>3633</v>
      </c>
      <c r="CB23" s="298" t="n">
        <f aca="false">IF(COUNTIF(CAPA3_EXPANSION!$D$56:CB$56,"&gt;="&amp;16)=0,0,SUP_CONTROL!$C$8*IF($B23="V",1,IF($B23="D",(1+SUP_VOLUMEN!$C$26),(1+SUP_VOLUMEN!$C$27)))*INDEX(SUP_C3_EXPANSION!$C$6:$F$6,MIN(4,COUNTIF(CAPA3_EXPANSION!$D$56:CB$56,"&gt;="&amp;16)))*CAPA3_EXPANSION!CB$36)</f>
        <v>3570</v>
      </c>
      <c r="CC23" s="298" t="n">
        <f aca="false">IF(COUNTIF(CAPA3_EXPANSION!$D$56:CC$56,"&gt;="&amp;16)=0,0,SUP_CONTROL!$C$8*IF($B23="V",1,IF($B23="D",(1+SUP_VOLUMEN!$C$26),(1+SUP_VOLUMEN!$C$27)))*INDEX(SUP_C3_EXPANSION!$C$6:$F$6,MIN(4,COUNTIF(CAPA3_EXPANSION!$D$56:CC$56,"&gt;="&amp;16)))*CAPA3_EXPANSION!CC$36)</f>
        <v>3570</v>
      </c>
      <c r="CD23" s="298" t="n">
        <f aca="false">IF(COUNTIF(CAPA3_EXPANSION!$D$56:CD$56,"&gt;="&amp;16)=0,0,SUP_CONTROL!$C$8*IF($B23="V",1,IF($B23="D",(1+SUP_VOLUMEN!$C$26),(1+SUP_VOLUMEN!$C$27)))*INDEX(SUP_C3_EXPANSION!$C$6:$F$6,MIN(4,COUNTIF(CAPA3_EXPANSION!$D$56:CD$56,"&gt;="&amp;16)))*CAPA3_EXPANSION!CD$36)</f>
        <v>3570</v>
      </c>
      <c r="CE23" s="298" t="n">
        <f aca="false">IF(COUNTIF(CAPA3_EXPANSION!$D$56:CE$56,"&gt;="&amp;16)=0,0,SUP_CONTROL!$C$8*IF($B23="V",1,IF($B23="D",(1+SUP_VOLUMEN!$C$26),(1+SUP_VOLUMEN!$C$27)))*INDEX(SUP_C3_EXPANSION!$C$6:$F$6,MIN(4,COUNTIF(CAPA3_EXPANSION!$D$56:CE$56,"&gt;="&amp;16)))*CAPA3_EXPANSION!CE$36)</f>
        <v>3570</v>
      </c>
      <c r="CF23" s="298" t="n">
        <f aca="false">IF(COUNTIF(CAPA3_EXPANSION!$D$56:CF$56,"&gt;="&amp;16)=0,0,SUP_CONTROL!$C$8*IF($B23="V",1,IF($B23="D",(1+SUP_VOLUMEN!$C$26),(1+SUP_VOLUMEN!$C$27)))*INDEX(SUP_C3_EXPANSION!$C$6:$F$6,MIN(4,COUNTIF(CAPA3_EXPANSION!$D$56:CF$56,"&gt;="&amp;16)))*CAPA3_EXPANSION!CF$36)</f>
        <v>3570</v>
      </c>
      <c r="CG23" s="298" t="n">
        <f aca="false">IF(COUNTIF(CAPA3_EXPANSION!$D$56:CG$56,"&gt;="&amp;16)=0,0,SUP_CONTROL!$C$8*IF($B23="V",1,IF($B23="D",(1+SUP_VOLUMEN!$C$26),(1+SUP_VOLUMEN!$C$27)))*INDEX(SUP_C3_EXPANSION!$C$6:$F$6,MIN(4,COUNTIF(CAPA3_EXPANSION!$D$56:CG$56,"&gt;="&amp;16)))*CAPA3_EXPANSION!CG$36)</f>
        <v>3528</v>
      </c>
      <c r="CH23" s="298" t="n">
        <f aca="false">IF(COUNTIF(CAPA3_EXPANSION!$D$56:CH$56,"&gt;="&amp;16)=0,0,SUP_CONTROL!$C$8*IF($B23="V",1,IF($B23="D",(1+SUP_VOLUMEN!$C$26),(1+SUP_VOLUMEN!$C$27)))*INDEX(SUP_C3_EXPANSION!$C$6:$F$6,MIN(4,COUNTIF(CAPA3_EXPANSION!$D$56:CH$56,"&gt;="&amp;16)))*CAPA3_EXPANSION!CH$36)</f>
        <v>3528</v>
      </c>
      <c r="CI23" s="298" t="n">
        <f aca="false">IF(COUNTIF(CAPA3_EXPANSION!$D$56:CI$56,"&gt;="&amp;16)=0,0,SUP_CONTROL!$C$8*IF($B23="V",1,IF($B23="D",(1+SUP_VOLUMEN!$C$26),(1+SUP_VOLUMEN!$C$27)))*INDEX(SUP_C3_EXPANSION!$C$6:$F$6,MIN(4,COUNTIF(CAPA3_EXPANSION!$D$56:CI$56,"&gt;="&amp;16)))*CAPA3_EXPANSION!CI$36)</f>
        <v>3528</v>
      </c>
      <c r="CJ23" s="298" t="n">
        <f aca="false">IF(COUNTIF(CAPA3_EXPANSION!$D$56:CJ$56,"&gt;="&amp;16)=0,0,SUP_CONTROL!$C$8*IF($B23="V",1,IF($B23="D",(1+SUP_VOLUMEN!$C$26),(1+SUP_VOLUMEN!$C$27)))*INDEX(SUP_C3_EXPANSION!$C$6:$F$6,MIN(4,COUNTIF(CAPA3_EXPANSION!$D$56:CJ$56,"&gt;="&amp;16)))*CAPA3_EXPANSION!CJ$36)</f>
        <v>3528</v>
      </c>
      <c r="CK23" s="298" t="n">
        <f aca="false">IF(COUNTIF(CAPA3_EXPANSION!$D$56:CK$56,"&gt;="&amp;16)=0,0,SUP_CONTROL!$C$8*IF($B23="V",1,IF($B23="D",(1+SUP_VOLUMEN!$C$26),(1+SUP_VOLUMEN!$C$27)))*INDEX(SUP_C3_EXPANSION!$C$6:$F$6,MIN(4,COUNTIF(CAPA3_EXPANSION!$D$56:CK$56,"&gt;="&amp;16)))*CAPA3_EXPANSION!CK$36)</f>
        <v>3528</v>
      </c>
      <c r="CL23" s="298" t="n">
        <f aca="false">IF(COUNTIF(CAPA3_EXPANSION!$D$56:CL$56,"&gt;="&amp;16)=0,0,SUP_CONTROL!$C$8*IF($B23="V",1,IF($B23="D",(1+SUP_VOLUMEN!$C$26),(1+SUP_VOLUMEN!$C$27)))*INDEX(SUP_C3_EXPANSION!$C$6:$F$6,MIN(4,COUNTIF(CAPA3_EXPANSION!$D$56:CL$56,"&gt;="&amp;16)))*CAPA3_EXPANSION!CL$36)</f>
        <v>3528</v>
      </c>
      <c r="CM23" s="298" t="n">
        <f aca="false">IF(COUNTIF(CAPA3_EXPANSION!$D$56:CM$56,"&gt;="&amp;16)=0,0,SUP_CONTROL!$C$8*IF($B23="V",1,IF($B23="D",(1+SUP_VOLUMEN!$C$26),(1+SUP_VOLUMEN!$C$27)))*INDEX(SUP_C3_EXPANSION!$C$6:$F$6,MIN(4,COUNTIF(CAPA3_EXPANSION!$D$56:CM$56,"&gt;="&amp;16)))*CAPA3_EXPANSION!CM$36)</f>
        <v>3528</v>
      </c>
      <c r="CN23" s="298" t="n">
        <f aca="false">IF(COUNTIF(CAPA3_EXPANSION!$D$56:CN$56,"&gt;="&amp;16)=0,0,SUP_CONTROL!$C$8*IF($B23="V",1,IF($B23="D",(1+SUP_VOLUMEN!$C$26),(1+SUP_VOLUMEN!$C$27)))*INDEX(SUP_C3_EXPANSION!$C$6:$F$6,MIN(4,COUNTIF(CAPA3_EXPANSION!$D$56:CN$56,"&gt;="&amp;16)))*CAPA3_EXPANSION!CN$36)</f>
        <v>3528</v>
      </c>
      <c r="CO23" s="298" t="n">
        <f aca="false">IF(COUNTIF(CAPA3_EXPANSION!$D$56:CO$56,"&gt;="&amp;16)=0,0,SUP_CONTROL!$C$8*IF($B23="V",1,IF($B23="D",(1+SUP_VOLUMEN!$C$26),(1+SUP_VOLUMEN!$C$27)))*INDEX(SUP_C3_EXPANSION!$C$6:$F$6,MIN(4,COUNTIF(CAPA3_EXPANSION!$D$56:CO$56,"&gt;="&amp;16)))*CAPA3_EXPANSION!CO$36)</f>
        <v>3528</v>
      </c>
      <c r="CP23" s="298" t="n">
        <f aca="false">IF(COUNTIF(CAPA3_EXPANSION!$D$56:CP$56,"&gt;="&amp;16)=0,0,SUP_CONTROL!$C$8*IF($B23="V",1,IF($B23="D",(1+SUP_VOLUMEN!$C$26),(1+SUP_VOLUMEN!$C$27)))*INDEX(SUP_C3_EXPANSION!$C$6:$F$6,MIN(4,COUNTIF(CAPA3_EXPANSION!$D$56:CP$56,"&gt;="&amp;16)))*CAPA3_EXPANSION!CP$36)</f>
        <v>3528</v>
      </c>
      <c r="CQ23" s="298" t="n">
        <f aca="false">IF(COUNTIF(CAPA3_EXPANSION!$D$56:CQ$56,"&gt;="&amp;16)=0,0,SUP_CONTROL!$C$8*IF($B23="V",1,IF($B23="D",(1+SUP_VOLUMEN!$C$26),(1+SUP_VOLUMEN!$C$27)))*INDEX(SUP_C3_EXPANSION!$C$6:$F$6,MIN(4,COUNTIF(CAPA3_EXPANSION!$D$56:CQ$56,"&gt;="&amp;16)))*CAPA3_EXPANSION!CQ$36)</f>
        <v>3528</v>
      </c>
      <c r="CR23" s="298" t="n">
        <f aca="false">IF(COUNTIF(CAPA3_EXPANSION!$D$56:CR$56,"&gt;="&amp;16)=0,0,SUP_CONTROL!$C$8*IF($B23="V",1,IF($B23="D",(1+SUP_VOLUMEN!$C$26),(1+SUP_VOLUMEN!$C$27)))*INDEX(SUP_C3_EXPANSION!$C$6:$F$6,MIN(4,COUNTIF(CAPA3_EXPANSION!$D$56:CR$56,"&gt;="&amp;16)))*CAPA3_EXPANSION!CR$36)</f>
        <v>3528</v>
      </c>
      <c r="CS23" s="298" t="n">
        <f aca="false">IF(COUNTIF(CAPA3_EXPANSION!$D$56:CS$56,"&gt;="&amp;16)=0,0,SUP_CONTROL!$C$8*IF($B23="V",1,IF($B23="D",(1+SUP_VOLUMEN!$C$26),(1+SUP_VOLUMEN!$C$27)))*INDEX(SUP_C3_EXPANSION!$C$6:$F$6,MIN(4,COUNTIF(CAPA3_EXPANSION!$D$56:CS$56,"&gt;="&amp;16)))*CAPA3_EXPANSION!CS$36)</f>
        <v>3528</v>
      </c>
      <c r="CT23" s="298" t="n">
        <f aca="false">IF(COUNTIF(CAPA3_EXPANSION!$D$56:CT$56,"&gt;="&amp;16)=0,0,SUP_CONTROL!$C$8*IF($B23="V",1,IF($B23="D",(1+SUP_VOLUMEN!$C$26),(1+SUP_VOLUMEN!$C$27)))*INDEX(SUP_C3_EXPANSION!$C$6:$F$6,MIN(4,COUNTIF(CAPA3_EXPANSION!$D$56:CT$56,"&gt;="&amp;16)))*CAPA3_EXPANSION!CT$36)</f>
        <v>3528</v>
      </c>
      <c r="CU23" s="298" t="n">
        <f aca="false">IF(COUNTIF(CAPA3_EXPANSION!$D$56:CU$56,"&gt;="&amp;16)=0,0,SUP_CONTROL!$C$8*IF($B23="V",1,IF($B23="D",(1+SUP_VOLUMEN!$C$26),(1+SUP_VOLUMEN!$C$27)))*INDEX(SUP_C3_EXPANSION!$C$6:$F$6,MIN(4,COUNTIF(CAPA3_EXPANSION!$D$56:CU$56,"&gt;="&amp;16)))*CAPA3_EXPANSION!CU$36)</f>
        <v>3528</v>
      </c>
      <c r="CV23" s="298" t="n">
        <f aca="false">IF(COUNTIF(CAPA3_EXPANSION!$D$56:CV$56,"&gt;="&amp;16)=0,0,SUP_CONTROL!$C$8*IF($B23="V",1,IF($B23="D",(1+SUP_VOLUMEN!$C$26),(1+SUP_VOLUMEN!$C$27)))*INDEX(SUP_C3_EXPANSION!$C$6:$F$6,MIN(4,COUNTIF(CAPA3_EXPANSION!$D$56:CV$56,"&gt;="&amp;16)))*CAPA3_EXPANSION!CV$36)</f>
        <v>3528</v>
      </c>
      <c r="CW23" s="298" t="n">
        <f aca="false">IF(COUNTIF(CAPA3_EXPANSION!$D$56:CW$56,"&gt;="&amp;16)=0,0,SUP_CONTROL!$C$8*IF($B23="V",1,IF($B23="D",(1+SUP_VOLUMEN!$C$26),(1+SUP_VOLUMEN!$C$27)))*INDEX(SUP_C3_EXPANSION!$C$6:$F$6,MIN(4,COUNTIF(CAPA3_EXPANSION!$D$56:CW$56,"&gt;="&amp;16)))*CAPA3_EXPANSION!CW$36)</f>
        <v>3528</v>
      </c>
      <c r="CX23" s="298" t="n">
        <f aca="false">IF(COUNTIF(CAPA3_EXPANSION!$D$56:CX$56,"&gt;="&amp;16)=0,0,SUP_CONTROL!$C$8*IF($B23="V",1,IF($B23="D",(1+SUP_VOLUMEN!$C$26),(1+SUP_VOLUMEN!$C$27)))*INDEX(SUP_C3_EXPANSION!$C$6:$F$6,MIN(4,COUNTIF(CAPA3_EXPANSION!$D$56:CX$56,"&gt;="&amp;16)))*CAPA3_EXPANSION!CX$36)</f>
        <v>3528</v>
      </c>
      <c r="CY23" s="298" t="n">
        <f aca="false">IF(COUNTIF(CAPA3_EXPANSION!$D$56:CY$56,"&gt;="&amp;16)=0,0,SUP_CONTROL!$C$8*IF($B23="V",1,IF($B23="D",(1+SUP_VOLUMEN!$C$26),(1+SUP_VOLUMEN!$C$27)))*INDEX(SUP_C3_EXPANSION!$C$6:$F$6,MIN(4,COUNTIF(CAPA3_EXPANSION!$D$56:CY$56,"&gt;="&amp;16)))*CAPA3_EXPANSION!CY$36)</f>
        <v>3528</v>
      </c>
      <c r="CZ23" s="298" t="n">
        <f aca="false">IF(COUNTIF(CAPA3_EXPANSION!$D$56:CZ$56,"&gt;="&amp;16)=0,0,SUP_CONTROL!$C$8*IF($B23="V",1,IF($B23="D",(1+SUP_VOLUMEN!$C$26),(1+SUP_VOLUMEN!$C$27)))*INDEX(SUP_C3_EXPANSION!$C$6:$F$6,MIN(4,COUNTIF(CAPA3_EXPANSION!$D$56:CZ$56,"&gt;="&amp;16)))*CAPA3_EXPANSION!CZ$36)</f>
        <v>3528</v>
      </c>
      <c r="DA23" s="298" t="n">
        <f aca="false">IF(COUNTIF(CAPA3_EXPANSION!$D$56:DA$56,"&gt;="&amp;16)=0,0,SUP_CONTROL!$C$8*IF($B23="V",1,IF($B23="D",(1+SUP_VOLUMEN!$C$26),(1+SUP_VOLUMEN!$C$27)))*INDEX(SUP_C3_EXPANSION!$C$6:$F$6,MIN(4,COUNTIF(CAPA3_EXPANSION!$D$56:DA$56,"&gt;="&amp;16)))*CAPA3_EXPANSION!DA$36)</f>
        <v>3528</v>
      </c>
      <c r="DB23" s="298" t="n">
        <f aca="false">IF(COUNTIF(CAPA3_EXPANSION!$D$56:DB$56,"&gt;="&amp;16)=0,0,SUP_CONTROL!$C$8*IF($B23="V",1,IF($B23="D",(1+SUP_VOLUMEN!$C$26),(1+SUP_VOLUMEN!$C$27)))*INDEX(SUP_C3_EXPANSION!$C$6:$F$6,MIN(4,COUNTIF(CAPA3_EXPANSION!$D$56:DB$56,"&gt;="&amp;16)))*CAPA3_EXPANSION!DB$36)</f>
        <v>3528</v>
      </c>
      <c r="DC23" s="298" t="n">
        <f aca="false">IF(COUNTIF(CAPA3_EXPANSION!$D$56:DC$56,"&gt;="&amp;16)=0,0,SUP_CONTROL!$C$8*IF($B23="V",1,IF($B23="D",(1+SUP_VOLUMEN!$C$26),(1+SUP_VOLUMEN!$C$27)))*INDEX(SUP_C3_EXPANSION!$C$6:$F$6,MIN(4,COUNTIF(CAPA3_EXPANSION!$D$56:DC$56,"&gt;="&amp;16)))*CAPA3_EXPANSION!DC$36)</f>
        <v>3528</v>
      </c>
      <c r="DD23" s="298" t="n">
        <f aca="false">IF(COUNTIF(CAPA3_EXPANSION!$D$56:DD$56,"&gt;="&amp;16)=0,0,SUP_CONTROL!$C$8*IF($B23="V",1,IF($B23="D",(1+SUP_VOLUMEN!$C$26),(1+SUP_VOLUMEN!$C$27)))*INDEX(SUP_C3_EXPANSION!$C$6:$F$6,MIN(4,COUNTIF(CAPA3_EXPANSION!$D$56:DD$56,"&gt;="&amp;16)))*CAPA3_EXPANSION!DD$36)</f>
        <v>3528</v>
      </c>
      <c r="DE23" s="298" t="n">
        <f aca="false">IF(COUNTIF(CAPA3_EXPANSION!$D$56:DE$56,"&gt;="&amp;16)=0,0,SUP_CONTROL!$C$8*IF($B23="V",1,IF($B23="D",(1+SUP_VOLUMEN!$C$26),(1+SUP_VOLUMEN!$C$27)))*INDEX(SUP_C3_EXPANSION!$C$6:$F$6,MIN(4,COUNTIF(CAPA3_EXPANSION!$D$56:DE$56,"&gt;="&amp;16)))*CAPA3_EXPANSION!DE$36)</f>
        <v>3528</v>
      </c>
      <c r="DF23" s="298" t="n">
        <f aca="false">IF(COUNTIF(CAPA3_EXPANSION!$D$56:DF$56,"&gt;="&amp;16)=0,0,SUP_CONTROL!$C$8*IF($B23="V",1,IF($B23="D",(1+SUP_VOLUMEN!$C$26),(1+SUP_VOLUMEN!$C$27)))*INDEX(SUP_C3_EXPANSION!$C$6:$F$6,MIN(4,COUNTIF(CAPA3_EXPANSION!$D$56:DF$56,"&gt;="&amp;16)))*CAPA3_EXPANSION!DF$36)</f>
        <v>3528</v>
      </c>
      <c r="DG23" s="298" t="n">
        <f aca="false">IF(COUNTIF(CAPA3_EXPANSION!$D$56:DG$56,"&gt;="&amp;16)=0,0,SUP_CONTROL!$C$8*IF($B23="V",1,IF($B23="D",(1+SUP_VOLUMEN!$C$26),(1+SUP_VOLUMEN!$C$27)))*INDEX(SUP_C3_EXPANSION!$C$6:$F$6,MIN(4,COUNTIF(CAPA3_EXPANSION!$D$56:DG$56,"&gt;="&amp;16)))*CAPA3_EXPANSION!DG$36)</f>
        <v>3528</v>
      </c>
      <c r="DH23" s="298" t="n">
        <f aca="false">IF(COUNTIF(CAPA3_EXPANSION!$D$56:DH$56,"&gt;="&amp;16)=0,0,SUP_CONTROL!$C$8*IF($B23="V",1,IF($B23="D",(1+SUP_VOLUMEN!$C$26),(1+SUP_VOLUMEN!$C$27)))*INDEX(SUP_C3_EXPANSION!$C$6:$F$6,MIN(4,COUNTIF(CAPA3_EXPANSION!$D$56:DH$56,"&gt;="&amp;16)))*CAPA3_EXPANSION!DH$36)</f>
        <v>3528</v>
      </c>
      <c r="DI23" s="298" t="n">
        <f aca="false">IF(COUNTIF(CAPA3_EXPANSION!$D$56:DI$56,"&gt;="&amp;16)=0,0,SUP_CONTROL!$C$8*IF($B23="V",1,IF($B23="D",(1+SUP_VOLUMEN!$C$26),(1+SUP_VOLUMEN!$C$27)))*INDEX(SUP_C3_EXPANSION!$C$6:$F$6,MIN(4,COUNTIF(CAPA3_EXPANSION!$D$56:DI$56,"&gt;="&amp;16)))*CAPA3_EXPANSION!DI$36)</f>
        <v>3528</v>
      </c>
      <c r="DJ23" s="298" t="n">
        <f aca="false">IF(COUNTIF(CAPA3_EXPANSION!$D$56:DJ$56,"&gt;="&amp;16)=0,0,SUP_CONTROL!$C$8*IF($B23="V",1,IF($B23="D",(1+SUP_VOLUMEN!$C$26),(1+SUP_VOLUMEN!$C$27)))*INDEX(SUP_C3_EXPANSION!$C$6:$F$6,MIN(4,COUNTIF(CAPA3_EXPANSION!$D$56:DJ$56,"&gt;="&amp;16)))*CAPA3_EXPANSION!DJ$36)</f>
        <v>3528</v>
      </c>
      <c r="DK23" s="298" t="n">
        <f aca="false">IF(COUNTIF(CAPA3_EXPANSION!$D$56:DK$56,"&gt;="&amp;16)=0,0,SUP_CONTROL!$C$8*IF($B23="V",1,IF($B23="D",(1+SUP_VOLUMEN!$C$26),(1+SUP_VOLUMEN!$C$27)))*INDEX(SUP_C3_EXPANSION!$C$6:$F$6,MIN(4,COUNTIF(CAPA3_EXPANSION!$D$56:DK$56,"&gt;="&amp;16)))*CAPA3_EXPANSION!DK$36)</f>
        <v>3528</v>
      </c>
      <c r="DL23" s="298" t="n">
        <f aca="false">IF(COUNTIF(CAPA3_EXPANSION!$D$56:DL$56,"&gt;="&amp;16)=0,0,SUP_CONTROL!$C$8*IF($B23="V",1,IF($B23="D",(1+SUP_VOLUMEN!$C$26),(1+SUP_VOLUMEN!$C$27)))*INDEX(SUP_C3_EXPANSION!$C$6:$F$6,MIN(4,COUNTIF(CAPA3_EXPANSION!$D$56:DL$56,"&gt;="&amp;16)))*CAPA3_EXPANSION!DL$36)</f>
        <v>3528</v>
      </c>
      <c r="DM23" s="298" t="n">
        <f aca="false">IF(COUNTIF(CAPA3_EXPANSION!$D$56:DM$56,"&gt;="&amp;16)=0,0,SUP_CONTROL!$C$8*IF($B23="V",1,IF($B23="D",(1+SUP_VOLUMEN!$C$26),(1+SUP_VOLUMEN!$C$27)))*INDEX(SUP_C3_EXPANSION!$C$6:$F$6,MIN(4,COUNTIF(CAPA3_EXPANSION!$D$56:DM$56,"&gt;="&amp;16)))*CAPA3_EXPANSION!DM$36)</f>
        <v>3528</v>
      </c>
      <c r="DN23" s="298" t="n">
        <f aca="false">IF(COUNTIF(CAPA3_EXPANSION!$D$56:DN$56,"&gt;="&amp;16)=0,0,SUP_CONTROL!$C$8*IF($B23="V",1,IF($B23="D",(1+SUP_VOLUMEN!$C$26),(1+SUP_VOLUMEN!$C$27)))*INDEX(SUP_C3_EXPANSION!$C$6:$F$6,MIN(4,COUNTIF(CAPA3_EXPANSION!$D$56:DN$56,"&gt;="&amp;16)))*CAPA3_EXPANSION!DN$36)</f>
        <v>3528</v>
      </c>
      <c r="DO23" s="298" t="n">
        <f aca="false">IF(COUNTIF(CAPA3_EXPANSION!$D$56:DO$56,"&gt;="&amp;16)=0,0,SUP_CONTROL!$C$8*IF($B23="V",1,IF($B23="D",(1+SUP_VOLUMEN!$C$26),(1+SUP_VOLUMEN!$C$27)))*INDEX(SUP_C3_EXPANSION!$C$6:$F$6,MIN(4,COUNTIF(CAPA3_EXPANSION!$D$56:DO$56,"&gt;="&amp;16)))*CAPA3_EXPANSION!DO$36)</f>
        <v>3528</v>
      </c>
      <c r="DP23" s="298" t="n">
        <f aca="false">IF(COUNTIF(CAPA3_EXPANSION!$D$56:DP$56,"&gt;="&amp;16)=0,0,SUP_CONTROL!$C$8*IF($B23="V",1,IF($B23="D",(1+SUP_VOLUMEN!$C$26),(1+SUP_VOLUMEN!$C$27)))*INDEX(SUP_C3_EXPANSION!$C$6:$F$6,MIN(4,COUNTIF(CAPA3_EXPANSION!$D$56:DP$56,"&gt;="&amp;16)))*CAPA3_EXPANSION!DP$36)</f>
        <v>3528</v>
      </c>
      <c r="DQ23" s="298" t="n">
        <f aca="false">IF(COUNTIF(CAPA3_EXPANSION!$D$56:DQ$56,"&gt;="&amp;16)=0,0,SUP_CONTROL!$C$8*IF($B23="V",1,IF($B23="D",(1+SUP_VOLUMEN!$C$26),(1+SUP_VOLUMEN!$C$27)))*INDEX(SUP_C3_EXPANSION!$C$6:$F$6,MIN(4,COUNTIF(CAPA3_EXPANSION!$D$56:DQ$56,"&gt;="&amp;16)))*CAPA3_EXPANSION!DQ$36)</f>
        <v>3528</v>
      </c>
      <c r="DR23" s="298" t="n">
        <f aca="false">IF(COUNTIF(CAPA3_EXPANSION!$D$56:DR$56,"&gt;="&amp;16)=0,0,SUP_CONTROL!$C$8*IF($B23="V",1,IF($B23="D",(1+SUP_VOLUMEN!$C$26),(1+SUP_VOLUMEN!$C$27)))*INDEX(SUP_C3_EXPANSION!$C$6:$F$6,MIN(4,COUNTIF(CAPA3_EXPANSION!$D$56:DR$56,"&gt;="&amp;16)))*CAPA3_EXPANSION!DR$36)</f>
        <v>3528</v>
      </c>
      <c r="DS23" s="298" t="n">
        <f aca="false">IF(COUNTIF(CAPA3_EXPANSION!$D$56:DS$56,"&gt;="&amp;16)=0,0,SUP_CONTROL!$C$8*IF($B23="V",1,IF($B23="D",(1+SUP_VOLUMEN!$C$26),(1+SUP_VOLUMEN!$C$27)))*INDEX(SUP_C3_EXPANSION!$C$6:$F$6,MIN(4,COUNTIF(CAPA3_EXPANSION!$D$56:DS$56,"&gt;="&amp;16)))*CAPA3_EXPANSION!DS$36)</f>
        <v>3528</v>
      </c>
    </row>
    <row r="24" customFormat="false" ht="15" hidden="false" customHeight="true" outlineLevel="0" collapsed="false">
      <c r="A24" s="298" t="n">
        <v>27</v>
      </c>
      <c r="B24" s="497" t="str">
        <f aca="false">SUP_C3_EXPANSION!B36</f>
        <v>D</v>
      </c>
      <c r="C24" s="267" t="n">
        <f aca="false">SUP_C3_EXPANSION!G36</f>
        <v>57</v>
      </c>
      <c r="D24" s="298" t="n">
        <f aca="false">IF(COUNTIF(CAPA3_EXPANSION!$D$56:D$56,"&gt;="&amp;17)=0,0,SUP_CONTROL!$C$8*IF($B24="V",1,IF($B24="D",(1+SUP_VOLUMEN!$C$26),(1+SUP_VOLUMEN!$C$27)))*INDEX(SUP_C3_EXPANSION!$C$6:$F$6,MIN(4,COUNTIF(CAPA3_EXPANSION!$D$56:D$56,"&gt;="&amp;17)))*CAPA3_EXPANSION!D$36)</f>
        <v>0</v>
      </c>
      <c r="E24" s="298" t="n">
        <f aca="false">IF(COUNTIF(CAPA3_EXPANSION!$D$56:E$56,"&gt;="&amp;17)=0,0,SUP_CONTROL!$C$8*IF($B24="V",1,IF($B24="D",(1+SUP_VOLUMEN!$C$26),(1+SUP_VOLUMEN!$C$27)))*INDEX(SUP_C3_EXPANSION!$C$6:$F$6,MIN(4,COUNTIF(CAPA3_EXPANSION!$D$56:E$56,"&gt;="&amp;17)))*CAPA3_EXPANSION!E$36)</f>
        <v>0</v>
      </c>
      <c r="F24" s="298" t="n">
        <f aca="false">IF(COUNTIF(CAPA3_EXPANSION!$D$56:F$56,"&gt;="&amp;17)=0,0,SUP_CONTROL!$C$8*IF($B24="V",1,IF($B24="D",(1+SUP_VOLUMEN!$C$26),(1+SUP_VOLUMEN!$C$27)))*INDEX(SUP_C3_EXPANSION!$C$6:$F$6,MIN(4,COUNTIF(CAPA3_EXPANSION!$D$56:F$56,"&gt;="&amp;17)))*CAPA3_EXPANSION!F$36)</f>
        <v>0</v>
      </c>
      <c r="G24" s="298" t="n">
        <f aca="false">IF(COUNTIF(CAPA3_EXPANSION!$D$56:G$56,"&gt;="&amp;17)=0,0,SUP_CONTROL!$C$8*IF($B24="V",1,IF($B24="D",(1+SUP_VOLUMEN!$C$26),(1+SUP_VOLUMEN!$C$27)))*INDEX(SUP_C3_EXPANSION!$C$6:$F$6,MIN(4,COUNTIF(CAPA3_EXPANSION!$D$56:G$56,"&gt;="&amp;17)))*CAPA3_EXPANSION!G$36)</f>
        <v>0</v>
      </c>
      <c r="H24" s="298" t="n">
        <f aca="false">IF(COUNTIF(CAPA3_EXPANSION!$D$56:H$56,"&gt;="&amp;17)=0,0,SUP_CONTROL!$C$8*IF($B24="V",1,IF($B24="D",(1+SUP_VOLUMEN!$C$26),(1+SUP_VOLUMEN!$C$27)))*INDEX(SUP_C3_EXPANSION!$C$6:$F$6,MIN(4,COUNTIF(CAPA3_EXPANSION!$D$56:H$56,"&gt;="&amp;17)))*CAPA3_EXPANSION!H$36)</f>
        <v>0</v>
      </c>
      <c r="I24" s="298" t="n">
        <f aca="false">IF(COUNTIF(CAPA3_EXPANSION!$D$56:I$56,"&gt;="&amp;17)=0,0,SUP_CONTROL!$C$8*IF($B24="V",1,IF($B24="D",(1+SUP_VOLUMEN!$C$26),(1+SUP_VOLUMEN!$C$27)))*INDEX(SUP_C3_EXPANSION!$C$6:$F$6,MIN(4,COUNTIF(CAPA3_EXPANSION!$D$56:I$56,"&gt;="&amp;17)))*CAPA3_EXPANSION!I$36)</f>
        <v>0</v>
      </c>
      <c r="J24" s="298" t="n">
        <f aca="false">IF(COUNTIF(CAPA3_EXPANSION!$D$56:J$56,"&gt;="&amp;17)=0,0,SUP_CONTROL!$C$8*IF($B24="V",1,IF($B24="D",(1+SUP_VOLUMEN!$C$26),(1+SUP_VOLUMEN!$C$27)))*INDEX(SUP_C3_EXPANSION!$C$6:$F$6,MIN(4,COUNTIF(CAPA3_EXPANSION!$D$56:J$56,"&gt;="&amp;17)))*CAPA3_EXPANSION!J$36)</f>
        <v>0</v>
      </c>
      <c r="K24" s="298" t="n">
        <f aca="false">IF(COUNTIF(CAPA3_EXPANSION!$D$56:K$56,"&gt;="&amp;17)=0,0,SUP_CONTROL!$C$8*IF($B24="V",1,IF($B24="D",(1+SUP_VOLUMEN!$C$26),(1+SUP_VOLUMEN!$C$27)))*INDEX(SUP_C3_EXPANSION!$C$6:$F$6,MIN(4,COUNTIF(CAPA3_EXPANSION!$D$56:K$56,"&gt;="&amp;17)))*CAPA3_EXPANSION!K$36)</f>
        <v>0</v>
      </c>
      <c r="L24" s="298" t="n">
        <f aca="false">IF(COUNTIF(CAPA3_EXPANSION!$D$56:L$56,"&gt;="&amp;17)=0,0,SUP_CONTROL!$C$8*IF($B24="V",1,IF($B24="D",(1+SUP_VOLUMEN!$C$26),(1+SUP_VOLUMEN!$C$27)))*INDEX(SUP_C3_EXPANSION!$C$6:$F$6,MIN(4,COUNTIF(CAPA3_EXPANSION!$D$56:L$56,"&gt;="&amp;17)))*CAPA3_EXPANSION!L$36)</f>
        <v>0</v>
      </c>
      <c r="M24" s="298" t="n">
        <f aca="false">IF(COUNTIF(CAPA3_EXPANSION!$D$56:M$56,"&gt;="&amp;17)=0,0,SUP_CONTROL!$C$8*IF($B24="V",1,IF($B24="D",(1+SUP_VOLUMEN!$C$26),(1+SUP_VOLUMEN!$C$27)))*INDEX(SUP_C3_EXPANSION!$C$6:$F$6,MIN(4,COUNTIF(CAPA3_EXPANSION!$D$56:M$56,"&gt;="&amp;17)))*CAPA3_EXPANSION!M$36)</f>
        <v>0</v>
      </c>
      <c r="N24" s="298" t="n">
        <f aca="false">IF(COUNTIF(CAPA3_EXPANSION!$D$56:N$56,"&gt;="&amp;17)=0,0,SUP_CONTROL!$C$8*IF($B24="V",1,IF($B24="D",(1+SUP_VOLUMEN!$C$26),(1+SUP_VOLUMEN!$C$27)))*INDEX(SUP_C3_EXPANSION!$C$6:$F$6,MIN(4,COUNTIF(CAPA3_EXPANSION!$D$56:N$56,"&gt;="&amp;17)))*CAPA3_EXPANSION!N$36)</f>
        <v>0</v>
      </c>
      <c r="O24" s="298" t="n">
        <f aca="false">IF(COUNTIF(CAPA3_EXPANSION!$D$56:O$56,"&gt;="&amp;17)=0,0,SUP_CONTROL!$C$8*IF($B24="V",1,IF($B24="D",(1+SUP_VOLUMEN!$C$26),(1+SUP_VOLUMEN!$C$27)))*INDEX(SUP_C3_EXPANSION!$C$6:$F$6,MIN(4,COUNTIF(CAPA3_EXPANSION!$D$56:O$56,"&gt;="&amp;17)))*CAPA3_EXPANSION!O$36)</f>
        <v>0</v>
      </c>
      <c r="P24" s="298" t="n">
        <f aca="false">IF(COUNTIF(CAPA3_EXPANSION!$D$56:P$56,"&gt;="&amp;17)=0,0,SUP_CONTROL!$C$8*IF($B24="V",1,IF($B24="D",(1+SUP_VOLUMEN!$C$26),(1+SUP_VOLUMEN!$C$27)))*INDEX(SUP_C3_EXPANSION!$C$6:$F$6,MIN(4,COUNTIF(CAPA3_EXPANSION!$D$56:P$56,"&gt;="&amp;17)))*CAPA3_EXPANSION!P$36)</f>
        <v>0</v>
      </c>
      <c r="Q24" s="298" t="n">
        <f aca="false">IF(COUNTIF(CAPA3_EXPANSION!$D$56:Q$56,"&gt;="&amp;17)=0,0,SUP_CONTROL!$C$8*IF($B24="V",1,IF($B24="D",(1+SUP_VOLUMEN!$C$26),(1+SUP_VOLUMEN!$C$27)))*INDEX(SUP_C3_EXPANSION!$C$6:$F$6,MIN(4,COUNTIF(CAPA3_EXPANSION!$D$56:Q$56,"&gt;="&amp;17)))*CAPA3_EXPANSION!Q$36)</f>
        <v>0</v>
      </c>
      <c r="R24" s="298" t="n">
        <f aca="false">IF(COUNTIF(CAPA3_EXPANSION!$D$56:R$56,"&gt;="&amp;17)=0,0,SUP_CONTROL!$C$8*IF($B24="V",1,IF($B24="D",(1+SUP_VOLUMEN!$C$26),(1+SUP_VOLUMEN!$C$27)))*INDEX(SUP_C3_EXPANSION!$C$6:$F$6,MIN(4,COUNTIF(CAPA3_EXPANSION!$D$56:R$56,"&gt;="&amp;17)))*CAPA3_EXPANSION!R$36)</f>
        <v>0</v>
      </c>
      <c r="S24" s="298" t="n">
        <f aca="false">IF(COUNTIF(CAPA3_EXPANSION!$D$56:S$56,"&gt;="&amp;17)=0,0,SUP_CONTROL!$C$8*IF($B24="V",1,IF($B24="D",(1+SUP_VOLUMEN!$C$26),(1+SUP_VOLUMEN!$C$27)))*INDEX(SUP_C3_EXPANSION!$C$6:$F$6,MIN(4,COUNTIF(CAPA3_EXPANSION!$D$56:S$56,"&gt;="&amp;17)))*CAPA3_EXPANSION!S$36)</f>
        <v>0</v>
      </c>
      <c r="T24" s="298" t="n">
        <f aca="false">IF(COUNTIF(CAPA3_EXPANSION!$D$56:T$56,"&gt;="&amp;17)=0,0,SUP_CONTROL!$C$8*IF($B24="V",1,IF($B24="D",(1+SUP_VOLUMEN!$C$26),(1+SUP_VOLUMEN!$C$27)))*INDEX(SUP_C3_EXPANSION!$C$6:$F$6,MIN(4,COUNTIF(CAPA3_EXPANSION!$D$56:T$56,"&gt;="&amp;17)))*CAPA3_EXPANSION!T$36)</f>
        <v>0</v>
      </c>
      <c r="U24" s="298" t="n">
        <f aca="false">IF(COUNTIF(CAPA3_EXPANSION!$D$56:U$56,"&gt;="&amp;17)=0,0,SUP_CONTROL!$C$8*IF($B24="V",1,IF($B24="D",(1+SUP_VOLUMEN!$C$26),(1+SUP_VOLUMEN!$C$27)))*INDEX(SUP_C3_EXPANSION!$C$6:$F$6,MIN(4,COUNTIF(CAPA3_EXPANSION!$D$56:U$56,"&gt;="&amp;17)))*CAPA3_EXPANSION!U$36)</f>
        <v>0</v>
      </c>
      <c r="V24" s="298" t="n">
        <f aca="false">IF(COUNTIF(CAPA3_EXPANSION!$D$56:V$56,"&gt;="&amp;17)=0,0,SUP_CONTROL!$C$8*IF($B24="V",1,IF($B24="D",(1+SUP_VOLUMEN!$C$26),(1+SUP_VOLUMEN!$C$27)))*INDEX(SUP_C3_EXPANSION!$C$6:$F$6,MIN(4,COUNTIF(CAPA3_EXPANSION!$D$56:V$56,"&gt;="&amp;17)))*CAPA3_EXPANSION!V$36)</f>
        <v>0</v>
      </c>
      <c r="W24" s="298" t="n">
        <f aca="false">IF(COUNTIF(CAPA3_EXPANSION!$D$56:W$56,"&gt;="&amp;17)=0,0,SUP_CONTROL!$C$8*IF($B24="V",1,IF($B24="D",(1+SUP_VOLUMEN!$C$26),(1+SUP_VOLUMEN!$C$27)))*INDEX(SUP_C3_EXPANSION!$C$6:$F$6,MIN(4,COUNTIF(CAPA3_EXPANSION!$D$56:W$56,"&gt;="&amp;17)))*CAPA3_EXPANSION!W$36)</f>
        <v>0</v>
      </c>
      <c r="X24" s="298" t="n">
        <f aca="false">IF(COUNTIF(CAPA3_EXPANSION!$D$56:X$56,"&gt;="&amp;17)=0,0,SUP_CONTROL!$C$8*IF($B24="V",1,IF($B24="D",(1+SUP_VOLUMEN!$C$26),(1+SUP_VOLUMEN!$C$27)))*INDEX(SUP_C3_EXPANSION!$C$6:$F$6,MIN(4,COUNTIF(CAPA3_EXPANSION!$D$56:X$56,"&gt;="&amp;17)))*CAPA3_EXPANSION!X$36)</f>
        <v>0</v>
      </c>
      <c r="Y24" s="298" t="n">
        <f aca="false">IF(COUNTIF(CAPA3_EXPANSION!$D$56:Y$56,"&gt;="&amp;17)=0,0,SUP_CONTROL!$C$8*IF($B24="V",1,IF($B24="D",(1+SUP_VOLUMEN!$C$26),(1+SUP_VOLUMEN!$C$27)))*INDEX(SUP_C3_EXPANSION!$C$6:$F$6,MIN(4,COUNTIF(CAPA3_EXPANSION!$D$56:Y$56,"&gt;="&amp;17)))*CAPA3_EXPANSION!Y$36)</f>
        <v>0</v>
      </c>
      <c r="Z24" s="298" t="n">
        <f aca="false">IF(COUNTIF(CAPA3_EXPANSION!$D$56:Z$56,"&gt;="&amp;17)=0,0,SUP_CONTROL!$C$8*IF($B24="V",1,IF($B24="D",(1+SUP_VOLUMEN!$C$26),(1+SUP_VOLUMEN!$C$27)))*INDEX(SUP_C3_EXPANSION!$C$6:$F$6,MIN(4,COUNTIF(CAPA3_EXPANSION!$D$56:Z$56,"&gt;="&amp;17)))*CAPA3_EXPANSION!Z$36)</f>
        <v>0</v>
      </c>
      <c r="AA24" s="298" t="n">
        <f aca="false">IF(COUNTIF(CAPA3_EXPANSION!$D$56:AA$56,"&gt;="&amp;17)=0,0,SUP_CONTROL!$C$8*IF($B24="V",1,IF($B24="D",(1+SUP_VOLUMEN!$C$26),(1+SUP_VOLUMEN!$C$27)))*INDEX(SUP_C3_EXPANSION!$C$6:$F$6,MIN(4,COUNTIF(CAPA3_EXPANSION!$D$56:AA$56,"&gt;="&amp;17)))*CAPA3_EXPANSION!AA$36)</f>
        <v>0</v>
      </c>
      <c r="AB24" s="298" t="n">
        <f aca="false">IF(COUNTIF(CAPA3_EXPANSION!$D$56:AB$56,"&gt;="&amp;17)=0,0,SUP_CONTROL!$C$8*IF($B24="V",1,IF($B24="D",(1+SUP_VOLUMEN!$C$26),(1+SUP_VOLUMEN!$C$27)))*INDEX(SUP_C3_EXPANSION!$C$6:$F$6,MIN(4,COUNTIF(CAPA3_EXPANSION!$D$56:AB$56,"&gt;="&amp;17)))*CAPA3_EXPANSION!AB$36)</f>
        <v>0</v>
      </c>
      <c r="AC24" s="298" t="n">
        <f aca="false">IF(COUNTIF(CAPA3_EXPANSION!$D$56:AC$56,"&gt;="&amp;17)=0,0,SUP_CONTROL!$C$8*IF($B24="V",1,IF($B24="D",(1+SUP_VOLUMEN!$C$26),(1+SUP_VOLUMEN!$C$27)))*INDEX(SUP_C3_EXPANSION!$C$6:$F$6,MIN(4,COUNTIF(CAPA3_EXPANSION!$D$56:AC$56,"&gt;="&amp;17)))*CAPA3_EXPANSION!AC$36)</f>
        <v>0</v>
      </c>
      <c r="AD24" s="298" t="n">
        <f aca="false">IF(COUNTIF(CAPA3_EXPANSION!$D$56:AD$56,"&gt;="&amp;17)=0,0,SUP_CONTROL!$C$8*IF($B24="V",1,IF($B24="D",(1+SUP_VOLUMEN!$C$26),(1+SUP_VOLUMEN!$C$27)))*INDEX(SUP_C3_EXPANSION!$C$6:$F$6,MIN(4,COUNTIF(CAPA3_EXPANSION!$D$56:AD$56,"&gt;="&amp;17)))*CAPA3_EXPANSION!AD$36)</f>
        <v>0</v>
      </c>
      <c r="AE24" s="298" t="n">
        <f aca="false">IF(COUNTIF(CAPA3_EXPANSION!$D$56:AE$56,"&gt;="&amp;17)=0,0,SUP_CONTROL!$C$8*IF($B24="V",1,IF($B24="D",(1+SUP_VOLUMEN!$C$26),(1+SUP_VOLUMEN!$C$27)))*INDEX(SUP_C3_EXPANSION!$C$6:$F$6,MIN(4,COUNTIF(CAPA3_EXPANSION!$D$56:AE$56,"&gt;="&amp;17)))*CAPA3_EXPANSION!AE$36)</f>
        <v>0</v>
      </c>
      <c r="AF24" s="298" t="n">
        <f aca="false">IF(COUNTIF(CAPA3_EXPANSION!$D$56:AF$56,"&gt;="&amp;17)=0,0,SUP_CONTROL!$C$8*IF($B24="V",1,IF($B24="D",(1+SUP_VOLUMEN!$C$26),(1+SUP_VOLUMEN!$C$27)))*INDEX(SUP_C3_EXPANSION!$C$6:$F$6,MIN(4,COUNTIF(CAPA3_EXPANSION!$D$56:AF$56,"&gt;="&amp;17)))*CAPA3_EXPANSION!AF$36)</f>
        <v>0</v>
      </c>
      <c r="AG24" s="298" t="n">
        <f aca="false">IF(COUNTIF(CAPA3_EXPANSION!$D$56:AG$56,"&gt;="&amp;17)=0,0,SUP_CONTROL!$C$8*IF($B24="V",1,IF($B24="D",(1+SUP_VOLUMEN!$C$26),(1+SUP_VOLUMEN!$C$27)))*INDEX(SUP_C3_EXPANSION!$C$6:$F$6,MIN(4,COUNTIF(CAPA3_EXPANSION!$D$56:AG$56,"&gt;="&amp;17)))*CAPA3_EXPANSION!AG$36)</f>
        <v>0</v>
      </c>
      <c r="AH24" s="298" t="n">
        <f aca="false">IF(COUNTIF(CAPA3_EXPANSION!$D$56:AH$56,"&gt;="&amp;17)=0,0,SUP_CONTROL!$C$8*IF($B24="V",1,IF($B24="D",(1+SUP_VOLUMEN!$C$26),(1+SUP_VOLUMEN!$C$27)))*INDEX(SUP_C3_EXPANSION!$C$6:$F$6,MIN(4,COUNTIF(CAPA3_EXPANSION!$D$56:AH$56,"&gt;="&amp;17)))*CAPA3_EXPANSION!AH$36)</f>
        <v>0</v>
      </c>
      <c r="AI24" s="298" t="n">
        <f aca="false">IF(COUNTIF(CAPA3_EXPANSION!$D$56:AI$56,"&gt;="&amp;17)=0,0,SUP_CONTROL!$C$8*IF($B24="V",1,IF($B24="D",(1+SUP_VOLUMEN!$C$26),(1+SUP_VOLUMEN!$C$27)))*INDEX(SUP_C3_EXPANSION!$C$6:$F$6,MIN(4,COUNTIF(CAPA3_EXPANSION!$D$56:AI$56,"&gt;="&amp;17)))*CAPA3_EXPANSION!AI$36)</f>
        <v>0</v>
      </c>
      <c r="AJ24" s="298" t="n">
        <f aca="false">IF(COUNTIF(CAPA3_EXPANSION!$D$56:AJ$56,"&gt;="&amp;17)=0,0,SUP_CONTROL!$C$8*IF($B24="V",1,IF($B24="D",(1+SUP_VOLUMEN!$C$26),(1+SUP_VOLUMEN!$C$27)))*INDEX(SUP_C3_EXPANSION!$C$6:$F$6,MIN(4,COUNTIF(CAPA3_EXPANSION!$D$56:AJ$56,"&gt;="&amp;17)))*CAPA3_EXPANSION!AJ$36)</f>
        <v>0</v>
      </c>
      <c r="AK24" s="298" t="n">
        <f aca="false">IF(COUNTIF(CAPA3_EXPANSION!$D$56:AK$56,"&gt;="&amp;17)=0,0,SUP_CONTROL!$C$8*IF($B24="V",1,IF($B24="D",(1+SUP_VOLUMEN!$C$26),(1+SUP_VOLUMEN!$C$27)))*INDEX(SUP_C3_EXPANSION!$C$6:$F$6,MIN(4,COUNTIF(CAPA3_EXPANSION!$D$56:AK$56,"&gt;="&amp;17)))*CAPA3_EXPANSION!AK$36)</f>
        <v>0</v>
      </c>
      <c r="AL24" s="298" t="n">
        <f aca="false">IF(COUNTIF(CAPA3_EXPANSION!$D$56:AL$56,"&gt;="&amp;17)=0,0,SUP_CONTROL!$C$8*IF($B24="V",1,IF($B24="D",(1+SUP_VOLUMEN!$C$26),(1+SUP_VOLUMEN!$C$27)))*INDEX(SUP_C3_EXPANSION!$C$6:$F$6,MIN(4,COUNTIF(CAPA3_EXPANSION!$D$56:AL$56,"&gt;="&amp;17)))*CAPA3_EXPANSION!AL$36)</f>
        <v>0</v>
      </c>
      <c r="AM24" s="298" t="n">
        <f aca="false">IF(COUNTIF(CAPA3_EXPANSION!$D$56:AM$56,"&gt;="&amp;17)=0,0,SUP_CONTROL!$C$8*IF($B24="V",1,IF($B24="D",(1+SUP_VOLUMEN!$C$26),(1+SUP_VOLUMEN!$C$27)))*INDEX(SUP_C3_EXPANSION!$C$6:$F$6,MIN(4,COUNTIF(CAPA3_EXPANSION!$D$56:AM$56,"&gt;="&amp;17)))*CAPA3_EXPANSION!AM$36)</f>
        <v>0</v>
      </c>
      <c r="AN24" s="298" t="n">
        <f aca="false">IF(COUNTIF(CAPA3_EXPANSION!$D$56:AN$56,"&gt;="&amp;17)=0,0,SUP_CONTROL!$C$8*IF($B24="V",1,IF($B24="D",(1+SUP_VOLUMEN!$C$26),(1+SUP_VOLUMEN!$C$27)))*INDEX(SUP_C3_EXPANSION!$C$6:$F$6,MIN(4,COUNTIF(CAPA3_EXPANSION!$D$56:AN$56,"&gt;="&amp;17)))*CAPA3_EXPANSION!AN$36)</f>
        <v>0</v>
      </c>
      <c r="AO24" s="298" t="n">
        <f aca="false">IF(COUNTIF(CAPA3_EXPANSION!$D$56:AO$56,"&gt;="&amp;17)=0,0,SUP_CONTROL!$C$8*IF($B24="V",1,IF($B24="D",(1+SUP_VOLUMEN!$C$26),(1+SUP_VOLUMEN!$C$27)))*INDEX(SUP_C3_EXPANSION!$C$6:$F$6,MIN(4,COUNTIF(CAPA3_EXPANSION!$D$56:AO$56,"&gt;="&amp;17)))*CAPA3_EXPANSION!AO$36)</f>
        <v>0</v>
      </c>
      <c r="AP24" s="298" t="n">
        <f aca="false">IF(COUNTIF(CAPA3_EXPANSION!$D$56:AP$56,"&gt;="&amp;17)=0,0,SUP_CONTROL!$C$8*IF($B24="V",1,IF($B24="D",(1+SUP_VOLUMEN!$C$26),(1+SUP_VOLUMEN!$C$27)))*INDEX(SUP_C3_EXPANSION!$C$6:$F$6,MIN(4,COUNTIF(CAPA3_EXPANSION!$D$56:AP$56,"&gt;="&amp;17)))*CAPA3_EXPANSION!AP$36)</f>
        <v>0</v>
      </c>
      <c r="AQ24" s="298" t="n">
        <f aca="false">IF(COUNTIF(CAPA3_EXPANSION!$D$56:AQ$56,"&gt;="&amp;17)=0,0,SUP_CONTROL!$C$8*IF($B24="V",1,IF($B24="D",(1+SUP_VOLUMEN!$C$26),(1+SUP_VOLUMEN!$C$27)))*INDEX(SUP_C3_EXPANSION!$C$6:$F$6,MIN(4,COUNTIF(CAPA3_EXPANSION!$D$56:AQ$56,"&gt;="&amp;17)))*CAPA3_EXPANSION!AQ$36)</f>
        <v>0</v>
      </c>
      <c r="AR24" s="298" t="n">
        <f aca="false">IF(COUNTIF(CAPA3_EXPANSION!$D$56:AR$56,"&gt;="&amp;17)=0,0,SUP_CONTROL!$C$8*IF($B24="V",1,IF($B24="D",(1+SUP_VOLUMEN!$C$26),(1+SUP_VOLUMEN!$C$27)))*INDEX(SUP_C3_EXPANSION!$C$6:$F$6,MIN(4,COUNTIF(CAPA3_EXPANSION!$D$56:AR$56,"&gt;="&amp;17)))*CAPA3_EXPANSION!AR$36)</f>
        <v>0</v>
      </c>
      <c r="AS24" s="298" t="n">
        <f aca="false">IF(COUNTIF(CAPA3_EXPANSION!$D$56:AS$56,"&gt;="&amp;17)=0,0,SUP_CONTROL!$C$8*IF($B24="V",1,IF($B24="D",(1+SUP_VOLUMEN!$C$26),(1+SUP_VOLUMEN!$C$27)))*INDEX(SUP_C3_EXPANSION!$C$6:$F$6,MIN(4,COUNTIF(CAPA3_EXPANSION!$D$56:AS$56,"&gt;="&amp;17)))*CAPA3_EXPANSION!AS$36)</f>
        <v>0</v>
      </c>
      <c r="AT24" s="298" t="n">
        <f aca="false">IF(COUNTIF(CAPA3_EXPANSION!$D$56:AT$56,"&gt;="&amp;17)=0,0,SUP_CONTROL!$C$8*IF($B24="V",1,IF($B24="D",(1+SUP_VOLUMEN!$C$26),(1+SUP_VOLUMEN!$C$27)))*INDEX(SUP_C3_EXPANSION!$C$6:$F$6,MIN(4,COUNTIF(CAPA3_EXPANSION!$D$56:AT$56,"&gt;="&amp;17)))*CAPA3_EXPANSION!AT$36)</f>
        <v>0</v>
      </c>
      <c r="AU24" s="298" t="n">
        <f aca="false">IF(COUNTIF(CAPA3_EXPANSION!$D$56:AU$56,"&gt;="&amp;17)=0,0,SUP_CONTROL!$C$8*IF($B24="V",1,IF($B24="D",(1+SUP_VOLUMEN!$C$26),(1+SUP_VOLUMEN!$C$27)))*INDEX(SUP_C3_EXPANSION!$C$6:$F$6,MIN(4,COUNTIF(CAPA3_EXPANSION!$D$56:AU$56,"&gt;="&amp;17)))*CAPA3_EXPANSION!AU$36)</f>
        <v>0</v>
      </c>
      <c r="AV24" s="298" t="n">
        <f aca="false">IF(COUNTIF(CAPA3_EXPANSION!$D$56:AV$56,"&gt;="&amp;17)=0,0,SUP_CONTROL!$C$8*IF($B24="V",1,IF($B24="D",(1+SUP_VOLUMEN!$C$26),(1+SUP_VOLUMEN!$C$27)))*INDEX(SUP_C3_EXPANSION!$C$6:$F$6,MIN(4,COUNTIF(CAPA3_EXPANSION!$D$56:AV$56,"&gt;="&amp;17)))*CAPA3_EXPANSION!AV$36)</f>
        <v>0</v>
      </c>
      <c r="AW24" s="298" t="n">
        <f aca="false">IF(COUNTIF(CAPA3_EXPANSION!$D$56:AW$56,"&gt;="&amp;17)=0,0,SUP_CONTROL!$C$8*IF($B24="V",1,IF($B24="D",(1+SUP_VOLUMEN!$C$26),(1+SUP_VOLUMEN!$C$27)))*INDEX(SUP_C3_EXPANSION!$C$6:$F$6,MIN(4,COUNTIF(CAPA3_EXPANSION!$D$56:AW$56,"&gt;="&amp;17)))*CAPA3_EXPANSION!AW$36)</f>
        <v>0</v>
      </c>
      <c r="AX24" s="298" t="n">
        <f aca="false">IF(COUNTIF(CAPA3_EXPANSION!$D$56:AX$56,"&gt;="&amp;17)=0,0,SUP_CONTROL!$C$8*IF($B24="V",1,IF($B24="D",(1+SUP_VOLUMEN!$C$26),(1+SUP_VOLUMEN!$C$27)))*INDEX(SUP_C3_EXPANSION!$C$6:$F$6,MIN(4,COUNTIF(CAPA3_EXPANSION!$D$56:AX$56,"&gt;="&amp;17)))*CAPA3_EXPANSION!AX$36)</f>
        <v>0</v>
      </c>
      <c r="AY24" s="298" t="n">
        <f aca="false">IF(COUNTIF(CAPA3_EXPANSION!$D$56:AY$56,"&gt;="&amp;17)=0,0,SUP_CONTROL!$C$8*IF($B24="V",1,IF($B24="D",(1+SUP_VOLUMEN!$C$26),(1+SUP_VOLUMEN!$C$27)))*INDEX(SUP_C3_EXPANSION!$C$6:$F$6,MIN(4,COUNTIF(CAPA3_EXPANSION!$D$56:AY$56,"&gt;="&amp;17)))*CAPA3_EXPANSION!AY$36)</f>
        <v>0</v>
      </c>
      <c r="AZ24" s="298" t="n">
        <f aca="false">IF(COUNTIF(CAPA3_EXPANSION!$D$56:AZ$56,"&gt;="&amp;17)=0,0,SUP_CONTROL!$C$8*IF($B24="V",1,IF($B24="D",(1+SUP_VOLUMEN!$C$26),(1+SUP_VOLUMEN!$C$27)))*INDEX(SUP_C3_EXPANSION!$C$6:$F$6,MIN(4,COUNTIF(CAPA3_EXPANSION!$D$56:AZ$56,"&gt;="&amp;17)))*CAPA3_EXPANSION!AZ$36)</f>
        <v>0</v>
      </c>
      <c r="BA24" s="298" t="n">
        <f aca="false">IF(COUNTIF(CAPA3_EXPANSION!$D$56:BA$56,"&gt;="&amp;17)=0,0,SUP_CONTROL!$C$8*IF($B24="V",1,IF($B24="D",(1+SUP_VOLUMEN!$C$26),(1+SUP_VOLUMEN!$C$27)))*INDEX(SUP_C3_EXPANSION!$C$6:$F$6,MIN(4,COUNTIF(CAPA3_EXPANSION!$D$56:BA$56,"&gt;="&amp;17)))*CAPA3_EXPANSION!BA$36)</f>
        <v>0</v>
      </c>
      <c r="BB24" s="298" t="n">
        <f aca="false">IF(COUNTIF(CAPA3_EXPANSION!$D$56:BB$56,"&gt;="&amp;17)=0,0,SUP_CONTROL!$C$8*IF($B24="V",1,IF($B24="D",(1+SUP_VOLUMEN!$C$26),(1+SUP_VOLUMEN!$C$27)))*INDEX(SUP_C3_EXPANSION!$C$6:$F$6,MIN(4,COUNTIF(CAPA3_EXPANSION!$D$56:BB$56,"&gt;="&amp;17)))*CAPA3_EXPANSION!BB$36)</f>
        <v>0</v>
      </c>
      <c r="BC24" s="298" t="n">
        <f aca="false">IF(COUNTIF(CAPA3_EXPANSION!$D$56:BC$56,"&gt;="&amp;17)=0,0,SUP_CONTROL!$C$8*IF($B24="V",1,IF($B24="D",(1+SUP_VOLUMEN!$C$26),(1+SUP_VOLUMEN!$C$27)))*INDEX(SUP_C3_EXPANSION!$C$6:$F$6,MIN(4,COUNTIF(CAPA3_EXPANSION!$D$56:BC$56,"&gt;="&amp;17)))*CAPA3_EXPANSION!BC$36)</f>
        <v>0</v>
      </c>
      <c r="BD24" s="298" t="n">
        <f aca="false">IF(COUNTIF(CAPA3_EXPANSION!$D$56:BD$56,"&gt;="&amp;17)=0,0,SUP_CONTROL!$C$8*IF($B24="V",1,IF($B24="D",(1+SUP_VOLUMEN!$C$26),(1+SUP_VOLUMEN!$C$27)))*INDEX(SUP_C3_EXPANSION!$C$6:$F$6,MIN(4,COUNTIF(CAPA3_EXPANSION!$D$56:BD$56,"&gt;="&amp;17)))*CAPA3_EXPANSION!BD$36)</f>
        <v>0</v>
      </c>
      <c r="BE24" s="298" t="n">
        <f aca="false">IF(COUNTIF(CAPA3_EXPANSION!$D$56:BE$56,"&gt;="&amp;17)=0,0,SUP_CONTROL!$C$8*IF($B24="V",1,IF($B24="D",(1+SUP_VOLUMEN!$C$26),(1+SUP_VOLUMEN!$C$27)))*INDEX(SUP_C3_EXPANSION!$C$6:$F$6,MIN(4,COUNTIF(CAPA3_EXPANSION!$D$56:BE$56,"&gt;="&amp;17)))*CAPA3_EXPANSION!BE$36)</f>
        <v>0</v>
      </c>
      <c r="BF24" s="298" t="n">
        <f aca="false">IF(COUNTIF(CAPA3_EXPANSION!$D$56:BF$56,"&gt;="&amp;17)=0,0,SUP_CONTROL!$C$8*IF($B24="V",1,IF($B24="D",(1+SUP_VOLUMEN!$C$26),(1+SUP_VOLUMEN!$C$27)))*INDEX(SUP_C3_EXPANSION!$C$6:$F$6,MIN(4,COUNTIF(CAPA3_EXPANSION!$D$56:BF$56,"&gt;="&amp;17)))*CAPA3_EXPANSION!BF$36)</f>
        <v>0</v>
      </c>
      <c r="BG24" s="298" t="n">
        <f aca="false">IF(COUNTIF(CAPA3_EXPANSION!$D$56:BG$56,"&gt;="&amp;17)=0,0,SUP_CONTROL!$C$8*IF($B24="V",1,IF($B24="D",(1+SUP_VOLUMEN!$C$26),(1+SUP_VOLUMEN!$C$27)))*INDEX(SUP_C3_EXPANSION!$C$6:$F$6,MIN(4,COUNTIF(CAPA3_EXPANSION!$D$56:BG$56,"&gt;="&amp;17)))*CAPA3_EXPANSION!BG$36)</f>
        <v>0</v>
      </c>
      <c r="BH24" s="298" t="n">
        <f aca="false">IF(COUNTIF(CAPA3_EXPANSION!$D$56:BH$56,"&gt;="&amp;17)=0,0,SUP_CONTROL!$C$8*IF($B24="V",1,IF($B24="D",(1+SUP_VOLUMEN!$C$26),(1+SUP_VOLUMEN!$C$27)))*INDEX(SUP_C3_EXPANSION!$C$6:$F$6,MIN(4,COUNTIF(CAPA3_EXPANSION!$D$56:BH$56,"&gt;="&amp;17)))*CAPA3_EXPANSION!BH$36)</f>
        <v>0</v>
      </c>
      <c r="BI24" s="298" t="n">
        <f aca="false">IF(COUNTIF(CAPA3_EXPANSION!$D$56:BI$56,"&gt;="&amp;17)=0,0,SUP_CONTROL!$C$8*IF($B24="V",1,IF($B24="D",(1+SUP_VOLUMEN!$C$26),(1+SUP_VOLUMEN!$C$27)))*INDEX(SUP_C3_EXPANSION!$C$6:$F$6,MIN(4,COUNTIF(CAPA3_EXPANSION!$D$56:BI$56,"&gt;="&amp;17)))*CAPA3_EXPANSION!BI$36)</f>
        <v>0</v>
      </c>
      <c r="BJ24" s="298" t="n">
        <f aca="false">IF(COUNTIF(CAPA3_EXPANSION!$D$56:BJ$56,"&gt;="&amp;17)=0,0,SUP_CONTROL!$C$8*IF($B24="V",1,IF($B24="D",(1+SUP_VOLUMEN!$C$26),(1+SUP_VOLUMEN!$C$27)))*INDEX(SUP_C3_EXPANSION!$C$6:$F$6,MIN(4,COUNTIF(CAPA3_EXPANSION!$D$56:BJ$56,"&gt;="&amp;17)))*CAPA3_EXPANSION!BJ$36)</f>
        <v>0</v>
      </c>
      <c r="BK24" s="298" t="n">
        <f aca="false">IF(COUNTIF(CAPA3_EXPANSION!$D$56:BK$56,"&gt;="&amp;17)=0,0,SUP_CONTROL!$C$8*IF($B24="V",1,IF($B24="D",(1+SUP_VOLUMEN!$C$26),(1+SUP_VOLUMEN!$C$27)))*INDEX(SUP_C3_EXPANSION!$C$6:$F$6,MIN(4,COUNTIF(CAPA3_EXPANSION!$D$56:BK$56,"&gt;="&amp;17)))*CAPA3_EXPANSION!BK$36)</f>
        <v>3194.1</v>
      </c>
      <c r="BL24" s="298" t="n">
        <f aca="false">IF(COUNTIF(CAPA3_EXPANSION!$D$56:BL$56,"&gt;="&amp;17)=0,0,SUP_CONTROL!$C$8*IF($B24="V",1,IF($B24="D",(1+SUP_VOLUMEN!$C$26),(1+SUP_VOLUMEN!$C$27)))*INDEX(SUP_C3_EXPANSION!$C$6:$F$6,MIN(4,COUNTIF(CAPA3_EXPANSION!$D$56:BL$56,"&gt;="&amp;17)))*CAPA3_EXPANSION!BL$36)</f>
        <v>3931.2</v>
      </c>
      <c r="BM24" s="298" t="n">
        <f aca="false">IF(COUNTIF(CAPA3_EXPANSION!$D$56:BM$56,"&gt;="&amp;17)=0,0,SUP_CONTROL!$C$8*IF($B24="V",1,IF($B24="D",(1+SUP_VOLUMEN!$C$26),(1+SUP_VOLUMEN!$C$27)))*INDEX(SUP_C3_EXPANSION!$C$6:$F$6,MIN(4,COUNTIF(CAPA3_EXPANSION!$D$56:BM$56,"&gt;="&amp;17)))*CAPA3_EXPANSION!BM$36)</f>
        <v>4422.6</v>
      </c>
      <c r="BN24" s="298" t="n">
        <f aca="false">IF(COUNTIF(CAPA3_EXPANSION!$D$56:BN$56,"&gt;="&amp;17)=0,0,SUP_CONTROL!$C$8*IF($B24="V",1,IF($B24="D",(1+SUP_VOLUMEN!$C$26),(1+SUP_VOLUMEN!$C$27)))*INDEX(SUP_C3_EXPANSION!$C$6:$F$6,MIN(4,COUNTIF(CAPA3_EXPANSION!$D$56:BN$56,"&gt;="&amp;17)))*CAPA3_EXPANSION!BN$36)</f>
        <v>4914</v>
      </c>
      <c r="BO24" s="298" t="n">
        <f aca="false">IF(COUNTIF(CAPA3_EXPANSION!$D$56:BO$56,"&gt;="&amp;17)=0,0,SUP_CONTROL!$C$8*IF($B24="V",1,IF($B24="D",(1+SUP_VOLUMEN!$C$26),(1+SUP_VOLUMEN!$C$27)))*INDEX(SUP_C3_EXPANSION!$C$6:$F$6,MIN(4,COUNTIF(CAPA3_EXPANSION!$D$56:BO$56,"&gt;="&amp;17)))*CAPA3_EXPANSION!BO$36)</f>
        <v>4914</v>
      </c>
      <c r="BP24" s="298" t="n">
        <f aca="false">IF(COUNTIF(CAPA3_EXPANSION!$D$56:BP$56,"&gt;="&amp;17)=0,0,SUP_CONTROL!$C$8*IF($B24="V",1,IF($B24="D",(1+SUP_VOLUMEN!$C$26),(1+SUP_VOLUMEN!$C$27)))*INDEX(SUP_C3_EXPANSION!$C$6:$F$6,MIN(4,COUNTIF(CAPA3_EXPANSION!$D$56:BP$56,"&gt;="&amp;17)))*CAPA3_EXPANSION!BP$36)</f>
        <v>4914</v>
      </c>
      <c r="BQ24" s="298" t="n">
        <f aca="false">IF(COUNTIF(CAPA3_EXPANSION!$D$56:BQ$56,"&gt;="&amp;17)=0,0,SUP_CONTROL!$C$8*IF($B24="V",1,IF($B24="D",(1+SUP_VOLUMEN!$C$26),(1+SUP_VOLUMEN!$C$27)))*INDEX(SUP_C3_EXPANSION!$C$6:$F$6,MIN(4,COUNTIF(CAPA3_EXPANSION!$D$56:BQ$56,"&gt;="&amp;17)))*CAPA3_EXPANSION!BQ$36)</f>
        <v>4804.8</v>
      </c>
      <c r="BR24" s="298" t="n">
        <f aca="false">IF(COUNTIF(CAPA3_EXPANSION!$D$56:BR$56,"&gt;="&amp;17)=0,0,SUP_CONTROL!$C$8*IF($B24="V",1,IF($B24="D",(1+SUP_VOLUMEN!$C$26),(1+SUP_VOLUMEN!$C$27)))*INDEX(SUP_C3_EXPANSION!$C$6:$F$6,MIN(4,COUNTIF(CAPA3_EXPANSION!$D$56:BR$56,"&gt;="&amp;17)))*CAPA3_EXPANSION!BR$36)</f>
        <v>4804.8</v>
      </c>
      <c r="BS24" s="298" t="n">
        <f aca="false">IF(COUNTIF(CAPA3_EXPANSION!$D$56:BS$56,"&gt;="&amp;17)=0,0,SUP_CONTROL!$C$8*IF($B24="V",1,IF($B24="D",(1+SUP_VOLUMEN!$C$26),(1+SUP_VOLUMEN!$C$27)))*INDEX(SUP_C3_EXPANSION!$C$6:$F$6,MIN(4,COUNTIF(CAPA3_EXPANSION!$D$56:BS$56,"&gt;="&amp;17)))*CAPA3_EXPANSION!BS$36)</f>
        <v>4804.8</v>
      </c>
      <c r="BT24" s="298" t="n">
        <f aca="false">IF(COUNTIF(CAPA3_EXPANSION!$D$56:BT$56,"&gt;="&amp;17)=0,0,SUP_CONTROL!$C$8*IF($B24="V",1,IF($B24="D",(1+SUP_VOLUMEN!$C$26),(1+SUP_VOLUMEN!$C$27)))*INDEX(SUP_C3_EXPANSION!$C$6:$F$6,MIN(4,COUNTIF(CAPA3_EXPANSION!$D$56:BT$56,"&gt;="&amp;17)))*CAPA3_EXPANSION!BT$36)</f>
        <v>4804.8</v>
      </c>
      <c r="BU24" s="298" t="n">
        <f aca="false">IF(COUNTIF(CAPA3_EXPANSION!$D$56:BU$56,"&gt;="&amp;17)=0,0,SUP_CONTROL!$C$8*IF($B24="V",1,IF($B24="D",(1+SUP_VOLUMEN!$C$26),(1+SUP_VOLUMEN!$C$27)))*INDEX(SUP_C3_EXPANSION!$C$6:$F$6,MIN(4,COUNTIF(CAPA3_EXPANSION!$D$56:BU$56,"&gt;="&amp;17)))*CAPA3_EXPANSION!BU$36)</f>
        <v>4804.8</v>
      </c>
      <c r="BV24" s="298" t="n">
        <f aca="false">IF(COUNTIF(CAPA3_EXPANSION!$D$56:BV$56,"&gt;="&amp;17)=0,0,SUP_CONTROL!$C$8*IF($B24="V",1,IF($B24="D",(1+SUP_VOLUMEN!$C$26),(1+SUP_VOLUMEN!$C$27)))*INDEX(SUP_C3_EXPANSION!$C$6:$F$6,MIN(4,COUNTIF(CAPA3_EXPANSION!$D$56:BV$56,"&gt;="&amp;17)))*CAPA3_EXPANSION!BV$36)</f>
        <v>4804.8</v>
      </c>
      <c r="BW24" s="298" t="n">
        <f aca="false">IF(COUNTIF(CAPA3_EXPANSION!$D$56:BW$56,"&gt;="&amp;17)=0,0,SUP_CONTROL!$C$8*IF($B24="V",1,IF($B24="D",(1+SUP_VOLUMEN!$C$26),(1+SUP_VOLUMEN!$C$27)))*INDEX(SUP_C3_EXPANSION!$C$6:$F$6,MIN(4,COUNTIF(CAPA3_EXPANSION!$D$56:BW$56,"&gt;="&amp;17)))*CAPA3_EXPANSION!BW$36)</f>
        <v>4722.9</v>
      </c>
      <c r="BX24" s="298" t="n">
        <f aca="false">IF(COUNTIF(CAPA3_EXPANSION!$D$56:BX$56,"&gt;="&amp;17)=0,0,SUP_CONTROL!$C$8*IF($B24="V",1,IF($B24="D",(1+SUP_VOLUMEN!$C$26),(1+SUP_VOLUMEN!$C$27)))*INDEX(SUP_C3_EXPANSION!$C$6:$F$6,MIN(4,COUNTIF(CAPA3_EXPANSION!$D$56:BX$56,"&gt;="&amp;17)))*CAPA3_EXPANSION!BX$36)</f>
        <v>4722.9</v>
      </c>
      <c r="BY24" s="298" t="n">
        <f aca="false">IF(COUNTIF(CAPA3_EXPANSION!$D$56:BY$56,"&gt;="&amp;17)=0,0,SUP_CONTROL!$C$8*IF($B24="V",1,IF($B24="D",(1+SUP_VOLUMEN!$C$26),(1+SUP_VOLUMEN!$C$27)))*INDEX(SUP_C3_EXPANSION!$C$6:$F$6,MIN(4,COUNTIF(CAPA3_EXPANSION!$D$56:BY$56,"&gt;="&amp;17)))*CAPA3_EXPANSION!BY$36)</f>
        <v>4722.9</v>
      </c>
      <c r="BZ24" s="298" t="n">
        <f aca="false">IF(COUNTIF(CAPA3_EXPANSION!$D$56:BZ$56,"&gt;="&amp;17)=0,0,SUP_CONTROL!$C$8*IF($B24="V",1,IF($B24="D",(1+SUP_VOLUMEN!$C$26),(1+SUP_VOLUMEN!$C$27)))*INDEX(SUP_C3_EXPANSION!$C$6:$F$6,MIN(4,COUNTIF(CAPA3_EXPANSION!$D$56:BZ$56,"&gt;="&amp;17)))*CAPA3_EXPANSION!BZ$36)</f>
        <v>4722.9</v>
      </c>
      <c r="CA24" s="298" t="n">
        <f aca="false">IF(COUNTIF(CAPA3_EXPANSION!$D$56:CA$56,"&gt;="&amp;17)=0,0,SUP_CONTROL!$C$8*IF($B24="V",1,IF($B24="D",(1+SUP_VOLUMEN!$C$26),(1+SUP_VOLUMEN!$C$27)))*INDEX(SUP_C3_EXPANSION!$C$6:$F$6,MIN(4,COUNTIF(CAPA3_EXPANSION!$D$56:CA$56,"&gt;="&amp;17)))*CAPA3_EXPANSION!CA$36)</f>
        <v>4722.9</v>
      </c>
      <c r="CB24" s="298" t="n">
        <f aca="false">IF(COUNTIF(CAPA3_EXPANSION!$D$56:CB$56,"&gt;="&amp;17)=0,0,SUP_CONTROL!$C$8*IF($B24="V",1,IF($B24="D",(1+SUP_VOLUMEN!$C$26),(1+SUP_VOLUMEN!$C$27)))*INDEX(SUP_C3_EXPANSION!$C$6:$F$6,MIN(4,COUNTIF(CAPA3_EXPANSION!$D$56:CB$56,"&gt;="&amp;17)))*CAPA3_EXPANSION!CB$36)</f>
        <v>4641</v>
      </c>
      <c r="CC24" s="298" t="n">
        <f aca="false">IF(COUNTIF(CAPA3_EXPANSION!$D$56:CC$56,"&gt;="&amp;17)=0,0,SUP_CONTROL!$C$8*IF($B24="V",1,IF($B24="D",(1+SUP_VOLUMEN!$C$26),(1+SUP_VOLUMEN!$C$27)))*INDEX(SUP_C3_EXPANSION!$C$6:$F$6,MIN(4,COUNTIF(CAPA3_EXPANSION!$D$56:CC$56,"&gt;="&amp;17)))*CAPA3_EXPANSION!CC$36)</f>
        <v>4641</v>
      </c>
      <c r="CD24" s="298" t="n">
        <f aca="false">IF(COUNTIF(CAPA3_EXPANSION!$D$56:CD$56,"&gt;="&amp;17)=0,0,SUP_CONTROL!$C$8*IF($B24="V",1,IF($B24="D",(1+SUP_VOLUMEN!$C$26),(1+SUP_VOLUMEN!$C$27)))*INDEX(SUP_C3_EXPANSION!$C$6:$F$6,MIN(4,COUNTIF(CAPA3_EXPANSION!$D$56:CD$56,"&gt;="&amp;17)))*CAPA3_EXPANSION!CD$36)</f>
        <v>4641</v>
      </c>
      <c r="CE24" s="298" t="n">
        <f aca="false">IF(COUNTIF(CAPA3_EXPANSION!$D$56:CE$56,"&gt;="&amp;17)=0,0,SUP_CONTROL!$C$8*IF($B24="V",1,IF($B24="D",(1+SUP_VOLUMEN!$C$26),(1+SUP_VOLUMEN!$C$27)))*INDEX(SUP_C3_EXPANSION!$C$6:$F$6,MIN(4,COUNTIF(CAPA3_EXPANSION!$D$56:CE$56,"&gt;="&amp;17)))*CAPA3_EXPANSION!CE$36)</f>
        <v>4641</v>
      </c>
      <c r="CF24" s="298" t="n">
        <f aca="false">IF(COUNTIF(CAPA3_EXPANSION!$D$56:CF$56,"&gt;="&amp;17)=0,0,SUP_CONTROL!$C$8*IF($B24="V",1,IF($B24="D",(1+SUP_VOLUMEN!$C$26),(1+SUP_VOLUMEN!$C$27)))*INDEX(SUP_C3_EXPANSION!$C$6:$F$6,MIN(4,COUNTIF(CAPA3_EXPANSION!$D$56:CF$56,"&gt;="&amp;17)))*CAPA3_EXPANSION!CF$36)</f>
        <v>4641</v>
      </c>
      <c r="CG24" s="298" t="n">
        <f aca="false">IF(COUNTIF(CAPA3_EXPANSION!$D$56:CG$56,"&gt;="&amp;17)=0,0,SUP_CONTROL!$C$8*IF($B24="V",1,IF($B24="D",(1+SUP_VOLUMEN!$C$26),(1+SUP_VOLUMEN!$C$27)))*INDEX(SUP_C3_EXPANSION!$C$6:$F$6,MIN(4,COUNTIF(CAPA3_EXPANSION!$D$56:CG$56,"&gt;="&amp;17)))*CAPA3_EXPANSION!CG$36)</f>
        <v>4586.4</v>
      </c>
      <c r="CH24" s="298" t="n">
        <f aca="false">IF(COUNTIF(CAPA3_EXPANSION!$D$56:CH$56,"&gt;="&amp;17)=0,0,SUP_CONTROL!$C$8*IF($B24="V",1,IF($B24="D",(1+SUP_VOLUMEN!$C$26),(1+SUP_VOLUMEN!$C$27)))*INDEX(SUP_C3_EXPANSION!$C$6:$F$6,MIN(4,COUNTIF(CAPA3_EXPANSION!$D$56:CH$56,"&gt;="&amp;17)))*CAPA3_EXPANSION!CH$36)</f>
        <v>4586.4</v>
      </c>
      <c r="CI24" s="298" t="n">
        <f aca="false">IF(COUNTIF(CAPA3_EXPANSION!$D$56:CI$56,"&gt;="&amp;17)=0,0,SUP_CONTROL!$C$8*IF($B24="V",1,IF($B24="D",(1+SUP_VOLUMEN!$C$26),(1+SUP_VOLUMEN!$C$27)))*INDEX(SUP_C3_EXPANSION!$C$6:$F$6,MIN(4,COUNTIF(CAPA3_EXPANSION!$D$56:CI$56,"&gt;="&amp;17)))*CAPA3_EXPANSION!CI$36)</f>
        <v>4586.4</v>
      </c>
      <c r="CJ24" s="298" t="n">
        <f aca="false">IF(COUNTIF(CAPA3_EXPANSION!$D$56:CJ$56,"&gt;="&amp;17)=0,0,SUP_CONTROL!$C$8*IF($B24="V",1,IF($B24="D",(1+SUP_VOLUMEN!$C$26),(1+SUP_VOLUMEN!$C$27)))*INDEX(SUP_C3_EXPANSION!$C$6:$F$6,MIN(4,COUNTIF(CAPA3_EXPANSION!$D$56:CJ$56,"&gt;="&amp;17)))*CAPA3_EXPANSION!CJ$36)</f>
        <v>4586.4</v>
      </c>
      <c r="CK24" s="298" t="n">
        <f aca="false">IF(COUNTIF(CAPA3_EXPANSION!$D$56:CK$56,"&gt;="&amp;17)=0,0,SUP_CONTROL!$C$8*IF($B24="V",1,IF($B24="D",(1+SUP_VOLUMEN!$C$26),(1+SUP_VOLUMEN!$C$27)))*INDEX(SUP_C3_EXPANSION!$C$6:$F$6,MIN(4,COUNTIF(CAPA3_EXPANSION!$D$56:CK$56,"&gt;="&amp;17)))*CAPA3_EXPANSION!CK$36)</f>
        <v>4586.4</v>
      </c>
      <c r="CL24" s="298" t="n">
        <f aca="false">IF(COUNTIF(CAPA3_EXPANSION!$D$56:CL$56,"&gt;="&amp;17)=0,0,SUP_CONTROL!$C$8*IF($B24="V",1,IF($B24="D",(1+SUP_VOLUMEN!$C$26),(1+SUP_VOLUMEN!$C$27)))*INDEX(SUP_C3_EXPANSION!$C$6:$F$6,MIN(4,COUNTIF(CAPA3_EXPANSION!$D$56:CL$56,"&gt;="&amp;17)))*CAPA3_EXPANSION!CL$36)</f>
        <v>4586.4</v>
      </c>
      <c r="CM24" s="298" t="n">
        <f aca="false">IF(COUNTIF(CAPA3_EXPANSION!$D$56:CM$56,"&gt;="&amp;17)=0,0,SUP_CONTROL!$C$8*IF($B24="V",1,IF($B24="D",(1+SUP_VOLUMEN!$C$26),(1+SUP_VOLUMEN!$C$27)))*INDEX(SUP_C3_EXPANSION!$C$6:$F$6,MIN(4,COUNTIF(CAPA3_EXPANSION!$D$56:CM$56,"&gt;="&amp;17)))*CAPA3_EXPANSION!CM$36)</f>
        <v>4586.4</v>
      </c>
      <c r="CN24" s="298" t="n">
        <f aca="false">IF(COUNTIF(CAPA3_EXPANSION!$D$56:CN$56,"&gt;="&amp;17)=0,0,SUP_CONTROL!$C$8*IF($B24="V",1,IF($B24="D",(1+SUP_VOLUMEN!$C$26),(1+SUP_VOLUMEN!$C$27)))*INDEX(SUP_C3_EXPANSION!$C$6:$F$6,MIN(4,COUNTIF(CAPA3_EXPANSION!$D$56:CN$56,"&gt;="&amp;17)))*CAPA3_EXPANSION!CN$36)</f>
        <v>4586.4</v>
      </c>
      <c r="CO24" s="298" t="n">
        <f aca="false">IF(COUNTIF(CAPA3_EXPANSION!$D$56:CO$56,"&gt;="&amp;17)=0,0,SUP_CONTROL!$C$8*IF($B24="V",1,IF($B24="D",(1+SUP_VOLUMEN!$C$26),(1+SUP_VOLUMEN!$C$27)))*INDEX(SUP_C3_EXPANSION!$C$6:$F$6,MIN(4,COUNTIF(CAPA3_EXPANSION!$D$56:CO$56,"&gt;="&amp;17)))*CAPA3_EXPANSION!CO$36)</f>
        <v>4586.4</v>
      </c>
      <c r="CP24" s="298" t="n">
        <f aca="false">IF(COUNTIF(CAPA3_EXPANSION!$D$56:CP$56,"&gt;="&amp;17)=0,0,SUP_CONTROL!$C$8*IF($B24="V",1,IF($B24="D",(1+SUP_VOLUMEN!$C$26),(1+SUP_VOLUMEN!$C$27)))*INDEX(SUP_C3_EXPANSION!$C$6:$F$6,MIN(4,COUNTIF(CAPA3_EXPANSION!$D$56:CP$56,"&gt;="&amp;17)))*CAPA3_EXPANSION!CP$36)</f>
        <v>4586.4</v>
      </c>
      <c r="CQ24" s="298" t="n">
        <f aca="false">IF(COUNTIF(CAPA3_EXPANSION!$D$56:CQ$56,"&gt;="&amp;17)=0,0,SUP_CONTROL!$C$8*IF($B24="V",1,IF($B24="D",(1+SUP_VOLUMEN!$C$26),(1+SUP_VOLUMEN!$C$27)))*INDEX(SUP_C3_EXPANSION!$C$6:$F$6,MIN(4,COUNTIF(CAPA3_EXPANSION!$D$56:CQ$56,"&gt;="&amp;17)))*CAPA3_EXPANSION!CQ$36)</f>
        <v>4586.4</v>
      </c>
      <c r="CR24" s="298" t="n">
        <f aca="false">IF(COUNTIF(CAPA3_EXPANSION!$D$56:CR$56,"&gt;="&amp;17)=0,0,SUP_CONTROL!$C$8*IF($B24="V",1,IF($B24="D",(1+SUP_VOLUMEN!$C$26),(1+SUP_VOLUMEN!$C$27)))*INDEX(SUP_C3_EXPANSION!$C$6:$F$6,MIN(4,COUNTIF(CAPA3_EXPANSION!$D$56:CR$56,"&gt;="&amp;17)))*CAPA3_EXPANSION!CR$36)</f>
        <v>4586.4</v>
      </c>
      <c r="CS24" s="298" t="n">
        <f aca="false">IF(COUNTIF(CAPA3_EXPANSION!$D$56:CS$56,"&gt;="&amp;17)=0,0,SUP_CONTROL!$C$8*IF($B24="V",1,IF($B24="D",(1+SUP_VOLUMEN!$C$26),(1+SUP_VOLUMEN!$C$27)))*INDEX(SUP_C3_EXPANSION!$C$6:$F$6,MIN(4,COUNTIF(CAPA3_EXPANSION!$D$56:CS$56,"&gt;="&amp;17)))*CAPA3_EXPANSION!CS$36)</f>
        <v>4586.4</v>
      </c>
      <c r="CT24" s="298" t="n">
        <f aca="false">IF(COUNTIF(CAPA3_EXPANSION!$D$56:CT$56,"&gt;="&amp;17)=0,0,SUP_CONTROL!$C$8*IF($B24="V",1,IF($B24="D",(1+SUP_VOLUMEN!$C$26),(1+SUP_VOLUMEN!$C$27)))*INDEX(SUP_C3_EXPANSION!$C$6:$F$6,MIN(4,COUNTIF(CAPA3_EXPANSION!$D$56:CT$56,"&gt;="&amp;17)))*CAPA3_EXPANSION!CT$36)</f>
        <v>4586.4</v>
      </c>
      <c r="CU24" s="298" t="n">
        <f aca="false">IF(COUNTIF(CAPA3_EXPANSION!$D$56:CU$56,"&gt;="&amp;17)=0,0,SUP_CONTROL!$C$8*IF($B24="V",1,IF($B24="D",(1+SUP_VOLUMEN!$C$26),(1+SUP_VOLUMEN!$C$27)))*INDEX(SUP_C3_EXPANSION!$C$6:$F$6,MIN(4,COUNTIF(CAPA3_EXPANSION!$D$56:CU$56,"&gt;="&amp;17)))*CAPA3_EXPANSION!CU$36)</f>
        <v>4586.4</v>
      </c>
      <c r="CV24" s="298" t="n">
        <f aca="false">IF(COUNTIF(CAPA3_EXPANSION!$D$56:CV$56,"&gt;="&amp;17)=0,0,SUP_CONTROL!$C$8*IF($B24="V",1,IF($B24="D",(1+SUP_VOLUMEN!$C$26),(1+SUP_VOLUMEN!$C$27)))*INDEX(SUP_C3_EXPANSION!$C$6:$F$6,MIN(4,COUNTIF(CAPA3_EXPANSION!$D$56:CV$56,"&gt;="&amp;17)))*CAPA3_EXPANSION!CV$36)</f>
        <v>4586.4</v>
      </c>
      <c r="CW24" s="298" t="n">
        <f aca="false">IF(COUNTIF(CAPA3_EXPANSION!$D$56:CW$56,"&gt;="&amp;17)=0,0,SUP_CONTROL!$C$8*IF($B24="V",1,IF($B24="D",(1+SUP_VOLUMEN!$C$26),(1+SUP_VOLUMEN!$C$27)))*INDEX(SUP_C3_EXPANSION!$C$6:$F$6,MIN(4,COUNTIF(CAPA3_EXPANSION!$D$56:CW$56,"&gt;="&amp;17)))*CAPA3_EXPANSION!CW$36)</f>
        <v>4586.4</v>
      </c>
      <c r="CX24" s="298" t="n">
        <f aca="false">IF(COUNTIF(CAPA3_EXPANSION!$D$56:CX$56,"&gt;="&amp;17)=0,0,SUP_CONTROL!$C$8*IF($B24="V",1,IF($B24="D",(1+SUP_VOLUMEN!$C$26),(1+SUP_VOLUMEN!$C$27)))*INDEX(SUP_C3_EXPANSION!$C$6:$F$6,MIN(4,COUNTIF(CAPA3_EXPANSION!$D$56:CX$56,"&gt;="&amp;17)))*CAPA3_EXPANSION!CX$36)</f>
        <v>4586.4</v>
      </c>
      <c r="CY24" s="298" t="n">
        <f aca="false">IF(COUNTIF(CAPA3_EXPANSION!$D$56:CY$56,"&gt;="&amp;17)=0,0,SUP_CONTROL!$C$8*IF($B24="V",1,IF($B24="D",(1+SUP_VOLUMEN!$C$26),(1+SUP_VOLUMEN!$C$27)))*INDEX(SUP_C3_EXPANSION!$C$6:$F$6,MIN(4,COUNTIF(CAPA3_EXPANSION!$D$56:CY$56,"&gt;="&amp;17)))*CAPA3_EXPANSION!CY$36)</f>
        <v>4586.4</v>
      </c>
      <c r="CZ24" s="298" t="n">
        <f aca="false">IF(COUNTIF(CAPA3_EXPANSION!$D$56:CZ$56,"&gt;="&amp;17)=0,0,SUP_CONTROL!$C$8*IF($B24="V",1,IF($B24="D",(1+SUP_VOLUMEN!$C$26),(1+SUP_VOLUMEN!$C$27)))*INDEX(SUP_C3_EXPANSION!$C$6:$F$6,MIN(4,COUNTIF(CAPA3_EXPANSION!$D$56:CZ$56,"&gt;="&amp;17)))*CAPA3_EXPANSION!CZ$36)</f>
        <v>4586.4</v>
      </c>
      <c r="DA24" s="298" t="n">
        <f aca="false">IF(COUNTIF(CAPA3_EXPANSION!$D$56:DA$56,"&gt;="&amp;17)=0,0,SUP_CONTROL!$C$8*IF($B24="V",1,IF($B24="D",(1+SUP_VOLUMEN!$C$26),(1+SUP_VOLUMEN!$C$27)))*INDEX(SUP_C3_EXPANSION!$C$6:$F$6,MIN(4,COUNTIF(CAPA3_EXPANSION!$D$56:DA$56,"&gt;="&amp;17)))*CAPA3_EXPANSION!DA$36)</f>
        <v>4586.4</v>
      </c>
      <c r="DB24" s="298" t="n">
        <f aca="false">IF(COUNTIF(CAPA3_EXPANSION!$D$56:DB$56,"&gt;="&amp;17)=0,0,SUP_CONTROL!$C$8*IF($B24="V",1,IF($B24="D",(1+SUP_VOLUMEN!$C$26),(1+SUP_VOLUMEN!$C$27)))*INDEX(SUP_C3_EXPANSION!$C$6:$F$6,MIN(4,COUNTIF(CAPA3_EXPANSION!$D$56:DB$56,"&gt;="&amp;17)))*CAPA3_EXPANSION!DB$36)</f>
        <v>4586.4</v>
      </c>
      <c r="DC24" s="298" t="n">
        <f aca="false">IF(COUNTIF(CAPA3_EXPANSION!$D$56:DC$56,"&gt;="&amp;17)=0,0,SUP_CONTROL!$C$8*IF($B24="V",1,IF($B24="D",(1+SUP_VOLUMEN!$C$26),(1+SUP_VOLUMEN!$C$27)))*INDEX(SUP_C3_EXPANSION!$C$6:$F$6,MIN(4,COUNTIF(CAPA3_EXPANSION!$D$56:DC$56,"&gt;="&amp;17)))*CAPA3_EXPANSION!DC$36)</f>
        <v>4586.4</v>
      </c>
      <c r="DD24" s="298" t="n">
        <f aca="false">IF(COUNTIF(CAPA3_EXPANSION!$D$56:DD$56,"&gt;="&amp;17)=0,0,SUP_CONTROL!$C$8*IF($B24="V",1,IF($B24="D",(1+SUP_VOLUMEN!$C$26),(1+SUP_VOLUMEN!$C$27)))*INDEX(SUP_C3_EXPANSION!$C$6:$F$6,MIN(4,COUNTIF(CAPA3_EXPANSION!$D$56:DD$56,"&gt;="&amp;17)))*CAPA3_EXPANSION!DD$36)</f>
        <v>4586.4</v>
      </c>
      <c r="DE24" s="298" t="n">
        <f aca="false">IF(COUNTIF(CAPA3_EXPANSION!$D$56:DE$56,"&gt;="&amp;17)=0,0,SUP_CONTROL!$C$8*IF($B24="V",1,IF($B24="D",(1+SUP_VOLUMEN!$C$26),(1+SUP_VOLUMEN!$C$27)))*INDEX(SUP_C3_EXPANSION!$C$6:$F$6,MIN(4,COUNTIF(CAPA3_EXPANSION!$D$56:DE$56,"&gt;="&amp;17)))*CAPA3_EXPANSION!DE$36)</f>
        <v>4586.4</v>
      </c>
      <c r="DF24" s="298" t="n">
        <f aca="false">IF(COUNTIF(CAPA3_EXPANSION!$D$56:DF$56,"&gt;="&amp;17)=0,0,SUP_CONTROL!$C$8*IF($B24="V",1,IF($B24="D",(1+SUP_VOLUMEN!$C$26),(1+SUP_VOLUMEN!$C$27)))*INDEX(SUP_C3_EXPANSION!$C$6:$F$6,MIN(4,COUNTIF(CAPA3_EXPANSION!$D$56:DF$56,"&gt;="&amp;17)))*CAPA3_EXPANSION!DF$36)</f>
        <v>4586.4</v>
      </c>
      <c r="DG24" s="298" t="n">
        <f aca="false">IF(COUNTIF(CAPA3_EXPANSION!$D$56:DG$56,"&gt;="&amp;17)=0,0,SUP_CONTROL!$C$8*IF($B24="V",1,IF($B24="D",(1+SUP_VOLUMEN!$C$26),(1+SUP_VOLUMEN!$C$27)))*INDEX(SUP_C3_EXPANSION!$C$6:$F$6,MIN(4,COUNTIF(CAPA3_EXPANSION!$D$56:DG$56,"&gt;="&amp;17)))*CAPA3_EXPANSION!DG$36)</f>
        <v>4586.4</v>
      </c>
      <c r="DH24" s="298" t="n">
        <f aca="false">IF(COUNTIF(CAPA3_EXPANSION!$D$56:DH$56,"&gt;="&amp;17)=0,0,SUP_CONTROL!$C$8*IF($B24="V",1,IF($B24="D",(1+SUP_VOLUMEN!$C$26),(1+SUP_VOLUMEN!$C$27)))*INDEX(SUP_C3_EXPANSION!$C$6:$F$6,MIN(4,COUNTIF(CAPA3_EXPANSION!$D$56:DH$56,"&gt;="&amp;17)))*CAPA3_EXPANSION!DH$36)</f>
        <v>4586.4</v>
      </c>
      <c r="DI24" s="298" t="n">
        <f aca="false">IF(COUNTIF(CAPA3_EXPANSION!$D$56:DI$56,"&gt;="&amp;17)=0,0,SUP_CONTROL!$C$8*IF($B24="V",1,IF($B24="D",(1+SUP_VOLUMEN!$C$26),(1+SUP_VOLUMEN!$C$27)))*INDEX(SUP_C3_EXPANSION!$C$6:$F$6,MIN(4,COUNTIF(CAPA3_EXPANSION!$D$56:DI$56,"&gt;="&amp;17)))*CAPA3_EXPANSION!DI$36)</f>
        <v>4586.4</v>
      </c>
      <c r="DJ24" s="298" t="n">
        <f aca="false">IF(COUNTIF(CAPA3_EXPANSION!$D$56:DJ$56,"&gt;="&amp;17)=0,0,SUP_CONTROL!$C$8*IF($B24="V",1,IF($B24="D",(1+SUP_VOLUMEN!$C$26),(1+SUP_VOLUMEN!$C$27)))*INDEX(SUP_C3_EXPANSION!$C$6:$F$6,MIN(4,COUNTIF(CAPA3_EXPANSION!$D$56:DJ$56,"&gt;="&amp;17)))*CAPA3_EXPANSION!DJ$36)</f>
        <v>4586.4</v>
      </c>
      <c r="DK24" s="298" t="n">
        <f aca="false">IF(COUNTIF(CAPA3_EXPANSION!$D$56:DK$56,"&gt;="&amp;17)=0,0,SUP_CONTROL!$C$8*IF($B24="V",1,IF($B24="D",(1+SUP_VOLUMEN!$C$26),(1+SUP_VOLUMEN!$C$27)))*INDEX(SUP_C3_EXPANSION!$C$6:$F$6,MIN(4,COUNTIF(CAPA3_EXPANSION!$D$56:DK$56,"&gt;="&amp;17)))*CAPA3_EXPANSION!DK$36)</f>
        <v>4586.4</v>
      </c>
      <c r="DL24" s="298" t="n">
        <f aca="false">IF(COUNTIF(CAPA3_EXPANSION!$D$56:DL$56,"&gt;="&amp;17)=0,0,SUP_CONTROL!$C$8*IF($B24="V",1,IF($B24="D",(1+SUP_VOLUMEN!$C$26),(1+SUP_VOLUMEN!$C$27)))*INDEX(SUP_C3_EXPANSION!$C$6:$F$6,MIN(4,COUNTIF(CAPA3_EXPANSION!$D$56:DL$56,"&gt;="&amp;17)))*CAPA3_EXPANSION!DL$36)</f>
        <v>4586.4</v>
      </c>
      <c r="DM24" s="298" t="n">
        <f aca="false">IF(COUNTIF(CAPA3_EXPANSION!$D$56:DM$56,"&gt;="&amp;17)=0,0,SUP_CONTROL!$C$8*IF($B24="V",1,IF($B24="D",(1+SUP_VOLUMEN!$C$26),(1+SUP_VOLUMEN!$C$27)))*INDEX(SUP_C3_EXPANSION!$C$6:$F$6,MIN(4,COUNTIF(CAPA3_EXPANSION!$D$56:DM$56,"&gt;="&amp;17)))*CAPA3_EXPANSION!DM$36)</f>
        <v>4586.4</v>
      </c>
      <c r="DN24" s="298" t="n">
        <f aca="false">IF(COUNTIF(CAPA3_EXPANSION!$D$56:DN$56,"&gt;="&amp;17)=0,0,SUP_CONTROL!$C$8*IF($B24="V",1,IF($B24="D",(1+SUP_VOLUMEN!$C$26),(1+SUP_VOLUMEN!$C$27)))*INDEX(SUP_C3_EXPANSION!$C$6:$F$6,MIN(4,COUNTIF(CAPA3_EXPANSION!$D$56:DN$56,"&gt;="&amp;17)))*CAPA3_EXPANSION!DN$36)</f>
        <v>4586.4</v>
      </c>
      <c r="DO24" s="298" t="n">
        <f aca="false">IF(COUNTIF(CAPA3_EXPANSION!$D$56:DO$56,"&gt;="&amp;17)=0,0,SUP_CONTROL!$C$8*IF($B24="V",1,IF($B24="D",(1+SUP_VOLUMEN!$C$26),(1+SUP_VOLUMEN!$C$27)))*INDEX(SUP_C3_EXPANSION!$C$6:$F$6,MIN(4,COUNTIF(CAPA3_EXPANSION!$D$56:DO$56,"&gt;="&amp;17)))*CAPA3_EXPANSION!DO$36)</f>
        <v>4586.4</v>
      </c>
      <c r="DP24" s="298" t="n">
        <f aca="false">IF(COUNTIF(CAPA3_EXPANSION!$D$56:DP$56,"&gt;="&amp;17)=0,0,SUP_CONTROL!$C$8*IF($B24="V",1,IF($B24="D",(1+SUP_VOLUMEN!$C$26),(1+SUP_VOLUMEN!$C$27)))*INDEX(SUP_C3_EXPANSION!$C$6:$F$6,MIN(4,COUNTIF(CAPA3_EXPANSION!$D$56:DP$56,"&gt;="&amp;17)))*CAPA3_EXPANSION!DP$36)</f>
        <v>4586.4</v>
      </c>
      <c r="DQ24" s="298" t="n">
        <f aca="false">IF(COUNTIF(CAPA3_EXPANSION!$D$56:DQ$56,"&gt;="&amp;17)=0,0,SUP_CONTROL!$C$8*IF($B24="V",1,IF($B24="D",(1+SUP_VOLUMEN!$C$26),(1+SUP_VOLUMEN!$C$27)))*INDEX(SUP_C3_EXPANSION!$C$6:$F$6,MIN(4,COUNTIF(CAPA3_EXPANSION!$D$56:DQ$56,"&gt;="&amp;17)))*CAPA3_EXPANSION!DQ$36)</f>
        <v>4586.4</v>
      </c>
      <c r="DR24" s="298" t="n">
        <f aca="false">IF(COUNTIF(CAPA3_EXPANSION!$D$56:DR$56,"&gt;="&amp;17)=0,0,SUP_CONTROL!$C$8*IF($B24="V",1,IF($B24="D",(1+SUP_VOLUMEN!$C$26),(1+SUP_VOLUMEN!$C$27)))*INDEX(SUP_C3_EXPANSION!$C$6:$F$6,MIN(4,COUNTIF(CAPA3_EXPANSION!$D$56:DR$56,"&gt;="&amp;17)))*CAPA3_EXPANSION!DR$36)</f>
        <v>4586.4</v>
      </c>
      <c r="DS24" s="298" t="n">
        <f aca="false">IF(COUNTIF(CAPA3_EXPANSION!$D$56:DS$56,"&gt;="&amp;17)=0,0,SUP_CONTROL!$C$8*IF($B24="V",1,IF($B24="D",(1+SUP_VOLUMEN!$C$26),(1+SUP_VOLUMEN!$C$27)))*INDEX(SUP_C3_EXPANSION!$C$6:$F$6,MIN(4,COUNTIF(CAPA3_EXPANSION!$D$56:DS$56,"&gt;="&amp;17)))*CAPA3_EXPANSION!DS$36)</f>
        <v>4586.4</v>
      </c>
    </row>
    <row r="25" customFormat="false" ht="15" hidden="false" customHeight="true" outlineLevel="0" collapsed="false">
      <c r="A25" s="298" t="n">
        <v>28</v>
      </c>
      <c r="B25" s="497" t="str">
        <f aca="false">SUP_C3_EXPANSION!B37</f>
        <v>V</v>
      </c>
      <c r="C25" s="267" t="n">
        <f aca="false">SUP_C3_EXPANSION!G37</f>
        <v>58</v>
      </c>
      <c r="D25" s="298" t="n">
        <f aca="false">IF(COUNTIF(CAPA3_EXPANSION!$D$56:D$56,"&gt;="&amp;18)=0,0,SUP_CONTROL!$C$8*IF($B25="V",1,IF($B25="D",(1+SUP_VOLUMEN!$C$26),(1+SUP_VOLUMEN!$C$27)))*INDEX(SUP_C3_EXPANSION!$C$6:$F$6,MIN(4,COUNTIF(CAPA3_EXPANSION!$D$56:D$56,"&gt;="&amp;18)))*CAPA3_EXPANSION!D$36)</f>
        <v>0</v>
      </c>
      <c r="E25" s="298" t="n">
        <f aca="false">IF(COUNTIF(CAPA3_EXPANSION!$D$56:E$56,"&gt;="&amp;18)=0,0,SUP_CONTROL!$C$8*IF($B25="V",1,IF($B25="D",(1+SUP_VOLUMEN!$C$26),(1+SUP_VOLUMEN!$C$27)))*INDEX(SUP_C3_EXPANSION!$C$6:$F$6,MIN(4,COUNTIF(CAPA3_EXPANSION!$D$56:E$56,"&gt;="&amp;18)))*CAPA3_EXPANSION!E$36)</f>
        <v>0</v>
      </c>
      <c r="F25" s="298" t="n">
        <f aca="false">IF(COUNTIF(CAPA3_EXPANSION!$D$56:F$56,"&gt;="&amp;18)=0,0,SUP_CONTROL!$C$8*IF($B25="V",1,IF($B25="D",(1+SUP_VOLUMEN!$C$26),(1+SUP_VOLUMEN!$C$27)))*INDEX(SUP_C3_EXPANSION!$C$6:$F$6,MIN(4,COUNTIF(CAPA3_EXPANSION!$D$56:F$56,"&gt;="&amp;18)))*CAPA3_EXPANSION!F$36)</f>
        <v>0</v>
      </c>
      <c r="G25" s="298" t="n">
        <f aca="false">IF(COUNTIF(CAPA3_EXPANSION!$D$56:G$56,"&gt;="&amp;18)=0,0,SUP_CONTROL!$C$8*IF($B25="V",1,IF($B25="D",(1+SUP_VOLUMEN!$C$26),(1+SUP_VOLUMEN!$C$27)))*INDEX(SUP_C3_EXPANSION!$C$6:$F$6,MIN(4,COUNTIF(CAPA3_EXPANSION!$D$56:G$56,"&gt;="&amp;18)))*CAPA3_EXPANSION!G$36)</f>
        <v>0</v>
      </c>
      <c r="H25" s="298" t="n">
        <f aca="false">IF(COUNTIF(CAPA3_EXPANSION!$D$56:H$56,"&gt;="&amp;18)=0,0,SUP_CONTROL!$C$8*IF($B25="V",1,IF($B25="D",(1+SUP_VOLUMEN!$C$26),(1+SUP_VOLUMEN!$C$27)))*INDEX(SUP_C3_EXPANSION!$C$6:$F$6,MIN(4,COUNTIF(CAPA3_EXPANSION!$D$56:H$56,"&gt;="&amp;18)))*CAPA3_EXPANSION!H$36)</f>
        <v>0</v>
      </c>
      <c r="I25" s="298" t="n">
        <f aca="false">IF(COUNTIF(CAPA3_EXPANSION!$D$56:I$56,"&gt;="&amp;18)=0,0,SUP_CONTROL!$C$8*IF($B25="V",1,IF($B25="D",(1+SUP_VOLUMEN!$C$26),(1+SUP_VOLUMEN!$C$27)))*INDEX(SUP_C3_EXPANSION!$C$6:$F$6,MIN(4,COUNTIF(CAPA3_EXPANSION!$D$56:I$56,"&gt;="&amp;18)))*CAPA3_EXPANSION!I$36)</f>
        <v>0</v>
      </c>
      <c r="J25" s="298" t="n">
        <f aca="false">IF(COUNTIF(CAPA3_EXPANSION!$D$56:J$56,"&gt;="&amp;18)=0,0,SUP_CONTROL!$C$8*IF($B25="V",1,IF($B25="D",(1+SUP_VOLUMEN!$C$26),(1+SUP_VOLUMEN!$C$27)))*INDEX(SUP_C3_EXPANSION!$C$6:$F$6,MIN(4,COUNTIF(CAPA3_EXPANSION!$D$56:J$56,"&gt;="&amp;18)))*CAPA3_EXPANSION!J$36)</f>
        <v>0</v>
      </c>
      <c r="K25" s="298" t="n">
        <f aca="false">IF(COUNTIF(CAPA3_EXPANSION!$D$56:K$56,"&gt;="&amp;18)=0,0,SUP_CONTROL!$C$8*IF($B25="V",1,IF($B25="D",(1+SUP_VOLUMEN!$C$26),(1+SUP_VOLUMEN!$C$27)))*INDEX(SUP_C3_EXPANSION!$C$6:$F$6,MIN(4,COUNTIF(CAPA3_EXPANSION!$D$56:K$56,"&gt;="&amp;18)))*CAPA3_EXPANSION!K$36)</f>
        <v>0</v>
      </c>
      <c r="L25" s="298" t="n">
        <f aca="false">IF(COUNTIF(CAPA3_EXPANSION!$D$56:L$56,"&gt;="&amp;18)=0,0,SUP_CONTROL!$C$8*IF($B25="V",1,IF($B25="D",(1+SUP_VOLUMEN!$C$26),(1+SUP_VOLUMEN!$C$27)))*INDEX(SUP_C3_EXPANSION!$C$6:$F$6,MIN(4,COUNTIF(CAPA3_EXPANSION!$D$56:L$56,"&gt;="&amp;18)))*CAPA3_EXPANSION!L$36)</f>
        <v>0</v>
      </c>
      <c r="M25" s="298" t="n">
        <f aca="false">IF(COUNTIF(CAPA3_EXPANSION!$D$56:M$56,"&gt;="&amp;18)=0,0,SUP_CONTROL!$C$8*IF($B25="V",1,IF($B25="D",(1+SUP_VOLUMEN!$C$26),(1+SUP_VOLUMEN!$C$27)))*INDEX(SUP_C3_EXPANSION!$C$6:$F$6,MIN(4,COUNTIF(CAPA3_EXPANSION!$D$56:M$56,"&gt;="&amp;18)))*CAPA3_EXPANSION!M$36)</f>
        <v>0</v>
      </c>
      <c r="N25" s="298" t="n">
        <f aca="false">IF(COUNTIF(CAPA3_EXPANSION!$D$56:N$56,"&gt;="&amp;18)=0,0,SUP_CONTROL!$C$8*IF($B25="V",1,IF($B25="D",(1+SUP_VOLUMEN!$C$26),(1+SUP_VOLUMEN!$C$27)))*INDEX(SUP_C3_EXPANSION!$C$6:$F$6,MIN(4,COUNTIF(CAPA3_EXPANSION!$D$56:N$56,"&gt;="&amp;18)))*CAPA3_EXPANSION!N$36)</f>
        <v>0</v>
      </c>
      <c r="O25" s="298" t="n">
        <f aca="false">IF(COUNTIF(CAPA3_EXPANSION!$D$56:O$56,"&gt;="&amp;18)=0,0,SUP_CONTROL!$C$8*IF($B25="V",1,IF($B25="D",(1+SUP_VOLUMEN!$C$26),(1+SUP_VOLUMEN!$C$27)))*INDEX(SUP_C3_EXPANSION!$C$6:$F$6,MIN(4,COUNTIF(CAPA3_EXPANSION!$D$56:O$56,"&gt;="&amp;18)))*CAPA3_EXPANSION!O$36)</f>
        <v>0</v>
      </c>
      <c r="P25" s="298" t="n">
        <f aca="false">IF(COUNTIF(CAPA3_EXPANSION!$D$56:P$56,"&gt;="&amp;18)=0,0,SUP_CONTROL!$C$8*IF($B25="V",1,IF($B25="D",(1+SUP_VOLUMEN!$C$26),(1+SUP_VOLUMEN!$C$27)))*INDEX(SUP_C3_EXPANSION!$C$6:$F$6,MIN(4,COUNTIF(CAPA3_EXPANSION!$D$56:P$56,"&gt;="&amp;18)))*CAPA3_EXPANSION!P$36)</f>
        <v>0</v>
      </c>
      <c r="Q25" s="298" t="n">
        <f aca="false">IF(COUNTIF(CAPA3_EXPANSION!$D$56:Q$56,"&gt;="&amp;18)=0,0,SUP_CONTROL!$C$8*IF($B25="V",1,IF($B25="D",(1+SUP_VOLUMEN!$C$26),(1+SUP_VOLUMEN!$C$27)))*INDEX(SUP_C3_EXPANSION!$C$6:$F$6,MIN(4,COUNTIF(CAPA3_EXPANSION!$D$56:Q$56,"&gt;="&amp;18)))*CAPA3_EXPANSION!Q$36)</f>
        <v>0</v>
      </c>
      <c r="R25" s="298" t="n">
        <f aca="false">IF(COUNTIF(CAPA3_EXPANSION!$D$56:R$56,"&gt;="&amp;18)=0,0,SUP_CONTROL!$C$8*IF($B25="V",1,IF($B25="D",(1+SUP_VOLUMEN!$C$26),(1+SUP_VOLUMEN!$C$27)))*INDEX(SUP_C3_EXPANSION!$C$6:$F$6,MIN(4,COUNTIF(CAPA3_EXPANSION!$D$56:R$56,"&gt;="&amp;18)))*CAPA3_EXPANSION!R$36)</f>
        <v>0</v>
      </c>
      <c r="S25" s="298" t="n">
        <f aca="false">IF(COUNTIF(CAPA3_EXPANSION!$D$56:S$56,"&gt;="&amp;18)=0,0,SUP_CONTROL!$C$8*IF($B25="V",1,IF($B25="D",(1+SUP_VOLUMEN!$C$26),(1+SUP_VOLUMEN!$C$27)))*INDEX(SUP_C3_EXPANSION!$C$6:$F$6,MIN(4,COUNTIF(CAPA3_EXPANSION!$D$56:S$56,"&gt;="&amp;18)))*CAPA3_EXPANSION!S$36)</f>
        <v>0</v>
      </c>
      <c r="T25" s="298" t="n">
        <f aca="false">IF(COUNTIF(CAPA3_EXPANSION!$D$56:T$56,"&gt;="&amp;18)=0,0,SUP_CONTROL!$C$8*IF($B25="V",1,IF($B25="D",(1+SUP_VOLUMEN!$C$26),(1+SUP_VOLUMEN!$C$27)))*INDEX(SUP_C3_EXPANSION!$C$6:$F$6,MIN(4,COUNTIF(CAPA3_EXPANSION!$D$56:T$56,"&gt;="&amp;18)))*CAPA3_EXPANSION!T$36)</f>
        <v>0</v>
      </c>
      <c r="U25" s="298" t="n">
        <f aca="false">IF(COUNTIF(CAPA3_EXPANSION!$D$56:U$56,"&gt;="&amp;18)=0,0,SUP_CONTROL!$C$8*IF($B25="V",1,IF($B25="D",(1+SUP_VOLUMEN!$C$26),(1+SUP_VOLUMEN!$C$27)))*INDEX(SUP_C3_EXPANSION!$C$6:$F$6,MIN(4,COUNTIF(CAPA3_EXPANSION!$D$56:U$56,"&gt;="&amp;18)))*CAPA3_EXPANSION!U$36)</f>
        <v>0</v>
      </c>
      <c r="V25" s="298" t="n">
        <f aca="false">IF(COUNTIF(CAPA3_EXPANSION!$D$56:V$56,"&gt;="&amp;18)=0,0,SUP_CONTROL!$C$8*IF($B25="V",1,IF($B25="D",(1+SUP_VOLUMEN!$C$26),(1+SUP_VOLUMEN!$C$27)))*INDEX(SUP_C3_EXPANSION!$C$6:$F$6,MIN(4,COUNTIF(CAPA3_EXPANSION!$D$56:V$56,"&gt;="&amp;18)))*CAPA3_EXPANSION!V$36)</f>
        <v>0</v>
      </c>
      <c r="W25" s="298" t="n">
        <f aca="false">IF(COUNTIF(CAPA3_EXPANSION!$D$56:W$56,"&gt;="&amp;18)=0,0,SUP_CONTROL!$C$8*IF($B25="V",1,IF($B25="D",(1+SUP_VOLUMEN!$C$26),(1+SUP_VOLUMEN!$C$27)))*INDEX(SUP_C3_EXPANSION!$C$6:$F$6,MIN(4,COUNTIF(CAPA3_EXPANSION!$D$56:W$56,"&gt;="&amp;18)))*CAPA3_EXPANSION!W$36)</f>
        <v>0</v>
      </c>
      <c r="X25" s="298" t="n">
        <f aca="false">IF(COUNTIF(CAPA3_EXPANSION!$D$56:X$56,"&gt;="&amp;18)=0,0,SUP_CONTROL!$C$8*IF($B25="V",1,IF($B25="D",(1+SUP_VOLUMEN!$C$26),(1+SUP_VOLUMEN!$C$27)))*INDEX(SUP_C3_EXPANSION!$C$6:$F$6,MIN(4,COUNTIF(CAPA3_EXPANSION!$D$56:X$56,"&gt;="&amp;18)))*CAPA3_EXPANSION!X$36)</f>
        <v>0</v>
      </c>
      <c r="Y25" s="298" t="n">
        <f aca="false">IF(COUNTIF(CAPA3_EXPANSION!$D$56:Y$56,"&gt;="&amp;18)=0,0,SUP_CONTROL!$C$8*IF($B25="V",1,IF($B25="D",(1+SUP_VOLUMEN!$C$26),(1+SUP_VOLUMEN!$C$27)))*INDEX(SUP_C3_EXPANSION!$C$6:$F$6,MIN(4,COUNTIF(CAPA3_EXPANSION!$D$56:Y$56,"&gt;="&amp;18)))*CAPA3_EXPANSION!Y$36)</f>
        <v>0</v>
      </c>
      <c r="Z25" s="298" t="n">
        <f aca="false">IF(COUNTIF(CAPA3_EXPANSION!$D$56:Z$56,"&gt;="&amp;18)=0,0,SUP_CONTROL!$C$8*IF($B25="V",1,IF($B25="D",(1+SUP_VOLUMEN!$C$26),(1+SUP_VOLUMEN!$C$27)))*INDEX(SUP_C3_EXPANSION!$C$6:$F$6,MIN(4,COUNTIF(CAPA3_EXPANSION!$D$56:Z$56,"&gt;="&amp;18)))*CAPA3_EXPANSION!Z$36)</f>
        <v>0</v>
      </c>
      <c r="AA25" s="298" t="n">
        <f aca="false">IF(COUNTIF(CAPA3_EXPANSION!$D$56:AA$56,"&gt;="&amp;18)=0,0,SUP_CONTROL!$C$8*IF($B25="V",1,IF($B25="D",(1+SUP_VOLUMEN!$C$26),(1+SUP_VOLUMEN!$C$27)))*INDEX(SUP_C3_EXPANSION!$C$6:$F$6,MIN(4,COUNTIF(CAPA3_EXPANSION!$D$56:AA$56,"&gt;="&amp;18)))*CAPA3_EXPANSION!AA$36)</f>
        <v>0</v>
      </c>
      <c r="AB25" s="298" t="n">
        <f aca="false">IF(COUNTIF(CAPA3_EXPANSION!$D$56:AB$56,"&gt;="&amp;18)=0,0,SUP_CONTROL!$C$8*IF($B25="V",1,IF($B25="D",(1+SUP_VOLUMEN!$C$26),(1+SUP_VOLUMEN!$C$27)))*INDEX(SUP_C3_EXPANSION!$C$6:$F$6,MIN(4,COUNTIF(CAPA3_EXPANSION!$D$56:AB$56,"&gt;="&amp;18)))*CAPA3_EXPANSION!AB$36)</f>
        <v>0</v>
      </c>
      <c r="AC25" s="298" t="n">
        <f aca="false">IF(COUNTIF(CAPA3_EXPANSION!$D$56:AC$56,"&gt;="&amp;18)=0,0,SUP_CONTROL!$C$8*IF($B25="V",1,IF($B25="D",(1+SUP_VOLUMEN!$C$26),(1+SUP_VOLUMEN!$C$27)))*INDEX(SUP_C3_EXPANSION!$C$6:$F$6,MIN(4,COUNTIF(CAPA3_EXPANSION!$D$56:AC$56,"&gt;="&amp;18)))*CAPA3_EXPANSION!AC$36)</f>
        <v>0</v>
      </c>
      <c r="AD25" s="298" t="n">
        <f aca="false">IF(COUNTIF(CAPA3_EXPANSION!$D$56:AD$56,"&gt;="&amp;18)=0,0,SUP_CONTROL!$C$8*IF($B25="V",1,IF($B25="D",(1+SUP_VOLUMEN!$C$26),(1+SUP_VOLUMEN!$C$27)))*INDEX(SUP_C3_EXPANSION!$C$6:$F$6,MIN(4,COUNTIF(CAPA3_EXPANSION!$D$56:AD$56,"&gt;="&amp;18)))*CAPA3_EXPANSION!AD$36)</f>
        <v>0</v>
      </c>
      <c r="AE25" s="298" t="n">
        <f aca="false">IF(COUNTIF(CAPA3_EXPANSION!$D$56:AE$56,"&gt;="&amp;18)=0,0,SUP_CONTROL!$C$8*IF($B25="V",1,IF($B25="D",(1+SUP_VOLUMEN!$C$26),(1+SUP_VOLUMEN!$C$27)))*INDEX(SUP_C3_EXPANSION!$C$6:$F$6,MIN(4,COUNTIF(CAPA3_EXPANSION!$D$56:AE$56,"&gt;="&amp;18)))*CAPA3_EXPANSION!AE$36)</f>
        <v>0</v>
      </c>
      <c r="AF25" s="298" t="n">
        <f aca="false">IF(COUNTIF(CAPA3_EXPANSION!$D$56:AF$56,"&gt;="&amp;18)=0,0,SUP_CONTROL!$C$8*IF($B25="V",1,IF($B25="D",(1+SUP_VOLUMEN!$C$26),(1+SUP_VOLUMEN!$C$27)))*INDEX(SUP_C3_EXPANSION!$C$6:$F$6,MIN(4,COUNTIF(CAPA3_EXPANSION!$D$56:AF$56,"&gt;="&amp;18)))*CAPA3_EXPANSION!AF$36)</f>
        <v>0</v>
      </c>
      <c r="AG25" s="298" t="n">
        <f aca="false">IF(COUNTIF(CAPA3_EXPANSION!$D$56:AG$56,"&gt;="&amp;18)=0,0,SUP_CONTROL!$C$8*IF($B25="V",1,IF($B25="D",(1+SUP_VOLUMEN!$C$26),(1+SUP_VOLUMEN!$C$27)))*INDEX(SUP_C3_EXPANSION!$C$6:$F$6,MIN(4,COUNTIF(CAPA3_EXPANSION!$D$56:AG$56,"&gt;="&amp;18)))*CAPA3_EXPANSION!AG$36)</f>
        <v>0</v>
      </c>
      <c r="AH25" s="298" t="n">
        <f aca="false">IF(COUNTIF(CAPA3_EXPANSION!$D$56:AH$56,"&gt;="&amp;18)=0,0,SUP_CONTROL!$C$8*IF($B25="V",1,IF($B25="D",(1+SUP_VOLUMEN!$C$26),(1+SUP_VOLUMEN!$C$27)))*INDEX(SUP_C3_EXPANSION!$C$6:$F$6,MIN(4,COUNTIF(CAPA3_EXPANSION!$D$56:AH$56,"&gt;="&amp;18)))*CAPA3_EXPANSION!AH$36)</f>
        <v>0</v>
      </c>
      <c r="AI25" s="298" t="n">
        <f aca="false">IF(COUNTIF(CAPA3_EXPANSION!$D$56:AI$56,"&gt;="&amp;18)=0,0,SUP_CONTROL!$C$8*IF($B25="V",1,IF($B25="D",(1+SUP_VOLUMEN!$C$26),(1+SUP_VOLUMEN!$C$27)))*INDEX(SUP_C3_EXPANSION!$C$6:$F$6,MIN(4,COUNTIF(CAPA3_EXPANSION!$D$56:AI$56,"&gt;="&amp;18)))*CAPA3_EXPANSION!AI$36)</f>
        <v>0</v>
      </c>
      <c r="AJ25" s="298" t="n">
        <f aca="false">IF(COUNTIF(CAPA3_EXPANSION!$D$56:AJ$56,"&gt;="&amp;18)=0,0,SUP_CONTROL!$C$8*IF($B25="V",1,IF($B25="D",(1+SUP_VOLUMEN!$C$26),(1+SUP_VOLUMEN!$C$27)))*INDEX(SUP_C3_EXPANSION!$C$6:$F$6,MIN(4,COUNTIF(CAPA3_EXPANSION!$D$56:AJ$56,"&gt;="&amp;18)))*CAPA3_EXPANSION!AJ$36)</f>
        <v>0</v>
      </c>
      <c r="AK25" s="298" t="n">
        <f aca="false">IF(COUNTIF(CAPA3_EXPANSION!$D$56:AK$56,"&gt;="&amp;18)=0,0,SUP_CONTROL!$C$8*IF($B25="V",1,IF($B25="D",(1+SUP_VOLUMEN!$C$26),(1+SUP_VOLUMEN!$C$27)))*INDEX(SUP_C3_EXPANSION!$C$6:$F$6,MIN(4,COUNTIF(CAPA3_EXPANSION!$D$56:AK$56,"&gt;="&amp;18)))*CAPA3_EXPANSION!AK$36)</f>
        <v>0</v>
      </c>
      <c r="AL25" s="298" t="n">
        <f aca="false">IF(COUNTIF(CAPA3_EXPANSION!$D$56:AL$56,"&gt;="&amp;18)=0,0,SUP_CONTROL!$C$8*IF($B25="V",1,IF($B25="D",(1+SUP_VOLUMEN!$C$26),(1+SUP_VOLUMEN!$C$27)))*INDEX(SUP_C3_EXPANSION!$C$6:$F$6,MIN(4,COUNTIF(CAPA3_EXPANSION!$D$56:AL$56,"&gt;="&amp;18)))*CAPA3_EXPANSION!AL$36)</f>
        <v>0</v>
      </c>
      <c r="AM25" s="298" t="n">
        <f aca="false">IF(COUNTIF(CAPA3_EXPANSION!$D$56:AM$56,"&gt;="&amp;18)=0,0,SUP_CONTROL!$C$8*IF($B25="V",1,IF($B25="D",(1+SUP_VOLUMEN!$C$26),(1+SUP_VOLUMEN!$C$27)))*INDEX(SUP_C3_EXPANSION!$C$6:$F$6,MIN(4,COUNTIF(CAPA3_EXPANSION!$D$56:AM$56,"&gt;="&amp;18)))*CAPA3_EXPANSION!AM$36)</f>
        <v>0</v>
      </c>
      <c r="AN25" s="298" t="n">
        <f aca="false">IF(COUNTIF(CAPA3_EXPANSION!$D$56:AN$56,"&gt;="&amp;18)=0,0,SUP_CONTROL!$C$8*IF($B25="V",1,IF($B25="D",(1+SUP_VOLUMEN!$C$26),(1+SUP_VOLUMEN!$C$27)))*INDEX(SUP_C3_EXPANSION!$C$6:$F$6,MIN(4,COUNTIF(CAPA3_EXPANSION!$D$56:AN$56,"&gt;="&amp;18)))*CAPA3_EXPANSION!AN$36)</f>
        <v>0</v>
      </c>
      <c r="AO25" s="298" t="n">
        <f aca="false">IF(COUNTIF(CAPA3_EXPANSION!$D$56:AO$56,"&gt;="&amp;18)=0,0,SUP_CONTROL!$C$8*IF($B25="V",1,IF($B25="D",(1+SUP_VOLUMEN!$C$26),(1+SUP_VOLUMEN!$C$27)))*INDEX(SUP_C3_EXPANSION!$C$6:$F$6,MIN(4,COUNTIF(CAPA3_EXPANSION!$D$56:AO$56,"&gt;="&amp;18)))*CAPA3_EXPANSION!AO$36)</f>
        <v>0</v>
      </c>
      <c r="AP25" s="298" t="n">
        <f aca="false">IF(COUNTIF(CAPA3_EXPANSION!$D$56:AP$56,"&gt;="&amp;18)=0,0,SUP_CONTROL!$C$8*IF($B25="V",1,IF($B25="D",(1+SUP_VOLUMEN!$C$26),(1+SUP_VOLUMEN!$C$27)))*INDEX(SUP_C3_EXPANSION!$C$6:$F$6,MIN(4,COUNTIF(CAPA3_EXPANSION!$D$56:AP$56,"&gt;="&amp;18)))*CAPA3_EXPANSION!AP$36)</f>
        <v>0</v>
      </c>
      <c r="AQ25" s="298" t="n">
        <f aca="false">IF(COUNTIF(CAPA3_EXPANSION!$D$56:AQ$56,"&gt;="&amp;18)=0,0,SUP_CONTROL!$C$8*IF($B25="V",1,IF($B25="D",(1+SUP_VOLUMEN!$C$26),(1+SUP_VOLUMEN!$C$27)))*INDEX(SUP_C3_EXPANSION!$C$6:$F$6,MIN(4,COUNTIF(CAPA3_EXPANSION!$D$56:AQ$56,"&gt;="&amp;18)))*CAPA3_EXPANSION!AQ$36)</f>
        <v>0</v>
      </c>
      <c r="AR25" s="298" t="n">
        <f aca="false">IF(COUNTIF(CAPA3_EXPANSION!$D$56:AR$56,"&gt;="&amp;18)=0,0,SUP_CONTROL!$C$8*IF($B25="V",1,IF($B25="D",(1+SUP_VOLUMEN!$C$26),(1+SUP_VOLUMEN!$C$27)))*INDEX(SUP_C3_EXPANSION!$C$6:$F$6,MIN(4,COUNTIF(CAPA3_EXPANSION!$D$56:AR$56,"&gt;="&amp;18)))*CAPA3_EXPANSION!AR$36)</f>
        <v>0</v>
      </c>
      <c r="AS25" s="298" t="n">
        <f aca="false">IF(COUNTIF(CAPA3_EXPANSION!$D$56:AS$56,"&gt;="&amp;18)=0,0,SUP_CONTROL!$C$8*IF($B25="V",1,IF($B25="D",(1+SUP_VOLUMEN!$C$26),(1+SUP_VOLUMEN!$C$27)))*INDEX(SUP_C3_EXPANSION!$C$6:$F$6,MIN(4,COUNTIF(CAPA3_EXPANSION!$D$56:AS$56,"&gt;="&amp;18)))*CAPA3_EXPANSION!AS$36)</f>
        <v>0</v>
      </c>
      <c r="AT25" s="298" t="n">
        <f aca="false">IF(COUNTIF(CAPA3_EXPANSION!$D$56:AT$56,"&gt;="&amp;18)=0,0,SUP_CONTROL!$C$8*IF($B25="V",1,IF($B25="D",(1+SUP_VOLUMEN!$C$26),(1+SUP_VOLUMEN!$C$27)))*INDEX(SUP_C3_EXPANSION!$C$6:$F$6,MIN(4,COUNTIF(CAPA3_EXPANSION!$D$56:AT$56,"&gt;="&amp;18)))*CAPA3_EXPANSION!AT$36)</f>
        <v>0</v>
      </c>
      <c r="AU25" s="298" t="n">
        <f aca="false">IF(COUNTIF(CAPA3_EXPANSION!$D$56:AU$56,"&gt;="&amp;18)=0,0,SUP_CONTROL!$C$8*IF($B25="V",1,IF($B25="D",(1+SUP_VOLUMEN!$C$26),(1+SUP_VOLUMEN!$C$27)))*INDEX(SUP_C3_EXPANSION!$C$6:$F$6,MIN(4,COUNTIF(CAPA3_EXPANSION!$D$56:AU$56,"&gt;="&amp;18)))*CAPA3_EXPANSION!AU$36)</f>
        <v>0</v>
      </c>
      <c r="AV25" s="298" t="n">
        <f aca="false">IF(COUNTIF(CAPA3_EXPANSION!$D$56:AV$56,"&gt;="&amp;18)=0,0,SUP_CONTROL!$C$8*IF($B25="V",1,IF($B25="D",(1+SUP_VOLUMEN!$C$26),(1+SUP_VOLUMEN!$C$27)))*INDEX(SUP_C3_EXPANSION!$C$6:$F$6,MIN(4,COUNTIF(CAPA3_EXPANSION!$D$56:AV$56,"&gt;="&amp;18)))*CAPA3_EXPANSION!AV$36)</f>
        <v>0</v>
      </c>
      <c r="AW25" s="298" t="n">
        <f aca="false">IF(COUNTIF(CAPA3_EXPANSION!$D$56:AW$56,"&gt;="&amp;18)=0,0,SUP_CONTROL!$C$8*IF($B25="V",1,IF($B25="D",(1+SUP_VOLUMEN!$C$26),(1+SUP_VOLUMEN!$C$27)))*INDEX(SUP_C3_EXPANSION!$C$6:$F$6,MIN(4,COUNTIF(CAPA3_EXPANSION!$D$56:AW$56,"&gt;="&amp;18)))*CAPA3_EXPANSION!AW$36)</f>
        <v>0</v>
      </c>
      <c r="AX25" s="298" t="n">
        <f aca="false">IF(COUNTIF(CAPA3_EXPANSION!$D$56:AX$56,"&gt;="&amp;18)=0,0,SUP_CONTROL!$C$8*IF($B25="V",1,IF($B25="D",(1+SUP_VOLUMEN!$C$26),(1+SUP_VOLUMEN!$C$27)))*INDEX(SUP_C3_EXPANSION!$C$6:$F$6,MIN(4,COUNTIF(CAPA3_EXPANSION!$D$56:AX$56,"&gt;="&amp;18)))*CAPA3_EXPANSION!AX$36)</f>
        <v>0</v>
      </c>
      <c r="AY25" s="298" t="n">
        <f aca="false">IF(COUNTIF(CAPA3_EXPANSION!$D$56:AY$56,"&gt;="&amp;18)=0,0,SUP_CONTROL!$C$8*IF($B25="V",1,IF($B25="D",(1+SUP_VOLUMEN!$C$26),(1+SUP_VOLUMEN!$C$27)))*INDEX(SUP_C3_EXPANSION!$C$6:$F$6,MIN(4,COUNTIF(CAPA3_EXPANSION!$D$56:AY$56,"&gt;="&amp;18)))*CAPA3_EXPANSION!AY$36)</f>
        <v>0</v>
      </c>
      <c r="AZ25" s="298" t="n">
        <f aca="false">IF(COUNTIF(CAPA3_EXPANSION!$D$56:AZ$56,"&gt;="&amp;18)=0,0,SUP_CONTROL!$C$8*IF($B25="V",1,IF($B25="D",(1+SUP_VOLUMEN!$C$26),(1+SUP_VOLUMEN!$C$27)))*INDEX(SUP_C3_EXPANSION!$C$6:$F$6,MIN(4,COUNTIF(CAPA3_EXPANSION!$D$56:AZ$56,"&gt;="&amp;18)))*CAPA3_EXPANSION!AZ$36)</f>
        <v>0</v>
      </c>
      <c r="BA25" s="298" t="n">
        <f aca="false">IF(COUNTIF(CAPA3_EXPANSION!$D$56:BA$56,"&gt;="&amp;18)=0,0,SUP_CONTROL!$C$8*IF($B25="V",1,IF($B25="D",(1+SUP_VOLUMEN!$C$26),(1+SUP_VOLUMEN!$C$27)))*INDEX(SUP_C3_EXPANSION!$C$6:$F$6,MIN(4,COUNTIF(CAPA3_EXPANSION!$D$56:BA$56,"&gt;="&amp;18)))*CAPA3_EXPANSION!BA$36)</f>
        <v>0</v>
      </c>
      <c r="BB25" s="298" t="n">
        <f aca="false">IF(COUNTIF(CAPA3_EXPANSION!$D$56:BB$56,"&gt;="&amp;18)=0,0,SUP_CONTROL!$C$8*IF($B25="V",1,IF($B25="D",(1+SUP_VOLUMEN!$C$26),(1+SUP_VOLUMEN!$C$27)))*INDEX(SUP_C3_EXPANSION!$C$6:$F$6,MIN(4,COUNTIF(CAPA3_EXPANSION!$D$56:BB$56,"&gt;="&amp;18)))*CAPA3_EXPANSION!BB$36)</f>
        <v>0</v>
      </c>
      <c r="BC25" s="298" t="n">
        <f aca="false">IF(COUNTIF(CAPA3_EXPANSION!$D$56:BC$56,"&gt;="&amp;18)=0,0,SUP_CONTROL!$C$8*IF($B25="V",1,IF($B25="D",(1+SUP_VOLUMEN!$C$26),(1+SUP_VOLUMEN!$C$27)))*INDEX(SUP_C3_EXPANSION!$C$6:$F$6,MIN(4,COUNTIF(CAPA3_EXPANSION!$D$56:BC$56,"&gt;="&amp;18)))*CAPA3_EXPANSION!BC$36)</f>
        <v>0</v>
      </c>
      <c r="BD25" s="298" t="n">
        <f aca="false">IF(COUNTIF(CAPA3_EXPANSION!$D$56:BD$56,"&gt;="&amp;18)=0,0,SUP_CONTROL!$C$8*IF($B25="V",1,IF($B25="D",(1+SUP_VOLUMEN!$C$26),(1+SUP_VOLUMEN!$C$27)))*INDEX(SUP_C3_EXPANSION!$C$6:$F$6,MIN(4,COUNTIF(CAPA3_EXPANSION!$D$56:BD$56,"&gt;="&amp;18)))*CAPA3_EXPANSION!BD$36)</f>
        <v>0</v>
      </c>
      <c r="BE25" s="298" t="n">
        <f aca="false">IF(COUNTIF(CAPA3_EXPANSION!$D$56:BE$56,"&gt;="&amp;18)=0,0,SUP_CONTROL!$C$8*IF($B25="V",1,IF($B25="D",(1+SUP_VOLUMEN!$C$26),(1+SUP_VOLUMEN!$C$27)))*INDEX(SUP_C3_EXPANSION!$C$6:$F$6,MIN(4,COUNTIF(CAPA3_EXPANSION!$D$56:BE$56,"&gt;="&amp;18)))*CAPA3_EXPANSION!BE$36)</f>
        <v>0</v>
      </c>
      <c r="BF25" s="298" t="n">
        <f aca="false">IF(COUNTIF(CAPA3_EXPANSION!$D$56:BF$56,"&gt;="&amp;18)=0,0,SUP_CONTROL!$C$8*IF($B25="V",1,IF($B25="D",(1+SUP_VOLUMEN!$C$26),(1+SUP_VOLUMEN!$C$27)))*INDEX(SUP_C3_EXPANSION!$C$6:$F$6,MIN(4,COUNTIF(CAPA3_EXPANSION!$D$56:BF$56,"&gt;="&amp;18)))*CAPA3_EXPANSION!BF$36)</f>
        <v>0</v>
      </c>
      <c r="BG25" s="298" t="n">
        <f aca="false">IF(COUNTIF(CAPA3_EXPANSION!$D$56:BG$56,"&gt;="&amp;18)=0,0,SUP_CONTROL!$C$8*IF($B25="V",1,IF($B25="D",(1+SUP_VOLUMEN!$C$26),(1+SUP_VOLUMEN!$C$27)))*INDEX(SUP_C3_EXPANSION!$C$6:$F$6,MIN(4,COUNTIF(CAPA3_EXPANSION!$D$56:BG$56,"&gt;="&amp;18)))*CAPA3_EXPANSION!BG$36)</f>
        <v>0</v>
      </c>
      <c r="BH25" s="298" t="n">
        <f aca="false">IF(COUNTIF(CAPA3_EXPANSION!$D$56:BH$56,"&gt;="&amp;18)=0,0,SUP_CONTROL!$C$8*IF($B25="V",1,IF($B25="D",(1+SUP_VOLUMEN!$C$26),(1+SUP_VOLUMEN!$C$27)))*INDEX(SUP_C3_EXPANSION!$C$6:$F$6,MIN(4,COUNTIF(CAPA3_EXPANSION!$D$56:BH$56,"&gt;="&amp;18)))*CAPA3_EXPANSION!BH$36)</f>
        <v>0</v>
      </c>
      <c r="BI25" s="298" t="n">
        <f aca="false">IF(COUNTIF(CAPA3_EXPANSION!$D$56:BI$56,"&gt;="&amp;18)=0,0,SUP_CONTROL!$C$8*IF($B25="V",1,IF($B25="D",(1+SUP_VOLUMEN!$C$26),(1+SUP_VOLUMEN!$C$27)))*INDEX(SUP_C3_EXPANSION!$C$6:$F$6,MIN(4,COUNTIF(CAPA3_EXPANSION!$D$56:BI$56,"&gt;="&amp;18)))*CAPA3_EXPANSION!BI$36)</f>
        <v>0</v>
      </c>
      <c r="BJ25" s="298" t="n">
        <f aca="false">IF(COUNTIF(CAPA3_EXPANSION!$D$56:BJ$56,"&gt;="&amp;18)=0,0,SUP_CONTROL!$C$8*IF($B25="V",1,IF($B25="D",(1+SUP_VOLUMEN!$C$26),(1+SUP_VOLUMEN!$C$27)))*INDEX(SUP_C3_EXPANSION!$C$6:$F$6,MIN(4,COUNTIF(CAPA3_EXPANSION!$D$56:BJ$56,"&gt;="&amp;18)))*CAPA3_EXPANSION!BJ$36)</f>
        <v>0</v>
      </c>
      <c r="BK25" s="298" t="n">
        <f aca="false">IF(COUNTIF(CAPA3_EXPANSION!$D$56:BK$56,"&gt;="&amp;18)=0,0,SUP_CONTROL!$C$8*IF($B25="V",1,IF($B25="D",(1+SUP_VOLUMEN!$C$26),(1+SUP_VOLUMEN!$C$27)))*INDEX(SUP_C3_EXPANSION!$C$6:$F$6,MIN(4,COUNTIF(CAPA3_EXPANSION!$D$56:BK$56,"&gt;="&amp;18)))*CAPA3_EXPANSION!BK$36)</f>
        <v>0</v>
      </c>
      <c r="BL25" s="298" t="n">
        <f aca="false">IF(COUNTIF(CAPA3_EXPANSION!$D$56:BL$56,"&gt;="&amp;18)=0,0,SUP_CONTROL!$C$8*IF($B25="V",1,IF($B25="D",(1+SUP_VOLUMEN!$C$26),(1+SUP_VOLUMEN!$C$27)))*INDEX(SUP_C3_EXPANSION!$C$6:$F$6,MIN(4,COUNTIF(CAPA3_EXPANSION!$D$56:BL$56,"&gt;="&amp;18)))*CAPA3_EXPANSION!BL$36)</f>
        <v>2457</v>
      </c>
      <c r="BM25" s="298" t="n">
        <f aca="false">IF(COUNTIF(CAPA3_EXPANSION!$D$56:BM$56,"&gt;="&amp;18)=0,0,SUP_CONTROL!$C$8*IF($B25="V",1,IF($B25="D",(1+SUP_VOLUMEN!$C$26),(1+SUP_VOLUMEN!$C$27)))*INDEX(SUP_C3_EXPANSION!$C$6:$F$6,MIN(4,COUNTIF(CAPA3_EXPANSION!$D$56:BM$56,"&gt;="&amp;18)))*CAPA3_EXPANSION!BM$36)</f>
        <v>3024</v>
      </c>
      <c r="BN25" s="298" t="n">
        <f aca="false">IF(COUNTIF(CAPA3_EXPANSION!$D$56:BN$56,"&gt;="&amp;18)=0,0,SUP_CONTROL!$C$8*IF($B25="V",1,IF($B25="D",(1+SUP_VOLUMEN!$C$26),(1+SUP_VOLUMEN!$C$27)))*INDEX(SUP_C3_EXPANSION!$C$6:$F$6,MIN(4,COUNTIF(CAPA3_EXPANSION!$D$56:BN$56,"&gt;="&amp;18)))*CAPA3_EXPANSION!BN$36)</f>
        <v>3402</v>
      </c>
      <c r="BO25" s="298" t="n">
        <f aca="false">IF(COUNTIF(CAPA3_EXPANSION!$D$56:BO$56,"&gt;="&amp;18)=0,0,SUP_CONTROL!$C$8*IF($B25="V",1,IF($B25="D",(1+SUP_VOLUMEN!$C$26),(1+SUP_VOLUMEN!$C$27)))*INDEX(SUP_C3_EXPANSION!$C$6:$F$6,MIN(4,COUNTIF(CAPA3_EXPANSION!$D$56:BO$56,"&gt;="&amp;18)))*CAPA3_EXPANSION!BO$36)</f>
        <v>3780</v>
      </c>
      <c r="BP25" s="298" t="n">
        <f aca="false">IF(COUNTIF(CAPA3_EXPANSION!$D$56:BP$56,"&gt;="&amp;18)=0,0,SUP_CONTROL!$C$8*IF($B25="V",1,IF($B25="D",(1+SUP_VOLUMEN!$C$26),(1+SUP_VOLUMEN!$C$27)))*INDEX(SUP_C3_EXPANSION!$C$6:$F$6,MIN(4,COUNTIF(CAPA3_EXPANSION!$D$56:BP$56,"&gt;="&amp;18)))*CAPA3_EXPANSION!BP$36)</f>
        <v>3780</v>
      </c>
      <c r="BQ25" s="298" t="n">
        <f aca="false">IF(COUNTIF(CAPA3_EXPANSION!$D$56:BQ$56,"&gt;="&amp;18)=0,0,SUP_CONTROL!$C$8*IF($B25="V",1,IF($B25="D",(1+SUP_VOLUMEN!$C$26),(1+SUP_VOLUMEN!$C$27)))*INDEX(SUP_C3_EXPANSION!$C$6:$F$6,MIN(4,COUNTIF(CAPA3_EXPANSION!$D$56:BQ$56,"&gt;="&amp;18)))*CAPA3_EXPANSION!BQ$36)</f>
        <v>3696</v>
      </c>
      <c r="BR25" s="298" t="n">
        <f aca="false">IF(COUNTIF(CAPA3_EXPANSION!$D$56:BR$56,"&gt;="&amp;18)=0,0,SUP_CONTROL!$C$8*IF($B25="V",1,IF($B25="D",(1+SUP_VOLUMEN!$C$26),(1+SUP_VOLUMEN!$C$27)))*INDEX(SUP_C3_EXPANSION!$C$6:$F$6,MIN(4,COUNTIF(CAPA3_EXPANSION!$D$56:BR$56,"&gt;="&amp;18)))*CAPA3_EXPANSION!BR$36)</f>
        <v>3696</v>
      </c>
      <c r="BS25" s="298" t="n">
        <f aca="false">IF(COUNTIF(CAPA3_EXPANSION!$D$56:BS$56,"&gt;="&amp;18)=0,0,SUP_CONTROL!$C$8*IF($B25="V",1,IF($B25="D",(1+SUP_VOLUMEN!$C$26),(1+SUP_VOLUMEN!$C$27)))*INDEX(SUP_C3_EXPANSION!$C$6:$F$6,MIN(4,COUNTIF(CAPA3_EXPANSION!$D$56:BS$56,"&gt;="&amp;18)))*CAPA3_EXPANSION!BS$36)</f>
        <v>3696</v>
      </c>
      <c r="BT25" s="298" t="n">
        <f aca="false">IF(COUNTIF(CAPA3_EXPANSION!$D$56:BT$56,"&gt;="&amp;18)=0,0,SUP_CONTROL!$C$8*IF($B25="V",1,IF($B25="D",(1+SUP_VOLUMEN!$C$26),(1+SUP_VOLUMEN!$C$27)))*INDEX(SUP_C3_EXPANSION!$C$6:$F$6,MIN(4,COUNTIF(CAPA3_EXPANSION!$D$56:BT$56,"&gt;="&amp;18)))*CAPA3_EXPANSION!BT$36)</f>
        <v>3696</v>
      </c>
      <c r="BU25" s="298" t="n">
        <f aca="false">IF(COUNTIF(CAPA3_EXPANSION!$D$56:BU$56,"&gt;="&amp;18)=0,0,SUP_CONTROL!$C$8*IF($B25="V",1,IF($B25="D",(1+SUP_VOLUMEN!$C$26),(1+SUP_VOLUMEN!$C$27)))*INDEX(SUP_C3_EXPANSION!$C$6:$F$6,MIN(4,COUNTIF(CAPA3_EXPANSION!$D$56:BU$56,"&gt;="&amp;18)))*CAPA3_EXPANSION!BU$36)</f>
        <v>3696</v>
      </c>
      <c r="BV25" s="298" t="n">
        <f aca="false">IF(COUNTIF(CAPA3_EXPANSION!$D$56:BV$56,"&gt;="&amp;18)=0,0,SUP_CONTROL!$C$8*IF($B25="V",1,IF($B25="D",(1+SUP_VOLUMEN!$C$26),(1+SUP_VOLUMEN!$C$27)))*INDEX(SUP_C3_EXPANSION!$C$6:$F$6,MIN(4,COUNTIF(CAPA3_EXPANSION!$D$56:BV$56,"&gt;="&amp;18)))*CAPA3_EXPANSION!BV$36)</f>
        <v>3696</v>
      </c>
      <c r="BW25" s="298" t="n">
        <f aca="false">IF(COUNTIF(CAPA3_EXPANSION!$D$56:BW$56,"&gt;="&amp;18)=0,0,SUP_CONTROL!$C$8*IF($B25="V",1,IF($B25="D",(1+SUP_VOLUMEN!$C$26),(1+SUP_VOLUMEN!$C$27)))*INDEX(SUP_C3_EXPANSION!$C$6:$F$6,MIN(4,COUNTIF(CAPA3_EXPANSION!$D$56:BW$56,"&gt;="&amp;18)))*CAPA3_EXPANSION!BW$36)</f>
        <v>3633</v>
      </c>
      <c r="BX25" s="298" t="n">
        <f aca="false">IF(COUNTIF(CAPA3_EXPANSION!$D$56:BX$56,"&gt;="&amp;18)=0,0,SUP_CONTROL!$C$8*IF($B25="V",1,IF($B25="D",(1+SUP_VOLUMEN!$C$26),(1+SUP_VOLUMEN!$C$27)))*INDEX(SUP_C3_EXPANSION!$C$6:$F$6,MIN(4,COUNTIF(CAPA3_EXPANSION!$D$56:BX$56,"&gt;="&amp;18)))*CAPA3_EXPANSION!BX$36)</f>
        <v>3633</v>
      </c>
      <c r="BY25" s="298" t="n">
        <f aca="false">IF(COUNTIF(CAPA3_EXPANSION!$D$56:BY$56,"&gt;="&amp;18)=0,0,SUP_CONTROL!$C$8*IF($B25="V",1,IF($B25="D",(1+SUP_VOLUMEN!$C$26),(1+SUP_VOLUMEN!$C$27)))*INDEX(SUP_C3_EXPANSION!$C$6:$F$6,MIN(4,COUNTIF(CAPA3_EXPANSION!$D$56:BY$56,"&gt;="&amp;18)))*CAPA3_EXPANSION!BY$36)</f>
        <v>3633</v>
      </c>
      <c r="BZ25" s="298" t="n">
        <f aca="false">IF(COUNTIF(CAPA3_EXPANSION!$D$56:BZ$56,"&gt;="&amp;18)=0,0,SUP_CONTROL!$C$8*IF($B25="V",1,IF($B25="D",(1+SUP_VOLUMEN!$C$26),(1+SUP_VOLUMEN!$C$27)))*INDEX(SUP_C3_EXPANSION!$C$6:$F$6,MIN(4,COUNTIF(CAPA3_EXPANSION!$D$56:BZ$56,"&gt;="&amp;18)))*CAPA3_EXPANSION!BZ$36)</f>
        <v>3633</v>
      </c>
      <c r="CA25" s="298" t="n">
        <f aca="false">IF(COUNTIF(CAPA3_EXPANSION!$D$56:CA$56,"&gt;="&amp;18)=0,0,SUP_CONTROL!$C$8*IF($B25="V",1,IF($B25="D",(1+SUP_VOLUMEN!$C$26),(1+SUP_VOLUMEN!$C$27)))*INDEX(SUP_C3_EXPANSION!$C$6:$F$6,MIN(4,COUNTIF(CAPA3_EXPANSION!$D$56:CA$56,"&gt;="&amp;18)))*CAPA3_EXPANSION!CA$36)</f>
        <v>3633</v>
      </c>
      <c r="CB25" s="298" t="n">
        <f aca="false">IF(COUNTIF(CAPA3_EXPANSION!$D$56:CB$56,"&gt;="&amp;18)=0,0,SUP_CONTROL!$C$8*IF($B25="V",1,IF($B25="D",(1+SUP_VOLUMEN!$C$26),(1+SUP_VOLUMEN!$C$27)))*INDEX(SUP_C3_EXPANSION!$C$6:$F$6,MIN(4,COUNTIF(CAPA3_EXPANSION!$D$56:CB$56,"&gt;="&amp;18)))*CAPA3_EXPANSION!CB$36)</f>
        <v>3570</v>
      </c>
      <c r="CC25" s="298" t="n">
        <f aca="false">IF(COUNTIF(CAPA3_EXPANSION!$D$56:CC$56,"&gt;="&amp;18)=0,0,SUP_CONTROL!$C$8*IF($B25="V",1,IF($B25="D",(1+SUP_VOLUMEN!$C$26),(1+SUP_VOLUMEN!$C$27)))*INDEX(SUP_C3_EXPANSION!$C$6:$F$6,MIN(4,COUNTIF(CAPA3_EXPANSION!$D$56:CC$56,"&gt;="&amp;18)))*CAPA3_EXPANSION!CC$36)</f>
        <v>3570</v>
      </c>
      <c r="CD25" s="298" t="n">
        <f aca="false">IF(COUNTIF(CAPA3_EXPANSION!$D$56:CD$56,"&gt;="&amp;18)=0,0,SUP_CONTROL!$C$8*IF($B25="V",1,IF($B25="D",(1+SUP_VOLUMEN!$C$26),(1+SUP_VOLUMEN!$C$27)))*INDEX(SUP_C3_EXPANSION!$C$6:$F$6,MIN(4,COUNTIF(CAPA3_EXPANSION!$D$56:CD$56,"&gt;="&amp;18)))*CAPA3_EXPANSION!CD$36)</f>
        <v>3570</v>
      </c>
      <c r="CE25" s="298" t="n">
        <f aca="false">IF(COUNTIF(CAPA3_EXPANSION!$D$56:CE$56,"&gt;="&amp;18)=0,0,SUP_CONTROL!$C$8*IF($B25="V",1,IF($B25="D",(1+SUP_VOLUMEN!$C$26),(1+SUP_VOLUMEN!$C$27)))*INDEX(SUP_C3_EXPANSION!$C$6:$F$6,MIN(4,COUNTIF(CAPA3_EXPANSION!$D$56:CE$56,"&gt;="&amp;18)))*CAPA3_EXPANSION!CE$36)</f>
        <v>3570</v>
      </c>
      <c r="CF25" s="298" t="n">
        <f aca="false">IF(COUNTIF(CAPA3_EXPANSION!$D$56:CF$56,"&gt;="&amp;18)=0,0,SUP_CONTROL!$C$8*IF($B25="V",1,IF($B25="D",(1+SUP_VOLUMEN!$C$26),(1+SUP_VOLUMEN!$C$27)))*INDEX(SUP_C3_EXPANSION!$C$6:$F$6,MIN(4,COUNTIF(CAPA3_EXPANSION!$D$56:CF$56,"&gt;="&amp;18)))*CAPA3_EXPANSION!CF$36)</f>
        <v>3570</v>
      </c>
      <c r="CG25" s="298" t="n">
        <f aca="false">IF(COUNTIF(CAPA3_EXPANSION!$D$56:CG$56,"&gt;="&amp;18)=0,0,SUP_CONTROL!$C$8*IF($B25="V",1,IF($B25="D",(1+SUP_VOLUMEN!$C$26),(1+SUP_VOLUMEN!$C$27)))*INDEX(SUP_C3_EXPANSION!$C$6:$F$6,MIN(4,COUNTIF(CAPA3_EXPANSION!$D$56:CG$56,"&gt;="&amp;18)))*CAPA3_EXPANSION!CG$36)</f>
        <v>3528</v>
      </c>
      <c r="CH25" s="298" t="n">
        <f aca="false">IF(COUNTIF(CAPA3_EXPANSION!$D$56:CH$56,"&gt;="&amp;18)=0,0,SUP_CONTROL!$C$8*IF($B25="V",1,IF($B25="D",(1+SUP_VOLUMEN!$C$26),(1+SUP_VOLUMEN!$C$27)))*INDEX(SUP_C3_EXPANSION!$C$6:$F$6,MIN(4,COUNTIF(CAPA3_EXPANSION!$D$56:CH$56,"&gt;="&amp;18)))*CAPA3_EXPANSION!CH$36)</f>
        <v>3528</v>
      </c>
      <c r="CI25" s="298" t="n">
        <f aca="false">IF(COUNTIF(CAPA3_EXPANSION!$D$56:CI$56,"&gt;="&amp;18)=0,0,SUP_CONTROL!$C$8*IF($B25="V",1,IF($B25="D",(1+SUP_VOLUMEN!$C$26),(1+SUP_VOLUMEN!$C$27)))*INDEX(SUP_C3_EXPANSION!$C$6:$F$6,MIN(4,COUNTIF(CAPA3_EXPANSION!$D$56:CI$56,"&gt;="&amp;18)))*CAPA3_EXPANSION!CI$36)</f>
        <v>3528</v>
      </c>
      <c r="CJ25" s="298" t="n">
        <f aca="false">IF(COUNTIF(CAPA3_EXPANSION!$D$56:CJ$56,"&gt;="&amp;18)=0,0,SUP_CONTROL!$C$8*IF($B25="V",1,IF($B25="D",(1+SUP_VOLUMEN!$C$26),(1+SUP_VOLUMEN!$C$27)))*INDEX(SUP_C3_EXPANSION!$C$6:$F$6,MIN(4,COUNTIF(CAPA3_EXPANSION!$D$56:CJ$56,"&gt;="&amp;18)))*CAPA3_EXPANSION!CJ$36)</f>
        <v>3528</v>
      </c>
      <c r="CK25" s="298" t="n">
        <f aca="false">IF(COUNTIF(CAPA3_EXPANSION!$D$56:CK$56,"&gt;="&amp;18)=0,0,SUP_CONTROL!$C$8*IF($B25="V",1,IF($B25="D",(1+SUP_VOLUMEN!$C$26),(1+SUP_VOLUMEN!$C$27)))*INDEX(SUP_C3_EXPANSION!$C$6:$F$6,MIN(4,COUNTIF(CAPA3_EXPANSION!$D$56:CK$56,"&gt;="&amp;18)))*CAPA3_EXPANSION!CK$36)</f>
        <v>3528</v>
      </c>
      <c r="CL25" s="298" t="n">
        <f aca="false">IF(COUNTIF(CAPA3_EXPANSION!$D$56:CL$56,"&gt;="&amp;18)=0,0,SUP_CONTROL!$C$8*IF($B25="V",1,IF($B25="D",(1+SUP_VOLUMEN!$C$26),(1+SUP_VOLUMEN!$C$27)))*INDEX(SUP_C3_EXPANSION!$C$6:$F$6,MIN(4,COUNTIF(CAPA3_EXPANSION!$D$56:CL$56,"&gt;="&amp;18)))*CAPA3_EXPANSION!CL$36)</f>
        <v>3528</v>
      </c>
      <c r="CM25" s="298" t="n">
        <f aca="false">IF(COUNTIF(CAPA3_EXPANSION!$D$56:CM$56,"&gt;="&amp;18)=0,0,SUP_CONTROL!$C$8*IF($B25="V",1,IF($B25="D",(1+SUP_VOLUMEN!$C$26),(1+SUP_VOLUMEN!$C$27)))*INDEX(SUP_C3_EXPANSION!$C$6:$F$6,MIN(4,COUNTIF(CAPA3_EXPANSION!$D$56:CM$56,"&gt;="&amp;18)))*CAPA3_EXPANSION!CM$36)</f>
        <v>3528</v>
      </c>
      <c r="CN25" s="298" t="n">
        <f aca="false">IF(COUNTIF(CAPA3_EXPANSION!$D$56:CN$56,"&gt;="&amp;18)=0,0,SUP_CONTROL!$C$8*IF($B25="V",1,IF($B25="D",(1+SUP_VOLUMEN!$C$26),(1+SUP_VOLUMEN!$C$27)))*INDEX(SUP_C3_EXPANSION!$C$6:$F$6,MIN(4,COUNTIF(CAPA3_EXPANSION!$D$56:CN$56,"&gt;="&amp;18)))*CAPA3_EXPANSION!CN$36)</f>
        <v>3528</v>
      </c>
      <c r="CO25" s="298" t="n">
        <f aca="false">IF(COUNTIF(CAPA3_EXPANSION!$D$56:CO$56,"&gt;="&amp;18)=0,0,SUP_CONTROL!$C$8*IF($B25="V",1,IF($B25="D",(1+SUP_VOLUMEN!$C$26),(1+SUP_VOLUMEN!$C$27)))*INDEX(SUP_C3_EXPANSION!$C$6:$F$6,MIN(4,COUNTIF(CAPA3_EXPANSION!$D$56:CO$56,"&gt;="&amp;18)))*CAPA3_EXPANSION!CO$36)</f>
        <v>3528</v>
      </c>
      <c r="CP25" s="298" t="n">
        <f aca="false">IF(COUNTIF(CAPA3_EXPANSION!$D$56:CP$56,"&gt;="&amp;18)=0,0,SUP_CONTROL!$C$8*IF($B25="V",1,IF($B25="D",(1+SUP_VOLUMEN!$C$26),(1+SUP_VOLUMEN!$C$27)))*INDEX(SUP_C3_EXPANSION!$C$6:$F$6,MIN(4,COUNTIF(CAPA3_EXPANSION!$D$56:CP$56,"&gt;="&amp;18)))*CAPA3_EXPANSION!CP$36)</f>
        <v>3528</v>
      </c>
      <c r="CQ25" s="298" t="n">
        <f aca="false">IF(COUNTIF(CAPA3_EXPANSION!$D$56:CQ$56,"&gt;="&amp;18)=0,0,SUP_CONTROL!$C$8*IF($B25="V",1,IF($B25="D",(1+SUP_VOLUMEN!$C$26),(1+SUP_VOLUMEN!$C$27)))*INDEX(SUP_C3_EXPANSION!$C$6:$F$6,MIN(4,COUNTIF(CAPA3_EXPANSION!$D$56:CQ$56,"&gt;="&amp;18)))*CAPA3_EXPANSION!CQ$36)</f>
        <v>3528</v>
      </c>
      <c r="CR25" s="298" t="n">
        <f aca="false">IF(COUNTIF(CAPA3_EXPANSION!$D$56:CR$56,"&gt;="&amp;18)=0,0,SUP_CONTROL!$C$8*IF($B25="V",1,IF($B25="D",(1+SUP_VOLUMEN!$C$26),(1+SUP_VOLUMEN!$C$27)))*INDEX(SUP_C3_EXPANSION!$C$6:$F$6,MIN(4,COUNTIF(CAPA3_EXPANSION!$D$56:CR$56,"&gt;="&amp;18)))*CAPA3_EXPANSION!CR$36)</f>
        <v>3528</v>
      </c>
      <c r="CS25" s="298" t="n">
        <f aca="false">IF(COUNTIF(CAPA3_EXPANSION!$D$56:CS$56,"&gt;="&amp;18)=0,0,SUP_CONTROL!$C$8*IF($B25="V",1,IF($B25="D",(1+SUP_VOLUMEN!$C$26),(1+SUP_VOLUMEN!$C$27)))*INDEX(SUP_C3_EXPANSION!$C$6:$F$6,MIN(4,COUNTIF(CAPA3_EXPANSION!$D$56:CS$56,"&gt;="&amp;18)))*CAPA3_EXPANSION!CS$36)</f>
        <v>3528</v>
      </c>
      <c r="CT25" s="298" t="n">
        <f aca="false">IF(COUNTIF(CAPA3_EXPANSION!$D$56:CT$56,"&gt;="&amp;18)=0,0,SUP_CONTROL!$C$8*IF($B25="V",1,IF($B25="D",(1+SUP_VOLUMEN!$C$26),(1+SUP_VOLUMEN!$C$27)))*INDEX(SUP_C3_EXPANSION!$C$6:$F$6,MIN(4,COUNTIF(CAPA3_EXPANSION!$D$56:CT$56,"&gt;="&amp;18)))*CAPA3_EXPANSION!CT$36)</f>
        <v>3528</v>
      </c>
      <c r="CU25" s="298" t="n">
        <f aca="false">IF(COUNTIF(CAPA3_EXPANSION!$D$56:CU$56,"&gt;="&amp;18)=0,0,SUP_CONTROL!$C$8*IF($B25="V",1,IF($B25="D",(1+SUP_VOLUMEN!$C$26),(1+SUP_VOLUMEN!$C$27)))*INDEX(SUP_C3_EXPANSION!$C$6:$F$6,MIN(4,COUNTIF(CAPA3_EXPANSION!$D$56:CU$56,"&gt;="&amp;18)))*CAPA3_EXPANSION!CU$36)</f>
        <v>3528</v>
      </c>
      <c r="CV25" s="298" t="n">
        <f aca="false">IF(COUNTIF(CAPA3_EXPANSION!$D$56:CV$56,"&gt;="&amp;18)=0,0,SUP_CONTROL!$C$8*IF($B25="V",1,IF($B25="D",(1+SUP_VOLUMEN!$C$26),(1+SUP_VOLUMEN!$C$27)))*INDEX(SUP_C3_EXPANSION!$C$6:$F$6,MIN(4,COUNTIF(CAPA3_EXPANSION!$D$56:CV$56,"&gt;="&amp;18)))*CAPA3_EXPANSION!CV$36)</f>
        <v>3528</v>
      </c>
      <c r="CW25" s="298" t="n">
        <f aca="false">IF(COUNTIF(CAPA3_EXPANSION!$D$56:CW$56,"&gt;="&amp;18)=0,0,SUP_CONTROL!$C$8*IF($B25="V",1,IF($B25="D",(1+SUP_VOLUMEN!$C$26),(1+SUP_VOLUMEN!$C$27)))*INDEX(SUP_C3_EXPANSION!$C$6:$F$6,MIN(4,COUNTIF(CAPA3_EXPANSION!$D$56:CW$56,"&gt;="&amp;18)))*CAPA3_EXPANSION!CW$36)</f>
        <v>3528</v>
      </c>
      <c r="CX25" s="298" t="n">
        <f aca="false">IF(COUNTIF(CAPA3_EXPANSION!$D$56:CX$56,"&gt;="&amp;18)=0,0,SUP_CONTROL!$C$8*IF($B25="V",1,IF($B25="D",(1+SUP_VOLUMEN!$C$26),(1+SUP_VOLUMEN!$C$27)))*INDEX(SUP_C3_EXPANSION!$C$6:$F$6,MIN(4,COUNTIF(CAPA3_EXPANSION!$D$56:CX$56,"&gt;="&amp;18)))*CAPA3_EXPANSION!CX$36)</f>
        <v>3528</v>
      </c>
      <c r="CY25" s="298" t="n">
        <f aca="false">IF(COUNTIF(CAPA3_EXPANSION!$D$56:CY$56,"&gt;="&amp;18)=0,0,SUP_CONTROL!$C$8*IF($B25="V",1,IF($B25="D",(1+SUP_VOLUMEN!$C$26),(1+SUP_VOLUMEN!$C$27)))*INDEX(SUP_C3_EXPANSION!$C$6:$F$6,MIN(4,COUNTIF(CAPA3_EXPANSION!$D$56:CY$56,"&gt;="&amp;18)))*CAPA3_EXPANSION!CY$36)</f>
        <v>3528</v>
      </c>
      <c r="CZ25" s="298" t="n">
        <f aca="false">IF(COUNTIF(CAPA3_EXPANSION!$D$56:CZ$56,"&gt;="&amp;18)=0,0,SUP_CONTROL!$C$8*IF($B25="V",1,IF($B25="D",(1+SUP_VOLUMEN!$C$26),(1+SUP_VOLUMEN!$C$27)))*INDEX(SUP_C3_EXPANSION!$C$6:$F$6,MIN(4,COUNTIF(CAPA3_EXPANSION!$D$56:CZ$56,"&gt;="&amp;18)))*CAPA3_EXPANSION!CZ$36)</f>
        <v>3528</v>
      </c>
      <c r="DA25" s="298" t="n">
        <f aca="false">IF(COUNTIF(CAPA3_EXPANSION!$D$56:DA$56,"&gt;="&amp;18)=0,0,SUP_CONTROL!$C$8*IF($B25="V",1,IF($B25="D",(1+SUP_VOLUMEN!$C$26),(1+SUP_VOLUMEN!$C$27)))*INDEX(SUP_C3_EXPANSION!$C$6:$F$6,MIN(4,COUNTIF(CAPA3_EXPANSION!$D$56:DA$56,"&gt;="&amp;18)))*CAPA3_EXPANSION!DA$36)</f>
        <v>3528</v>
      </c>
      <c r="DB25" s="298" t="n">
        <f aca="false">IF(COUNTIF(CAPA3_EXPANSION!$D$56:DB$56,"&gt;="&amp;18)=0,0,SUP_CONTROL!$C$8*IF($B25="V",1,IF($B25="D",(1+SUP_VOLUMEN!$C$26),(1+SUP_VOLUMEN!$C$27)))*INDEX(SUP_C3_EXPANSION!$C$6:$F$6,MIN(4,COUNTIF(CAPA3_EXPANSION!$D$56:DB$56,"&gt;="&amp;18)))*CAPA3_EXPANSION!DB$36)</f>
        <v>3528</v>
      </c>
      <c r="DC25" s="298" t="n">
        <f aca="false">IF(COUNTIF(CAPA3_EXPANSION!$D$56:DC$56,"&gt;="&amp;18)=0,0,SUP_CONTROL!$C$8*IF($B25="V",1,IF($B25="D",(1+SUP_VOLUMEN!$C$26),(1+SUP_VOLUMEN!$C$27)))*INDEX(SUP_C3_EXPANSION!$C$6:$F$6,MIN(4,COUNTIF(CAPA3_EXPANSION!$D$56:DC$56,"&gt;="&amp;18)))*CAPA3_EXPANSION!DC$36)</f>
        <v>3528</v>
      </c>
      <c r="DD25" s="298" t="n">
        <f aca="false">IF(COUNTIF(CAPA3_EXPANSION!$D$56:DD$56,"&gt;="&amp;18)=0,0,SUP_CONTROL!$C$8*IF($B25="V",1,IF($B25="D",(1+SUP_VOLUMEN!$C$26),(1+SUP_VOLUMEN!$C$27)))*INDEX(SUP_C3_EXPANSION!$C$6:$F$6,MIN(4,COUNTIF(CAPA3_EXPANSION!$D$56:DD$56,"&gt;="&amp;18)))*CAPA3_EXPANSION!DD$36)</f>
        <v>3528</v>
      </c>
      <c r="DE25" s="298" t="n">
        <f aca="false">IF(COUNTIF(CAPA3_EXPANSION!$D$56:DE$56,"&gt;="&amp;18)=0,0,SUP_CONTROL!$C$8*IF($B25="V",1,IF($B25="D",(1+SUP_VOLUMEN!$C$26),(1+SUP_VOLUMEN!$C$27)))*INDEX(SUP_C3_EXPANSION!$C$6:$F$6,MIN(4,COUNTIF(CAPA3_EXPANSION!$D$56:DE$56,"&gt;="&amp;18)))*CAPA3_EXPANSION!DE$36)</f>
        <v>3528</v>
      </c>
      <c r="DF25" s="298" t="n">
        <f aca="false">IF(COUNTIF(CAPA3_EXPANSION!$D$56:DF$56,"&gt;="&amp;18)=0,0,SUP_CONTROL!$C$8*IF($B25="V",1,IF($B25="D",(1+SUP_VOLUMEN!$C$26),(1+SUP_VOLUMEN!$C$27)))*INDEX(SUP_C3_EXPANSION!$C$6:$F$6,MIN(4,COUNTIF(CAPA3_EXPANSION!$D$56:DF$56,"&gt;="&amp;18)))*CAPA3_EXPANSION!DF$36)</f>
        <v>3528</v>
      </c>
      <c r="DG25" s="298" t="n">
        <f aca="false">IF(COUNTIF(CAPA3_EXPANSION!$D$56:DG$56,"&gt;="&amp;18)=0,0,SUP_CONTROL!$C$8*IF($B25="V",1,IF($B25="D",(1+SUP_VOLUMEN!$C$26),(1+SUP_VOLUMEN!$C$27)))*INDEX(SUP_C3_EXPANSION!$C$6:$F$6,MIN(4,COUNTIF(CAPA3_EXPANSION!$D$56:DG$56,"&gt;="&amp;18)))*CAPA3_EXPANSION!DG$36)</f>
        <v>3528</v>
      </c>
      <c r="DH25" s="298" t="n">
        <f aca="false">IF(COUNTIF(CAPA3_EXPANSION!$D$56:DH$56,"&gt;="&amp;18)=0,0,SUP_CONTROL!$C$8*IF($B25="V",1,IF($B25="D",(1+SUP_VOLUMEN!$C$26),(1+SUP_VOLUMEN!$C$27)))*INDEX(SUP_C3_EXPANSION!$C$6:$F$6,MIN(4,COUNTIF(CAPA3_EXPANSION!$D$56:DH$56,"&gt;="&amp;18)))*CAPA3_EXPANSION!DH$36)</f>
        <v>3528</v>
      </c>
      <c r="DI25" s="298" t="n">
        <f aca="false">IF(COUNTIF(CAPA3_EXPANSION!$D$56:DI$56,"&gt;="&amp;18)=0,0,SUP_CONTROL!$C$8*IF($B25="V",1,IF($B25="D",(1+SUP_VOLUMEN!$C$26),(1+SUP_VOLUMEN!$C$27)))*INDEX(SUP_C3_EXPANSION!$C$6:$F$6,MIN(4,COUNTIF(CAPA3_EXPANSION!$D$56:DI$56,"&gt;="&amp;18)))*CAPA3_EXPANSION!DI$36)</f>
        <v>3528</v>
      </c>
      <c r="DJ25" s="298" t="n">
        <f aca="false">IF(COUNTIF(CAPA3_EXPANSION!$D$56:DJ$56,"&gt;="&amp;18)=0,0,SUP_CONTROL!$C$8*IF($B25="V",1,IF($B25="D",(1+SUP_VOLUMEN!$C$26),(1+SUP_VOLUMEN!$C$27)))*INDEX(SUP_C3_EXPANSION!$C$6:$F$6,MIN(4,COUNTIF(CAPA3_EXPANSION!$D$56:DJ$56,"&gt;="&amp;18)))*CAPA3_EXPANSION!DJ$36)</f>
        <v>3528</v>
      </c>
      <c r="DK25" s="298" t="n">
        <f aca="false">IF(COUNTIF(CAPA3_EXPANSION!$D$56:DK$56,"&gt;="&amp;18)=0,0,SUP_CONTROL!$C$8*IF($B25="V",1,IF($B25="D",(1+SUP_VOLUMEN!$C$26),(1+SUP_VOLUMEN!$C$27)))*INDEX(SUP_C3_EXPANSION!$C$6:$F$6,MIN(4,COUNTIF(CAPA3_EXPANSION!$D$56:DK$56,"&gt;="&amp;18)))*CAPA3_EXPANSION!DK$36)</f>
        <v>3528</v>
      </c>
      <c r="DL25" s="298" t="n">
        <f aca="false">IF(COUNTIF(CAPA3_EXPANSION!$D$56:DL$56,"&gt;="&amp;18)=0,0,SUP_CONTROL!$C$8*IF($B25="V",1,IF($B25="D",(1+SUP_VOLUMEN!$C$26),(1+SUP_VOLUMEN!$C$27)))*INDEX(SUP_C3_EXPANSION!$C$6:$F$6,MIN(4,COUNTIF(CAPA3_EXPANSION!$D$56:DL$56,"&gt;="&amp;18)))*CAPA3_EXPANSION!DL$36)</f>
        <v>3528</v>
      </c>
      <c r="DM25" s="298" t="n">
        <f aca="false">IF(COUNTIF(CAPA3_EXPANSION!$D$56:DM$56,"&gt;="&amp;18)=0,0,SUP_CONTROL!$C$8*IF($B25="V",1,IF($B25="D",(1+SUP_VOLUMEN!$C$26),(1+SUP_VOLUMEN!$C$27)))*INDEX(SUP_C3_EXPANSION!$C$6:$F$6,MIN(4,COUNTIF(CAPA3_EXPANSION!$D$56:DM$56,"&gt;="&amp;18)))*CAPA3_EXPANSION!DM$36)</f>
        <v>3528</v>
      </c>
      <c r="DN25" s="298" t="n">
        <f aca="false">IF(COUNTIF(CAPA3_EXPANSION!$D$56:DN$56,"&gt;="&amp;18)=0,0,SUP_CONTROL!$C$8*IF($B25="V",1,IF($B25="D",(1+SUP_VOLUMEN!$C$26),(1+SUP_VOLUMEN!$C$27)))*INDEX(SUP_C3_EXPANSION!$C$6:$F$6,MIN(4,COUNTIF(CAPA3_EXPANSION!$D$56:DN$56,"&gt;="&amp;18)))*CAPA3_EXPANSION!DN$36)</f>
        <v>3528</v>
      </c>
      <c r="DO25" s="298" t="n">
        <f aca="false">IF(COUNTIF(CAPA3_EXPANSION!$D$56:DO$56,"&gt;="&amp;18)=0,0,SUP_CONTROL!$C$8*IF($B25="V",1,IF($B25="D",(1+SUP_VOLUMEN!$C$26),(1+SUP_VOLUMEN!$C$27)))*INDEX(SUP_C3_EXPANSION!$C$6:$F$6,MIN(4,COUNTIF(CAPA3_EXPANSION!$D$56:DO$56,"&gt;="&amp;18)))*CAPA3_EXPANSION!DO$36)</f>
        <v>3528</v>
      </c>
      <c r="DP25" s="298" t="n">
        <f aca="false">IF(COUNTIF(CAPA3_EXPANSION!$D$56:DP$56,"&gt;="&amp;18)=0,0,SUP_CONTROL!$C$8*IF($B25="V",1,IF($B25="D",(1+SUP_VOLUMEN!$C$26),(1+SUP_VOLUMEN!$C$27)))*INDEX(SUP_C3_EXPANSION!$C$6:$F$6,MIN(4,COUNTIF(CAPA3_EXPANSION!$D$56:DP$56,"&gt;="&amp;18)))*CAPA3_EXPANSION!DP$36)</f>
        <v>3528</v>
      </c>
      <c r="DQ25" s="298" t="n">
        <f aca="false">IF(COUNTIF(CAPA3_EXPANSION!$D$56:DQ$56,"&gt;="&amp;18)=0,0,SUP_CONTROL!$C$8*IF($B25="V",1,IF($B25="D",(1+SUP_VOLUMEN!$C$26),(1+SUP_VOLUMEN!$C$27)))*INDEX(SUP_C3_EXPANSION!$C$6:$F$6,MIN(4,COUNTIF(CAPA3_EXPANSION!$D$56:DQ$56,"&gt;="&amp;18)))*CAPA3_EXPANSION!DQ$36)</f>
        <v>3528</v>
      </c>
      <c r="DR25" s="298" t="n">
        <f aca="false">IF(COUNTIF(CAPA3_EXPANSION!$D$56:DR$56,"&gt;="&amp;18)=0,0,SUP_CONTROL!$C$8*IF($B25="V",1,IF($B25="D",(1+SUP_VOLUMEN!$C$26),(1+SUP_VOLUMEN!$C$27)))*INDEX(SUP_C3_EXPANSION!$C$6:$F$6,MIN(4,COUNTIF(CAPA3_EXPANSION!$D$56:DR$56,"&gt;="&amp;18)))*CAPA3_EXPANSION!DR$36)</f>
        <v>3528</v>
      </c>
      <c r="DS25" s="298" t="n">
        <f aca="false">IF(COUNTIF(CAPA3_EXPANSION!$D$56:DS$56,"&gt;="&amp;18)=0,0,SUP_CONTROL!$C$8*IF($B25="V",1,IF($B25="D",(1+SUP_VOLUMEN!$C$26),(1+SUP_VOLUMEN!$C$27)))*INDEX(SUP_C3_EXPANSION!$C$6:$F$6,MIN(4,COUNTIF(CAPA3_EXPANSION!$D$56:DS$56,"&gt;="&amp;18)))*CAPA3_EXPANSION!DS$36)</f>
        <v>3528</v>
      </c>
    </row>
    <row r="26" customFormat="false" ht="15" hidden="false" customHeight="true" outlineLevel="0" collapsed="false">
      <c r="A26" s="298" t="n">
        <v>29</v>
      </c>
      <c r="B26" s="497" t="str">
        <f aca="false">SUP_C3_EXPANSION!B38</f>
        <v>V</v>
      </c>
      <c r="C26" s="267" t="n">
        <f aca="false">SUP_C3_EXPANSION!G38</f>
        <v>59</v>
      </c>
      <c r="D26" s="298" t="n">
        <f aca="false">IF(COUNTIF(CAPA3_EXPANSION!$D$56:D$56,"&gt;="&amp;19)=0,0,SUP_CONTROL!$C$8*IF($B26="V",1,IF($B26="D",(1+SUP_VOLUMEN!$C$26),(1+SUP_VOLUMEN!$C$27)))*INDEX(SUP_C3_EXPANSION!$C$6:$F$6,MIN(4,COUNTIF(CAPA3_EXPANSION!$D$56:D$56,"&gt;="&amp;19)))*CAPA3_EXPANSION!D$36)</f>
        <v>0</v>
      </c>
      <c r="E26" s="298" t="n">
        <f aca="false">IF(COUNTIF(CAPA3_EXPANSION!$D$56:E$56,"&gt;="&amp;19)=0,0,SUP_CONTROL!$C$8*IF($B26="V",1,IF($B26="D",(1+SUP_VOLUMEN!$C$26),(1+SUP_VOLUMEN!$C$27)))*INDEX(SUP_C3_EXPANSION!$C$6:$F$6,MIN(4,COUNTIF(CAPA3_EXPANSION!$D$56:E$56,"&gt;="&amp;19)))*CAPA3_EXPANSION!E$36)</f>
        <v>0</v>
      </c>
      <c r="F26" s="298" t="n">
        <f aca="false">IF(COUNTIF(CAPA3_EXPANSION!$D$56:F$56,"&gt;="&amp;19)=0,0,SUP_CONTROL!$C$8*IF($B26="V",1,IF($B26="D",(1+SUP_VOLUMEN!$C$26),(1+SUP_VOLUMEN!$C$27)))*INDEX(SUP_C3_EXPANSION!$C$6:$F$6,MIN(4,COUNTIF(CAPA3_EXPANSION!$D$56:F$56,"&gt;="&amp;19)))*CAPA3_EXPANSION!F$36)</f>
        <v>0</v>
      </c>
      <c r="G26" s="298" t="n">
        <f aca="false">IF(COUNTIF(CAPA3_EXPANSION!$D$56:G$56,"&gt;="&amp;19)=0,0,SUP_CONTROL!$C$8*IF($B26="V",1,IF($B26="D",(1+SUP_VOLUMEN!$C$26),(1+SUP_VOLUMEN!$C$27)))*INDEX(SUP_C3_EXPANSION!$C$6:$F$6,MIN(4,COUNTIF(CAPA3_EXPANSION!$D$56:G$56,"&gt;="&amp;19)))*CAPA3_EXPANSION!G$36)</f>
        <v>0</v>
      </c>
      <c r="H26" s="298" t="n">
        <f aca="false">IF(COUNTIF(CAPA3_EXPANSION!$D$56:H$56,"&gt;="&amp;19)=0,0,SUP_CONTROL!$C$8*IF($B26="V",1,IF($B26="D",(1+SUP_VOLUMEN!$C$26),(1+SUP_VOLUMEN!$C$27)))*INDEX(SUP_C3_EXPANSION!$C$6:$F$6,MIN(4,COUNTIF(CAPA3_EXPANSION!$D$56:H$56,"&gt;="&amp;19)))*CAPA3_EXPANSION!H$36)</f>
        <v>0</v>
      </c>
      <c r="I26" s="298" t="n">
        <f aca="false">IF(COUNTIF(CAPA3_EXPANSION!$D$56:I$56,"&gt;="&amp;19)=0,0,SUP_CONTROL!$C$8*IF($B26="V",1,IF($B26="D",(1+SUP_VOLUMEN!$C$26),(1+SUP_VOLUMEN!$C$27)))*INDEX(SUP_C3_EXPANSION!$C$6:$F$6,MIN(4,COUNTIF(CAPA3_EXPANSION!$D$56:I$56,"&gt;="&amp;19)))*CAPA3_EXPANSION!I$36)</f>
        <v>0</v>
      </c>
      <c r="J26" s="298" t="n">
        <f aca="false">IF(COUNTIF(CAPA3_EXPANSION!$D$56:J$56,"&gt;="&amp;19)=0,0,SUP_CONTROL!$C$8*IF($B26="V",1,IF($B26="D",(1+SUP_VOLUMEN!$C$26),(1+SUP_VOLUMEN!$C$27)))*INDEX(SUP_C3_EXPANSION!$C$6:$F$6,MIN(4,COUNTIF(CAPA3_EXPANSION!$D$56:J$56,"&gt;="&amp;19)))*CAPA3_EXPANSION!J$36)</f>
        <v>0</v>
      </c>
      <c r="K26" s="298" t="n">
        <f aca="false">IF(COUNTIF(CAPA3_EXPANSION!$D$56:K$56,"&gt;="&amp;19)=0,0,SUP_CONTROL!$C$8*IF($B26="V",1,IF($B26="D",(1+SUP_VOLUMEN!$C$26),(1+SUP_VOLUMEN!$C$27)))*INDEX(SUP_C3_EXPANSION!$C$6:$F$6,MIN(4,COUNTIF(CAPA3_EXPANSION!$D$56:K$56,"&gt;="&amp;19)))*CAPA3_EXPANSION!K$36)</f>
        <v>0</v>
      </c>
      <c r="L26" s="298" t="n">
        <f aca="false">IF(COUNTIF(CAPA3_EXPANSION!$D$56:L$56,"&gt;="&amp;19)=0,0,SUP_CONTROL!$C$8*IF($B26="V",1,IF($B26="D",(1+SUP_VOLUMEN!$C$26),(1+SUP_VOLUMEN!$C$27)))*INDEX(SUP_C3_EXPANSION!$C$6:$F$6,MIN(4,COUNTIF(CAPA3_EXPANSION!$D$56:L$56,"&gt;="&amp;19)))*CAPA3_EXPANSION!L$36)</f>
        <v>0</v>
      </c>
      <c r="M26" s="298" t="n">
        <f aca="false">IF(COUNTIF(CAPA3_EXPANSION!$D$56:M$56,"&gt;="&amp;19)=0,0,SUP_CONTROL!$C$8*IF($B26="V",1,IF($B26="D",(1+SUP_VOLUMEN!$C$26),(1+SUP_VOLUMEN!$C$27)))*INDEX(SUP_C3_EXPANSION!$C$6:$F$6,MIN(4,COUNTIF(CAPA3_EXPANSION!$D$56:M$56,"&gt;="&amp;19)))*CAPA3_EXPANSION!M$36)</f>
        <v>0</v>
      </c>
      <c r="N26" s="298" t="n">
        <f aca="false">IF(COUNTIF(CAPA3_EXPANSION!$D$56:N$56,"&gt;="&amp;19)=0,0,SUP_CONTROL!$C$8*IF($B26="V",1,IF($B26="D",(1+SUP_VOLUMEN!$C$26),(1+SUP_VOLUMEN!$C$27)))*INDEX(SUP_C3_EXPANSION!$C$6:$F$6,MIN(4,COUNTIF(CAPA3_EXPANSION!$D$56:N$56,"&gt;="&amp;19)))*CAPA3_EXPANSION!N$36)</f>
        <v>0</v>
      </c>
      <c r="O26" s="298" t="n">
        <f aca="false">IF(COUNTIF(CAPA3_EXPANSION!$D$56:O$56,"&gt;="&amp;19)=0,0,SUP_CONTROL!$C$8*IF($B26="V",1,IF($B26="D",(1+SUP_VOLUMEN!$C$26),(1+SUP_VOLUMEN!$C$27)))*INDEX(SUP_C3_EXPANSION!$C$6:$F$6,MIN(4,COUNTIF(CAPA3_EXPANSION!$D$56:O$56,"&gt;="&amp;19)))*CAPA3_EXPANSION!O$36)</f>
        <v>0</v>
      </c>
      <c r="P26" s="298" t="n">
        <f aca="false">IF(COUNTIF(CAPA3_EXPANSION!$D$56:P$56,"&gt;="&amp;19)=0,0,SUP_CONTROL!$C$8*IF($B26="V",1,IF($B26="D",(1+SUP_VOLUMEN!$C$26),(1+SUP_VOLUMEN!$C$27)))*INDEX(SUP_C3_EXPANSION!$C$6:$F$6,MIN(4,COUNTIF(CAPA3_EXPANSION!$D$56:P$56,"&gt;="&amp;19)))*CAPA3_EXPANSION!P$36)</f>
        <v>0</v>
      </c>
      <c r="Q26" s="298" t="n">
        <f aca="false">IF(COUNTIF(CAPA3_EXPANSION!$D$56:Q$56,"&gt;="&amp;19)=0,0,SUP_CONTROL!$C$8*IF($B26="V",1,IF($B26="D",(1+SUP_VOLUMEN!$C$26),(1+SUP_VOLUMEN!$C$27)))*INDEX(SUP_C3_EXPANSION!$C$6:$F$6,MIN(4,COUNTIF(CAPA3_EXPANSION!$D$56:Q$56,"&gt;="&amp;19)))*CAPA3_EXPANSION!Q$36)</f>
        <v>0</v>
      </c>
      <c r="R26" s="298" t="n">
        <f aca="false">IF(COUNTIF(CAPA3_EXPANSION!$D$56:R$56,"&gt;="&amp;19)=0,0,SUP_CONTROL!$C$8*IF($B26="V",1,IF($B26="D",(1+SUP_VOLUMEN!$C$26),(1+SUP_VOLUMEN!$C$27)))*INDEX(SUP_C3_EXPANSION!$C$6:$F$6,MIN(4,COUNTIF(CAPA3_EXPANSION!$D$56:R$56,"&gt;="&amp;19)))*CAPA3_EXPANSION!R$36)</f>
        <v>0</v>
      </c>
      <c r="S26" s="298" t="n">
        <f aca="false">IF(COUNTIF(CAPA3_EXPANSION!$D$56:S$56,"&gt;="&amp;19)=0,0,SUP_CONTROL!$C$8*IF($B26="V",1,IF($B26="D",(1+SUP_VOLUMEN!$C$26),(1+SUP_VOLUMEN!$C$27)))*INDEX(SUP_C3_EXPANSION!$C$6:$F$6,MIN(4,COUNTIF(CAPA3_EXPANSION!$D$56:S$56,"&gt;="&amp;19)))*CAPA3_EXPANSION!S$36)</f>
        <v>0</v>
      </c>
      <c r="T26" s="298" t="n">
        <f aca="false">IF(COUNTIF(CAPA3_EXPANSION!$D$56:T$56,"&gt;="&amp;19)=0,0,SUP_CONTROL!$C$8*IF($B26="V",1,IF($B26="D",(1+SUP_VOLUMEN!$C$26),(1+SUP_VOLUMEN!$C$27)))*INDEX(SUP_C3_EXPANSION!$C$6:$F$6,MIN(4,COUNTIF(CAPA3_EXPANSION!$D$56:T$56,"&gt;="&amp;19)))*CAPA3_EXPANSION!T$36)</f>
        <v>0</v>
      </c>
      <c r="U26" s="298" t="n">
        <f aca="false">IF(COUNTIF(CAPA3_EXPANSION!$D$56:U$56,"&gt;="&amp;19)=0,0,SUP_CONTROL!$C$8*IF($B26="V",1,IF($B26="D",(1+SUP_VOLUMEN!$C$26),(1+SUP_VOLUMEN!$C$27)))*INDEX(SUP_C3_EXPANSION!$C$6:$F$6,MIN(4,COUNTIF(CAPA3_EXPANSION!$D$56:U$56,"&gt;="&amp;19)))*CAPA3_EXPANSION!U$36)</f>
        <v>0</v>
      </c>
      <c r="V26" s="298" t="n">
        <f aca="false">IF(COUNTIF(CAPA3_EXPANSION!$D$56:V$56,"&gt;="&amp;19)=0,0,SUP_CONTROL!$C$8*IF($B26="V",1,IF($B26="D",(1+SUP_VOLUMEN!$C$26),(1+SUP_VOLUMEN!$C$27)))*INDEX(SUP_C3_EXPANSION!$C$6:$F$6,MIN(4,COUNTIF(CAPA3_EXPANSION!$D$56:V$56,"&gt;="&amp;19)))*CAPA3_EXPANSION!V$36)</f>
        <v>0</v>
      </c>
      <c r="W26" s="298" t="n">
        <f aca="false">IF(COUNTIF(CAPA3_EXPANSION!$D$56:W$56,"&gt;="&amp;19)=0,0,SUP_CONTROL!$C$8*IF($B26="V",1,IF($B26="D",(1+SUP_VOLUMEN!$C$26),(1+SUP_VOLUMEN!$C$27)))*INDEX(SUP_C3_EXPANSION!$C$6:$F$6,MIN(4,COUNTIF(CAPA3_EXPANSION!$D$56:W$56,"&gt;="&amp;19)))*CAPA3_EXPANSION!W$36)</f>
        <v>0</v>
      </c>
      <c r="X26" s="298" t="n">
        <f aca="false">IF(COUNTIF(CAPA3_EXPANSION!$D$56:X$56,"&gt;="&amp;19)=0,0,SUP_CONTROL!$C$8*IF($B26="V",1,IF($B26="D",(1+SUP_VOLUMEN!$C$26),(1+SUP_VOLUMEN!$C$27)))*INDEX(SUP_C3_EXPANSION!$C$6:$F$6,MIN(4,COUNTIF(CAPA3_EXPANSION!$D$56:X$56,"&gt;="&amp;19)))*CAPA3_EXPANSION!X$36)</f>
        <v>0</v>
      </c>
      <c r="Y26" s="298" t="n">
        <f aca="false">IF(COUNTIF(CAPA3_EXPANSION!$D$56:Y$56,"&gt;="&amp;19)=0,0,SUP_CONTROL!$C$8*IF($B26="V",1,IF($B26="D",(1+SUP_VOLUMEN!$C$26),(1+SUP_VOLUMEN!$C$27)))*INDEX(SUP_C3_EXPANSION!$C$6:$F$6,MIN(4,COUNTIF(CAPA3_EXPANSION!$D$56:Y$56,"&gt;="&amp;19)))*CAPA3_EXPANSION!Y$36)</f>
        <v>0</v>
      </c>
      <c r="Z26" s="298" t="n">
        <f aca="false">IF(COUNTIF(CAPA3_EXPANSION!$D$56:Z$56,"&gt;="&amp;19)=0,0,SUP_CONTROL!$C$8*IF($B26="V",1,IF($B26="D",(1+SUP_VOLUMEN!$C$26),(1+SUP_VOLUMEN!$C$27)))*INDEX(SUP_C3_EXPANSION!$C$6:$F$6,MIN(4,COUNTIF(CAPA3_EXPANSION!$D$56:Z$56,"&gt;="&amp;19)))*CAPA3_EXPANSION!Z$36)</f>
        <v>0</v>
      </c>
      <c r="AA26" s="298" t="n">
        <f aca="false">IF(COUNTIF(CAPA3_EXPANSION!$D$56:AA$56,"&gt;="&amp;19)=0,0,SUP_CONTROL!$C$8*IF($B26="V",1,IF($B26="D",(1+SUP_VOLUMEN!$C$26),(1+SUP_VOLUMEN!$C$27)))*INDEX(SUP_C3_EXPANSION!$C$6:$F$6,MIN(4,COUNTIF(CAPA3_EXPANSION!$D$56:AA$56,"&gt;="&amp;19)))*CAPA3_EXPANSION!AA$36)</f>
        <v>0</v>
      </c>
      <c r="AB26" s="298" t="n">
        <f aca="false">IF(COUNTIF(CAPA3_EXPANSION!$D$56:AB$56,"&gt;="&amp;19)=0,0,SUP_CONTROL!$C$8*IF($B26="V",1,IF($B26="D",(1+SUP_VOLUMEN!$C$26),(1+SUP_VOLUMEN!$C$27)))*INDEX(SUP_C3_EXPANSION!$C$6:$F$6,MIN(4,COUNTIF(CAPA3_EXPANSION!$D$56:AB$56,"&gt;="&amp;19)))*CAPA3_EXPANSION!AB$36)</f>
        <v>0</v>
      </c>
      <c r="AC26" s="298" t="n">
        <f aca="false">IF(COUNTIF(CAPA3_EXPANSION!$D$56:AC$56,"&gt;="&amp;19)=0,0,SUP_CONTROL!$C$8*IF($B26="V",1,IF($B26="D",(1+SUP_VOLUMEN!$C$26),(1+SUP_VOLUMEN!$C$27)))*INDEX(SUP_C3_EXPANSION!$C$6:$F$6,MIN(4,COUNTIF(CAPA3_EXPANSION!$D$56:AC$56,"&gt;="&amp;19)))*CAPA3_EXPANSION!AC$36)</f>
        <v>0</v>
      </c>
      <c r="AD26" s="298" t="n">
        <f aca="false">IF(COUNTIF(CAPA3_EXPANSION!$D$56:AD$56,"&gt;="&amp;19)=0,0,SUP_CONTROL!$C$8*IF($B26="V",1,IF($B26="D",(1+SUP_VOLUMEN!$C$26),(1+SUP_VOLUMEN!$C$27)))*INDEX(SUP_C3_EXPANSION!$C$6:$F$6,MIN(4,COUNTIF(CAPA3_EXPANSION!$D$56:AD$56,"&gt;="&amp;19)))*CAPA3_EXPANSION!AD$36)</f>
        <v>0</v>
      </c>
      <c r="AE26" s="298" t="n">
        <f aca="false">IF(COUNTIF(CAPA3_EXPANSION!$D$56:AE$56,"&gt;="&amp;19)=0,0,SUP_CONTROL!$C$8*IF($B26="V",1,IF($B26="D",(1+SUP_VOLUMEN!$C$26),(1+SUP_VOLUMEN!$C$27)))*INDEX(SUP_C3_EXPANSION!$C$6:$F$6,MIN(4,COUNTIF(CAPA3_EXPANSION!$D$56:AE$56,"&gt;="&amp;19)))*CAPA3_EXPANSION!AE$36)</f>
        <v>0</v>
      </c>
      <c r="AF26" s="298" t="n">
        <f aca="false">IF(COUNTIF(CAPA3_EXPANSION!$D$56:AF$56,"&gt;="&amp;19)=0,0,SUP_CONTROL!$C$8*IF($B26="V",1,IF($B26="D",(1+SUP_VOLUMEN!$C$26),(1+SUP_VOLUMEN!$C$27)))*INDEX(SUP_C3_EXPANSION!$C$6:$F$6,MIN(4,COUNTIF(CAPA3_EXPANSION!$D$56:AF$56,"&gt;="&amp;19)))*CAPA3_EXPANSION!AF$36)</f>
        <v>0</v>
      </c>
      <c r="AG26" s="298" t="n">
        <f aca="false">IF(COUNTIF(CAPA3_EXPANSION!$D$56:AG$56,"&gt;="&amp;19)=0,0,SUP_CONTROL!$C$8*IF($B26="V",1,IF($B26="D",(1+SUP_VOLUMEN!$C$26),(1+SUP_VOLUMEN!$C$27)))*INDEX(SUP_C3_EXPANSION!$C$6:$F$6,MIN(4,COUNTIF(CAPA3_EXPANSION!$D$56:AG$56,"&gt;="&amp;19)))*CAPA3_EXPANSION!AG$36)</f>
        <v>0</v>
      </c>
      <c r="AH26" s="298" t="n">
        <f aca="false">IF(COUNTIF(CAPA3_EXPANSION!$D$56:AH$56,"&gt;="&amp;19)=0,0,SUP_CONTROL!$C$8*IF($B26="V",1,IF($B26="D",(1+SUP_VOLUMEN!$C$26),(1+SUP_VOLUMEN!$C$27)))*INDEX(SUP_C3_EXPANSION!$C$6:$F$6,MIN(4,COUNTIF(CAPA3_EXPANSION!$D$56:AH$56,"&gt;="&amp;19)))*CAPA3_EXPANSION!AH$36)</f>
        <v>0</v>
      </c>
      <c r="AI26" s="298" t="n">
        <f aca="false">IF(COUNTIF(CAPA3_EXPANSION!$D$56:AI$56,"&gt;="&amp;19)=0,0,SUP_CONTROL!$C$8*IF($B26="V",1,IF($B26="D",(1+SUP_VOLUMEN!$C$26),(1+SUP_VOLUMEN!$C$27)))*INDEX(SUP_C3_EXPANSION!$C$6:$F$6,MIN(4,COUNTIF(CAPA3_EXPANSION!$D$56:AI$56,"&gt;="&amp;19)))*CAPA3_EXPANSION!AI$36)</f>
        <v>0</v>
      </c>
      <c r="AJ26" s="298" t="n">
        <f aca="false">IF(COUNTIF(CAPA3_EXPANSION!$D$56:AJ$56,"&gt;="&amp;19)=0,0,SUP_CONTROL!$C$8*IF($B26="V",1,IF($B26="D",(1+SUP_VOLUMEN!$C$26),(1+SUP_VOLUMEN!$C$27)))*INDEX(SUP_C3_EXPANSION!$C$6:$F$6,MIN(4,COUNTIF(CAPA3_EXPANSION!$D$56:AJ$56,"&gt;="&amp;19)))*CAPA3_EXPANSION!AJ$36)</f>
        <v>0</v>
      </c>
      <c r="AK26" s="298" t="n">
        <f aca="false">IF(COUNTIF(CAPA3_EXPANSION!$D$56:AK$56,"&gt;="&amp;19)=0,0,SUP_CONTROL!$C$8*IF($B26="V",1,IF($B26="D",(1+SUP_VOLUMEN!$C$26),(1+SUP_VOLUMEN!$C$27)))*INDEX(SUP_C3_EXPANSION!$C$6:$F$6,MIN(4,COUNTIF(CAPA3_EXPANSION!$D$56:AK$56,"&gt;="&amp;19)))*CAPA3_EXPANSION!AK$36)</f>
        <v>0</v>
      </c>
      <c r="AL26" s="298" t="n">
        <f aca="false">IF(COUNTIF(CAPA3_EXPANSION!$D$56:AL$56,"&gt;="&amp;19)=0,0,SUP_CONTROL!$C$8*IF($B26="V",1,IF($B26="D",(1+SUP_VOLUMEN!$C$26),(1+SUP_VOLUMEN!$C$27)))*INDEX(SUP_C3_EXPANSION!$C$6:$F$6,MIN(4,COUNTIF(CAPA3_EXPANSION!$D$56:AL$56,"&gt;="&amp;19)))*CAPA3_EXPANSION!AL$36)</f>
        <v>0</v>
      </c>
      <c r="AM26" s="298" t="n">
        <f aca="false">IF(COUNTIF(CAPA3_EXPANSION!$D$56:AM$56,"&gt;="&amp;19)=0,0,SUP_CONTROL!$C$8*IF($B26="V",1,IF($B26="D",(1+SUP_VOLUMEN!$C$26),(1+SUP_VOLUMEN!$C$27)))*INDEX(SUP_C3_EXPANSION!$C$6:$F$6,MIN(4,COUNTIF(CAPA3_EXPANSION!$D$56:AM$56,"&gt;="&amp;19)))*CAPA3_EXPANSION!AM$36)</f>
        <v>0</v>
      </c>
      <c r="AN26" s="298" t="n">
        <f aca="false">IF(COUNTIF(CAPA3_EXPANSION!$D$56:AN$56,"&gt;="&amp;19)=0,0,SUP_CONTROL!$C$8*IF($B26="V",1,IF($B26="D",(1+SUP_VOLUMEN!$C$26),(1+SUP_VOLUMEN!$C$27)))*INDEX(SUP_C3_EXPANSION!$C$6:$F$6,MIN(4,COUNTIF(CAPA3_EXPANSION!$D$56:AN$56,"&gt;="&amp;19)))*CAPA3_EXPANSION!AN$36)</f>
        <v>0</v>
      </c>
      <c r="AO26" s="298" t="n">
        <f aca="false">IF(COUNTIF(CAPA3_EXPANSION!$D$56:AO$56,"&gt;="&amp;19)=0,0,SUP_CONTROL!$C$8*IF($B26="V",1,IF($B26="D",(1+SUP_VOLUMEN!$C$26),(1+SUP_VOLUMEN!$C$27)))*INDEX(SUP_C3_EXPANSION!$C$6:$F$6,MIN(4,COUNTIF(CAPA3_EXPANSION!$D$56:AO$56,"&gt;="&amp;19)))*CAPA3_EXPANSION!AO$36)</f>
        <v>0</v>
      </c>
      <c r="AP26" s="298" t="n">
        <f aca="false">IF(COUNTIF(CAPA3_EXPANSION!$D$56:AP$56,"&gt;="&amp;19)=0,0,SUP_CONTROL!$C$8*IF($B26="V",1,IF($B26="D",(1+SUP_VOLUMEN!$C$26),(1+SUP_VOLUMEN!$C$27)))*INDEX(SUP_C3_EXPANSION!$C$6:$F$6,MIN(4,COUNTIF(CAPA3_EXPANSION!$D$56:AP$56,"&gt;="&amp;19)))*CAPA3_EXPANSION!AP$36)</f>
        <v>0</v>
      </c>
      <c r="AQ26" s="298" t="n">
        <f aca="false">IF(COUNTIF(CAPA3_EXPANSION!$D$56:AQ$56,"&gt;="&amp;19)=0,0,SUP_CONTROL!$C$8*IF($B26="V",1,IF($B26="D",(1+SUP_VOLUMEN!$C$26),(1+SUP_VOLUMEN!$C$27)))*INDEX(SUP_C3_EXPANSION!$C$6:$F$6,MIN(4,COUNTIF(CAPA3_EXPANSION!$D$56:AQ$56,"&gt;="&amp;19)))*CAPA3_EXPANSION!AQ$36)</f>
        <v>0</v>
      </c>
      <c r="AR26" s="298" t="n">
        <f aca="false">IF(COUNTIF(CAPA3_EXPANSION!$D$56:AR$56,"&gt;="&amp;19)=0,0,SUP_CONTROL!$C$8*IF($B26="V",1,IF($B26="D",(1+SUP_VOLUMEN!$C$26),(1+SUP_VOLUMEN!$C$27)))*INDEX(SUP_C3_EXPANSION!$C$6:$F$6,MIN(4,COUNTIF(CAPA3_EXPANSION!$D$56:AR$56,"&gt;="&amp;19)))*CAPA3_EXPANSION!AR$36)</f>
        <v>0</v>
      </c>
      <c r="AS26" s="298" t="n">
        <f aca="false">IF(COUNTIF(CAPA3_EXPANSION!$D$56:AS$56,"&gt;="&amp;19)=0,0,SUP_CONTROL!$C$8*IF($B26="V",1,IF($B26="D",(1+SUP_VOLUMEN!$C$26),(1+SUP_VOLUMEN!$C$27)))*INDEX(SUP_C3_EXPANSION!$C$6:$F$6,MIN(4,COUNTIF(CAPA3_EXPANSION!$D$56:AS$56,"&gt;="&amp;19)))*CAPA3_EXPANSION!AS$36)</f>
        <v>0</v>
      </c>
      <c r="AT26" s="298" t="n">
        <f aca="false">IF(COUNTIF(CAPA3_EXPANSION!$D$56:AT$56,"&gt;="&amp;19)=0,0,SUP_CONTROL!$C$8*IF($B26="V",1,IF($B26="D",(1+SUP_VOLUMEN!$C$26),(1+SUP_VOLUMEN!$C$27)))*INDEX(SUP_C3_EXPANSION!$C$6:$F$6,MIN(4,COUNTIF(CAPA3_EXPANSION!$D$56:AT$56,"&gt;="&amp;19)))*CAPA3_EXPANSION!AT$36)</f>
        <v>0</v>
      </c>
      <c r="AU26" s="298" t="n">
        <f aca="false">IF(COUNTIF(CAPA3_EXPANSION!$D$56:AU$56,"&gt;="&amp;19)=0,0,SUP_CONTROL!$C$8*IF($B26="V",1,IF($B26="D",(1+SUP_VOLUMEN!$C$26),(1+SUP_VOLUMEN!$C$27)))*INDEX(SUP_C3_EXPANSION!$C$6:$F$6,MIN(4,COUNTIF(CAPA3_EXPANSION!$D$56:AU$56,"&gt;="&amp;19)))*CAPA3_EXPANSION!AU$36)</f>
        <v>0</v>
      </c>
      <c r="AV26" s="298" t="n">
        <f aca="false">IF(COUNTIF(CAPA3_EXPANSION!$D$56:AV$56,"&gt;="&amp;19)=0,0,SUP_CONTROL!$C$8*IF($B26="V",1,IF($B26="D",(1+SUP_VOLUMEN!$C$26),(1+SUP_VOLUMEN!$C$27)))*INDEX(SUP_C3_EXPANSION!$C$6:$F$6,MIN(4,COUNTIF(CAPA3_EXPANSION!$D$56:AV$56,"&gt;="&amp;19)))*CAPA3_EXPANSION!AV$36)</f>
        <v>0</v>
      </c>
      <c r="AW26" s="298" t="n">
        <f aca="false">IF(COUNTIF(CAPA3_EXPANSION!$D$56:AW$56,"&gt;="&amp;19)=0,0,SUP_CONTROL!$C$8*IF($B26="V",1,IF($B26="D",(1+SUP_VOLUMEN!$C$26),(1+SUP_VOLUMEN!$C$27)))*INDEX(SUP_C3_EXPANSION!$C$6:$F$6,MIN(4,COUNTIF(CAPA3_EXPANSION!$D$56:AW$56,"&gt;="&amp;19)))*CAPA3_EXPANSION!AW$36)</f>
        <v>0</v>
      </c>
      <c r="AX26" s="298" t="n">
        <f aca="false">IF(COUNTIF(CAPA3_EXPANSION!$D$56:AX$56,"&gt;="&amp;19)=0,0,SUP_CONTROL!$C$8*IF($B26="V",1,IF($B26="D",(1+SUP_VOLUMEN!$C$26),(1+SUP_VOLUMEN!$C$27)))*INDEX(SUP_C3_EXPANSION!$C$6:$F$6,MIN(4,COUNTIF(CAPA3_EXPANSION!$D$56:AX$56,"&gt;="&amp;19)))*CAPA3_EXPANSION!AX$36)</f>
        <v>0</v>
      </c>
      <c r="AY26" s="298" t="n">
        <f aca="false">IF(COUNTIF(CAPA3_EXPANSION!$D$56:AY$56,"&gt;="&amp;19)=0,0,SUP_CONTROL!$C$8*IF($B26="V",1,IF($B26="D",(1+SUP_VOLUMEN!$C$26),(1+SUP_VOLUMEN!$C$27)))*INDEX(SUP_C3_EXPANSION!$C$6:$F$6,MIN(4,COUNTIF(CAPA3_EXPANSION!$D$56:AY$56,"&gt;="&amp;19)))*CAPA3_EXPANSION!AY$36)</f>
        <v>0</v>
      </c>
      <c r="AZ26" s="298" t="n">
        <f aca="false">IF(COUNTIF(CAPA3_EXPANSION!$D$56:AZ$56,"&gt;="&amp;19)=0,0,SUP_CONTROL!$C$8*IF($B26="V",1,IF($B26="D",(1+SUP_VOLUMEN!$C$26),(1+SUP_VOLUMEN!$C$27)))*INDEX(SUP_C3_EXPANSION!$C$6:$F$6,MIN(4,COUNTIF(CAPA3_EXPANSION!$D$56:AZ$56,"&gt;="&amp;19)))*CAPA3_EXPANSION!AZ$36)</f>
        <v>0</v>
      </c>
      <c r="BA26" s="298" t="n">
        <f aca="false">IF(COUNTIF(CAPA3_EXPANSION!$D$56:BA$56,"&gt;="&amp;19)=0,0,SUP_CONTROL!$C$8*IF($B26="V",1,IF($B26="D",(1+SUP_VOLUMEN!$C$26),(1+SUP_VOLUMEN!$C$27)))*INDEX(SUP_C3_EXPANSION!$C$6:$F$6,MIN(4,COUNTIF(CAPA3_EXPANSION!$D$56:BA$56,"&gt;="&amp;19)))*CAPA3_EXPANSION!BA$36)</f>
        <v>0</v>
      </c>
      <c r="BB26" s="298" t="n">
        <f aca="false">IF(COUNTIF(CAPA3_EXPANSION!$D$56:BB$56,"&gt;="&amp;19)=0,0,SUP_CONTROL!$C$8*IF($B26="V",1,IF($B26="D",(1+SUP_VOLUMEN!$C$26),(1+SUP_VOLUMEN!$C$27)))*INDEX(SUP_C3_EXPANSION!$C$6:$F$6,MIN(4,COUNTIF(CAPA3_EXPANSION!$D$56:BB$56,"&gt;="&amp;19)))*CAPA3_EXPANSION!BB$36)</f>
        <v>0</v>
      </c>
      <c r="BC26" s="298" t="n">
        <f aca="false">IF(COUNTIF(CAPA3_EXPANSION!$D$56:BC$56,"&gt;="&amp;19)=0,0,SUP_CONTROL!$C$8*IF($B26="V",1,IF($B26="D",(1+SUP_VOLUMEN!$C$26),(1+SUP_VOLUMEN!$C$27)))*INDEX(SUP_C3_EXPANSION!$C$6:$F$6,MIN(4,COUNTIF(CAPA3_EXPANSION!$D$56:BC$56,"&gt;="&amp;19)))*CAPA3_EXPANSION!BC$36)</f>
        <v>0</v>
      </c>
      <c r="BD26" s="298" t="n">
        <f aca="false">IF(COUNTIF(CAPA3_EXPANSION!$D$56:BD$56,"&gt;="&amp;19)=0,0,SUP_CONTROL!$C$8*IF($B26="V",1,IF($B26="D",(1+SUP_VOLUMEN!$C$26),(1+SUP_VOLUMEN!$C$27)))*INDEX(SUP_C3_EXPANSION!$C$6:$F$6,MIN(4,COUNTIF(CAPA3_EXPANSION!$D$56:BD$56,"&gt;="&amp;19)))*CAPA3_EXPANSION!BD$36)</f>
        <v>0</v>
      </c>
      <c r="BE26" s="298" t="n">
        <f aca="false">IF(COUNTIF(CAPA3_EXPANSION!$D$56:BE$56,"&gt;="&amp;19)=0,0,SUP_CONTROL!$C$8*IF($B26="V",1,IF($B26="D",(1+SUP_VOLUMEN!$C$26),(1+SUP_VOLUMEN!$C$27)))*INDEX(SUP_C3_EXPANSION!$C$6:$F$6,MIN(4,COUNTIF(CAPA3_EXPANSION!$D$56:BE$56,"&gt;="&amp;19)))*CAPA3_EXPANSION!BE$36)</f>
        <v>0</v>
      </c>
      <c r="BF26" s="298" t="n">
        <f aca="false">IF(COUNTIF(CAPA3_EXPANSION!$D$56:BF$56,"&gt;="&amp;19)=0,0,SUP_CONTROL!$C$8*IF($B26="V",1,IF($B26="D",(1+SUP_VOLUMEN!$C$26),(1+SUP_VOLUMEN!$C$27)))*INDEX(SUP_C3_EXPANSION!$C$6:$F$6,MIN(4,COUNTIF(CAPA3_EXPANSION!$D$56:BF$56,"&gt;="&amp;19)))*CAPA3_EXPANSION!BF$36)</f>
        <v>0</v>
      </c>
      <c r="BG26" s="298" t="n">
        <f aca="false">IF(COUNTIF(CAPA3_EXPANSION!$D$56:BG$56,"&gt;="&amp;19)=0,0,SUP_CONTROL!$C$8*IF($B26="V",1,IF($B26="D",(1+SUP_VOLUMEN!$C$26),(1+SUP_VOLUMEN!$C$27)))*INDEX(SUP_C3_EXPANSION!$C$6:$F$6,MIN(4,COUNTIF(CAPA3_EXPANSION!$D$56:BG$56,"&gt;="&amp;19)))*CAPA3_EXPANSION!BG$36)</f>
        <v>0</v>
      </c>
      <c r="BH26" s="298" t="n">
        <f aca="false">IF(COUNTIF(CAPA3_EXPANSION!$D$56:BH$56,"&gt;="&amp;19)=0,0,SUP_CONTROL!$C$8*IF($B26="V",1,IF($B26="D",(1+SUP_VOLUMEN!$C$26),(1+SUP_VOLUMEN!$C$27)))*INDEX(SUP_C3_EXPANSION!$C$6:$F$6,MIN(4,COUNTIF(CAPA3_EXPANSION!$D$56:BH$56,"&gt;="&amp;19)))*CAPA3_EXPANSION!BH$36)</f>
        <v>0</v>
      </c>
      <c r="BI26" s="298" t="n">
        <f aca="false">IF(COUNTIF(CAPA3_EXPANSION!$D$56:BI$56,"&gt;="&amp;19)=0,0,SUP_CONTROL!$C$8*IF($B26="V",1,IF($B26="D",(1+SUP_VOLUMEN!$C$26),(1+SUP_VOLUMEN!$C$27)))*INDEX(SUP_C3_EXPANSION!$C$6:$F$6,MIN(4,COUNTIF(CAPA3_EXPANSION!$D$56:BI$56,"&gt;="&amp;19)))*CAPA3_EXPANSION!BI$36)</f>
        <v>0</v>
      </c>
      <c r="BJ26" s="298" t="n">
        <f aca="false">IF(COUNTIF(CAPA3_EXPANSION!$D$56:BJ$56,"&gt;="&amp;19)=0,0,SUP_CONTROL!$C$8*IF($B26="V",1,IF($B26="D",(1+SUP_VOLUMEN!$C$26),(1+SUP_VOLUMEN!$C$27)))*INDEX(SUP_C3_EXPANSION!$C$6:$F$6,MIN(4,COUNTIF(CAPA3_EXPANSION!$D$56:BJ$56,"&gt;="&amp;19)))*CAPA3_EXPANSION!BJ$36)</f>
        <v>0</v>
      </c>
      <c r="BK26" s="298" t="n">
        <f aca="false">IF(COUNTIF(CAPA3_EXPANSION!$D$56:BK$56,"&gt;="&amp;19)=0,0,SUP_CONTROL!$C$8*IF($B26="V",1,IF($B26="D",(1+SUP_VOLUMEN!$C$26),(1+SUP_VOLUMEN!$C$27)))*INDEX(SUP_C3_EXPANSION!$C$6:$F$6,MIN(4,COUNTIF(CAPA3_EXPANSION!$D$56:BK$56,"&gt;="&amp;19)))*CAPA3_EXPANSION!BK$36)</f>
        <v>0</v>
      </c>
      <c r="BL26" s="298" t="n">
        <f aca="false">IF(COUNTIF(CAPA3_EXPANSION!$D$56:BL$56,"&gt;="&amp;19)=0,0,SUP_CONTROL!$C$8*IF($B26="V",1,IF($B26="D",(1+SUP_VOLUMEN!$C$26),(1+SUP_VOLUMEN!$C$27)))*INDEX(SUP_C3_EXPANSION!$C$6:$F$6,MIN(4,COUNTIF(CAPA3_EXPANSION!$D$56:BL$56,"&gt;="&amp;19)))*CAPA3_EXPANSION!BL$36)</f>
        <v>0</v>
      </c>
      <c r="BM26" s="298" t="n">
        <f aca="false">IF(COUNTIF(CAPA3_EXPANSION!$D$56:BM$56,"&gt;="&amp;19)=0,0,SUP_CONTROL!$C$8*IF($B26="V",1,IF($B26="D",(1+SUP_VOLUMEN!$C$26),(1+SUP_VOLUMEN!$C$27)))*INDEX(SUP_C3_EXPANSION!$C$6:$F$6,MIN(4,COUNTIF(CAPA3_EXPANSION!$D$56:BM$56,"&gt;="&amp;19)))*CAPA3_EXPANSION!BM$36)</f>
        <v>2457</v>
      </c>
      <c r="BN26" s="298" t="n">
        <f aca="false">IF(COUNTIF(CAPA3_EXPANSION!$D$56:BN$56,"&gt;="&amp;19)=0,0,SUP_CONTROL!$C$8*IF($B26="V",1,IF($B26="D",(1+SUP_VOLUMEN!$C$26),(1+SUP_VOLUMEN!$C$27)))*INDEX(SUP_C3_EXPANSION!$C$6:$F$6,MIN(4,COUNTIF(CAPA3_EXPANSION!$D$56:BN$56,"&gt;="&amp;19)))*CAPA3_EXPANSION!BN$36)</f>
        <v>3024</v>
      </c>
      <c r="BO26" s="298" t="n">
        <f aca="false">IF(COUNTIF(CAPA3_EXPANSION!$D$56:BO$56,"&gt;="&amp;19)=0,0,SUP_CONTROL!$C$8*IF($B26="V",1,IF($B26="D",(1+SUP_VOLUMEN!$C$26),(1+SUP_VOLUMEN!$C$27)))*INDEX(SUP_C3_EXPANSION!$C$6:$F$6,MIN(4,COUNTIF(CAPA3_EXPANSION!$D$56:BO$56,"&gt;="&amp;19)))*CAPA3_EXPANSION!BO$36)</f>
        <v>3402</v>
      </c>
      <c r="BP26" s="298" t="n">
        <f aca="false">IF(COUNTIF(CAPA3_EXPANSION!$D$56:BP$56,"&gt;="&amp;19)=0,0,SUP_CONTROL!$C$8*IF($B26="V",1,IF($B26="D",(1+SUP_VOLUMEN!$C$26),(1+SUP_VOLUMEN!$C$27)))*INDEX(SUP_C3_EXPANSION!$C$6:$F$6,MIN(4,COUNTIF(CAPA3_EXPANSION!$D$56:BP$56,"&gt;="&amp;19)))*CAPA3_EXPANSION!BP$36)</f>
        <v>3780</v>
      </c>
      <c r="BQ26" s="298" t="n">
        <f aca="false">IF(COUNTIF(CAPA3_EXPANSION!$D$56:BQ$56,"&gt;="&amp;19)=0,0,SUP_CONTROL!$C$8*IF($B26="V",1,IF($B26="D",(1+SUP_VOLUMEN!$C$26),(1+SUP_VOLUMEN!$C$27)))*INDEX(SUP_C3_EXPANSION!$C$6:$F$6,MIN(4,COUNTIF(CAPA3_EXPANSION!$D$56:BQ$56,"&gt;="&amp;19)))*CAPA3_EXPANSION!BQ$36)</f>
        <v>3696</v>
      </c>
      <c r="BR26" s="298" t="n">
        <f aca="false">IF(COUNTIF(CAPA3_EXPANSION!$D$56:BR$56,"&gt;="&amp;19)=0,0,SUP_CONTROL!$C$8*IF($B26="V",1,IF($B26="D",(1+SUP_VOLUMEN!$C$26),(1+SUP_VOLUMEN!$C$27)))*INDEX(SUP_C3_EXPANSION!$C$6:$F$6,MIN(4,COUNTIF(CAPA3_EXPANSION!$D$56:BR$56,"&gt;="&amp;19)))*CAPA3_EXPANSION!BR$36)</f>
        <v>3696</v>
      </c>
      <c r="BS26" s="298" t="n">
        <f aca="false">IF(COUNTIF(CAPA3_EXPANSION!$D$56:BS$56,"&gt;="&amp;19)=0,0,SUP_CONTROL!$C$8*IF($B26="V",1,IF($B26="D",(1+SUP_VOLUMEN!$C$26),(1+SUP_VOLUMEN!$C$27)))*INDEX(SUP_C3_EXPANSION!$C$6:$F$6,MIN(4,COUNTIF(CAPA3_EXPANSION!$D$56:BS$56,"&gt;="&amp;19)))*CAPA3_EXPANSION!BS$36)</f>
        <v>3696</v>
      </c>
      <c r="BT26" s="298" t="n">
        <f aca="false">IF(COUNTIF(CAPA3_EXPANSION!$D$56:BT$56,"&gt;="&amp;19)=0,0,SUP_CONTROL!$C$8*IF($B26="V",1,IF($B26="D",(1+SUP_VOLUMEN!$C$26),(1+SUP_VOLUMEN!$C$27)))*INDEX(SUP_C3_EXPANSION!$C$6:$F$6,MIN(4,COUNTIF(CAPA3_EXPANSION!$D$56:BT$56,"&gt;="&amp;19)))*CAPA3_EXPANSION!BT$36)</f>
        <v>3696</v>
      </c>
      <c r="BU26" s="298" t="n">
        <f aca="false">IF(COUNTIF(CAPA3_EXPANSION!$D$56:BU$56,"&gt;="&amp;19)=0,0,SUP_CONTROL!$C$8*IF($B26="V",1,IF($B26="D",(1+SUP_VOLUMEN!$C$26),(1+SUP_VOLUMEN!$C$27)))*INDEX(SUP_C3_EXPANSION!$C$6:$F$6,MIN(4,COUNTIF(CAPA3_EXPANSION!$D$56:BU$56,"&gt;="&amp;19)))*CAPA3_EXPANSION!BU$36)</f>
        <v>3696</v>
      </c>
      <c r="BV26" s="298" t="n">
        <f aca="false">IF(COUNTIF(CAPA3_EXPANSION!$D$56:BV$56,"&gt;="&amp;19)=0,0,SUP_CONTROL!$C$8*IF($B26="V",1,IF($B26="D",(1+SUP_VOLUMEN!$C$26),(1+SUP_VOLUMEN!$C$27)))*INDEX(SUP_C3_EXPANSION!$C$6:$F$6,MIN(4,COUNTIF(CAPA3_EXPANSION!$D$56:BV$56,"&gt;="&amp;19)))*CAPA3_EXPANSION!BV$36)</f>
        <v>3696</v>
      </c>
      <c r="BW26" s="298" t="n">
        <f aca="false">IF(COUNTIF(CAPA3_EXPANSION!$D$56:BW$56,"&gt;="&amp;19)=0,0,SUP_CONTROL!$C$8*IF($B26="V",1,IF($B26="D",(1+SUP_VOLUMEN!$C$26),(1+SUP_VOLUMEN!$C$27)))*INDEX(SUP_C3_EXPANSION!$C$6:$F$6,MIN(4,COUNTIF(CAPA3_EXPANSION!$D$56:BW$56,"&gt;="&amp;19)))*CAPA3_EXPANSION!BW$36)</f>
        <v>3633</v>
      </c>
      <c r="BX26" s="298" t="n">
        <f aca="false">IF(COUNTIF(CAPA3_EXPANSION!$D$56:BX$56,"&gt;="&amp;19)=0,0,SUP_CONTROL!$C$8*IF($B26="V",1,IF($B26="D",(1+SUP_VOLUMEN!$C$26),(1+SUP_VOLUMEN!$C$27)))*INDEX(SUP_C3_EXPANSION!$C$6:$F$6,MIN(4,COUNTIF(CAPA3_EXPANSION!$D$56:BX$56,"&gt;="&amp;19)))*CAPA3_EXPANSION!BX$36)</f>
        <v>3633</v>
      </c>
      <c r="BY26" s="298" t="n">
        <f aca="false">IF(COUNTIF(CAPA3_EXPANSION!$D$56:BY$56,"&gt;="&amp;19)=0,0,SUP_CONTROL!$C$8*IF($B26="V",1,IF($B26="D",(1+SUP_VOLUMEN!$C$26),(1+SUP_VOLUMEN!$C$27)))*INDEX(SUP_C3_EXPANSION!$C$6:$F$6,MIN(4,COUNTIF(CAPA3_EXPANSION!$D$56:BY$56,"&gt;="&amp;19)))*CAPA3_EXPANSION!BY$36)</f>
        <v>3633</v>
      </c>
      <c r="BZ26" s="298" t="n">
        <f aca="false">IF(COUNTIF(CAPA3_EXPANSION!$D$56:BZ$56,"&gt;="&amp;19)=0,0,SUP_CONTROL!$C$8*IF($B26="V",1,IF($B26="D",(1+SUP_VOLUMEN!$C$26),(1+SUP_VOLUMEN!$C$27)))*INDEX(SUP_C3_EXPANSION!$C$6:$F$6,MIN(4,COUNTIF(CAPA3_EXPANSION!$D$56:BZ$56,"&gt;="&amp;19)))*CAPA3_EXPANSION!BZ$36)</f>
        <v>3633</v>
      </c>
      <c r="CA26" s="298" t="n">
        <f aca="false">IF(COUNTIF(CAPA3_EXPANSION!$D$56:CA$56,"&gt;="&amp;19)=0,0,SUP_CONTROL!$C$8*IF($B26="V",1,IF($B26="D",(1+SUP_VOLUMEN!$C$26),(1+SUP_VOLUMEN!$C$27)))*INDEX(SUP_C3_EXPANSION!$C$6:$F$6,MIN(4,COUNTIF(CAPA3_EXPANSION!$D$56:CA$56,"&gt;="&amp;19)))*CAPA3_EXPANSION!CA$36)</f>
        <v>3633</v>
      </c>
      <c r="CB26" s="298" t="n">
        <f aca="false">IF(COUNTIF(CAPA3_EXPANSION!$D$56:CB$56,"&gt;="&amp;19)=0,0,SUP_CONTROL!$C$8*IF($B26="V",1,IF($B26="D",(1+SUP_VOLUMEN!$C$26),(1+SUP_VOLUMEN!$C$27)))*INDEX(SUP_C3_EXPANSION!$C$6:$F$6,MIN(4,COUNTIF(CAPA3_EXPANSION!$D$56:CB$56,"&gt;="&amp;19)))*CAPA3_EXPANSION!CB$36)</f>
        <v>3570</v>
      </c>
      <c r="CC26" s="298" t="n">
        <f aca="false">IF(COUNTIF(CAPA3_EXPANSION!$D$56:CC$56,"&gt;="&amp;19)=0,0,SUP_CONTROL!$C$8*IF($B26="V",1,IF($B26="D",(1+SUP_VOLUMEN!$C$26),(1+SUP_VOLUMEN!$C$27)))*INDEX(SUP_C3_EXPANSION!$C$6:$F$6,MIN(4,COUNTIF(CAPA3_EXPANSION!$D$56:CC$56,"&gt;="&amp;19)))*CAPA3_EXPANSION!CC$36)</f>
        <v>3570</v>
      </c>
      <c r="CD26" s="298" t="n">
        <f aca="false">IF(COUNTIF(CAPA3_EXPANSION!$D$56:CD$56,"&gt;="&amp;19)=0,0,SUP_CONTROL!$C$8*IF($B26="V",1,IF($B26="D",(1+SUP_VOLUMEN!$C$26),(1+SUP_VOLUMEN!$C$27)))*INDEX(SUP_C3_EXPANSION!$C$6:$F$6,MIN(4,COUNTIF(CAPA3_EXPANSION!$D$56:CD$56,"&gt;="&amp;19)))*CAPA3_EXPANSION!CD$36)</f>
        <v>3570</v>
      </c>
      <c r="CE26" s="298" t="n">
        <f aca="false">IF(COUNTIF(CAPA3_EXPANSION!$D$56:CE$56,"&gt;="&amp;19)=0,0,SUP_CONTROL!$C$8*IF($B26="V",1,IF($B26="D",(1+SUP_VOLUMEN!$C$26),(1+SUP_VOLUMEN!$C$27)))*INDEX(SUP_C3_EXPANSION!$C$6:$F$6,MIN(4,COUNTIF(CAPA3_EXPANSION!$D$56:CE$56,"&gt;="&amp;19)))*CAPA3_EXPANSION!CE$36)</f>
        <v>3570</v>
      </c>
      <c r="CF26" s="298" t="n">
        <f aca="false">IF(COUNTIF(CAPA3_EXPANSION!$D$56:CF$56,"&gt;="&amp;19)=0,0,SUP_CONTROL!$C$8*IF($B26="V",1,IF($B26="D",(1+SUP_VOLUMEN!$C$26),(1+SUP_VOLUMEN!$C$27)))*INDEX(SUP_C3_EXPANSION!$C$6:$F$6,MIN(4,COUNTIF(CAPA3_EXPANSION!$D$56:CF$56,"&gt;="&amp;19)))*CAPA3_EXPANSION!CF$36)</f>
        <v>3570</v>
      </c>
      <c r="CG26" s="298" t="n">
        <f aca="false">IF(COUNTIF(CAPA3_EXPANSION!$D$56:CG$56,"&gt;="&amp;19)=0,0,SUP_CONTROL!$C$8*IF($B26="V",1,IF($B26="D",(1+SUP_VOLUMEN!$C$26),(1+SUP_VOLUMEN!$C$27)))*INDEX(SUP_C3_EXPANSION!$C$6:$F$6,MIN(4,COUNTIF(CAPA3_EXPANSION!$D$56:CG$56,"&gt;="&amp;19)))*CAPA3_EXPANSION!CG$36)</f>
        <v>3528</v>
      </c>
      <c r="CH26" s="298" t="n">
        <f aca="false">IF(COUNTIF(CAPA3_EXPANSION!$D$56:CH$56,"&gt;="&amp;19)=0,0,SUP_CONTROL!$C$8*IF($B26="V",1,IF($B26="D",(1+SUP_VOLUMEN!$C$26),(1+SUP_VOLUMEN!$C$27)))*INDEX(SUP_C3_EXPANSION!$C$6:$F$6,MIN(4,COUNTIF(CAPA3_EXPANSION!$D$56:CH$56,"&gt;="&amp;19)))*CAPA3_EXPANSION!CH$36)</f>
        <v>3528</v>
      </c>
      <c r="CI26" s="298" t="n">
        <f aca="false">IF(COUNTIF(CAPA3_EXPANSION!$D$56:CI$56,"&gt;="&amp;19)=0,0,SUP_CONTROL!$C$8*IF($B26="V",1,IF($B26="D",(1+SUP_VOLUMEN!$C$26),(1+SUP_VOLUMEN!$C$27)))*INDEX(SUP_C3_EXPANSION!$C$6:$F$6,MIN(4,COUNTIF(CAPA3_EXPANSION!$D$56:CI$56,"&gt;="&amp;19)))*CAPA3_EXPANSION!CI$36)</f>
        <v>3528</v>
      </c>
      <c r="CJ26" s="298" t="n">
        <f aca="false">IF(COUNTIF(CAPA3_EXPANSION!$D$56:CJ$56,"&gt;="&amp;19)=0,0,SUP_CONTROL!$C$8*IF($B26="V",1,IF($B26="D",(1+SUP_VOLUMEN!$C$26),(1+SUP_VOLUMEN!$C$27)))*INDEX(SUP_C3_EXPANSION!$C$6:$F$6,MIN(4,COUNTIF(CAPA3_EXPANSION!$D$56:CJ$56,"&gt;="&amp;19)))*CAPA3_EXPANSION!CJ$36)</f>
        <v>3528</v>
      </c>
      <c r="CK26" s="298" t="n">
        <f aca="false">IF(COUNTIF(CAPA3_EXPANSION!$D$56:CK$56,"&gt;="&amp;19)=0,0,SUP_CONTROL!$C$8*IF($B26="V",1,IF($B26="D",(1+SUP_VOLUMEN!$C$26),(1+SUP_VOLUMEN!$C$27)))*INDEX(SUP_C3_EXPANSION!$C$6:$F$6,MIN(4,COUNTIF(CAPA3_EXPANSION!$D$56:CK$56,"&gt;="&amp;19)))*CAPA3_EXPANSION!CK$36)</f>
        <v>3528</v>
      </c>
      <c r="CL26" s="298" t="n">
        <f aca="false">IF(COUNTIF(CAPA3_EXPANSION!$D$56:CL$56,"&gt;="&amp;19)=0,0,SUP_CONTROL!$C$8*IF($B26="V",1,IF($B26="D",(1+SUP_VOLUMEN!$C$26),(1+SUP_VOLUMEN!$C$27)))*INDEX(SUP_C3_EXPANSION!$C$6:$F$6,MIN(4,COUNTIF(CAPA3_EXPANSION!$D$56:CL$56,"&gt;="&amp;19)))*CAPA3_EXPANSION!CL$36)</f>
        <v>3528</v>
      </c>
      <c r="CM26" s="298" t="n">
        <f aca="false">IF(COUNTIF(CAPA3_EXPANSION!$D$56:CM$56,"&gt;="&amp;19)=0,0,SUP_CONTROL!$C$8*IF($B26="V",1,IF($B26="D",(1+SUP_VOLUMEN!$C$26),(1+SUP_VOLUMEN!$C$27)))*INDEX(SUP_C3_EXPANSION!$C$6:$F$6,MIN(4,COUNTIF(CAPA3_EXPANSION!$D$56:CM$56,"&gt;="&amp;19)))*CAPA3_EXPANSION!CM$36)</f>
        <v>3528</v>
      </c>
      <c r="CN26" s="298" t="n">
        <f aca="false">IF(COUNTIF(CAPA3_EXPANSION!$D$56:CN$56,"&gt;="&amp;19)=0,0,SUP_CONTROL!$C$8*IF($B26="V",1,IF($B26="D",(1+SUP_VOLUMEN!$C$26),(1+SUP_VOLUMEN!$C$27)))*INDEX(SUP_C3_EXPANSION!$C$6:$F$6,MIN(4,COUNTIF(CAPA3_EXPANSION!$D$56:CN$56,"&gt;="&amp;19)))*CAPA3_EXPANSION!CN$36)</f>
        <v>3528</v>
      </c>
      <c r="CO26" s="298" t="n">
        <f aca="false">IF(COUNTIF(CAPA3_EXPANSION!$D$56:CO$56,"&gt;="&amp;19)=0,0,SUP_CONTROL!$C$8*IF($B26="V",1,IF($B26="D",(1+SUP_VOLUMEN!$C$26),(1+SUP_VOLUMEN!$C$27)))*INDEX(SUP_C3_EXPANSION!$C$6:$F$6,MIN(4,COUNTIF(CAPA3_EXPANSION!$D$56:CO$56,"&gt;="&amp;19)))*CAPA3_EXPANSION!CO$36)</f>
        <v>3528</v>
      </c>
      <c r="CP26" s="298" t="n">
        <f aca="false">IF(COUNTIF(CAPA3_EXPANSION!$D$56:CP$56,"&gt;="&amp;19)=0,0,SUP_CONTROL!$C$8*IF($B26="V",1,IF($B26="D",(1+SUP_VOLUMEN!$C$26),(1+SUP_VOLUMEN!$C$27)))*INDEX(SUP_C3_EXPANSION!$C$6:$F$6,MIN(4,COUNTIF(CAPA3_EXPANSION!$D$56:CP$56,"&gt;="&amp;19)))*CAPA3_EXPANSION!CP$36)</f>
        <v>3528</v>
      </c>
      <c r="CQ26" s="298" t="n">
        <f aca="false">IF(COUNTIF(CAPA3_EXPANSION!$D$56:CQ$56,"&gt;="&amp;19)=0,0,SUP_CONTROL!$C$8*IF($B26="V",1,IF($B26="D",(1+SUP_VOLUMEN!$C$26),(1+SUP_VOLUMEN!$C$27)))*INDEX(SUP_C3_EXPANSION!$C$6:$F$6,MIN(4,COUNTIF(CAPA3_EXPANSION!$D$56:CQ$56,"&gt;="&amp;19)))*CAPA3_EXPANSION!CQ$36)</f>
        <v>3528</v>
      </c>
      <c r="CR26" s="298" t="n">
        <f aca="false">IF(COUNTIF(CAPA3_EXPANSION!$D$56:CR$56,"&gt;="&amp;19)=0,0,SUP_CONTROL!$C$8*IF($B26="V",1,IF($B26="D",(1+SUP_VOLUMEN!$C$26),(1+SUP_VOLUMEN!$C$27)))*INDEX(SUP_C3_EXPANSION!$C$6:$F$6,MIN(4,COUNTIF(CAPA3_EXPANSION!$D$56:CR$56,"&gt;="&amp;19)))*CAPA3_EXPANSION!CR$36)</f>
        <v>3528</v>
      </c>
      <c r="CS26" s="298" t="n">
        <f aca="false">IF(COUNTIF(CAPA3_EXPANSION!$D$56:CS$56,"&gt;="&amp;19)=0,0,SUP_CONTROL!$C$8*IF($B26="V",1,IF($B26="D",(1+SUP_VOLUMEN!$C$26),(1+SUP_VOLUMEN!$C$27)))*INDEX(SUP_C3_EXPANSION!$C$6:$F$6,MIN(4,COUNTIF(CAPA3_EXPANSION!$D$56:CS$56,"&gt;="&amp;19)))*CAPA3_EXPANSION!CS$36)</f>
        <v>3528</v>
      </c>
      <c r="CT26" s="298" t="n">
        <f aca="false">IF(COUNTIF(CAPA3_EXPANSION!$D$56:CT$56,"&gt;="&amp;19)=0,0,SUP_CONTROL!$C$8*IF($B26="V",1,IF($B26="D",(1+SUP_VOLUMEN!$C$26),(1+SUP_VOLUMEN!$C$27)))*INDEX(SUP_C3_EXPANSION!$C$6:$F$6,MIN(4,COUNTIF(CAPA3_EXPANSION!$D$56:CT$56,"&gt;="&amp;19)))*CAPA3_EXPANSION!CT$36)</f>
        <v>3528</v>
      </c>
      <c r="CU26" s="298" t="n">
        <f aca="false">IF(COUNTIF(CAPA3_EXPANSION!$D$56:CU$56,"&gt;="&amp;19)=0,0,SUP_CONTROL!$C$8*IF($B26="V",1,IF($B26="D",(1+SUP_VOLUMEN!$C$26),(1+SUP_VOLUMEN!$C$27)))*INDEX(SUP_C3_EXPANSION!$C$6:$F$6,MIN(4,COUNTIF(CAPA3_EXPANSION!$D$56:CU$56,"&gt;="&amp;19)))*CAPA3_EXPANSION!CU$36)</f>
        <v>3528</v>
      </c>
      <c r="CV26" s="298" t="n">
        <f aca="false">IF(COUNTIF(CAPA3_EXPANSION!$D$56:CV$56,"&gt;="&amp;19)=0,0,SUP_CONTROL!$C$8*IF($B26="V",1,IF($B26="D",(1+SUP_VOLUMEN!$C$26),(1+SUP_VOLUMEN!$C$27)))*INDEX(SUP_C3_EXPANSION!$C$6:$F$6,MIN(4,COUNTIF(CAPA3_EXPANSION!$D$56:CV$56,"&gt;="&amp;19)))*CAPA3_EXPANSION!CV$36)</f>
        <v>3528</v>
      </c>
      <c r="CW26" s="298" t="n">
        <f aca="false">IF(COUNTIF(CAPA3_EXPANSION!$D$56:CW$56,"&gt;="&amp;19)=0,0,SUP_CONTROL!$C$8*IF($B26="V",1,IF($B26="D",(1+SUP_VOLUMEN!$C$26),(1+SUP_VOLUMEN!$C$27)))*INDEX(SUP_C3_EXPANSION!$C$6:$F$6,MIN(4,COUNTIF(CAPA3_EXPANSION!$D$56:CW$56,"&gt;="&amp;19)))*CAPA3_EXPANSION!CW$36)</f>
        <v>3528</v>
      </c>
      <c r="CX26" s="298" t="n">
        <f aca="false">IF(COUNTIF(CAPA3_EXPANSION!$D$56:CX$56,"&gt;="&amp;19)=0,0,SUP_CONTROL!$C$8*IF($B26="V",1,IF($B26="D",(1+SUP_VOLUMEN!$C$26),(1+SUP_VOLUMEN!$C$27)))*INDEX(SUP_C3_EXPANSION!$C$6:$F$6,MIN(4,COUNTIF(CAPA3_EXPANSION!$D$56:CX$56,"&gt;="&amp;19)))*CAPA3_EXPANSION!CX$36)</f>
        <v>3528</v>
      </c>
      <c r="CY26" s="298" t="n">
        <f aca="false">IF(COUNTIF(CAPA3_EXPANSION!$D$56:CY$56,"&gt;="&amp;19)=0,0,SUP_CONTROL!$C$8*IF($B26="V",1,IF($B26="D",(1+SUP_VOLUMEN!$C$26),(1+SUP_VOLUMEN!$C$27)))*INDEX(SUP_C3_EXPANSION!$C$6:$F$6,MIN(4,COUNTIF(CAPA3_EXPANSION!$D$56:CY$56,"&gt;="&amp;19)))*CAPA3_EXPANSION!CY$36)</f>
        <v>3528</v>
      </c>
      <c r="CZ26" s="298" t="n">
        <f aca="false">IF(COUNTIF(CAPA3_EXPANSION!$D$56:CZ$56,"&gt;="&amp;19)=0,0,SUP_CONTROL!$C$8*IF($B26="V",1,IF($B26="D",(1+SUP_VOLUMEN!$C$26),(1+SUP_VOLUMEN!$C$27)))*INDEX(SUP_C3_EXPANSION!$C$6:$F$6,MIN(4,COUNTIF(CAPA3_EXPANSION!$D$56:CZ$56,"&gt;="&amp;19)))*CAPA3_EXPANSION!CZ$36)</f>
        <v>3528</v>
      </c>
      <c r="DA26" s="298" t="n">
        <f aca="false">IF(COUNTIF(CAPA3_EXPANSION!$D$56:DA$56,"&gt;="&amp;19)=0,0,SUP_CONTROL!$C$8*IF($B26="V",1,IF($B26="D",(1+SUP_VOLUMEN!$C$26),(1+SUP_VOLUMEN!$C$27)))*INDEX(SUP_C3_EXPANSION!$C$6:$F$6,MIN(4,COUNTIF(CAPA3_EXPANSION!$D$56:DA$56,"&gt;="&amp;19)))*CAPA3_EXPANSION!DA$36)</f>
        <v>3528</v>
      </c>
      <c r="DB26" s="298" t="n">
        <f aca="false">IF(COUNTIF(CAPA3_EXPANSION!$D$56:DB$56,"&gt;="&amp;19)=0,0,SUP_CONTROL!$C$8*IF($B26="V",1,IF($B26="D",(1+SUP_VOLUMEN!$C$26),(1+SUP_VOLUMEN!$C$27)))*INDEX(SUP_C3_EXPANSION!$C$6:$F$6,MIN(4,COUNTIF(CAPA3_EXPANSION!$D$56:DB$56,"&gt;="&amp;19)))*CAPA3_EXPANSION!DB$36)</f>
        <v>3528</v>
      </c>
      <c r="DC26" s="298" t="n">
        <f aca="false">IF(COUNTIF(CAPA3_EXPANSION!$D$56:DC$56,"&gt;="&amp;19)=0,0,SUP_CONTROL!$C$8*IF($B26="V",1,IF($B26="D",(1+SUP_VOLUMEN!$C$26),(1+SUP_VOLUMEN!$C$27)))*INDEX(SUP_C3_EXPANSION!$C$6:$F$6,MIN(4,COUNTIF(CAPA3_EXPANSION!$D$56:DC$56,"&gt;="&amp;19)))*CAPA3_EXPANSION!DC$36)</f>
        <v>3528</v>
      </c>
      <c r="DD26" s="298" t="n">
        <f aca="false">IF(COUNTIF(CAPA3_EXPANSION!$D$56:DD$56,"&gt;="&amp;19)=0,0,SUP_CONTROL!$C$8*IF($B26="V",1,IF($B26="D",(1+SUP_VOLUMEN!$C$26),(1+SUP_VOLUMEN!$C$27)))*INDEX(SUP_C3_EXPANSION!$C$6:$F$6,MIN(4,COUNTIF(CAPA3_EXPANSION!$D$56:DD$56,"&gt;="&amp;19)))*CAPA3_EXPANSION!DD$36)</f>
        <v>3528</v>
      </c>
      <c r="DE26" s="298" t="n">
        <f aca="false">IF(COUNTIF(CAPA3_EXPANSION!$D$56:DE$56,"&gt;="&amp;19)=0,0,SUP_CONTROL!$C$8*IF($B26="V",1,IF($B26="D",(1+SUP_VOLUMEN!$C$26),(1+SUP_VOLUMEN!$C$27)))*INDEX(SUP_C3_EXPANSION!$C$6:$F$6,MIN(4,COUNTIF(CAPA3_EXPANSION!$D$56:DE$56,"&gt;="&amp;19)))*CAPA3_EXPANSION!DE$36)</f>
        <v>3528</v>
      </c>
      <c r="DF26" s="298" t="n">
        <f aca="false">IF(COUNTIF(CAPA3_EXPANSION!$D$56:DF$56,"&gt;="&amp;19)=0,0,SUP_CONTROL!$C$8*IF($B26="V",1,IF($B26="D",(1+SUP_VOLUMEN!$C$26),(1+SUP_VOLUMEN!$C$27)))*INDEX(SUP_C3_EXPANSION!$C$6:$F$6,MIN(4,COUNTIF(CAPA3_EXPANSION!$D$56:DF$56,"&gt;="&amp;19)))*CAPA3_EXPANSION!DF$36)</f>
        <v>3528</v>
      </c>
      <c r="DG26" s="298" t="n">
        <f aca="false">IF(COUNTIF(CAPA3_EXPANSION!$D$56:DG$56,"&gt;="&amp;19)=0,0,SUP_CONTROL!$C$8*IF($B26="V",1,IF($B26="D",(1+SUP_VOLUMEN!$C$26),(1+SUP_VOLUMEN!$C$27)))*INDEX(SUP_C3_EXPANSION!$C$6:$F$6,MIN(4,COUNTIF(CAPA3_EXPANSION!$D$56:DG$56,"&gt;="&amp;19)))*CAPA3_EXPANSION!DG$36)</f>
        <v>3528</v>
      </c>
      <c r="DH26" s="298" t="n">
        <f aca="false">IF(COUNTIF(CAPA3_EXPANSION!$D$56:DH$56,"&gt;="&amp;19)=0,0,SUP_CONTROL!$C$8*IF($B26="V",1,IF($B26="D",(1+SUP_VOLUMEN!$C$26),(1+SUP_VOLUMEN!$C$27)))*INDEX(SUP_C3_EXPANSION!$C$6:$F$6,MIN(4,COUNTIF(CAPA3_EXPANSION!$D$56:DH$56,"&gt;="&amp;19)))*CAPA3_EXPANSION!DH$36)</f>
        <v>3528</v>
      </c>
      <c r="DI26" s="298" t="n">
        <f aca="false">IF(COUNTIF(CAPA3_EXPANSION!$D$56:DI$56,"&gt;="&amp;19)=0,0,SUP_CONTROL!$C$8*IF($B26="V",1,IF($B26="D",(1+SUP_VOLUMEN!$C$26),(1+SUP_VOLUMEN!$C$27)))*INDEX(SUP_C3_EXPANSION!$C$6:$F$6,MIN(4,COUNTIF(CAPA3_EXPANSION!$D$56:DI$56,"&gt;="&amp;19)))*CAPA3_EXPANSION!DI$36)</f>
        <v>3528</v>
      </c>
      <c r="DJ26" s="298" t="n">
        <f aca="false">IF(COUNTIF(CAPA3_EXPANSION!$D$56:DJ$56,"&gt;="&amp;19)=0,0,SUP_CONTROL!$C$8*IF($B26="V",1,IF($B26="D",(1+SUP_VOLUMEN!$C$26),(1+SUP_VOLUMEN!$C$27)))*INDEX(SUP_C3_EXPANSION!$C$6:$F$6,MIN(4,COUNTIF(CAPA3_EXPANSION!$D$56:DJ$56,"&gt;="&amp;19)))*CAPA3_EXPANSION!DJ$36)</f>
        <v>3528</v>
      </c>
      <c r="DK26" s="298" t="n">
        <f aca="false">IF(COUNTIF(CAPA3_EXPANSION!$D$56:DK$56,"&gt;="&amp;19)=0,0,SUP_CONTROL!$C$8*IF($B26="V",1,IF($B26="D",(1+SUP_VOLUMEN!$C$26),(1+SUP_VOLUMEN!$C$27)))*INDEX(SUP_C3_EXPANSION!$C$6:$F$6,MIN(4,COUNTIF(CAPA3_EXPANSION!$D$56:DK$56,"&gt;="&amp;19)))*CAPA3_EXPANSION!DK$36)</f>
        <v>3528</v>
      </c>
      <c r="DL26" s="298" t="n">
        <f aca="false">IF(COUNTIF(CAPA3_EXPANSION!$D$56:DL$56,"&gt;="&amp;19)=0,0,SUP_CONTROL!$C$8*IF($B26="V",1,IF($B26="D",(1+SUP_VOLUMEN!$C$26),(1+SUP_VOLUMEN!$C$27)))*INDEX(SUP_C3_EXPANSION!$C$6:$F$6,MIN(4,COUNTIF(CAPA3_EXPANSION!$D$56:DL$56,"&gt;="&amp;19)))*CAPA3_EXPANSION!DL$36)</f>
        <v>3528</v>
      </c>
      <c r="DM26" s="298" t="n">
        <f aca="false">IF(COUNTIF(CAPA3_EXPANSION!$D$56:DM$56,"&gt;="&amp;19)=0,0,SUP_CONTROL!$C$8*IF($B26="V",1,IF($B26="D",(1+SUP_VOLUMEN!$C$26),(1+SUP_VOLUMEN!$C$27)))*INDEX(SUP_C3_EXPANSION!$C$6:$F$6,MIN(4,COUNTIF(CAPA3_EXPANSION!$D$56:DM$56,"&gt;="&amp;19)))*CAPA3_EXPANSION!DM$36)</f>
        <v>3528</v>
      </c>
      <c r="DN26" s="298" t="n">
        <f aca="false">IF(COUNTIF(CAPA3_EXPANSION!$D$56:DN$56,"&gt;="&amp;19)=0,0,SUP_CONTROL!$C$8*IF($B26="V",1,IF($B26="D",(1+SUP_VOLUMEN!$C$26),(1+SUP_VOLUMEN!$C$27)))*INDEX(SUP_C3_EXPANSION!$C$6:$F$6,MIN(4,COUNTIF(CAPA3_EXPANSION!$D$56:DN$56,"&gt;="&amp;19)))*CAPA3_EXPANSION!DN$36)</f>
        <v>3528</v>
      </c>
      <c r="DO26" s="298" t="n">
        <f aca="false">IF(COUNTIF(CAPA3_EXPANSION!$D$56:DO$56,"&gt;="&amp;19)=0,0,SUP_CONTROL!$C$8*IF($B26="V",1,IF($B26="D",(1+SUP_VOLUMEN!$C$26),(1+SUP_VOLUMEN!$C$27)))*INDEX(SUP_C3_EXPANSION!$C$6:$F$6,MIN(4,COUNTIF(CAPA3_EXPANSION!$D$56:DO$56,"&gt;="&amp;19)))*CAPA3_EXPANSION!DO$36)</f>
        <v>3528</v>
      </c>
      <c r="DP26" s="298" t="n">
        <f aca="false">IF(COUNTIF(CAPA3_EXPANSION!$D$56:DP$56,"&gt;="&amp;19)=0,0,SUP_CONTROL!$C$8*IF($B26="V",1,IF($B26="D",(1+SUP_VOLUMEN!$C$26),(1+SUP_VOLUMEN!$C$27)))*INDEX(SUP_C3_EXPANSION!$C$6:$F$6,MIN(4,COUNTIF(CAPA3_EXPANSION!$D$56:DP$56,"&gt;="&amp;19)))*CAPA3_EXPANSION!DP$36)</f>
        <v>3528</v>
      </c>
      <c r="DQ26" s="298" t="n">
        <f aca="false">IF(COUNTIF(CAPA3_EXPANSION!$D$56:DQ$56,"&gt;="&amp;19)=0,0,SUP_CONTROL!$C$8*IF($B26="V",1,IF($B26="D",(1+SUP_VOLUMEN!$C$26),(1+SUP_VOLUMEN!$C$27)))*INDEX(SUP_C3_EXPANSION!$C$6:$F$6,MIN(4,COUNTIF(CAPA3_EXPANSION!$D$56:DQ$56,"&gt;="&amp;19)))*CAPA3_EXPANSION!DQ$36)</f>
        <v>3528</v>
      </c>
      <c r="DR26" s="298" t="n">
        <f aca="false">IF(COUNTIF(CAPA3_EXPANSION!$D$56:DR$56,"&gt;="&amp;19)=0,0,SUP_CONTROL!$C$8*IF($B26="V",1,IF($B26="D",(1+SUP_VOLUMEN!$C$26),(1+SUP_VOLUMEN!$C$27)))*INDEX(SUP_C3_EXPANSION!$C$6:$F$6,MIN(4,COUNTIF(CAPA3_EXPANSION!$D$56:DR$56,"&gt;="&amp;19)))*CAPA3_EXPANSION!DR$36)</f>
        <v>3528</v>
      </c>
      <c r="DS26" s="298" t="n">
        <f aca="false">IF(COUNTIF(CAPA3_EXPANSION!$D$56:DS$56,"&gt;="&amp;19)=0,0,SUP_CONTROL!$C$8*IF($B26="V",1,IF($B26="D",(1+SUP_VOLUMEN!$C$26),(1+SUP_VOLUMEN!$C$27)))*INDEX(SUP_C3_EXPANSION!$C$6:$F$6,MIN(4,COUNTIF(CAPA3_EXPANSION!$D$56:DS$56,"&gt;="&amp;19)))*CAPA3_EXPANSION!DS$36)</f>
        <v>3528</v>
      </c>
    </row>
    <row r="27" customFormat="false" ht="15" hidden="false" customHeight="true" outlineLevel="0" collapsed="false">
      <c r="A27" s="298" t="n">
        <v>30</v>
      </c>
      <c r="B27" s="497" t="str">
        <f aca="false">SUP_C3_EXPANSION!B39</f>
        <v>V</v>
      </c>
      <c r="C27" s="267" t="n">
        <f aca="false">SUP_C3_EXPANSION!G39</f>
        <v>60</v>
      </c>
      <c r="D27" s="298" t="n">
        <f aca="false">IF(COUNTIF(CAPA3_EXPANSION!$D$56:D$56,"&gt;="&amp;20)=0,0,SUP_CONTROL!$C$8*IF($B27="V",1,IF($B27="D",(1+SUP_VOLUMEN!$C$26),(1+SUP_VOLUMEN!$C$27)))*INDEX(SUP_C3_EXPANSION!$C$6:$F$6,MIN(4,COUNTIF(CAPA3_EXPANSION!$D$56:D$56,"&gt;="&amp;20)))*CAPA3_EXPANSION!D$36)</f>
        <v>0</v>
      </c>
      <c r="E27" s="298" t="n">
        <f aca="false">IF(COUNTIF(CAPA3_EXPANSION!$D$56:E$56,"&gt;="&amp;20)=0,0,SUP_CONTROL!$C$8*IF($B27="V",1,IF($B27="D",(1+SUP_VOLUMEN!$C$26),(1+SUP_VOLUMEN!$C$27)))*INDEX(SUP_C3_EXPANSION!$C$6:$F$6,MIN(4,COUNTIF(CAPA3_EXPANSION!$D$56:E$56,"&gt;="&amp;20)))*CAPA3_EXPANSION!E$36)</f>
        <v>0</v>
      </c>
      <c r="F27" s="298" t="n">
        <f aca="false">IF(COUNTIF(CAPA3_EXPANSION!$D$56:F$56,"&gt;="&amp;20)=0,0,SUP_CONTROL!$C$8*IF($B27="V",1,IF($B27="D",(1+SUP_VOLUMEN!$C$26),(1+SUP_VOLUMEN!$C$27)))*INDEX(SUP_C3_EXPANSION!$C$6:$F$6,MIN(4,COUNTIF(CAPA3_EXPANSION!$D$56:F$56,"&gt;="&amp;20)))*CAPA3_EXPANSION!F$36)</f>
        <v>0</v>
      </c>
      <c r="G27" s="298" t="n">
        <f aca="false">IF(COUNTIF(CAPA3_EXPANSION!$D$56:G$56,"&gt;="&amp;20)=0,0,SUP_CONTROL!$C$8*IF($B27="V",1,IF($B27="D",(1+SUP_VOLUMEN!$C$26),(1+SUP_VOLUMEN!$C$27)))*INDEX(SUP_C3_EXPANSION!$C$6:$F$6,MIN(4,COUNTIF(CAPA3_EXPANSION!$D$56:G$56,"&gt;="&amp;20)))*CAPA3_EXPANSION!G$36)</f>
        <v>0</v>
      </c>
      <c r="H27" s="298" t="n">
        <f aca="false">IF(COUNTIF(CAPA3_EXPANSION!$D$56:H$56,"&gt;="&amp;20)=0,0,SUP_CONTROL!$C$8*IF($B27="V",1,IF($B27="D",(1+SUP_VOLUMEN!$C$26),(1+SUP_VOLUMEN!$C$27)))*INDEX(SUP_C3_EXPANSION!$C$6:$F$6,MIN(4,COUNTIF(CAPA3_EXPANSION!$D$56:H$56,"&gt;="&amp;20)))*CAPA3_EXPANSION!H$36)</f>
        <v>0</v>
      </c>
      <c r="I27" s="298" t="n">
        <f aca="false">IF(COUNTIF(CAPA3_EXPANSION!$D$56:I$56,"&gt;="&amp;20)=0,0,SUP_CONTROL!$C$8*IF($B27="V",1,IF($B27="D",(1+SUP_VOLUMEN!$C$26),(1+SUP_VOLUMEN!$C$27)))*INDEX(SUP_C3_EXPANSION!$C$6:$F$6,MIN(4,COUNTIF(CAPA3_EXPANSION!$D$56:I$56,"&gt;="&amp;20)))*CAPA3_EXPANSION!I$36)</f>
        <v>0</v>
      </c>
      <c r="J27" s="298" t="n">
        <f aca="false">IF(COUNTIF(CAPA3_EXPANSION!$D$56:J$56,"&gt;="&amp;20)=0,0,SUP_CONTROL!$C$8*IF($B27="V",1,IF($B27="D",(1+SUP_VOLUMEN!$C$26),(1+SUP_VOLUMEN!$C$27)))*INDEX(SUP_C3_EXPANSION!$C$6:$F$6,MIN(4,COUNTIF(CAPA3_EXPANSION!$D$56:J$56,"&gt;="&amp;20)))*CAPA3_EXPANSION!J$36)</f>
        <v>0</v>
      </c>
      <c r="K27" s="298" t="n">
        <f aca="false">IF(COUNTIF(CAPA3_EXPANSION!$D$56:K$56,"&gt;="&amp;20)=0,0,SUP_CONTROL!$C$8*IF($B27="V",1,IF($B27="D",(1+SUP_VOLUMEN!$C$26),(1+SUP_VOLUMEN!$C$27)))*INDEX(SUP_C3_EXPANSION!$C$6:$F$6,MIN(4,COUNTIF(CAPA3_EXPANSION!$D$56:K$56,"&gt;="&amp;20)))*CAPA3_EXPANSION!K$36)</f>
        <v>0</v>
      </c>
      <c r="L27" s="298" t="n">
        <f aca="false">IF(COUNTIF(CAPA3_EXPANSION!$D$56:L$56,"&gt;="&amp;20)=0,0,SUP_CONTROL!$C$8*IF($B27="V",1,IF($B27="D",(1+SUP_VOLUMEN!$C$26),(1+SUP_VOLUMEN!$C$27)))*INDEX(SUP_C3_EXPANSION!$C$6:$F$6,MIN(4,COUNTIF(CAPA3_EXPANSION!$D$56:L$56,"&gt;="&amp;20)))*CAPA3_EXPANSION!L$36)</f>
        <v>0</v>
      </c>
      <c r="M27" s="298" t="n">
        <f aca="false">IF(COUNTIF(CAPA3_EXPANSION!$D$56:M$56,"&gt;="&amp;20)=0,0,SUP_CONTROL!$C$8*IF($B27="V",1,IF($B27="D",(1+SUP_VOLUMEN!$C$26),(1+SUP_VOLUMEN!$C$27)))*INDEX(SUP_C3_EXPANSION!$C$6:$F$6,MIN(4,COUNTIF(CAPA3_EXPANSION!$D$56:M$56,"&gt;="&amp;20)))*CAPA3_EXPANSION!M$36)</f>
        <v>0</v>
      </c>
      <c r="N27" s="298" t="n">
        <f aca="false">IF(COUNTIF(CAPA3_EXPANSION!$D$56:N$56,"&gt;="&amp;20)=0,0,SUP_CONTROL!$C$8*IF($B27="V",1,IF($B27="D",(1+SUP_VOLUMEN!$C$26),(1+SUP_VOLUMEN!$C$27)))*INDEX(SUP_C3_EXPANSION!$C$6:$F$6,MIN(4,COUNTIF(CAPA3_EXPANSION!$D$56:N$56,"&gt;="&amp;20)))*CAPA3_EXPANSION!N$36)</f>
        <v>0</v>
      </c>
      <c r="O27" s="298" t="n">
        <f aca="false">IF(COUNTIF(CAPA3_EXPANSION!$D$56:O$56,"&gt;="&amp;20)=0,0,SUP_CONTROL!$C$8*IF($B27="V",1,IF($B27="D",(1+SUP_VOLUMEN!$C$26),(1+SUP_VOLUMEN!$C$27)))*INDEX(SUP_C3_EXPANSION!$C$6:$F$6,MIN(4,COUNTIF(CAPA3_EXPANSION!$D$56:O$56,"&gt;="&amp;20)))*CAPA3_EXPANSION!O$36)</f>
        <v>0</v>
      </c>
      <c r="P27" s="298" t="n">
        <f aca="false">IF(COUNTIF(CAPA3_EXPANSION!$D$56:P$56,"&gt;="&amp;20)=0,0,SUP_CONTROL!$C$8*IF($B27="V",1,IF($B27="D",(1+SUP_VOLUMEN!$C$26),(1+SUP_VOLUMEN!$C$27)))*INDEX(SUP_C3_EXPANSION!$C$6:$F$6,MIN(4,COUNTIF(CAPA3_EXPANSION!$D$56:P$56,"&gt;="&amp;20)))*CAPA3_EXPANSION!P$36)</f>
        <v>0</v>
      </c>
      <c r="Q27" s="298" t="n">
        <f aca="false">IF(COUNTIF(CAPA3_EXPANSION!$D$56:Q$56,"&gt;="&amp;20)=0,0,SUP_CONTROL!$C$8*IF($B27="V",1,IF($B27="D",(1+SUP_VOLUMEN!$C$26),(1+SUP_VOLUMEN!$C$27)))*INDEX(SUP_C3_EXPANSION!$C$6:$F$6,MIN(4,COUNTIF(CAPA3_EXPANSION!$D$56:Q$56,"&gt;="&amp;20)))*CAPA3_EXPANSION!Q$36)</f>
        <v>0</v>
      </c>
      <c r="R27" s="298" t="n">
        <f aca="false">IF(COUNTIF(CAPA3_EXPANSION!$D$56:R$56,"&gt;="&amp;20)=0,0,SUP_CONTROL!$C$8*IF($B27="V",1,IF($B27="D",(1+SUP_VOLUMEN!$C$26),(1+SUP_VOLUMEN!$C$27)))*INDEX(SUP_C3_EXPANSION!$C$6:$F$6,MIN(4,COUNTIF(CAPA3_EXPANSION!$D$56:R$56,"&gt;="&amp;20)))*CAPA3_EXPANSION!R$36)</f>
        <v>0</v>
      </c>
      <c r="S27" s="298" t="n">
        <f aca="false">IF(COUNTIF(CAPA3_EXPANSION!$D$56:S$56,"&gt;="&amp;20)=0,0,SUP_CONTROL!$C$8*IF($B27="V",1,IF($B27="D",(1+SUP_VOLUMEN!$C$26),(1+SUP_VOLUMEN!$C$27)))*INDEX(SUP_C3_EXPANSION!$C$6:$F$6,MIN(4,COUNTIF(CAPA3_EXPANSION!$D$56:S$56,"&gt;="&amp;20)))*CAPA3_EXPANSION!S$36)</f>
        <v>0</v>
      </c>
      <c r="T27" s="298" t="n">
        <f aca="false">IF(COUNTIF(CAPA3_EXPANSION!$D$56:T$56,"&gt;="&amp;20)=0,0,SUP_CONTROL!$C$8*IF($B27="V",1,IF($B27="D",(1+SUP_VOLUMEN!$C$26),(1+SUP_VOLUMEN!$C$27)))*INDEX(SUP_C3_EXPANSION!$C$6:$F$6,MIN(4,COUNTIF(CAPA3_EXPANSION!$D$56:T$56,"&gt;="&amp;20)))*CAPA3_EXPANSION!T$36)</f>
        <v>0</v>
      </c>
      <c r="U27" s="298" t="n">
        <f aca="false">IF(COUNTIF(CAPA3_EXPANSION!$D$56:U$56,"&gt;="&amp;20)=0,0,SUP_CONTROL!$C$8*IF($B27="V",1,IF($B27="D",(1+SUP_VOLUMEN!$C$26),(1+SUP_VOLUMEN!$C$27)))*INDEX(SUP_C3_EXPANSION!$C$6:$F$6,MIN(4,COUNTIF(CAPA3_EXPANSION!$D$56:U$56,"&gt;="&amp;20)))*CAPA3_EXPANSION!U$36)</f>
        <v>0</v>
      </c>
      <c r="V27" s="298" t="n">
        <f aca="false">IF(COUNTIF(CAPA3_EXPANSION!$D$56:V$56,"&gt;="&amp;20)=0,0,SUP_CONTROL!$C$8*IF($B27="V",1,IF($B27="D",(1+SUP_VOLUMEN!$C$26),(1+SUP_VOLUMEN!$C$27)))*INDEX(SUP_C3_EXPANSION!$C$6:$F$6,MIN(4,COUNTIF(CAPA3_EXPANSION!$D$56:V$56,"&gt;="&amp;20)))*CAPA3_EXPANSION!V$36)</f>
        <v>0</v>
      </c>
      <c r="W27" s="298" t="n">
        <f aca="false">IF(COUNTIF(CAPA3_EXPANSION!$D$56:W$56,"&gt;="&amp;20)=0,0,SUP_CONTROL!$C$8*IF($B27="V",1,IF($B27="D",(1+SUP_VOLUMEN!$C$26),(1+SUP_VOLUMEN!$C$27)))*INDEX(SUP_C3_EXPANSION!$C$6:$F$6,MIN(4,COUNTIF(CAPA3_EXPANSION!$D$56:W$56,"&gt;="&amp;20)))*CAPA3_EXPANSION!W$36)</f>
        <v>0</v>
      </c>
      <c r="X27" s="298" t="n">
        <f aca="false">IF(COUNTIF(CAPA3_EXPANSION!$D$56:X$56,"&gt;="&amp;20)=0,0,SUP_CONTROL!$C$8*IF($B27="V",1,IF($B27="D",(1+SUP_VOLUMEN!$C$26),(1+SUP_VOLUMEN!$C$27)))*INDEX(SUP_C3_EXPANSION!$C$6:$F$6,MIN(4,COUNTIF(CAPA3_EXPANSION!$D$56:X$56,"&gt;="&amp;20)))*CAPA3_EXPANSION!X$36)</f>
        <v>0</v>
      </c>
      <c r="Y27" s="298" t="n">
        <f aca="false">IF(COUNTIF(CAPA3_EXPANSION!$D$56:Y$56,"&gt;="&amp;20)=0,0,SUP_CONTROL!$C$8*IF($B27="V",1,IF($B27="D",(1+SUP_VOLUMEN!$C$26),(1+SUP_VOLUMEN!$C$27)))*INDEX(SUP_C3_EXPANSION!$C$6:$F$6,MIN(4,COUNTIF(CAPA3_EXPANSION!$D$56:Y$56,"&gt;="&amp;20)))*CAPA3_EXPANSION!Y$36)</f>
        <v>0</v>
      </c>
      <c r="Z27" s="298" t="n">
        <f aca="false">IF(COUNTIF(CAPA3_EXPANSION!$D$56:Z$56,"&gt;="&amp;20)=0,0,SUP_CONTROL!$C$8*IF($B27="V",1,IF($B27="D",(1+SUP_VOLUMEN!$C$26),(1+SUP_VOLUMEN!$C$27)))*INDEX(SUP_C3_EXPANSION!$C$6:$F$6,MIN(4,COUNTIF(CAPA3_EXPANSION!$D$56:Z$56,"&gt;="&amp;20)))*CAPA3_EXPANSION!Z$36)</f>
        <v>0</v>
      </c>
      <c r="AA27" s="298" t="n">
        <f aca="false">IF(COUNTIF(CAPA3_EXPANSION!$D$56:AA$56,"&gt;="&amp;20)=0,0,SUP_CONTROL!$C$8*IF($B27="V",1,IF($B27="D",(1+SUP_VOLUMEN!$C$26),(1+SUP_VOLUMEN!$C$27)))*INDEX(SUP_C3_EXPANSION!$C$6:$F$6,MIN(4,COUNTIF(CAPA3_EXPANSION!$D$56:AA$56,"&gt;="&amp;20)))*CAPA3_EXPANSION!AA$36)</f>
        <v>0</v>
      </c>
      <c r="AB27" s="298" t="n">
        <f aca="false">IF(COUNTIF(CAPA3_EXPANSION!$D$56:AB$56,"&gt;="&amp;20)=0,0,SUP_CONTROL!$C$8*IF($B27="V",1,IF($B27="D",(1+SUP_VOLUMEN!$C$26),(1+SUP_VOLUMEN!$C$27)))*INDEX(SUP_C3_EXPANSION!$C$6:$F$6,MIN(4,COUNTIF(CAPA3_EXPANSION!$D$56:AB$56,"&gt;="&amp;20)))*CAPA3_EXPANSION!AB$36)</f>
        <v>0</v>
      </c>
      <c r="AC27" s="298" t="n">
        <f aca="false">IF(COUNTIF(CAPA3_EXPANSION!$D$56:AC$56,"&gt;="&amp;20)=0,0,SUP_CONTROL!$C$8*IF($B27="V",1,IF($B27="D",(1+SUP_VOLUMEN!$C$26),(1+SUP_VOLUMEN!$C$27)))*INDEX(SUP_C3_EXPANSION!$C$6:$F$6,MIN(4,COUNTIF(CAPA3_EXPANSION!$D$56:AC$56,"&gt;="&amp;20)))*CAPA3_EXPANSION!AC$36)</f>
        <v>0</v>
      </c>
      <c r="AD27" s="298" t="n">
        <f aca="false">IF(COUNTIF(CAPA3_EXPANSION!$D$56:AD$56,"&gt;="&amp;20)=0,0,SUP_CONTROL!$C$8*IF($B27="V",1,IF($B27="D",(1+SUP_VOLUMEN!$C$26),(1+SUP_VOLUMEN!$C$27)))*INDEX(SUP_C3_EXPANSION!$C$6:$F$6,MIN(4,COUNTIF(CAPA3_EXPANSION!$D$56:AD$56,"&gt;="&amp;20)))*CAPA3_EXPANSION!AD$36)</f>
        <v>0</v>
      </c>
      <c r="AE27" s="298" t="n">
        <f aca="false">IF(COUNTIF(CAPA3_EXPANSION!$D$56:AE$56,"&gt;="&amp;20)=0,0,SUP_CONTROL!$C$8*IF($B27="V",1,IF($B27="D",(1+SUP_VOLUMEN!$C$26),(1+SUP_VOLUMEN!$C$27)))*INDEX(SUP_C3_EXPANSION!$C$6:$F$6,MIN(4,COUNTIF(CAPA3_EXPANSION!$D$56:AE$56,"&gt;="&amp;20)))*CAPA3_EXPANSION!AE$36)</f>
        <v>0</v>
      </c>
      <c r="AF27" s="298" t="n">
        <f aca="false">IF(COUNTIF(CAPA3_EXPANSION!$D$56:AF$56,"&gt;="&amp;20)=0,0,SUP_CONTROL!$C$8*IF($B27="V",1,IF($B27="D",(1+SUP_VOLUMEN!$C$26),(1+SUP_VOLUMEN!$C$27)))*INDEX(SUP_C3_EXPANSION!$C$6:$F$6,MIN(4,COUNTIF(CAPA3_EXPANSION!$D$56:AF$56,"&gt;="&amp;20)))*CAPA3_EXPANSION!AF$36)</f>
        <v>0</v>
      </c>
      <c r="AG27" s="298" t="n">
        <f aca="false">IF(COUNTIF(CAPA3_EXPANSION!$D$56:AG$56,"&gt;="&amp;20)=0,0,SUP_CONTROL!$C$8*IF($B27="V",1,IF($B27="D",(1+SUP_VOLUMEN!$C$26),(1+SUP_VOLUMEN!$C$27)))*INDEX(SUP_C3_EXPANSION!$C$6:$F$6,MIN(4,COUNTIF(CAPA3_EXPANSION!$D$56:AG$56,"&gt;="&amp;20)))*CAPA3_EXPANSION!AG$36)</f>
        <v>0</v>
      </c>
      <c r="AH27" s="298" t="n">
        <f aca="false">IF(COUNTIF(CAPA3_EXPANSION!$D$56:AH$56,"&gt;="&amp;20)=0,0,SUP_CONTROL!$C$8*IF($B27="V",1,IF($B27="D",(1+SUP_VOLUMEN!$C$26),(1+SUP_VOLUMEN!$C$27)))*INDEX(SUP_C3_EXPANSION!$C$6:$F$6,MIN(4,COUNTIF(CAPA3_EXPANSION!$D$56:AH$56,"&gt;="&amp;20)))*CAPA3_EXPANSION!AH$36)</f>
        <v>0</v>
      </c>
      <c r="AI27" s="298" t="n">
        <f aca="false">IF(COUNTIF(CAPA3_EXPANSION!$D$56:AI$56,"&gt;="&amp;20)=0,0,SUP_CONTROL!$C$8*IF($B27="V",1,IF($B27="D",(1+SUP_VOLUMEN!$C$26),(1+SUP_VOLUMEN!$C$27)))*INDEX(SUP_C3_EXPANSION!$C$6:$F$6,MIN(4,COUNTIF(CAPA3_EXPANSION!$D$56:AI$56,"&gt;="&amp;20)))*CAPA3_EXPANSION!AI$36)</f>
        <v>0</v>
      </c>
      <c r="AJ27" s="298" t="n">
        <f aca="false">IF(COUNTIF(CAPA3_EXPANSION!$D$56:AJ$56,"&gt;="&amp;20)=0,0,SUP_CONTROL!$C$8*IF($B27="V",1,IF($B27="D",(1+SUP_VOLUMEN!$C$26),(1+SUP_VOLUMEN!$C$27)))*INDEX(SUP_C3_EXPANSION!$C$6:$F$6,MIN(4,COUNTIF(CAPA3_EXPANSION!$D$56:AJ$56,"&gt;="&amp;20)))*CAPA3_EXPANSION!AJ$36)</f>
        <v>0</v>
      </c>
      <c r="AK27" s="298" t="n">
        <f aca="false">IF(COUNTIF(CAPA3_EXPANSION!$D$56:AK$56,"&gt;="&amp;20)=0,0,SUP_CONTROL!$C$8*IF($B27="V",1,IF($B27="D",(1+SUP_VOLUMEN!$C$26),(1+SUP_VOLUMEN!$C$27)))*INDEX(SUP_C3_EXPANSION!$C$6:$F$6,MIN(4,COUNTIF(CAPA3_EXPANSION!$D$56:AK$56,"&gt;="&amp;20)))*CAPA3_EXPANSION!AK$36)</f>
        <v>0</v>
      </c>
      <c r="AL27" s="298" t="n">
        <f aca="false">IF(COUNTIF(CAPA3_EXPANSION!$D$56:AL$56,"&gt;="&amp;20)=0,0,SUP_CONTROL!$C$8*IF($B27="V",1,IF($B27="D",(1+SUP_VOLUMEN!$C$26),(1+SUP_VOLUMEN!$C$27)))*INDEX(SUP_C3_EXPANSION!$C$6:$F$6,MIN(4,COUNTIF(CAPA3_EXPANSION!$D$56:AL$56,"&gt;="&amp;20)))*CAPA3_EXPANSION!AL$36)</f>
        <v>0</v>
      </c>
      <c r="AM27" s="298" t="n">
        <f aca="false">IF(COUNTIF(CAPA3_EXPANSION!$D$56:AM$56,"&gt;="&amp;20)=0,0,SUP_CONTROL!$C$8*IF($B27="V",1,IF($B27="D",(1+SUP_VOLUMEN!$C$26),(1+SUP_VOLUMEN!$C$27)))*INDEX(SUP_C3_EXPANSION!$C$6:$F$6,MIN(4,COUNTIF(CAPA3_EXPANSION!$D$56:AM$56,"&gt;="&amp;20)))*CAPA3_EXPANSION!AM$36)</f>
        <v>0</v>
      </c>
      <c r="AN27" s="298" t="n">
        <f aca="false">IF(COUNTIF(CAPA3_EXPANSION!$D$56:AN$56,"&gt;="&amp;20)=0,0,SUP_CONTROL!$C$8*IF($B27="V",1,IF($B27="D",(1+SUP_VOLUMEN!$C$26),(1+SUP_VOLUMEN!$C$27)))*INDEX(SUP_C3_EXPANSION!$C$6:$F$6,MIN(4,COUNTIF(CAPA3_EXPANSION!$D$56:AN$56,"&gt;="&amp;20)))*CAPA3_EXPANSION!AN$36)</f>
        <v>0</v>
      </c>
      <c r="AO27" s="298" t="n">
        <f aca="false">IF(COUNTIF(CAPA3_EXPANSION!$D$56:AO$56,"&gt;="&amp;20)=0,0,SUP_CONTROL!$C$8*IF($B27="V",1,IF($B27="D",(1+SUP_VOLUMEN!$C$26),(1+SUP_VOLUMEN!$C$27)))*INDEX(SUP_C3_EXPANSION!$C$6:$F$6,MIN(4,COUNTIF(CAPA3_EXPANSION!$D$56:AO$56,"&gt;="&amp;20)))*CAPA3_EXPANSION!AO$36)</f>
        <v>0</v>
      </c>
      <c r="AP27" s="298" t="n">
        <f aca="false">IF(COUNTIF(CAPA3_EXPANSION!$D$56:AP$56,"&gt;="&amp;20)=0,0,SUP_CONTROL!$C$8*IF($B27="V",1,IF($B27="D",(1+SUP_VOLUMEN!$C$26),(1+SUP_VOLUMEN!$C$27)))*INDEX(SUP_C3_EXPANSION!$C$6:$F$6,MIN(4,COUNTIF(CAPA3_EXPANSION!$D$56:AP$56,"&gt;="&amp;20)))*CAPA3_EXPANSION!AP$36)</f>
        <v>0</v>
      </c>
      <c r="AQ27" s="298" t="n">
        <f aca="false">IF(COUNTIF(CAPA3_EXPANSION!$D$56:AQ$56,"&gt;="&amp;20)=0,0,SUP_CONTROL!$C$8*IF($B27="V",1,IF($B27="D",(1+SUP_VOLUMEN!$C$26),(1+SUP_VOLUMEN!$C$27)))*INDEX(SUP_C3_EXPANSION!$C$6:$F$6,MIN(4,COUNTIF(CAPA3_EXPANSION!$D$56:AQ$56,"&gt;="&amp;20)))*CAPA3_EXPANSION!AQ$36)</f>
        <v>0</v>
      </c>
      <c r="AR27" s="298" t="n">
        <f aca="false">IF(COUNTIF(CAPA3_EXPANSION!$D$56:AR$56,"&gt;="&amp;20)=0,0,SUP_CONTROL!$C$8*IF($B27="V",1,IF($B27="D",(1+SUP_VOLUMEN!$C$26),(1+SUP_VOLUMEN!$C$27)))*INDEX(SUP_C3_EXPANSION!$C$6:$F$6,MIN(4,COUNTIF(CAPA3_EXPANSION!$D$56:AR$56,"&gt;="&amp;20)))*CAPA3_EXPANSION!AR$36)</f>
        <v>0</v>
      </c>
      <c r="AS27" s="298" t="n">
        <f aca="false">IF(COUNTIF(CAPA3_EXPANSION!$D$56:AS$56,"&gt;="&amp;20)=0,0,SUP_CONTROL!$C$8*IF($B27="V",1,IF($B27="D",(1+SUP_VOLUMEN!$C$26),(1+SUP_VOLUMEN!$C$27)))*INDEX(SUP_C3_EXPANSION!$C$6:$F$6,MIN(4,COUNTIF(CAPA3_EXPANSION!$D$56:AS$56,"&gt;="&amp;20)))*CAPA3_EXPANSION!AS$36)</f>
        <v>0</v>
      </c>
      <c r="AT27" s="298" t="n">
        <f aca="false">IF(COUNTIF(CAPA3_EXPANSION!$D$56:AT$56,"&gt;="&amp;20)=0,0,SUP_CONTROL!$C$8*IF($B27="V",1,IF($B27="D",(1+SUP_VOLUMEN!$C$26),(1+SUP_VOLUMEN!$C$27)))*INDEX(SUP_C3_EXPANSION!$C$6:$F$6,MIN(4,COUNTIF(CAPA3_EXPANSION!$D$56:AT$56,"&gt;="&amp;20)))*CAPA3_EXPANSION!AT$36)</f>
        <v>0</v>
      </c>
      <c r="AU27" s="298" t="n">
        <f aca="false">IF(COUNTIF(CAPA3_EXPANSION!$D$56:AU$56,"&gt;="&amp;20)=0,0,SUP_CONTROL!$C$8*IF($B27="V",1,IF($B27="D",(1+SUP_VOLUMEN!$C$26),(1+SUP_VOLUMEN!$C$27)))*INDEX(SUP_C3_EXPANSION!$C$6:$F$6,MIN(4,COUNTIF(CAPA3_EXPANSION!$D$56:AU$56,"&gt;="&amp;20)))*CAPA3_EXPANSION!AU$36)</f>
        <v>0</v>
      </c>
      <c r="AV27" s="298" t="n">
        <f aca="false">IF(COUNTIF(CAPA3_EXPANSION!$D$56:AV$56,"&gt;="&amp;20)=0,0,SUP_CONTROL!$C$8*IF($B27="V",1,IF($B27="D",(1+SUP_VOLUMEN!$C$26),(1+SUP_VOLUMEN!$C$27)))*INDEX(SUP_C3_EXPANSION!$C$6:$F$6,MIN(4,COUNTIF(CAPA3_EXPANSION!$D$56:AV$56,"&gt;="&amp;20)))*CAPA3_EXPANSION!AV$36)</f>
        <v>0</v>
      </c>
      <c r="AW27" s="298" t="n">
        <f aca="false">IF(COUNTIF(CAPA3_EXPANSION!$D$56:AW$56,"&gt;="&amp;20)=0,0,SUP_CONTROL!$C$8*IF($B27="V",1,IF($B27="D",(1+SUP_VOLUMEN!$C$26),(1+SUP_VOLUMEN!$C$27)))*INDEX(SUP_C3_EXPANSION!$C$6:$F$6,MIN(4,COUNTIF(CAPA3_EXPANSION!$D$56:AW$56,"&gt;="&amp;20)))*CAPA3_EXPANSION!AW$36)</f>
        <v>0</v>
      </c>
      <c r="AX27" s="298" t="n">
        <f aca="false">IF(COUNTIF(CAPA3_EXPANSION!$D$56:AX$56,"&gt;="&amp;20)=0,0,SUP_CONTROL!$C$8*IF($B27="V",1,IF($B27="D",(1+SUP_VOLUMEN!$C$26),(1+SUP_VOLUMEN!$C$27)))*INDEX(SUP_C3_EXPANSION!$C$6:$F$6,MIN(4,COUNTIF(CAPA3_EXPANSION!$D$56:AX$56,"&gt;="&amp;20)))*CAPA3_EXPANSION!AX$36)</f>
        <v>0</v>
      </c>
      <c r="AY27" s="298" t="n">
        <f aca="false">IF(COUNTIF(CAPA3_EXPANSION!$D$56:AY$56,"&gt;="&amp;20)=0,0,SUP_CONTROL!$C$8*IF($B27="V",1,IF($B27="D",(1+SUP_VOLUMEN!$C$26),(1+SUP_VOLUMEN!$C$27)))*INDEX(SUP_C3_EXPANSION!$C$6:$F$6,MIN(4,COUNTIF(CAPA3_EXPANSION!$D$56:AY$56,"&gt;="&amp;20)))*CAPA3_EXPANSION!AY$36)</f>
        <v>0</v>
      </c>
      <c r="AZ27" s="298" t="n">
        <f aca="false">IF(COUNTIF(CAPA3_EXPANSION!$D$56:AZ$56,"&gt;="&amp;20)=0,0,SUP_CONTROL!$C$8*IF($B27="V",1,IF($B27="D",(1+SUP_VOLUMEN!$C$26),(1+SUP_VOLUMEN!$C$27)))*INDEX(SUP_C3_EXPANSION!$C$6:$F$6,MIN(4,COUNTIF(CAPA3_EXPANSION!$D$56:AZ$56,"&gt;="&amp;20)))*CAPA3_EXPANSION!AZ$36)</f>
        <v>0</v>
      </c>
      <c r="BA27" s="298" t="n">
        <f aca="false">IF(COUNTIF(CAPA3_EXPANSION!$D$56:BA$56,"&gt;="&amp;20)=0,0,SUP_CONTROL!$C$8*IF($B27="V",1,IF($B27="D",(1+SUP_VOLUMEN!$C$26),(1+SUP_VOLUMEN!$C$27)))*INDEX(SUP_C3_EXPANSION!$C$6:$F$6,MIN(4,COUNTIF(CAPA3_EXPANSION!$D$56:BA$56,"&gt;="&amp;20)))*CAPA3_EXPANSION!BA$36)</f>
        <v>0</v>
      </c>
      <c r="BB27" s="298" t="n">
        <f aca="false">IF(COUNTIF(CAPA3_EXPANSION!$D$56:BB$56,"&gt;="&amp;20)=0,0,SUP_CONTROL!$C$8*IF($B27="V",1,IF($B27="D",(1+SUP_VOLUMEN!$C$26),(1+SUP_VOLUMEN!$C$27)))*INDEX(SUP_C3_EXPANSION!$C$6:$F$6,MIN(4,COUNTIF(CAPA3_EXPANSION!$D$56:BB$56,"&gt;="&amp;20)))*CAPA3_EXPANSION!BB$36)</f>
        <v>0</v>
      </c>
      <c r="BC27" s="298" t="n">
        <f aca="false">IF(COUNTIF(CAPA3_EXPANSION!$D$56:BC$56,"&gt;="&amp;20)=0,0,SUP_CONTROL!$C$8*IF($B27="V",1,IF($B27="D",(1+SUP_VOLUMEN!$C$26),(1+SUP_VOLUMEN!$C$27)))*INDEX(SUP_C3_EXPANSION!$C$6:$F$6,MIN(4,COUNTIF(CAPA3_EXPANSION!$D$56:BC$56,"&gt;="&amp;20)))*CAPA3_EXPANSION!BC$36)</f>
        <v>0</v>
      </c>
      <c r="BD27" s="298" t="n">
        <f aca="false">IF(COUNTIF(CAPA3_EXPANSION!$D$56:BD$56,"&gt;="&amp;20)=0,0,SUP_CONTROL!$C$8*IF($B27="V",1,IF($B27="D",(1+SUP_VOLUMEN!$C$26),(1+SUP_VOLUMEN!$C$27)))*INDEX(SUP_C3_EXPANSION!$C$6:$F$6,MIN(4,COUNTIF(CAPA3_EXPANSION!$D$56:BD$56,"&gt;="&amp;20)))*CAPA3_EXPANSION!BD$36)</f>
        <v>0</v>
      </c>
      <c r="BE27" s="298" t="n">
        <f aca="false">IF(COUNTIF(CAPA3_EXPANSION!$D$56:BE$56,"&gt;="&amp;20)=0,0,SUP_CONTROL!$C$8*IF($B27="V",1,IF($B27="D",(1+SUP_VOLUMEN!$C$26),(1+SUP_VOLUMEN!$C$27)))*INDEX(SUP_C3_EXPANSION!$C$6:$F$6,MIN(4,COUNTIF(CAPA3_EXPANSION!$D$56:BE$56,"&gt;="&amp;20)))*CAPA3_EXPANSION!BE$36)</f>
        <v>0</v>
      </c>
      <c r="BF27" s="298" t="n">
        <f aca="false">IF(COUNTIF(CAPA3_EXPANSION!$D$56:BF$56,"&gt;="&amp;20)=0,0,SUP_CONTROL!$C$8*IF($B27="V",1,IF($B27="D",(1+SUP_VOLUMEN!$C$26),(1+SUP_VOLUMEN!$C$27)))*INDEX(SUP_C3_EXPANSION!$C$6:$F$6,MIN(4,COUNTIF(CAPA3_EXPANSION!$D$56:BF$56,"&gt;="&amp;20)))*CAPA3_EXPANSION!BF$36)</f>
        <v>0</v>
      </c>
      <c r="BG27" s="298" t="n">
        <f aca="false">IF(COUNTIF(CAPA3_EXPANSION!$D$56:BG$56,"&gt;="&amp;20)=0,0,SUP_CONTROL!$C$8*IF($B27="V",1,IF($B27="D",(1+SUP_VOLUMEN!$C$26),(1+SUP_VOLUMEN!$C$27)))*INDEX(SUP_C3_EXPANSION!$C$6:$F$6,MIN(4,COUNTIF(CAPA3_EXPANSION!$D$56:BG$56,"&gt;="&amp;20)))*CAPA3_EXPANSION!BG$36)</f>
        <v>0</v>
      </c>
      <c r="BH27" s="298" t="n">
        <f aca="false">IF(COUNTIF(CAPA3_EXPANSION!$D$56:BH$56,"&gt;="&amp;20)=0,0,SUP_CONTROL!$C$8*IF($B27="V",1,IF($B27="D",(1+SUP_VOLUMEN!$C$26),(1+SUP_VOLUMEN!$C$27)))*INDEX(SUP_C3_EXPANSION!$C$6:$F$6,MIN(4,COUNTIF(CAPA3_EXPANSION!$D$56:BH$56,"&gt;="&amp;20)))*CAPA3_EXPANSION!BH$36)</f>
        <v>0</v>
      </c>
      <c r="BI27" s="298" t="n">
        <f aca="false">IF(COUNTIF(CAPA3_EXPANSION!$D$56:BI$56,"&gt;="&amp;20)=0,0,SUP_CONTROL!$C$8*IF($B27="V",1,IF($B27="D",(1+SUP_VOLUMEN!$C$26),(1+SUP_VOLUMEN!$C$27)))*INDEX(SUP_C3_EXPANSION!$C$6:$F$6,MIN(4,COUNTIF(CAPA3_EXPANSION!$D$56:BI$56,"&gt;="&amp;20)))*CAPA3_EXPANSION!BI$36)</f>
        <v>0</v>
      </c>
      <c r="BJ27" s="298" t="n">
        <f aca="false">IF(COUNTIF(CAPA3_EXPANSION!$D$56:BJ$56,"&gt;="&amp;20)=0,0,SUP_CONTROL!$C$8*IF($B27="V",1,IF($B27="D",(1+SUP_VOLUMEN!$C$26),(1+SUP_VOLUMEN!$C$27)))*INDEX(SUP_C3_EXPANSION!$C$6:$F$6,MIN(4,COUNTIF(CAPA3_EXPANSION!$D$56:BJ$56,"&gt;="&amp;20)))*CAPA3_EXPANSION!BJ$36)</f>
        <v>0</v>
      </c>
      <c r="BK27" s="298" t="n">
        <f aca="false">IF(COUNTIF(CAPA3_EXPANSION!$D$56:BK$56,"&gt;="&amp;20)=0,0,SUP_CONTROL!$C$8*IF($B27="V",1,IF($B27="D",(1+SUP_VOLUMEN!$C$26),(1+SUP_VOLUMEN!$C$27)))*INDEX(SUP_C3_EXPANSION!$C$6:$F$6,MIN(4,COUNTIF(CAPA3_EXPANSION!$D$56:BK$56,"&gt;="&amp;20)))*CAPA3_EXPANSION!BK$36)</f>
        <v>0</v>
      </c>
      <c r="BL27" s="298" t="n">
        <f aca="false">IF(COUNTIF(CAPA3_EXPANSION!$D$56:BL$56,"&gt;="&amp;20)=0,0,SUP_CONTROL!$C$8*IF($B27="V",1,IF($B27="D",(1+SUP_VOLUMEN!$C$26),(1+SUP_VOLUMEN!$C$27)))*INDEX(SUP_C3_EXPANSION!$C$6:$F$6,MIN(4,COUNTIF(CAPA3_EXPANSION!$D$56:BL$56,"&gt;="&amp;20)))*CAPA3_EXPANSION!BL$36)</f>
        <v>0</v>
      </c>
      <c r="BM27" s="298" t="n">
        <f aca="false">IF(COUNTIF(CAPA3_EXPANSION!$D$56:BM$56,"&gt;="&amp;20)=0,0,SUP_CONTROL!$C$8*IF($B27="V",1,IF($B27="D",(1+SUP_VOLUMEN!$C$26),(1+SUP_VOLUMEN!$C$27)))*INDEX(SUP_C3_EXPANSION!$C$6:$F$6,MIN(4,COUNTIF(CAPA3_EXPANSION!$D$56:BM$56,"&gt;="&amp;20)))*CAPA3_EXPANSION!BM$36)</f>
        <v>0</v>
      </c>
      <c r="BN27" s="298" t="n">
        <f aca="false">IF(COUNTIF(CAPA3_EXPANSION!$D$56:BN$56,"&gt;="&amp;20)=0,0,SUP_CONTROL!$C$8*IF($B27="V",1,IF($B27="D",(1+SUP_VOLUMEN!$C$26),(1+SUP_VOLUMEN!$C$27)))*INDEX(SUP_C3_EXPANSION!$C$6:$F$6,MIN(4,COUNTIF(CAPA3_EXPANSION!$D$56:BN$56,"&gt;="&amp;20)))*CAPA3_EXPANSION!BN$36)</f>
        <v>2457</v>
      </c>
      <c r="BO27" s="298" t="n">
        <f aca="false">IF(COUNTIF(CAPA3_EXPANSION!$D$56:BO$56,"&gt;="&amp;20)=0,0,SUP_CONTROL!$C$8*IF($B27="V",1,IF($B27="D",(1+SUP_VOLUMEN!$C$26),(1+SUP_VOLUMEN!$C$27)))*INDEX(SUP_C3_EXPANSION!$C$6:$F$6,MIN(4,COUNTIF(CAPA3_EXPANSION!$D$56:BO$56,"&gt;="&amp;20)))*CAPA3_EXPANSION!BO$36)</f>
        <v>3024</v>
      </c>
      <c r="BP27" s="298" t="n">
        <f aca="false">IF(COUNTIF(CAPA3_EXPANSION!$D$56:BP$56,"&gt;="&amp;20)=0,0,SUP_CONTROL!$C$8*IF($B27="V",1,IF($B27="D",(1+SUP_VOLUMEN!$C$26),(1+SUP_VOLUMEN!$C$27)))*INDEX(SUP_C3_EXPANSION!$C$6:$F$6,MIN(4,COUNTIF(CAPA3_EXPANSION!$D$56:BP$56,"&gt;="&amp;20)))*CAPA3_EXPANSION!BP$36)</f>
        <v>3402</v>
      </c>
      <c r="BQ27" s="298" t="n">
        <f aca="false">IF(COUNTIF(CAPA3_EXPANSION!$D$56:BQ$56,"&gt;="&amp;20)=0,0,SUP_CONTROL!$C$8*IF($B27="V",1,IF($B27="D",(1+SUP_VOLUMEN!$C$26),(1+SUP_VOLUMEN!$C$27)))*INDEX(SUP_C3_EXPANSION!$C$6:$F$6,MIN(4,COUNTIF(CAPA3_EXPANSION!$D$56:BQ$56,"&gt;="&amp;20)))*CAPA3_EXPANSION!BQ$36)</f>
        <v>3696</v>
      </c>
      <c r="BR27" s="298" t="n">
        <f aca="false">IF(COUNTIF(CAPA3_EXPANSION!$D$56:BR$56,"&gt;="&amp;20)=0,0,SUP_CONTROL!$C$8*IF($B27="V",1,IF($B27="D",(1+SUP_VOLUMEN!$C$26),(1+SUP_VOLUMEN!$C$27)))*INDEX(SUP_C3_EXPANSION!$C$6:$F$6,MIN(4,COUNTIF(CAPA3_EXPANSION!$D$56:BR$56,"&gt;="&amp;20)))*CAPA3_EXPANSION!BR$36)</f>
        <v>3696</v>
      </c>
      <c r="BS27" s="298" t="n">
        <f aca="false">IF(COUNTIF(CAPA3_EXPANSION!$D$56:BS$56,"&gt;="&amp;20)=0,0,SUP_CONTROL!$C$8*IF($B27="V",1,IF($B27="D",(1+SUP_VOLUMEN!$C$26),(1+SUP_VOLUMEN!$C$27)))*INDEX(SUP_C3_EXPANSION!$C$6:$F$6,MIN(4,COUNTIF(CAPA3_EXPANSION!$D$56:BS$56,"&gt;="&amp;20)))*CAPA3_EXPANSION!BS$36)</f>
        <v>3696</v>
      </c>
      <c r="BT27" s="298" t="n">
        <f aca="false">IF(COUNTIF(CAPA3_EXPANSION!$D$56:BT$56,"&gt;="&amp;20)=0,0,SUP_CONTROL!$C$8*IF($B27="V",1,IF($B27="D",(1+SUP_VOLUMEN!$C$26),(1+SUP_VOLUMEN!$C$27)))*INDEX(SUP_C3_EXPANSION!$C$6:$F$6,MIN(4,COUNTIF(CAPA3_EXPANSION!$D$56:BT$56,"&gt;="&amp;20)))*CAPA3_EXPANSION!BT$36)</f>
        <v>3696</v>
      </c>
      <c r="BU27" s="298" t="n">
        <f aca="false">IF(COUNTIF(CAPA3_EXPANSION!$D$56:BU$56,"&gt;="&amp;20)=0,0,SUP_CONTROL!$C$8*IF($B27="V",1,IF($B27="D",(1+SUP_VOLUMEN!$C$26),(1+SUP_VOLUMEN!$C$27)))*INDEX(SUP_C3_EXPANSION!$C$6:$F$6,MIN(4,COUNTIF(CAPA3_EXPANSION!$D$56:BU$56,"&gt;="&amp;20)))*CAPA3_EXPANSION!BU$36)</f>
        <v>3696</v>
      </c>
      <c r="BV27" s="298" t="n">
        <f aca="false">IF(COUNTIF(CAPA3_EXPANSION!$D$56:BV$56,"&gt;="&amp;20)=0,0,SUP_CONTROL!$C$8*IF($B27="V",1,IF($B27="D",(1+SUP_VOLUMEN!$C$26),(1+SUP_VOLUMEN!$C$27)))*INDEX(SUP_C3_EXPANSION!$C$6:$F$6,MIN(4,COUNTIF(CAPA3_EXPANSION!$D$56:BV$56,"&gt;="&amp;20)))*CAPA3_EXPANSION!BV$36)</f>
        <v>3696</v>
      </c>
      <c r="BW27" s="298" t="n">
        <f aca="false">IF(COUNTIF(CAPA3_EXPANSION!$D$56:BW$56,"&gt;="&amp;20)=0,0,SUP_CONTROL!$C$8*IF($B27="V",1,IF($B27="D",(1+SUP_VOLUMEN!$C$26),(1+SUP_VOLUMEN!$C$27)))*INDEX(SUP_C3_EXPANSION!$C$6:$F$6,MIN(4,COUNTIF(CAPA3_EXPANSION!$D$56:BW$56,"&gt;="&amp;20)))*CAPA3_EXPANSION!BW$36)</f>
        <v>3633</v>
      </c>
      <c r="BX27" s="298" t="n">
        <f aca="false">IF(COUNTIF(CAPA3_EXPANSION!$D$56:BX$56,"&gt;="&amp;20)=0,0,SUP_CONTROL!$C$8*IF($B27="V",1,IF($B27="D",(1+SUP_VOLUMEN!$C$26),(1+SUP_VOLUMEN!$C$27)))*INDEX(SUP_C3_EXPANSION!$C$6:$F$6,MIN(4,COUNTIF(CAPA3_EXPANSION!$D$56:BX$56,"&gt;="&amp;20)))*CAPA3_EXPANSION!BX$36)</f>
        <v>3633</v>
      </c>
      <c r="BY27" s="298" t="n">
        <f aca="false">IF(COUNTIF(CAPA3_EXPANSION!$D$56:BY$56,"&gt;="&amp;20)=0,0,SUP_CONTROL!$C$8*IF($B27="V",1,IF($B27="D",(1+SUP_VOLUMEN!$C$26),(1+SUP_VOLUMEN!$C$27)))*INDEX(SUP_C3_EXPANSION!$C$6:$F$6,MIN(4,COUNTIF(CAPA3_EXPANSION!$D$56:BY$56,"&gt;="&amp;20)))*CAPA3_EXPANSION!BY$36)</f>
        <v>3633</v>
      </c>
      <c r="BZ27" s="298" t="n">
        <f aca="false">IF(COUNTIF(CAPA3_EXPANSION!$D$56:BZ$56,"&gt;="&amp;20)=0,0,SUP_CONTROL!$C$8*IF($B27="V",1,IF($B27="D",(1+SUP_VOLUMEN!$C$26),(1+SUP_VOLUMEN!$C$27)))*INDEX(SUP_C3_EXPANSION!$C$6:$F$6,MIN(4,COUNTIF(CAPA3_EXPANSION!$D$56:BZ$56,"&gt;="&amp;20)))*CAPA3_EXPANSION!BZ$36)</f>
        <v>3633</v>
      </c>
      <c r="CA27" s="298" t="n">
        <f aca="false">IF(COUNTIF(CAPA3_EXPANSION!$D$56:CA$56,"&gt;="&amp;20)=0,0,SUP_CONTROL!$C$8*IF($B27="V",1,IF($B27="D",(1+SUP_VOLUMEN!$C$26),(1+SUP_VOLUMEN!$C$27)))*INDEX(SUP_C3_EXPANSION!$C$6:$F$6,MIN(4,COUNTIF(CAPA3_EXPANSION!$D$56:CA$56,"&gt;="&amp;20)))*CAPA3_EXPANSION!CA$36)</f>
        <v>3633</v>
      </c>
      <c r="CB27" s="298" t="n">
        <f aca="false">IF(COUNTIF(CAPA3_EXPANSION!$D$56:CB$56,"&gt;="&amp;20)=0,0,SUP_CONTROL!$C$8*IF($B27="V",1,IF($B27="D",(1+SUP_VOLUMEN!$C$26),(1+SUP_VOLUMEN!$C$27)))*INDEX(SUP_C3_EXPANSION!$C$6:$F$6,MIN(4,COUNTIF(CAPA3_EXPANSION!$D$56:CB$56,"&gt;="&amp;20)))*CAPA3_EXPANSION!CB$36)</f>
        <v>3570</v>
      </c>
      <c r="CC27" s="298" t="n">
        <f aca="false">IF(COUNTIF(CAPA3_EXPANSION!$D$56:CC$56,"&gt;="&amp;20)=0,0,SUP_CONTROL!$C$8*IF($B27="V",1,IF($B27="D",(1+SUP_VOLUMEN!$C$26),(1+SUP_VOLUMEN!$C$27)))*INDEX(SUP_C3_EXPANSION!$C$6:$F$6,MIN(4,COUNTIF(CAPA3_EXPANSION!$D$56:CC$56,"&gt;="&amp;20)))*CAPA3_EXPANSION!CC$36)</f>
        <v>3570</v>
      </c>
      <c r="CD27" s="298" t="n">
        <f aca="false">IF(COUNTIF(CAPA3_EXPANSION!$D$56:CD$56,"&gt;="&amp;20)=0,0,SUP_CONTROL!$C$8*IF($B27="V",1,IF($B27="D",(1+SUP_VOLUMEN!$C$26),(1+SUP_VOLUMEN!$C$27)))*INDEX(SUP_C3_EXPANSION!$C$6:$F$6,MIN(4,COUNTIF(CAPA3_EXPANSION!$D$56:CD$56,"&gt;="&amp;20)))*CAPA3_EXPANSION!CD$36)</f>
        <v>3570</v>
      </c>
      <c r="CE27" s="298" t="n">
        <f aca="false">IF(COUNTIF(CAPA3_EXPANSION!$D$56:CE$56,"&gt;="&amp;20)=0,0,SUP_CONTROL!$C$8*IF($B27="V",1,IF($B27="D",(1+SUP_VOLUMEN!$C$26),(1+SUP_VOLUMEN!$C$27)))*INDEX(SUP_C3_EXPANSION!$C$6:$F$6,MIN(4,COUNTIF(CAPA3_EXPANSION!$D$56:CE$56,"&gt;="&amp;20)))*CAPA3_EXPANSION!CE$36)</f>
        <v>3570</v>
      </c>
      <c r="CF27" s="298" t="n">
        <f aca="false">IF(COUNTIF(CAPA3_EXPANSION!$D$56:CF$56,"&gt;="&amp;20)=0,0,SUP_CONTROL!$C$8*IF($B27="V",1,IF($B27="D",(1+SUP_VOLUMEN!$C$26),(1+SUP_VOLUMEN!$C$27)))*INDEX(SUP_C3_EXPANSION!$C$6:$F$6,MIN(4,COUNTIF(CAPA3_EXPANSION!$D$56:CF$56,"&gt;="&amp;20)))*CAPA3_EXPANSION!CF$36)</f>
        <v>3570</v>
      </c>
      <c r="CG27" s="298" t="n">
        <f aca="false">IF(COUNTIF(CAPA3_EXPANSION!$D$56:CG$56,"&gt;="&amp;20)=0,0,SUP_CONTROL!$C$8*IF($B27="V",1,IF($B27="D",(1+SUP_VOLUMEN!$C$26),(1+SUP_VOLUMEN!$C$27)))*INDEX(SUP_C3_EXPANSION!$C$6:$F$6,MIN(4,COUNTIF(CAPA3_EXPANSION!$D$56:CG$56,"&gt;="&amp;20)))*CAPA3_EXPANSION!CG$36)</f>
        <v>3528</v>
      </c>
      <c r="CH27" s="298" t="n">
        <f aca="false">IF(COUNTIF(CAPA3_EXPANSION!$D$56:CH$56,"&gt;="&amp;20)=0,0,SUP_CONTROL!$C$8*IF($B27="V",1,IF($B27="D",(1+SUP_VOLUMEN!$C$26),(1+SUP_VOLUMEN!$C$27)))*INDEX(SUP_C3_EXPANSION!$C$6:$F$6,MIN(4,COUNTIF(CAPA3_EXPANSION!$D$56:CH$56,"&gt;="&amp;20)))*CAPA3_EXPANSION!CH$36)</f>
        <v>3528</v>
      </c>
      <c r="CI27" s="298" t="n">
        <f aca="false">IF(COUNTIF(CAPA3_EXPANSION!$D$56:CI$56,"&gt;="&amp;20)=0,0,SUP_CONTROL!$C$8*IF($B27="V",1,IF($B27="D",(1+SUP_VOLUMEN!$C$26),(1+SUP_VOLUMEN!$C$27)))*INDEX(SUP_C3_EXPANSION!$C$6:$F$6,MIN(4,COUNTIF(CAPA3_EXPANSION!$D$56:CI$56,"&gt;="&amp;20)))*CAPA3_EXPANSION!CI$36)</f>
        <v>3528</v>
      </c>
      <c r="CJ27" s="298" t="n">
        <f aca="false">IF(COUNTIF(CAPA3_EXPANSION!$D$56:CJ$56,"&gt;="&amp;20)=0,0,SUP_CONTROL!$C$8*IF($B27="V",1,IF($B27="D",(1+SUP_VOLUMEN!$C$26),(1+SUP_VOLUMEN!$C$27)))*INDEX(SUP_C3_EXPANSION!$C$6:$F$6,MIN(4,COUNTIF(CAPA3_EXPANSION!$D$56:CJ$56,"&gt;="&amp;20)))*CAPA3_EXPANSION!CJ$36)</f>
        <v>3528</v>
      </c>
      <c r="CK27" s="298" t="n">
        <f aca="false">IF(COUNTIF(CAPA3_EXPANSION!$D$56:CK$56,"&gt;="&amp;20)=0,0,SUP_CONTROL!$C$8*IF($B27="V",1,IF($B27="D",(1+SUP_VOLUMEN!$C$26),(1+SUP_VOLUMEN!$C$27)))*INDEX(SUP_C3_EXPANSION!$C$6:$F$6,MIN(4,COUNTIF(CAPA3_EXPANSION!$D$56:CK$56,"&gt;="&amp;20)))*CAPA3_EXPANSION!CK$36)</f>
        <v>3528</v>
      </c>
      <c r="CL27" s="298" t="n">
        <f aca="false">IF(COUNTIF(CAPA3_EXPANSION!$D$56:CL$56,"&gt;="&amp;20)=0,0,SUP_CONTROL!$C$8*IF($B27="V",1,IF($B27="D",(1+SUP_VOLUMEN!$C$26),(1+SUP_VOLUMEN!$C$27)))*INDEX(SUP_C3_EXPANSION!$C$6:$F$6,MIN(4,COUNTIF(CAPA3_EXPANSION!$D$56:CL$56,"&gt;="&amp;20)))*CAPA3_EXPANSION!CL$36)</f>
        <v>3528</v>
      </c>
      <c r="CM27" s="298" t="n">
        <f aca="false">IF(COUNTIF(CAPA3_EXPANSION!$D$56:CM$56,"&gt;="&amp;20)=0,0,SUP_CONTROL!$C$8*IF($B27="V",1,IF($B27="D",(1+SUP_VOLUMEN!$C$26),(1+SUP_VOLUMEN!$C$27)))*INDEX(SUP_C3_EXPANSION!$C$6:$F$6,MIN(4,COUNTIF(CAPA3_EXPANSION!$D$56:CM$56,"&gt;="&amp;20)))*CAPA3_EXPANSION!CM$36)</f>
        <v>3528</v>
      </c>
      <c r="CN27" s="298" t="n">
        <f aca="false">IF(COUNTIF(CAPA3_EXPANSION!$D$56:CN$56,"&gt;="&amp;20)=0,0,SUP_CONTROL!$C$8*IF($B27="V",1,IF($B27="D",(1+SUP_VOLUMEN!$C$26),(1+SUP_VOLUMEN!$C$27)))*INDEX(SUP_C3_EXPANSION!$C$6:$F$6,MIN(4,COUNTIF(CAPA3_EXPANSION!$D$56:CN$56,"&gt;="&amp;20)))*CAPA3_EXPANSION!CN$36)</f>
        <v>3528</v>
      </c>
      <c r="CO27" s="298" t="n">
        <f aca="false">IF(COUNTIF(CAPA3_EXPANSION!$D$56:CO$56,"&gt;="&amp;20)=0,0,SUP_CONTROL!$C$8*IF($B27="V",1,IF($B27="D",(1+SUP_VOLUMEN!$C$26),(1+SUP_VOLUMEN!$C$27)))*INDEX(SUP_C3_EXPANSION!$C$6:$F$6,MIN(4,COUNTIF(CAPA3_EXPANSION!$D$56:CO$56,"&gt;="&amp;20)))*CAPA3_EXPANSION!CO$36)</f>
        <v>3528</v>
      </c>
      <c r="CP27" s="298" t="n">
        <f aca="false">IF(COUNTIF(CAPA3_EXPANSION!$D$56:CP$56,"&gt;="&amp;20)=0,0,SUP_CONTROL!$C$8*IF($B27="V",1,IF($B27="D",(1+SUP_VOLUMEN!$C$26),(1+SUP_VOLUMEN!$C$27)))*INDEX(SUP_C3_EXPANSION!$C$6:$F$6,MIN(4,COUNTIF(CAPA3_EXPANSION!$D$56:CP$56,"&gt;="&amp;20)))*CAPA3_EXPANSION!CP$36)</f>
        <v>3528</v>
      </c>
      <c r="CQ27" s="298" t="n">
        <f aca="false">IF(COUNTIF(CAPA3_EXPANSION!$D$56:CQ$56,"&gt;="&amp;20)=0,0,SUP_CONTROL!$C$8*IF($B27="V",1,IF($B27="D",(1+SUP_VOLUMEN!$C$26),(1+SUP_VOLUMEN!$C$27)))*INDEX(SUP_C3_EXPANSION!$C$6:$F$6,MIN(4,COUNTIF(CAPA3_EXPANSION!$D$56:CQ$56,"&gt;="&amp;20)))*CAPA3_EXPANSION!CQ$36)</f>
        <v>3528</v>
      </c>
      <c r="CR27" s="298" t="n">
        <f aca="false">IF(COUNTIF(CAPA3_EXPANSION!$D$56:CR$56,"&gt;="&amp;20)=0,0,SUP_CONTROL!$C$8*IF($B27="V",1,IF($B27="D",(1+SUP_VOLUMEN!$C$26),(1+SUP_VOLUMEN!$C$27)))*INDEX(SUP_C3_EXPANSION!$C$6:$F$6,MIN(4,COUNTIF(CAPA3_EXPANSION!$D$56:CR$56,"&gt;="&amp;20)))*CAPA3_EXPANSION!CR$36)</f>
        <v>3528</v>
      </c>
      <c r="CS27" s="298" t="n">
        <f aca="false">IF(COUNTIF(CAPA3_EXPANSION!$D$56:CS$56,"&gt;="&amp;20)=0,0,SUP_CONTROL!$C$8*IF($B27="V",1,IF($B27="D",(1+SUP_VOLUMEN!$C$26),(1+SUP_VOLUMEN!$C$27)))*INDEX(SUP_C3_EXPANSION!$C$6:$F$6,MIN(4,COUNTIF(CAPA3_EXPANSION!$D$56:CS$56,"&gt;="&amp;20)))*CAPA3_EXPANSION!CS$36)</f>
        <v>3528</v>
      </c>
      <c r="CT27" s="298" t="n">
        <f aca="false">IF(COUNTIF(CAPA3_EXPANSION!$D$56:CT$56,"&gt;="&amp;20)=0,0,SUP_CONTROL!$C$8*IF($B27="V",1,IF($B27="D",(1+SUP_VOLUMEN!$C$26),(1+SUP_VOLUMEN!$C$27)))*INDEX(SUP_C3_EXPANSION!$C$6:$F$6,MIN(4,COUNTIF(CAPA3_EXPANSION!$D$56:CT$56,"&gt;="&amp;20)))*CAPA3_EXPANSION!CT$36)</f>
        <v>3528</v>
      </c>
      <c r="CU27" s="298" t="n">
        <f aca="false">IF(COUNTIF(CAPA3_EXPANSION!$D$56:CU$56,"&gt;="&amp;20)=0,0,SUP_CONTROL!$C$8*IF($B27="V",1,IF($B27="D",(1+SUP_VOLUMEN!$C$26),(1+SUP_VOLUMEN!$C$27)))*INDEX(SUP_C3_EXPANSION!$C$6:$F$6,MIN(4,COUNTIF(CAPA3_EXPANSION!$D$56:CU$56,"&gt;="&amp;20)))*CAPA3_EXPANSION!CU$36)</f>
        <v>3528</v>
      </c>
      <c r="CV27" s="298" t="n">
        <f aca="false">IF(COUNTIF(CAPA3_EXPANSION!$D$56:CV$56,"&gt;="&amp;20)=0,0,SUP_CONTROL!$C$8*IF($B27="V",1,IF($B27="D",(1+SUP_VOLUMEN!$C$26),(1+SUP_VOLUMEN!$C$27)))*INDEX(SUP_C3_EXPANSION!$C$6:$F$6,MIN(4,COUNTIF(CAPA3_EXPANSION!$D$56:CV$56,"&gt;="&amp;20)))*CAPA3_EXPANSION!CV$36)</f>
        <v>3528</v>
      </c>
      <c r="CW27" s="298" t="n">
        <f aca="false">IF(COUNTIF(CAPA3_EXPANSION!$D$56:CW$56,"&gt;="&amp;20)=0,0,SUP_CONTROL!$C$8*IF($B27="V",1,IF($B27="D",(1+SUP_VOLUMEN!$C$26),(1+SUP_VOLUMEN!$C$27)))*INDEX(SUP_C3_EXPANSION!$C$6:$F$6,MIN(4,COUNTIF(CAPA3_EXPANSION!$D$56:CW$56,"&gt;="&amp;20)))*CAPA3_EXPANSION!CW$36)</f>
        <v>3528</v>
      </c>
      <c r="CX27" s="298" t="n">
        <f aca="false">IF(COUNTIF(CAPA3_EXPANSION!$D$56:CX$56,"&gt;="&amp;20)=0,0,SUP_CONTROL!$C$8*IF($B27="V",1,IF($B27="D",(1+SUP_VOLUMEN!$C$26),(1+SUP_VOLUMEN!$C$27)))*INDEX(SUP_C3_EXPANSION!$C$6:$F$6,MIN(4,COUNTIF(CAPA3_EXPANSION!$D$56:CX$56,"&gt;="&amp;20)))*CAPA3_EXPANSION!CX$36)</f>
        <v>3528</v>
      </c>
      <c r="CY27" s="298" t="n">
        <f aca="false">IF(COUNTIF(CAPA3_EXPANSION!$D$56:CY$56,"&gt;="&amp;20)=0,0,SUP_CONTROL!$C$8*IF($B27="V",1,IF($B27="D",(1+SUP_VOLUMEN!$C$26),(1+SUP_VOLUMEN!$C$27)))*INDEX(SUP_C3_EXPANSION!$C$6:$F$6,MIN(4,COUNTIF(CAPA3_EXPANSION!$D$56:CY$56,"&gt;="&amp;20)))*CAPA3_EXPANSION!CY$36)</f>
        <v>3528</v>
      </c>
      <c r="CZ27" s="298" t="n">
        <f aca="false">IF(COUNTIF(CAPA3_EXPANSION!$D$56:CZ$56,"&gt;="&amp;20)=0,0,SUP_CONTROL!$C$8*IF($B27="V",1,IF($B27="D",(1+SUP_VOLUMEN!$C$26),(1+SUP_VOLUMEN!$C$27)))*INDEX(SUP_C3_EXPANSION!$C$6:$F$6,MIN(4,COUNTIF(CAPA3_EXPANSION!$D$56:CZ$56,"&gt;="&amp;20)))*CAPA3_EXPANSION!CZ$36)</f>
        <v>3528</v>
      </c>
      <c r="DA27" s="298" t="n">
        <f aca="false">IF(COUNTIF(CAPA3_EXPANSION!$D$56:DA$56,"&gt;="&amp;20)=0,0,SUP_CONTROL!$C$8*IF($B27="V",1,IF($B27="D",(1+SUP_VOLUMEN!$C$26),(1+SUP_VOLUMEN!$C$27)))*INDEX(SUP_C3_EXPANSION!$C$6:$F$6,MIN(4,COUNTIF(CAPA3_EXPANSION!$D$56:DA$56,"&gt;="&amp;20)))*CAPA3_EXPANSION!DA$36)</f>
        <v>3528</v>
      </c>
      <c r="DB27" s="298" t="n">
        <f aca="false">IF(COUNTIF(CAPA3_EXPANSION!$D$56:DB$56,"&gt;="&amp;20)=0,0,SUP_CONTROL!$C$8*IF($B27="V",1,IF($B27="D",(1+SUP_VOLUMEN!$C$26),(1+SUP_VOLUMEN!$C$27)))*INDEX(SUP_C3_EXPANSION!$C$6:$F$6,MIN(4,COUNTIF(CAPA3_EXPANSION!$D$56:DB$56,"&gt;="&amp;20)))*CAPA3_EXPANSION!DB$36)</f>
        <v>3528</v>
      </c>
      <c r="DC27" s="298" t="n">
        <f aca="false">IF(COUNTIF(CAPA3_EXPANSION!$D$56:DC$56,"&gt;="&amp;20)=0,0,SUP_CONTROL!$C$8*IF($B27="V",1,IF($B27="D",(1+SUP_VOLUMEN!$C$26),(1+SUP_VOLUMEN!$C$27)))*INDEX(SUP_C3_EXPANSION!$C$6:$F$6,MIN(4,COUNTIF(CAPA3_EXPANSION!$D$56:DC$56,"&gt;="&amp;20)))*CAPA3_EXPANSION!DC$36)</f>
        <v>3528</v>
      </c>
      <c r="DD27" s="298" t="n">
        <f aca="false">IF(COUNTIF(CAPA3_EXPANSION!$D$56:DD$56,"&gt;="&amp;20)=0,0,SUP_CONTROL!$C$8*IF($B27="V",1,IF($B27="D",(1+SUP_VOLUMEN!$C$26),(1+SUP_VOLUMEN!$C$27)))*INDEX(SUP_C3_EXPANSION!$C$6:$F$6,MIN(4,COUNTIF(CAPA3_EXPANSION!$D$56:DD$56,"&gt;="&amp;20)))*CAPA3_EXPANSION!DD$36)</f>
        <v>3528</v>
      </c>
      <c r="DE27" s="298" t="n">
        <f aca="false">IF(COUNTIF(CAPA3_EXPANSION!$D$56:DE$56,"&gt;="&amp;20)=0,0,SUP_CONTROL!$C$8*IF($B27="V",1,IF($B27="D",(1+SUP_VOLUMEN!$C$26),(1+SUP_VOLUMEN!$C$27)))*INDEX(SUP_C3_EXPANSION!$C$6:$F$6,MIN(4,COUNTIF(CAPA3_EXPANSION!$D$56:DE$56,"&gt;="&amp;20)))*CAPA3_EXPANSION!DE$36)</f>
        <v>3528</v>
      </c>
      <c r="DF27" s="298" t="n">
        <f aca="false">IF(COUNTIF(CAPA3_EXPANSION!$D$56:DF$56,"&gt;="&amp;20)=0,0,SUP_CONTROL!$C$8*IF($B27="V",1,IF($B27="D",(1+SUP_VOLUMEN!$C$26),(1+SUP_VOLUMEN!$C$27)))*INDEX(SUP_C3_EXPANSION!$C$6:$F$6,MIN(4,COUNTIF(CAPA3_EXPANSION!$D$56:DF$56,"&gt;="&amp;20)))*CAPA3_EXPANSION!DF$36)</f>
        <v>3528</v>
      </c>
      <c r="DG27" s="298" t="n">
        <f aca="false">IF(COUNTIF(CAPA3_EXPANSION!$D$56:DG$56,"&gt;="&amp;20)=0,0,SUP_CONTROL!$C$8*IF($B27="V",1,IF($B27="D",(1+SUP_VOLUMEN!$C$26),(1+SUP_VOLUMEN!$C$27)))*INDEX(SUP_C3_EXPANSION!$C$6:$F$6,MIN(4,COUNTIF(CAPA3_EXPANSION!$D$56:DG$56,"&gt;="&amp;20)))*CAPA3_EXPANSION!DG$36)</f>
        <v>3528</v>
      </c>
      <c r="DH27" s="298" t="n">
        <f aca="false">IF(COUNTIF(CAPA3_EXPANSION!$D$56:DH$56,"&gt;="&amp;20)=0,0,SUP_CONTROL!$C$8*IF($B27="V",1,IF($B27="D",(1+SUP_VOLUMEN!$C$26),(1+SUP_VOLUMEN!$C$27)))*INDEX(SUP_C3_EXPANSION!$C$6:$F$6,MIN(4,COUNTIF(CAPA3_EXPANSION!$D$56:DH$56,"&gt;="&amp;20)))*CAPA3_EXPANSION!DH$36)</f>
        <v>3528</v>
      </c>
      <c r="DI27" s="298" t="n">
        <f aca="false">IF(COUNTIF(CAPA3_EXPANSION!$D$56:DI$56,"&gt;="&amp;20)=0,0,SUP_CONTROL!$C$8*IF($B27="V",1,IF($B27="D",(1+SUP_VOLUMEN!$C$26),(1+SUP_VOLUMEN!$C$27)))*INDEX(SUP_C3_EXPANSION!$C$6:$F$6,MIN(4,COUNTIF(CAPA3_EXPANSION!$D$56:DI$56,"&gt;="&amp;20)))*CAPA3_EXPANSION!DI$36)</f>
        <v>3528</v>
      </c>
      <c r="DJ27" s="298" t="n">
        <f aca="false">IF(COUNTIF(CAPA3_EXPANSION!$D$56:DJ$56,"&gt;="&amp;20)=0,0,SUP_CONTROL!$C$8*IF($B27="V",1,IF($B27="D",(1+SUP_VOLUMEN!$C$26),(1+SUP_VOLUMEN!$C$27)))*INDEX(SUP_C3_EXPANSION!$C$6:$F$6,MIN(4,COUNTIF(CAPA3_EXPANSION!$D$56:DJ$56,"&gt;="&amp;20)))*CAPA3_EXPANSION!DJ$36)</f>
        <v>3528</v>
      </c>
      <c r="DK27" s="298" t="n">
        <f aca="false">IF(COUNTIF(CAPA3_EXPANSION!$D$56:DK$56,"&gt;="&amp;20)=0,0,SUP_CONTROL!$C$8*IF($B27="V",1,IF($B27="D",(1+SUP_VOLUMEN!$C$26),(1+SUP_VOLUMEN!$C$27)))*INDEX(SUP_C3_EXPANSION!$C$6:$F$6,MIN(4,COUNTIF(CAPA3_EXPANSION!$D$56:DK$56,"&gt;="&amp;20)))*CAPA3_EXPANSION!DK$36)</f>
        <v>3528</v>
      </c>
      <c r="DL27" s="298" t="n">
        <f aca="false">IF(COUNTIF(CAPA3_EXPANSION!$D$56:DL$56,"&gt;="&amp;20)=0,0,SUP_CONTROL!$C$8*IF($B27="V",1,IF($B27="D",(1+SUP_VOLUMEN!$C$26),(1+SUP_VOLUMEN!$C$27)))*INDEX(SUP_C3_EXPANSION!$C$6:$F$6,MIN(4,COUNTIF(CAPA3_EXPANSION!$D$56:DL$56,"&gt;="&amp;20)))*CAPA3_EXPANSION!DL$36)</f>
        <v>3528</v>
      </c>
      <c r="DM27" s="298" t="n">
        <f aca="false">IF(COUNTIF(CAPA3_EXPANSION!$D$56:DM$56,"&gt;="&amp;20)=0,0,SUP_CONTROL!$C$8*IF($B27="V",1,IF($B27="D",(1+SUP_VOLUMEN!$C$26),(1+SUP_VOLUMEN!$C$27)))*INDEX(SUP_C3_EXPANSION!$C$6:$F$6,MIN(4,COUNTIF(CAPA3_EXPANSION!$D$56:DM$56,"&gt;="&amp;20)))*CAPA3_EXPANSION!DM$36)</f>
        <v>3528</v>
      </c>
      <c r="DN27" s="298" t="n">
        <f aca="false">IF(COUNTIF(CAPA3_EXPANSION!$D$56:DN$56,"&gt;="&amp;20)=0,0,SUP_CONTROL!$C$8*IF($B27="V",1,IF($B27="D",(1+SUP_VOLUMEN!$C$26),(1+SUP_VOLUMEN!$C$27)))*INDEX(SUP_C3_EXPANSION!$C$6:$F$6,MIN(4,COUNTIF(CAPA3_EXPANSION!$D$56:DN$56,"&gt;="&amp;20)))*CAPA3_EXPANSION!DN$36)</f>
        <v>3528</v>
      </c>
      <c r="DO27" s="298" t="n">
        <f aca="false">IF(COUNTIF(CAPA3_EXPANSION!$D$56:DO$56,"&gt;="&amp;20)=0,0,SUP_CONTROL!$C$8*IF($B27="V",1,IF($B27="D",(1+SUP_VOLUMEN!$C$26),(1+SUP_VOLUMEN!$C$27)))*INDEX(SUP_C3_EXPANSION!$C$6:$F$6,MIN(4,COUNTIF(CAPA3_EXPANSION!$D$56:DO$56,"&gt;="&amp;20)))*CAPA3_EXPANSION!DO$36)</f>
        <v>3528</v>
      </c>
      <c r="DP27" s="298" t="n">
        <f aca="false">IF(COUNTIF(CAPA3_EXPANSION!$D$56:DP$56,"&gt;="&amp;20)=0,0,SUP_CONTROL!$C$8*IF($B27="V",1,IF($B27="D",(1+SUP_VOLUMEN!$C$26),(1+SUP_VOLUMEN!$C$27)))*INDEX(SUP_C3_EXPANSION!$C$6:$F$6,MIN(4,COUNTIF(CAPA3_EXPANSION!$D$56:DP$56,"&gt;="&amp;20)))*CAPA3_EXPANSION!DP$36)</f>
        <v>3528</v>
      </c>
      <c r="DQ27" s="298" t="n">
        <f aca="false">IF(COUNTIF(CAPA3_EXPANSION!$D$56:DQ$56,"&gt;="&amp;20)=0,0,SUP_CONTROL!$C$8*IF($B27="V",1,IF($B27="D",(1+SUP_VOLUMEN!$C$26),(1+SUP_VOLUMEN!$C$27)))*INDEX(SUP_C3_EXPANSION!$C$6:$F$6,MIN(4,COUNTIF(CAPA3_EXPANSION!$D$56:DQ$56,"&gt;="&amp;20)))*CAPA3_EXPANSION!DQ$36)</f>
        <v>3528</v>
      </c>
      <c r="DR27" s="298" t="n">
        <f aca="false">IF(COUNTIF(CAPA3_EXPANSION!$D$56:DR$56,"&gt;="&amp;20)=0,0,SUP_CONTROL!$C$8*IF($B27="V",1,IF($B27="D",(1+SUP_VOLUMEN!$C$26),(1+SUP_VOLUMEN!$C$27)))*INDEX(SUP_C3_EXPANSION!$C$6:$F$6,MIN(4,COUNTIF(CAPA3_EXPANSION!$D$56:DR$56,"&gt;="&amp;20)))*CAPA3_EXPANSION!DR$36)</f>
        <v>3528</v>
      </c>
      <c r="DS27" s="298" t="n">
        <f aca="false">IF(COUNTIF(CAPA3_EXPANSION!$D$56:DS$56,"&gt;="&amp;20)=0,0,SUP_CONTROL!$C$8*IF($B27="V",1,IF($B27="D",(1+SUP_VOLUMEN!$C$26),(1+SUP_VOLUMEN!$C$27)))*INDEX(SUP_C3_EXPANSION!$C$6:$F$6,MIN(4,COUNTIF(CAPA3_EXPANSION!$D$56:DS$56,"&gt;="&amp;20)))*CAPA3_EXPANSION!DS$36)</f>
        <v>3528</v>
      </c>
    </row>
    <row r="28" customFormat="false" ht="15" hidden="false" customHeight="true" outlineLevel="0" collapsed="false">
      <c r="A28" s="298" t="n">
        <v>31</v>
      </c>
      <c r="B28" s="497" t="str">
        <f aca="false">SUP_C3_EXPANSION!B40</f>
        <v>D</v>
      </c>
      <c r="C28" s="267" t="n">
        <f aca="false">SUP_C3_EXPANSION!G40</f>
        <v>62</v>
      </c>
      <c r="D28" s="298" t="n">
        <f aca="false">IF(COUNTIF(CAPA3_EXPANSION!$D$56:D$56,"&gt;="&amp;21)=0,0,SUP_CONTROL!$C$8*IF($B28="V",1,IF($B28="D",(1+SUP_VOLUMEN!$C$26),(1+SUP_VOLUMEN!$C$27)))*INDEX(SUP_C3_EXPANSION!$C$6:$F$6,MIN(4,COUNTIF(CAPA3_EXPANSION!$D$56:D$56,"&gt;="&amp;21)))*CAPA3_EXPANSION!D$36)</f>
        <v>0</v>
      </c>
      <c r="E28" s="298" t="n">
        <f aca="false">IF(COUNTIF(CAPA3_EXPANSION!$D$56:E$56,"&gt;="&amp;21)=0,0,SUP_CONTROL!$C$8*IF($B28="V",1,IF($B28="D",(1+SUP_VOLUMEN!$C$26),(1+SUP_VOLUMEN!$C$27)))*INDEX(SUP_C3_EXPANSION!$C$6:$F$6,MIN(4,COUNTIF(CAPA3_EXPANSION!$D$56:E$56,"&gt;="&amp;21)))*CAPA3_EXPANSION!E$36)</f>
        <v>0</v>
      </c>
      <c r="F28" s="298" t="n">
        <f aca="false">IF(COUNTIF(CAPA3_EXPANSION!$D$56:F$56,"&gt;="&amp;21)=0,0,SUP_CONTROL!$C$8*IF($B28="V",1,IF($B28="D",(1+SUP_VOLUMEN!$C$26),(1+SUP_VOLUMEN!$C$27)))*INDEX(SUP_C3_EXPANSION!$C$6:$F$6,MIN(4,COUNTIF(CAPA3_EXPANSION!$D$56:F$56,"&gt;="&amp;21)))*CAPA3_EXPANSION!F$36)</f>
        <v>0</v>
      </c>
      <c r="G28" s="298" t="n">
        <f aca="false">IF(COUNTIF(CAPA3_EXPANSION!$D$56:G$56,"&gt;="&amp;21)=0,0,SUP_CONTROL!$C$8*IF($B28="V",1,IF($B28="D",(1+SUP_VOLUMEN!$C$26),(1+SUP_VOLUMEN!$C$27)))*INDEX(SUP_C3_EXPANSION!$C$6:$F$6,MIN(4,COUNTIF(CAPA3_EXPANSION!$D$56:G$56,"&gt;="&amp;21)))*CAPA3_EXPANSION!G$36)</f>
        <v>0</v>
      </c>
      <c r="H28" s="298" t="n">
        <f aca="false">IF(COUNTIF(CAPA3_EXPANSION!$D$56:H$56,"&gt;="&amp;21)=0,0,SUP_CONTROL!$C$8*IF($B28="V",1,IF($B28="D",(1+SUP_VOLUMEN!$C$26),(1+SUP_VOLUMEN!$C$27)))*INDEX(SUP_C3_EXPANSION!$C$6:$F$6,MIN(4,COUNTIF(CAPA3_EXPANSION!$D$56:H$56,"&gt;="&amp;21)))*CAPA3_EXPANSION!H$36)</f>
        <v>0</v>
      </c>
      <c r="I28" s="298" t="n">
        <f aca="false">IF(COUNTIF(CAPA3_EXPANSION!$D$56:I$56,"&gt;="&amp;21)=0,0,SUP_CONTROL!$C$8*IF($B28="V",1,IF($B28="D",(1+SUP_VOLUMEN!$C$26),(1+SUP_VOLUMEN!$C$27)))*INDEX(SUP_C3_EXPANSION!$C$6:$F$6,MIN(4,COUNTIF(CAPA3_EXPANSION!$D$56:I$56,"&gt;="&amp;21)))*CAPA3_EXPANSION!I$36)</f>
        <v>0</v>
      </c>
      <c r="J28" s="298" t="n">
        <f aca="false">IF(COUNTIF(CAPA3_EXPANSION!$D$56:J$56,"&gt;="&amp;21)=0,0,SUP_CONTROL!$C$8*IF($B28="V",1,IF($B28="D",(1+SUP_VOLUMEN!$C$26),(1+SUP_VOLUMEN!$C$27)))*INDEX(SUP_C3_EXPANSION!$C$6:$F$6,MIN(4,COUNTIF(CAPA3_EXPANSION!$D$56:J$56,"&gt;="&amp;21)))*CAPA3_EXPANSION!J$36)</f>
        <v>0</v>
      </c>
      <c r="K28" s="298" t="n">
        <f aca="false">IF(COUNTIF(CAPA3_EXPANSION!$D$56:K$56,"&gt;="&amp;21)=0,0,SUP_CONTROL!$C$8*IF($B28="V",1,IF($B28="D",(1+SUP_VOLUMEN!$C$26),(1+SUP_VOLUMEN!$C$27)))*INDEX(SUP_C3_EXPANSION!$C$6:$F$6,MIN(4,COUNTIF(CAPA3_EXPANSION!$D$56:K$56,"&gt;="&amp;21)))*CAPA3_EXPANSION!K$36)</f>
        <v>0</v>
      </c>
      <c r="L28" s="298" t="n">
        <f aca="false">IF(COUNTIF(CAPA3_EXPANSION!$D$56:L$56,"&gt;="&amp;21)=0,0,SUP_CONTROL!$C$8*IF($B28="V",1,IF($B28="D",(1+SUP_VOLUMEN!$C$26),(1+SUP_VOLUMEN!$C$27)))*INDEX(SUP_C3_EXPANSION!$C$6:$F$6,MIN(4,COUNTIF(CAPA3_EXPANSION!$D$56:L$56,"&gt;="&amp;21)))*CAPA3_EXPANSION!L$36)</f>
        <v>0</v>
      </c>
      <c r="M28" s="298" t="n">
        <f aca="false">IF(COUNTIF(CAPA3_EXPANSION!$D$56:M$56,"&gt;="&amp;21)=0,0,SUP_CONTROL!$C$8*IF($B28="V",1,IF($B28="D",(1+SUP_VOLUMEN!$C$26),(1+SUP_VOLUMEN!$C$27)))*INDEX(SUP_C3_EXPANSION!$C$6:$F$6,MIN(4,COUNTIF(CAPA3_EXPANSION!$D$56:M$56,"&gt;="&amp;21)))*CAPA3_EXPANSION!M$36)</f>
        <v>0</v>
      </c>
      <c r="N28" s="298" t="n">
        <f aca="false">IF(COUNTIF(CAPA3_EXPANSION!$D$56:N$56,"&gt;="&amp;21)=0,0,SUP_CONTROL!$C$8*IF($B28="V",1,IF($B28="D",(1+SUP_VOLUMEN!$C$26),(1+SUP_VOLUMEN!$C$27)))*INDEX(SUP_C3_EXPANSION!$C$6:$F$6,MIN(4,COUNTIF(CAPA3_EXPANSION!$D$56:N$56,"&gt;="&amp;21)))*CAPA3_EXPANSION!N$36)</f>
        <v>0</v>
      </c>
      <c r="O28" s="298" t="n">
        <f aca="false">IF(COUNTIF(CAPA3_EXPANSION!$D$56:O$56,"&gt;="&amp;21)=0,0,SUP_CONTROL!$C$8*IF($B28="V",1,IF($B28="D",(1+SUP_VOLUMEN!$C$26),(1+SUP_VOLUMEN!$C$27)))*INDEX(SUP_C3_EXPANSION!$C$6:$F$6,MIN(4,COUNTIF(CAPA3_EXPANSION!$D$56:O$56,"&gt;="&amp;21)))*CAPA3_EXPANSION!O$36)</f>
        <v>0</v>
      </c>
      <c r="P28" s="298" t="n">
        <f aca="false">IF(COUNTIF(CAPA3_EXPANSION!$D$56:P$56,"&gt;="&amp;21)=0,0,SUP_CONTROL!$C$8*IF($B28="V",1,IF($B28="D",(1+SUP_VOLUMEN!$C$26),(1+SUP_VOLUMEN!$C$27)))*INDEX(SUP_C3_EXPANSION!$C$6:$F$6,MIN(4,COUNTIF(CAPA3_EXPANSION!$D$56:P$56,"&gt;="&amp;21)))*CAPA3_EXPANSION!P$36)</f>
        <v>0</v>
      </c>
      <c r="Q28" s="298" t="n">
        <f aca="false">IF(COUNTIF(CAPA3_EXPANSION!$D$56:Q$56,"&gt;="&amp;21)=0,0,SUP_CONTROL!$C$8*IF($B28="V",1,IF($B28="D",(1+SUP_VOLUMEN!$C$26),(1+SUP_VOLUMEN!$C$27)))*INDEX(SUP_C3_EXPANSION!$C$6:$F$6,MIN(4,COUNTIF(CAPA3_EXPANSION!$D$56:Q$56,"&gt;="&amp;21)))*CAPA3_EXPANSION!Q$36)</f>
        <v>0</v>
      </c>
      <c r="R28" s="298" t="n">
        <f aca="false">IF(COUNTIF(CAPA3_EXPANSION!$D$56:R$56,"&gt;="&amp;21)=0,0,SUP_CONTROL!$C$8*IF($B28="V",1,IF($B28="D",(1+SUP_VOLUMEN!$C$26),(1+SUP_VOLUMEN!$C$27)))*INDEX(SUP_C3_EXPANSION!$C$6:$F$6,MIN(4,COUNTIF(CAPA3_EXPANSION!$D$56:R$56,"&gt;="&amp;21)))*CAPA3_EXPANSION!R$36)</f>
        <v>0</v>
      </c>
      <c r="S28" s="298" t="n">
        <f aca="false">IF(COUNTIF(CAPA3_EXPANSION!$D$56:S$56,"&gt;="&amp;21)=0,0,SUP_CONTROL!$C$8*IF($B28="V",1,IF($B28="D",(1+SUP_VOLUMEN!$C$26),(1+SUP_VOLUMEN!$C$27)))*INDEX(SUP_C3_EXPANSION!$C$6:$F$6,MIN(4,COUNTIF(CAPA3_EXPANSION!$D$56:S$56,"&gt;="&amp;21)))*CAPA3_EXPANSION!S$36)</f>
        <v>0</v>
      </c>
      <c r="T28" s="298" t="n">
        <f aca="false">IF(COUNTIF(CAPA3_EXPANSION!$D$56:T$56,"&gt;="&amp;21)=0,0,SUP_CONTROL!$C$8*IF($B28="V",1,IF($B28="D",(1+SUP_VOLUMEN!$C$26),(1+SUP_VOLUMEN!$C$27)))*INDEX(SUP_C3_EXPANSION!$C$6:$F$6,MIN(4,COUNTIF(CAPA3_EXPANSION!$D$56:T$56,"&gt;="&amp;21)))*CAPA3_EXPANSION!T$36)</f>
        <v>0</v>
      </c>
      <c r="U28" s="298" t="n">
        <f aca="false">IF(COUNTIF(CAPA3_EXPANSION!$D$56:U$56,"&gt;="&amp;21)=0,0,SUP_CONTROL!$C$8*IF($B28="V",1,IF($B28="D",(1+SUP_VOLUMEN!$C$26),(1+SUP_VOLUMEN!$C$27)))*INDEX(SUP_C3_EXPANSION!$C$6:$F$6,MIN(4,COUNTIF(CAPA3_EXPANSION!$D$56:U$56,"&gt;="&amp;21)))*CAPA3_EXPANSION!U$36)</f>
        <v>0</v>
      </c>
      <c r="V28" s="298" t="n">
        <f aca="false">IF(COUNTIF(CAPA3_EXPANSION!$D$56:V$56,"&gt;="&amp;21)=0,0,SUP_CONTROL!$C$8*IF($B28="V",1,IF($B28="D",(1+SUP_VOLUMEN!$C$26),(1+SUP_VOLUMEN!$C$27)))*INDEX(SUP_C3_EXPANSION!$C$6:$F$6,MIN(4,COUNTIF(CAPA3_EXPANSION!$D$56:V$56,"&gt;="&amp;21)))*CAPA3_EXPANSION!V$36)</f>
        <v>0</v>
      </c>
      <c r="W28" s="298" t="n">
        <f aca="false">IF(COUNTIF(CAPA3_EXPANSION!$D$56:W$56,"&gt;="&amp;21)=0,0,SUP_CONTROL!$C$8*IF($B28="V",1,IF($B28="D",(1+SUP_VOLUMEN!$C$26),(1+SUP_VOLUMEN!$C$27)))*INDEX(SUP_C3_EXPANSION!$C$6:$F$6,MIN(4,COUNTIF(CAPA3_EXPANSION!$D$56:W$56,"&gt;="&amp;21)))*CAPA3_EXPANSION!W$36)</f>
        <v>0</v>
      </c>
      <c r="X28" s="298" t="n">
        <f aca="false">IF(COUNTIF(CAPA3_EXPANSION!$D$56:X$56,"&gt;="&amp;21)=0,0,SUP_CONTROL!$C$8*IF($B28="V",1,IF($B28="D",(1+SUP_VOLUMEN!$C$26),(1+SUP_VOLUMEN!$C$27)))*INDEX(SUP_C3_EXPANSION!$C$6:$F$6,MIN(4,COUNTIF(CAPA3_EXPANSION!$D$56:X$56,"&gt;="&amp;21)))*CAPA3_EXPANSION!X$36)</f>
        <v>0</v>
      </c>
      <c r="Y28" s="298" t="n">
        <f aca="false">IF(COUNTIF(CAPA3_EXPANSION!$D$56:Y$56,"&gt;="&amp;21)=0,0,SUP_CONTROL!$C$8*IF($B28="V",1,IF($B28="D",(1+SUP_VOLUMEN!$C$26),(1+SUP_VOLUMEN!$C$27)))*INDEX(SUP_C3_EXPANSION!$C$6:$F$6,MIN(4,COUNTIF(CAPA3_EXPANSION!$D$56:Y$56,"&gt;="&amp;21)))*CAPA3_EXPANSION!Y$36)</f>
        <v>0</v>
      </c>
      <c r="Z28" s="298" t="n">
        <f aca="false">IF(COUNTIF(CAPA3_EXPANSION!$D$56:Z$56,"&gt;="&amp;21)=0,0,SUP_CONTROL!$C$8*IF($B28="V",1,IF($B28="D",(1+SUP_VOLUMEN!$C$26),(1+SUP_VOLUMEN!$C$27)))*INDEX(SUP_C3_EXPANSION!$C$6:$F$6,MIN(4,COUNTIF(CAPA3_EXPANSION!$D$56:Z$56,"&gt;="&amp;21)))*CAPA3_EXPANSION!Z$36)</f>
        <v>0</v>
      </c>
      <c r="AA28" s="298" t="n">
        <f aca="false">IF(COUNTIF(CAPA3_EXPANSION!$D$56:AA$56,"&gt;="&amp;21)=0,0,SUP_CONTROL!$C$8*IF($B28="V",1,IF($B28="D",(1+SUP_VOLUMEN!$C$26),(1+SUP_VOLUMEN!$C$27)))*INDEX(SUP_C3_EXPANSION!$C$6:$F$6,MIN(4,COUNTIF(CAPA3_EXPANSION!$D$56:AA$56,"&gt;="&amp;21)))*CAPA3_EXPANSION!AA$36)</f>
        <v>0</v>
      </c>
      <c r="AB28" s="298" t="n">
        <f aca="false">IF(COUNTIF(CAPA3_EXPANSION!$D$56:AB$56,"&gt;="&amp;21)=0,0,SUP_CONTROL!$C$8*IF($B28="V",1,IF($B28="D",(1+SUP_VOLUMEN!$C$26),(1+SUP_VOLUMEN!$C$27)))*INDEX(SUP_C3_EXPANSION!$C$6:$F$6,MIN(4,COUNTIF(CAPA3_EXPANSION!$D$56:AB$56,"&gt;="&amp;21)))*CAPA3_EXPANSION!AB$36)</f>
        <v>0</v>
      </c>
      <c r="AC28" s="298" t="n">
        <f aca="false">IF(COUNTIF(CAPA3_EXPANSION!$D$56:AC$56,"&gt;="&amp;21)=0,0,SUP_CONTROL!$C$8*IF($B28="V",1,IF($B28="D",(1+SUP_VOLUMEN!$C$26),(1+SUP_VOLUMEN!$C$27)))*INDEX(SUP_C3_EXPANSION!$C$6:$F$6,MIN(4,COUNTIF(CAPA3_EXPANSION!$D$56:AC$56,"&gt;="&amp;21)))*CAPA3_EXPANSION!AC$36)</f>
        <v>0</v>
      </c>
      <c r="AD28" s="298" t="n">
        <f aca="false">IF(COUNTIF(CAPA3_EXPANSION!$D$56:AD$56,"&gt;="&amp;21)=0,0,SUP_CONTROL!$C$8*IF($B28="V",1,IF($B28="D",(1+SUP_VOLUMEN!$C$26),(1+SUP_VOLUMEN!$C$27)))*INDEX(SUP_C3_EXPANSION!$C$6:$F$6,MIN(4,COUNTIF(CAPA3_EXPANSION!$D$56:AD$56,"&gt;="&amp;21)))*CAPA3_EXPANSION!AD$36)</f>
        <v>0</v>
      </c>
      <c r="AE28" s="298" t="n">
        <f aca="false">IF(COUNTIF(CAPA3_EXPANSION!$D$56:AE$56,"&gt;="&amp;21)=0,0,SUP_CONTROL!$C$8*IF($B28="V",1,IF($B28="D",(1+SUP_VOLUMEN!$C$26),(1+SUP_VOLUMEN!$C$27)))*INDEX(SUP_C3_EXPANSION!$C$6:$F$6,MIN(4,COUNTIF(CAPA3_EXPANSION!$D$56:AE$56,"&gt;="&amp;21)))*CAPA3_EXPANSION!AE$36)</f>
        <v>0</v>
      </c>
      <c r="AF28" s="298" t="n">
        <f aca="false">IF(COUNTIF(CAPA3_EXPANSION!$D$56:AF$56,"&gt;="&amp;21)=0,0,SUP_CONTROL!$C$8*IF($B28="V",1,IF($B28="D",(1+SUP_VOLUMEN!$C$26),(1+SUP_VOLUMEN!$C$27)))*INDEX(SUP_C3_EXPANSION!$C$6:$F$6,MIN(4,COUNTIF(CAPA3_EXPANSION!$D$56:AF$56,"&gt;="&amp;21)))*CAPA3_EXPANSION!AF$36)</f>
        <v>0</v>
      </c>
      <c r="AG28" s="298" t="n">
        <f aca="false">IF(COUNTIF(CAPA3_EXPANSION!$D$56:AG$56,"&gt;="&amp;21)=0,0,SUP_CONTROL!$C$8*IF($B28="V",1,IF($B28="D",(1+SUP_VOLUMEN!$C$26),(1+SUP_VOLUMEN!$C$27)))*INDEX(SUP_C3_EXPANSION!$C$6:$F$6,MIN(4,COUNTIF(CAPA3_EXPANSION!$D$56:AG$56,"&gt;="&amp;21)))*CAPA3_EXPANSION!AG$36)</f>
        <v>0</v>
      </c>
      <c r="AH28" s="298" t="n">
        <f aca="false">IF(COUNTIF(CAPA3_EXPANSION!$D$56:AH$56,"&gt;="&amp;21)=0,0,SUP_CONTROL!$C$8*IF($B28="V",1,IF($B28="D",(1+SUP_VOLUMEN!$C$26),(1+SUP_VOLUMEN!$C$27)))*INDEX(SUP_C3_EXPANSION!$C$6:$F$6,MIN(4,COUNTIF(CAPA3_EXPANSION!$D$56:AH$56,"&gt;="&amp;21)))*CAPA3_EXPANSION!AH$36)</f>
        <v>0</v>
      </c>
      <c r="AI28" s="298" t="n">
        <f aca="false">IF(COUNTIF(CAPA3_EXPANSION!$D$56:AI$56,"&gt;="&amp;21)=0,0,SUP_CONTROL!$C$8*IF($B28="V",1,IF($B28="D",(1+SUP_VOLUMEN!$C$26),(1+SUP_VOLUMEN!$C$27)))*INDEX(SUP_C3_EXPANSION!$C$6:$F$6,MIN(4,COUNTIF(CAPA3_EXPANSION!$D$56:AI$56,"&gt;="&amp;21)))*CAPA3_EXPANSION!AI$36)</f>
        <v>0</v>
      </c>
      <c r="AJ28" s="298" t="n">
        <f aca="false">IF(COUNTIF(CAPA3_EXPANSION!$D$56:AJ$56,"&gt;="&amp;21)=0,0,SUP_CONTROL!$C$8*IF($B28="V",1,IF($B28="D",(1+SUP_VOLUMEN!$C$26),(1+SUP_VOLUMEN!$C$27)))*INDEX(SUP_C3_EXPANSION!$C$6:$F$6,MIN(4,COUNTIF(CAPA3_EXPANSION!$D$56:AJ$56,"&gt;="&amp;21)))*CAPA3_EXPANSION!AJ$36)</f>
        <v>0</v>
      </c>
      <c r="AK28" s="298" t="n">
        <f aca="false">IF(COUNTIF(CAPA3_EXPANSION!$D$56:AK$56,"&gt;="&amp;21)=0,0,SUP_CONTROL!$C$8*IF($B28="V",1,IF($B28="D",(1+SUP_VOLUMEN!$C$26),(1+SUP_VOLUMEN!$C$27)))*INDEX(SUP_C3_EXPANSION!$C$6:$F$6,MIN(4,COUNTIF(CAPA3_EXPANSION!$D$56:AK$56,"&gt;="&amp;21)))*CAPA3_EXPANSION!AK$36)</f>
        <v>0</v>
      </c>
      <c r="AL28" s="298" t="n">
        <f aca="false">IF(COUNTIF(CAPA3_EXPANSION!$D$56:AL$56,"&gt;="&amp;21)=0,0,SUP_CONTROL!$C$8*IF($B28="V",1,IF($B28="D",(1+SUP_VOLUMEN!$C$26),(1+SUP_VOLUMEN!$C$27)))*INDEX(SUP_C3_EXPANSION!$C$6:$F$6,MIN(4,COUNTIF(CAPA3_EXPANSION!$D$56:AL$56,"&gt;="&amp;21)))*CAPA3_EXPANSION!AL$36)</f>
        <v>0</v>
      </c>
      <c r="AM28" s="298" t="n">
        <f aca="false">IF(COUNTIF(CAPA3_EXPANSION!$D$56:AM$56,"&gt;="&amp;21)=0,0,SUP_CONTROL!$C$8*IF($B28="V",1,IF($B28="D",(1+SUP_VOLUMEN!$C$26),(1+SUP_VOLUMEN!$C$27)))*INDEX(SUP_C3_EXPANSION!$C$6:$F$6,MIN(4,COUNTIF(CAPA3_EXPANSION!$D$56:AM$56,"&gt;="&amp;21)))*CAPA3_EXPANSION!AM$36)</f>
        <v>0</v>
      </c>
      <c r="AN28" s="298" t="n">
        <f aca="false">IF(COUNTIF(CAPA3_EXPANSION!$D$56:AN$56,"&gt;="&amp;21)=0,0,SUP_CONTROL!$C$8*IF($B28="V",1,IF($B28="D",(1+SUP_VOLUMEN!$C$26),(1+SUP_VOLUMEN!$C$27)))*INDEX(SUP_C3_EXPANSION!$C$6:$F$6,MIN(4,COUNTIF(CAPA3_EXPANSION!$D$56:AN$56,"&gt;="&amp;21)))*CAPA3_EXPANSION!AN$36)</f>
        <v>0</v>
      </c>
      <c r="AO28" s="298" t="n">
        <f aca="false">IF(COUNTIF(CAPA3_EXPANSION!$D$56:AO$56,"&gt;="&amp;21)=0,0,SUP_CONTROL!$C$8*IF($B28="V",1,IF($B28="D",(1+SUP_VOLUMEN!$C$26),(1+SUP_VOLUMEN!$C$27)))*INDEX(SUP_C3_EXPANSION!$C$6:$F$6,MIN(4,COUNTIF(CAPA3_EXPANSION!$D$56:AO$56,"&gt;="&amp;21)))*CAPA3_EXPANSION!AO$36)</f>
        <v>0</v>
      </c>
      <c r="AP28" s="298" t="n">
        <f aca="false">IF(COUNTIF(CAPA3_EXPANSION!$D$56:AP$56,"&gt;="&amp;21)=0,0,SUP_CONTROL!$C$8*IF($B28="V",1,IF($B28="D",(1+SUP_VOLUMEN!$C$26),(1+SUP_VOLUMEN!$C$27)))*INDEX(SUP_C3_EXPANSION!$C$6:$F$6,MIN(4,COUNTIF(CAPA3_EXPANSION!$D$56:AP$56,"&gt;="&amp;21)))*CAPA3_EXPANSION!AP$36)</f>
        <v>0</v>
      </c>
      <c r="AQ28" s="298" t="n">
        <f aca="false">IF(COUNTIF(CAPA3_EXPANSION!$D$56:AQ$56,"&gt;="&amp;21)=0,0,SUP_CONTROL!$C$8*IF($B28="V",1,IF($B28="D",(1+SUP_VOLUMEN!$C$26),(1+SUP_VOLUMEN!$C$27)))*INDEX(SUP_C3_EXPANSION!$C$6:$F$6,MIN(4,COUNTIF(CAPA3_EXPANSION!$D$56:AQ$56,"&gt;="&amp;21)))*CAPA3_EXPANSION!AQ$36)</f>
        <v>0</v>
      </c>
      <c r="AR28" s="298" t="n">
        <f aca="false">IF(COUNTIF(CAPA3_EXPANSION!$D$56:AR$56,"&gt;="&amp;21)=0,0,SUP_CONTROL!$C$8*IF($B28="V",1,IF($B28="D",(1+SUP_VOLUMEN!$C$26),(1+SUP_VOLUMEN!$C$27)))*INDEX(SUP_C3_EXPANSION!$C$6:$F$6,MIN(4,COUNTIF(CAPA3_EXPANSION!$D$56:AR$56,"&gt;="&amp;21)))*CAPA3_EXPANSION!AR$36)</f>
        <v>0</v>
      </c>
      <c r="AS28" s="298" t="n">
        <f aca="false">IF(COUNTIF(CAPA3_EXPANSION!$D$56:AS$56,"&gt;="&amp;21)=0,0,SUP_CONTROL!$C$8*IF($B28="V",1,IF($B28="D",(1+SUP_VOLUMEN!$C$26),(1+SUP_VOLUMEN!$C$27)))*INDEX(SUP_C3_EXPANSION!$C$6:$F$6,MIN(4,COUNTIF(CAPA3_EXPANSION!$D$56:AS$56,"&gt;="&amp;21)))*CAPA3_EXPANSION!AS$36)</f>
        <v>0</v>
      </c>
      <c r="AT28" s="298" t="n">
        <f aca="false">IF(COUNTIF(CAPA3_EXPANSION!$D$56:AT$56,"&gt;="&amp;21)=0,0,SUP_CONTROL!$C$8*IF($B28="V",1,IF($B28="D",(1+SUP_VOLUMEN!$C$26),(1+SUP_VOLUMEN!$C$27)))*INDEX(SUP_C3_EXPANSION!$C$6:$F$6,MIN(4,COUNTIF(CAPA3_EXPANSION!$D$56:AT$56,"&gt;="&amp;21)))*CAPA3_EXPANSION!AT$36)</f>
        <v>0</v>
      </c>
      <c r="AU28" s="298" t="n">
        <f aca="false">IF(COUNTIF(CAPA3_EXPANSION!$D$56:AU$56,"&gt;="&amp;21)=0,0,SUP_CONTROL!$C$8*IF($B28="V",1,IF($B28="D",(1+SUP_VOLUMEN!$C$26),(1+SUP_VOLUMEN!$C$27)))*INDEX(SUP_C3_EXPANSION!$C$6:$F$6,MIN(4,COUNTIF(CAPA3_EXPANSION!$D$56:AU$56,"&gt;="&amp;21)))*CAPA3_EXPANSION!AU$36)</f>
        <v>0</v>
      </c>
      <c r="AV28" s="298" t="n">
        <f aca="false">IF(COUNTIF(CAPA3_EXPANSION!$D$56:AV$56,"&gt;="&amp;21)=0,0,SUP_CONTROL!$C$8*IF($B28="V",1,IF($B28="D",(1+SUP_VOLUMEN!$C$26),(1+SUP_VOLUMEN!$C$27)))*INDEX(SUP_C3_EXPANSION!$C$6:$F$6,MIN(4,COUNTIF(CAPA3_EXPANSION!$D$56:AV$56,"&gt;="&amp;21)))*CAPA3_EXPANSION!AV$36)</f>
        <v>0</v>
      </c>
      <c r="AW28" s="298" t="n">
        <f aca="false">IF(COUNTIF(CAPA3_EXPANSION!$D$56:AW$56,"&gt;="&amp;21)=0,0,SUP_CONTROL!$C$8*IF($B28="V",1,IF($B28="D",(1+SUP_VOLUMEN!$C$26),(1+SUP_VOLUMEN!$C$27)))*INDEX(SUP_C3_EXPANSION!$C$6:$F$6,MIN(4,COUNTIF(CAPA3_EXPANSION!$D$56:AW$56,"&gt;="&amp;21)))*CAPA3_EXPANSION!AW$36)</f>
        <v>0</v>
      </c>
      <c r="AX28" s="298" t="n">
        <f aca="false">IF(COUNTIF(CAPA3_EXPANSION!$D$56:AX$56,"&gt;="&amp;21)=0,0,SUP_CONTROL!$C$8*IF($B28="V",1,IF($B28="D",(1+SUP_VOLUMEN!$C$26),(1+SUP_VOLUMEN!$C$27)))*INDEX(SUP_C3_EXPANSION!$C$6:$F$6,MIN(4,COUNTIF(CAPA3_EXPANSION!$D$56:AX$56,"&gt;="&amp;21)))*CAPA3_EXPANSION!AX$36)</f>
        <v>0</v>
      </c>
      <c r="AY28" s="298" t="n">
        <f aca="false">IF(COUNTIF(CAPA3_EXPANSION!$D$56:AY$56,"&gt;="&amp;21)=0,0,SUP_CONTROL!$C$8*IF($B28="V",1,IF($B28="D",(1+SUP_VOLUMEN!$C$26),(1+SUP_VOLUMEN!$C$27)))*INDEX(SUP_C3_EXPANSION!$C$6:$F$6,MIN(4,COUNTIF(CAPA3_EXPANSION!$D$56:AY$56,"&gt;="&amp;21)))*CAPA3_EXPANSION!AY$36)</f>
        <v>0</v>
      </c>
      <c r="AZ28" s="298" t="n">
        <f aca="false">IF(COUNTIF(CAPA3_EXPANSION!$D$56:AZ$56,"&gt;="&amp;21)=0,0,SUP_CONTROL!$C$8*IF($B28="V",1,IF($B28="D",(1+SUP_VOLUMEN!$C$26),(1+SUP_VOLUMEN!$C$27)))*INDEX(SUP_C3_EXPANSION!$C$6:$F$6,MIN(4,COUNTIF(CAPA3_EXPANSION!$D$56:AZ$56,"&gt;="&amp;21)))*CAPA3_EXPANSION!AZ$36)</f>
        <v>0</v>
      </c>
      <c r="BA28" s="298" t="n">
        <f aca="false">IF(COUNTIF(CAPA3_EXPANSION!$D$56:BA$56,"&gt;="&amp;21)=0,0,SUP_CONTROL!$C$8*IF($B28="V",1,IF($B28="D",(1+SUP_VOLUMEN!$C$26),(1+SUP_VOLUMEN!$C$27)))*INDEX(SUP_C3_EXPANSION!$C$6:$F$6,MIN(4,COUNTIF(CAPA3_EXPANSION!$D$56:BA$56,"&gt;="&amp;21)))*CAPA3_EXPANSION!BA$36)</f>
        <v>0</v>
      </c>
      <c r="BB28" s="298" t="n">
        <f aca="false">IF(COUNTIF(CAPA3_EXPANSION!$D$56:BB$56,"&gt;="&amp;21)=0,0,SUP_CONTROL!$C$8*IF($B28="V",1,IF($B28="D",(1+SUP_VOLUMEN!$C$26),(1+SUP_VOLUMEN!$C$27)))*INDEX(SUP_C3_EXPANSION!$C$6:$F$6,MIN(4,COUNTIF(CAPA3_EXPANSION!$D$56:BB$56,"&gt;="&amp;21)))*CAPA3_EXPANSION!BB$36)</f>
        <v>0</v>
      </c>
      <c r="BC28" s="298" t="n">
        <f aca="false">IF(COUNTIF(CAPA3_EXPANSION!$D$56:BC$56,"&gt;="&amp;21)=0,0,SUP_CONTROL!$C$8*IF($B28="V",1,IF($B28="D",(1+SUP_VOLUMEN!$C$26),(1+SUP_VOLUMEN!$C$27)))*INDEX(SUP_C3_EXPANSION!$C$6:$F$6,MIN(4,COUNTIF(CAPA3_EXPANSION!$D$56:BC$56,"&gt;="&amp;21)))*CAPA3_EXPANSION!BC$36)</f>
        <v>0</v>
      </c>
      <c r="BD28" s="298" t="n">
        <f aca="false">IF(COUNTIF(CAPA3_EXPANSION!$D$56:BD$56,"&gt;="&amp;21)=0,0,SUP_CONTROL!$C$8*IF($B28="V",1,IF($B28="D",(1+SUP_VOLUMEN!$C$26),(1+SUP_VOLUMEN!$C$27)))*INDEX(SUP_C3_EXPANSION!$C$6:$F$6,MIN(4,COUNTIF(CAPA3_EXPANSION!$D$56:BD$56,"&gt;="&amp;21)))*CAPA3_EXPANSION!BD$36)</f>
        <v>0</v>
      </c>
      <c r="BE28" s="298" t="n">
        <f aca="false">IF(COUNTIF(CAPA3_EXPANSION!$D$56:BE$56,"&gt;="&amp;21)=0,0,SUP_CONTROL!$C$8*IF($B28="V",1,IF($B28="D",(1+SUP_VOLUMEN!$C$26),(1+SUP_VOLUMEN!$C$27)))*INDEX(SUP_C3_EXPANSION!$C$6:$F$6,MIN(4,COUNTIF(CAPA3_EXPANSION!$D$56:BE$56,"&gt;="&amp;21)))*CAPA3_EXPANSION!BE$36)</f>
        <v>0</v>
      </c>
      <c r="BF28" s="298" t="n">
        <f aca="false">IF(COUNTIF(CAPA3_EXPANSION!$D$56:BF$56,"&gt;="&amp;21)=0,0,SUP_CONTROL!$C$8*IF($B28="V",1,IF($B28="D",(1+SUP_VOLUMEN!$C$26),(1+SUP_VOLUMEN!$C$27)))*INDEX(SUP_C3_EXPANSION!$C$6:$F$6,MIN(4,COUNTIF(CAPA3_EXPANSION!$D$56:BF$56,"&gt;="&amp;21)))*CAPA3_EXPANSION!BF$36)</f>
        <v>0</v>
      </c>
      <c r="BG28" s="298" t="n">
        <f aca="false">IF(COUNTIF(CAPA3_EXPANSION!$D$56:BG$56,"&gt;="&amp;21)=0,0,SUP_CONTROL!$C$8*IF($B28="V",1,IF($B28="D",(1+SUP_VOLUMEN!$C$26),(1+SUP_VOLUMEN!$C$27)))*INDEX(SUP_C3_EXPANSION!$C$6:$F$6,MIN(4,COUNTIF(CAPA3_EXPANSION!$D$56:BG$56,"&gt;="&amp;21)))*CAPA3_EXPANSION!BG$36)</f>
        <v>0</v>
      </c>
      <c r="BH28" s="298" t="n">
        <f aca="false">IF(COUNTIF(CAPA3_EXPANSION!$D$56:BH$56,"&gt;="&amp;21)=0,0,SUP_CONTROL!$C$8*IF($B28="V",1,IF($B28="D",(1+SUP_VOLUMEN!$C$26),(1+SUP_VOLUMEN!$C$27)))*INDEX(SUP_C3_EXPANSION!$C$6:$F$6,MIN(4,COUNTIF(CAPA3_EXPANSION!$D$56:BH$56,"&gt;="&amp;21)))*CAPA3_EXPANSION!BH$36)</f>
        <v>0</v>
      </c>
      <c r="BI28" s="298" t="n">
        <f aca="false">IF(COUNTIF(CAPA3_EXPANSION!$D$56:BI$56,"&gt;="&amp;21)=0,0,SUP_CONTROL!$C$8*IF($B28="V",1,IF($B28="D",(1+SUP_VOLUMEN!$C$26),(1+SUP_VOLUMEN!$C$27)))*INDEX(SUP_C3_EXPANSION!$C$6:$F$6,MIN(4,COUNTIF(CAPA3_EXPANSION!$D$56:BI$56,"&gt;="&amp;21)))*CAPA3_EXPANSION!BI$36)</f>
        <v>0</v>
      </c>
      <c r="BJ28" s="298" t="n">
        <f aca="false">IF(COUNTIF(CAPA3_EXPANSION!$D$56:BJ$56,"&gt;="&amp;21)=0,0,SUP_CONTROL!$C$8*IF($B28="V",1,IF($B28="D",(1+SUP_VOLUMEN!$C$26),(1+SUP_VOLUMEN!$C$27)))*INDEX(SUP_C3_EXPANSION!$C$6:$F$6,MIN(4,COUNTIF(CAPA3_EXPANSION!$D$56:BJ$56,"&gt;="&amp;21)))*CAPA3_EXPANSION!BJ$36)</f>
        <v>0</v>
      </c>
      <c r="BK28" s="298" t="n">
        <f aca="false">IF(COUNTIF(CAPA3_EXPANSION!$D$56:BK$56,"&gt;="&amp;21)=0,0,SUP_CONTROL!$C$8*IF($B28="V",1,IF($B28="D",(1+SUP_VOLUMEN!$C$26),(1+SUP_VOLUMEN!$C$27)))*INDEX(SUP_C3_EXPANSION!$C$6:$F$6,MIN(4,COUNTIF(CAPA3_EXPANSION!$D$56:BK$56,"&gt;="&amp;21)))*CAPA3_EXPANSION!BK$36)</f>
        <v>0</v>
      </c>
      <c r="BL28" s="298" t="n">
        <f aca="false">IF(COUNTIF(CAPA3_EXPANSION!$D$56:BL$56,"&gt;="&amp;21)=0,0,SUP_CONTROL!$C$8*IF($B28="V",1,IF($B28="D",(1+SUP_VOLUMEN!$C$26),(1+SUP_VOLUMEN!$C$27)))*INDEX(SUP_C3_EXPANSION!$C$6:$F$6,MIN(4,COUNTIF(CAPA3_EXPANSION!$D$56:BL$56,"&gt;="&amp;21)))*CAPA3_EXPANSION!BL$36)</f>
        <v>0</v>
      </c>
      <c r="BM28" s="298" t="n">
        <f aca="false">IF(COUNTIF(CAPA3_EXPANSION!$D$56:BM$56,"&gt;="&amp;21)=0,0,SUP_CONTROL!$C$8*IF($B28="V",1,IF($B28="D",(1+SUP_VOLUMEN!$C$26),(1+SUP_VOLUMEN!$C$27)))*INDEX(SUP_C3_EXPANSION!$C$6:$F$6,MIN(4,COUNTIF(CAPA3_EXPANSION!$D$56:BM$56,"&gt;="&amp;21)))*CAPA3_EXPANSION!BM$36)</f>
        <v>0</v>
      </c>
      <c r="BN28" s="298" t="n">
        <f aca="false">IF(COUNTIF(CAPA3_EXPANSION!$D$56:BN$56,"&gt;="&amp;21)=0,0,SUP_CONTROL!$C$8*IF($B28="V",1,IF($B28="D",(1+SUP_VOLUMEN!$C$26),(1+SUP_VOLUMEN!$C$27)))*INDEX(SUP_C3_EXPANSION!$C$6:$F$6,MIN(4,COUNTIF(CAPA3_EXPANSION!$D$56:BN$56,"&gt;="&amp;21)))*CAPA3_EXPANSION!BN$36)</f>
        <v>0</v>
      </c>
      <c r="BO28" s="298" t="n">
        <f aca="false">IF(COUNTIF(CAPA3_EXPANSION!$D$56:BO$56,"&gt;="&amp;21)=0,0,SUP_CONTROL!$C$8*IF($B28="V",1,IF($B28="D",(1+SUP_VOLUMEN!$C$26),(1+SUP_VOLUMEN!$C$27)))*INDEX(SUP_C3_EXPANSION!$C$6:$F$6,MIN(4,COUNTIF(CAPA3_EXPANSION!$D$56:BO$56,"&gt;="&amp;21)))*CAPA3_EXPANSION!BO$36)</f>
        <v>0</v>
      </c>
      <c r="BP28" s="298" t="n">
        <f aca="false">IF(COUNTIF(CAPA3_EXPANSION!$D$56:BP$56,"&gt;="&amp;21)=0,0,SUP_CONTROL!$C$8*IF($B28="V",1,IF($B28="D",(1+SUP_VOLUMEN!$C$26),(1+SUP_VOLUMEN!$C$27)))*INDEX(SUP_C3_EXPANSION!$C$6:$F$6,MIN(4,COUNTIF(CAPA3_EXPANSION!$D$56:BP$56,"&gt;="&amp;21)))*CAPA3_EXPANSION!BP$36)</f>
        <v>3194.1</v>
      </c>
      <c r="BQ28" s="298" t="n">
        <f aca="false">IF(COUNTIF(CAPA3_EXPANSION!$D$56:BQ$56,"&gt;="&amp;21)=0,0,SUP_CONTROL!$C$8*IF($B28="V",1,IF($B28="D",(1+SUP_VOLUMEN!$C$26),(1+SUP_VOLUMEN!$C$27)))*INDEX(SUP_C3_EXPANSION!$C$6:$F$6,MIN(4,COUNTIF(CAPA3_EXPANSION!$D$56:BQ$56,"&gt;="&amp;21)))*CAPA3_EXPANSION!BQ$36)</f>
        <v>3843.84</v>
      </c>
      <c r="BR28" s="298" t="n">
        <f aca="false">IF(COUNTIF(CAPA3_EXPANSION!$D$56:BR$56,"&gt;="&amp;21)=0,0,SUP_CONTROL!$C$8*IF($B28="V",1,IF($B28="D",(1+SUP_VOLUMEN!$C$26),(1+SUP_VOLUMEN!$C$27)))*INDEX(SUP_C3_EXPANSION!$C$6:$F$6,MIN(4,COUNTIF(CAPA3_EXPANSION!$D$56:BR$56,"&gt;="&amp;21)))*CAPA3_EXPANSION!BR$36)</f>
        <v>4324.32</v>
      </c>
      <c r="BS28" s="298" t="n">
        <f aca="false">IF(COUNTIF(CAPA3_EXPANSION!$D$56:BS$56,"&gt;="&amp;21)=0,0,SUP_CONTROL!$C$8*IF($B28="V",1,IF($B28="D",(1+SUP_VOLUMEN!$C$26),(1+SUP_VOLUMEN!$C$27)))*INDEX(SUP_C3_EXPANSION!$C$6:$F$6,MIN(4,COUNTIF(CAPA3_EXPANSION!$D$56:BS$56,"&gt;="&amp;21)))*CAPA3_EXPANSION!BS$36)</f>
        <v>4804.8</v>
      </c>
      <c r="BT28" s="298" t="n">
        <f aca="false">IF(COUNTIF(CAPA3_EXPANSION!$D$56:BT$56,"&gt;="&amp;21)=0,0,SUP_CONTROL!$C$8*IF($B28="V",1,IF($B28="D",(1+SUP_VOLUMEN!$C$26),(1+SUP_VOLUMEN!$C$27)))*INDEX(SUP_C3_EXPANSION!$C$6:$F$6,MIN(4,COUNTIF(CAPA3_EXPANSION!$D$56:BT$56,"&gt;="&amp;21)))*CAPA3_EXPANSION!BT$36)</f>
        <v>4804.8</v>
      </c>
      <c r="BU28" s="298" t="n">
        <f aca="false">IF(COUNTIF(CAPA3_EXPANSION!$D$56:BU$56,"&gt;="&amp;21)=0,0,SUP_CONTROL!$C$8*IF($B28="V",1,IF($B28="D",(1+SUP_VOLUMEN!$C$26),(1+SUP_VOLUMEN!$C$27)))*INDEX(SUP_C3_EXPANSION!$C$6:$F$6,MIN(4,COUNTIF(CAPA3_EXPANSION!$D$56:BU$56,"&gt;="&amp;21)))*CAPA3_EXPANSION!BU$36)</f>
        <v>4804.8</v>
      </c>
      <c r="BV28" s="298" t="n">
        <f aca="false">IF(COUNTIF(CAPA3_EXPANSION!$D$56:BV$56,"&gt;="&amp;21)=0,0,SUP_CONTROL!$C$8*IF($B28="V",1,IF($B28="D",(1+SUP_VOLUMEN!$C$26),(1+SUP_VOLUMEN!$C$27)))*INDEX(SUP_C3_EXPANSION!$C$6:$F$6,MIN(4,COUNTIF(CAPA3_EXPANSION!$D$56:BV$56,"&gt;="&amp;21)))*CAPA3_EXPANSION!BV$36)</f>
        <v>4804.8</v>
      </c>
      <c r="BW28" s="298" t="n">
        <f aca="false">IF(COUNTIF(CAPA3_EXPANSION!$D$56:BW$56,"&gt;="&amp;21)=0,0,SUP_CONTROL!$C$8*IF($B28="V",1,IF($B28="D",(1+SUP_VOLUMEN!$C$26),(1+SUP_VOLUMEN!$C$27)))*INDEX(SUP_C3_EXPANSION!$C$6:$F$6,MIN(4,COUNTIF(CAPA3_EXPANSION!$D$56:BW$56,"&gt;="&amp;21)))*CAPA3_EXPANSION!BW$36)</f>
        <v>4722.9</v>
      </c>
      <c r="BX28" s="298" t="n">
        <f aca="false">IF(COUNTIF(CAPA3_EXPANSION!$D$56:BX$56,"&gt;="&amp;21)=0,0,SUP_CONTROL!$C$8*IF($B28="V",1,IF($B28="D",(1+SUP_VOLUMEN!$C$26),(1+SUP_VOLUMEN!$C$27)))*INDEX(SUP_C3_EXPANSION!$C$6:$F$6,MIN(4,COUNTIF(CAPA3_EXPANSION!$D$56:BX$56,"&gt;="&amp;21)))*CAPA3_EXPANSION!BX$36)</f>
        <v>4722.9</v>
      </c>
      <c r="BY28" s="298" t="n">
        <f aca="false">IF(COUNTIF(CAPA3_EXPANSION!$D$56:BY$56,"&gt;="&amp;21)=0,0,SUP_CONTROL!$C$8*IF($B28="V",1,IF($B28="D",(1+SUP_VOLUMEN!$C$26),(1+SUP_VOLUMEN!$C$27)))*INDEX(SUP_C3_EXPANSION!$C$6:$F$6,MIN(4,COUNTIF(CAPA3_EXPANSION!$D$56:BY$56,"&gt;="&amp;21)))*CAPA3_EXPANSION!BY$36)</f>
        <v>4722.9</v>
      </c>
      <c r="BZ28" s="298" t="n">
        <f aca="false">IF(COUNTIF(CAPA3_EXPANSION!$D$56:BZ$56,"&gt;="&amp;21)=0,0,SUP_CONTROL!$C$8*IF($B28="V",1,IF($B28="D",(1+SUP_VOLUMEN!$C$26),(1+SUP_VOLUMEN!$C$27)))*INDEX(SUP_C3_EXPANSION!$C$6:$F$6,MIN(4,COUNTIF(CAPA3_EXPANSION!$D$56:BZ$56,"&gt;="&amp;21)))*CAPA3_EXPANSION!BZ$36)</f>
        <v>4722.9</v>
      </c>
      <c r="CA28" s="298" t="n">
        <f aca="false">IF(COUNTIF(CAPA3_EXPANSION!$D$56:CA$56,"&gt;="&amp;21)=0,0,SUP_CONTROL!$C$8*IF($B28="V",1,IF($B28="D",(1+SUP_VOLUMEN!$C$26),(1+SUP_VOLUMEN!$C$27)))*INDEX(SUP_C3_EXPANSION!$C$6:$F$6,MIN(4,COUNTIF(CAPA3_EXPANSION!$D$56:CA$56,"&gt;="&amp;21)))*CAPA3_EXPANSION!CA$36)</f>
        <v>4722.9</v>
      </c>
      <c r="CB28" s="298" t="n">
        <f aca="false">IF(COUNTIF(CAPA3_EXPANSION!$D$56:CB$56,"&gt;="&amp;21)=0,0,SUP_CONTROL!$C$8*IF($B28="V",1,IF($B28="D",(1+SUP_VOLUMEN!$C$26),(1+SUP_VOLUMEN!$C$27)))*INDEX(SUP_C3_EXPANSION!$C$6:$F$6,MIN(4,COUNTIF(CAPA3_EXPANSION!$D$56:CB$56,"&gt;="&amp;21)))*CAPA3_EXPANSION!CB$36)</f>
        <v>4641</v>
      </c>
      <c r="CC28" s="298" t="n">
        <f aca="false">IF(COUNTIF(CAPA3_EXPANSION!$D$56:CC$56,"&gt;="&amp;21)=0,0,SUP_CONTROL!$C$8*IF($B28="V",1,IF($B28="D",(1+SUP_VOLUMEN!$C$26),(1+SUP_VOLUMEN!$C$27)))*INDEX(SUP_C3_EXPANSION!$C$6:$F$6,MIN(4,COUNTIF(CAPA3_EXPANSION!$D$56:CC$56,"&gt;="&amp;21)))*CAPA3_EXPANSION!CC$36)</f>
        <v>4641</v>
      </c>
      <c r="CD28" s="298" t="n">
        <f aca="false">IF(COUNTIF(CAPA3_EXPANSION!$D$56:CD$56,"&gt;="&amp;21)=0,0,SUP_CONTROL!$C$8*IF($B28="V",1,IF($B28="D",(1+SUP_VOLUMEN!$C$26),(1+SUP_VOLUMEN!$C$27)))*INDEX(SUP_C3_EXPANSION!$C$6:$F$6,MIN(4,COUNTIF(CAPA3_EXPANSION!$D$56:CD$56,"&gt;="&amp;21)))*CAPA3_EXPANSION!CD$36)</f>
        <v>4641</v>
      </c>
      <c r="CE28" s="298" t="n">
        <f aca="false">IF(COUNTIF(CAPA3_EXPANSION!$D$56:CE$56,"&gt;="&amp;21)=0,0,SUP_CONTROL!$C$8*IF($B28="V",1,IF($B28="D",(1+SUP_VOLUMEN!$C$26),(1+SUP_VOLUMEN!$C$27)))*INDEX(SUP_C3_EXPANSION!$C$6:$F$6,MIN(4,COUNTIF(CAPA3_EXPANSION!$D$56:CE$56,"&gt;="&amp;21)))*CAPA3_EXPANSION!CE$36)</f>
        <v>4641</v>
      </c>
      <c r="CF28" s="298" t="n">
        <f aca="false">IF(COUNTIF(CAPA3_EXPANSION!$D$56:CF$56,"&gt;="&amp;21)=0,0,SUP_CONTROL!$C$8*IF($B28="V",1,IF($B28="D",(1+SUP_VOLUMEN!$C$26),(1+SUP_VOLUMEN!$C$27)))*INDEX(SUP_C3_EXPANSION!$C$6:$F$6,MIN(4,COUNTIF(CAPA3_EXPANSION!$D$56:CF$56,"&gt;="&amp;21)))*CAPA3_EXPANSION!CF$36)</f>
        <v>4641</v>
      </c>
      <c r="CG28" s="298" t="n">
        <f aca="false">IF(COUNTIF(CAPA3_EXPANSION!$D$56:CG$56,"&gt;="&amp;21)=0,0,SUP_CONTROL!$C$8*IF($B28="V",1,IF($B28="D",(1+SUP_VOLUMEN!$C$26),(1+SUP_VOLUMEN!$C$27)))*INDEX(SUP_C3_EXPANSION!$C$6:$F$6,MIN(4,COUNTIF(CAPA3_EXPANSION!$D$56:CG$56,"&gt;="&amp;21)))*CAPA3_EXPANSION!CG$36)</f>
        <v>4586.4</v>
      </c>
      <c r="CH28" s="298" t="n">
        <f aca="false">IF(COUNTIF(CAPA3_EXPANSION!$D$56:CH$56,"&gt;="&amp;21)=0,0,SUP_CONTROL!$C$8*IF($B28="V",1,IF($B28="D",(1+SUP_VOLUMEN!$C$26),(1+SUP_VOLUMEN!$C$27)))*INDEX(SUP_C3_EXPANSION!$C$6:$F$6,MIN(4,COUNTIF(CAPA3_EXPANSION!$D$56:CH$56,"&gt;="&amp;21)))*CAPA3_EXPANSION!CH$36)</f>
        <v>4586.4</v>
      </c>
      <c r="CI28" s="298" t="n">
        <f aca="false">IF(COUNTIF(CAPA3_EXPANSION!$D$56:CI$56,"&gt;="&amp;21)=0,0,SUP_CONTROL!$C$8*IF($B28="V",1,IF($B28="D",(1+SUP_VOLUMEN!$C$26),(1+SUP_VOLUMEN!$C$27)))*INDEX(SUP_C3_EXPANSION!$C$6:$F$6,MIN(4,COUNTIF(CAPA3_EXPANSION!$D$56:CI$56,"&gt;="&amp;21)))*CAPA3_EXPANSION!CI$36)</f>
        <v>4586.4</v>
      </c>
      <c r="CJ28" s="298" t="n">
        <f aca="false">IF(COUNTIF(CAPA3_EXPANSION!$D$56:CJ$56,"&gt;="&amp;21)=0,0,SUP_CONTROL!$C$8*IF($B28="V",1,IF($B28="D",(1+SUP_VOLUMEN!$C$26),(1+SUP_VOLUMEN!$C$27)))*INDEX(SUP_C3_EXPANSION!$C$6:$F$6,MIN(4,COUNTIF(CAPA3_EXPANSION!$D$56:CJ$56,"&gt;="&amp;21)))*CAPA3_EXPANSION!CJ$36)</f>
        <v>4586.4</v>
      </c>
      <c r="CK28" s="298" t="n">
        <f aca="false">IF(COUNTIF(CAPA3_EXPANSION!$D$56:CK$56,"&gt;="&amp;21)=0,0,SUP_CONTROL!$C$8*IF($B28="V",1,IF($B28="D",(1+SUP_VOLUMEN!$C$26),(1+SUP_VOLUMEN!$C$27)))*INDEX(SUP_C3_EXPANSION!$C$6:$F$6,MIN(4,COUNTIF(CAPA3_EXPANSION!$D$56:CK$56,"&gt;="&amp;21)))*CAPA3_EXPANSION!CK$36)</f>
        <v>4586.4</v>
      </c>
      <c r="CL28" s="298" t="n">
        <f aca="false">IF(COUNTIF(CAPA3_EXPANSION!$D$56:CL$56,"&gt;="&amp;21)=0,0,SUP_CONTROL!$C$8*IF($B28="V",1,IF($B28="D",(1+SUP_VOLUMEN!$C$26),(1+SUP_VOLUMEN!$C$27)))*INDEX(SUP_C3_EXPANSION!$C$6:$F$6,MIN(4,COUNTIF(CAPA3_EXPANSION!$D$56:CL$56,"&gt;="&amp;21)))*CAPA3_EXPANSION!CL$36)</f>
        <v>4586.4</v>
      </c>
      <c r="CM28" s="298" t="n">
        <f aca="false">IF(COUNTIF(CAPA3_EXPANSION!$D$56:CM$56,"&gt;="&amp;21)=0,0,SUP_CONTROL!$C$8*IF($B28="V",1,IF($B28="D",(1+SUP_VOLUMEN!$C$26),(1+SUP_VOLUMEN!$C$27)))*INDEX(SUP_C3_EXPANSION!$C$6:$F$6,MIN(4,COUNTIF(CAPA3_EXPANSION!$D$56:CM$56,"&gt;="&amp;21)))*CAPA3_EXPANSION!CM$36)</f>
        <v>4586.4</v>
      </c>
      <c r="CN28" s="298" t="n">
        <f aca="false">IF(COUNTIF(CAPA3_EXPANSION!$D$56:CN$56,"&gt;="&amp;21)=0,0,SUP_CONTROL!$C$8*IF($B28="V",1,IF($B28="D",(1+SUP_VOLUMEN!$C$26),(1+SUP_VOLUMEN!$C$27)))*INDEX(SUP_C3_EXPANSION!$C$6:$F$6,MIN(4,COUNTIF(CAPA3_EXPANSION!$D$56:CN$56,"&gt;="&amp;21)))*CAPA3_EXPANSION!CN$36)</f>
        <v>4586.4</v>
      </c>
      <c r="CO28" s="298" t="n">
        <f aca="false">IF(COUNTIF(CAPA3_EXPANSION!$D$56:CO$56,"&gt;="&amp;21)=0,0,SUP_CONTROL!$C$8*IF($B28="V",1,IF($B28="D",(1+SUP_VOLUMEN!$C$26),(1+SUP_VOLUMEN!$C$27)))*INDEX(SUP_C3_EXPANSION!$C$6:$F$6,MIN(4,COUNTIF(CAPA3_EXPANSION!$D$56:CO$56,"&gt;="&amp;21)))*CAPA3_EXPANSION!CO$36)</f>
        <v>4586.4</v>
      </c>
      <c r="CP28" s="298" t="n">
        <f aca="false">IF(COUNTIF(CAPA3_EXPANSION!$D$56:CP$56,"&gt;="&amp;21)=0,0,SUP_CONTROL!$C$8*IF($B28="V",1,IF($B28="D",(1+SUP_VOLUMEN!$C$26),(1+SUP_VOLUMEN!$C$27)))*INDEX(SUP_C3_EXPANSION!$C$6:$F$6,MIN(4,COUNTIF(CAPA3_EXPANSION!$D$56:CP$56,"&gt;="&amp;21)))*CAPA3_EXPANSION!CP$36)</f>
        <v>4586.4</v>
      </c>
      <c r="CQ28" s="298" t="n">
        <f aca="false">IF(COUNTIF(CAPA3_EXPANSION!$D$56:CQ$56,"&gt;="&amp;21)=0,0,SUP_CONTROL!$C$8*IF($B28="V",1,IF($B28="D",(1+SUP_VOLUMEN!$C$26),(1+SUP_VOLUMEN!$C$27)))*INDEX(SUP_C3_EXPANSION!$C$6:$F$6,MIN(4,COUNTIF(CAPA3_EXPANSION!$D$56:CQ$56,"&gt;="&amp;21)))*CAPA3_EXPANSION!CQ$36)</f>
        <v>4586.4</v>
      </c>
      <c r="CR28" s="298" t="n">
        <f aca="false">IF(COUNTIF(CAPA3_EXPANSION!$D$56:CR$56,"&gt;="&amp;21)=0,0,SUP_CONTROL!$C$8*IF($B28="V",1,IF($B28="D",(1+SUP_VOLUMEN!$C$26),(1+SUP_VOLUMEN!$C$27)))*INDEX(SUP_C3_EXPANSION!$C$6:$F$6,MIN(4,COUNTIF(CAPA3_EXPANSION!$D$56:CR$56,"&gt;="&amp;21)))*CAPA3_EXPANSION!CR$36)</f>
        <v>4586.4</v>
      </c>
      <c r="CS28" s="298" t="n">
        <f aca="false">IF(COUNTIF(CAPA3_EXPANSION!$D$56:CS$56,"&gt;="&amp;21)=0,0,SUP_CONTROL!$C$8*IF($B28="V",1,IF($B28="D",(1+SUP_VOLUMEN!$C$26),(1+SUP_VOLUMEN!$C$27)))*INDEX(SUP_C3_EXPANSION!$C$6:$F$6,MIN(4,COUNTIF(CAPA3_EXPANSION!$D$56:CS$56,"&gt;="&amp;21)))*CAPA3_EXPANSION!CS$36)</f>
        <v>4586.4</v>
      </c>
      <c r="CT28" s="298" t="n">
        <f aca="false">IF(COUNTIF(CAPA3_EXPANSION!$D$56:CT$56,"&gt;="&amp;21)=0,0,SUP_CONTROL!$C$8*IF($B28="V",1,IF($B28="D",(1+SUP_VOLUMEN!$C$26),(1+SUP_VOLUMEN!$C$27)))*INDEX(SUP_C3_EXPANSION!$C$6:$F$6,MIN(4,COUNTIF(CAPA3_EXPANSION!$D$56:CT$56,"&gt;="&amp;21)))*CAPA3_EXPANSION!CT$36)</f>
        <v>4586.4</v>
      </c>
      <c r="CU28" s="298" t="n">
        <f aca="false">IF(COUNTIF(CAPA3_EXPANSION!$D$56:CU$56,"&gt;="&amp;21)=0,0,SUP_CONTROL!$C$8*IF($B28="V",1,IF($B28="D",(1+SUP_VOLUMEN!$C$26),(1+SUP_VOLUMEN!$C$27)))*INDEX(SUP_C3_EXPANSION!$C$6:$F$6,MIN(4,COUNTIF(CAPA3_EXPANSION!$D$56:CU$56,"&gt;="&amp;21)))*CAPA3_EXPANSION!CU$36)</f>
        <v>4586.4</v>
      </c>
      <c r="CV28" s="298" t="n">
        <f aca="false">IF(COUNTIF(CAPA3_EXPANSION!$D$56:CV$56,"&gt;="&amp;21)=0,0,SUP_CONTROL!$C$8*IF($B28="V",1,IF($B28="D",(1+SUP_VOLUMEN!$C$26),(1+SUP_VOLUMEN!$C$27)))*INDEX(SUP_C3_EXPANSION!$C$6:$F$6,MIN(4,COUNTIF(CAPA3_EXPANSION!$D$56:CV$56,"&gt;="&amp;21)))*CAPA3_EXPANSION!CV$36)</f>
        <v>4586.4</v>
      </c>
      <c r="CW28" s="298" t="n">
        <f aca="false">IF(COUNTIF(CAPA3_EXPANSION!$D$56:CW$56,"&gt;="&amp;21)=0,0,SUP_CONTROL!$C$8*IF($B28="V",1,IF($B28="D",(1+SUP_VOLUMEN!$C$26),(1+SUP_VOLUMEN!$C$27)))*INDEX(SUP_C3_EXPANSION!$C$6:$F$6,MIN(4,COUNTIF(CAPA3_EXPANSION!$D$56:CW$56,"&gt;="&amp;21)))*CAPA3_EXPANSION!CW$36)</f>
        <v>4586.4</v>
      </c>
      <c r="CX28" s="298" t="n">
        <f aca="false">IF(COUNTIF(CAPA3_EXPANSION!$D$56:CX$56,"&gt;="&amp;21)=0,0,SUP_CONTROL!$C$8*IF($B28="V",1,IF($B28="D",(1+SUP_VOLUMEN!$C$26),(1+SUP_VOLUMEN!$C$27)))*INDEX(SUP_C3_EXPANSION!$C$6:$F$6,MIN(4,COUNTIF(CAPA3_EXPANSION!$D$56:CX$56,"&gt;="&amp;21)))*CAPA3_EXPANSION!CX$36)</f>
        <v>4586.4</v>
      </c>
      <c r="CY28" s="298" t="n">
        <f aca="false">IF(COUNTIF(CAPA3_EXPANSION!$D$56:CY$56,"&gt;="&amp;21)=0,0,SUP_CONTROL!$C$8*IF($B28="V",1,IF($B28="D",(1+SUP_VOLUMEN!$C$26),(1+SUP_VOLUMEN!$C$27)))*INDEX(SUP_C3_EXPANSION!$C$6:$F$6,MIN(4,COUNTIF(CAPA3_EXPANSION!$D$56:CY$56,"&gt;="&amp;21)))*CAPA3_EXPANSION!CY$36)</f>
        <v>4586.4</v>
      </c>
      <c r="CZ28" s="298" t="n">
        <f aca="false">IF(COUNTIF(CAPA3_EXPANSION!$D$56:CZ$56,"&gt;="&amp;21)=0,0,SUP_CONTROL!$C$8*IF($B28="V",1,IF($B28="D",(1+SUP_VOLUMEN!$C$26),(1+SUP_VOLUMEN!$C$27)))*INDEX(SUP_C3_EXPANSION!$C$6:$F$6,MIN(4,COUNTIF(CAPA3_EXPANSION!$D$56:CZ$56,"&gt;="&amp;21)))*CAPA3_EXPANSION!CZ$36)</f>
        <v>4586.4</v>
      </c>
      <c r="DA28" s="298" t="n">
        <f aca="false">IF(COUNTIF(CAPA3_EXPANSION!$D$56:DA$56,"&gt;="&amp;21)=0,0,SUP_CONTROL!$C$8*IF($B28="V",1,IF($B28="D",(1+SUP_VOLUMEN!$C$26),(1+SUP_VOLUMEN!$C$27)))*INDEX(SUP_C3_EXPANSION!$C$6:$F$6,MIN(4,COUNTIF(CAPA3_EXPANSION!$D$56:DA$56,"&gt;="&amp;21)))*CAPA3_EXPANSION!DA$36)</f>
        <v>4586.4</v>
      </c>
      <c r="DB28" s="298" t="n">
        <f aca="false">IF(COUNTIF(CAPA3_EXPANSION!$D$56:DB$56,"&gt;="&amp;21)=0,0,SUP_CONTROL!$C$8*IF($B28="V",1,IF($B28="D",(1+SUP_VOLUMEN!$C$26),(1+SUP_VOLUMEN!$C$27)))*INDEX(SUP_C3_EXPANSION!$C$6:$F$6,MIN(4,COUNTIF(CAPA3_EXPANSION!$D$56:DB$56,"&gt;="&amp;21)))*CAPA3_EXPANSION!DB$36)</f>
        <v>4586.4</v>
      </c>
      <c r="DC28" s="298" t="n">
        <f aca="false">IF(COUNTIF(CAPA3_EXPANSION!$D$56:DC$56,"&gt;="&amp;21)=0,0,SUP_CONTROL!$C$8*IF($B28="V",1,IF($B28="D",(1+SUP_VOLUMEN!$C$26),(1+SUP_VOLUMEN!$C$27)))*INDEX(SUP_C3_EXPANSION!$C$6:$F$6,MIN(4,COUNTIF(CAPA3_EXPANSION!$D$56:DC$56,"&gt;="&amp;21)))*CAPA3_EXPANSION!DC$36)</f>
        <v>4586.4</v>
      </c>
      <c r="DD28" s="298" t="n">
        <f aca="false">IF(COUNTIF(CAPA3_EXPANSION!$D$56:DD$56,"&gt;="&amp;21)=0,0,SUP_CONTROL!$C$8*IF($B28="V",1,IF($B28="D",(1+SUP_VOLUMEN!$C$26),(1+SUP_VOLUMEN!$C$27)))*INDEX(SUP_C3_EXPANSION!$C$6:$F$6,MIN(4,COUNTIF(CAPA3_EXPANSION!$D$56:DD$56,"&gt;="&amp;21)))*CAPA3_EXPANSION!DD$36)</f>
        <v>4586.4</v>
      </c>
      <c r="DE28" s="298" t="n">
        <f aca="false">IF(COUNTIF(CAPA3_EXPANSION!$D$56:DE$56,"&gt;="&amp;21)=0,0,SUP_CONTROL!$C$8*IF($B28="V",1,IF($B28="D",(1+SUP_VOLUMEN!$C$26),(1+SUP_VOLUMEN!$C$27)))*INDEX(SUP_C3_EXPANSION!$C$6:$F$6,MIN(4,COUNTIF(CAPA3_EXPANSION!$D$56:DE$56,"&gt;="&amp;21)))*CAPA3_EXPANSION!DE$36)</f>
        <v>4586.4</v>
      </c>
      <c r="DF28" s="298" t="n">
        <f aca="false">IF(COUNTIF(CAPA3_EXPANSION!$D$56:DF$56,"&gt;="&amp;21)=0,0,SUP_CONTROL!$C$8*IF($B28="V",1,IF($B28="D",(1+SUP_VOLUMEN!$C$26),(1+SUP_VOLUMEN!$C$27)))*INDEX(SUP_C3_EXPANSION!$C$6:$F$6,MIN(4,COUNTIF(CAPA3_EXPANSION!$D$56:DF$56,"&gt;="&amp;21)))*CAPA3_EXPANSION!DF$36)</f>
        <v>4586.4</v>
      </c>
      <c r="DG28" s="298" t="n">
        <f aca="false">IF(COUNTIF(CAPA3_EXPANSION!$D$56:DG$56,"&gt;="&amp;21)=0,0,SUP_CONTROL!$C$8*IF($B28="V",1,IF($B28="D",(1+SUP_VOLUMEN!$C$26),(1+SUP_VOLUMEN!$C$27)))*INDEX(SUP_C3_EXPANSION!$C$6:$F$6,MIN(4,COUNTIF(CAPA3_EXPANSION!$D$56:DG$56,"&gt;="&amp;21)))*CAPA3_EXPANSION!DG$36)</f>
        <v>4586.4</v>
      </c>
      <c r="DH28" s="298" t="n">
        <f aca="false">IF(COUNTIF(CAPA3_EXPANSION!$D$56:DH$56,"&gt;="&amp;21)=0,0,SUP_CONTROL!$C$8*IF($B28="V",1,IF($B28="D",(1+SUP_VOLUMEN!$C$26),(1+SUP_VOLUMEN!$C$27)))*INDEX(SUP_C3_EXPANSION!$C$6:$F$6,MIN(4,COUNTIF(CAPA3_EXPANSION!$D$56:DH$56,"&gt;="&amp;21)))*CAPA3_EXPANSION!DH$36)</f>
        <v>4586.4</v>
      </c>
      <c r="DI28" s="298" t="n">
        <f aca="false">IF(COUNTIF(CAPA3_EXPANSION!$D$56:DI$56,"&gt;="&amp;21)=0,0,SUP_CONTROL!$C$8*IF($B28="V",1,IF($B28="D",(1+SUP_VOLUMEN!$C$26),(1+SUP_VOLUMEN!$C$27)))*INDEX(SUP_C3_EXPANSION!$C$6:$F$6,MIN(4,COUNTIF(CAPA3_EXPANSION!$D$56:DI$56,"&gt;="&amp;21)))*CAPA3_EXPANSION!DI$36)</f>
        <v>4586.4</v>
      </c>
      <c r="DJ28" s="298" t="n">
        <f aca="false">IF(COUNTIF(CAPA3_EXPANSION!$D$56:DJ$56,"&gt;="&amp;21)=0,0,SUP_CONTROL!$C$8*IF($B28="V",1,IF($B28="D",(1+SUP_VOLUMEN!$C$26),(1+SUP_VOLUMEN!$C$27)))*INDEX(SUP_C3_EXPANSION!$C$6:$F$6,MIN(4,COUNTIF(CAPA3_EXPANSION!$D$56:DJ$56,"&gt;="&amp;21)))*CAPA3_EXPANSION!DJ$36)</f>
        <v>4586.4</v>
      </c>
      <c r="DK28" s="298" t="n">
        <f aca="false">IF(COUNTIF(CAPA3_EXPANSION!$D$56:DK$56,"&gt;="&amp;21)=0,0,SUP_CONTROL!$C$8*IF($B28="V",1,IF($B28="D",(1+SUP_VOLUMEN!$C$26),(1+SUP_VOLUMEN!$C$27)))*INDEX(SUP_C3_EXPANSION!$C$6:$F$6,MIN(4,COUNTIF(CAPA3_EXPANSION!$D$56:DK$56,"&gt;="&amp;21)))*CAPA3_EXPANSION!DK$36)</f>
        <v>4586.4</v>
      </c>
      <c r="DL28" s="298" t="n">
        <f aca="false">IF(COUNTIF(CAPA3_EXPANSION!$D$56:DL$56,"&gt;="&amp;21)=0,0,SUP_CONTROL!$C$8*IF($B28="V",1,IF($B28="D",(1+SUP_VOLUMEN!$C$26),(1+SUP_VOLUMEN!$C$27)))*INDEX(SUP_C3_EXPANSION!$C$6:$F$6,MIN(4,COUNTIF(CAPA3_EXPANSION!$D$56:DL$56,"&gt;="&amp;21)))*CAPA3_EXPANSION!DL$36)</f>
        <v>4586.4</v>
      </c>
      <c r="DM28" s="298" t="n">
        <f aca="false">IF(COUNTIF(CAPA3_EXPANSION!$D$56:DM$56,"&gt;="&amp;21)=0,0,SUP_CONTROL!$C$8*IF($B28="V",1,IF($B28="D",(1+SUP_VOLUMEN!$C$26),(1+SUP_VOLUMEN!$C$27)))*INDEX(SUP_C3_EXPANSION!$C$6:$F$6,MIN(4,COUNTIF(CAPA3_EXPANSION!$D$56:DM$56,"&gt;="&amp;21)))*CAPA3_EXPANSION!DM$36)</f>
        <v>4586.4</v>
      </c>
      <c r="DN28" s="298" t="n">
        <f aca="false">IF(COUNTIF(CAPA3_EXPANSION!$D$56:DN$56,"&gt;="&amp;21)=0,0,SUP_CONTROL!$C$8*IF($B28="V",1,IF($B28="D",(1+SUP_VOLUMEN!$C$26),(1+SUP_VOLUMEN!$C$27)))*INDEX(SUP_C3_EXPANSION!$C$6:$F$6,MIN(4,COUNTIF(CAPA3_EXPANSION!$D$56:DN$56,"&gt;="&amp;21)))*CAPA3_EXPANSION!DN$36)</f>
        <v>4586.4</v>
      </c>
      <c r="DO28" s="298" t="n">
        <f aca="false">IF(COUNTIF(CAPA3_EXPANSION!$D$56:DO$56,"&gt;="&amp;21)=0,0,SUP_CONTROL!$C$8*IF($B28="V",1,IF($B28="D",(1+SUP_VOLUMEN!$C$26),(1+SUP_VOLUMEN!$C$27)))*INDEX(SUP_C3_EXPANSION!$C$6:$F$6,MIN(4,COUNTIF(CAPA3_EXPANSION!$D$56:DO$56,"&gt;="&amp;21)))*CAPA3_EXPANSION!DO$36)</f>
        <v>4586.4</v>
      </c>
      <c r="DP28" s="298" t="n">
        <f aca="false">IF(COUNTIF(CAPA3_EXPANSION!$D$56:DP$56,"&gt;="&amp;21)=0,0,SUP_CONTROL!$C$8*IF($B28="V",1,IF($B28="D",(1+SUP_VOLUMEN!$C$26),(1+SUP_VOLUMEN!$C$27)))*INDEX(SUP_C3_EXPANSION!$C$6:$F$6,MIN(4,COUNTIF(CAPA3_EXPANSION!$D$56:DP$56,"&gt;="&amp;21)))*CAPA3_EXPANSION!DP$36)</f>
        <v>4586.4</v>
      </c>
      <c r="DQ28" s="298" t="n">
        <f aca="false">IF(COUNTIF(CAPA3_EXPANSION!$D$56:DQ$56,"&gt;="&amp;21)=0,0,SUP_CONTROL!$C$8*IF($B28="V",1,IF($B28="D",(1+SUP_VOLUMEN!$C$26),(1+SUP_VOLUMEN!$C$27)))*INDEX(SUP_C3_EXPANSION!$C$6:$F$6,MIN(4,COUNTIF(CAPA3_EXPANSION!$D$56:DQ$56,"&gt;="&amp;21)))*CAPA3_EXPANSION!DQ$36)</f>
        <v>4586.4</v>
      </c>
      <c r="DR28" s="298" t="n">
        <f aca="false">IF(COUNTIF(CAPA3_EXPANSION!$D$56:DR$56,"&gt;="&amp;21)=0,0,SUP_CONTROL!$C$8*IF($B28="V",1,IF($B28="D",(1+SUP_VOLUMEN!$C$26),(1+SUP_VOLUMEN!$C$27)))*INDEX(SUP_C3_EXPANSION!$C$6:$F$6,MIN(4,COUNTIF(CAPA3_EXPANSION!$D$56:DR$56,"&gt;="&amp;21)))*CAPA3_EXPANSION!DR$36)</f>
        <v>4586.4</v>
      </c>
      <c r="DS28" s="298" t="n">
        <f aca="false">IF(COUNTIF(CAPA3_EXPANSION!$D$56:DS$56,"&gt;="&amp;21)=0,0,SUP_CONTROL!$C$8*IF($B28="V",1,IF($B28="D",(1+SUP_VOLUMEN!$C$26),(1+SUP_VOLUMEN!$C$27)))*INDEX(SUP_C3_EXPANSION!$C$6:$F$6,MIN(4,COUNTIF(CAPA3_EXPANSION!$D$56:DS$56,"&gt;="&amp;21)))*CAPA3_EXPANSION!DS$36)</f>
        <v>4586.4</v>
      </c>
    </row>
    <row r="29" customFormat="false" ht="15" hidden="false" customHeight="true" outlineLevel="0" collapsed="false">
      <c r="A29" s="298" t="n">
        <v>32</v>
      </c>
      <c r="B29" s="497" t="str">
        <f aca="false">SUP_C3_EXPANSION!B41</f>
        <v>V</v>
      </c>
      <c r="C29" s="267" t="n">
        <f aca="false">SUP_C3_EXPANSION!G41</f>
        <v>63</v>
      </c>
      <c r="D29" s="298" t="n">
        <f aca="false">IF(COUNTIF(CAPA3_EXPANSION!$D$56:D$56,"&gt;="&amp;22)=0,0,SUP_CONTROL!$C$8*IF($B29="V",1,IF($B29="D",(1+SUP_VOLUMEN!$C$26),(1+SUP_VOLUMEN!$C$27)))*INDEX(SUP_C3_EXPANSION!$C$6:$F$6,MIN(4,COUNTIF(CAPA3_EXPANSION!$D$56:D$56,"&gt;="&amp;22)))*CAPA3_EXPANSION!D$36)</f>
        <v>0</v>
      </c>
      <c r="E29" s="298" t="n">
        <f aca="false">IF(COUNTIF(CAPA3_EXPANSION!$D$56:E$56,"&gt;="&amp;22)=0,0,SUP_CONTROL!$C$8*IF($B29="V",1,IF($B29="D",(1+SUP_VOLUMEN!$C$26),(1+SUP_VOLUMEN!$C$27)))*INDEX(SUP_C3_EXPANSION!$C$6:$F$6,MIN(4,COUNTIF(CAPA3_EXPANSION!$D$56:E$56,"&gt;="&amp;22)))*CAPA3_EXPANSION!E$36)</f>
        <v>0</v>
      </c>
      <c r="F29" s="298" t="n">
        <f aca="false">IF(COUNTIF(CAPA3_EXPANSION!$D$56:F$56,"&gt;="&amp;22)=0,0,SUP_CONTROL!$C$8*IF($B29="V",1,IF($B29="D",(1+SUP_VOLUMEN!$C$26),(1+SUP_VOLUMEN!$C$27)))*INDEX(SUP_C3_EXPANSION!$C$6:$F$6,MIN(4,COUNTIF(CAPA3_EXPANSION!$D$56:F$56,"&gt;="&amp;22)))*CAPA3_EXPANSION!F$36)</f>
        <v>0</v>
      </c>
      <c r="G29" s="298" t="n">
        <f aca="false">IF(COUNTIF(CAPA3_EXPANSION!$D$56:G$56,"&gt;="&amp;22)=0,0,SUP_CONTROL!$C$8*IF($B29="V",1,IF($B29="D",(1+SUP_VOLUMEN!$C$26),(1+SUP_VOLUMEN!$C$27)))*INDEX(SUP_C3_EXPANSION!$C$6:$F$6,MIN(4,COUNTIF(CAPA3_EXPANSION!$D$56:G$56,"&gt;="&amp;22)))*CAPA3_EXPANSION!G$36)</f>
        <v>0</v>
      </c>
      <c r="H29" s="298" t="n">
        <f aca="false">IF(COUNTIF(CAPA3_EXPANSION!$D$56:H$56,"&gt;="&amp;22)=0,0,SUP_CONTROL!$C$8*IF($B29="V",1,IF($B29="D",(1+SUP_VOLUMEN!$C$26),(1+SUP_VOLUMEN!$C$27)))*INDEX(SUP_C3_EXPANSION!$C$6:$F$6,MIN(4,COUNTIF(CAPA3_EXPANSION!$D$56:H$56,"&gt;="&amp;22)))*CAPA3_EXPANSION!H$36)</f>
        <v>0</v>
      </c>
      <c r="I29" s="298" t="n">
        <f aca="false">IF(COUNTIF(CAPA3_EXPANSION!$D$56:I$56,"&gt;="&amp;22)=0,0,SUP_CONTROL!$C$8*IF($B29="V",1,IF($B29="D",(1+SUP_VOLUMEN!$C$26),(1+SUP_VOLUMEN!$C$27)))*INDEX(SUP_C3_EXPANSION!$C$6:$F$6,MIN(4,COUNTIF(CAPA3_EXPANSION!$D$56:I$56,"&gt;="&amp;22)))*CAPA3_EXPANSION!I$36)</f>
        <v>0</v>
      </c>
      <c r="J29" s="298" t="n">
        <f aca="false">IF(COUNTIF(CAPA3_EXPANSION!$D$56:J$56,"&gt;="&amp;22)=0,0,SUP_CONTROL!$C$8*IF($B29="V",1,IF($B29="D",(1+SUP_VOLUMEN!$C$26),(1+SUP_VOLUMEN!$C$27)))*INDEX(SUP_C3_EXPANSION!$C$6:$F$6,MIN(4,COUNTIF(CAPA3_EXPANSION!$D$56:J$56,"&gt;="&amp;22)))*CAPA3_EXPANSION!J$36)</f>
        <v>0</v>
      </c>
      <c r="K29" s="298" t="n">
        <f aca="false">IF(COUNTIF(CAPA3_EXPANSION!$D$56:K$56,"&gt;="&amp;22)=0,0,SUP_CONTROL!$C$8*IF($B29="V",1,IF($B29="D",(1+SUP_VOLUMEN!$C$26),(1+SUP_VOLUMEN!$C$27)))*INDEX(SUP_C3_EXPANSION!$C$6:$F$6,MIN(4,COUNTIF(CAPA3_EXPANSION!$D$56:K$56,"&gt;="&amp;22)))*CAPA3_EXPANSION!K$36)</f>
        <v>0</v>
      </c>
      <c r="L29" s="298" t="n">
        <f aca="false">IF(COUNTIF(CAPA3_EXPANSION!$D$56:L$56,"&gt;="&amp;22)=0,0,SUP_CONTROL!$C$8*IF($B29="V",1,IF($B29="D",(1+SUP_VOLUMEN!$C$26),(1+SUP_VOLUMEN!$C$27)))*INDEX(SUP_C3_EXPANSION!$C$6:$F$6,MIN(4,COUNTIF(CAPA3_EXPANSION!$D$56:L$56,"&gt;="&amp;22)))*CAPA3_EXPANSION!L$36)</f>
        <v>0</v>
      </c>
      <c r="M29" s="298" t="n">
        <f aca="false">IF(COUNTIF(CAPA3_EXPANSION!$D$56:M$56,"&gt;="&amp;22)=0,0,SUP_CONTROL!$C$8*IF($B29="V",1,IF($B29="D",(1+SUP_VOLUMEN!$C$26),(1+SUP_VOLUMEN!$C$27)))*INDEX(SUP_C3_EXPANSION!$C$6:$F$6,MIN(4,COUNTIF(CAPA3_EXPANSION!$D$56:M$56,"&gt;="&amp;22)))*CAPA3_EXPANSION!M$36)</f>
        <v>0</v>
      </c>
      <c r="N29" s="298" t="n">
        <f aca="false">IF(COUNTIF(CAPA3_EXPANSION!$D$56:N$56,"&gt;="&amp;22)=0,0,SUP_CONTROL!$C$8*IF($B29="V",1,IF($B29="D",(1+SUP_VOLUMEN!$C$26),(1+SUP_VOLUMEN!$C$27)))*INDEX(SUP_C3_EXPANSION!$C$6:$F$6,MIN(4,COUNTIF(CAPA3_EXPANSION!$D$56:N$56,"&gt;="&amp;22)))*CAPA3_EXPANSION!N$36)</f>
        <v>0</v>
      </c>
      <c r="O29" s="298" t="n">
        <f aca="false">IF(COUNTIF(CAPA3_EXPANSION!$D$56:O$56,"&gt;="&amp;22)=0,0,SUP_CONTROL!$C$8*IF($B29="V",1,IF($B29="D",(1+SUP_VOLUMEN!$C$26),(1+SUP_VOLUMEN!$C$27)))*INDEX(SUP_C3_EXPANSION!$C$6:$F$6,MIN(4,COUNTIF(CAPA3_EXPANSION!$D$56:O$56,"&gt;="&amp;22)))*CAPA3_EXPANSION!O$36)</f>
        <v>0</v>
      </c>
      <c r="P29" s="298" t="n">
        <f aca="false">IF(COUNTIF(CAPA3_EXPANSION!$D$56:P$56,"&gt;="&amp;22)=0,0,SUP_CONTROL!$C$8*IF($B29="V",1,IF($B29="D",(1+SUP_VOLUMEN!$C$26),(1+SUP_VOLUMEN!$C$27)))*INDEX(SUP_C3_EXPANSION!$C$6:$F$6,MIN(4,COUNTIF(CAPA3_EXPANSION!$D$56:P$56,"&gt;="&amp;22)))*CAPA3_EXPANSION!P$36)</f>
        <v>0</v>
      </c>
      <c r="Q29" s="298" t="n">
        <f aca="false">IF(COUNTIF(CAPA3_EXPANSION!$D$56:Q$56,"&gt;="&amp;22)=0,0,SUP_CONTROL!$C$8*IF($B29="V",1,IF($B29="D",(1+SUP_VOLUMEN!$C$26),(1+SUP_VOLUMEN!$C$27)))*INDEX(SUP_C3_EXPANSION!$C$6:$F$6,MIN(4,COUNTIF(CAPA3_EXPANSION!$D$56:Q$56,"&gt;="&amp;22)))*CAPA3_EXPANSION!Q$36)</f>
        <v>0</v>
      </c>
      <c r="R29" s="298" t="n">
        <f aca="false">IF(COUNTIF(CAPA3_EXPANSION!$D$56:R$56,"&gt;="&amp;22)=0,0,SUP_CONTROL!$C$8*IF($B29="V",1,IF($B29="D",(1+SUP_VOLUMEN!$C$26),(1+SUP_VOLUMEN!$C$27)))*INDEX(SUP_C3_EXPANSION!$C$6:$F$6,MIN(4,COUNTIF(CAPA3_EXPANSION!$D$56:R$56,"&gt;="&amp;22)))*CAPA3_EXPANSION!R$36)</f>
        <v>0</v>
      </c>
      <c r="S29" s="298" t="n">
        <f aca="false">IF(COUNTIF(CAPA3_EXPANSION!$D$56:S$56,"&gt;="&amp;22)=0,0,SUP_CONTROL!$C$8*IF($B29="V",1,IF($B29="D",(1+SUP_VOLUMEN!$C$26),(1+SUP_VOLUMEN!$C$27)))*INDEX(SUP_C3_EXPANSION!$C$6:$F$6,MIN(4,COUNTIF(CAPA3_EXPANSION!$D$56:S$56,"&gt;="&amp;22)))*CAPA3_EXPANSION!S$36)</f>
        <v>0</v>
      </c>
      <c r="T29" s="298" t="n">
        <f aca="false">IF(COUNTIF(CAPA3_EXPANSION!$D$56:T$56,"&gt;="&amp;22)=0,0,SUP_CONTROL!$C$8*IF($B29="V",1,IF($B29="D",(1+SUP_VOLUMEN!$C$26),(1+SUP_VOLUMEN!$C$27)))*INDEX(SUP_C3_EXPANSION!$C$6:$F$6,MIN(4,COUNTIF(CAPA3_EXPANSION!$D$56:T$56,"&gt;="&amp;22)))*CAPA3_EXPANSION!T$36)</f>
        <v>0</v>
      </c>
      <c r="U29" s="298" t="n">
        <f aca="false">IF(COUNTIF(CAPA3_EXPANSION!$D$56:U$56,"&gt;="&amp;22)=0,0,SUP_CONTROL!$C$8*IF($B29="V",1,IF($B29="D",(1+SUP_VOLUMEN!$C$26),(1+SUP_VOLUMEN!$C$27)))*INDEX(SUP_C3_EXPANSION!$C$6:$F$6,MIN(4,COUNTIF(CAPA3_EXPANSION!$D$56:U$56,"&gt;="&amp;22)))*CAPA3_EXPANSION!U$36)</f>
        <v>0</v>
      </c>
      <c r="V29" s="298" t="n">
        <f aca="false">IF(COUNTIF(CAPA3_EXPANSION!$D$56:V$56,"&gt;="&amp;22)=0,0,SUP_CONTROL!$C$8*IF($B29="V",1,IF($B29="D",(1+SUP_VOLUMEN!$C$26),(1+SUP_VOLUMEN!$C$27)))*INDEX(SUP_C3_EXPANSION!$C$6:$F$6,MIN(4,COUNTIF(CAPA3_EXPANSION!$D$56:V$56,"&gt;="&amp;22)))*CAPA3_EXPANSION!V$36)</f>
        <v>0</v>
      </c>
      <c r="W29" s="298" t="n">
        <f aca="false">IF(COUNTIF(CAPA3_EXPANSION!$D$56:W$56,"&gt;="&amp;22)=0,0,SUP_CONTROL!$C$8*IF($B29="V",1,IF($B29="D",(1+SUP_VOLUMEN!$C$26),(1+SUP_VOLUMEN!$C$27)))*INDEX(SUP_C3_EXPANSION!$C$6:$F$6,MIN(4,COUNTIF(CAPA3_EXPANSION!$D$56:W$56,"&gt;="&amp;22)))*CAPA3_EXPANSION!W$36)</f>
        <v>0</v>
      </c>
      <c r="X29" s="298" t="n">
        <f aca="false">IF(COUNTIF(CAPA3_EXPANSION!$D$56:X$56,"&gt;="&amp;22)=0,0,SUP_CONTROL!$C$8*IF($B29="V",1,IF($B29="D",(1+SUP_VOLUMEN!$C$26),(1+SUP_VOLUMEN!$C$27)))*INDEX(SUP_C3_EXPANSION!$C$6:$F$6,MIN(4,COUNTIF(CAPA3_EXPANSION!$D$56:X$56,"&gt;="&amp;22)))*CAPA3_EXPANSION!X$36)</f>
        <v>0</v>
      </c>
      <c r="Y29" s="298" t="n">
        <f aca="false">IF(COUNTIF(CAPA3_EXPANSION!$D$56:Y$56,"&gt;="&amp;22)=0,0,SUP_CONTROL!$C$8*IF($B29="V",1,IF($B29="D",(1+SUP_VOLUMEN!$C$26),(1+SUP_VOLUMEN!$C$27)))*INDEX(SUP_C3_EXPANSION!$C$6:$F$6,MIN(4,COUNTIF(CAPA3_EXPANSION!$D$56:Y$56,"&gt;="&amp;22)))*CAPA3_EXPANSION!Y$36)</f>
        <v>0</v>
      </c>
      <c r="Z29" s="298" t="n">
        <f aca="false">IF(COUNTIF(CAPA3_EXPANSION!$D$56:Z$56,"&gt;="&amp;22)=0,0,SUP_CONTROL!$C$8*IF($B29="V",1,IF($B29="D",(1+SUP_VOLUMEN!$C$26),(1+SUP_VOLUMEN!$C$27)))*INDEX(SUP_C3_EXPANSION!$C$6:$F$6,MIN(4,COUNTIF(CAPA3_EXPANSION!$D$56:Z$56,"&gt;="&amp;22)))*CAPA3_EXPANSION!Z$36)</f>
        <v>0</v>
      </c>
      <c r="AA29" s="298" t="n">
        <f aca="false">IF(COUNTIF(CAPA3_EXPANSION!$D$56:AA$56,"&gt;="&amp;22)=0,0,SUP_CONTROL!$C$8*IF($B29="V",1,IF($B29="D",(1+SUP_VOLUMEN!$C$26),(1+SUP_VOLUMEN!$C$27)))*INDEX(SUP_C3_EXPANSION!$C$6:$F$6,MIN(4,COUNTIF(CAPA3_EXPANSION!$D$56:AA$56,"&gt;="&amp;22)))*CAPA3_EXPANSION!AA$36)</f>
        <v>0</v>
      </c>
      <c r="AB29" s="298" t="n">
        <f aca="false">IF(COUNTIF(CAPA3_EXPANSION!$D$56:AB$56,"&gt;="&amp;22)=0,0,SUP_CONTROL!$C$8*IF($B29="V",1,IF($B29="D",(1+SUP_VOLUMEN!$C$26),(1+SUP_VOLUMEN!$C$27)))*INDEX(SUP_C3_EXPANSION!$C$6:$F$6,MIN(4,COUNTIF(CAPA3_EXPANSION!$D$56:AB$56,"&gt;="&amp;22)))*CAPA3_EXPANSION!AB$36)</f>
        <v>0</v>
      </c>
      <c r="AC29" s="298" t="n">
        <f aca="false">IF(COUNTIF(CAPA3_EXPANSION!$D$56:AC$56,"&gt;="&amp;22)=0,0,SUP_CONTROL!$C$8*IF($B29="V",1,IF($B29="D",(1+SUP_VOLUMEN!$C$26),(1+SUP_VOLUMEN!$C$27)))*INDEX(SUP_C3_EXPANSION!$C$6:$F$6,MIN(4,COUNTIF(CAPA3_EXPANSION!$D$56:AC$56,"&gt;="&amp;22)))*CAPA3_EXPANSION!AC$36)</f>
        <v>0</v>
      </c>
      <c r="AD29" s="298" t="n">
        <f aca="false">IF(COUNTIF(CAPA3_EXPANSION!$D$56:AD$56,"&gt;="&amp;22)=0,0,SUP_CONTROL!$C$8*IF($B29="V",1,IF($B29="D",(1+SUP_VOLUMEN!$C$26),(1+SUP_VOLUMEN!$C$27)))*INDEX(SUP_C3_EXPANSION!$C$6:$F$6,MIN(4,COUNTIF(CAPA3_EXPANSION!$D$56:AD$56,"&gt;="&amp;22)))*CAPA3_EXPANSION!AD$36)</f>
        <v>0</v>
      </c>
      <c r="AE29" s="298" t="n">
        <f aca="false">IF(COUNTIF(CAPA3_EXPANSION!$D$56:AE$56,"&gt;="&amp;22)=0,0,SUP_CONTROL!$C$8*IF($B29="V",1,IF($B29="D",(1+SUP_VOLUMEN!$C$26),(1+SUP_VOLUMEN!$C$27)))*INDEX(SUP_C3_EXPANSION!$C$6:$F$6,MIN(4,COUNTIF(CAPA3_EXPANSION!$D$56:AE$56,"&gt;="&amp;22)))*CAPA3_EXPANSION!AE$36)</f>
        <v>0</v>
      </c>
      <c r="AF29" s="298" t="n">
        <f aca="false">IF(COUNTIF(CAPA3_EXPANSION!$D$56:AF$56,"&gt;="&amp;22)=0,0,SUP_CONTROL!$C$8*IF($B29="V",1,IF($B29="D",(1+SUP_VOLUMEN!$C$26),(1+SUP_VOLUMEN!$C$27)))*INDEX(SUP_C3_EXPANSION!$C$6:$F$6,MIN(4,COUNTIF(CAPA3_EXPANSION!$D$56:AF$56,"&gt;="&amp;22)))*CAPA3_EXPANSION!AF$36)</f>
        <v>0</v>
      </c>
      <c r="AG29" s="298" t="n">
        <f aca="false">IF(COUNTIF(CAPA3_EXPANSION!$D$56:AG$56,"&gt;="&amp;22)=0,0,SUP_CONTROL!$C$8*IF($B29="V",1,IF($B29="D",(1+SUP_VOLUMEN!$C$26),(1+SUP_VOLUMEN!$C$27)))*INDEX(SUP_C3_EXPANSION!$C$6:$F$6,MIN(4,COUNTIF(CAPA3_EXPANSION!$D$56:AG$56,"&gt;="&amp;22)))*CAPA3_EXPANSION!AG$36)</f>
        <v>0</v>
      </c>
      <c r="AH29" s="298" t="n">
        <f aca="false">IF(COUNTIF(CAPA3_EXPANSION!$D$56:AH$56,"&gt;="&amp;22)=0,0,SUP_CONTROL!$C$8*IF($B29="V",1,IF($B29="D",(1+SUP_VOLUMEN!$C$26),(1+SUP_VOLUMEN!$C$27)))*INDEX(SUP_C3_EXPANSION!$C$6:$F$6,MIN(4,COUNTIF(CAPA3_EXPANSION!$D$56:AH$56,"&gt;="&amp;22)))*CAPA3_EXPANSION!AH$36)</f>
        <v>0</v>
      </c>
      <c r="AI29" s="298" t="n">
        <f aca="false">IF(COUNTIF(CAPA3_EXPANSION!$D$56:AI$56,"&gt;="&amp;22)=0,0,SUP_CONTROL!$C$8*IF($B29="V",1,IF($B29="D",(1+SUP_VOLUMEN!$C$26),(1+SUP_VOLUMEN!$C$27)))*INDEX(SUP_C3_EXPANSION!$C$6:$F$6,MIN(4,COUNTIF(CAPA3_EXPANSION!$D$56:AI$56,"&gt;="&amp;22)))*CAPA3_EXPANSION!AI$36)</f>
        <v>0</v>
      </c>
      <c r="AJ29" s="298" t="n">
        <f aca="false">IF(COUNTIF(CAPA3_EXPANSION!$D$56:AJ$56,"&gt;="&amp;22)=0,0,SUP_CONTROL!$C$8*IF($B29="V",1,IF($B29="D",(1+SUP_VOLUMEN!$C$26),(1+SUP_VOLUMEN!$C$27)))*INDEX(SUP_C3_EXPANSION!$C$6:$F$6,MIN(4,COUNTIF(CAPA3_EXPANSION!$D$56:AJ$56,"&gt;="&amp;22)))*CAPA3_EXPANSION!AJ$36)</f>
        <v>0</v>
      </c>
      <c r="AK29" s="298" t="n">
        <f aca="false">IF(COUNTIF(CAPA3_EXPANSION!$D$56:AK$56,"&gt;="&amp;22)=0,0,SUP_CONTROL!$C$8*IF($B29="V",1,IF($B29="D",(1+SUP_VOLUMEN!$C$26),(1+SUP_VOLUMEN!$C$27)))*INDEX(SUP_C3_EXPANSION!$C$6:$F$6,MIN(4,COUNTIF(CAPA3_EXPANSION!$D$56:AK$56,"&gt;="&amp;22)))*CAPA3_EXPANSION!AK$36)</f>
        <v>0</v>
      </c>
      <c r="AL29" s="298" t="n">
        <f aca="false">IF(COUNTIF(CAPA3_EXPANSION!$D$56:AL$56,"&gt;="&amp;22)=0,0,SUP_CONTROL!$C$8*IF($B29="V",1,IF($B29="D",(1+SUP_VOLUMEN!$C$26),(1+SUP_VOLUMEN!$C$27)))*INDEX(SUP_C3_EXPANSION!$C$6:$F$6,MIN(4,COUNTIF(CAPA3_EXPANSION!$D$56:AL$56,"&gt;="&amp;22)))*CAPA3_EXPANSION!AL$36)</f>
        <v>0</v>
      </c>
      <c r="AM29" s="298" t="n">
        <f aca="false">IF(COUNTIF(CAPA3_EXPANSION!$D$56:AM$56,"&gt;="&amp;22)=0,0,SUP_CONTROL!$C$8*IF($B29="V",1,IF($B29="D",(1+SUP_VOLUMEN!$C$26),(1+SUP_VOLUMEN!$C$27)))*INDEX(SUP_C3_EXPANSION!$C$6:$F$6,MIN(4,COUNTIF(CAPA3_EXPANSION!$D$56:AM$56,"&gt;="&amp;22)))*CAPA3_EXPANSION!AM$36)</f>
        <v>0</v>
      </c>
      <c r="AN29" s="298" t="n">
        <f aca="false">IF(COUNTIF(CAPA3_EXPANSION!$D$56:AN$56,"&gt;="&amp;22)=0,0,SUP_CONTROL!$C$8*IF($B29="V",1,IF($B29="D",(1+SUP_VOLUMEN!$C$26),(1+SUP_VOLUMEN!$C$27)))*INDEX(SUP_C3_EXPANSION!$C$6:$F$6,MIN(4,COUNTIF(CAPA3_EXPANSION!$D$56:AN$56,"&gt;="&amp;22)))*CAPA3_EXPANSION!AN$36)</f>
        <v>0</v>
      </c>
      <c r="AO29" s="298" t="n">
        <f aca="false">IF(COUNTIF(CAPA3_EXPANSION!$D$56:AO$56,"&gt;="&amp;22)=0,0,SUP_CONTROL!$C$8*IF($B29="V",1,IF($B29="D",(1+SUP_VOLUMEN!$C$26),(1+SUP_VOLUMEN!$C$27)))*INDEX(SUP_C3_EXPANSION!$C$6:$F$6,MIN(4,COUNTIF(CAPA3_EXPANSION!$D$56:AO$56,"&gt;="&amp;22)))*CAPA3_EXPANSION!AO$36)</f>
        <v>0</v>
      </c>
      <c r="AP29" s="298" t="n">
        <f aca="false">IF(COUNTIF(CAPA3_EXPANSION!$D$56:AP$56,"&gt;="&amp;22)=0,0,SUP_CONTROL!$C$8*IF($B29="V",1,IF($B29="D",(1+SUP_VOLUMEN!$C$26),(1+SUP_VOLUMEN!$C$27)))*INDEX(SUP_C3_EXPANSION!$C$6:$F$6,MIN(4,COUNTIF(CAPA3_EXPANSION!$D$56:AP$56,"&gt;="&amp;22)))*CAPA3_EXPANSION!AP$36)</f>
        <v>0</v>
      </c>
      <c r="AQ29" s="298" t="n">
        <f aca="false">IF(COUNTIF(CAPA3_EXPANSION!$D$56:AQ$56,"&gt;="&amp;22)=0,0,SUP_CONTROL!$C$8*IF($B29="V",1,IF($B29="D",(1+SUP_VOLUMEN!$C$26),(1+SUP_VOLUMEN!$C$27)))*INDEX(SUP_C3_EXPANSION!$C$6:$F$6,MIN(4,COUNTIF(CAPA3_EXPANSION!$D$56:AQ$56,"&gt;="&amp;22)))*CAPA3_EXPANSION!AQ$36)</f>
        <v>0</v>
      </c>
      <c r="AR29" s="298" t="n">
        <f aca="false">IF(COUNTIF(CAPA3_EXPANSION!$D$56:AR$56,"&gt;="&amp;22)=0,0,SUP_CONTROL!$C$8*IF($B29="V",1,IF($B29="D",(1+SUP_VOLUMEN!$C$26),(1+SUP_VOLUMEN!$C$27)))*INDEX(SUP_C3_EXPANSION!$C$6:$F$6,MIN(4,COUNTIF(CAPA3_EXPANSION!$D$56:AR$56,"&gt;="&amp;22)))*CAPA3_EXPANSION!AR$36)</f>
        <v>0</v>
      </c>
      <c r="AS29" s="298" t="n">
        <f aca="false">IF(COUNTIF(CAPA3_EXPANSION!$D$56:AS$56,"&gt;="&amp;22)=0,0,SUP_CONTROL!$C$8*IF($B29="V",1,IF($B29="D",(1+SUP_VOLUMEN!$C$26),(1+SUP_VOLUMEN!$C$27)))*INDEX(SUP_C3_EXPANSION!$C$6:$F$6,MIN(4,COUNTIF(CAPA3_EXPANSION!$D$56:AS$56,"&gt;="&amp;22)))*CAPA3_EXPANSION!AS$36)</f>
        <v>0</v>
      </c>
      <c r="AT29" s="298" t="n">
        <f aca="false">IF(COUNTIF(CAPA3_EXPANSION!$D$56:AT$56,"&gt;="&amp;22)=0,0,SUP_CONTROL!$C$8*IF($B29="V",1,IF($B29="D",(1+SUP_VOLUMEN!$C$26),(1+SUP_VOLUMEN!$C$27)))*INDEX(SUP_C3_EXPANSION!$C$6:$F$6,MIN(4,COUNTIF(CAPA3_EXPANSION!$D$56:AT$56,"&gt;="&amp;22)))*CAPA3_EXPANSION!AT$36)</f>
        <v>0</v>
      </c>
      <c r="AU29" s="298" t="n">
        <f aca="false">IF(COUNTIF(CAPA3_EXPANSION!$D$56:AU$56,"&gt;="&amp;22)=0,0,SUP_CONTROL!$C$8*IF($B29="V",1,IF($B29="D",(1+SUP_VOLUMEN!$C$26),(1+SUP_VOLUMEN!$C$27)))*INDEX(SUP_C3_EXPANSION!$C$6:$F$6,MIN(4,COUNTIF(CAPA3_EXPANSION!$D$56:AU$56,"&gt;="&amp;22)))*CAPA3_EXPANSION!AU$36)</f>
        <v>0</v>
      </c>
      <c r="AV29" s="298" t="n">
        <f aca="false">IF(COUNTIF(CAPA3_EXPANSION!$D$56:AV$56,"&gt;="&amp;22)=0,0,SUP_CONTROL!$C$8*IF($B29="V",1,IF($B29="D",(1+SUP_VOLUMEN!$C$26),(1+SUP_VOLUMEN!$C$27)))*INDEX(SUP_C3_EXPANSION!$C$6:$F$6,MIN(4,COUNTIF(CAPA3_EXPANSION!$D$56:AV$56,"&gt;="&amp;22)))*CAPA3_EXPANSION!AV$36)</f>
        <v>0</v>
      </c>
      <c r="AW29" s="298" t="n">
        <f aca="false">IF(COUNTIF(CAPA3_EXPANSION!$D$56:AW$56,"&gt;="&amp;22)=0,0,SUP_CONTROL!$C$8*IF($B29="V",1,IF($B29="D",(1+SUP_VOLUMEN!$C$26),(1+SUP_VOLUMEN!$C$27)))*INDEX(SUP_C3_EXPANSION!$C$6:$F$6,MIN(4,COUNTIF(CAPA3_EXPANSION!$D$56:AW$56,"&gt;="&amp;22)))*CAPA3_EXPANSION!AW$36)</f>
        <v>0</v>
      </c>
      <c r="AX29" s="298" t="n">
        <f aca="false">IF(COUNTIF(CAPA3_EXPANSION!$D$56:AX$56,"&gt;="&amp;22)=0,0,SUP_CONTROL!$C$8*IF($B29="V",1,IF($B29="D",(1+SUP_VOLUMEN!$C$26),(1+SUP_VOLUMEN!$C$27)))*INDEX(SUP_C3_EXPANSION!$C$6:$F$6,MIN(4,COUNTIF(CAPA3_EXPANSION!$D$56:AX$56,"&gt;="&amp;22)))*CAPA3_EXPANSION!AX$36)</f>
        <v>0</v>
      </c>
      <c r="AY29" s="298" t="n">
        <f aca="false">IF(COUNTIF(CAPA3_EXPANSION!$D$56:AY$56,"&gt;="&amp;22)=0,0,SUP_CONTROL!$C$8*IF($B29="V",1,IF($B29="D",(1+SUP_VOLUMEN!$C$26),(1+SUP_VOLUMEN!$C$27)))*INDEX(SUP_C3_EXPANSION!$C$6:$F$6,MIN(4,COUNTIF(CAPA3_EXPANSION!$D$56:AY$56,"&gt;="&amp;22)))*CAPA3_EXPANSION!AY$36)</f>
        <v>0</v>
      </c>
      <c r="AZ29" s="298" t="n">
        <f aca="false">IF(COUNTIF(CAPA3_EXPANSION!$D$56:AZ$56,"&gt;="&amp;22)=0,0,SUP_CONTROL!$C$8*IF($B29="V",1,IF($B29="D",(1+SUP_VOLUMEN!$C$26),(1+SUP_VOLUMEN!$C$27)))*INDEX(SUP_C3_EXPANSION!$C$6:$F$6,MIN(4,COUNTIF(CAPA3_EXPANSION!$D$56:AZ$56,"&gt;="&amp;22)))*CAPA3_EXPANSION!AZ$36)</f>
        <v>0</v>
      </c>
      <c r="BA29" s="298" t="n">
        <f aca="false">IF(COUNTIF(CAPA3_EXPANSION!$D$56:BA$56,"&gt;="&amp;22)=0,0,SUP_CONTROL!$C$8*IF($B29="V",1,IF($B29="D",(1+SUP_VOLUMEN!$C$26),(1+SUP_VOLUMEN!$C$27)))*INDEX(SUP_C3_EXPANSION!$C$6:$F$6,MIN(4,COUNTIF(CAPA3_EXPANSION!$D$56:BA$56,"&gt;="&amp;22)))*CAPA3_EXPANSION!BA$36)</f>
        <v>0</v>
      </c>
      <c r="BB29" s="298" t="n">
        <f aca="false">IF(COUNTIF(CAPA3_EXPANSION!$D$56:BB$56,"&gt;="&amp;22)=0,0,SUP_CONTROL!$C$8*IF($B29="V",1,IF($B29="D",(1+SUP_VOLUMEN!$C$26),(1+SUP_VOLUMEN!$C$27)))*INDEX(SUP_C3_EXPANSION!$C$6:$F$6,MIN(4,COUNTIF(CAPA3_EXPANSION!$D$56:BB$56,"&gt;="&amp;22)))*CAPA3_EXPANSION!BB$36)</f>
        <v>0</v>
      </c>
      <c r="BC29" s="298" t="n">
        <f aca="false">IF(COUNTIF(CAPA3_EXPANSION!$D$56:BC$56,"&gt;="&amp;22)=0,0,SUP_CONTROL!$C$8*IF($B29="V",1,IF($B29="D",(1+SUP_VOLUMEN!$C$26),(1+SUP_VOLUMEN!$C$27)))*INDEX(SUP_C3_EXPANSION!$C$6:$F$6,MIN(4,COUNTIF(CAPA3_EXPANSION!$D$56:BC$56,"&gt;="&amp;22)))*CAPA3_EXPANSION!BC$36)</f>
        <v>0</v>
      </c>
      <c r="BD29" s="298" t="n">
        <f aca="false">IF(COUNTIF(CAPA3_EXPANSION!$D$56:BD$56,"&gt;="&amp;22)=0,0,SUP_CONTROL!$C$8*IF($B29="V",1,IF($B29="D",(1+SUP_VOLUMEN!$C$26),(1+SUP_VOLUMEN!$C$27)))*INDEX(SUP_C3_EXPANSION!$C$6:$F$6,MIN(4,COUNTIF(CAPA3_EXPANSION!$D$56:BD$56,"&gt;="&amp;22)))*CAPA3_EXPANSION!BD$36)</f>
        <v>0</v>
      </c>
      <c r="BE29" s="298" t="n">
        <f aca="false">IF(COUNTIF(CAPA3_EXPANSION!$D$56:BE$56,"&gt;="&amp;22)=0,0,SUP_CONTROL!$C$8*IF($B29="V",1,IF($B29="D",(1+SUP_VOLUMEN!$C$26),(1+SUP_VOLUMEN!$C$27)))*INDEX(SUP_C3_EXPANSION!$C$6:$F$6,MIN(4,COUNTIF(CAPA3_EXPANSION!$D$56:BE$56,"&gt;="&amp;22)))*CAPA3_EXPANSION!BE$36)</f>
        <v>0</v>
      </c>
      <c r="BF29" s="298" t="n">
        <f aca="false">IF(COUNTIF(CAPA3_EXPANSION!$D$56:BF$56,"&gt;="&amp;22)=0,0,SUP_CONTROL!$C$8*IF($B29="V",1,IF($B29="D",(1+SUP_VOLUMEN!$C$26),(1+SUP_VOLUMEN!$C$27)))*INDEX(SUP_C3_EXPANSION!$C$6:$F$6,MIN(4,COUNTIF(CAPA3_EXPANSION!$D$56:BF$56,"&gt;="&amp;22)))*CAPA3_EXPANSION!BF$36)</f>
        <v>0</v>
      </c>
      <c r="BG29" s="298" t="n">
        <f aca="false">IF(COUNTIF(CAPA3_EXPANSION!$D$56:BG$56,"&gt;="&amp;22)=0,0,SUP_CONTROL!$C$8*IF($B29="V",1,IF($B29="D",(1+SUP_VOLUMEN!$C$26),(1+SUP_VOLUMEN!$C$27)))*INDEX(SUP_C3_EXPANSION!$C$6:$F$6,MIN(4,COUNTIF(CAPA3_EXPANSION!$D$56:BG$56,"&gt;="&amp;22)))*CAPA3_EXPANSION!BG$36)</f>
        <v>0</v>
      </c>
      <c r="BH29" s="298" t="n">
        <f aca="false">IF(COUNTIF(CAPA3_EXPANSION!$D$56:BH$56,"&gt;="&amp;22)=0,0,SUP_CONTROL!$C$8*IF($B29="V",1,IF($B29="D",(1+SUP_VOLUMEN!$C$26),(1+SUP_VOLUMEN!$C$27)))*INDEX(SUP_C3_EXPANSION!$C$6:$F$6,MIN(4,COUNTIF(CAPA3_EXPANSION!$D$56:BH$56,"&gt;="&amp;22)))*CAPA3_EXPANSION!BH$36)</f>
        <v>0</v>
      </c>
      <c r="BI29" s="298" t="n">
        <f aca="false">IF(COUNTIF(CAPA3_EXPANSION!$D$56:BI$56,"&gt;="&amp;22)=0,0,SUP_CONTROL!$C$8*IF($B29="V",1,IF($B29="D",(1+SUP_VOLUMEN!$C$26),(1+SUP_VOLUMEN!$C$27)))*INDEX(SUP_C3_EXPANSION!$C$6:$F$6,MIN(4,COUNTIF(CAPA3_EXPANSION!$D$56:BI$56,"&gt;="&amp;22)))*CAPA3_EXPANSION!BI$36)</f>
        <v>0</v>
      </c>
      <c r="BJ29" s="298" t="n">
        <f aca="false">IF(COUNTIF(CAPA3_EXPANSION!$D$56:BJ$56,"&gt;="&amp;22)=0,0,SUP_CONTROL!$C$8*IF($B29="V",1,IF($B29="D",(1+SUP_VOLUMEN!$C$26),(1+SUP_VOLUMEN!$C$27)))*INDEX(SUP_C3_EXPANSION!$C$6:$F$6,MIN(4,COUNTIF(CAPA3_EXPANSION!$D$56:BJ$56,"&gt;="&amp;22)))*CAPA3_EXPANSION!BJ$36)</f>
        <v>0</v>
      </c>
      <c r="BK29" s="298" t="n">
        <f aca="false">IF(COUNTIF(CAPA3_EXPANSION!$D$56:BK$56,"&gt;="&amp;22)=0,0,SUP_CONTROL!$C$8*IF($B29="V",1,IF($B29="D",(1+SUP_VOLUMEN!$C$26),(1+SUP_VOLUMEN!$C$27)))*INDEX(SUP_C3_EXPANSION!$C$6:$F$6,MIN(4,COUNTIF(CAPA3_EXPANSION!$D$56:BK$56,"&gt;="&amp;22)))*CAPA3_EXPANSION!BK$36)</f>
        <v>0</v>
      </c>
      <c r="BL29" s="298" t="n">
        <f aca="false">IF(COUNTIF(CAPA3_EXPANSION!$D$56:BL$56,"&gt;="&amp;22)=0,0,SUP_CONTROL!$C$8*IF($B29="V",1,IF($B29="D",(1+SUP_VOLUMEN!$C$26),(1+SUP_VOLUMEN!$C$27)))*INDEX(SUP_C3_EXPANSION!$C$6:$F$6,MIN(4,COUNTIF(CAPA3_EXPANSION!$D$56:BL$56,"&gt;="&amp;22)))*CAPA3_EXPANSION!BL$36)</f>
        <v>0</v>
      </c>
      <c r="BM29" s="298" t="n">
        <f aca="false">IF(COUNTIF(CAPA3_EXPANSION!$D$56:BM$56,"&gt;="&amp;22)=0,0,SUP_CONTROL!$C$8*IF($B29="V",1,IF($B29="D",(1+SUP_VOLUMEN!$C$26),(1+SUP_VOLUMEN!$C$27)))*INDEX(SUP_C3_EXPANSION!$C$6:$F$6,MIN(4,COUNTIF(CAPA3_EXPANSION!$D$56:BM$56,"&gt;="&amp;22)))*CAPA3_EXPANSION!BM$36)</f>
        <v>0</v>
      </c>
      <c r="BN29" s="298" t="n">
        <f aca="false">IF(COUNTIF(CAPA3_EXPANSION!$D$56:BN$56,"&gt;="&amp;22)=0,0,SUP_CONTROL!$C$8*IF($B29="V",1,IF($B29="D",(1+SUP_VOLUMEN!$C$26),(1+SUP_VOLUMEN!$C$27)))*INDEX(SUP_C3_EXPANSION!$C$6:$F$6,MIN(4,COUNTIF(CAPA3_EXPANSION!$D$56:BN$56,"&gt;="&amp;22)))*CAPA3_EXPANSION!BN$36)</f>
        <v>0</v>
      </c>
      <c r="BO29" s="298" t="n">
        <f aca="false">IF(COUNTIF(CAPA3_EXPANSION!$D$56:BO$56,"&gt;="&amp;22)=0,0,SUP_CONTROL!$C$8*IF($B29="V",1,IF($B29="D",(1+SUP_VOLUMEN!$C$26),(1+SUP_VOLUMEN!$C$27)))*INDEX(SUP_C3_EXPANSION!$C$6:$F$6,MIN(4,COUNTIF(CAPA3_EXPANSION!$D$56:BO$56,"&gt;="&amp;22)))*CAPA3_EXPANSION!BO$36)</f>
        <v>0</v>
      </c>
      <c r="BP29" s="298" t="n">
        <f aca="false">IF(COUNTIF(CAPA3_EXPANSION!$D$56:BP$56,"&gt;="&amp;22)=0,0,SUP_CONTROL!$C$8*IF($B29="V",1,IF($B29="D",(1+SUP_VOLUMEN!$C$26),(1+SUP_VOLUMEN!$C$27)))*INDEX(SUP_C3_EXPANSION!$C$6:$F$6,MIN(4,COUNTIF(CAPA3_EXPANSION!$D$56:BP$56,"&gt;="&amp;22)))*CAPA3_EXPANSION!BP$36)</f>
        <v>0</v>
      </c>
      <c r="BQ29" s="298" t="n">
        <f aca="false">IF(COUNTIF(CAPA3_EXPANSION!$D$56:BQ$56,"&gt;="&amp;22)=0,0,SUP_CONTROL!$C$8*IF($B29="V",1,IF($B29="D",(1+SUP_VOLUMEN!$C$26),(1+SUP_VOLUMEN!$C$27)))*INDEX(SUP_C3_EXPANSION!$C$6:$F$6,MIN(4,COUNTIF(CAPA3_EXPANSION!$D$56:BQ$56,"&gt;="&amp;22)))*CAPA3_EXPANSION!BQ$36)</f>
        <v>2402.4</v>
      </c>
      <c r="BR29" s="298" t="n">
        <f aca="false">IF(COUNTIF(CAPA3_EXPANSION!$D$56:BR$56,"&gt;="&amp;22)=0,0,SUP_CONTROL!$C$8*IF($B29="V",1,IF($B29="D",(1+SUP_VOLUMEN!$C$26),(1+SUP_VOLUMEN!$C$27)))*INDEX(SUP_C3_EXPANSION!$C$6:$F$6,MIN(4,COUNTIF(CAPA3_EXPANSION!$D$56:BR$56,"&gt;="&amp;22)))*CAPA3_EXPANSION!BR$36)</f>
        <v>2956.8</v>
      </c>
      <c r="BS29" s="298" t="n">
        <f aca="false">IF(COUNTIF(CAPA3_EXPANSION!$D$56:BS$56,"&gt;="&amp;22)=0,0,SUP_CONTROL!$C$8*IF($B29="V",1,IF($B29="D",(1+SUP_VOLUMEN!$C$26),(1+SUP_VOLUMEN!$C$27)))*INDEX(SUP_C3_EXPANSION!$C$6:$F$6,MIN(4,COUNTIF(CAPA3_EXPANSION!$D$56:BS$56,"&gt;="&amp;22)))*CAPA3_EXPANSION!BS$36)</f>
        <v>3326.4</v>
      </c>
      <c r="BT29" s="298" t="n">
        <f aca="false">IF(COUNTIF(CAPA3_EXPANSION!$D$56:BT$56,"&gt;="&amp;22)=0,0,SUP_CONTROL!$C$8*IF($B29="V",1,IF($B29="D",(1+SUP_VOLUMEN!$C$26),(1+SUP_VOLUMEN!$C$27)))*INDEX(SUP_C3_EXPANSION!$C$6:$F$6,MIN(4,COUNTIF(CAPA3_EXPANSION!$D$56:BT$56,"&gt;="&amp;22)))*CAPA3_EXPANSION!BT$36)</f>
        <v>3696</v>
      </c>
      <c r="BU29" s="298" t="n">
        <f aca="false">IF(COUNTIF(CAPA3_EXPANSION!$D$56:BU$56,"&gt;="&amp;22)=0,0,SUP_CONTROL!$C$8*IF($B29="V",1,IF($B29="D",(1+SUP_VOLUMEN!$C$26),(1+SUP_VOLUMEN!$C$27)))*INDEX(SUP_C3_EXPANSION!$C$6:$F$6,MIN(4,COUNTIF(CAPA3_EXPANSION!$D$56:BU$56,"&gt;="&amp;22)))*CAPA3_EXPANSION!BU$36)</f>
        <v>3696</v>
      </c>
      <c r="BV29" s="298" t="n">
        <f aca="false">IF(COUNTIF(CAPA3_EXPANSION!$D$56:BV$56,"&gt;="&amp;22)=0,0,SUP_CONTROL!$C$8*IF($B29="V",1,IF($B29="D",(1+SUP_VOLUMEN!$C$26),(1+SUP_VOLUMEN!$C$27)))*INDEX(SUP_C3_EXPANSION!$C$6:$F$6,MIN(4,COUNTIF(CAPA3_EXPANSION!$D$56:BV$56,"&gt;="&amp;22)))*CAPA3_EXPANSION!BV$36)</f>
        <v>3696</v>
      </c>
      <c r="BW29" s="298" t="n">
        <f aca="false">IF(COUNTIF(CAPA3_EXPANSION!$D$56:BW$56,"&gt;="&amp;22)=0,0,SUP_CONTROL!$C$8*IF($B29="V",1,IF($B29="D",(1+SUP_VOLUMEN!$C$26),(1+SUP_VOLUMEN!$C$27)))*INDEX(SUP_C3_EXPANSION!$C$6:$F$6,MIN(4,COUNTIF(CAPA3_EXPANSION!$D$56:BW$56,"&gt;="&amp;22)))*CAPA3_EXPANSION!BW$36)</f>
        <v>3633</v>
      </c>
      <c r="BX29" s="298" t="n">
        <f aca="false">IF(COUNTIF(CAPA3_EXPANSION!$D$56:BX$56,"&gt;="&amp;22)=0,0,SUP_CONTROL!$C$8*IF($B29="V",1,IF($B29="D",(1+SUP_VOLUMEN!$C$26),(1+SUP_VOLUMEN!$C$27)))*INDEX(SUP_C3_EXPANSION!$C$6:$F$6,MIN(4,COUNTIF(CAPA3_EXPANSION!$D$56:BX$56,"&gt;="&amp;22)))*CAPA3_EXPANSION!BX$36)</f>
        <v>3633</v>
      </c>
      <c r="BY29" s="298" t="n">
        <f aca="false">IF(COUNTIF(CAPA3_EXPANSION!$D$56:BY$56,"&gt;="&amp;22)=0,0,SUP_CONTROL!$C$8*IF($B29="V",1,IF($B29="D",(1+SUP_VOLUMEN!$C$26),(1+SUP_VOLUMEN!$C$27)))*INDEX(SUP_C3_EXPANSION!$C$6:$F$6,MIN(4,COUNTIF(CAPA3_EXPANSION!$D$56:BY$56,"&gt;="&amp;22)))*CAPA3_EXPANSION!BY$36)</f>
        <v>3633</v>
      </c>
      <c r="BZ29" s="298" t="n">
        <f aca="false">IF(COUNTIF(CAPA3_EXPANSION!$D$56:BZ$56,"&gt;="&amp;22)=0,0,SUP_CONTROL!$C$8*IF($B29="V",1,IF($B29="D",(1+SUP_VOLUMEN!$C$26),(1+SUP_VOLUMEN!$C$27)))*INDEX(SUP_C3_EXPANSION!$C$6:$F$6,MIN(4,COUNTIF(CAPA3_EXPANSION!$D$56:BZ$56,"&gt;="&amp;22)))*CAPA3_EXPANSION!BZ$36)</f>
        <v>3633</v>
      </c>
      <c r="CA29" s="298" t="n">
        <f aca="false">IF(COUNTIF(CAPA3_EXPANSION!$D$56:CA$56,"&gt;="&amp;22)=0,0,SUP_CONTROL!$C$8*IF($B29="V",1,IF($B29="D",(1+SUP_VOLUMEN!$C$26),(1+SUP_VOLUMEN!$C$27)))*INDEX(SUP_C3_EXPANSION!$C$6:$F$6,MIN(4,COUNTIF(CAPA3_EXPANSION!$D$56:CA$56,"&gt;="&amp;22)))*CAPA3_EXPANSION!CA$36)</f>
        <v>3633</v>
      </c>
      <c r="CB29" s="298" t="n">
        <f aca="false">IF(COUNTIF(CAPA3_EXPANSION!$D$56:CB$56,"&gt;="&amp;22)=0,0,SUP_CONTROL!$C$8*IF($B29="V",1,IF($B29="D",(1+SUP_VOLUMEN!$C$26),(1+SUP_VOLUMEN!$C$27)))*INDEX(SUP_C3_EXPANSION!$C$6:$F$6,MIN(4,COUNTIF(CAPA3_EXPANSION!$D$56:CB$56,"&gt;="&amp;22)))*CAPA3_EXPANSION!CB$36)</f>
        <v>3570</v>
      </c>
      <c r="CC29" s="298" t="n">
        <f aca="false">IF(COUNTIF(CAPA3_EXPANSION!$D$56:CC$56,"&gt;="&amp;22)=0,0,SUP_CONTROL!$C$8*IF($B29="V",1,IF($B29="D",(1+SUP_VOLUMEN!$C$26),(1+SUP_VOLUMEN!$C$27)))*INDEX(SUP_C3_EXPANSION!$C$6:$F$6,MIN(4,COUNTIF(CAPA3_EXPANSION!$D$56:CC$56,"&gt;="&amp;22)))*CAPA3_EXPANSION!CC$36)</f>
        <v>3570</v>
      </c>
      <c r="CD29" s="298" t="n">
        <f aca="false">IF(COUNTIF(CAPA3_EXPANSION!$D$56:CD$56,"&gt;="&amp;22)=0,0,SUP_CONTROL!$C$8*IF($B29="V",1,IF($B29="D",(1+SUP_VOLUMEN!$C$26),(1+SUP_VOLUMEN!$C$27)))*INDEX(SUP_C3_EXPANSION!$C$6:$F$6,MIN(4,COUNTIF(CAPA3_EXPANSION!$D$56:CD$56,"&gt;="&amp;22)))*CAPA3_EXPANSION!CD$36)</f>
        <v>3570</v>
      </c>
      <c r="CE29" s="298" t="n">
        <f aca="false">IF(COUNTIF(CAPA3_EXPANSION!$D$56:CE$56,"&gt;="&amp;22)=0,0,SUP_CONTROL!$C$8*IF($B29="V",1,IF($B29="D",(1+SUP_VOLUMEN!$C$26),(1+SUP_VOLUMEN!$C$27)))*INDEX(SUP_C3_EXPANSION!$C$6:$F$6,MIN(4,COUNTIF(CAPA3_EXPANSION!$D$56:CE$56,"&gt;="&amp;22)))*CAPA3_EXPANSION!CE$36)</f>
        <v>3570</v>
      </c>
      <c r="CF29" s="298" t="n">
        <f aca="false">IF(COUNTIF(CAPA3_EXPANSION!$D$56:CF$56,"&gt;="&amp;22)=0,0,SUP_CONTROL!$C$8*IF($B29="V",1,IF($B29="D",(1+SUP_VOLUMEN!$C$26),(1+SUP_VOLUMEN!$C$27)))*INDEX(SUP_C3_EXPANSION!$C$6:$F$6,MIN(4,COUNTIF(CAPA3_EXPANSION!$D$56:CF$56,"&gt;="&amp;22)))*CAPA3_EXPANSION!CF$36)</f>
        <v>3570</v>
      </c>
      <c r="CG29" s="298" t="n">
        <f aca="false">IF(COUNTIF(CAPA3_EXPANSION!$D$56:CG$56,"&gt;="&amp;22)=0,0,SUP_CONTROL!$C$8*IF($B29="V",1,IF($B29="D",(1+SUP_VOLUMEN!$C$26),(1+SUP_VOLUMEN!$C$27)))*INDEX(SUP_C3_EXPANSION!$C$6:$F$6,MIN(4,COUNTIF(CAPA3_EXPANSION!$D$56:CG$56,"&gt;="&amp;22)))*CAPA3_EXPANSION!CG$36)</f>
        <v>3528</v>
      </c>
      <c r="CH29" s="298" t="n">
        <f aca="false">IF(COUNTIF(CAPA3_EXPANSION!$D$56:CH$56,"&gt;="&amp;22)=0,0,SUP_CONTROL!$C$8*IF($B29="V",1,IF($B29="D",(1+SUP_VOLUMEN!$C$26),(1+SUP_VOLUMEN!$C$27)))*INDEX(SUP_C3_EXPANSION!$C$6:$F$6,MIN(4,COUNTIF(CAPA3_EXPANSION!$D$56:CH$56,"&gt;="&amp;22)))*CAPA3_EXPANSION!CH$36)</f>
        <v>3528</v>
      </c>
      <c r="CI29" s="298" t="n">
        <f aca="false">IF(COUNTIF(CAPA3_EXPANSION!$D$56:CI$56,"&gt;="&amp;22)=0,0,SUP_CONTROL!$C$8*IF($B29="V",1,IF($B29="D",(1+SUP_VOLUMEN!$C$26),(1+SUP_VOLUMEN!$C$27)))*INDEX(SUP_C3_EXPANSION!$C$6:$F$6,MIN(4,COUNTIF(CAPA3_EXPANSION!$D$56:CI$56,"&gt;="&amp;22)))*CAPA3_EXPANSION!CI$36)</f>
        <v>3528</v>
      </c>
      <c r="CJ29" s="298" t="n">
        <f aca="false">IF(COUNTIF(CAPA3_EXPANSION!$D$56:CJ$56,"&gt;="&amp;22)=0,0,SUP_CONTROL!$C$8*IF($B29="V",1,IF($B29="D",(1+SUP_VOLUMEN!$C$26),(1+SUP_VOLUMEN!$C$27)))*INDEX(SUP_C3_EXPANSION!$C$6:$F$6,MIN(4,COUNTIF(CAPA3_EXPANSION!$D$56:CJ$56,"&gt;="&amp;22)))*CAPA3_EXPANSION!CJ$36)</f>
        <v>3528</v>
      </c>
      <c r="CK29" s="298" t="n">
        <f aca="false">IF(COUNTIF(CAPA3_EXPANSION!$D$56:CK$56,"&gt;="&amp;22)=0,0,SUP_CONTROL!$C$8*IF($B29="V",1,IF($B29="D",(1+SUP_VOLUMEN!$C$26),(1+SUP_VOLUMEN!$C$27)))*INDEX(SUP_C3_EXPANSION!$C$6:$F$6,MIN(4,COUNTIF(CAPA3_EXPANSION!$D$56:CK$56,"&gt;="&amp;22)))*CAPA3_EXPANSION!CK$36)</f>
        <v>3528</v>
      </c>
      <c r="CL29" s="298" t="n">
        <f aca="false">IF(COUNTIF(CAPA3_EXPANSION!$D$56:CL$56,"&gt;="&amp;22)=0,0,SUP_CONTROL!$C$8*IF($B29="V",1,IF($B29="D",(1+SUP_VOLUMEN!$C$26),(1+SUP_VOLUMEN!$C$27)))*INDEX(SUP_C3_EXPANSION!$C$6:$F$6,MIN(4,COUNTIF(CAPA3_EXPANSION!$D$56:CL$56,"&gt;="&amp;22)))*CAPA3_EXPANSION!CL$36)</f>
        <v>3528</v>
      </c>
      <c r="CM29" s="298" t="n">
        <f aca="false">IF(COUNTIF(CAPA3_EXPANSION!$D$56:CM$56,"&gt;="&amp;22)=0,0,SUP_CONTROL!$C$8*IF($B29="V",1,IF($B29="D",(1+SUP_VOLUMEN!$C$26),(1+SUP_VOLUMEN!$C$27)))*INDEX(SUP_C3_EXPANSION!$C$6:$F$6,MIN(4,COUNTIF(CAPA3_EXPANSION!$D$56:CM$56,"&gt;="&amp;22)))*CAPA3_EXPANSION!CM$36)</f>
        <v>3528</v>
      </c>
      <c r="CN29" s="298" t="n">
        <f aca="false">IF(COUNTIF(CAPA3_EXPANSION!$D$56:CN$56,"&gt;="&amp;22)=0,0,SUP_CONTROL!$C$8*IF($B29="V",1,IF($B29="D",(1+SUP_VOLUMEN!$C$26),(1+SUP_VOLUMEN!$C$27)))*INDEX(SUP_C3_EXPANSION!$C$6:$F$6,MIN(4,COUNTIF(CAPA3_EXPANSION!$D$56:CN$56,"&gt;="&amp;22)))*CAPA3_EXPANSION!CN$36)</f>
        <v>3528</v>
      </c>
      <c r="CO29" s="298" t="n">
        <f aca="false">IF(COUNTIF(CAPA3_EXPANSION!$D$56:CO$56,"&gt;="&amp;22)=0,0,SUP_CONTROL!$C$8*IF($B29="V",1,IF($B29="D",(1+SUP_VOLUMEN!$C$26),(1+SUP_VOLUMEN!$C$27)))*INDEX(SUP_C3_EXPANSION!$C$6:$F$6,MIN(4,COUNTIF(CAPA3_EXPANSION!$D$56:CO$56,"&gt;="&amp;22)))*CAPA3_EXPANSION!CO$36)</f>
        <v>3528</v>
      </c>
      <c r="CP29" s="298" t="n">
        <f aca="false">IF(COUNTIF(CAPA3_EXPANSION!$D$56:CP$56,"&gt;="&amp;22)=0,0,SUP_CONTROL!$C$8*IF($B29="V",1,IF($B29="D",(1+SUP_VOLUMEN!$C$26),(1+SUP_VOLUMEN!$C$27)))*INDEX(SUP_C3_EXPANSION!$C$6:$F$6,MIN(4,COUNTIF(CAPA3_EXPANSION!$D$56:CP$56,"&gt;="&amp;22)))*CAPA3_EXPANSION!CP$36)</f>
        <v>3528</v>
      </c>
      <c r="CQ29" s="298" t="n">
        <f aca="false">IF(COUNTIF(CAPA3_EXPANSION!$D$56:CQ$56,"&gt;="&amp;22)=0,0,SUP_CONTROL!$C$8*IF($B29="V",1,IF($B29="D",(1+SUP_VOLUMEN!$C$26),(1+SUP_VOLUMEN!$C$27)))*INDEX(SUP_C3_EXPANSION!$C$6:$F$6,MIN(4,COUNTIF(CAPA3_EXPANSION!$D$56:CQ$56,"&gt;="&amp;22)))*CAPA3_EXPANSION!CQ$36)</f>
        <v>3528</v>
      </c>
      <c r="CR29" s="298" t="n">
        <f aca="false">IF(COUNTIF(CAPA3_EXPANSION!$D$56:CR$56,"&gt;="&amp;22)=0,0,SUP_CONTROL!$C$8*IF($B29="V",1,IF($B29="D",(1+SUP_VOLUMEN!$C$26),(1+SUP_VOLUMEN!$C$27)))*INDEX(SUP_C3_EXPANSION!$C$6:$F$6,MIN(4,COUNTIF(CAPA3_EXPANSION!$D$56:CR$56,"&gt;="&amp;22)))*CAPA3_EXPANSION!CR$36)</f>
        <v>3528</v>
      </c>
      <c r="CS29" s="298" t="n">
        <f aca="false">IF(COUNTIF(CAPA3_EXPANSION!$D$56:CS$56,"&gt;="&amp;22)=0,0,SUP_CONTROL!$C$8*IF($B29="V",1,IF($B29="D",(1+SUP_VOLUMEN!$C$26),(1+SUP_VOLUMEN!$C$27)))*INDEX(SUP_C3_EXPANSION!$C$6:$F$6,MIN(4,COUNTIF(CAPA3_EXPANSION!$D$56:CS$56,"&gt;="&amp;22)))*CAPA3_EXPANSION!CS$36)</f>
        <v>3528</v>
      </c>
      <c r="CT29" s="298" t="n">
        <f aca="false">IF(COUNTIF(CAPA3_EXPANSION!$D$56:CT$56,"&gt;="&amp;22)=0,0,SUP_CONTROL!$C$8*IF($B29="V",1,IF($B29="D",(1+SUP_VOLUMEN!$C$26),(1+SUP_VOLUMEN!$C$27)))*INDEX(SUP_C3_EXPANSION!$C$6:$F$6,MIN(4,COUNTIF(CAPA3_EXPANSION!$D$56:CT$56,"&gt;="&amp;22)))*CAPA3_EXPANSION!CT$36)</f>
        <v>3528</v>
      </c>
      <c r="CU29" s="298" t="n">
        <f aca="false">IF(COUNTIF(CAPA3_EXPANSION!$D$56:CU$56,"&gt;="&amp;22)=0,0,SUP_CONTROL!$C$8*IF($B29="V",1,IF($B29="D",(1+SUP_VOLUMEN!$C$26),(1+SUP_VOLUMEN!$C$27)))*INDEX(SUP_C3_EXPANSION!$C$6:$F$6,MIN(4,COUNTIF(CAPA3_EXPANSION!$D$56:CU$56,"&gt;="&amp;22)))*CAPA3_EXPANSION!CU$36)</f>
        <v>3528</v>
      </c>
      <c r="CV29" s="298" t="n">
        <f aca="false">IF(COUNTIF(CAPA3_EXPANSION!$D$56:CV$56,"&gt;="&amp;22)=0,0,SUP_CONTROL!$C$8*IF($B29="V",1,IF($B29="D",(1+SUP_VOLUMEN!$C$26),(1+SUP_VOLUMEN!$C$27)))*INDEX(SUP_C3_EXPANSION!$C$6:$F$6,MIN(4,COUNTIF(CAPA3_EXPANSION!$D$56:CV$56,"&gt;="&amp;22)))*CAPA3_EXPANSION!CV$36)</f>
        <v>3528</v>
      </c>
      <c r="CW29" s="298" t="n">
        <f aca="false">IF(COUNTIF(CAPA3_EXPANSION!$D$56:CW$56,"&gt;="&amp;22)=0,0,SUP_CONTROL!$C$8*IF($B29="V",1,IF($B29="D",(1+SUP_VOLUMEN!$C$26),(1+SUP_VOLUMEN!$C$27)))*INDEX(SUP_C3_EXPANSION!$C$6:$F$6,MIN(4,COUNTIF(CAPA3_EXPANSION!$D$56:CW$56,"&gt;="&amp;22)))*CAPA3_EXPANSION!CW$36)</f>
        <v>3528</v>
      </c>
      <c r="CX29" s="298" t="n">
        <f aca="false">IF(COUNTIF(CAPA3_EXPANSION!$D$56:CX$56,"&gt;="&amp;22)=0,0,SUP_CONTROL!$C$8*IF($B29="V",1,IF($B29="D",(1+SUP_VOLUMEN!$C$26),(1+SUP_VOLUMEN!$C$27)))*INDEX(SUP_C3_EXPANSION!$C$6:$F$6,MIN(4,COUNTIF(CAPA3_EXPANSION!$D$56:CX$56,"&gt;="&amp;22)))*CAPA3_EXPANSION!CX$36)</f>
        <v>3528</v>
      </c>
      <c r="CY29" s="298" t="n">
        <f aca="false">IF(COUNTIF(CAPA3_EXPANSION!$D$56:CY$56,"&gt;="&amp;22)=0,0,SUP_CONTROL!$C$8*IF($B29="V",1,IF($B29="D",(1+SUP_VOLUMEN!$C$26),(1+SUP_VOLUMEN!$C$27)))*INDEX(SUP_C3_EXPANSION!$C$6:$F$6,MIN(4,COUNTIF(CAPA3_EXPANSION!$D$56:CY$56,"&gt;="&amp;22)))*CAPA3_EXPANSION!CY$36)</f>
        <v>3528</v>
      </c>
      <c r="CZ29" s="298" t="n">
        <f aca="false">IF(COUNTIF(CAPA3_EXPANSION!$D$56:CZ$56,"&gt;="&amp;22)=0,0,SUP_CONTROL!$C$8*IF($B29="V",1,IF($B29="D",(1+SUP_VOLUMEN!$C$26),(1+SUP_VOLUMEN!$C$27)))*INDEX(SUP_C3_EXPANSION!$C$6:$F$6,MIN(4,COUNTIF(CAPA3_EXPANSION!$D$56:CZ$56,"&gt;="&amp;22)))*CAPA3_EXPANSION!CZ$36)</f>
        <v>3528</v>
      </c>
      <c r="DA29" s="298" t="n">
        <f aca="false">IF(COUNTIF(CAPA3_EXPANSION!$D$56:DA$56,"&gt;="&amp;22)=0,0,SUP_CONTROL!$C$8*IF($B29="V",1,IF($B29="D",(1+SUP_VOLUMEN!$C$26),(1+SUP_VOLUMEN!$C$27)))*INDEX(SUP_C3_EXPANSION!$C$6:$F$6,MIN(4,COUNTIF(CAPA3_EXPANSION!$D$56:DA$56,"&gt;="&amp;22)))*CAPA3_EXPANSION!DA$36)</f>
        <v>3528</v>
      </c>
      <c r="DB29" s="298" t="n">
        <f aca="false">IF(COUNTIF(CAPA3_EXPANSION!$D$56:DB$56,"&gt;="&amp;22)=0,0,SUP_CONTROL!$C$8*IF($B29="V",1,IF($B29="D",(1+SUP_VOLUMEN!$C$26),(1+SUP_VOLUMEN!$C$27)))*INDEX(SUP_C3_EXPANSION!$C$6:$F$6,MIN(4,COUNTIF(CAPA3_EXPANSION!$D$56:DB$56,"&gt;="&amp;22)))*CAPA3_EXPANSION!DB$36)</f>
        <v>3528</v>
      </c>
      <c r="DC29" s="298" t="n">
        <f aca="false">IF(COUNTIF(CAPA3_EXPANSION!$D$56:DC$56,"&gt;="&amp;22)=0,0,SUP_CONTROL!$C$8*IF($B29="V",1,IF($B29="D",(1+SUP_VOLUMEN!$C$26),(1+SUP_VOLUMEN!$C$27)))*INDEX(SUP_C3_EXPANSION!$C$6:$F$6,MIN(4,COUNTIF(CAPA3_EXPANSION!$D$56:DC$56,"&gt;="&amp;22)))*CAPA3_EXPANSION!DC$36)</f>
        <v>3528</v>
      </c>
      <c r="DD29" s="298" t="n">
        <f aca="false">IF(COUNTIF(CAPA3_EXPANSION!$D$56:DD$56,"&gt;="&amp;22)=0,0,SUP_CONTROL!$C$8*IF($B29="V",1,IF($B29="D",(1+SUP_VOLUMEN!$C$26),(1+SUP_VOLUMEN!$C$27)))*INDEX(SUP_C3_EXPANSION!$C$6:$F$6,MIN(4,COUNTIF(CAPA3_EXPANSION!$D$56:DD$56,"&gt;="&amp;22)))*CAPA3_EXPANSION!DD$36)</f>
        <v>3528</v>
      </c>
      <c r="DE29" s="298" t="n">
        <f aca="false">IF(COUNTIF(CAPA3_EXPANSION!$D$56:DE$56,"&gt;="&amp;22)=0,0,SUP_CONTROL!$C$8*IF($B29="V",1,IF($B29="D",(1+SUP_VOLUMEN!$C$26),(1+SUP_VOLUMEN!$C$27)))*INDEX(SUP_C3_EXPANSION!$C$6:$F$6,MIN(4,COUNTIF(CAPA3_EXPANSION!$D$56:DE$56,"&gt;="&amp;22)))*CAPA3_EXPANSION!DE$36)</f>
        <v>3528</v>
      </c>
      <c r="DF29" s="298" t="n">
        <f aca="false">IF(COUNTIF(CAPA3_EXPANSION!$D$56:DF$56,"&gt;="&amp;22)=0,0,SUP_CONTROL!$C$8*IF($B29="V",1,IF($B29="D",(1+SUP_VOLUMEN!$C$26),(1+SUP_VOLUMEN!$C$27)))*INDEX(SUP_C3_EXPANSION!$C$6:$F$6,MIN(4,COUNTIF(CAPA3_EXPANSION!$D$56:DF$56,"&gt;="&amp;22)))*CAPA3_EXPANSION!DF$36)</f>
        <v>3528</v>
      </c>
      <c r="DG29" s="298" t="n">
        <f aca="false">IF(COUNTIF(CAPA3_EXPANSION!$D$56:DG$56,"&gt;="&amp;22)=0,0,SUP_CONTROL!$C$8*IF($B29="V",1,IF($B29="D",(1+SUP_VOLUMEN!$C$26),(1+SUP_VOLUMEN!$C$27)))*INDEX(SUP_C3_EXPANSION!$C$6:$F$6,MIN(4,COUNTIF(CAPA3_EXPANSION!$D$56:DG$56,"&gt;="&amp;22)))*CAPA3_EXPANSION!DG$36)</f>
        <v>3528</v>
      </c>
      <c r="DH29" s="298" t="n">
        <f aca="false">IF(COUNTIF(CAPA3_EXPANSION!$D$56:DH$56,"&gt;="&amp;22)=0,0,SUP_CONTROL!$C$8*IF($B29="V",1,IF($B29="D",(1+SUP_VOLUMEN!$C$26),(1+SUP_VOLUMEN!$C$27)))*INDEX(SUP_C3_EXPANSION!$C$6:$F$6,MIN(4,COUNTIF(CAPA3_EXPANSION!$D$56:DH$56,"&gt;="&amp;22)))*CAPA3_EXPANSION!DH$36)</f>
        <v>3528</v>
      </c>
      <c r="DI29" s="298" t="n">
        <f aca="false">IF(COUNTIF(CAPA3_EXPANSION!$D$56:DI$56,"&gt;="&amp;22)=0,0,SUP_CONTROL!$C$8*IF($B29="V",1,IF($B29="D",(1+SUP_VOLUMEN!$C$26),(1+SUP_VOLUMEN!$C$27)))*INDEX(SUP_C3_EXPANSION!$C$6:$F$6,MIN(4,COUNTIF(CAPA3_EXPANSION!$D$56:DI$56,"&gt;="&amp;22)))*CAPA3_EXPANSION!DI$36)</f>
        <v>3528</v>
      </c>
      <c r="DJ29" s="298" t="n">
        <f aca="false">IF(COUNTIF(CAPA3_EXPANSION!$D$56:DJ$56,"&gt;="&amp;22)=0,0,SUP_CONTROL!$C$8*IF($B29="V",1,IF($B29="D",(1+SUP_VOLUMEN!$C$26),(1+SUP_VOLUMEN!$C$27)))*INDEX(SUP_C3_EXPANSION!$C$6:$F$6,MIN(4,COUNTIF(CAPA3_EXPANSION!$D$56:DJ$56,"&gt;="&amp;22)))*CAPA3_EXPANSION!DJ$36)</f>
        <v>3528</v>
      </c>
      <c r="DK29" s="298" t="n">
        <f aca="false">IF(COUNTIF(CAPA3_EXPANSION!$D$56:DK$56,"&gt;="&amp;22)=0,0,SUP_CONTROL!$C$8*IF($B29="V",1,IF($B29="D",(1+SUP_VOLUMEN!$C$26),(1+SUP_VOLUMEN!$C$27)))*INDEX(SUP_C3_EXPANSION!$C$6:$F$6,MIN(4,COUNTIF(CAPA3_EXPANSION!$D$56:DK$56,"&gt;="&amp;22)))*CAPA3_EXPANSION!DK$36)</f>
        <v>3528</v>
      </c>
      <c r="DL29" s="298" t="n">
        <f aca="false">IF(COUNTIF(CAPA3_EXPANSION!$D$56:DL$56,"&gt;="&amp;22)=0,0,SUP_CONTROL!$C$8*IF($B29="V",1,IF($B29="D",(1+SUP_VOLUMEN!$C$26),(1+SUP_VOLUMEN!$C$27)))*INDEX(SUP_C3_EXPANSION!$C$6:$F$6,MIN(4,COUNTIF(CAPA3_EXPANSION!$D$56:DL$56,"&gt;="&amp;22)))*CAPA3_EXPANSION!DL$36)</f>
        <v>3528</v>
      </c>
      <c r="DM29" s="298" t="n">
        <f aca="false">IF(COUNTIF(CAPA3_EXPANSION!$D$56:DM$56,"&gt;="&amp;22)=0,0,SUP_CONTROL!$C$8*IF($B29="V",1,IF($B29="D",(1+SUP_VOLUMEN!$C$26),(1+SUP_VOLUMEN!$C$27)))*INDEX(SUP_C3_EXPANSION!$C$6:$F$6,MIN(4,COUNTIF(CAPA3_EXPANSION!$D$56:DM$56,"&gt;="&amp;22)))*CAPA3_EXPANSION!DM$36)</f>
        <v>3528</v>
      </c>
      <c r="DN29" s="298" t="n">
        <f aca="false">IF(COUNTIF(CAPA3_EXPANSION!$D$56:DN$56,"&gt;="&amp;22)=0,0,SUP_CONTROL!$C$8*IF($B29="V",1,IF($B29="D",(1+SUP_VOLUMEN!$C$26),(1+SUP_VOLUMEN!$C$27)))*INDEX(SUP_C3_EXPANSION!$C$6:$F$6,MIN(4,COUNTIF(CAPA3_EXPANSION!$D$56:DN$56,"&gt;="&amp;22)))*CAPA3_EXPANSION!DN$36)</f>
        <v>3528</v>
      </c>
      <c r="DO29" s="298" t="n">
        <f aca="false">IF(COUNTIF(CAPA3_EXPANSION!$D$56:DO$56,"&gt;="&amp;22)=0,0,SUP_CONTROL!$C$8*IF($B29="V",1,IF($B29="D",(1+SUP_VOLUMEN!$C$26),(1+SUP_VOLUMEN!$C$27)))*INDEX(SUP_C3_EXPANSION!$C$6:$F$6,MIN(4,COUNTIF(CAPA3_EXPANSION!$D$56:DO$56,"&gt;="&amp;22)))*CAPA3_EXPANSION!DO$36)</f>
        <v>3528</v>
      </c>
      <c r="DP29" s="298" t="n">
        <f aca="false">IF(COUNTIF(CAPA3_EXPANSION!$D$56:DP$56,"&gt;="&amp;22)=0,0,SUP_CONTROL!$C$8*IF($B29="V",1,IF($B29="D",(1+SUP_VOLUMEN!$C$26),(1+SUP_VOLUMEN!$C$27)))*INDEX(SUP_C3_EXPANSION!$C$6:$F$6,MIN(4,COUNTIF(CAPA3_EXPANSION!$D$56:DP$56,"&gt;="&amp;22)))*CAPA3_EXPANSION!DP$36)</f>
        <v>3528</v>
      </c>
      <c r="DQ29" s="298" t="n">
        <f aca="false">IF(COUNTIF(CAPA3_EXPANSION!$D$56:DQ$56,"&gt;="&amp;22)=0,0,SUP_CONTROL!$C$8*IF($B29="V",1,IF($B29="D",(1+SUP_VOLUMEN!$C$26),(1+SUP_VOLUMEN!$C$27)))*INDEX(SUP_C3_EXPANSION!$C$6:$F$6,MIN(4,COUNTIF(CAPA3_EXPANSION!$D$56:DQ$56,"&gt;="&amp;22)))*CAPA3_EXPANSION!DQ$36)</f>
        <v>3528</v>
      </c>
      <c r="DR29" s="298" t="n">
        <f aca="false">IF(COUNTIF(CAPA3_EXPANSION!$D$56:DR$56,"&gt;="&amp;22)=0,0,SUP_CONTROL!$C$8*IF($B29="V",1,IF($B29="D",(1+SUP_VOLUMEN!$C$26),(1+SUP_VOLUMEN!$C$27)))*INDEX(SUP_C3_EXPANSION!$C$6:$F$6,MIN(4,COUNTIF(CAPA3_EXPANSION!$D$56:DR$56,"&gt;="&amp;22)))*CAPA3_EXPANSION!DR$36)</f>
        <v>3528</v>
      </c>
      <c r="DS29" s="298" t="n">
        <f aca="false">IF(COUNTIF(CAPA3_EXPANSION!$D$56:DS$56,"&gt;="&amp;22)=0,0,SUP_CONTROL!$C$8*IF($B29="V",1,IF($B29="D",(1+SUP_VOLUMEN!$C$26),(1+SUP_VOLUMEN!$C$27)))*INDEX(SUP_C3_EXPANSION!$C$6:$F$6,MIN(4,COUNTIF(CAPA3_EXPANSION!$D$56:DS$56,"&gt;="&amp;22)))*CAPA3_EXPANSION!DS$36)</f>
        <v>3528</v>
      </c>
    </row>
    <row r="30" customFormat="false" ht="15" hidden="false" customHeight="true" outlineLevel="0" collapsed="false">
      <c r="A30" s="298" t="n">
        <v>33</v>
      </c>
      <c r="B30" s="497" t="str">
        <f aca="false">SUP_C3_EXPANSION!B42</f>
        <v>V</v>
      </c>
      <c r="C30" s="267" t="n">
        <f aca="false">SUP_C3_EXPANSION!G42</f>
        <v>64</v>
      </c>
      <c r="D30" s="298" t="n">
        <f aca="false">IF(COUNTIF(CAPA3_EXPANSION!$D$56:D$56,"&gt;="&amp;23)=0,0,SUP_CONTROL!$C$8*IF($B30="V",1,IF($B30="D",(1+SUP_VOLUMEN!$C$26),(1+SUP_VOLUMEN!$C$27)))*INDEX(SUP_C3_EXPANSION!$C$6:$F$6,MIN(4,COUNTIF(CAPA3_EXPANSION!$D$56:D$56,"&gt;="&amp;23)))*CAPA3_EXPANSION!D$36)</f>
        <v>0</v>
      </c>
      <c r="E30" s="298" t="n">
        <f aca="false">IF(COUNTIF(CAPA3_EXPANSION!$D$56:E$56,"&gt;="&amp;23)=0,0,SUP_CONTROL!$C$8*IF($B30="V",1,IF($B30="D",(1+SUP_VOLUMEN!$C$26),(1+SUP_VOLUMEN!$C$27)))*INDEX(SUP_C3_EXPANSION!$C$6:$F$6,MIN(4,COUNTIF(CAPA3_EXPANSION!$D$56:E$56,"&gt;="&amp;23)))*CAPA3_EXPANSION!E$36)</f>
        <v>0</v>
      </c>
      <c r="F30" s="298" t="n">
        <f aca="false">IF(COUNTIF(CAPA3_EXPANSION!$D$56:F$56,"&gt;="&amp;23)=0,0,SUP_CONTROL!$C$8*IF($B30="V",1,IF($B30="D",(1+SUP_VOLUMEN!$C$26),(1+SUP_VOLUMEN!$C$27)))*INDEX(SUP_C3_EXPANSION!$C$6:$F$6,MIN(4,COUNTIF(CAPA3_EXPANSION!$D$56:F$56,"&gt;="&amp;23)))*CAPA3_EXPANSION!F$36)</f>
        <v>0</v>
      </c>
      <c r="G30" s="298" t="n">
        <f aca="false">IF(COUNTIF(CAPA3_EXPANSION!$D$56:G$56,"&gt;="&amp;23)=0,0,SUP_CONTROL!$C$8*IF($B30="V",1,IF($B30="D",(1+SUP_VOLUMEN!$C$26),(1+SUP_VOLUMEN!$C$27)))*INDEX(SUP_C3_EXPANSION!$C$6:$F$6,MIN(4,COUNTIF(CAPA3_EXPANSION!$D$56:G$56,"&gt;="&amp;23)))*CAPA3_EXPANSION!G$36)</f>
        <v>0</v>
      </c>
      <c r="H30" s="298" t="n">
        <f aca="false">IF(COUNTIF(CAPA3_EXPANSION!$D$56:H$56,"&gt;="&amp;23)=0,0,SUP_CONTROL!$C$8*IF($B30="V",1,IF($B30="D",(1+SUP_VOLUMEN!$C$26),(1+SUP_VOLUMEN!$C$27)))*INDEX(SUP_C3_EXPANSION!$C$6:$F$6,MIN(4,COUNTIF(CAPA3_EXPANSION!$D$56:H$56,"&gt;="&amp;23)))*CAPA3_EXPANSION!H$36)</f>
        <v>0</v>
      </c>
      <c r="I30" s="298" t="n">
        <f aca="false">IF(COUNTIF(CAPA3_EXPANSION!$D$56:I$56,"&gt;="&amp;23)=0,0,SUP_CONTROL!$C$8*IF($B30="V",1,IF($B30="D",(1+SUP_VOLUMEN!$C$26),(1+SUP_VOLUMEN!$C$27)))*INDEX(SUP_C3_EXPANSION!$C$6:$F$6,MIN(4,COUNTIF(CAPA3_EXPANSION!$D$56:I$56,"&gt;="&amp;23)))*CAPA3_EXPANSION!I$36)</f>
        <v>0</v>
      </c>
      <c r="J30" s="298" t="n">
        <f aca="false">IF(COUNTIF(CAPA3_EXPANSION!$D$56:J$56,"&gt;="&amp;23)=0,0,SUP_CONTROL!$C$8*IF($B30="V",1,IF($B30="D",(1+SUP_VOLUMEN!$C$26),(1+SUP_VOLUMEN!$C$27)))*INDEX(SUP_C3_EXPANSION!$C$6:$F$6,MIN(4,COUNTIF(CAPA3_EXPANSION!$D$56:J$56,"&gt;="&amp;23)))*CAPA3_EXPANSION!J$36)</f>
        <v>0</v>
      </c>
      <c r="K30" s="298" t="n">
        <f aca="false">IF(COUNTIF(CAPA3_EXPANSION!$D$56:K$56,"&gt;="&amp;23)=0,0,SUP_CONTROL!$C$8*IF($B30="V",1,IF($B30="D",(1+SUP_VOLUMEN!$C$26),(1+SUP_VOLUMEN!$C$27)))*INDEX(SUP_C3_EXPANSION!$C$6:$F$6,MIN(4,COUNTIF(CAPA3_EXPANSION!$D$56:K$56,"&gt;="&amp;23)))*CAPA3_EXPANSION!K$36)</f>
        <v>0</v>
      </c>
      <c r="L30" s="298" t="n">
        <f aca="false">IF(COUNTIF(CAPA3_EXPANSION!$D$56:L$56,"&gt;="&amp;23)=0,0,SUP_CONTROL!$C$8*IF($B30="V",1,IF($B30="D",(1+SUP_VOLUMEN!$C$26),(1+SUP_VOLUMEN!$C$27)))*INDEX(SUP_C3_EXPANSION!$C$6:$F$6,MIN(4,COUNTIF(CAPA3_EXPANSION!$D$56:L$56,"&gt;="&amp;23)))*CAPA3_EXPANSION!L$36)</f>
        <v>0</v>
      </c>
      <c r="M30" s="298" t="n">
        <f aca="false">IF(COUNTIF(CAPA3_EXPANSION!$D$56:M$56,"&gt;="&amp;23)=0,0,SUP_CONTROL!$C$8*IF($B30="V",1,IF($B30="D",(1+SUP_VOLUMEN!$C$26),(1+SUP_VOLUMEN!$C$27)))*INDEX(SUP_C3_EXPANSION!$C$6:$F$6,MIN(4,COUNTIF(CAPA3_EXPANSION!$D$56:M$56,"&gt;="&amp;23)))*CAPA3_EXPANSION!M$36)</f>
        <v>0</v>
      </c>
      <c r="N30" s="298" t="n">
        <f aca="false">IF(COUNTIF(CAPA3_EXPANSION!$D$56:N$56,"&gt;="&amp;23)=0,0,SUP_CONTROL!$C$8*IF($B30="V",1,IF($B30="D",(1+SUP_VOLUMEN!$C$26),(1+SUP_VOLUMEN!$C$27)))*INDEX(SUP_C3_EXPANSION!$C$6:$F$6,MIN(4,COUNTIF(CAPA3_EXPANSION!$D$56:N$56,"&gt;="&amp;23)))*CAPA3_EXPANSION!N$36)</f>
        <v>0</v>
      </c>
      <c r="O30" s="298" t="n">
        <f aca="false">IF(COUNTIF(CAPA3_EXPANSION!$D$56:O$56,"&gt;="&amp;23)=0,0,SUP_CONTROL!$C$8*IF($B30="V",1,IF($B30="D",(1+SUP_VOLUMEN!$C$26),(1+SUP_VOLUMEN!$C$27)))*INDEX(SUP_C3_EXPANSION!$C$6:$F$6,MIN(4,COUNTIF(CAPA3_EXPANSION!$D$56:O$56,"&gt;="&amp;23)))*CAPA3_EXPANSION!O$36)</f>
        <v>0</v>
      </c>
      <c r="P30" s="298" t="n">
        <f aca="false">IF(COUNTIF(CAPA3_EXPANSION!$D$56:P$56,"&gt;="&amp;23)=0,0,SUP_CONTROL!$C$8*IF($B30="V",1,IF($B30="D",(1+SUP_VOLUMEN!$C$26),(1+SUP_VOLUMEN!$C$27)))*INDEX(SUP_C3_EXPANSION!$C$6:$F$6,MIN(4,COUNTIF(CAPA3_EXPANSION!$D$56:P$56,"&gt;="&amp;23)))*CAPA3_EXPANSION!P$36)</f>
        <v>0</v>
      </c>
      <c r="Q30" s="298" t="n">
        <f aca="false">IF(COUNTIF(CAPA3_EXPANSION!$D$56:Q$56,"&gt;="&amp;23)=0,0,SUP_CONTROL!$C$8*IF($B30="V",1,IF($B30="D",(1+SUP_VOLUMEN!$C$26),(1+SUP_VOLUMEN!$C$27)))*INDEX(SUP_C3_EXPANSION!$C$6:$F$6,MIN(4,COUNTIF(CAPA3_EXPANSION!$D$56:Q$56,"&gt;="&amp;23)))*CAPA3_EXPANSION!Q$36)</f>
        <v>0</v>
      </c>
      <c r="R30" s="298" t="n">
        <f aca="false">IF(COUNTIF(CAPA3_EXPANSION!$D$56:R$56,"&gt;="&amp;23)=0,0,SUP_CONTROL!$C$8*IF($B30="V",1,IF($B30="D",(1+SUP_VOLUMEN!$C$26),(1+SUP_VOLUMEN!$C$27)))*INDEX(SUP_C3_EXPANSION!$C$6:$F$6,MIN(4,COUNTIF(CAPA3_EXPANSION!$D$56:R$56,"&gt;="&amp;23)))*CAPA3_EXPANSION!R$36)</f>
        <v>0</v>
      </c>
      <c r="S30" s="298" t="n">
        <f aca="false">IF(COUNTIF(CAPA3_EXPANSION!$D$56:S$56,"&gt;="&amp;23)=0,0,SUP_CONTROL!$C$8*IF($B30="V",1,IF($B30="D",(1+SUP_VOLUMEN!$C$26),(1+SUP_VOLUMEN!$C$27)))*INDEX(SUP_C3_EXPANSION!$C$6:$F$6,MIN(4,COUNTIF(CAPA3_EXPANSION!$D$56:S$56,"&gt;="&amp;23)))*CAPA3_EXPANSION!S$36)</f>
        <v>0</v>
      </c>
      <c r="T30" s="298" t="n">
        <f aca="false">IF(COUNTIF(CAPA3_EXPANSION!$D$56:T$56,"&gt;="&amp;23)=0,0,SUP_CONTROL!$C$8*IF($B30="V",1,IF($B30="D",(1+SUP_VOLUMEN!$C$26),(1+SUP_VOLUMEN!$C$27)))*INDEX(SUP_C3_EXPANSION!$C$6:$F$6,MIN(4,COUNTIF(CAPA3_EXPANSION!$D$56:T$56,"&gt;="&amp;23)))*CAPA3_EXPANSION!T$36)</f>
        <v>0</v>
      </c>
      <c r="U30" s="298" t="n">
        <f aca="false">IF(COUNTIF(CAPA3_EXPANSION!$D$56:U$56,"&gt;="&amp;23)=0,0,SUP_CONTROL!$C$8*IF($B30="V",1,IF($B30="D",(1+SUP_VOLUMEN!$C$26),(1+SUP_VOLUMEN!$C$27)))*INDEX(SUP_C3_EXPANSION!$C$6:$F$6,MIN(4,COUNTIF(CAPA3_EXPANSION!$D$56:U$56,"&gt;="&amp;23)))*CAPA3_EXPANSION!U$36)</f>
        <v>0</v>
      </c>
      <c r="V30" s="298" t="n">
        <f aca="false">IF(COUNTIF(CAPA3_EXPANSION!$D$56:V$56,"&gt;="&amp;23)=0,0,SUP_CONTROL!$C$8*IF($B30="V",1,IF($B30="D",(1+SUP_VOLUMEN!$C$26),(1+SUP_VOLUMEN!$C$27)))*INDEX(SUP_C3_EXPANSION!$C$6:$F$6,MIN(4,COUNTIF(CAPA3_EXPANSION!$D$56:V$56,"&gt;="&amp;23)))*CAPA3_EXPANSION!V$36)</f>
        <v>0</v>
      </c>
      <c r="W30" s="298" t="n">
        <f aca="false">IF(COUNTIF(CAPA3_EXPANSION!$D$56:W$56,"&gt;="&amp;23)=0,0,SUP_CONTROL!$C$8*IF($B30="V",1,IF($B30="D",(1+SUP_VOLUMEN!$C$26),(1+SUP_VOLUMEN!$C$27)))*INDEX(SUP_C3_EXPANSION!$C$6:$F$6,MIN(4,COUNTIF(CAPA3_EXPANSION!$D$56:W$56,"&gt;="&amp;23)))*CAPA3_EXPANSION!W$36)</f>
        <v>0</v>
      </c>
      <c r="X30" s="298" t="n">
        <f aca="false">IF(COUNTIF(CAPA3_EXPANSION!$D$56:X$56,"&gt;="&amp;23)=0,0,SUP_CONTROL!$C$8*IF($B30="V",1,IF($B30="D",(1+SUP_VOLUMEN!$C$26),(1+SUP_VOLUMEN!$C$27)))*INDEX(SUP_C3_EXPANSION!$C$6:$F$6,MIN(4,COUNTIF(CAPA3_EXPANSION!$D$56:X$56,"&gt;="&amp;23)))*CAPA3_EXPANSION!X$36)</f>
        <v>0</v>
      </c>
      <c r="Y30" s="298" t="n">
        <f aca="false">IF(COUNTIF(CAPA3_EXPANSION!$D$56:Y$56,"&gt;="&amp;23)=0,0,SUP_CONTROL!$C$8*IF($B30="V",1,IF($B30="D",(1+SUP_VOLUMEN!$C$26),(1+SUP_VOLUMEN!$C$27)))*INDEX(SUP_C3_EXPANSION!$C$6:$F$6,MIN(4,COUNTIF(CAPA3_EXPANSION!$D$56:Y$56,"&gt;="&amp;23)))*CAPA3_EXPANSION!Y$36)</f>
        <v>0</v>
      </c>
      <c r="Z30" s="298" t="n">
        <f aca="false">IF(COUNTIF(CAPA3_EXPANSION!$D$56:Z$56,"&gt;="&amp;23)=0,0,SUP_CONTROL!$C$8*IF($B30="V",1,IF($B30="D",(1+SUP_VOLUMEN!$C$26),(1+SUP_VOLUMEN!$C$27)))*INDEX(SUP_C3_EXPANSION!$C$6:$F$6,MIN(4,COUNTIF(CAPA3_EXPANSION!$D$56:Z$56,"&gt;="&amp;23)))*CAPA3_EXPANSION!Z$36)</f>
        <v>0</v>
      </c>
      <c r="AA30" s="298" t="n">
        <f aca="false">IF(COUNTIF(CAPA3_EXPANSION!$D$56:AA$56,"&gt;="&amp;23)=0,0,SUP_CONTROL!$C$8*IF($B30="V",1,IF($B30="D",(1+SUP_VOLUMEN!$C$26),(1+SUP_VOLUMEN!$C$27)))*INDEX(SUP_C3_EXPANSION!$C$6:$F$6,MIN(4,COUNTIF(CAPA3_EXPANSION!$D$56:AA$56,"&gt;="&amp;23)))*CAPA3_EXPANSION!AA$36)</f>
        <v>0</v>
      </c>
      <c r="AB30" s="298" t="n">
        <f aca="false">IF(COUNTIF(CAPA3_EXPANSION!$D$56:AB$56,"&gt;="&amp;23)=0,0,SUP_CONTROL!$C$8*IF($B30="V",1,IF($B30="D",(1+SUP_VOLUMEN!$C$26),(1+SUP_VOLUMEN!$C$27)))*INDEX(SUP_C3_EXPANSION!$C$6:$F$6,MIN(4,COUNTIF(CAPA3_EXPANSION!$D$56:AB$56,"&gt;="&amp;23)))*CAPA3_EXPANSION!AB$36)</f>
        <v>0</v>
      </c>
      <c r="AC30" s="298" t="n">
        <f aca="false">IF(COUNTIF(CAPA3_EXPANSION!$D$56:AC$56,"&gt;="&amp;23)=0,0,SUP_CONTROL!$C$8*IF($B30="V",1,IF($B30="D",(1+SUP_VOLUMEN!$C$26),(1+SUP_VOLUMEN!$C$27)))*INDEX(SUP_C3_EXPANSION!$C$6:$F$6,MIN(4,COUNTIF(CAPA3_EXPANSION!$D$56:AC$56,"&gt;="&amp;23)))*CAPA3_EXPANSION!AC$36)</f>
        <v>0</v>
      </c>
      <c r="AD30" s="298" t="n">
        <f aca="false">IF(COUNTIF(CAPA3_EXPANSION!$D$56:AD$56,"&gt;="&amp;23)=0,0,SUP_CONTROL!$C$8*IF($B30="V",1,IF($B30="D",(1+SUP_VOLUMEN!$C$26),(1+SUP_VOLUMEN!$C$27)))*INDEX(SUP_C3_EXPANSION!$C$6:$F$6,MIN(4,COUNTIF(CAPA3_EXPANSION!$D$56:AD$56,"&gt;="&amp;23)))*CAPA3_EXPANSION!AD$36)</f>
        <v>0</v>
      </c>
      <c r="AE30" s="298" t="n">
        <f aca="false">IF(COUNTIF(CAPA3_EXPANSION!$D$56:AE$56,"&gt;="&amp;23)=0,0,SUP_CONTROL!$C$8*IF($B30="V",1,IF($B30="D",(1+SUP_VOLUMEN!$C$26),(1+SUP_VOLUMEN!$C$27)))*INDEX(SUP_C3_EXPANSION!$C$6:$F$6,MIN(4,COUNTIF(CAPA3_EXPANSION!$D$56:AE$56,"&gt;="&amp;23)))*CAPA3_EXPANSION!AE$36)</f>
        <v>0</v>
      </c>
      <c r="AF30" s="298" t="n">
        <f aca="false">IF(COUNTIF(CAPA3_EXPANSION!$D$56:AF$56,"&gt;="&amp;23)=0,0,SUP_CONTROL!$C$8*IF($B30="V",1,IF($B30="D",(1+SUP_VOLUMEN!$C$26),(1+SUP_VOLUMEN!$C$27)))*INDEX(SUP_C3_EXPANSION!$C$6:$F$6,MIN(4,COUNTIF(CAPA3_EXPANSION!$D$56:AF$56,"&gt;="&amp;23)))*CAPA3_EXPANSION!AF$36)</f>
        <v>0</v>
      </c>
      <c r="AG30" s="298" t="n">
        <f aca="false">IF(COUNTIF(CAPA3_EXPANSION!$D$56:AG$56,"&gt;="&amp;23)=0,0,SUP_CONTROL!$C$8*IF($B30="V",1,IF($B30="D",(1+SUP_VOLUMEN!$C$26),(1+SUP_VOLUMEN!$C$27)))*INDEX(SUP_C3_EXPANSION!$C$6:$F$6,MIN(4,COUNTIF(CAPA3_EXPANSION!$D$56:AG$56,"&gt;="&amp;23)))*CAPA3_EXPANSION!AG$36)</f>
        <v>0</v>
      </c>
      <c r="AH30" s="298" t="n">
        <f aca="false">IF(COUNTIF(CAPA3_EXPANSION!$D$56:AH$56,"&gt;="&amp;23)=0,0,SUP_CONTROL!$C$8*IF($B30="V",1,IF($B30="D",(1+SUP_VOLUMEN!$C$26),(1+SUP_VOLUMEN!$C$27)))*INDEX(SUP_C3_EXPANSION!$C$6:$F$6,MIN(4,COUNTIF(CAPA3_EXPANSION!$D$56:AH$56,"&gt;="&amp;23)))*CAPA3_EXPANSION!AH$36)</f>
        <v>0</v>
      </c>
      <c r="AI30" s="298" t="n">
        <f aca="false">IF(COUNTIF(CAPA3_EXPANSION!$D$56:AI$56,"&gt;="&amp;23)=0,0,SUP_CONTROL!$C$8*IF($B30="V",1,IF($B30="D",(1+SUP_VOLUMEN!$C$26),(1+SUP_VOLUMEN!$C$27)))*INDEX(SUP_C3_EXPANSION!$C$6:$F$6,MIN(4,COUNTIF(CAPA3_EXPANSION!$D$56:AI$56,"&gt;="&amp;23)))*CAPA3_EXPANSION!AI$36)</f>
        <v>0</v>
      </c>
      <c r="AJ30" s="298" t="n">
        <f aca="false">IF(COUNTIF(CAPA3_EXPANSION!$D$56:AJ$56,"&gt;="&amp;23)=0,0,SUP_CONTROL!$C$8*IF($B30="V",1,IF($B30="D",(1+SUP_VOLUMEN!$C$26),(1+SUP_VOLUMEN!$C$27)))*INDEX(SUP_C3_EXPANSION!$C$6:$F$6,MIN(4,COUNTIF(CAPA3_EXPANSION!$D$56:AJ$56,"&gt;="&amp;23)))*CAPA3_EXPANSION!AJ$36)</f>
        <v>0</v>
      </c>
      <c r="AK30" s="298" t="n">
        <f aca="false">IF(COUNTIF(CAPA3_EXPANSION!$D$56:AK$56,"&gt;="&amp;23)=0,0,SUP_CONTROL!$C$8*IF($B30="V",1,IF($B30="D",(1+SUP_VOLUMEN!$C$26),(1+SUP_VOLUMEN!$C$27)))*INDEX(SUP_C3_EXPANSION!$C$6:$F$6,MIN(4,COUNTIF(CAPA3_EXPANSION!$D$56:AK$56,"&gt;="&amp;23)))*CAPA3_EXPANSION!AK$36)</f>
        <v>0</v>
      </c>
      <c r="AL30" s="298" t="n">
        <f aca="false">IF(COUNTIF(CAPA3_EXPANSION!$D$56:AL$56,"&gt;="&amp;23)=0,0,SUP_CONTROL!$C$8*IF($B30="V",1,IF($B30="D",(1+SUP_VOLUMEN!$C$26),(1+SUP_VOLUMEN!$C$27)))*INDEX(SUP_C3_EXPANSION!$C$6:$F$6,MIN(4,COUNTIF(CAPA3_EXPANSION!$D$56:AL$56,"&gt;="&amp;23)))*CAPA3_EXPANSION!AL$36)</f>
        <v>0</v>
      </c>
      <c r="AM30" s="298" t="n">
        <f aca="false">IF(COUNTIF(CAPA3_EXPANSION!$D$56:AM$56,"&gt;="&amp;23)=0,0,SUP_CONTROL!$C$8*IF($B30="V",1,IF($B30="D",(1+SUP_VOLUMEN!$C$26),(1+SUP_VOLUMEN!$C$27)))*INDEX(SUP_C3_EXPANSION!$C$6:$F$6,MIN(4,COUNTIF(CAPA3_EXPANSION!$D$56:AM$56,"&gt;="&amp;23)))*CAPA3_EXPANSION!AM$36)</f>
        <v>0</v>
      </c>
      <c r="AN30" s="298" t="n">
        <f aca="false">IF(COUNTIF(CAPA3_EXPANSION!$D$56:AN$56,"&gt;="&amp;23)=0,0,SUP_CONTROL!$C$8*IF($B30="V",1,IF($B30="D",(1+SUP_VOLUMEN!$C$26),(1+SUP_VOLUMEN!$C$27)))*INDEX(SUP_C3_EXPANSION!$C$6:$F$6,MIN(4,COUNTIF(CAPA3_EXPANSION!$D$56:AN$56,"&gt;="&amp;23)))*CAPA3_EXPANSION!AN$36)</f>
        <v>0</v>
      </c>
      <c r="AO30" s="298" t="n">
        <f aca="false">IF(COUNTIF(CAPA3_EXPANSION!$D$56:AO$56,"&gt;="&amp;23)=0,0,SUP_CONTROL!$C$8*IF($B30="V",1,IF($B30="D",(1+SUP_VOLUMEN!$C$26),(1+SUP_VOLUMEN!$C$27)))*INDEX(SUP_C3_EXPANSION!$C$6:$F$6,MIN(4,COUNTIF(CAPA3_EXPANSION!$D$56:AO$56,"&gt;="&amp;23)))*CAPA3_EXPANSION!AO$36)</f>
        <v>0</v>
      </c>
      <c r="AP30" s="298" t="n">
        <f aca="false">IF(COUNTIF(CAPA3_EXPANSION!$D$56:AP$56,"&gt;="&amp;23)=0,0,SUP_CONTROL!$C$8*IF($B30="V",1,IF($B30="D",(1+SUP_VOLUMEN!$C$26),(1+SUP_VOLUMEN!$C$27)))*INDEX(SUP_C3_EXPANSION!$C$6:$F$6,MIN(4,COUNTIF(CAPA3_EXPANSION!$D$56:AP$56,"&gt;="&amp;23)))*CAPA3_EXPANSION!AP$36)</f>
        <v>0</v>
      </c>
      <c r="AQ30" s="298" t="n">
        <f aca="false">IF(COUNTIF(CAPA3_EXPANSION!$D$56:AQ$56,"&gt;="&amp;23)=0,0,SUP_CONTROL!$C$8*IF($B30="V",1,IF($B30="D",(1+SUP_VOLUMEN!$C$26),(1+SUP_VOLUMEN!$C$27)))*INDEX(SUP_C3_EXPANSION!$C$6:$F$6,MIN(4,COUNTIF(CAPA3_EXPANSION!$D$56:AQ$56,"&gt;="&amp;23)))*CAPA3_EXPANSION!AQ$36)</f>
        <v>0</v>
      </c>
      <c r="AR30" s="298" t="n">
        <f aca="false">IF(COUNTIF(CAPA3_EXPANSION!$D$56:AR$56,"&gt;="&amp;23)=0,0,SUP_CONTROL!$C$8*IF($B30="V",1,IF($B30="D",(1+SUP_VOLUMEN!$C$26),(1+SUP_VOLUMEN!$C$27)))*INDEX(SUP_C3_EXPANSION!$C$6:$F$6,MIN(4,COUNTIF(CAPA3_EXPANSION!$D$56:AR$56,"&gt;="&amp;23)))*CAPA3_EXPANSION!AR$36)</f>
        <v>0</v>
      </c>
      <c r="AS30" s="298" t="n">
        <f aca="false">IF(COUNTIF(CAPA3_EXPANSION!$D$56:AS$56,"&gt;="&amp;23)=0,0,SUP_CONTROL!$C$8*IF($B30="V",1,IF($B30="D",(1+SUP_VOLUMEN!$C$26),(1+SUP_VOLUMEN!$C$27)))*INDEX(SUP_C3_EXPANSION!$C$6:$F$6,MIN(4,COUNTIF(CAPA3_EXPANSION!$D$56:AS$56,"&gt;="&amp;23)))*CAPA3_EXPANSION!AS$36)</f>
        <v>0</v>
      </c>
      <c r="AT30" s="298" t="n">
        <f aca="false">IF(COUNTIF(CAPA3_EXPANSION!$D$56:AT$56,"&gt;="&amp;23)=0,0,SUP_CONTROL!$C$8*IF($B30="V",1,IF($B30="D",(1+SUP_VOLUMEN!$C$26),(1+SUP_VOLUMEN!$C$27)))*INDEX(SUP_C3_EXPANSION!$C$6:$F$6,MIN(4,COUNTIF(CAPA3_EXPANSION!$D$56:AT$56,"&gt;="&amp;23)))*CAPA3_EXPANSION!AT$36)</f>
        <v>0</v>
      </c>
      <c r="AU30" s="298" t="n">
        <f aca="false">IF(COUNTIF(CAPA3_EXPANSION!$D$56:AU$56,"&gt;="&amp;23)=0,0,SUP_CONTROL!$C$8*IF($B30="V",1,IF($B30="D",(1+SUP_VOLUMEN!$C$26),(1+SUP_VOLUMEN!$C$27)))*INDEX(SUP_C3_EXPANSION!$C$6:$F$6,MIN(4,COUNTIF(CAPA3_EXPANSION!$D$56:AU$56,"&gt;="&amp;23)))*CAPA3_EXPANSION!AU$36)</f>
        <v>0</v>
      </c>
      <c r="AV30" s="298" t="n">
        <f aca="false">IF(COUNTIF(CAPA3_EXPANSION!$D$56:AV$56,"&gt;="&amp;23)=0,0,SUP_CONTROL!$C$8*IF($B30="V",1,IF($B30="D",(1+SUP_VOLUMEN!$C$26),(1+SUP_VOLUMEN!$C$27)))*INDEX(SUP_C3_EXPANSION!$C$6:$F$6,MIN(4,COUNTIF(CAPA3_EXPANSION!$D$56:AV$56,"&gt;="&amp;23)))*CAPA3_EXPANSION!AV$36)</f>
        <v>0</v>
      </c>
      <c r="AW30" s="298" t="n">
        <f aca="false">IF(COUNTIF(CAPA3_EXPANSION!$D$56:AW$56,"&gt;="&amp;23)=0,0,SUP_CONTROL!$C$8*IF($B30="V",1,IF($B30="D",(1+SUP_VOLUMEN!$C$26),(1+SUP_VOLUMEN!$C$27)))*INDEX(SUP_C3_EXPANSION!$C$6:$F$6,MIN(4,COUNTIF(CAPA3_EXPANSION!$D$56:AW$56,"&gt;="&amp;23)))*CAPA3_EXPANSION!AW$36)</f>
        <v>0</v>
      </c>
      <c r="AX30" s="298" t="n">
        <f aca="false">IF(COUNTIF(CAPA3_EXPANSION!$D$56:AX$56,"&gt;="&amp;23)=0,0,SUP_CONTROL!$C$8*IF($B30="V",1,IF($B30="D",(1+SUP_VOLUMEN!$C$26),(1+SUP_VOLUMEN!$C$27)))*INDEX(SUP_C3_EXPANSION!$C$6:$F$6,MIN(4,COUNTIF(CAPA3_EXPANSION!$D$56:AX$56,"&gt;="&amp;23)))*CAPA3_EXPANSION!AX$36)</f>
        <v>0</v>
      </c>
      <c r="AY30" s="298" t="n">
        <f aca="false">IF(COUNTIF(CAPA3_EXPANSION!$D$56:AY$56,"&gt;="&amp;23)=0,0,SUP_CONTROL!$C$8*IF($B30="V",1,IF($B30="D",(1+SUP_VOLUMEN!$C$26),(1+SUP_VOLUMEN!$C$27)))*INDEX(SUP_C3_EXPANSION!$C$6:$F$6,MIN(4,COUNTIF(CAPA3_EXPANSION!$D$56:AY$56,"&gt;="&amp;23)))*CAPA3_EXPANSION!AY$36)</f>
        <v>0</v>
      </c>
      <c r="AZ30" s="298" t="n">
        <f aca="false">IF(COUNTIF(CAPA3_EXPANSION!$D$56:AZ$56,"&gt;="&amp;23)=0,0,SUP_CONTROL!$C$8*IF($B30="V",1,IF($B30="D",(1+SUP_VOLUMEN!$C$26),(1+SUP_VOLUMEN!$C$27)))*INDEX(SUP_C3_EXPANSION!$C$6:$F$6,MIN(4,COUNTIF(CAPA3_EXPANSION!$D$56:AZ$56,"&gt;="&amp;23)))*CAPA3_EXPANSION!AZ$36)</f>
        <v>0</v>
      </c>
      <c r="BA30" s="298" t="n">
        <f aca="false">IF(COUNTIF(CAPA3_EXPANSION!$D$56:BA$56,"&gt;="&amp;23)=0,0,SUP_CONTROL!$C$8*IF($B30="V",1,IF($B30="D",(1+SUP_VOLUMEN!$C$26),(1+SUP_VOLUMEN!$C$27)))*INDEX(SUP_C3_EXPANSION!$C$6:$F$6,MIN(4,COUNTIF(CAPA3_EXPANSION!$D$56:BA$56,"&gt;="&amp;23)))*CAPA3_EXPANSION!BA$36)</f>
        <v>0</v>
      </c>
      <c r="BB30" s="298" t="n">
        <f aca="false">IF(COUNTIF(CAPA3_EXPANSION!$D$56:BB$56,"&gt;="&amp;23)=0,0,SUP_CONTROL!$C$8*IF($B30="V",1,IF($B30="D",(1+SUP_VOLUMEN!$C$26),(1+SUP_VOLUMEN!$C$27)))*INDEX(SUP_C3_EXPANSION!$C$6:$F$6,MIN(4,COUNTIF(CAPA3_EXPANSION!$D$56:BB$56,"&gt;="&amp;23)))*CAPA3_EXPANSION!BB$36)</f>
        <v>0</v>
      </c>
      <c r="BC30" s="298" t="n">
        <f aca="false">IF(COUNTIF(CAPA3_EXPANSION!$D$56:BC$56,"&gt;="&amp;23)=0,0,SUP_CONTROL!$C$8*IF($B30="V",1,IF($B30="D",(1+SUP_VOLUMEN!$C$26),(1+SUP_VOLUMEN!$C$27)))*INDEX(SUP_C3_EXPANSION!$C$6:$F$6,MIN(4,COUNTIF(CAPA3_EXPANSION!$D$56:BC$56,"&gt;="&amp;23)))*CAPA3_EXPANSION!BC$36)</f>
        <v>0</v>
      </c>
      <c r="BD30" s="298" t="n">
        <f aca="false">IF(COUNTIF(CAPA3_EXPANSION!$D$56:BD$56,"&gt;="&amp;23)=0,0,SUP_CONTROL!$C$8*IF($B30="V",1,IF($B30="D",(1+SUP_VOLUMEN!$C$26),(1+SUP_VOLUMEN!$C$27)))*INDEX(SUP_C3_EXPANSION!$C$6:$F$6,MIN(4,COUNTIF(CAPA3_EXPANSION!$D$56:BD$56,"&gt;="&amp;23)))*CAPA3_EXPANSION!BD$36)</f>
        <v>0</v>
      </c>
      <c r="BE30" s="298" t="n">
        <f aca="false">IF(COUNTIF(CAPA3_EXPANSION!$D$56:BE$56,"&gt;="&amp;23)=0,0,SUP_CONTROL!$C$8*IF($B30="V",1,IF($B30="D",(1+SUP_VOLUMEN!$C$26),(1+SUP_VOLUMEN!$C$27)))*INDEX(SUP_C3_EXPANSION!$C$6:$F$6,MIN(4,COUNTIF(CAPA3_EXPANSION!$D$56:BE$56,"&gt;="&amp;23)))*CAPA3_EXPANSION!BE$36)</f>
        <v>0</v>
      </c>
      <c r="BF30" s="298" t="n">
        <f aca="false">IF(COUNTIF(CAPA3_EXPANSION!$D$56:BF$56,"&gt;="&amp;23)=0,0,SUP_CONTROL!$C$8*IF($B30="V",1,IF($B30="D",(1+SUP_VOLUMEN!$C$26),(1+SUP_VOLUMEN!$C$27)))*INDEX(SUP_C3_EXPANSION!$C$6:$F$6,MIN(4,COUNTIF(CAPA3_EXPANSION!$D$56:BF$56,"&gt;="&amp;23)))*CAPA3_EXPANSION!BF$36)</f>
        <v>0</v>
      </c>
      <c r="BG30" s="298" t="n">
        <f aca="false">IF(COUNTIF(CAPA3_EXPANSION!$D$56:BG$56,"&gt;="&amp;23)=0,0,SUP_CONTROL!$C$8*IF($B30="V",1,IF($B30="D",(1+SUP_VOLUMEN!$C$26),(1+SUP_VOLUMEN!$C$27)))*INDEX(SUP_C3_EXPANSION!$C$6:$F$6,MIN(4,COUNTIF(CAPA3_EXPANSION!$D$56:BG$56,"&gt;="&amp;23)))*CAPA3_EXPANSION!BG$36)</f>
        <v>0</v>
      </c>
      <c r="BH30" s="298" t="n">
        <f aca="false">IF(COUNTIF(CAPA3_EXPANSION!$D$56:BH$56,"&gt;="&amp;23)=0,0,SUP_CONTROL!$C$8*IF($B30="V",1,IF($B30="D",(1+SUP_VOLUMEN!$C$26),(1+SUP_VOLUMEN!$C$27)))*INDEX(SUP_C3_EXPANSION!$C$6:$F$6,MIN(4,COUNTIF(CAPA3_EXPANSION!$D$56:BH$56,"&gt;="&amp;23)))*CAPA3_EXPANSION!BH$36)</f>
        <v>0</v>
      </c>
      <c r="BI30" s="298" t="n">
        <f aca="false">IF(COUNTIF(CAPA3_EXPANSION!$D$56:BI$56,"&gt;="&amp;23)=0,0,SUP_CONTROL!$C$8*IF($B30="V",1,IF($B30="D",(1+SUP_VOLUMEN!$C$26),(1+SUP_VOLUMEN!$C$27)))*INDEX(SUP_C3_EXPANSION!$C$6:$F$6,MIN(4,COUNTIF(CAPA3_EXPANSION!$D$56:BI$56,"&gt;="&amp;23)))*CAPA3_EXPANSION!BI$36)</f>
        <v>0</v>
      </c>
      <c r="BJ30" s="298" t="n">
        <f aca="false">IF(COUNTIF(CAPA3_EXPANSION!$D$56:BJ$56,"&gt;="&amp;23)=0,0,SUP_CONTROL!$C$8*IF($B30="V",1,IF($B30="D",(1+SUP_VOLUMEN!$C$26),(1+SUP_VOLUMEN!$C$27)))*INDEX(SUP_C3_EXPANSION!$C$6:$F$6,MIN(4,COUNTIF(CAPA3_EXPANSION!$D$56:BJ$56,"&gt;="&amp;23)))*CAPA3_EXPANSION!BJ$36)</f>
        <v>0</v>
      </c>
      <c r="BK30" s="298" t="n">
        <f aca="false">IF(COUNTIF(CAPA3_EXPANSION!$D$56:BK$56,"&gt;="&amp;23)=0,0,SUP_CONTROL!$C$8*IF($B30="V",1,IF($B30="D",(1+SUP_VOLUMEN!$C$26),(1+SUP_VOLUMEN!$C$27)))*INDEX(SUP_C3_EXPANSION!$C$6:$F$6,MIN(4,COUNTIF(CAPA3_EXPANSION!$D$56:BK$56,"&gt;="&amp;23)))*CAPA3_EXPANSION!BK$36)</f>
        <v>0</v>
      </c>
      <c r="BL30" s="298" t="n">
        <f aca="false">IF(COUNTIF(CAPA3_EXPANSION!$D$56:BL$56,"&gt;="&amp;23)=0,0,SUP_CONTROL!$C$8*IF($B30="V",1,IF($B30="D",(1+SUP_VOLUMEN!$C$26),(1+SUP_VOLUMEN!$C$27)))*INDEX(SUP_C3_EXPANSION!$C$6:$F$6,MIN(4,COUNTIF(CAPA3_EXPANSION!$D$56:BL$56,"&gt;="&amp;23)))*CAPA3_EXPANSION!BL$36)</f>
        <v>0</v>
      </c>
      <c r="BM30" s="298" t="n">
        <f aca="false">IF(COUNTIF(CAPA3_EXPANSION!$D$56:BM$56,"&gt;="&amp;23)=0,0,SUP_CONTROL!$C$8*IF($B30="V",1,IF($B30="D",(1+SUP_VOLUMEN!$C$26),(1+SUP_VOLUMEN!$C$27)))*INDEX(SUP_C3_EXPANSION!$C$6:$F$6,MIN(4,COUNTIF(CAPA3_EXPANSION!$D$56:BM$56,"&gt;="&amp;23)))*CAPA3_EXPANSION!BM$36)</f>
        <v>0</v>
      </c>
      <c r="BN30" s="298" t="n">
        <f aca="false">IF(COUNTIF(CAPA3_EXPANSION!$D$56:BN$56,"&gt;="&amp;23)=0,0,SUP_CONTROL!$C$8*IF($B30="V",1,IF($B30="D",(1+SUP_VOLUMEN!$C$26),(1+SUP_VOLUMEN!$C$27)))*INDEX(SUP_C3_EXPANSION!$C$6:$F$6,MIN(4,COUNTIF(CAPA3_EXPANSION!$D$56:BN$56,"&gt;="&amp;23)))*CAPA3_EXPANSION!BN$36)</f>
        <v>0</v>
      </c>
      <c r="BO30" s="298" t="n">
        <f aca="false">IF(COUNTIF(CAPA3_EXPANSION!$D$56:BO$56,"&gt;="&amp;23)=0,0,SUP_CONTROL!$C$8*IF($B30="V",1,IF($B30="D",(1+SUP_VOLUMEN!$C$26),(1+SUP_VOLUMEN!$C$27)))*INDEX(SUP_C3_EXPANSION!$C$6:$F$6,MIN(4,COUNTIF(CAPA3_EXPANSION!$D$56:BO$56,"&gt;="&amp;23)))*CAPA3_EXPANSION!BO$36)</f>
        <v>0</v>
      </c>
      <c r="BP30" s="298" t="n">
        <f aca="false">IF(COUNTIF(CAPA3_EXPANSION!$D$56:BP$56,"&gt;="&amp;23)=0,0,SUP_CONTROL!$C$8*IF($B30="V",1,IF($B30="D",(1+SUP_VOLUMEN!$C$26),(1+SUP_VOLUMEN!$C$27)))*INDEX(SUP_C3_EXPANSION!$C$6:$F$6,MIN(4,COUNTIF(CAPA3_EXPANSION!$D$56:BP$56,"&gt;="&amp;23)))*CAPA3_EXPANSION!BP$36)</f>
        <v>0</v>
      </c>
      <c r="BQ30" s="298" t="n">
        <f aca="false">IF(COUNTIF(CAPA3_EXPANSION!$D$56:BQ$56,"&gt;="&amp;23)=0,0,SUP_CONTROL!$C$8*IF($B30="V",1,IF($B30="D",(1+SUP_VOLUMEN!$C$26),(1+SUP_VOLUMEN!$C$27)))*INDEX(SUP_C3_EXPANSION!$C$6:$F$6,MIN(4,COUNTIF(CAPA3_EXPANSION!$D$56:BQ$56,"&gt;="&amp;23)))*CAPA3_EXPANSION!BQ$36)</f>
        <v>0</v>
      </c>
      <c r="BR30" s="298" t="n">
        <f aca="false">IF(COUNTIF(CAPA3_EXPANSION!$D$56:BR$56,"&gt;="&amp;23)=0,0,SUP_CONTROL!$C$8*IF($B30="V",1,IF($B30="D",(1+SUP_VOLUMEN!$C$26),(1+SUP_VOLUMEN!$C$27)))*INDEX(SUP_C3_EXPANSION!$C$6:$F$6,MIN(4,COUNTIF(CAPA3_EXPANSION!$D$56:BR$56,"&gt;="&amp;23)))*CAPA3_EXPANSION!BR$36)</f>
        <v>2402.4</v>
      </c>
      <c r="BS30" s="298" t="n">
        <f aca="false">IF(COUNTIF(CAPA3_EXPANSION!$D$56:BS$56,"&gt;="&amp;23)=0,0,SUP_CONTROL!$C$8*IF($B30="V",1,IF($B30="D",(1+SUP_VOLUMEN!$C$26),(1+SUP_VOLUMEN!$C$27)))*INDEX(SUP_C3_EXPANSION!$C$6:$F$6,MIN(4,COUNTIF(CAPA3_EXPANSION!$D$56:BS$56,"&gt;="&amp;23)))*CAPA3_EXPANSION!BS$36)</f>
        <v>2956.8</v>
      </c>
      <c r="BT30" s="298" t="n">
        <f aca="false">IF(COUNTIF(CAPA3_EXPANSION!$D$56:BT$56,"&gt;="&amp;23)=0,0,SUP_CONTROL!$C$8*IF($B30="V",1,IF($B30="D",(1+SUP_VOLUMEN!$C$26),(1+SUP_VOLUMEN!$C$27)))*INDEX(SUP_C3_EXPANSION!$C$6:$F$6,MIN(4,COUNTIF(CAPA3_EXPANSION!$D$56:BT$56,"&gt;="&amp;23)))*CAPA3_EXPANSION!BT$36)</f>
        <v>3326.4</v>
      </c>
      <c r="BU30" s="298" t="n">
        <f aca="false">IF(COUNTIF(CAPA3_EXPANSION!$D$56:BU$56,"&gt;="&amp;23)=0,0,SUP_CONTROL!$C$8*IF($B30="V",1,IF($B30="D",(1+SUP_VOLUMEN!$C$26),(1+SUP_VOLUMEN!$C$27)))*INDEX(SUP_C3_EXPANSION!$C$6:$F$6,MIN(4,COUNTIF(CAPA3_EXPANSION!$D$56:BU$56,"&gt;="&amp;23)))*CAPA3_EXPANSION!BU$36)</f>
        <v>3696</v>
      </c>
      <c r="BV30" s="298" t="n">
        <f aca="false">IF(COUNTIF(CAPA3_EXPANSION!$D$56:BV$56,"&gt;="&amp;23)=0,0,SUP_CONTROL!$C$8*IF($B30="V",1,IF($B30="D",(1+SUP_VOLUMEN!$C$26),(1+SUP_VOLUMEN!$C$27)))*INDEX(SUP_C3_EXPANSION!$C$6:$F$6,MIN(4,COUNTIF(CAPA3_EXPANSION!$D$56:BV$56,"&gt;="&amp;23)))*CAPA3_EXPANSION!BV$36)</f>
        <v>3696</v>
      </c>
      <c r="BW30" s="298" t="n">
        <f aca="false">IF(COUNTIF(CAPA3_EXPANSION!$D$56:BW$56,"&gt;="&amp;23)=0,0,SUP_CONTROL!$C$8*IF($B30="V",1,IF($B30="D",(1+SUP_VOLUMEN!$C$26),(1+SUP_VOLUMEN!$C$27)))*INDEX(SUP_C3_EXPANSION!$C$6:$F$6,MIN(4,COUNTIF(CAPA3_EXPANSION!$D$56:BW$56,"&gt;="&amp;23)))*CAPA3_EXPANSION!BW$36)</f>
        <v>3633</v>
      </c>
      <c r="BX30" s="298" t="n">
        <f aca="false">IF(COUNTIF(CAPA3_EXPANSION!$D$56:BX$56,"&gt;="&amp;23)=0,0,SUP_CONTROL!$C$8*IF($B30="V",1,IF($B30="D",(1+SUP_VOLUMEN!$C$26),(1+SUP_VOLUMEN!$C$27)))*INDEX(SUP_C3_EXPANSION!$C$6:$F$6,MIN(4,COUNTIF(CAPA3_EXPANSION!$D$56:BX$56,"&gt;="&amp;23)))*CAPA3_EXPANSION!BX$36)</f>
        <v>3633</v>
      </c>
      <c r="BY30" s="298" t="n">
        <f aca="false">IF(COUNTIF(CAPA3_EXPANSION!$D$56:BY$56,"&gt;="&amp;23)=0,0,SUP_CONTROL!$C$8*IF($B30="V",1,IF($B30="D",(1+SUP_VOLUMEN!$C$26),(1+SUP_VOLUMEN!$C$27)))*INDEX(SUP_C3_EXPANSION!$C$6:$F$6,MIN(4,COUNTIF(CAPA3_EXPANSION!$D$56:BY$56,"&gt;="&amp;23)))*CAPA3_EXPANSION!BY$36)</f>
        <v>3633</v>
      </c>
      <c r="BZ30" s="298" t="n">
        <f aca="false">IF(COUNTIF(CAPA3_EXPANSION!$D$56:BZ$56,"&gt;="&amp;23)=0,0,SUP_CONTROL!$C$8*IF($B30="V",1,IF($B30="D",(1+SUP_VOLUMEN!$C$26),(1+SUP_VOLUMEN!$C$27)))*INDEX(SUP_C3_EXPANSION!$C$6:$F$6,MIN(4,COUNTIF(CAPA3_EXPANSION!$D$56:BZ$56,"&gt;="&amp;23)))*CAPA3_EXPANSION!BZ$36)</f>
        <v>3633</v>
      </c>
      <c r="CA30" s="298" t="n">
        <f aca="false">IF(COUNTIF(CAPA3_EXPANSION!$D$56:CA$56,"&gt;="&amp;23)=0,0,SUP_CONTROL!$C$8*IF($B30="V",1,IF($B30="D",(1+SUP_VOLUMEN!$C$26),(1+SUP_VOLUMEN!$C$27)))*INDEX(SUP_C3_EXPANSION!$C$6:$F$6,MIN(4,COUNTIF(CAPA3_EXPANSION!$D$56:CA$56,"&gt;="&amp;23)))*CAPA3_EXPANSION!CA$36)</f>
        <v>3633</v>
      </c>
      <c r="CB30" s="298" t="n">
        <f aca="false">IF(COUNTIF(CAPA3_EXPANSION!$D$56:CB$56,"&gt;="&amp;23)=0,0,SUP_CONTROL!$C$8*IF($B30="V",1,IF($B30="D",(1+SUP_VOLUMEN!$C$26),(1+SUP_VOLUMEN!$C$27)))*INDEX(SUP_C3_EXPANSION!$C$6:$F$6,MIN(4,COUNTIF(CAPA3_EXPANSION!$D$56:CB$56,"&gt;="&amp;23)))*CAPA3_EXPANSION!CB$36)</f>
        <v>3570</v>
      </c>
      <c r="CC30" s="298" t="n">
        <f aca="false">IF(COUNTIF(CAPA3_EXPANSION!$D$56:CC$56,"&gt;="&amp;23)=0,0,SUP_CONTROL!$C$8*IF($B30="V",1,IF($B30="D",(1+SUP_VOLUMEN!$C$26),(1+SUP_VOLUMEN!$C$27)))*INDEX(SUP_C3_EXPANSION!$C$6:$F$6,MIN(4,COUNTIF(CAPA3_EXPANSION!$D$56:CC$56,"&gt;="&amp;23)))*CAPA3_EXPANSION!CC$36)</f>
        <v>3570</v>
      </c>
      <c r="CD30" s="298" t="n">
        <f aca="false">IF(COUNTIF(CAPA3_EXPANSION!$D$56:CD$56,"&gt;="&amp;23)=0,0,SUP_CONTROL!$C$8*IF($B30="V",1,IF($B30="D",(1+SUP_VOLUMEN!$C$26),(1+SUP_VOLUMEN!$C$27)))*INDEX(SUP_C3_EXPANSION!$C$6:$F$6,MIN(4,COUNTIF(CAPA3_EXPANSION!$D$56:CD$56,"&gt;="&amp;23)))*CAPA3_EXPANSION!CD$36)</f>
        <v>3570</v>
      </c>
      <c r="CE30" s="298" t="n">
        <f aca="false">IF(COUNTIF(CAPA3_EXPANSION!$D$56:CE$56,"&gt;="&amp;23)=0,0,SUP_CONTROL!$C$8*IF($B30="V",1,IF($B30="D",(1+SUP_VOLUMEN!$C$26),(1+SUP_VOLUMEN!$C$27)))*INDEX(SUP_C3_EXPANSION!$C$6:$F$6,MIN(4,COUNTIF(CAPA3_EXPANSION!$D$56:CE$56,"&gt;="&amp;23)))*CAPA3_EXPANSION!CE$36)</f>
        <v>3570</v>
      </c>
      <c r="CF30" s="298" t="n">
        <f aca="false">IF(COUNTIF(CAPA3_EXPANSION!$D$56:CF$56,"&gt;="&amp;23)=0,0,SUP_CONTROL!$C$8*IF($B30="V",1,IF($B30="D",(1+SUP_VOLUMEN!$C$26),(1+SUP_VOLUMEN!$C$27)))*INDEX(SUP_C3_EXPANSION!$C$6:$F$6,MIN(4,COUNTIF(CAPA3_EXPANSION!$D$56:CF$56,"&gt;="&amp;23)))*CAPA3_EXPANSION!CF$36)</f>
        <v>3570</v>
      </c>
      <c r="CG30" s="298" t="n">
        <f aca="false">IF(COUNTIF(CAPA3_EXPANSION!$D$56:CG$56,"&gt;="&amp;23)=0,0,SUP_CONTROL!$C$8*IF($B30="V",1,IF($B30="D",(1+SUP_VOLUMEN!$C$26),(1+SUP_VOLUMEN!$C$27)))*INDEX(SUP_C3_EXPANSION!$C$6:$F$6,MIN(4,COUNTIF(CAPA3_EXPANSION!$D$56:CG$56,"&gt;="&amp;23)))*CAPA3_EXPANSION!CG$36)</f>
        <v>3528</v>
      </c>
      <c r="CH30" s="298" t="n">
        <f aca="false">IF(COUNTIF(CAPA3_EXPANSION!$D$56:CH$56,"&gt;="&amp;23)=0,0,SUP_CONTROL!$C$8*IF($B30="V",1,IF($B30="D",(1+SUP_VOLUMEN!$C$26),(1+SUP_VOLUMEN!$C$27)))*INDEX(SUP_C3_EXPANSION!$C$6:$F$6,MIN(4,COUNTIF(CAPA3_EXPANSION!$D$56:CH$56,"&gt;="&amp;23)))*CAPA3_EXPANSION!CH$36)</f>
        <v>3528</v>
      </c>
      <c r="CI30" s="298" t="n">
        <f aca="false">IF(COUNTIF(CAPA3_EXPANSION!$D$56:CI$56,"&gt;="&amp;23)=0,0,SUP_CONTROL!$C$8*IF($B30="V",1,IF($B30="D",(1+SUP_VOLUMEN!$C$26),(1+SUP_VOLUMEN!$C$27)))*INDEX(SUP_C3_EXPANSION!$C$6:$F$6,MIN(4,COUNTIF(CAPA3_EXPANSION!$D$56:CI$56,"&gt;="&amp;23)))*CAPA3_EXPANSION!CI$36)</f>
        <v>3528</v>
      </c>
      <c r="CJ30" s="298" t="n">
        <f aca="false">IF(COUNTIF(CAPA3_EXPANSION!$D$56:CJ$56,"&gt;="&amp;23)=0,0,SUP_CONTROL!$C$8*IF($B30="V",1,IF($B30="D",(1+SUP_VOLUMEN!$C$26),(1+SUP_VOLUMEN!$C$27)))*INDEX(SUP_C3_EXPANSION!$C$6:$F$6,MIN(4,COUNTIF(CAPA3_EXPANSION!$D$56:CJ$56,"&gt;="&amp;23)))*CAPA3_EXPANSION!CJ$36)</f>
        <v>3528</v>
      </c>
      <c r="CK30" s="298" t="n">
        <f aca="false">IF(COUNTIF(CAPA3_EXPANSION!$D$56:CK$56,"&gt;="&amp;23)=0,0,SUP_CONTROL!$C$8*IF($B30="V",1,IF($B30="D",(1+SUP_VOLUMEN!$C$26),(1+SUP_VOLUMEN!$C$27)))*INDEX(SUP_C3_EXPANSION!$C$6:$F$6,MIN(4,COUNTIF(CAPA3_EXPANSION!$D$56:CK$56,"&gt;="&amp;23)))*CAPA3_EXPANSION!CK$36)</f>
        <v>3528</v>
      </c>
      <c r="CL30" s="298" t="n">
        <f aca="false">IF(COUNTIF(CAPA3_EXPANSION!$D$56:CL$56,"&gt;="&amp;23)=0,0,SUP_CONTROL!$C$8*IF($B30="V",1,IF($B30="D",(1+SUP_VOLUMEN!$C$26),(1+SUP_VOLUMEN!$C$27)))*INDEX(SUP_C3_EXPANSION!$C$6:$F$6,MIN(4,COUNTIF(CAPA3_EXPANSION!$D$56:CL$56,"&gt;="&amp;23)))*CAPA3_EXPANSION!CL$36)</f>
        <v>3528</v>
      </c>
      <c r="CM30" s="298" t="n">
        <f aca="false">IF(COUNTIF(CAPA3_EXPANSION!$D$56:CM$56,"&gt;="&amp;23)=0,0,SUP_CONTROL!$C$8*IF($B30="V",1,IF($B30="D",(1+SUP_VOLUMEN!$C$26),(1+SUP_VOLUMEN!$C$27)))*INDEX(SUP_C3_EXPANSION!$C$6:$F$6,MIN(4,COUNTIF(CAPA3_EXPANSION!$D$56:CM$56,"&gt;="&amp;23)))*CAPA3_EXPANSION!CM$36)</f>
        <v>3528</v>
      </c>
      <c r="CN30" s="298" t="n">
        <f aca="false">IF(COUNTIF(CAPA3_EXPANSION!$D$56:CN$56,"&gt;="&amp;23)=0,0,SUP_CONTROL!$C$8*IF($B30="V",1,IF($B30="D",(1+SUP_VOLUMEN!$C$26),(1+SUP_VOLUMEN!$C$27)))*INDEX(SUP_C3_EXPANSION!$C$6:$F$6,MIN(4,COUNTIF(CAPA3_EXPANSION!$D$56:CN$56,"&gt;="&amp;23)))*CAPA3_EXPANSION!CN$36)</f>
        <v>3528</v>
      </c>
      <c r="CO30" s="298" t="n">
        <f aca="false">IF(COUNTIF(CAPA3_EXPANSION!$D$56:CO$56,"&gt;="&amp;23)=0,0,SUP_CONTROL!$C$8*IF($B30="V",1,IF($B30="D",(1+SUP_VOLUMEN!$C$26),(1+SUP_VOLUMEN!$C$27)))*INDEX(SUP_C3_EXPANSION!$C$6:$F$6,MIN(4,COUNTIF(CAPA3_EXPANSION!$D$56:CO$56,"&gt;="&amp;23)))*CAPA3_EXPANSION!CO$36)</f>
        <v>3528</v>
      </c>
      <c r="CP30" s="298" t="n">
        <f aca="false">IF(COUNTIF(CAPA3_EXPANSION!$D$56:CP$56,"&gt;="&amp;23)=0,0,SUP_CONTROL!$C$8*IF($B30="V",1,IF($B30="D",(1+SUP_VOLUMEN!$C$26),(1+SUP_VOLUMEN!$C$27)))*INDEX(SUP_C3_EXPANSION!$C$6:$F$6,MIN(4,COUNTIF(CAPA3_EXPANSION!$D$56:CP$56,"&gt;="&amp;23)))*CAPA3_EXPANSION!CP$36)</f>
        <v>3528</v>
      </c>
      <c r="CQ30" s="298" t="n">
        <f aca="false">IF(COUNTIF(CAPA3_EXPANSION!$D$56:CQ$56,"&gt;="&amp;23)=0,0,SUP_CONTROL!$C$8*IF($B30="V",1,IF($B30="D",(1+SUP_VOLUMEN!$C$26),(1+SUP_VOLUMEN!$C$27)))*INDEX(SUP_C3_EXPANSION!$C$6:$F$6,MIN(4,COUNTIF(CAPA3_EXPANSION!$D$56:CQ$56,"&gt;="&amp;23)))*CAPA3_EXPANSION!CQ$36)</f>
        <v>3528</v>
      </c>
      <c r="CR30" s="298" t="n">
        <f aca="false">IF(COUNTIF(CAPA3_EXPANSION!$D$56:CR$56,"&gt;="&amp;23)=0,0,SUP_CONTROL!$C$8*IF($B30="V",1,IF($B30="D",(1+SUP_VOLUMEN!$C$26),(1+SUP_VOLUMEN!$C$27)))*INDEX(SUP_C3_EXPANSION!$C$6:$F$6,MIN(4,COUNTIF(CAPA3_EXPANSION!$D$56:CR$56,"&gt;="&amp;23)))*CAPA3_EXPANSION!CR$36)</f>
        <v>3528</v>
      </c>
      <c r="CS30" s="298" t="n">
        <f aca="false">IF(COUNTIF(CAPA3_EXPANSION!$D$56:CS$56,"&gt;="&amp;23)=0,0,SUP_CONTROL!$C$8*IF($B30="V",1,IF($B30="D",(1+SUP_VOLUMEN!$C$26),(1+SUP_VOLUMEN!$C$27)))*INDEX(SUP_C3_EXPANSION!$C$6:$F$6,MIN(4,COUNTIF(CAPA3_EXPANSION!$D$56:CS$56,"&gt;="&amp;23)))*CAPA3_EXPANSION!CS$36)</f>
        <v>3528</v>
      </c>
      <c r="CT30" s="298" t="n">
        <f aca="false">IF(COUNTIF(CAPA3_EXPANSION!$D$56:CT$56,"&gt;="&amp;23)=0,0,SUP_CONTROL!$C$8*IF($B30="V",1,IF($B30="D",(1+SUP_VOLUMEN!$C$26),(1+SUP_VOLUMEN!$C$27)))*INDEX(SUP_C3_EXPANSION!$C$6:$F$6,MIN(4,COUNTIF(CAPA3_EXPANSION!$D$56:CT$56,"&gt;="&amp;23)))*CAPA3_EXPANSION!CT$36)</f>
        <v>3528</v>
      </c>
      <c r="CU30" s="298" t="n">
        <f aca="false">IF(COUNTIF(CAPA3_EXPANSION!$D$56:CU$56,"&gt;="&amp;23)=0,0,SUP_CONTROL!$C$8*IF($B30="V",1,IF($B30="D",(1+SUP_VOLUMEN!$C$26),(1+SUP_VOLUMEN!$C$27)))*INDEX(SUP_C3_EXPANSION!$C$6:$F$6,MIN(4,COUNTIF(CAPA3_EXPANSION!$D$56:CU$56,"&gt;="&amp;23)))*CAPA3_EXPANSION!CU$36)</f>
        <v>3528</v>
      </c>
      <c r="CV30" s="298" t="n">
        <f aca="false">IF(COUNTIF(CAPA3_EXPANSION!$D$56:CV$56,"&gt;="&amp;23)=0,0,SUP_CONTROL!$C$8*IF($B30="V",1,IF($B30="D",(1+SUP_VOLUMEN!$C$26),(1+SUP_VOLUMEN!$C$27)))*INDEX(SUP_C3_EXPANSION!$C$6:$F$6,MIN(4,COUNTIF(CAPA3_EXPANSION!$D$56:CV$56,"&gt;="&amp;23)))*CAPA3_EXPANSION!CV$36)</f>
        <v>3528</v>
      </c>
      <c r="CW30" s="298" t="n">
        <f aca="false">IF(COUNTIF(CAPA3_EXPANSION!$D$56:CW$56,"&gt;="&amp;23)=0,0,SUP_CONTROL!$C$8*IF($B30="V",1,IF($B30="D",(1+SUP_VOLUMEN!$C$26),(1+SUP_VOLUMEN!$C$27)))*INDEX(SUP_C3_EXPANSION!$C$6:$F$6,MIN(4,COUNTIF(CAPA3_EXPANSION!$D$56:CW$56,"&gt;="&amp;23)))*CAPA3_EXPANSION!CW$36)</f>
        <v>3528</v>
      </c>
      <c r="CX30" s="298" t="n">
        <f aca="false">IF(COUNTIF(CAPA3_EXPANSION!$D$56:CX$56,"&gt;="&amp;23)=0,0,SUP_CONTROL!$C$8*IF($B30="V",1,IF($B30="D",(1+SUP_VOLUMEN!$C$26),(1+SUP_VOLUMEN!$C$27)))*INDEX(SUP_C3_EXPANSION!$C$6:$F$6,MIN(4,COUNTIF(CAPA3_EXPANSION!$D$56:CX$56,"&gt;="&amp;23)))*CAPA3_EXPANSION!CX$36)</f>
        <v>3528</v>
      </c>
      <c r="CY30" s="298" t="n">
        <f aca="false">IF(COUNTIF(CAPA3_EXPANSION!$D$56:CY$56,"&gt;="&amp;23)=0,0,SUP_CONTROL!$C$8*IF($B30="V",1,IF($B30="D",(1+SUP_VOLUMEN!$C$26),(1+SUP_VOLUMEN!$C$27)))*INDEX(SUP_C3_EXPANSION!$C$6:$F$6,MIN(4,COUNTIF(CAPA3_EXPANSION!$D$56:CY$56,"&gt;="&amp;23)))*CAPA3_EXPANSION!CY$36)</f>
        <v>3528</v>
      </c>
      <c r="CZ30" s="298" t="n">
        <f aca="false">IF(COUNTIF(CAPA3_EXPANSION!$D$56:CZ$56,"&gt;="&amp;23)=0,0,SUP_CONTROL!$C$8*IF($B30="V",1,IF($B30="D",(1+SUP_VOLUMEN!$C$26),(1+SUP_VOLUMEN!$C$27)))*INDEX(SUP_C3_EXPANSION!$C$6:$F$6,MIN(4,COUNTIF(CAPA3_EXPANSION!$D$56:CZ$56,"&gt;="&amp;23)))*CAPA3_EXPANSION!CZ$36)</f>
        <v>3528</v>
      </c>
      <c r="DA30" s="298" t="n">
        <f aca="false">IF(COUNTIF(CAPA3_EXPANSION!$D$56:DA$56,"&gt;="&amp;23)=0,0,SUP_CONTROL!$C$8*IF($B30="V",1,IF($B30="D",(1+SUP_VOLUMEN!$C$26),(1+SUP_VOLUMEN!$C$27)))*INDEX(SUP_C3_EXPANSION!$C$6:$F$6,MIN(4,COUNTIF(CAPA3_EXPANSION!$D$56:DA$56,"&gt;="&amp;23)))*CAPA3_EXPANSION!DA$36)</f>
        <v>3528</v>
      </c>
      <c r="DB30" s="298" t="n">
        <f aca="false">IF(COUNTIF(CAPA3_EXPANSION!$D$56:DB$56,"&gt;="&amp;23)=0,0,SUP_CONTROL!$C$8*IF($B30="V",1,IF($B30="D",(1+SUP_VOLUMEN!$C$26),(1+SUP_VOLUMEN!$C$27)))*INDEX(SUP_C3_EXPANSION!$C$6:$F$6,MIN(4,COUNTIF(CAPA3_EXPANSION!$D$56:DB$56,"&gt;="&amp;23)))*CAPA3_EXPANSION!DB$36)</f>
        <v>3528</v>
      </c>
      <c r="DC30" s="298" t="n">
        <f aca="false">IF(COUNTIF(CAPA3_EXPANSION!$D$56:DC$56,"&gt;="&amp;23)=0,0,SUP_CONTROL!$C$8*IF($B30="V",1,IF($B30="D",(1+SUP_VOLUMEN!$C$26),(1+SUP_VOLUMEN!$C$27)))*INDEX(SUP_C3_EXPANSION!$C$6:$F$6,MIN(4,COUNTIF(CAPA3_EXPANSION!$D$56:DC$56,"&gt;="&amp;23)))*CAPA3_EXPANSION!DC$36)</f>
        <v>3528</v>
      </c>
      <c r="DD30" s="298" t="n">
        <f aca="false">IF(COUNTIF(CAPA3_EXPANSION!$D$56:DD$56,"&gt;="&amp;23)=0,0,SUP_CONTROL!$C$8*IF($B30="V",1,IF($B30="D",(1+SUP_VOLUMEN!$C$26),(1+SUP_VOLUMEN!$C$27)))*INDEX(SUP_C3_EXPANSION!$C$6:$F$6,MIN(4,COUNTIF(CAPA3_EXPANSION!$D$56:DD$56,"&gt;="&amp;23)))*CAPA3_EXPANSION!DD$36)</f>
        <v>3528</v>
      </c>
      <c r="DE30" s="298" t="n">
        <f aca="false">IF(COUNTIF(CAPA3_EXPANSION!$D$56:DE$56,"&gt;="&amp;23)=0,0,SUP_CONTROL!$C$8*IF($B30="V",1,IF($B30="D",(1+SUP_VOLUMEN!$C$26),(1+SUP_VOLUMEN!$C$27)))*INDEX(SUP_C3_EXPANSION!$C$6:$F$6,MIN(4,COUNTIF(CAPA3_EXPANSION!$D$56:DE$56,"&gt;="&amp;23)))*CAPA3_EXPANSION!DE$36)</f>
        <v>3528</v>
      </c>
      <c r="DF30" s="298" t="n">
        <f aca="false">IF(COUNTIF(CAPA3_EXPANSION!$D$56:DF$56,"&gt;="&amp;23)=0,0,SUP_CONTROL!$C$8*IF($B30="V",1,IF($B30="D",(1+SUP_VOLUMEN!$C$26),(1+SUP_VOLUMEN!$C$27)))*INDEX(SUP_C3_EXPANSION!$C$6:$F$6,MIN(4,COUNTIF(CAPA3_EXPANSION!$D$56:DF$56,"&gt;="&amp;23)))*CAPA3_EXPANSION!DF$36)</f>
        <v>3528</v>
      </c>
      <c r="DG30" s="298" t="n">
        <f aca="false">IF(COUNTIF(CAPA3_EXPANSION!$D$56:DG$56,"&gt;="&amp;23)=0,0,SUP_CONTROL!$C$8*IF($B30="V",1,IF($B30="D",(1+SUP_VOLUMEN!$C$26),(1+SUP_VOLUMEN!$C$27)))*INDEX(SUP_C3_EXPANSION!$C$6:$F$6,MIN(4,COUNTIF(CAPA3_EXPANSION!$D$56:DG$56,"&gt;="&amp;23)))*CAPA3_EXPANSION!DG$36)</f>
        <v>3528</v>
      </c>
      <c r="DH30" s="298" t="n">
        <f aca="false">IF(COUNTIF(CAPA3_EXPANSION!$D$56:DH$56,"&gt;="&amp;23)=0,0,SUP_CONTROL!$C$8*IF($B30="V",1,IF($B30="D",(1+SUP_VOLUMEN!$C$26),(1+SUP_VOLUMEN!$C$27)))*INDEX(SUP_C3_EXPANSION!$C$6:$F$6,MIN(4,COUNTIF(CAPA3_EXPANSION!$D$56:DH$56,"&gt;="&amp;23)))*CAPA3_EXPANSION!DH$36)</f>
        <v>3528</v>
      </c>
      <c r="DI30" s="298" t="n">
        <f aca="false">IF(COUNTIF(CAPA3_EXPANSION!$D$56:DI$56,"&gt;="&amp;23)=0,0,SUP_CONTROL!$C$8*IF($B30="V",1,IF($B30="D",(1+SUP_VOLUMEN!$C$26),(1+SUP_VOLUMEN!$C$27)))*INDEX(SUP_C3_EXPANSION!$C$6:$F$6,MIN(4,COUNTIF(CAPA3_EXPANSION!$D$56:DI$56,"&gt;="&amp;23)))*CAPA3_EXPANSION!DI$36)</f>
        <v>3528</v>
      </c>
      <c r="DJ30" s="298" t="n">
        <f aca="false">IF(COUNTIF(CAPA3_EXPANSION!$D$56:DJ$56,"&gt;="&amp;23)=0,0,SUP_CONTROL!$C$8*IF($B30="V",1,IF($B30="D",(1+SUP_VOLUMEN!$C$26),(1+SUP_VOLUMEN!$C$27)))*INDEX(SUP_C3_EXPANSION!$C$6:$F$6,MIN(4,COUNTIF(CAPA3_EXPANSION!$D$56:DJ$56,"&gt;="&amp;23)))*CAPA3_EXPANSION!DJ$36)</f>
        <v>3528</v>
      </c>
      <c r="DK30" s="298" t="n">
        <f aca="false">IF(COUNTIF(CAPA3_EXPANSION!$D$56:DK$56,"&gt;="&amp;23)=0,0,SUP_CONTROL!$C$8*IF($B30="V",1,IF($B30="D",(1+SUP_VOLUMEN!$C$26),(1+SUP_VOLUMEN!$C$27)))*INDEX(SUP_C3_EXPANSION!$C$6:$F$6,MIN(4,COUNTIF(CAPA3_EXPANSION!$D$56:DK$56,"&gt;="&amp;23)))*CAPA3_EXPANSION!DK$36)</f>
        <v>3528</v>
      </c>
      <c r="DL30" s="298" t="n">
        <f aca="false">IF(COUNTIF(CAPA3_EXPANSION!$D$56:DL$56,"&gt;="&amp;23)=0,0,SUP_CONTROL!$C$8*IF($B30="V",1,IF($B30="D",(1+SUP_VOLUMEN!$C$26),(1+SUP_VOLUMEN!$C$27)))*INDEX(SUP_C3_EXPANSION!$C$6:$F$6,MIN(4,COUNTIF(CAPA3_EXPANSION!$D$56:DL$56,"&gt;="&amp;23)))*CAPA3_EXPANSION!DL$36)</f>
        <v>3528</v>
      </c>
      <c r="DM30" s="298" t="n">
        <f aca="false">IF(COUNTIF(CAPA3_EXPANSION!$D$56:DM$56,"&gt;="&amp;23)=0,0,SUP_CONTROL!$C$8*IF($B30="V",1,IF($B30="D",(1+SUP_VOLUMEN!$C$26),(1+SUP_VOLUMEN!$C$27)))*INDEX(SUP_C3_EXPANSION!$C$6:$F$6,MIN(4,COUNTIF(CAPA3_EXPANSION!$D$56:DM$56,"&gt;="&amp;23)))*CAPA3_EXPANSION!DM$36)</f>
        <v>3528</v>
      </c>
      <c r="DN30" s="298" t="n">
        <f aca="false">IF(COUNTIF(CAPA3_EXPANSION!$D$56:DN$56,"&gt;="&amp;23)=0,0,SUP_CONTROL!$C$8*IF($B30="V",1,IF($B30="D",(1+SUP_VOLUMEN!$C$26),(1+SUP_VOLUMEN!$C$27)))*INDEX(SUP_C3_EXPANSION!$C$6:$F$6,MIN(4,COUNTIF(CAPA3_EXPANSION!$D$56:DN$56,"&gt;="&amp;23)))*CAPA3_EXPANSION!DN$36)</f>
        <v>3528</v>
      </c>
      <c r="DO30" s="298" t="n">
        <f aca="false">IF(COUNTIF(CAPA3_EXPANSION!$D$56:DO$56,"&gt;="&amp;23)=0,0,SUP_CONTROL!$C$8*IF($B30="V",1,IF($B30="D",(1+SUP_VOLUMEN!$C$26),(1+SUP_VOLUMEN!$C$27)))*INDEX(SUP_C3_EXPANSION!$C$6:$F$6,MIN(4,COUNTIF(CAPA3_EXPANSION!$D$56:DO$56,"&gt;="&amp;23)))*CAPA3_EXPANSION!DO$36)</f>
        <v>3528</v>
      </c>
      <c r="DP30" s="298" t="n">
        <f aca="false">IF(COUNTIF(CAPA3_EXPANSION!$D$56:DP$56,"&gt;="&amp;23)=0,0,SUP_CONTROL!$C$8*IF($B30="V",1,IF($B30="D",(1+SUP_VOLUMEN!$C$26),(1+SUP_VOLUMEN!$C$27)))*INDEX(SUP_C3_EXPANSION!$C$6:$F$6,MIN(4,COUNTIF(CAPA3_EXPANSION!$D$56:DP$56,"&gt;="&amp;23)))*CAPA3_EXPANSION!DP$36)</f>
        <v>3528</v>
      </c>
      <c r="DQ30" s="298" t="n">
        <f aca="false">IF(COUNTIF(CAPA3_EXPANSION!$D$56:DQ$56,"&gt;="&amp;23)=0,0,SUP_CONTROL!$C$8*IF($B30="V",1,IF($B30="D",(1+SUP_VOLUMEN!$C$26),(1+SUP_VOLUMEN!$C$27)))*INDEX(SUP_C3_EXPANSION!$C$6:$F$6,MIN(4,COUNTIF(CAPA3_EXPANSION!$D$56:DQ$56,"&gt;="&amp;23)))*CAPA3_EXPANSION!DQ$36)</f>
        <v>3528</v>
      </c>
      <c r="DR30" s="298" t="n">
        <f aca="false">IF(COUNTIF(CAPA3_EXPANSION!$D$56:DR$56,"&gt;="&amp;23)=0,0,SUP_CONTROL!$C$8*IF($B30="V",1,IF($B30="D",(1+SUP_VOLUMEN!$C$26),(1+SUP_VOLUMEN!$C$27)))*INDEX(SUP_C3_EXPANSION!$C$6:$F$6,MIN(4,COUNTIF(CAPA3_EXPANSION!$D$56:DR$56,"&gt;="&amp;23)))*CAPA3_EXPANSION!DR$36)</f>
        <v>3528</v>
      </c>
      <c r="DS30" s="298" t="n">
        <f aca="false">IF(COUNTIF(CAPA3_EXPANSION!$D$56:DS$56,"&gt;="&amp;23)=0,0,SUP_CONTROL!$C$8*IF($B30="V",1,IF($B30="D",(1+SUP_VOLUMEN!$C$26),(1+SUP_VOLUMEN!$C$27)))*INDEX(SUP_C3_EXPANSION!$C$6:$F$6,MIN(4,COUNTIF(CAPA3_EXPANSION!$D$56:DS$56,"&gt;="&amp;23)))*CAPA3_EXPANSION!DS$36)</f>
        <v>3528</v>
      </c>
    </row>
    <row r="31" customFormat="false" ht="15" hidden="false" customHeight="true" outlineLevel="0" collapsed="false">
      <c r="A31" s="298" t="n">
        <v>34</v>
      </c>
      <c r="B31" s="497" t="str">
        <f aca="false">SUP_C3_EXPANSION!B43</f>
        <v>V</v>
      </c>
      <c r="C31" s="267" t="n">
        <f aca="false">SUP_C3_EXPANSION!G43</f>
        <v>65</v>
      </c>
      <c r="D31" s="298" t="n">
        <f aca="false">IF(COUNTIF(CAPA3_EXPANSION!$D$56:D$56,"&gt;="&amp;24)=0,0,SUP_CONTROL!$C$8*IF($B31="V",1,IF($B31="D",(1+SUP_VOLUMEN!$C$26),(1+SUP_VOLUMEN!$C$27)))*INDEX(SUP_C3_EXPANSION!$C$6:$F$6,MIN(4,COUNTIF(CAPA3_EXPANSION!$D$56:D$56,"&gt;="&amp;24)))*CAPA3_EXPANSION!D$36)</f>
        <v>0</v>
      </c>
      <c r="E31" s="298" t="n">
        <f aca="false">IF(COUNTIF(CAPA3_EXPANSION!$D$56:E$56,"&gt;="&amp;24)=0,0,SUP_CONTROL!$C$8*IF($B31="V",1,IF($B31="D",(1+SUP_VOLUMEN!$C$26),(1+SUP_VOLUMEN!$C$27)))*INDEX(SUP_C3_EXPANSION!$C$6:$F$6,MIN(4,COUNTIF(CAPA3_EXPANSION!$D$56:E$56,"&gt;="&amp;24)))*CAPA3_EXPANSION!E$36)</f>
        <v>0</v>
      </c>
      <c r="F31" s="298" t="n">
        <f aca="false">IF(COUNTIF(CAPA3_EXPANSION!$D$56:F$56,"&gt;="&amp;24)=0,0,SUP_CONTROL!$C$8*IF($B31="V",1,IF($B31="D",(1+SUP_VOLUMEN!$C$26),(1+SUP_VOLUMEN!$C$27)))*INDEX(SUP_C3_EXPANSION!$C$6:$F$6,MIN(4,COUNTIF(CAPA3_EXPANSION!$D$56:F$56,"&gt;="&amp;24)))*CAPA3_EXPANSION!F$36)</f>
        <v>0</v>
      </c>
      <c r="G31" s="298" t="n">
        <f aca="false">IF(COUNTIF(CAPA3_EXPANSION!$D$56:G$56,"&gt;="&amp;24)=0,0,SUP_CONTROL!$C$8*IF($B31="V",1,IF($B31="D",(1+SUP_VOLUMEN!$C$26),(1+SUP_VOLUMEN!$C$27)))*INDEX(SUP_C3_EXPANSION!$C$6:$F$6,MIN(4,COUNTIF(CAPA3_EXPANSION!$D$56:G$56,"&gt;="&amp;24)))*CAPA3_EXPANSION!G$36)</f>
        <v>0</v>
      </c>
      <c r="H31" s="298" t="n">
        <f aca="false">IF(COUNTIF(CAPA3_EXPANSION!$D$56:H$56,"&gt;="&amp;24)=0,0,SUP_CONTROL!$C$8*IF($B31="V",1,IF($B31="D",(1+SUP_VOLUMEN!$C$26),(1+SUP_VOLUMEN!$C$27)))*INDEX(SUP_C3_EXPANSION!$C$6:$F$6,MIN(4,COUNTIF(CAPA3_EXPANSION!$D$56:H$56,"&gt;="&amp;24)))*CAPA3_EXPANSION!H$36)</f>
        <v>0</v>
      </c>
      <c r="I31" s="298" t="n">
        <f aca="false">IF(COUNTIF(CAPA3_EXPANSION!$D$56:I$56,"&gt;="&amp;24)=0,0,SUP_CONTROL!$C$8*IF($B31="V",1,IF($B31="D",(1+SUP_VOLUMEN!$C$26),(1+SUP_VOLUMEN!$C$27)))*INDEX(SUP_C3_EXPANSION!$C$6:$F$6,MIN(4,COUNTIF(CAPA3_EXPANSION!$D$56:I$56,"&gt;="&amp;24)))*CAPA3_EXPANSION!I$36)</f>
        <v>0</v>
      </c>
      <c r="J31" s="298" t="n">
        <f aca="false">IF(COUNTIF(CAPA3_EXPANSION!$D$56:J$56,"&gt;="&amp;24)=0,0,SUP_CONTROL!$C$8*IF($B31="V",1,IF($B31="D",(1+SUP_VOLUMEN!$C$26),(1+SUP_VOLUMEN!$C$27)))*INDEX(SUP_C3_EXPANSION!$C$6:$F$6,MIN(4,COUNTIF(CAPA3_EXPANSION!$D$56:J$56,"&gt;="&amp;24)))*CAPA3_EXPANSION!J$36)</f>
        <v>0</v>
      </c>
      <c r="K31" s="298" t="n">
        <f aca="false">IF(COUNTIF(CAPA3_EXPANSION!$D$56:K$56,"&gt;="&amp;24)=0,0,SUP_CONTROL!$C$8*IF($B31="V",1,IF($B31="D",(1+SUP_VOLUMEN!$C$26),(1+SUP_VOLUMEN!$C$27)))*INDEX(SUP_C3_EXPANSION!$C$6:$F$6,MIN(4,COUNTIF(CAPA3_EXPANSION!$D$56:K$56,"&gt;="&amp;24)))*CAPA3_EXPANSION!K$36)</f>
        <v>0</v>
      </c>
      <c r="L31" s="298" t="n">
        <f aca="false">IF(COUNTIF(CAPA3_EXPANSION!$D$56:L$56,"&gt;="&amp;24)=0,0,SUP_CONTROL!$C$8*IF($B31="V",1,IF($B31="D",(1+SUP_VOLUMEN!$C$26),(1+SUP_VOLUMEN!$C$27)))*INDEX(SUP_C3_EXPANSION!$C$6:$F$6,MIN(4,COUNTIF(CAPA3_EXPANSION!$D$56:L$56,"&gt;="&amp;24)))*CAPA3_EXPANSION!L$36)</f>
        <v>0</v>
      </c>
      <c r="M31" s="298" t="n">
        <f aca="false">IF(COUNTIF(CAPA3_EXPANSION!$D$56:M$56,"&gt;="&amp;24)=0,0,SUP_CONTROL!$C$8*IF($B31="V",1,IF($B31="D",(1+SUP_VOLUMEN!$C$26),(1+SUP_VOLUMEN!$C$27)))*INDEX(SUP_C3_EXPANSION!$C$6:$F$6,MIN(4,COUNTIF(CAPA3_EXPANSION!$D$56:M$56,"&gt;="&amp;24)))*CAPA3_EXPANSION!M$36)</f>
        <v>0</v>
      </c>
      <c r="N31" s="298" t="n">
        <f aca="false">IF(COUNTIF(CAPA3_EXPANSION!$D$56:N$56,"&gt;="&amp;24)=0,0,SUP_CONTROL!$C$8*IF($B31="V",1,IF($B31="D",(1+SUP_VOLUMEN!$C$26),(1+SUP_VOLUMEN!$C$27)))*INDEX(SUP_C3_EXPANSION!$C$6:$F$6,MIN(4,COUNTIF(CAPA3_EXPANSION!$D$56:N$56,"&gt;="&amp;24)))*CAPA3_EXPANSION!N$36)</f>
        <v>0</v>
      </c>
      <c r="O31" s="298" t="n">
        <f aca="false">IF(COUNTIF(CAPA3_EXPANSION!$D$56:O$56,"&gt;="&amp;24)=0,0,SUP_CONTROL!$C$8*IF($B31="V",1,IF($B31="D",(1+SUP_VOLUMEN!$C$26),(1+SUP_VOLUMEN!$C$27)))*INDEX(SUP_C3_EXPANSION!$C$6:$F$6,MIN(4,COUNTIF(CAPA3_EXPANSION!$D$56:O$56,"&gt;="&amp;24)))*CAPA3_EXPANSION!O$36)</f>
        <v>0</v>
      </c>
      <c r="P31" s="298" t="n">
        <f aca="false">IF(COUNTIF(CAPA3_EXPANSION!$D$56:P$56,"&gt;="&amp;24)=0,0,SUP_CONTROL!$C$8*IF($B31="V",1,IF($B31="D",(1+SUP_VOLUMEN!$C$26),(1+SUP_VOLUMEN!$C$27)))*INDEX(SUP_C3_EXPANSION!$C$6:$F$6,MIN(4,COUNTIF(CAPA3_EXPANSION!$D$56:P$56,"&gt;="&amp;24)))*CAPA3_EXPANSION!P$36)</f>
        <v>0</v>
      </c>
      <c r="Q31" s="298" t="n">
        <f aca="false">IF(COUNTIF(CAPA3_EXPANSION!$D$56:Q$56,"&gt;="&amp;24)=0,0,SUP_CONTROL!$C$8*IF($B31="V",1,IF($B31="D",(1+SUP_VOLUMEN!$C$26),(1+SUP_VOLUMEN!$C$27)))*INDEX(SUP_C3_EXPANSION!$C$6:$F$6,MIN(4,COUNTIF(CAPA3_EXPANSION!$D$56:Q$56,"&gt;="&amp;24)))*CAPA3_EXPANSION!Q$36)</f>
        <v>0</v>
      </c>
      <c r="R31" s="298" t="n">
        <f aca="false">IF(COUNTIF(CAPA3_EXPANSION!$D$56:R$56,"&gt;="&amp;24)=0,0,SUP_CONTROL!$C$8*IF($B31="V",1,IF($B31="D",(1+SUP_VOLUMEN!$C$26),(1+SUP_VOLUMEN!$C$27)))*INDEX(SUP_C3_EXPANSION!$C$6:$F$6,MIN(4,COUNTIF(CAPA3_EXPANSION!$D$56:R$56,"&gt;="&amp;24)))*CAPA3_EXPANSION!R$36)</f>
        <v>0</v>
      </c>
      <c r="S31" s="298" t="n">
        <f aca="false">IF(COUNTIF(CAPA3_EXPANSION!$D$56:S$56,"&gt;="&amp;24)=0,0,SUP_CONTROL!$C$8*IF($B31="V",1,IF($B31="D",(1+SUP_VOLUMEN!$C$26),(1+SUP_VOLUMEN!$C$27)))*INDEX(SUP_C3_EXPANSION!$C$6:$F$6,MIN(4,COUNTIF(CAPA3_EXPANSION!$D$56:S$56,"&gt;="&amp;24)))*CAPA3_EXPANSION!S$36)</f>
        <v>0</v>
      </c>
      <c r="T31" s="298" t="n">
        <f aca="false">IF(COUNTIF(CAPA3_EXPANSION!$D$56:T$56,"&gt;="&amp;24)=0,0,SUP_CONTROL!$C$8*IF($B31="V",1,IF($B31="D",(1+SUP_VOLUMEN!$C$26),(1+SUP_VOLUMEN!$C$27)))*INDEX(SUP_C3_EXPANSION!$C$6:$F$6,MIN(4,COUNTIF(CAPA3_EXPANSION!$D$56:T$56,"&gt;="&amp;24)))*CAPA3_EXPANSION!T$36)</f>
        <v>0</v>
      </c>
      <c r="U31" s="298" t="n">
        <f aca="false">IF(COUNTIF(CAPA3_EXPANSION!$D$56:U$56,"&gt;="&amp;24)=0,0,SUP_CONTROL!$C$8*IF($B31="V",1,IF($B31="D",(1+SUP_VOLUMEN!$C$26),(1+SUP_VOLUMEN!$C$27)))*INDEX(SUP_C3_EXPANSION!$C$6:$F$6,MIN(4,COUNTIF(CAPA3_EXPANSION!$D$56:U$56,"&gt;="&amp;24)))*CAPA3_EXPANSION!U$36)</f>
        <v>0</v>
      </c>
      <c r="V31" s="298" t="n">
        <f aca="false">IF(COUNTIF(CAPA3_EXPANSION!$D$56:V$56,"&gt;="&amp;24)=0,0,SUP_CONTROL!$C$8*IF($B31="V",1,IF($B31="D",(1+SUP_VOLUMEN!$C$26),(1+SUP_VOLUMEN!$C$27)))*INDEX(SUP_C3_EXPANSION!$C$6:$F$6,MIN(4,COUNTIF(CAPA3_EXPANSION!$D$56:V$56,"&gt;="&amp;24)))*CAPA3_EXPANSION!V$36)</f>
        <v>0</v>
      </c>
      <c r="W31" s="298" t="n">
        <f aca="false">IF(COUNTIF(CAPA3_EXPANSION!$D$56:W$56,"&gt;="&amp;24)=0,0,SUP_CONTROL!$C$8*IF($B31="V",1,IF($B31="D",(1+SUP_VOLUMEN!$C$26),(1+SUP_VOLUMEN!$C$27)))*INDEX(SUP_C3_EXPANSION!$C$6:$F$6,MIN(4,COUNTIF(CAPA3_EXPANSION!$D$56:W$56,"&gt;="&amp;24)))*CAPA3_EXPANSION!W$36)</f>
        <v>0</v>
      </c>
      <c r="X31" s="298" t="n">
        <f aca="false">IF(COUNTIF(CAPA3_EXPANSION!$D$56:X$56,"&gt;="&amp;24)=0,0,SUP_CONTROL!$C$8*IF($B31="V",1,IF($B31="D",(1+SUP_VOLUMEN!$C$26),(1+SUP_VOLUMEN!$C$27)))*INDEX(SUP_C3_EXPANSION!$C$6:$F$6,MIN(4,COUNTIF(CAPA3_EXPANSION!$D$56:X$56,"&gt;="&amp;24)))*CAPA3_EXPANSION!X$36)</f>
        <v>0</v>
      </c>
      <c r="Y31" s="298" t="n">
        <f aca="false">IF(COUNTIF(CAPA3_EXPANSION!$D$56:Y$56,"&gt;="&amp;24)=0,0,SUP_CONTROL!$C$8*IF($B31="V",1,IF($B31="D",(1+SUP_VOLUMEN!$C$26),(1+SUP_VOLUMEN!$C$27)))*INDEX(SUP_C3_EXPANSION!$C$6:$F$6,MIN(4,COUNTIF(CAPA3_EXPANSION!$D$56:Y$56,"&gt;="&amp;24)))*CAPA3_EXPANSION!Y$36)</f>
        <v>0</v>
      </c>
      <c r="Z31" s="298" t="n">
        <f aca="false">IF(COUNTIF(CAPA3_EXPANSION!$D$56:Z$56,"&gt;="&amp;24)=0,0,SUP_CONTROL!$C$8*IF($B31="V",1,IF($B31="D",(1+SUP_VOLUMEN!$C$26),(1+SUP_VOLUMEN!$C$27)))*INDEX(SUP_C3_EXPANSION!$C$6:$F$6,MIN(4,COUNTIF(CAPA3_EXPANSION!$D$56:Z$56,"&gt;="&amp;24)))*CAPA3_EXPANSION!Z$36)</f>
        <v>0</v>
      </c>
      <c r="AA31" s="298" t="n">
        <f aca="false">IF(COUNTIF(CAPA3_EXPANSION!$D$56:AA$56,"&gt;="&amp;24)=0,0,SUP_CONTROL!$C$8*IF($B31="V",1,IF($B31="D",(1+SUP_VOLUMEN!$C$26),(1+SUP_VOLUMEN!$C$27)))*INDEX(SUP_C3_EXPANSION!$C$6:$F$6,MIN(4,COUNTIF(CAPA3_EXPANSION!$D$56:AA$56,"&gt;="&amp;24)))*CAPA3_EXPANSION!AA$36)</f>
        <v>0</v>
      </c>
      <c r="AB31" s="298" t="n">
        <f aca="false">IF(COUNTIF(CAPA3_EXPANSION!$D$56:AB$56,"&gt;="&amp;24)=0,0,SUP_CONTROL!$C$8*IF($B31="V",1,IF($B31="D",(1+SUP_VOLUMEN!$C$26),(1+SUP_VOLUMEN!$C$27)))*INDEX(SUP_C3_EXPANSION!$C$6:$F$6,MIN(4,COUNTIF(CAPA3_EXPANSION!$D$56:AB$56,"&gt;="&amp;24)))*CAPA3_EXPANSION!AB$36)</f>
        <v>0</v>
      </c>
      <c r="AC31" s="298" t="n">
        <f aca="false">IF(COUNTIF(CAPA3_EXPANSION!$D$56:AC$56,"&gt;="&amp;24)=0,0,SUP_CONTROL!$C$8*IF($B31="V",1,IF($B31="D",(1+SUP_VOLUMEN!$C$26),(1+SUP_VOLUMEN!$C$27)))*INDEX(SUP_C3_EXPANSION!$C$6:$F$6,MIN(4,COUNTIF(CAPA3_EXPANSION!$D$56:AC$56,"&gt;="&amp;24)))*CAPA3_EXPANSION!AC$36)</f>
        <v>0</v>
      </c>
      <c r="AD31" s="298" t="n">
        <f aca="false">IF(COUNTIF(CAPA3_EXPANSION!$D$56:AD$56,"&gt;="&amp;24)=0,0,SUP_CONTROL!$C$8*IF($B31="V",1,IF($B31="D",(1+SUP_VOLUMEN!$C$26),(1+SUP_VOLUMEN!$C$27)))*INDEX(SUP_C3_EXPANSION!$C$6:$F$6,MIN(4,COUNTIF(CAPA3_EXPANSION!$D$56:AD$56,"&gt;="&amp;24)))*CAPA3_EXPANSION!AD$36)</f>
        <v>0</v>
      </c>
      <c r="AE31" s="298" t="n">
        <f aca="false">IF(COUNTIF(CAPA3_EXPANSION!$D$56:AE$56,"&gt;="&amp;24)=0,0,SUP_CONTROL!$C$8*IF($B31="V",1,IF($B31="D",(1+SUP_VOLUMEN!$C$26),(1+SUP_VOLUMEN!$C$27)))*INDEX(SUP_C3_EXPANSION!$C$6:$F$6,MIN(4,COUNTIF(CAPA3_EXPANSION!$D$56:AE$56,"&gt;="&amp;24)))*CAPA3_EXPANSION!AE$36)</f>
        <v>0</v>
      </c>
      <c r="AF31" s="298" t="n">
        <f aca="false">IF(COUNTIF(CAPA3_EXPANSION!$D$56:AF$56,"&gt;="&amp;24)=0,0,SUP_CONTROL!$C$8*IF($B31="V",1,IF($B31="D",(1+SUP_VOLUMEN!$C$26),(1+SUP_VOLUMEN!$C$27)))*INDEX(SUP_C3_EXPANSION!$C$6:$F$6,MIN(4,COUNTIF(CAPA3_EXPANSION!$D$56:AF$56,"&gt;="&amp;24)))*CAPA3_EXPANSION!AF$36)</f>
        <v>0</v>
      </c>
      <c r="AG31" s="298" t="n">
        <f aca="false">IF(COUNTIF(CAPA3_EXPANSION!$D$56:AG$56,"&gt;="&amp;24)=0,0,SUP_CONTROL!$C$8*IF($B31="V",1,IF($B31="D",(1+SUP_VOLUMEN!$C$26),(1+SUP_VOLUMEN!$C$27)))*INDEX(SUP_C3_EXPANSION!$C$6:$F$6,MIN(4,COUNTIF(CAPA3_EXPANSION!$D$56:AG$56,"&gt;="&amp;24)))*CAPA3_EXPANSION!AG$36)</f>
        <v>0</v>
      </c>
      <c r="AH31" s="298" t="n">
        <f aca="false">IF(COUNTIF(CAPA3_EXPANSION!$D$56:AH$56,"&gt;="&amp;24)=0,0,SUP_CONTROL!$C$8*IF($B31="V",1,IF($B31="D",(1+SUP_VOLUMEN!$C$26),(1+SUP_VOLUMEN!$C$27)))*INDEX(SUP_C3_EXPANSION!$C$6:$F$6,MIN(4,COUNTIF(CAPA3_EXPANSION!$D$56:AH$56,"&gt;="&amp;24)))*CAPA3_EXPANSION!AH$36)</f>
        <v>0</v>
      </c>
      <c r="AI31" s="298" t="n">
        <f aca="false">IF(COUNTIF(CAPA3_EXPANSION!$D$56:AI$56,"&gt;="&amp;24)=0,0,SUP_CONTROL!$C$8*IF($B31="V",1,IF($B31="D",(1+SUP_VOLUMEN!$C$26),(1+SUP_VOLUMEN!$C$27)))*INDEX(SUP_C3_EXPANSION!$C$6:$F$6,MIN(4,COUNTIF(CAPA3_EXPANSION!$D$56:AI$56,"&gt;="&amp;24)))*CAPA3_EXPANSION!AI$36)</f>
        <v>0</v>
      </c>
      <c r="AJ31" s="298" t="n">
        <f aca="false">IF(COUNTIF(CAPA3_EXPANSION!$D$56:AJ$56,"&gt;="&amp;24)=0,0,SUP_CONTROL!$C$8*IF($B31="V",1,IF($B31="D",(1+SUP_VOLUMEN!$C$26),(1+SUP_VOLUMEN!$C$27)))*INDEX(SUP_C3_EXPANSION!$C$6:$F$6,MIN(4,COUNTIF(CAPA3_EXPANSION!$D$56:AJ$56,"&gt;="&amp;24)))*CAPA3_EXPANSION!AJ$36)</f>
        <v>0</v>
      </c>
      <c r="AK31" s="298" t="n">
        <f aca="false">IF(COUNTIF(CAPA3_EXPANSION!$D$56:AK$56,"&gt;="&amp;24)=0,0,SUP_CONTROL!$C$8*IF($B31="V",1,IF($B31="D",(1+SUP_VOLUMEN!$C$26),(1+SUP_VOLUMEN!$C$27)))*INDEX(SUP_C3_EXPANSION!$C$6:$F$6,MIN(4,COUNTIF(CAPA3_EXPANSION!$D$56:AK$56,"&gt;="&amp;24)))*CAPA3_EXPANSION!AK$36)</f>
        <v>0</v>
      </c>
      <c r="AL31" s="298" t="n">
        <f aca="false">IF(COUNTIF(CAPA3_EXPANSION!$D$56:AL$56,"&gt;="&amp;24)=0,0,SUP_CONTROL!$C$8*IF($B31="V",1,IF($B31="D",(1+SUP_VOLUMEN!$C$26),(1+SUP_VOLUMEN!$C$27)))*INDEX(SUP_C3_EXPANSION!$C$6:$F$6,MIN(4,COUNTIF(CAPA3_EXPANSION!$D$56:AL$56,"&gt;="&amp;24)))*CAPA3_EXPANSION!AL$36)</f>
        <v>0</v>
      </c>
      <c r="AM31" s="298" t="n">
        <f aca="false">IF(COUNTIF(CAPA3_EXPANSION!$D$56:AM$56,"&gt;="&amp;24)=0,0,SUP_CONTROL!$C$8*IF($B31="V",1,IF($B31="D",(1+SUP_VOLUMEN!$C$26),(1+SUP_VOLUMEN!$C$27)))*INDEX(SUP_C3_EXPANSION!$C$6:$F$6,MIN(4,COUNTIF(CAPA3_EXPANSION!$D$56:AM$56,"&gt;="&amp;24)))*CAPA3_EXPANSION!AM$36)</f>
        <v>0</v>
      </c>
      <c r="AN31" s="298" t="n">
        <f aca="false">IF(COUNTIF(CAPA3_EXPANSION!$D$56:AN$56,"&gt;="&amp;24)=0,0,SUP_CONTROL!$C$8*IF($B31="V",1,IF($B31="D",(1+SUP_VOLUMEN!$C$26),(1+SUP_VOLUMEN!$C$27)))*INDEX(SUP_C3_EXPANSION!$C$6:$F$6,MIN(4,COUNTIF(CAPA3_EXPANSION!$D$56:AN$56,"&gt;="&amp;24)))*CAPA3_EXPANSION!AN$36)</f>
        <v>0</v>
      </c>
      <c r="AO31" s="298" t="n">
        <f aca="false">IF(COUNTIF(CAPA3_EXPANSION!$D$56:AO$56,"&gt;="&amp;24)=0,0,SUP_CONTROL!$C$8*IF($B31="V",1,IF($B31="D",(1+SUP_VOLUMEN!$C$26),(1+SUP_VOLUMEN!$C$27)))*INDEX(SUP_C3_EXPANSION!$C$6:$F$6,MIN(4,COUNTIF(CAPA3_EXPANSION!$D$56:AO$56,"&gt;="&amp;24)))*CAPA3_EXPANSION!AO$36)</f>
        <v>0</v>
      </c>
      <c r="AP31" s="298" t="n">
        <f aca="false">IF(COUNTIF(CAPA3_EXPANSION!$D$56:AP$56,"&gt;="&amp;24)=0,0,SUP_CONTROL!$C$8*IF($B31="V",1,IF($B31="D",(1+SUP_VOLUMEN!$C$26),(1+SUP_VOLUMEN!$C$27)))*INDEX(SUP_C3_EXPANSION!$C$6:$F$6,MIN(4,COUNTIF(CAPA3_EXPANSION!$D$56:AP$56,"&gt;="&amp;24)))*CAPA3_EXPANSION!AP$36)</f>
        <v>0</v>
      </c>
      <c r="AQ31" s="298" t="n">
        <f aca="false">IF(COUNTIF(CAPA3_EXPANSION!$D$56:AQ$56,"&gt;="&amp;24)=0,0,SUP_CONTROL!$C$8*IF($B31="V",1,IF($B31="D",(1+SUP_VOLUMEN!$C$26),(1+SUP_VOLUMEN!$C$27)))*INDEX(SUP_C3_EXPANSION!$C$6:$F$6,MIN(4,COUNTIF(CAPA3_EXPANSION!$D$56:AQ$56,"&gt;="&amp;24)))*CAPA3_EXPANSION!AQ$36)</f>
        <v>0</v>
      </c>
      <c r="AR31" s="298" t="n">
        <f aca="false">IF(COUNTIF(CAPA3_EXPANSION!$D$56:AR$56,"&gt;="&amp;24)=0,0,SUP_CONTROL!$C$8*IF($B31="V",1,IF($B31="D",(1+SUP_VOLUMEN!$C$26),(1+SUP_VOLUMEN!$C$27)))*INDEX(SUP_C3_EXPANSION!$C$6:$F$6,MIN(4,COUNTIF(CAPA3_EXPANSION!$D$56:AR$56,"&gt;="&amp;24)))*CAPA3_EXPANSION!AR$36)</f>
        <v>0</v>
      </c>
      <c r="AS31" s="298" t="n">
        <f aca="false">IF(COUNTIF(CAPA3_EXPANSION!$D$56:AS$56,"&gt;="&amp;24)=0,0,SUP_CONTROL!$C$8*IF($B31="V",1,IF($B31="D",(1+SUP_VOLUMEN!$C$26),(1+SUP_VOLUMEN!$C$27)))*INDEX(SUP_C3_EXPANSION!$C$6:$F$6,MIN(4,COUNTIF(CAPA3_EXPANSION!$D$56:AS$56,"&gt;="&amp;24)))*CAPA3_EXPANSION!AS$36)</f>
        <v>0</v>
      </c>
      <c r="AT31" s="298" t="n">
        <f aca="false">IF(COUNTIF(CAPA3_EXPANSION!$D$56:AT$56,"&gt;="&amp;24)=0,0,SUP_CONTROL!$C$8*IF($B31="V",1,IF($B31="D",(1+SUP_VOLUMEN!$C$26),(1+SUP_VOLUMEN!$C$27)))*INDEX(SUP_C3_EXPANSION!$C$6:$F$6,MIN(4,COUNTIF(CAPA3_EXPANSION!$D$56:AT$56,"&gt;="&amp;24)))*CAPA3_EXPANSION!AT$36)</f>
        <v>0</v>
      </c>
      <c r="AU31" s="298" t="n">
        <f aca="false">IF(COUNTIF(CAPA3_EXPANSION!$D$56:AU$56,"&gt;="&amp;24)=0,0,SUP_CONTROL!$C$8*IF($B31="V",1,IF($B31="D",(1+SUP_VOLUMEN!$C$26),(1+SUP_VOLUMEN!$C$27)))*INDEX(SUP_C3_EXPANSION!$C$6:$F$6,MIN(4,COUNTIF(CAPA3_EXPANSION!$D$56:AU$56,"&gt;="&amp;24)))*CAPA3_EXPANSION!AU$36)</f>
        <v>0</v>
      </c>
      <c r="AV31" s="298" t="n">
        <f aca="false">IF(COUNTIF(CAPA3_EXPANSION!$D$56:AV$56,"&gt;="&amp;24)=0,0,SUP_CONTROL!$C$8*IF($B31="V",1,IF($B31="D",(1+SUP_VOLUMEN!$C$26),(1+SUP_VOLUMEN!$C$27)))*INDEX(SUP_C3_EXPANSION!$C$6:$F$6,MIN(4,COUNTIF(CAPA3_EXPANSION!$D$56:AV$56,"&gt;="&amp;24)))*CAPA3_EXPANSION!AV$36)</f>
        <v>0</v>
      </c>
      <c r="AW31" s="298" t="n">
        <f aca="false">IF(COUNTIF(CAPA3_EXPANSION!$D$56:AW$56,"&gt;="&amp;24)=0,0,SUP_CONTROL!$C$8*IF($B31="V",1,IF($B31="D",(1+SUP_VOLUMEN!$C$26),(1+SUP_VOLUMEN!$C$27)))*INDEX(SUP_C3_EXPANSION!$C$6:$F$6,MIN(4,COUNTIF(CAPA3_EXPANSION!$D$56:AW$56,"&gt;="&amp;24)))*CAPA3_EXPANSION!AW$36)</f>
        <v>0</v>
      </c>
      <c r="AX31" s="298" t="n">
        <f aca="false">IF(COUNTIF(CAPA3_EXPANSION!$D$56:AX$56,"&gt;="&amp;24)=0,0,SUP_CONTROL!$C$8*IF($B31="V",1,IF($B31="D",(1+SUP_VOLUMEN!$C$26),(1+SUP_VOLUMEN!$C$27)))*INDEX(SUP_C3_EXPANSION!$C$6:$F$6,MIN(4,COUNTIF(CAPA3_EXPANSION!$D$56:AX$56,"&gt;="&amp;24)))*CAPA3_EXPANSION!AX$36)</f>
        <v>0</v>
      </c>
      <c r="AY31" s="298" t="n">
        <f aca="false">IF(COUNTIF(CAPA3_EXPANSION!$D$56:AY$56,"&gt;="&amp;24)=0,0,SUP_CONTROL!$C$8*IF($B31="V",1,IF($B31="D",(1+SUP_VOLUMEN!$C$26),(1+SUP_VOLUMEN!$C$27)))*INDEX(SUP_C3_EXPANSION!$C$6:$F$6,MIN(4,COUNTIF(CAPA3_EXPANSION!$D$56:AY$56,"&gt;="&amp;24)))*CAPA3_EXPANSION!AY$36)</f>
        <v>0</v>
      </c>
      <c r="AZ31" s="298" t="n">
        <f aca="false">IF(COUNTIF(CAPA3_EXPANSION!$D$56:AZ$56,"&gt;="&amp;24)=0,0,SUP_CONTROL!$C$8*IF($B31="V",1,IF($B31="D",(1+SUP_VOLUMEN!$C$26),(1+SUP_VOLUMEN!$C$27)))*INDEX(SUP_C3_EXPANSION!$C$6:$F$6,MIN(4,COUNTIF(CAPA3_EXPANSION!$D$56:AZ$56,"&gt;="&amp;24)))*CAPA3_EXPANSION!AZ$36)</f>
        <v>0</v>
      </c>
      <c r="BA31" s="298" t="n">
        <f aca="false">IF(COUNTIF(CAPA3_EXPANSION!$D$56:BA$56,"&gt;="&amp;24)=0,0,SUP_CONTROL!$C$8*IF($B31="V",1,IF($B31="D",(1+SUP_VOLUMEN!$C$26),(1+SUP_VOLUMEN!$C$27)))*INDEX(SUP_C3_EXPANSION!$C$6:$F$6,MIN(4,COUNTIF(CAPA3_EXPANSION!$D$56:BA$56,"&gt;="&amp;24)))*CAPA3_EXPANSION!BA$36)</f>
        <v>0</v>
      </c>
      <c r="BB31" s="298" t="n">
        <f aca="false">IF(COUNTIF(CAPA3_EXPANSION!$D$56:BB$56,"&gt;="&amp;24)=0,0,SUP_CONTROL!$C$8*IF($B31="V",1,IF($B31="D",(1+SUP_VOLUMEN!$C$26),(1+SUP_VOLUMEN!$C$27)))*INDEX(SUP_C3_EXPANSION!$C$6:$F$6,MIN(4,COUNTIF(CAPA3_EXPANSION!$D$56:BB$56,"&gt;="&amp;24)))*CAPA3_EXPANSION!BB$36)</f>
        <v>0</v>
      </c>
      <c r="BC31" s="298" t="n">
        <f aca="false">IF(COUNTIF(CAPA3_EXPANSION!$D$56:BC$56,"&gt;="&amp;24)=0,0,SUP_CONTROL!$C$8*IF($B31="V",1,IF($B31="D",(1+SUP_VOLUMEN!$C$26),(1+SUP_VOLUMEN!$C$27)))*INDEX(SUP_C3_EXPANSION!$C$6:$F$6,MIN(4,COUNTIF(CAPA3_EXPANSION!$D$56:BC$56,"&gt;="&amp;24)))*CAPA3_EXPANSION!BC$36)</f>
        <v>0</v>
      </c>
      <c r="BD31" s="298" t="n">
        <f aca="false">IF(COUNTIF(CAPA3_EXPANSION!$D$56:BD$56,"&gt;="&amp;24)=0,0,SUP_CONTROL!$C$8*IF($B31="V",1,IF($B31="D",(1+SUP_VOLUMEN!$C$26),(1+SUP_VOLUMEN!$C$27)))*INDEX(SUP_C3_EXPANSION!$C$6:$F$6,MIN(4,COUNTIF(CAPA3_EXPANSION!$D$56:BD$56,"&gt;="&amp;24)))*CAPA3_EXPANSION!BD$36)</f>
        <v>0</v>
      </c>
      <c r="BE31" s="298" t="n">
        <f aca="false">IF(COUNTIF(CAPA3_EXPANSION!$D$56:BE$56,"&gt;="&amp;24)=0,0,SUP_CONTROL!$C$8*IF($B31="V",1,IF($B31="D",(1+SUP_VOLUMEN!$C$26),(1+SUP_VOLUMEN!$C$27)))*INDEX(SUP_C3_EXPANSION!$C$6:$F$6,MIN(4,COUNTIF(CAPA3_EXPANSION!$D$56:BE$56,"&gt;="&amp;24)))*CAPA3_EXPANSION!BE$36)</f>
        <v>0</v>
      </c>
      <c r="BF31" s="298" t="n">
        <f aca="false">IF(COUNTIF(CAPA3_EXPANSION!$D$56:BF$56,"&gt;="&amp;24)=0,0,SUP_CONTROL!$C$8*IF($B31="V",1,IF($B31="D",(1+SUP_VOLUMEN!$C$26),(1+SUP_VOLUMEN!$C$27)))*INDEX(SUP_C3_EXPANSION!$C$6:$F$6,MIN(4,COUNTIF(CAPA3_EXPANSION!$D$56:BF$56,"&gt;="&amp;24)))*CAPA3_EXPANSION!BF$36)</f>
        <v>0</v>
      </c>
      <c r="BG31" s="298" t="n">
        <f aca="false">IF(COUNTIF(CAPA3_EXPANSION!$D$56:BG$56,"&gt;="&amp;24)=0,0,SUP_CONTROL!$C$8*IF($B31="V",1,IF($B31="D",(1+SUP_VOLUMEN!$C$26),(1+SUP_VOLUMEN!$C$27)))*INDEX(SUP_C3_EXPANSION!$C$6:$F$6,MIN(4,COUNTIF(CAPA3_EXPANSION!$D$56:BG$56,"&gt;="&amp;24)))*CAPA3_EXPANSION!BG$36)</f>
        <v>0</v>
      </c>
      <c r="BH31" s="298" t="n">
        <f aca="false">IF(COUNTIF(CAPA3_EXPANSION!$D$56:BH$56,"&gt;="&amp;24)=0,0,SUP_CONTROL!$C$8*IF($B31="V",1,IF($B31="D",(1+SUP_VOLUMEN!$C$26),(1+SUP_VOLUMEN!$C$27)))*INDEX(SUP_C3_EXPANSION!$C$6:$F$6,MIN(4,COUNTIF(CAPA3_EXPANSION!$D$56:BH$56,"&gt;="&amp;24)))*CAPA3_EXPANSION!BH$36)</f>
        <v>0</v>
      </c>
      <c r="BI31" s="298" t="n">
        <f aca="false">IF(COUNTIF(CAPA3_EXPANSION!$D$56:BI$56,"&gt;="&amp;24)=0,0,SUP_CONTROL!$C$8*IF($B31="V",1,IF($B31="D",(1+SUP_VOLUMEN!$C$26),(1+SUP_VOLUMEN!$C$27)))*INDEX(SUP_C3_EXPANSION!$C$6:$F$6,MIN(4,COUNTIF(CAPA3_EXPANSION!$D$56:BI$56,"&gt;="&amp;24)))*CAPA3_EXPANSION!BI$36)</f>
        <v>0</v>
      </c>
      <c r="BJ31" s="298" t="n">
        <f aca="false">IF(COUNTIF(CAPA3_EXPANSION!$D$56:BJ$56,"&gt;="&amp;24)=0,0,SUP_CONTROL!$C$8*IF($B31="V",1,IF($B31="D",(1+SUP_VOLUMEN!$C$26),(1+SUP_VOLUMEN!$C$27)))*INDEX(SUP_C3_EXPANSION!$C$6:$F$6,MIN(4,COUNTIF(CAPA3_EXPANSION!$D$56:BJ$56,"&gt;="&amp;24)))*CAPA3_EXPANSION!BJ$36)</f>
        <v>0</v>
      </c>
      <c r="BK31" s="298" t="n">
        <f aca="false">IF(COUNTIF(CAPA3_EXPANSION!$D$56:BK$56,"&gt;="&amp;24)=0,0,SUP_CONTROL!$C$8*IF($B31="V",1,IF($B31="D",(1+SUP_VOLUMEN!$C$26),(1+SUP_VOLUMEN!$C$27)))*INDEX(SUP_C3_EXPANSION!$C$6:$F$6,MIN(4,COUNTIF(CAPA3_EXPANSION!$D$56:BK$56,"&gt;="&amp;24)))*CAPA3_EXPANSION!BK$36)</f>
        <v>0</v>
      </c>
      <c r="BL31" s="298" t="n">
        <f aca="false">IF(COUNTIF(CAPA3_EXPANSION!$D$56:BL$56,"&gt;="&amp;24)=0,0,SUP_CONTROL!$C$8*IF($B31="V",1,IF($B31="D",(1+SUP_VOLUMEN!$C$26),(1+SUP_VOLUMEN!$C$27)))*INDEX(SUP_C3_EXPANSION!$C$6:$F$6,MIN(4,COUNTIF(CAPA3_EXPANSION!$D$56:BL$56,"&gt;="&amp;24)))*CAPA3_EXPANSION!BL$36)</f>
        <v>0</v>
      </c>
      <c r="BM31" s="298" t="n">
        <f aca="false">IF(COUNTIF(CAPA3_EXPANSION!$D$56:BM$56,"&gt;="&amp;24)=0,0,SUP_CONTROL!$C$8*IF($B31="V",1,IF($B31="D",(1+SUP_VOLUMEN!$C$26),(1+SUP_VOLUMEN!$C$27)))*INDEX(SUP_C3_EXPANSION!$C$6:$F$6,MIN(4,COUNTIF(CAPA3_EXPANSION!$D$56:BM$56,"&gt;="&amp;24)))*CAPA3_EXPANSION!BM$36)</f>
        <v>0</v>
      </c>
      <c r="BN31" s="298" t="n">
        <f aca="false">IF(COUNTIF(CAPA3_EXPANSION!$D$56:BN$56,"&gt;="&amp;24)=0,0,SUP_CONTROL!$C$8*IF($B31="V",1,IF($B31="D",(1+SUP_VOLUMEN!$C$26),(1+SUP_VOLUMEN!$C$27)))*INDEX(SUP_C3_EXPANSION!$C$6:$F$6,MIN(4,COUNTIF(CAPA3_EXPANSION!$D$56:BN$56,"&gt;="&amp;24)))*CAPA3_EXPANSION!BN$36)</f>
        <v>0</v>
      </c>
      <c r="BO31" s="298" t="n">
        <f aca="false">IF(COUNTIF(CAPA3_EXPANSION!$D$56:BO$56,"&gt;="&amp;24)=0,0,SUP_CONTROL!$C$8*IF($B31="V",1,IF($B31="D",(1+SUP_VOLUMEN!$C$26),(1+SUP_VOLUMEN!$C$27)))*INDEX(SUP_C3_EXPANSION!$C$6:$F$6,MIN(4,COUNTIF(CAPA3_EXPANSION!$D$56:BO$56,"&gt;="&amp;24)))*CAPA3_EXPANSION!BO$36)</f>
        <v>0</v>
      </c>
      <c r="BP31" s="298" t="n">
        <f aca="false">IF(COUNTIF(CAPA3_EXPANSION!$D$56:BP$56,"&gt;="&amp;24)=0,0,SUP_CONTROL!$C$8*IF($B31="V",1,IF($B31="D",(1+SUP_VOLUMEN!$C$26),(1+SUP_VOLUMEN!$C$27)))*INDEX(SUP_C3_EXPANSION!$C$6:$F$6,MIN(4,COUNTIF(CAPA3_EXPANSION!$D$56:BP$56,"&gt;="&amp;24)))*CAPA3_EXPANSION!BP$36)</f>
        <v>0</v>
      </c>
      <c r="BQ31" s="298" t="n">
        <f aca="false">IF(COUNTIF(CAPA3_EXPANSION!$D$56:BQ$56,"&gt;="&amp;24)=0,0,SUP_CONTROL!$C$8*IF($B31="V",1,IF($B31="D",(1+SUP_VOLUMEN!$C$26),(1+SUP_VOLUMEN!$C$27)))*INDEX(SUP_C3_EXPANSION!$C$6:$F$6,MIN(4,COUNTIF(CAPA3_EXPANSION!$D$56:BQ$56,"&gt;="&amp;24)))*CAPA3_EXPANSION!BQ$36)</f>
        <v>0</v>
      </c>
      <c r="BR31" s="298" t="n">
        <f aca="false">IF(COUNTIF(CAPA3_EXPANSION!$D$56:BR$56,"&gt;="&amp;24)=0,0,SUP_CONTROL!$C$8*IF($B31="V",1,IF($B31="D",(1+SUP_VOLUMEN!$C$26),(1+SUP_VOLUMEN!$C$27)))*INDEX(SUP_C3_EXPANSION!$C$6:$F$6,MIN(4,COUNTIF(CAPA3_EXPANSION!$D$56:BR$56,"&gt;="&amp;24)))*CAPA3_EXPANSION!BR$36)</f>
        <v>0</v>
      </c>
      <c r="BS31" s="298" t="n">
        <f aca="false">IF(COUNTIF(CAPA3_EXPANSION!$D$56:BS$56,"&gt;="&amp;24)=0,0,SUP_CONTROL!$C$8*IF($B31="V",1,IF($B31="D",(1+SUP_VOLUMEN!$C$26),(1+SUP_VOLUMEN!$C$27)))*INDEX(SUP_C3_EXPANSION!$C$6:$F$6,MIN(4,COUNTIF(CAPA3_EXPANSION!$D$56:BS$56,"&gt;="&amp;24)))*CAPA3_EXPANSION!BS$36)</f>
        <v>2402.4</v>
      </c>
      <c r="BT31" s="298" t="n">
        <f aca="false">IF(COUNTIF(CAPA3_EXPANSION!$D$56:BT$56,"&gt;="&amp;24)=0,0,SUP_CONTROL!$C$8*IF($B31="V",1,IF($B31="D",(1+SUP_VOLUMEN!$C$26),(1+SUP_VOLUMEN!$C$27)))*INDEX(SUP_C3_EXPANSION!$C$6:$F$6,MIN(4,COUNTIF(CAPA3_EXPANSION!$D$56:BT$56,"&gt;="&amp;24)))*CAPA3_EXPANSION!BT$36)</f>
        <v>2956.8</v>
      </c>
      <c r="BU31" s="298" t="n">
        <f aca="false">IF(COUNTIF(CAPA3_EXPANSION!$D$56:BU$56,"&gt;="&amp;24)=0,0,SUP_CONTROL!$C$8*IF($B31="V",1,IF($B31="D",(1+SUP_VOLUMEN!$C$26),(1+SUP_VOLUMEN!$C$27)))*INDEX(SUP_C3_EXPANSION!$C$6:$F$6,MIN(4,COUNTIF(CAPA3_EXPANSION!$D$56:BU$56,"&gt;="&amp;24)))*CAPA3_EXPANSION!BU$36)</f>
        <v>3326.4</v>
      </c>
      <c r="BV31" s="298" t="n">
        <f aca="false">IF(COUNTIF(CAPA3_EXPANSION!$D$56:BV$56,"&gt;="&amp;24)=0,0,SUP_CONTROL!$C$8*IF($B31="V",1,IF($B31="D",(1+SUP_VOLUMEN!$C$26),(1+SUP_VOLUMEN!$C$27)))*INDEX(SUP_C3_EXPANSION!$C$6:$F$6,MIN(4,COUNTIF(CAPA3_EXPANSION!$D$56:BV$56,"&gt;="&amp;24)))*CAPA3_EXPANSION!BV$36)</f>
        <v>3696</v>
      </c>
      <c r="BW31" s="298" t="n">
        <f aca="false">IF(COUNTIF(CAPA3_EXPANSION!$D$56:BW$56,"&gt;="&amp;24)=0,0,SUP_CONTROL!$C$8*IF($B31="V",1,IF($B31="D",(1+SUP_VOLUMEN!$C$26),(1+SUP_VOLUMEN!$C$27)))*INDEX(SUP_C3_EXPANSION!$C$6:$F$6,MIN(4,COUNTIF(CAPA3_EXPANSION!$D$56:BW$56,"&gt;="&amp;24)))*CAPA3_EXPANSION!BW$36)</f>
        <v>3633</v>
      </c>
      <c r="BX31" s="298" t="n">
        <f aca="false">IF(COUNTIF(CAPA3_EXPANSION!$D$56:BX$56,"&gt;="&amp;24)=0,0,SUP_CONTROL!$C$8*IF($B31="V",1,IF($B31="D",(1+SUP_VOLUMEN!$C$26),(1+SUP_VOLUMEN!$C$27)))*INDEX(SUP_C3_EXPANSION!$C$6:$F$6,MIN(4,COUNTIF(CAPA3_EXPANSION!$D$56:BX$56,"&gt;="&amp;24)))*CAPA3_EXPANSION!BX$36)</f>
        <v>3633</v>
      </c>
      <c r="BY31" s="298" t="n">
        <f aca="false">IF(COUNTIF(CAPA3_EXPANSION!$D$56:BY$56,"&gt;="&amp;24)=0,0,SUP_CONTROL!$C$8*IF($B31="V",1,IF($B31="D",(1+SUP_VOLUMEN!$C$26),(1+SUP_VOLUMEN!$C$27)))*INDEX(SUP_C3_EXPANSION!$C$6:$F$6,MIN(4,COUNTIF(CAPA3_EXPANSION!$D$56:BY$56,"&gt;="&amp;24)))*CAPA3_EXPANSION!BY$36)</f>
        <v>3633</v>
      </c>
      <c r="BZ31" s="298" t="n">
        <f aca="false">IF(COUNTIF(CAPA3_EXPANSION!$D$56:BZ$56,"&gt;="&amp;24)=0,0,SUP_CONTROL!$C$8*IF($B31="V",1,IF($B31="D",(1+SUP_VOLUMEN!$C$26),(1+SUP_VOLUMEN!$C$27)))*INDEX(SUP_C3_EXPANSION!$C$6:$F$6,MIN(4,COUNTIF(CAPA3_EXPANSION!$D$56:BZ$56,"&gt;="&amp;24)))*CAPA3_EXPANSION!BZ$36)</f>
        <v>3633</v>
      </c>
      <c r="CA31" s="298" t="n">
        <f aca="false">IF(COUNTIF(CAPA3_EXPANSION!$D$56:CA$56,"&gt;="&amp;24)=0,0,SUP_CONTROL!$C$8*IF($B31="V",1,IF($B31="D",(1+SUP_VOLUMEN!$C$26),(1+SUP_VOLUMEN!$C$27)))*INDEX(SUP_C3_EXPANSION!$C$6:$F$6,MIN(4,COUNTIF(CAPA3_EXPANSION!$D$56:CA$56,"&gt;="&amp;24)))*CAPA3_EXPANSION!CA$36)</f>
        <v>3633</v>
      </c>
      <c r="CB31" s="298" t="n">
        <f aca="false">IF(COUNTIF(CAPA3_EXPANSION!$D$56:CB$56,"&gt;="&amp;24)=0,0,SUP_CONTROL!$C$8*IF($B31="V",1,IF($B31="D",(1+SUP_VOLUMEN!$C$26),(1+SUP_VOLUMEN!$C$27)))*INDEX(SUP_C3_EXPANSION!$C$6:$F$6,MIN(4,COUNTIF(CAPA3_EXPANSION!$D$56:CB$56,"&gt;="&amp;24)))*CAPA3_EXPANSION!CB$36)</f>
        <v>3570</v>
      </c>
      <c r="CC31" s="298" t="n">
        <f aca="false">IF(COUNTIF(CAPA3_EXPANSION!$D$56:CC$56,"&gt;="&amp;24)=0,0,SUP_CONTROL!$C$8*IF($B31="V",1,IF($B31="D",(1+SUP_VOLUMEN!$C$26),(1+SUP_VOLUMEN!$C$27)))*INDEX(SUP_C3_EXPANSION!$C$6:$F$6,MIN(4,COUNTIF(CAPA3_EXPANSION!$D$56:CC$56,"&gt;="&amp;24)))*CAPA3_EXPANSION!CC$36)</f>
        <v>3570</v>
      </c>
      <c r="CD31" s="298" t="n">
        <f aca="false">IF(COUNTIF(CAPA3_EXPANSION!$D$56:CD$56,"&gt;="&amp;24)=0,0,SUP_CONTROL!$C$8*IF($B31="V",1,IF($B31="D",(1+SUP_VOLUMEN!$C$26),(1+SUP_VOLUMEN!$C$27)))*INDEX(SUP_C3_EXPANSION!$C$6:$F$6,MIN(4,COUNTIF(CAPA3_EXPANSION!$D$56:CD$56,"&gt;="&amp;24)))*CAPA3_EXPANSION!CD$36)</f>
        <v>3570</v>
      </c>
      <c r="CE31" s="298" t="n">
        <f aca="false">IF(COUNTIF(CAPA3_EXPANSION!$D$56:CE$56,"&gt;="&amp;24)=0,0,SUP_CONTROL!$C$8*IF($B31="V",1,IF($B31="D",(1+SUP_VOLUMEN!$C$26),(1+SUP_VOLUMEN!$C$27)))*INDEX(SUP_C3_EXPANSION!$C$6:$F$6,MIN(4,COUNTIF(CAPA3_EXPANSION!$D$56:CE$56,"&gt;="&amp;24)))*CAPA3_EXPANSION!CE$36)</f>
        <v>3570</v>
      </c>
      <c r="CF31" s="298" t="n">
        <f aca="false">IF(COUNTIF(CAPA3_EXPANSION!$D$56:CF$56,"&gt;="&amp;24)=0,0,SUP_CONTROL!$C$8*IF($B31="V",1,IF($B31="D",(1+SUP_VOLUMEN!$C$26),(1+SUP_VOLUMEN!$C$27)))*INDEX(SUP_C3_EXPANSION!$C$6:$F$6,MIN(4,COUNTIF(CAPA3_EXPANSION!$D$56:CF$56,"&gt;="&amp;24)))*CAPA3_EXPANSION!CF$36)</f>
        <v>3570</v>
      </c>
      <c r="CG31" s="298" t="n">
        <f aca="false">IF(COUNTIF(CAPA3_EXPANSION!$D$56:CG$56,"&gt;="&amp;24)=0,0,SUP_CONTROL!$C$8*IF($B31="V",1,IF($B31="D",(1+SUP_VOLUMEN!$C$26),(1+SUP_VOLUMEN!$C$27)))*INDEX(SUP_C3_EXPANSION!$C$6:$F$6,MIN(4,COUNTIF(CAPA3_EXPANSION!$D$56:CG$56,"&gt;="&amp;24)))*CAPA3_EXPANSION!CG$36)</f>
        <v>3528</v>
      </c>
      <c r="CH31" s="298" t="n">
        <f aca="false">IF(COUNTIF(CAPA3_EXPANSION!$D$56:CH$56,"&gt;="&amp;24)=0,0,SUP_CONTROL!$C$8*IF($B31="V",1,IF($B31="D",(1+SUP_VOLUMEN!$C$26),(1+SUP_VOLUMEN!$C$27)))*INDEX(SUP_C3_EXPANSION!$C$6:$F$6,MIN(4,COUNTIF(CAPA3_EXPANSION!$D$56:CH$56,"&gt;="&amp;24)))*CAPA3_EXPANSION!CH$36)</f>
        <v>3528</v>
      </c>
      <c r="CI31" s="298" t="n">
        <f aca="false">IF(COUNTIF(CAPA3_EXPANSION!$D$56:CI$56,"&gt;="&amp;24)=0,0,SUP_CONTROL!$C$8*IF($B31="V",1,IF($B31="D",(1+SUP_VOLUMEN!$C$26),(1+SUP_VOLUMEN!$C$27)))*INDEX(SUP_C3_EXPANSION!$C$6:$F$6,MIN(4,COUNTIF(CAPA3_EXPANSION!$D$56:CI$56,"&gt;="&amp;24)))*CAPA3_EXPANSION!CI$36)</f>
        <v>3528</v>
      </c>
      <c r="CJ31" s="298" t="n">
        <f aca="false">IF(COUNTIF(CAPA3_EXPANSION!$D$56:CJ$56,"&gt;="&amp;24)=0,0,SUP_CONTROL!$C$8*IF($B31="V",1,IF($B31="D",(1+SUP_VOLUMEN!$C$26),(1+SUP_VOLUMEN!$C$27)))*INDEX(SUP_C3_EXPANSION!$C$6:$F$6,MIN(4,COUNTIF(CAPA3_EXPANSION!$D$56:CJ$56,"&gt;="&amp;24)))*CAPA3_EXPANSION!CJ$36)</f>
        <v>3528</v>
      </c>
      <c r="CK31" s="298" t="n">
        <f aca="false">IF(COUNTIF(CAPA3_EXPANSION!$D$56:CK$56,"&gt;="&amp;24)=0,0,SUP_CONTROL!$C$8*IF($B31="V",1,IF($B31="D",(1+SUP_VOLUMEN!$C$26),(1+SUP_VOLUMEN!$C$27)))*INDEX(SUP_C3_EXPANSION!$C$6:$F$6,MIN(4,COUNTIF(CAPA3_EXPANSION!$D$56:CK$56,"&gt;="&amp;24)))*CAPA3_EXPANSION!CK$36)</f>
        <v>3528</v>
      </c>
      <c r="CL31" s="298" t="n">
        <f aca="false">IF(COUNTIF(CAPA3_EXPANSION!$D$56:CL$56,"&gt;="&amp;24)=0,0,SUP_CONTROL!$C$8*IF($B31="V",1,IF($B31="D",(1+SUP_VOLUMEN!$C$26),(1+SUP_VOLUMEN!$C$27)))*INDEX(SUP_C3_EXPANSION!$C$6:$F$6,MIN(4,COUNTIF(CAPA3_EXPANSION!$D$56:CL$56,"&gt;="&amp;24)))*CAPA3_EXPANSION!CL$36)</f>
        <v>3528</v>
      </c>
      <c r="CM31" s="298" t="n">
        <f aca="false">IF(COUNTIF(CAPA3_EXPANSION!$D$56:CM$56,"&gt;="&amp;24)=0,0,SUP_CONTROL!$C$8*IF($B31="V",1,IF($B31="D",(1+SUP_VOLUMEN!$C$26),(1+SUP_VOLUMEN!$C$27)))*INDEX(SUP_C3_EXPANSION!$C$6:$F$6,MIN(4,COUNTIF(CAPA3_EXPANSION!$D$56:CM$56,"&gt;="&amp;24)))*CAPA3_EXPANSION!CM$36)</f>
        <v>3528</v>
      </c>
      <c r="CN31" s="298" t="n">
        <f aca="false">IF(COUNTIF(CAPA3_EXPANSION!$D$56:CN$56,"&gt;="&amp;24)=0,0,SUP_CONTROL!$C$8*IF($B31="V",1,IF($B31="D",(1+SUP_VOLUMEN!$C$26),(1+SUP_VOLUMEN!$C$27)))*INDEX(SUP_C3_EXPANSION!$C$6:$F$6,MIN(4,COUNTIF(CAPA3_EXPANSION!$D$56:CN$56,"&gt;="&amp;24)))*CAPA3_EXPANSION!CN$36)</f>
        <v>3528</v>
      </c>
      <c r="CO31" s="298" t="n">
        <f aca="false">IF(COUNTIF(CAPA3_EXPANSION!$D$56:CO$56,"&gt;="&amp;24)=0,0,SUP_CONTROL!$C$8*IF($B31="V",1,IF($B31="D",(1+SUP_VOLUMEN!$C$26),(1+SUP_VOLUMEN!$C$27)))*INDEX(SUP_C3_EXPANSION!$C$6:$F$6,MIN(4,COUNTIF(CAPA3_EXPANSION!$D$56:CO$56,"&gt;="&amp;24)))*CAPA3_EXPANSION!CO$36)</f>
        <v>3528</v>
      </c>
      <c r="CP31" s="298" t="n">
        <f aca="false">IF(COUNTIF(CAPA3_EXPANSION!$D$56:CP$56,"&gt;="&amp;24)=0,0,SUP_CONTROL!$C$8*IF($B31="V",1,IF($B31="D",(1+SUP_VOLUMEN!$C$26),(1+SUP_VOLUMEN!$C$27)))*INDEX(SUP_C3_EXPANSION!$C$6:$F$6,MIN(4,COUNTIF(CAPA3_EXPANSION!$D$56:CP$56,"&gt;="&amp;24)))*CAPA3_EXPANSION!CP$36)</f>
        <v>3528</v>
      </c>
      <c r="CQ31" s="298" t="n">
        <f aca="false">IF(COUNTIF(CAPA3_EXPANSION!$D$56:CQ$56,"&gt;="&amp;24)=0,0,SUP_CONTROL!$C$8*IF($B31="V",1,IF($B31="D",(1+SUP_VOLUMEN!$C$26),(1+SUP_VOLUMEN!$C$27)))*INDEX(SUP_C3_EXPANSION!$C$6:$F$6,MIN(4,COUNTIF(CAPA3_EXPANSION!$D$56:CQ$56,"&gt;="&amp;24)))*CAPA3_EXPANSION!CQ$36)</f>
        <v>3528</v>
      </c>
      <c r="CR31" s="298" t="n">
        <f aca="false">IF(COUNTIF(CAPA3_EXPANSION!$D$56:CR$56,"&gt;="&amp;24)=0,0,SUP_CONTROL!$C$8*IF($B31="V",1,IF($B31="D",(1+SUP_VOLUMEN!$C$26),(1+SUP_VOLUMEN!$C$27)))*INDEX(SUP_C3_EXPANSION!$C$6:$F$6,MIN(4,COUNTIF(CAPA3_EXPANSION!$D$56:CR$56,"&gt;="&amp;24)))*CAPA3_EXPANSION!CR$36)</f>
        <v>3528</v>
      </c>
      <c r="CS31" s="298" t="n">
        <f aca="false">IF(COUNTIF(CAPA3_EXPANSION!$D$56:CS$56,"&gt;="&amp;24)=0,0,SUP_CONTROL!$C$8*IF($B31="V",1,IF($B31="D",(1+SUP_VOLUMEN!$C$26),(1+SUP_VOLUMEN!$C$27)))*INDEX(SUP_C3_EXPANSION!$C$6:$F$6,MIN(4,COUNTIF(CAPA3_EXPANSION!$D$56:CS$56,"&gt;="&amp;24)))*CAPA3_EXPANSION!CS$36)</f>
        <v>3528</v>
      </c>
      <c r="CT31" s="298" t="n">
        <f aca="false">IF(COUNTIF(CAPA3_EXPANSION!$D$56:CT$56,"&gt;="&amp;24)=0,0,SUP_CONTROL!$C$8*IF($B31="V",1,IF($B31="D",(1+SUP_VOLUMEN!$C$26),(1+SUP_VOLUMEN!$C$27)))*INDEX(SUP_C3_EXPANSION!$C$6:$F$6,MIN(4,COUNTIF(CAPA3_EXPANSION!$D$56:CT$56,"&gt;="&amp;24)))*CAPA3_EXPANSION!CT$36)</f>
        <v>3528</v>
      </c>
      <c r="CU31" s="298" t="n">
        <f aca="false">IF(COUNTIF(CAPA3_EXPANSION!$D$56:CU$56,"&gt;="&amp;24)=0,0,SUP_CONTROL!$C$8*IF($B31="V",1,IF($B31="D",(1+SUP_VOLUMEN!$C$26),(1+SUP_VOLUMEN!$C$27)))*INDEX(SUP_C3_EXPANSION!$C$6:$F$6,MIN(4,COUNTIF(CAPA3_EXPANSION!$D$56:CU$56,"&gt;="&amp;24)))*CAPA3_EXPANSION!CU$36)</f>
        <v>3528</v>
      </c>
      <c r="CV31" s="298" t="n">
        <f aca="false">IF(COUNTIF(CAPA3_EXPANSION!$D$56:CV$56,"&gt;="&amp;24)=0,0,SUP_CONTROL!$C$8*IF($B31="V",1,IF($B31="D",(1+SUP_VOLUMEN!$C$26),(1+SUP_VOLUMEN!$C$27)))*INDEX(SUP_C3_EXPANSION!$C$6:$F$6,MIN(4,COUNTIF(CAPA3_EXPANSION!$D$56:CV$56,"&gt;="&amp;24)))*CAPA3_EXPANSION!CV$36)</f>
        <v>3528</v>
      </c>
      <c r="CW31" s="298" t="n">
        <f aca="false">IF(COUNTIF(CAPA3_EXPANSION!$D$56:CW$56,"&gt;="&amp;24)=0,0,SUP_CONTROL!$C$8*IF($B31="V",1,IF($B31="D",(1+SUP_VOLUMEN!$C$26),(1+SUP_VOLUMEN!$C$27)))*INDEX(SUP_C3_EXPANSION!$C$6:$F$6,MIN(4,COUNTIF(CAPA3_EXPANSION!$D$56:CW$56,"&gt;="&amp;24)))*CAPA3_EXPANSION!CW$36)</f>
        <v>3528</v>
      </c>
      <c r="CX31" s="298" t="n">
        <f aca="false">IF(COUNTIF(CAPA3_EXPANSION!$D$56:CX$56,"&gt;="&amp;24)=0,0,SUP_CONTROL!$C$8*IF($B31="V",1,IF($B31="D",(1+SUP_VOLUMEN!$C$26),(1+SUP_VOLUMEN!$C$27)))*INDEX(SUP_C3_EXPANSION!$C$6:$F$6,MIN(4,COUNTIF(CAPA3_EXPANSION!$D$56:CX$56,"&gt;="&amp;24)))*CAPA3_EXPANSION!CX$36)</f>
        <v>3528</v>
      </c>
      <c r="CY31" s="298" t="n">
        <f aca="false">IF(COUNTIF(CAPA3_EXPANSION!$D$56:CY$56,"&gt;="&amp;24)=0,0,SUP_CONTROL!$C$8*IF($B31="V",1,IF($B31="D",(1+SUP_VOLUMEN!$C$26),(1+SUP_VOLUMEN!$C$27)))*INDEX(SUP_C3_EXPANSION!$C$6:$F$6,MIN(4,COUNTIF(CAPA3_EXPANSION!$D$56:CY$56,"&gt;="&amp;24)))*CAPA3_EXPANSION!CY$36)</f>
        <v>3528</v>
      </c>
      <c r="CZ31" s="298" t="n">
        <f aca="false">IF(COUNTIF(CAPA3_EXPANSION!$D$56:CZ$56,"&gt;="&amp;24)=0,0,SUP_CONTROL!$C$8*IF($B31="V",1,IF($B31="D",(1+SUP_VOLUMEN!$C$26),(1+SUP_VOLUMEN!$C$27)))*INDEX(SUP_C3_EXPANSION!$C$6:$F$6,MIN(4,COUNTIF(CAPA3_EXPANSION!$D$56:CZ$56,"&gt;="&amp;24)))*CAPA3_EXPANSION!CZ$36)</f>
        <v>3528</v>
      </c>
      <c r="DA31" s="298" t="n">
        <f aca="false">IF(COUNTIF(CAPA3_EXPANSION!$D$56:DA$56,"&gt;="&amp;24)=0,0,SUP_CONTROL!$C$8*IF($B31="V",1,IF($B31="D",(1+SUP_VOLUMEN!$C$26),(1+SUP_VOLUMEN!$C$27)))*INDEX(SUP_C3_EXPANSION!$C$6:$F$6,MIN(4,COUNTIF(CAPA3_EXPANSION!$D$56:DA$56,"&gt;="&amp;24)))*CAPA3_EXPANSION!DA$36)</f>
        <v>3528</v>
      </c>
      <c r="DB31" s="298" t="n">
        <f aca="false">IF(COUNTIF(CAPA3_EXPANSION!$D$56:DB$56,"&gt;="&amp;24)=0,0,SUP_CONTROL!$C$8*IF($B31="V",1,IF($B31="D",(1+SUP_VOLUMEN!$C$26),(1+SUP_VOLUMEN!$C$27)))*INDEX(SUP_C3_EXPANSION!$C$6:$F$6,MIN(4,COUNTIF(CAPA3_EXPANSION!$D$56:DB$56,"&gt;="&amp;24)))*CAPA3_EXPANSION!DB$36)</f>
        <v>3528</v>
      </c>
      <c r="DC31" s="298" t="n">
        <f aca="false">IF(COUNTIF(CAPA3_EXPANSION!$D$56:DC$56,"&gt;="&amp;24)=0,0,SUP_CONTROL!$C$8*IF($B31="V",1,IF($B31="D",(1+SUP_VOLUMEN!$C$26),(1+SUP_VOLUMEN!$C$27)))*INDEX(SUP_C3_EXPANSION!$C$6:$F$6,MIN(4,COUNTIF(CAPA3_EXPANSION!$D$56:DC$56,"&gt;="&amp;24)))*CAPA3_EXPANSION!DC$36)</f>
        <v>3528</v>
      </c>
      <c r="DD31" s="298" t="n">
        <f aca="false">IF(COUNTIF(CAPA3_EXPANSION!$D$56:DD$56,"&gt;="&amp;24)=0,0,SUP_CONTROL!$C$8*IF($B31="V",1,IF($B31="D",(1+SUP_VOLUMEN!$C$26),(1+SUP_VOLUMEN!$C$27)))*INDEX(SUP_C3_EXPANSION!$C$6:$F$6,MIN(4,COUNTIF(CAPA3_EXPANSION!$D$56:DD$56,"&gt;="&amp;24)))*CAPA3_EXPANSION!DD$36)</f>
        <v>3528</v>
      </c>
      <c r="DE31" s="298" t="n">
        <f aca="false">IF(COUNTIF(CAPA3_EXPANSION!$D$56:DE$56,"&gt;="&amp;24)=0,0,SUP_CONTROL!$C$8*IF($B31="V",1,IF($B31="D",(1+SUP_VOLUMEN!$C$26),(1+SUP_VOLUMEN!$C$27)))*INDEX(SUP_C3_EXPANSION!$C$6:$F$6,MIN(4,COUNTIF(CAPA3_EXPANSION!$D$56:DE$56,"&gt;="&amp;24)))*CAPA3_EXPANSION!DE$36)</f>
        <v>3528</v>
      </c>
      <c r="DF31" s="298" t="n">
        <f aca="false">IF(COUNTIF(CAPA3_EXPANSION!$D$56:DF$56,"&gt;="&amp;24)=0,0,SUP_CONTROL!$C$8*IF($B31="V",1,IF($B31="D",(1+SUP_VOLUMEN!$C$26),(1+SUP_VOLUMEN!$C$27)))*INDEX(SUP_C3_EXPANSION!$C$6:$F$6,MIN(4,COUNTIF(CAPA3_EXPANSION!$D$56:DF$56,"&gt;="&amp;24)))*CAPA3_EXPANSION!DF$36)</f>
        <v>3528</v>
      </c>
      <c r="DG31" s="298" t="n">
        <f aca="false">IF(COUNTIF(CAPA3_EXPANSION!$D$56:DG$56,"&gt;="&amp;24)=0,0,SUP_CONTROL!$C$8*IF($B31="V",1,IF($B31="D",(1+SUP_VOLUMEN!$C$26),(1+SUP_VOLUMEN!$C$27)))*INDEX(SUP_C3_EXPANSION!$C$6:$F$6,MIN(4,COUNTIF(CAPA3_EXPANSION!$D$56:DG$56,"&gt;="&amp;24)))*CAPA3_EXPANSION!DG$36)</f>
        <v>3528</v>
      </c>
      <c r="DH31" s="298" t="n">
        <f aca="false">IF(COUNTIF(CAPA3_EXPANSION!$D$56:DH$56,"&gt;="&amp;24)=0,0,SUP_CONTROL!$C$8*IF($B31="V",1,IF($B31="D",(1+SUP_VOLUMEN!$C$26),(1+SUP_VOLUMEN!$C$27)))*INDEX(SUP_C3_EXPANSION!$C$6:$F$6,MIN(4,COUNTIF(CAPA3_EXPANSION!$D$56:DH$56,"&gt;="&amp;24)))*CAPA3_EXPANSION!DH$36)</f>
        <v>3528</v>
      </c>
      <c r="DI31" s="298" t="n">
        <f aca="false">IF(COUNTIF(CAPA3_EXPANSION!$D$56:DI$56,"&gt;="&amp;24)=0,0,SUP_CONTROL!$C$8*IF($B31="V",1,IF($B31="D",(1+SUP_VOLUMEN!$C$26),(1+SUP_VOLUMEN!$C$27)))*INDEX(SUP_C3_EXPANSION!$C$6:$F$6,MIN(4,COUNTIF(CAPA3_EXPANSION!$D$56:DI$56,"&gt;="&amp;24)))*CAPA3_EXPANSION!DI$36)</f>
        <v>3528</v>
      </c>
      <c r="DJ31" s="298" t="n">
        <f aca="false">IF(COUNTIF(CAPA3_EXPANSION!$D$56:DJ$56,"&gt;="&amp;24)=0,0,SUP_CONTROL!$C$8*IF($B31="V",1,IF($B31="D",(1+SUP_VOLUMEN!$C$26),(1+SUP_VOLUMEN!$C$27)))*INDEX(SUP_C3_EXPANSION!$C$6:$F$6,MIN(4,COUNTIF(CAPA3_EXPANSION!$D$56:DJ$56,"&gt;="&amp;24)))*CAPA3_EXPANSION!DJ$36)</f>
        <v>3528</v>
      </c>
      <c r="DK31" s="298" t="n">
        <f aca="false">IF(COUNTIF(CAPA3_EXPANSION!$D$56:DK$56,"&gt;="&amp;24)=0,0,SUP_CONTROL!$C$8*IF($B31="V",1,IF($B31="D",(1+SUP_VOLUMEN!$C$26),(1+SUP_VOLUMEN!$C$27)))*INDEX(SUP_C3_EXPANSION!$C$6:$F$6,MIN(4,COUNTIF(CAPA3_EXPANSION!$D$56:DK$56,"&gt;="&amp;24)))*CAPA3_EXPANSION!DK$36)</f>
        <v>3528</v>
      </c>
      <c r="DL31" s="298" t="n">
        <f aca="false">IF(COUNTIF(CAPA3_EXPANSION!$D$56:DL$56,"&gt;="&amp;24)=0,0,SUP_CONTROL!$C$8*IF($B31="V",1,IF($B31="D",(1+SUP_VOLUMEN!$C$26),(1+SUP_VOLUMEN!$C$27)))*INDEX(SUP_C3_EXPANSION!$C$6:$F$6,MIN(4,COUNTIF(CAPA3_EXPANSION!$D$56:DL$56,"&gt;="&amp;24)))*CAPA3_EXPANSION!DL$36)</f>
        <v>3528</v>
      </c>
      <c r="DM31" s="298" t="n">
        <f aca="false">IF(COUNTIF(CAPA3_EXPANSION!$D$56:DM$56,"&gt;="&amp;24)=0,0,SUP_CONTROL!$C$8*IF($B31="V",1,IF($B31="D",(1+SUP_VOLUMEN!$C$26),(1+SUP_VOLUMEN!$C$27)))*INDEX(SUP_C3_EXPANSION!$C$6:$F$6,MIN(4,COUNTIF(CAPA3_EXPANSION!$D$56:DM$56,"&gt;="&amp;24)))*CAPA3_EXPANSION!DM$36)</f>
        <v>3528</v>
      </c>
      <c r="DN31" s="298" t="n">
        <f aca="false">IF(COUNTIF(CAPA3_EXPANSION!$D$56:DN$56,"&gt;="&amp;24)=0,0,SUP_CONTROL!$C$8*IF($B31="V",1,IF($B31="D",(1+SUP_VOLUMEN!$C$26),(1+SUP_VOLUMEN!$C$27)))*INDEX(SUP_C3_EXPANSION!$C$6:$F$6,MIN(4,COUNTIF(CAPA3_EXPANSION!$D$56:DN$56,"&gt;="&amp;24)))*CAPA3_EXPANSION!DN$36)</f>
        <v>3528</v>
      </c>
      <c r="DO31" s="298" t="n">
        <f aca="false">IF(COUNTIF(CAPA3_EXPANSION!$D$56:DO$56,"&gt;="&amp;24)=0,0,SUP_CONTROL!$C$8*IF($B31="V",1,IF($B31="D",(1+SUP_VOLUMEN!$C$26),(1+SUP_VOLUMEN!$C$27)))*INDEX(SUP_C3_EXPANSION!$C$6:$F$6,MIN(4,COUNTIF(CAPA3_EXPANSION!$D$56:DO$56,"&gt;="&amp;24)))*CAPA3_EXPANSION!DO$36)</f>
        <v>3528</v>
      </c>
      <c r="DP31" s="298" t="n">
        <f aca="false">IF(COUNTIF(CAPA3_EXPANSION!$D$56:DP$56,"&gt;="&amp;24)=0,0,SUP_CONTROL!$C$8*IF($B31="V",1,IF($B31="D",(1+SUP_VOLUMEN!$C$26),(1+SUP_VOLUMEN!$C$27)))*INDEX(SUP_C3_EXPANSION!$C$6:$F$6,MIN(4,COUNTIF(CAPA3_EXPANSION!$D$56:DP$56,"&gt;="&amp;24)))*CAPA3_EXPANSION!DP$36)</f>
        <v>3528</v>
      </c>
      <c r="DQ31" s="298" t="n">
        <f aca="false">IF(COUNTIF(CAPA3_EXPANSION!$D$56:DQ$56,"&gt;="&amp;24)=0,0,SUP_CONTROL!$C$8*IF($B31="V",1,IF($B31="D",(1+SUP_VOLUMEN!$C$26),(1+SUP_VOLUMEN!$C$27)))*INDEX(SUP_C3_EXPANSION!$C$6:$F$6,MIN(4,COUNTIF(CAPA3_EXPANSION!$D$56:DQ$56,"&gt;="&amp;24)))*CAPA3_EXPANSION!DQ$36)</f>
        <v>3528</v>
      </c>
      <c r="DR31" s="298" t="n">
        <f aca="false">IF(COUNTIF(CAPA3_EXPANSION!$D$56:DR$56,"&gt;="&amp;24)=0,0,SUP_CONTROL!$C$8*IF($B31="V",1,IF($B31="D",(1+SUP_VOLUMEN!$C$26),(1+SUP_VOLUMEN!$C$27)))*INDEX(SUP_C3_EXPANSION!$C$6:$F$6,MIN(4,COUNTIF(CAPA3_EXPANSION!$D$56:DR$56,"&gt;="&amp;24)))*CAPA3_EXPANSION!DR$36)</f>
        <v>3528</v>
      </c>
      <c r="DS31" s="298" t="n">
        <f aca="false">IF(COUNTIF(CAPA3_EXPANSION!$D$56:DS$56,"&gt;="&amp;24)=0,0,SUP_CONTROL!$C$8*IF($B31="V",1,IF($B31="D",(1+SUP_VOLUMEN!$C$26),(1+SUP_VOLUMEN!$C$27)))*INDEX(SUP_C3_EXPANSION!$C$6:$F$6,MIN(4,COUNTIF(CAPA3_EXPANSION!$D$56:DS$56,"&gt;="&amp;24)))*CAPA3_EXPANSION!DS$36)</f>
        <v>3528</v>
      </c>
    </row>
    <row r="32" customFormat="false" ht="15" hidden="false" customHeight="true" outlineLevel="0" collapsed="false">
      <c r="A32" s="298" t="n">
        <v>35</v>
      </c>
      <c r="B32" s="497" t="str">
        <f aca="false">SUP_C3_EXPANSION!B44</f>
        <v>D</v>
      </c>
      <c r="C32" s="267" t="n">
        <f aca="false">SUP_C3_EXPANSION!G44</f>
        <v>66</v>
      </c>
      <c r="D32" s="298" t="n">
        <f aca="false">IF(COUNTIF(CAPA3_EXPANSION!$D$56:D$56,"&gt;="&amp;25)=0,0,SUP_CONTROL!$C$8*IF($B32="V",1,IF($B32="D",(1+SUP_VOLUMEN!$C$26),(1+SUP_VOLUMEN!$C$27)))*INDEX(SUP_C3_EXPANSION!$C$6:$F$6,MIN(4,COUNTIF(CAPA3_EXPANSION!$D$56:D$56,"&gt;="&amp;25)))*CAPA3_EXPANSION!D$36)</f>
        <v>0</v>
      </c>
      <c r="E32" s="298" t="n">
        <f aca="false">IF(COUNTIF(CAPA3_EXPANSION!$D$56:E$56,"&gt;="&amp;25)=0,0,SUP_CONTROL!$C$8*IF($B32="V",1,IF($B32="D",(1+SUP_VOLUMEN!$C$26),(1+SUP_VOLUMEN!$C$27)))*INDEX(SUP_C3_EXPANSION!$C$6:$F$6,MIN(4,COUNTIF(CAPA3_EXPANSION!$D$56:E$56,"&gt;="&amp;25)))*CAPA3_EXPANSION!E$36)</f>
        <v>0</v>
      </c>
      <c r="F32" s="298" t="n">
        <f aca="false">IF(COUNTIF(CAPA3_EXPANSION!$D$56:F$56,"&gt;="&amp;25)=0,0,SUP_CONTROL!$C$8*IF($B32="V",1,IF($B32="D",(1+SUP_VOLUMEN!$C$26),(1+SUP_VOLUMEN!$C$27)))*INDEX(SUP_C3_EXPANSION!$C$6:$F$6,MIN(4,COUNTIF(CAPA3_EXPANSION!$D$56:F$56,"&gt;="&amp;25)))*CAPA3_EXPANSION!F$36)</f>
        <v>0</v>
      </c>
      <c r="G32" s="298" t="n">
        <f aca="false">IF(COUNTIF(CAPA3_EXPANSION!$D$56:G$56,"&gt;="&amp;25)=0,0,SUP_CONTROL!$C$8*IF($B32="V",1,IF($B32="D",(1+SUP_VOLUMEN!$C$26),(1+SUP_VOLUMEN!$C$27)))*INDEX(SUP_C3_EXPANSION!$C$6:$F$6,MIN(4,COUNTIF(CAPA3_EXPANSION!$D$56:G$56,"&gt;="&amp;25)))*CAPA3_EXPANSION!G$36)</f>
        <v>0</v>
      </c>
      <c r="H32" s="298" t="n">
        <f aca="false">IF(COUNTIF(CAPA3_EXPANSION!$D$56:H$56,"&gt;="&amp;25)=0,0,SUP_CONTROL!$C$8*IF($B32="V",1,IF($B32="D",(1+SUP_VOLUMEN!$C$26),(1+SUP_VOLUMEN!$C$27)))*INDEX(SUP_C3_EXPANSION!$C$6:$F$6,MIN(4,COUNTIF(CAPA3_EXPANSION!$D$56:H$56,"&gt;="&amp;25)))*CAPA3_EXPANSION!H$36)</f>
        <v>0</v>
      </c>
      <c r="I32" s="298" t="n">
        <f aca="false">IF(COUNTIF(CAPA3_EXPANSION!$D$56:I$56,"&gt;="&amp;25)=0,0,SUP_CONTROL!$C$8*IF($B32="V",1,IF($B32="D",(1+SUP_VOLUMEN!$C$26),(1+SUP_VOLUMEN!$C$27)))*INDEX(SUP_C3_EXPANSION!$C$6:$F$6,MIN(4,COUNTIF(CAPA3_EXPANSION!$D$56:I$56,"&gt;="&amp;25)))*CAPA3_EXPANSION!I$36)</f>
        <v>0</v>
      </c>
      <c r="J32" s="298" t="n">
        <f aca="false">IF(COUNTIF(CAPA3_EXPANSION!$D$56:J$56,"&gt;="&amp;25)=0,0,SUP_CONTROL!$C$8*IF($B32="V",1,IF($B32="D",(1+SUP_VOLUMEN!$C$26),(1+SUP_VOLUMEN!$C$27)))*INDEX(SUP_C3_EXPANSION!$C$6:$F$6,MIN(4,COUNTIF(CAPA3_EXPANSION!$D$56:J$56,"&gt;="&amp;25)))*CAPA3_EXPANSION!J$36)</f>
        <v>0</v>
      </c>
      <c r="K32" s="298" t="n">
        <f aca="false">IF(COUNTIF(CAPA3_EXPANSION!$D$56:K$56,"&gt;="&amp;25)=0,0,SUP_CONTROL!$C$8*IF($B32="V",1,IF($B32="D",(1+SUP_VOLUMEN!$C$26),(1+SUP_VOLUMEN!$C$27)))*INDEX(SUP_C3_EXPANSION!$C$6:$F$6,MIN(4,COUNTIF(CAPA3_EXPANSION!$D$56:K$56,"&gt;="&amp;25)))*CAPA3_EXPANSION!K$36)</f>
        <v>0</v>
      </c>
      <c r="L32" s="298" t="n">
        <f aca="false">IF(COUNTIF(CAPA3_EXPANSION!$D$56:L$56,"&gt;="&amp;25)=0,0,SUP_CONTROL!$C$8*IF($B32="V",1,IF($B32="D",(1+SUP_VOLUMEN!$C$26),(1+SUP_VOLUMEN!$C$27)))*INDEX(SUP_C3_EXPANSION!$C$6:$F$6,MIN(4,COUNTIF(CAPA3_EXPANSION!$D$56:L$56,"&gt;="&amp;25)))*CAPA3_EXPANSION!L$36)</f>
        <v>0</v>
      </c>
      <c r="M32" s="298" t="n">
        <f aca="false">IF(COUNTIF(CAPA3_EXPANSION!$D$56:M$56,"&gt;="&amp;25)=0,0,SUP_CONTROL!$C$8*IF($B32="V",1,IF($B32="D",(1+SUP_VOLUMEN!$C$26),(1+SUP_VOLUMEN!$C$27)))*INDEX(SUP_C3_EXPANSION!$C$6:$F$6,MIN(4,COUNTIF(CAPA3_EXPANSION!$D$56:M$56,"&gt;="&amp;25)))*CAPA3_EXPANSION!M$36)</f>
        <v>0</v>
      </c>
      <c r="N32" s="298" t="n">
        <f aca="false">IF(COUNTIF(CAPA3_EXPANSION!$D$56:N$56,"&gt;="&amp;25)=0,0,SUP_CONTROL!$C$8*IF($B32="V",1,IF($B32="D",(1+SUP_VOLUMEN!$C$26),(1+SUP_VOLUMEN!$C$27)))*INDEX(SUP_C3_EXPANSION!$C$6:$F$6,MIN(4,COUNTIF(CAPA3_EXPANSION!$D$56:N$56,"&gt;="&amp;25)))*CAPA3_EXPANSION!N$36)</f>
        <v>0</v>
      </c>
      <c r="O32" s="298" t="n">
        <f aca="false">IF(COUNTIF(CAPA3_EXPANSION!$D$56:O$56,"&gt;="&amp;25)=0,0,SUP_CONTROL!$C$8*IF($B32="V",1,IF($B32="D",(1+SUP_VOLUMEN!$C$26),(1+SUP_VOLUMEN!$C$27)))*INDEX(SUP_C3_EXPANSION!$C$6:$F$6,MIN(4,COUNTIF(CAPA3_EXPANSION!$D$56:O$56,"&gt;="&amp;25)))*CAPA3_EXPANSION!O$36)</f>
        <v>0</v>
      </c>
      <c r="P32" s="298" t="n">
        <f aca="false">IF(COUNTIF(CAPA3_EXPANSION!$D$56:P$56,"&gt;="&amp;25)=0,0,SUP_CONTROL!$C$8*IF($B32="V",1,IF($B32="D",(1+SUP_VOLUMEN!$C$26),(1+SUP_VOLUMEN!$C$27)))*INDEX(SUP_C3_EXPANSION!$C$6:$F$6,MIN(4,COUNTIF(CAPA3_EXPANSION!$D$56:P$56,"&gt;="&amp;25)))*CAPA3_EXPANSION!P$36)</f>
        <v>0</v>
      </c>
      <c r="Q32" s="298" t="n">
        <f aca="false">IF(COUNTIF(CAPA3_EXPANSION!$D$56:Q$56,"&gt;="&amp;25)=0,0,SUP_CONTROL!$C$8*IF($B32="V",1,IF($B32="D",(1+SUP_VOLUMEN!$C$26),(1+SUP_VOLUMEN!$C$27)))*INDEX(SUP_C3_EXPANSION!$C$6:$F$6,MIN(4,COUNTIF(CAPA3_EXPANSION!$D$56:Q$56,"&gt;="&amp;25)))*CAPA3_EXPANSION!Q$36)</f>
        <v>0</v>
      </c>
      <c r="R32" s="298" t="n">
        <f aca="false">IF(COUNTIF(CAPA3_EXPANSION!$D$56:R$56,"&gt;="&amp;25)=0,0,SUP_CONTROL!$C$8*IF($B32="V",1,IF($B32="D",(1+SUP_VOLUMEN!$C$26),(1+SUP_VOLUMEN!$C$27)))*INDEX(SUP_C3_EXPANSION!$C$6:$F$6,MIN(4,COUNTIF(CAPA3_EXPANSION!$D$56:R$56,"&gt;="&amp;25)))*CAPA3_EXPANSION!R$36)</f>
        <v>0</v>
      </c>
      <c r="S32" s="298" t="n">
        <f aca="false">IF(COUNTIF(CAPA3_EXPANSION!$D$56:S$56,"&gt;="&amp;25)=0,0,SUP_CONTROL!$C$8*IF($B32="V",1,IF($B32="D",(1+SUP_VOLUMEN!$C$26),(1+SUP_VOLUMEN!$C$27)))*INDEX(SUP_C3_EXPANSION!$C$6:$F$6,MIN(4,COUNTIF(CAPA3_EXPANSION!$D$56:S$56,"&gt;="&amp;25)))*CAPA3_EXPANSION!S$36)</f>
        <v>0</v>
      </c>
      <c r="T32" s="298" t="n">
        <f aca="false">IF(COUNTIF(CAPA3_EXPANSION!$D$56:T$56,"&gt;="&amp;25)=0,0,SUP_CONTROL!$C$8*IF($B32="V",1,IF($B32="D",(1+SUP_VOLUMEN!$C$26),(1+SUP_VOLUMEN!$C$27)))*INDEX(SUP_C3_EXPANSION!$C$6:$F$6,MIN(4,COUNTIF(CAPA3_EXPANSION!$D$56:T$56,"&gt;="&amp;25)))*CAPA3_EXPANSION!T$36)</f>
        <v>0</v>
      </c>
      <c r="U32" s="298" t="n">
        <f aca="false">IF(COUNTIF(CAPA3_EXPANSION!$D$56:U$56,"&gt;="&amp;25)=0,0,SUP_CONTROL!$C$8*IF($B32="V",1,IF($B32="D",(1+SUP_VOLUMEN!$C$26),(1+SUP_VOLUMEN!$C$27)))*INDEX(SUP_C3_EXPANSION!$C$6:$F$6,MIN(4,COUNTIF(CAPA3_EXPANSION!$D$56:U$56,"&gt;="&amp;25)))*CAPA3_EXPANSION!U$36)</f>
        <v>0</v>
      </c>
      <c r="V32" s="298" t="n">
        <f aca="false">IF(COUNTIF(CAPA3_EXPANSION!$D$56:V$56,"&gt;="&amp;25)=0,0,SUP_CONTROL!$C$8*IF($B32="V",1,IF($B32="D",(1+SUP_VOLUMEN!$C$26),(1+SUP_VOLUMEN!$C$27)))*INDEX(SUP_C3_EXPANSION!$C$6:$F$6,MIN(4,COUNTIF(CAPA3_EXPANSION!$D$56:V$56,"&gt;="&amp;25)))*CAPA3_EXPANSION!V$36)</f>
        <v>0</v>
      </c>
      <c r="W32" s="298" t="n">
        <f aca="false">IF(COUNTIF(CAPA3_EXPANSION!$D$56:W$56,"&gt;="&amp;25)=0,0,SUP_CONTROL!$C$8*IF($B32="V",1,IF($B32="D",(1+SUP_VOLUMEN!$C$26),(1+SUP_VOLUMEN!$C$27)))*INDEX(SUP_C3_EXPANSION!$C$6:$F$6,MIN(4,COUNTIF(CAPA3_EXPANSION!$D$56:W$56,"&gt;="&amp;25)))*CAPA3_EXPANSION!W$36)</f>
        <v>0</v>
      </c>
      <c r="X32" s="298" t="n">
        <f aca="false">IF(COUNTIF(CAPA3_EXPANSION!$D$56:X$56,"&gt;="&amp;25)=0,0,SUP_CONTROL!$C$8*IF($B32="V",1,IF($B32="D",(1+SUP_VOLUMEN!$C$26),(1+SUP_VOLUMEN!$C$27)))*INDEX(SUP_C3_EXPANSION!$C$6:$F$6,MIN(4,COUNTIF(CAPA3_EXPANSION!$D$56:X$56,"&gt;="&amp;25)))*CAPA3_EXPANSION!X$36)</f>
        <v>0</v>
      </c>
      <c r="Y32" s="298" t="n">
        <f aca="false">IF(COUNTIF(CAPA3_EXPANSION!$D$56:Y$56,"&gt;="&amp;25)=0,0,SUP_CONTROL!$C$8*IF($B32="V",1,IF($B32="D",(1+SUP_VOLUMEN!$C$26),(1+SUP_VOLUMEN!$C$27)))*INDEX(SUP_C3_EXPANSION!$C$6:$F$6,MIN(4,COUNTIF(CAPA3_EXPANSION!$D$56:Y$56,"&gt;="&amp;25)))*CAPA3_EXPANSION!Y$36)</f>
        <v>0</v>
      </c>
      <c r="Z32" s="298" t="n">
        <f aca="false">IF(COUNTIF(CAPA3_EXPANSION!$D$56:Z$56,"&gt;="&amp;25)=0,0,SUP_CONTROL!$C$8*IF($B32="V",1,IF($B32="D",(1+SUP_VOLUMEN!$C$26),(1+SUP_VOLUMEN!$C$27)))*INDEX(SUP_C3_EXPANSION!$C$6:$F$6,MIN(4,COUNTIF(CAPA3_EXPANSION!$D$56:Z$56,"&gt;="&amp;25)))*CAPA3_EXPANSION!Z$36)</f>
        <v>0</v>
      </c>
      <c r="AA32" s="298" t="n">
        <f aca="false">IF(COUNTIF(CAPA3_EXPANSION!$D$56:AA$56,"&gt;="&amp;25)=0,0,SUP_CONTROL!$C$8*IF($B32="V",1,IF($B32="D",(1+SUP_VOLUMEN!$C$26),(1+SUP_VOLUMEN!$C$27)))*INDEX(SUP_C3_EXPANSION!$C$6:$F$6,MIN(4,COUNTIF(CAPA3_EXPANSION!$D$56:AA$56,"&gt;="&amp;25)))*CAPA3_EXPANSION!AA$36)</f>
        <v>0</v>
      </c>
      <c r="AB32" s="298" t="n">
        <f aca="false">IF(COUNTIF(CAPA3_EXPANSION!$D$56:AB$56,"&gt;="&amp;25)=0,0,SUP_CONTROL!$C$8*IF($B32="V",1,IF($B32="D",(1+SUP_VOLUMEN!$C$26),(1+SUP_VOLUMEN!$C$27)))*INDEX(SUP_C3_EXPANSION!$C$6:$F$6,MIN(4,COUNTIF(CAPA3_EXPANSION!$D$56:AB$56,"&gt;="&amp;25)))*CAPA3_EXPANSION!AB$36)</f>
        <v>0</v>
      </c>
      <c r="AC32" s="298" t="n">
        <f aca="false">IF(COUNTIF(CAPA3_EXPANSION!$D$56:AC$56,"&gt;="&amp;25)=0,0,SUP_CONTROL!$C$8*IF($B32="V",1,IF($B32="D",(1+SUP_VOLUMEN!$C$26),(1+SUP_VOLUMEN!$C$27)))*INDEX(SUP_C3_EXPANSION!$C$6:$F$6,MIN(4,COUNTIF(CAPA3_EXPANSION!$D$56:AC$56,"&gt;="&amp;25)))*CAPA3_EXPANSION!AC$36)</f>
        <v>0</v>
      </c>
      <c r="AD32" s="298" t="n">
        <f aca="false">IF(COUNTIF(CAPA3_EXPANSION!$D$56:AD$56,"&gt;="&amp;25)=0,0,SUP_CONTROL!$C$8*IF($B32="V",1,IF($B32="D",(1+SUP_VOLUMEN!$C$26),(1+SUP_VOLUMEN!$C$27)))*INDEX(SUP_C3_EXPANSION!$C$6:$F$6,MIN(4,COUNTIF(CAPA3_EXPANSION!$D$56:AD$56,"&gt;="&amp;25)))*CAPA3_EXPANSION!AD$36)</f>
        <v>0</v>
      </c>
      <c r="AE32" s="298" t="n">
        <f aca="false">IF(COUNTIF(CAPA3_EXPANSION!$D$56:AE$56,"&gt;="&amp;25)=0,0,SUP_CONTROL!$C$8*IF($B32="V",1,IF($B32="D",(1+SUP_VOLUMEN!$C$26),(1+SUP_VOLUMEN!$C$27)))*INDEX(SUP_C3_EXPANSION!$C$6:$F$6,MIN(4,COUNTIF(CAPA3_EXPANSION!$D$56:AE$56,"&gt;="&amp;25)))*CAPA3_EXPANSION!AE$36)</f>
        <v>0</v>
      </c>
      <c r="AF32" s="298" t="n">
        <f aca="false">IF(COUNTIF(CAPA3_EXPANSION!$D$56:AF$56,"&gt;="&amp;25)=0,0,SUP_CONTROL!$C$8*IF($B32="V",1,IF($B32="D",(1+SUP_VOLUMEN!$C$26),(1+SUP_VOLUMEN!$C$27)))*INDEX(SUP_C3_EXPANSION!$C$6:$F$6,MIN(4,COUNTIF(CAPA3_EXPANSION!$D$56:AF$56,"&gt;="&amp;25)))*CAPA3_EXPANSION!AF$36)</f>
        <v>0</v>
      </c>
      <c r="AG32" s="298" t="n">
        <f aca="false">IF(COUNTIF(CAPA3_EXPANSION!$D$56:AG$56,"&gt;="&amp;25)=0,0,SUP_CONTROL!$C$8*IF($B32="V",1,IF($B32="D",(1+SUP_VOLUMEN!$C$26),(1+SUP_VOLUMEN!$C$27)))*INDEX(SUP_C3_EXPANSION!$C$6:$F$6,MIN(4,COUNTIF(CAPA3_EXPANSION!$D$56:AG$56,"&gt;="&amp;25)))*CAPA3_EXPANSION!AG$36)</f>
        <v>0</v>
      </c>
      <c r="AH32" s="298" t="n">
        <f aca="false">IF(COUNTIF(CAPA3_EXPANSION!$D$56:AH$56,"&gt;="&amp;25)=0,0,SUP_CONTROL!$C$8*IF($B32="V",1,IF($B32="D",(1+SUP_VOLUMEN!$C$26),(1+SUP_VOLUMEN!$C$27)))*INDEX(SUP_C3_EXPANSION!$C$6:$F$6,MIN(4,COUNTIF(CAPA3_EXPANSION!$D$56:AH$56,"&gt;="&amp;25)))*CAPA3_EXPANSION!AH$36)</f>
        <v>0</v>
      </c>
      <c r="AI32" s="298" t="n">
        <f aca="false">IF(COUNTIF(CAPA3_EXPANSION!$D$56:AI$56,"&gt;="&amp;25)=0,0,SUP_CONTROL!$C$8*IF($B32="V",1,IF($B32="D",(1+SUP_VOLUMEN!$C$26),(1+SUP_VOLUMEN!$C$27)))*INDEX(SUP_C3_EXPANSION!$C$6:$F$6,MIN(4,COUNTIF(CAPA3_EXPANSION!$D$56:AI$56,"&gt;="&amp;25)))*CAPA3_EXPANSION!AI$36)</f>
        <v>0</v>
      </c>
      <c r="AJ32" s="298" t="n">
        <f aca="false">IF(COUNTIF(CAPA3_EXPANSION!$D$56:AJ$56,"&gt;="&amp;25)=0,0,SUP_CONTROL!$C$8*IF($B32="V",1,IF($B32="D",(1+SUP_VOLUMEN!$C$26),(1+SUP_VOLUMEN!$C$27)))*INDEX(SUP_C3_EXPANSION!$C$6:$F$6,MIN(4,COUNTIF(CAPA3_EXPANSION!$D$56:AJ$56,"&gt;="&amp;25)))*CAPA3_EXPANSION!AJ$36)</f>
        <v>0</v>
      </c>
      <c r="AK32" s="298" t="n">
        <f aca="false">IF(COUNTIF(CAPA3_EXPANSION!$D$56:AK$56,"&gt;="&amp;25)=0,0,SUP_CONTROL!$C$8*IF($B32="V",1,IF($B32="D",(1+SUP_VOLUMEN!$C$26),(1+SUP_VOLUMEN!$C$27)))*INDEX(SUP_C3_EXPANSION!$C$6:$F$6,MIN(4,COUNTIF(CAPA3_EXPANSION!$D$56:AK$56,"&gt;="&amp;25)))*CAPA3_EXPANSION!AK$36)</f>
        <v>0</v>
      </c>
      <c r="AL32" s="298" t="n">
        <f aca="false">IF(COUNTIF(CAPA3_EXPANSION!$D$56:AL$56,"&gt;="&amp;25)=0,0,SUP_CONTROL!$C$8*IF($B32="V",1,IF($B32="D",(1+SUP_VOLUMEN!$C$26),(1+SUP_VOLUMEN!$C$27)))*INDEX(SUP_C3_EXPANSION!$C$6:$F$6,MIN(4,COUNTIF(CAPA3_EXPANSION!$D$56:AL$56,"&gt;="&amp;25)))*CAPA3_EXPANSION!AL$36)</f>
        <v>0</v>
      </c>
      <c r="AM32" s="298" t="n">
        <f aca="false">IF(COUNTIF(CAPA3_EXPANSION!$D$56:AM$56,"&gt;="&amp;25)=0,0,SUP_CONTROL!$C$8*IF($B32="V",1,IF($B32="D",(1+SUP_VOLUMEN!$C$26),(1+SUP_VOLUMEN!$C$27)))*INDEX(SUP_C3_EXPANSION!$C$6:$F$6,MIN(4,COUNTIF(CAPA3_EXPANSION!$D$56:AM$56,"&gt;="&amp;25)))*CAPA3_EXPANSION!AM$36)</f>
        <v>0</v>
      </c>
      <c r="AN32" s="298" t="n">
        <f aca="false">IF(COUNTIF(CAPA3_EXPANSION!$D$56:AN$56,"&gt;="&amp;25)=0,0,SUP_CONTROL!$C$8*IF($B32="V",1,IF($B32="D",(1+SUP_VOLUMEN!$C$26),(1+SUP_VOLUMEN!$C$27)))*INDEX(SUP_C3_EXPANSION!$C$6:$F$6,MIN(4,COUNTIF(CAPA3_EXPANSION!$D$56:AN$56,"&gt;="&amp;25)))*CAPA3_EXPANSION!AN$36)</f>
        <v>0</v>
      </c>
      <c r="AO32" s="298" t="n">
        <f aca="false">IF(COUNTIF(CAPA3_EXPANSION!$D$56:AO$56,"&gt;="&amp;25)=0,0,SUP_CONTROL!$C$8*IF($B32="V",1,IF($B32="D",(1+SUP_VOLUMEN!$C$26),(1+SUP_VOLUMEN!$C$27)))*INDEX(SUP_C3_EXPANSION!$C$6:$F$6,MIN(4,COUNTIF(CAPA3_EXPANSION!$D$56:AO$56,"&gt;="&amp;25)))*CAPA3_EXPANSION!AO$36)</f>
        <v>0</v>
      </c>
      <c r="AP32" s="298" t="n">
        <f aca="false">IF(COUNTIF(CAPA3_EXPANSION!$D$56:AP$56,"&gt;="&amp;25)=0,0,SUP_CONTROL!$C$8*IF($B32="V",1,IF($B32="D",(1+SUP_VOLUMEN!$C$26),(1+SUP_VOLUMEN!$C$27)))*INDEX(SUP_C3_EXPANSION!$C$6:$F$6,MIN(4,COUNTIF(CAPA3_EXPANSION!$D$56:AP$56,"&gt;="&amp;25)))*CAPA3_EXPANSION!AP$36)</f>
        <v>0</v>
      </c>
      <c r="AQ32" s="298" t="n">
        <f aca="false">IF(COUNTIF(CAPA3_EXPANSION!$D$56:AQ$56,"&gt;="&amp;25)=0,0,SUP_CONTROL!$C$8*IF($B32="V",1,IF($B32="D",(1+SUP_VOLUMEN!$C$26),(1+SUP_VOLUMEN!$C$27)))*INDEX(SUP_C3_EXPANSION!$C$6:$F$6,MIN(4,COUNTIF(CAPA3_EXPANSION!$D$56:AQ$56,"&gt;="&amp;25)))*CAPA3_EXPANSION!AQ$36)</f>
        <v>0</v>
      </c>
      <c r="AR32" s="298" t="n">
        <f aca="false">IF(COUNTIF(CAPA3_EXPANSION!$D$56:AR$56,"&gt;="&amp;25)=0,0,SUP_CONTROL!$C$8*IF($B32="V",1,IF($B32="D",(1+SUP_VOLUMEN!$C$26),(1+SUP_VOLUMEN!$C$27)))*INDEX(SUP_C3_EXPANSION!$C$6:$F$6,MIN(4,COUNTIF(CAPA3_EXPANSION!$D$56:AR$56,"&gt;="&amp;25)))*CAPA3_EXPANSION!AR$36)</f>
        <v>0</v>
      </c>
      <c r="AS32" s="298" t="n">
        <f aca="false">IF(COUNTIF(CAPA3_EXPANSION!$D$56:AS$56,"&gt;="&amp;25)=0,0,SUP_CONTROL!$C$8*IF($B32="V",1,IF($B32="D",(1+SUP_VOLUMEN!$C$26),(1+SUP_VOLUMEN!$C$27)))*INDEX(SUP_C3_EXPANSION!$C$6:$F$6,MIN(4,COUNTIF(CAPA3_EXPANSION!$D$56:AS$56,"&gt;="&amp;25)))*CAPA3_EXPANSION!AS$36)</f>
        <v>0</v>
      </c>
      <c r="AT32" s="298" t="n">
        <f aca="false">IF(COUNTIF(CAPA3_EXPANSION!$D$56:AT$56,"&gt;="&amp;25)=0,0,SUP_CONTROL!$C$8*IF($B32="V",1,IF($B32="D",(1+SUP_VOLUMEN!$C$26),(1+SUP_VOLUMEN!$C$27)))*INDEX(SUP_C3_EXPANSION!$C$6:$F$6,MIN(4,COUNTIF(CAPA3_EXPANSION!$D$56:AT$56,"&gt;="&amp;25)))*CAPA3_EXPANSION!AT$36)</f>
        <v>0</v>
      </c>
      <c r="AU32" s="298" t="n">
        <f aca="false">IF(COUNTIF(CAPA3_EXPANSION!$D$56:AU$56,"&gt;="&amp;25)=0,0,SUP_CONTROL!$C$8*IF($B32="V",1,IF($B32="D",(1+SUP_VOLUMEN!$C$26),(1+SUP_VOLUMEN!$C$27)))*INDEX(SUP_C3_EXPANSION!$C$6:$F$6,MIN(4,COUNTIF(CAPA3_EXPANSION!$D$56:AU$56,"&gt;="&amp;25)))*CAPA3_EXPANSION!AU$36)</f>
        <v>0</v>
      </c>
      <c r="AV32" s="298" t="n">
        <f aca="false">IF(COUNTIF(CAPA3_EXPANSION!$D$56:AV$56,"&gt;="&amp;25)=0,0,SUP_CONTROL!$C$8*IF($B32="V",1,IF($B32="D",(1+SUP_VOLUMEN!$C$26),(1+SUP_VOLUMEN!$C$27)))*INDEX(SUP_C3_EXPANSION!$C$6:$F$6,MIN(4,COUNTIF(CAPA3_EXPANSION!$D$56:AV$56,"&gt;="&amp;25)))*CAPA3_EXPANSION!AV$36)</f>
        <v>0</v>
      </c>
      <c r="AW32" s="298" t="n">
        <f aca="false">IF(COUNTIF(CAPA3_EXPANSION!$D$56:AW$56,"&gt;="&amp;25)=0,0,SUP_CONTROL!$C$8*IF($B32="V",1,IF($B32="D",(1+SUP_VOLUMEN!$C$26),(1+SUP_VOLUMEN!$C$27)))*INDEX(SUP_C3_EXPANSION!$C$6:$F$6,MIN(4,COUNTIF(CAPA3_EXPANSION!$D$56:AW$56,"&gt;="&amp;25)))*CAPA3_EXPANSION!AW$36)</f>
        <v>0</v>
      </c>
      <c r="AX32" s="298" t="n">
        <f aca="false">IF(COUNTIF(CAPA3_EXPANSION!$D$56:AX$56,"&gt;="&amp;25)=0,0,SUP_CONTROL!$C$8*IF($B32="V",1,IF($B32="D",(1+SUP_VOLUMEN!$C$26),(1+SUP_VOLUMEN!$C$27)))*INDEX(SUP_C3_EXPANSION!$C$6:$F$6,MIN(4,COUNTIF(CAPA3_EXPANSION!$D$56:AX$56,"&gt;="&amp;25)))*CAPA3_EXPANSION!AX$36)</f>
        <v>0</v>
      </c>
      <c r="AY32" s="298" t="n">
        <f aca="false">IF(COUNTIF(CAPA3_EXPANSION!$D$56:AY$56,"&gt;="&amp;25)=0,0,SUP_CONTROL!$C$8*IF($B32="V",1,IF($B32="D",(1+SUP_VOLUMEN!$C$26),(1+SUP_VOLUMEN!$C$27)))*INDEX(SUP_C3_EXPANSION!$C$6:$F$6,MIN(4,COUNTIF(CAPA3_EXPANSION!$D$56:AY$56,"&gt;="&amp;25)))*CAPA3_EXPANSION!AY$36)</f>
        <v>0</v>
      </c>
      <c r="AZ32" s="298" t="n">
        <f aca="false">IF(COUNTIF(CAPA3_EXPANSION!$D$56:AZ$56,"&gt;="&amp;25)=0,0,SUP_CONTROL!$C$8*IF($B32="V",1,IF($B32="D",(1+SUP_VOLUMEN!$C$26),(1+SUP_VOLUMEN!$C$27)))*INDEX(SUP_C3_EXPANSION!$C$6:$F$6,MIN(4,COUNTIF(CAPA3_EXPANSION!$D$56:AZ$56,"&gt;="&amp;25)))*CAPA3_EXPANSION!AZ$36)</f>
        <v>0</v>
      </c>
      <c r="BA32" s="298" t="n">
        <f aca="false">IF(COUNTIF(CAPA3_EXPANSION!$D$56:BA$56,"&gt;="&amp;25)=0,0,SUP_CONTROL!$C$8*IF($B32="V",1,IF($B32="D",(1+SUP_VOLUMEN!$C$26),(1+SUP_VOLUMEN!$C$27)))*INDEX(SUP_C3_EXPANSION!$C$6:$F$6,MIN(4,COUNTIF(CAPA3_EXPANSION!$D$56:BA$56,"&gt;="&amp;25)))*CAPA3_EXPANSION!BA$36)</f>
        <v>0</v>
      </c>
      <c r="BB32" s="298" t="n">
        <f aca="false">IF(COUNTIF(CAPA3_EXPANSION!$D$56:BB$56,"&gt;="&amp;25)=0,0,SUP_CONTROL!$C$8*IF($B32="V",1,IF($B32="D",(1+SUP_VOLUMEN!$C$26),(1+SUP_VOLUMEN!$C$27)))*INDEX(SUP_C3_EXPANSION!$C$6:$F$6,MIN(4,COUNTIF(CAPA3_EXPANSION!$D$56:BB$56,"&gt;="&amp;25)))*CAPA3_EXPANSION!BB$36)</f>
        <v>0</v>
      </c>
      <c r="BC32" s="298" t="n">
        <f aca="false">IF(COUNTIF(CAPA3_EXPANSION!$D$56:BC$56,"&gt;="&amp;25)=0,0,SUP_CONTROL!$C$8*IF($B32="V",1,IF($B32="D",(1+SUP_VOLUMEN!$C$26),(1+SUP_VOLUMEN!$C$27)))*INDEX(SUP_C3_EXPANSION!$C$6:$F$6,MIN(4,COUNTIF(CAPA3_EXPANSION!$D$56:BC$56,"&gt;="&amp;25)))*CAPA3_EXPANSION!BC$36)</f>
        <v>0</v>
      </c>
      <c r="BD32" s="298" t="n">
        <f aca="false">IF(COUNTIF(CAPA3_EXPANSION!$D$56:BD$56,"&gt;="&amp;25)=0,0,SUP_CONTROL!$C$8*IF($B32="V",1,IF($B32="D",(1+SUP_VOLUMEN!$C$26),(1+SUP_VOLUMEN!$C$27)))*INDEX(SUP_C3_EXPANSION!$C$6:$F$6,MIN(4,COUNTIF(CAPA3_EXPANSION!$D$56:BD$56,"&gt;="&amp;25)))*CAPA3_EXPANSION!BD$36)</f>
        <v>0</v>
      </c>
      <c r="BE32" s="298" t="n">
        <f aca="false">IF(COUNTIF(CAPA3_EXPANSION!$D$56:BE$56,"&gt;="&amp;25)=0,0,SUP_CONTROL!$C$8*IF($B32="V",1,IF($B32="D",(1+SUP_VOLUMEN!$C$26),(1+SUP_VOLUMEN!$C$27)))*INDEX(SUP_C3_EXPANSION!$C$6:$F$6,MIN(4,COUNTIF(CAPA3_EXPANSION!$D$56:BE$56,"&gt;="&amp;25)))*CAPA3_EXPANSION!BE$36)</f>
        <v>0</v>
      </c>
      <c r="BF32" s="298" t="n">
        <f aca="false">IF(COUNTIF(CAPA3_EXPANSION!$D$56:BF$56,"&gt;="&amp;25)=0,0,SUP_CONTROL!$C$8*IF($B32="V",1,IF($B32="D",(1+SUP_VOLUMEN!$C$26),(1+SUP_VOLUMEN!$C$27)))*INDEX(SUP_C3_EXPANSION!$C$6:$F$6,MIN(4,COUNTIF(CAPA3_EXPANSION!$D$56:BF$56,"&gt;="&amp;25)))*CAPA3_EXPANSION!BF$36)</f>
        <v>0</v>
      </c>
      <c r="BG32" s="298" t="n">
        <f aca="false">IF(COUNTIF(CAPA3_EXPANSION!$D$56:BG$56,"&gt;="&amp;25)=0,0,SUP_CONTROL!$C$8*IF($B32="V",1,IF($B32="D",(1+SUP_VOLUMEN!$C$26),(1+SUP_VOLUMEN!$C$27)))*INDEX(SUP_C3_EXPANSION!$C$6:$F$6,MIN(4,COUNTIF(CAPA3_EXPANSION!$D$56:BG$56,"&gt;="&amp;25)))*CAPA3_EXPANSION!BG$36)</f>
        <v>0</v>
      </c>
      <c r="BH32" s="298" t="n">
        <f aca="false">IF(COUNTIF(CAPA3_EXPANSION!$D$56:BH$56,"&gt;="&amp;25)=0,0,SUP_CONTROL!$C$8*IF($B32="V",1,IF($B32="D",(1+SUP_VOLUMEN!$C$26),(1+SUP_VOLUMEN!$C$27)))*INDEX(SUP_C3_EXPANSION!$C$6:$F$6,MIN(4,COUNTIF(CAPA3_EXPANSION!$D$56:BH$56,"&gt;="&amp;25)))*CAPA3_EXPANSION!BH$36)</f>
        <v>0</v>
      </c>
      <c r="BI32" s="298" t="n">
        <f aca="false">IF(COUNTIF(CAPA3_EXPANSION!$D$56:BI$56,"&gt;="&amp;25)=0,0,SUP_CONTROL!$C$8*IF($B32="V",1,IF($B32="D",(1+SUP_VOLUMEN!$C$26),(1+SUP_VOLUMEN!$C$27)))*INDEX(SUP_C3_EXPANSION!$C$6:$F$6,MIN(4,COUNTIF(CAPA3_EXPANSION!$D$56:BI$56,"&gt;="&amp;25)))*CAPA3_EXPANSION!BI$36)</f>
        <v>0</v>
      </c>
      <c r="BJ32" s="298" t="n">
        <f aca="false">IF(COUNTIF(CAPA3_EXPANSION!$D$56:BJ$56,"&gt;="&amp;25)=0,0,SUP_CONTROL!$C$8*IF($B32="V",1,IF($B32="D",(1+SUP_VOLUMEN!$C$26),(1+SUP_VOLUMEN!$C$27)))*INDEX(SUP_C3_EXPANSION!$C$6:$F$6,MIN(4,COUNTIF(CAPA3_EXPANSION!$D$56:BJ$56,"&gt;="&amp;25)))*CAPA3_EXPANSION!BJ$36)</f>
        <v>0</v>
      </c>
      <c r="BK32" s="298" t="n">
        <f aca="false">IF(COUNTIF(CAPA3_EXPANSION!$D$56:BK$56,"&gt;="&amp;25)=0,0,SUP_CONTROL!$C$8*IF($B32="V",1,IF($B32="D",(1+SUP_VOLUMEN!$C$26),(1+SUP_VOLUMEN!$C$27)))*INDEX(SUP_C3_EXPANSION!$C$6:$F$6,MIN(4,COUNTIF(CAPA3_EXPANSION!$D$56:BK$56,"&gt;="&amp;25)))*CAPA3_EXPANSION!BK$36)</f>
        <v>0</v>
      </c>
      <c r="BL32" s="298" t="n">
        <f aca="false">IF(COUNTIF(CAPA3_EXPANSION!$D$56:BL$56,"&gt;="&amp;25)=0,0,SUP_CONTROL!$C$8*IF($B32="V",1,IF($B32="D",(1+SUP_VOLUMEN!$C$26),(1+SUP_VOLUMEN!$C$27)))*INDEX(SUP_C3_EXPANSION!$C$6:$F$6,MIN(4,COUNTIF(CAPA3_EXPANSION!$D$56:BL$56,"&gt;="&amp;25)))*CAPA3_EXPANSION!BL$36)</f>
        <v>0</v>
      </c>
      <c r="BM32" s="298" t="n">
        <f aca="false">IF(COUNTIF(CAPA3_EXPANSION!$D$56:BM$56,"&gt;="&amp;25)=0,0,SUP_CONTROL!$C$8*IF($B32="V",1,IF($B32="D",(1+SUP_VOLUMEN!$C$26),(1+SUP_VOLUMEN!$C$27)))*INDEX(SUP_C3_EXPANSION!$C$6:$F$6,MIN(4,COUNTIF(CAPA3_EXPANSION!$D$56:BM$56,"&gt;="&amp;25)))*CAPA3_EXPANSION!BM$36)</f>
        <v>0</v>
      </c>
      <c r="BN32" s="298" t="n">
        <f aca="false">IF(COUNTIF(CAPA3_EXPANSION!$D$56:BN$56,"&gt;="&amp;25)=0,0,SUP_CONTROL!$C$8*IF($B32="V",1,IF($B32="D",(1+SUP_VOLUMEN!$C$26),(1+SUP_VOLUMEN!$C$27)))*INDEX(SUP_C3_EXPANSION!$C$6:$F$6,MIN(4,COUNTIF(CAPA3_EXPANSION!$D$56:BN$56,"&gt;="&amp;25)))*CAPA3_EXPANSION!BN$36)</f>
        <v>0</v>
      </c>
      <c r="BO32" s="298" t="n">
        <f aca="false">IF(COUNTIF(CAPA3_EXPANSION!$D$56:BO$56,"&gt;="&amp;25)=0,0,SUP_CONTROL!$C$8*IF($B32="V",1,IF($B32="D",(1+SUP_VOLUMEN!$C$26),(1+SUP_VOLUMEN!$C$27)))*INDEX(SUP_C3_EXPANSION!$C$6:$F$6,MIN(4,COUNTIF(CAPA3_EXPANSION!$D$56:BO$56,"&gt;="&amp;25)))*CAPA3_EXPANSION!BO$36)</f>
        <v>0</v>
      </c>
      <c r="BP32" s="298" t="n">
        <f aca="false">IF(COUNTIF(CAPA3_EXPANSION!$D$56:BP$56,"&gt;="&amp;25)=0,0,SUP_CONTROL!$C$8*IF($B32="V",1,IF($B32="D",(1+SUP_VOLUMEN!$C$26),(1+SUP_VOLUMEN!$C$27)))*INDEX(SUP_C3_EXPANSION!$C$6:$F$6,MIN(4,COUNTIF(CAPA3_EXPANSION!$D$56:BP$56,"&gt;="&amp;25)))*CAPA3_EXPANSION!BP$36)</f>
        <v>0</v>
      </c>
      <c r="BQ32" s="298" t="n">
        <f aca="false">IF(COUNTIF(CAPA3_EXPANSION!$D$56:BQ$56,"&gt;="&amp;25)=0,0,SUP_CONTROL!$C$8*IF($B32="V",1,IF($B32="D",(1+SUP_VOLUMEN!$C$26),(1+SUP_VOLUMEN!$C$27)))*INDEX(SUP_C3_EXPANSION!$C$6:$F$6,MIN(4,COUNTIF(CAPA3_EXPANSION!$D$56:BQ$56,"&gt;="&amp;25)))*CAPA3_EXPANSION!BQ$36)</f>
        <v>0</v>
      </c>
      <c r="BR32" s="298" t="n">
        <f aca="false">IF(COUNTIF(CAPA3_EXPANSION!$D$56:BR$56,"&gt;="&amp;25)=0,0,SUP_CONTROL!$C$8*IF($B32="V",1,IF($B32="D",(1+SUP_VOLUMEN!$C$26),(1+SUP_VOLUMEN!$C$27)))*INDEX(SUP_C3_EXPANSION!$C$6:$F$6,MIN(4,COUNTIF(CAPA3_EXPANSION!$D$56:BR$56,"&gt;="&amp;25)))*CAPA3_EXPANSION!BR$36)</f>
        <v>0</v>
      </c>
      <c r="BS32" s="298" t="n">
        <f aca="false">IF(COUNTIF(CAPA3_EXPANSION!$D$56:BS$56,"&gt;="&amp;25)=0,0,SUP_CONTROL!$C$8*IF($B32="V",1,IF($B32="D",(1+SUP_VOLUMEN!$C$26),(1+SUP_VOLUMEN!$C$27)))*INDEX(SUP_C3_EXPANSION!$C$6:$F$6,MIN(4,COUNTIF(CAPA3_EXPANSION!$D$56:BS$56,"&gt;="&amp;25)))*CAPA3_EXPANSION!BS$36)</f>
        <v>0</v>
      </c>
      <c r="BT32" s="298" t="n">
        <f aca="false">IF(COUNTIF(CAPA3_EXPANSION!$D$56:BT$56,"&gt;="&amp;25)=0,0,SUP_CONTROL!$C$8*IF($B32="V",1,IF($B32="D",(1+SUP_VOLUMEN!$C$26),(1+SUP_VOLUMEN!$C$27)))*INDEX(SUP_C3_EXPANSION!$C$6:$F$6,MIN(4,COUNTIF(CAPA3_EXPANSION!$D$56:BT$56,"&gt;="&amp;25)))*CAPA3_EXPANSION!BT$36)</f>
        <v>3123.12</v>
      </c>
      <c r="BU32" s="298" t="n">
        <f aca="false">IF(COUNTIF(CAPA3_EXPANSION!$D$56:BU$56,"&gt;="&amp;25)=0,0,SUP_CONTROL!$C$8*IF($B32="V",1,IF($B32="D",(1+SUP_VOLUMEN!$C$26),(1+SUP_VOLUMEN!$C$27)))*INDEX(SUP_C3_EXPANSION!$C$6:$F$6,MIN(4,COUNTIF(CAPA3_EXPANSION!$D$56:BU$56,"&gt;="&amp;25)))*CAPA3_EXPANSION!BU$36)</f>
        <v>3843.84</v>
      </c>
      <c r="BV32" s="298" t="n">
        <f aca="false">IF(COUNTIF(CAPA3_EXPANSION!$D$56:BV$56,"&gt;="&amp;25)=0,0,SUP_CONTROL!$C$8*IF($B32="V",1,IF($B32="D",(1+SUP_VOLUMEN!$C$26),(1+SUP_VOLUMEN!$C$27)))*INDEX(SUP_C3_EXPANSION!$C$6:$F$6,MIN(4,COUNTIF(CAPA3_EXPANSION!$D$56:BV$56,"&gt;="&amp;25)))*CAPA3_EXPANSION!BV$36)</f>
        <v>4324.32</v>
      </c>
      <c r="BW32" s="298" t="n">
        <f aca="false">IF(COUNTIF(CAPA3_EXPANSION!$D$56:BW$56,"&gt;="&amp;25)=0,0,SUP_CONTROL!$C$8*IF($B32="V",1,IF($B32="D",(1+SUP_VOLUMEN!$C$26),(1+SUP_VOLUMEN!$C$27)))*INDEX(SUP_C3_EXPANSION!$C$6:$F$6,MIN(4,COUNTIF(CAPA3_EXPANSION!$D$56:BW$56,"&gt;="&amp;25)))*CAPA3_EXPANSION!BW$36)</f>
        <v>4722.9</v>
      </c>
      <c r="BX32" s="298" t="n">
        <f aca="false">IF(COUNTIF(CAPA3_EXPANSION!$D$56:BX$56,"&gt;="&amp;25)=0,0,SUP_CONTROL!$C$8*IF($B32="V",1,IF($B32="D",(1+SUP_VOLUMEN!$C$26),(1+SUP_VOLUMEN!$C$27)))*INDEX(SUP_C3_EXPANSION!$C$6:$F$6,MIN(4,COUNTIF(CAPA3_EXPANSION!$D$56:BX$56,"&gt;="&amp;25)))*CAPA3_EXPANSION!BX$36)</f>
        <v>4722.9</v>
      </c>
      <c r="BY32" s="298" t="n">
        <f aca="false">IF(COUNTIF(CAPA3_EXPANSION!$D$56:BY$56,"&gt;="&amp;25)=0,0,SUP_CONTROL!$C$8*IF($B32="V",1,IF($B32="D",(1+SUP_VOLUMEN!$C$26),(1+SUP_VOLUMEN!$C$27)))*INDEX(SUP_C3_EXPANSION!$C$6:$F$6,MIN(4,COUNTIF(CAPA3_EXPANSION!$D$56:BY$56,"&gt;="&amp;25)))*CAPA3_EXPANSION!BY$36)</f>
        <v>4722.9</v>
      </c>
      <c r="BZ32" s="298" t="n">
        <f aca="false">IF(COUNTIF(CAPA3_EXPANSION!$D$56:BZ$56,"&gt;="&amp;25)=0,0,SUP_CONTROL!$C$8*IF($B32="V",1,IF($B32="D",(1+SUP_VOLUMEN!$C$26),(1+SUP_VOLUMEN!$C$27)))*INDEX(SUP_C3_EXPANSION!$C$6:$F$6,MIN(4,COUNTIF(CAPA3_EXPANSION!$D$56:BZ$56,"&gt;="&amp;25)))*CAPA3_EXPANSION!BZ$36)</f>
        <v>4722.9</v>
      </c>
      <c r="CA32" s="298" t="n">
        <f aca="false">IF(COUNTIF(CAPA3_EXPANSION!$D$56:CA$56,"&gt;="&amp;25)=0,0,SUP_CONTROL!$C$8*IF($B32="V",1,IF($B32="D",(1+SUP_VOLUMEN!$C$26),(1+SUP_VOLUMEN!$C$27)))*INDEX(SUP_C3_EXPANSION!$C$6:$F$6,MIN(4,COUNTIF(CAPA3_EXPANSION!$D$56:CA$56,"&gt;="&amp;25)))*CAPA3_EXPANSION!CA$36)</f>
        <v>4722.9</v>
      </c>
      <c r="CB32" s="298" t="n">
        <f aca="false">IF(COUNTIF(CAPA3_EXPANSION!$D$56:CB$56,"&gt;="&amp;25)=0,0,SUP_CONTROL!$C$8*IF($B32="V",1,IF($B32="D",(1+SUP_VOLUMEN!$C$26),(1+SUP_VOLUMEN!$C$27)))*INDEX(SUP_C3_EXPANSION!$C$6:$F$6,MIN(4,COUNTIF(CAPA3_EXPANSION!$D$56:CB$56,"&gt;="&amp;25)))*CAPA3_EXPANSION!CB$36)</f>
        <v>4641</v>
      </c>
      <c r="CC32" s="298" t="n">
        <f aca="false">IF(COUNTIF(CAPA3_EXPANSION!$D$56:CC$56,"&gt;="&amp;25)=0,0,SUP_CONTROL!$C$8*IF($B32="V",1,IF($B32="D",(1+SUP_VOLUMEN!$C$26),(1+SUP_VOLUMEN!$C$27)))*INDEX(SUP_C3_EXPANSION!$C$6:$F$6,MIN(4,COUNTIF(CAPA3_EXPANSION!$D$56:CC$56,"&gt;="&amp;25)))*CAPA3_EXPANSION!CC$36)</f>
        <v>4641</v>
      </c>
      <c r="CD32" s="298" t="n">
        <f aca="false">IF(COUNTIF(CAPA3_EXPANSION!$D$56:CD$56,"&gt;="&amp;25)=0,0,SUP_CONTROL!$C$8*IF($B32="V",1,IF($B32="D",(1+SUP_VOLUMEN!$C$26),(1+SUP_VOLUMEN!$C$27)))*INDEX(SUP_C3_EXPANSION!$C$6:$F$6,MIN(4,COUNTIF(CAPA3_EXPANSION!$D$56:CD$56,"&gt;="&amp;25)))*CAPA3_EXPANSION!CD$36)</f>
        <v>4641</v>
      </c>
      <c r="CE32" s="298" t="n">
        <f aca="false">IF(COUNTIF(CAPA3_EXPANSION!$D$56:CE$56,"&gt;="&amp;25)=0,0,SUP_CONTROL!$C$8*IF($B32="V",1,IF($B32="D",(1+SUP_VOLUMEN!$C$26),(1+SUP_VOLUMEN!$C$27)))*INDEX(SUP_C3_EXPANSION!$C$6:$F$6,MIN(4,COUNTIF(CAPA3_EXPANSION!$D$56:CE$56,"&gt;="&amp;25)))*CAPA3_EXPANSION!CE$36)</f>
        <v>4641</v>
      </c>
      <c r="CF32" s="298" t="n">
        <f aca="false">IF(COUNTIF(CAPA3_EXPANSION!$D$56:CF$56,"&gt;="&amp;25)=0,0,SUP_CONTROL!$C$8*IF($B32="V",1,IF($B32="D",(1+SUP_VOLUMEN!$C$26),(1+SUP_VOLUMEN!$C$27)))*INDEX(SUP_C3_EXPANSION!$C$6:$F$6,MIN(4,COUNTIF(CAPA3_EXPANSION!$D$56:CF$56,"&gt;="&amp;25)))*CAPA3_EXPANSION!CF$36)</f>
        <v>4641</v>
      </c>
      <c r="CG32" s="298" t="n">
        <f aca="false">IF(COUNTIF(CAPA3_EXPANSION!$D$56:CG$56,"&gt;="&amp;25)=0,0,SUP_CONTROL!$C$8*IF($B32="V",1,IF($B32="D",(1+SUP_VOLUMEN!$C$26),(1+SUP_VOLUMEN!$C$27)))*INDEX(SUP_C3_EXPANSION!$C$6:$F$6,MIN(4,COUNTIF(CAPA3_EXPANSION!$D$56:CG$56,"&gt;="&amp;25)))*CAPA3_EXPANSION!CG$36)</f>
        <v>4586.4</v>
      </c>
      <c r="CH32" s="298" t="n">
        <f aca="false">IF(COUNTIF(CAPA3_EXPANSION!$D$56:CH$56,"&gt;="&amp;25)=0,0,SUP_CONTROL!$C$8*IF($B32="V",1,IF($B32="D",(1+SUP_VOLUMEN!$C$26),(1+SUP_VOLUMEN!$C$27)))*INDEX(SUP_C3_EXPANSION!$C$6:$F$6,MIN(4,COUNTIF(CAPA3_EXPANSION!$D$56:CH$56,"&gt;="&amp;25)))*CAPA3_EXPANSION!CH$36)</f>
        <v>4586.4</v>
      </c>
      <c r="CI32" s="298" t="n">
        <f aca="false">IF(COUNTIF(CAPA3_EXPANSION!$D$56:CI$56,"&gt;="&amp;25)=0,0,SUP_CONTROL!$C$8*IF($B32="V",1,IF($B32="D",(1+SUP_VOLUMEN!$C$26),(1+SUP_VOLUMEN!$C$27)))*INDEX(SUP_C3_EXPANSION!$C$6:$F$6,MIN(4,COUNTIF(CAPA3_EXPANSION!$D$56:CI$56,"&gt;="&amp;25)))*CAPA3_EXPANSION!CI$36)</f>
        <v>4586.4</v>
      </c>
      <c r="CJ32" s="298" t="n">
        <f aca="false">IF(COUNTIF(CAPA3_EXPANSION!$D$56:CJ$56,"&gt;="&amp;25)=0,0,SUP_CONTROL!$C$8*IF($B32="V",1,IF($B32="D",(1+SUP_VOLUMEN!$C$26),(1+SUP_VOLUMEN!$C$27)))*INDEX(SUP_C3_EXPANSION!$C$6:$F$6,MIN(4,COUNTIF(CAPA3_EXPANSION!$D$56:CJ$56,"&gt;="&amp;25)))*CAPA3_EXPANSION!CJ$36)</f>
        <v>4586.4</v>
      </c>
      <c r="CK32" s="298" t="n">
        <f aca="false">IF(COUNTIF(CAPA3_EXPANSION!$D$56:CK$56,"&gt;="&amp;25)=0,0,SUP_CONTROL!$C$8*IF($B32="V",1,IF($B32="D",(1+SUP_VOLUMEN!$C$26),(1+SUP_VOLUMEN!$C$27)))*INDEX(SUP_C3_EXPANSION!$C$6:$F$6,MIN(4,COUNTIF(CAPA3_EXPANSION!$D$56:CK$56,"&gt;="&amp;25)))*CAPA3_EXPANSION!CK$36)</f>
        <v>4586.4</v>
      </c>
      <c r="CL32" s="298" t="n">
        <f aca="false">IF(COUNTIF(CAPA3_EXPANSION!$D$56:CL$56,"&gt;="&amp;25)=0,0,SUP_CONTROL!$C$8*IF($B32="V",1,IF($B32="D",(1+SUP_VOLUMEN!$C$26),(1+SUP_VOLUMEN!$C$27)))*INDEX(SUP_C3_EXPANSION!$C$6:$F$6,MIN(4,COUNTIF(CAPA3_EXPANSION!$D$56:CL$56,"&gt;="&amp;25)))*CAPA3_EXPANSION!CL$36)</f>
        <v>4586.4</v>
      </c>
      <c r="CM32" s="298" t="n">
        <f aca="false">IF(COUNTIF(CAPA3_EXPANSION!$D$56:CM$56,"&gt;="&amp;25)=0,0,SUP_CONTROL!$C$8*IF($B32="V",1,IF($B32="D",(1+SUP_VOLUMEN!$C$26),(1+SUP_VOLUMEN!$C$27)))*INDEX(SUP_C3_EXPANSION!$C$6:$F$6,MIN(4,COUNTIF(CAPA3_EXPANSION!$D$56:CM$56,"&gt;="&amp;25)))*CAPA3_EXPANSION!CM$36)</f>
        <v>4586.4</v>
      </c>
      <c r="CN32" s="298" t="n">
        <f aca="false">IF(COUNTIF(CAPA3_EXPANSION!$D$56:CN$56,"&gt;="&amp;25)=0,0,SUP_CONTROL!$C$8*IF($B32="V",1,IF($B32="D",(1+SUP_VOLUMEN!$C$26),(1+SUP_VOLUMEN!$C$27)))*INDEX(SUP_C3_EXPANSION!$C$6:$F$6,MIN(4,COUNTIF(CAPA3_EXPANSION!$D$56:CN$56,"&gt;="&amp;25)))*CAPA3_EXPANSION!CN$36)</f>
        <v>4586.4</v>
      </c>
      <c r="CO32" s="298" t="n">
        <f aca="false">IF(COUNTIF(CAPA3_EXPANSION!$D$56:CO$56,"&gt;="&amp;25)=0,0,SUP_CONTROL!$C$8*IF($B32="V",1,IF($B32="D",(1+SUP_VOLUMEN!$C$26),(1+SUP_VOLUMEN!$C$27)))*INDEX(SUP_C3_EXPANSION!$C$6:$F$6,MIN(4,COUNTIF(CAPA3_EXPANSION!$D$56:CO$56,"&gt;="&amp;25)))*CAPA3_EXPANSION!CO$36)</f>
        <v>4586.4</v>
      </c>
      <c r="CP32" s="298" t="n">
        <f aca="false">IF(COUNTIF(CAPA3_EXPANSION!$D$56:CP$56,"&gt;="&amp;25)=0,0,SUP_CONTROL!$C$8*IF($B32="V",1,IF($B32="D",(1+SUP_VOLUMEN!$C$26),(1+SUP_VOLUMEN!$C$27)))*INDEX(SUP_C3_EXPANSION!$C$6:$F$6,MIN(4,COUNTIF(CAPA3_EXPANSION!$D$56:CP$56,"&gt;="&amp;25)))*CAPA3_EXPANSION!CP$36)</f>
        <v>4586.4</v>
      </c>
      <c r="CQ32" s="298" t="n">
        <f aca="false">IF(COUNTIF(CAPA3_EXPANSION!$D$56:CQ$56,"&gt;="&amp;25)=0,0,SUP_CONTROL!$C$8*IF($B32="V",1,IF($B32="D",(1+SUP_VOLUMEN!$C$26),(1+SUP_VOLUMEN!$C$27)))*INDEX(SUP_C3_EXPANSION!$C$6:$F$6,MIN(4,COUNTIF(CAPA3_EXPANSION!$D$56:CQ$56,"&gt;="&amp;25)))*CAPA3_EXPANSION!CQ$36)</f>
        <v>4586.4</v>
      </c>
      <c r="CR32" s="298" t="n">
        <f aca="false">IF(COUNTIF(CAPA3_EXPANSION!$D$56:CR$56,"&gt;="&amp;25)=0,0,SUP_CONTROL!$C$8*IF($B32="V",1,IF($B32="D",(1+SUP_VOLUMEN!$C$26),(1+SUP_VOLUMEN!$C$27)))*INDEX(SUP_C3_EXPANSION!$C$6:$F$6,MIN(4,COUNTIF(CAPA3_EXPANSION!$D$56:CR$56,"&gt;="&amp;25)))*CAPA3_EXPANSION!CR$36)</f>
        <v>4586.4</v>
      </c>
      <c r="CS32" s="298" t="n">
        <f aca="false">IF(COUNTIF(CAPA3_EXPANSION!$D$56:CS$56,"&gt;="&amp;25)=0,0,SUP_CONTROL!$C$8*IF($B32="V",1,IF($B32="D",(1+SUP_VOLUMEN!$C$26),(1+SUP_VOLUMEN!$C$27)))*INDEX(SUP_C3_EXPANSION!$C$6:$F$6,MIN(4,COUNTIF(CAPA3_EXPANSION!$D$56:CS$56,"&gt;="&amp;25)))*CAPA3_EXPANSION!CS$36)</f>
        <v>4586.4</v>
      </c>
      <c r="CT32" s="298" t="n">
        <f aca="false">IF(COUNTIF(CAPA3_EXPANSION!$D$56:CT$56,"&gt;="&amp;25)=0,0,SUP_CONTROL!$C$8*IF($B32="V",1,IF($B32="D",(1+SUP_VOLUMEN!$C$26),(1+SUP_VOLUMEN!$C$27)))*INDEX(SUP_C3_EXPANSION!$C$6:$F$6,MIN(4,COUNTIF(CAPA3_EXPANSION!$D$56:CT$56,"&gt;="&amp;25)))*CAPA3_EXPANSION!CT$36)</f>
        <v>4586.4</v>
      </c>
      <c r="CU32" s="298" t="n">
        <f aca="false">IF(COUNTIF(CAPA3_EXPANSION!$D$56:CU$56,"&gt;="&amp;25)=0,0,SUP_CONTROL!$C$8*IF($B32="V",1,IF($B32="D",(1+SUP_VOLUMEN!$C$26),(1+SUP_VOLUMEN!$C$27)))*INDEX(SUP_C3_EXPANSION!$C$6:$F$6,MIN(4,COUNTIF(CAPA3_EXPANSION!$D$56:CU$56,"&gt;="&amp;25)))*CAPA3_EXPANSION!CU$36)</f>
        <v>4586.4</v>
      </c>
      <c r="CV32" s="298" t="n">
        <f aca="false">IF(COUNTIF(CAPA3_EXPANSION!$D$56:CV$56,"&gt;="&amp;25)=0,0,SUP_CONTROL!$C$8*IF($B32="V",1,IF($B32="D",(1+SUP_VOLUMEN!$C$26),(1+SUP_VOLUMEN!$C$27)))*INDEX(SUP_C3_EXPANSION!$C$6:$F$6,MIN(4,COUNTIF(CAPA3_EXPANSION!$D$56:CV$56,"&gt;="&amp;25)))*CAPA3_EXPANSION!CV$36)</f>
        <v>4586.4</v>
      </c>
      <c r="CW32" s="298" t="n">
        <f aca="false">IF(COUNTIF(CAPA3_EXPANSION!$D$56:CW$56,"&gt;="&amp;25)=0,0,SUP_CONTROL!$C$8*IF($B32="V",1,IF($B32="D",(1+SUP_VOLUMEN!$C$26),(1+SUP_VOLUMEN!$C$27)))*INDEX(SUP_C3_EXPANSION!$C$6:$F$6,MIN(4,COUNTIF(CAPA3_EXPANSION!$D$56:CW$56,"&gt;="&amp;25)))*CAPA3_EXPANSION!CW$36)</f>
        <v>4586.4</v>
      </c>
      <c r="CX32" s="298" t="n">
        <f aca="false">IF(COUNTIF(CAPA3_EXPANSION!$D$56:CX$56,"&gt;="&amp;25)=0,0,SUP_CONTROL!$C$8*IF($B32="V",1,IF($B32="D",(1+SUP_VOLUMEN!$C$26),(1+SUP_VOLUMEN!$C$27)))*INDEX(SUP_C3_EXPANSION!$C$6:$F$6,MIN(4,COUNTIF(CAPA3_EXPANSION!$D$56:CX$56,"&gt;="&amp;25)))*CAPA3_EXPANSION!CX$36)</f>
        <v>4586.4</v>
      </c>
      <c r="CY32" s="298" t="n">
        <f aca="false">IF(COUNTIF(CAPA3_EXPANSION!$D$56:CY$56,"&gt;="&amp;25)=0,0,SUP_CONTROL!$C$8*IF($B32="V",1,IF($B32="D",(1+SUP_VOLUMEN!$C$26),(1+SUP_VOLUMEN!$C$27)))*INDEX(SUP_C3_EXPANSION!$C$6:$F$6,MIN(4,COUNTIF(CAPA3_EXPANSION!$D$56:CY$56,"&gt;="&amp;25)))*CAPA3_EXPANSION!CY$36)</f>
        <v>4586.4</v>
      </c>
      <c r="CZ32" s="298" t="n">
        <f aca="false">IF(COUNTIF(CAPA3_EXPANSION!$D$56:CZ$56,"&gt;="&amp;25)=0,0,SUP_CONTROL!$C$8*IF($B32="V",1,IF($B32="D",(1+SUP_VOLUMEN!$C$26),(1+SUP_VOLUMEN!$C$27)))*INDEX(SUP_C3_EXPANSION!$C$6:$F$6,MIN(4,COUNTIF(CAPA3_EXPANSION!$D$56:CZ$56,"&gt;="&amp;25)))*CAPA3_EXPANSION!CZ$36)</f>
        <v>4586.4</v>
      </c>
      <c r="DA32" s="298" t="n">
        <f aca="false">IF(COUNTIF(CAPA3_EXPANSION!$D$56:DA$56,"&gt;="&amp;25)=0,0,SUP_CONTROL!$C$8*IF($B32="V",1,IF($B32="D",(1+SUP_VOLUMEN!$C$26),(1+SUP_VOLUMEN!$C$27)))*INDEX(SUP_C3_EXPANSION!$C$6:$F$6,MIN(4,COUNTIF(CAPA3_EXPANSION!$D$56:DA$56,"&gt;="&amp;25)))*CAPA3_EXPANSION!DA$36)</f>
        <v>4586.4</v>
      </c>
      <c r="DB32" s="298" t="n">
        <f aca="false">IF(COUNTIF(CAPA3_EXPANSION!$D$56:DB$56,"&gt;="&amp;25)=0,0,SUP_CONTROL!$C$8*IF($B32="V",1,IF($B32="D",(1+SUP_VOLUMEN!$C$26),(1+SUP_VOLUMEN!$C$27)))*INDEX(SUP_C3_EXPANSION!$C$6:$F$6,MIN(4,COUNTIF(CAPA3_EXPANSION!$D$56:DB$56,"&gt;="&amp;25)))*CAPA3_EXPANSION!DB$36)</f>
        <v>4586.4</v>
      </c>
      <c r="DC32" s="298" t="n">
        <f aca="false">IF(COUNTIF(CAPA3_EXPANSION!$D$56:DC$56,"&gt;="&amp;25)=0,0,SUP_CONTROL!$C$8*IF($B32="V",1,IF($B32="D",(1+SUP_VOLUMEN!$C$26),(1+SUP_VOLUMEN!$C$27)))*INDEX(SUP_C3_EXPANSION!$C$6:$F$6,MIN(4,COUNTIF(CAPA3_EXPANSION!$D$56:DC$56,"&gt;="&amp;25)))*CAPA3_EXPANSION!DC$36)</f>
        <v>4586.4</v>
      </c>
      <c r="DD32" s="298" t="n">
        <f aca="false">IF(COUNTIF(CAPA3_EXPANSION!$D$56:DD$56,"&gt;="&amp;25)=0,0,SUP_CONTROL!$C$8*IF($B32="V",1,IF($B32="D",(1+SUP_VOLUMEN!$C$26),(1+SUP_VOLUMEN!$C$27)))*INDEX(SUP_C3_EXPANSION!$C$6:$F$6,MIN(4,COUNTIF(CAPA3_EXPANSION!$D$56:DD$56,"&gt;="&amp;25)))*CAPA3_EXPANSION!DD$36)</f>
        <v>4586.4</v>
      </c>
      <c r="DE32" s="298" t="n">
        <f aca="false">IF(COUNTIF(CAPA3_EXPANSION!$D$56:DE$56,"&gt;="&amp;25)=0,0,SUP_CONTROL!$C$8*IF($B32="V",1,IF($B32="D",(1+SUP_VOLUMEN!$C$26),(1+SUP_VOLUMEN!$C$27)))*INDEX(SUP_C3_EXPANSION!$C$6:$F$6,MIN(4,COUNTIF(CAPA3_EXPANSION!$D$56:DE$56,"&gt;="&amp;25)))*CAPA3_EXPANSION!DE$36)</f>
        <v>4586.4</v>
      </c>
      <c r="DF32" s="298" t="n">
        <f aca="false">IF(COUNTIF(CAPA3_EXPANSION!$D$56:DF$56,"&gt;="&amp;25)=0,0,SUP_CONTROL!$C$8*IF($B32="V",1,IF($B32="D",(1+SUP_VOLUMEN!$C$26),(1+SUP_VOLUMEN!$C$27)))*INDEX(SUP_C3_EXPANSION!$C$6:$F$6,MIN(4,COUNTIF(CAPA3_EXPANSION!$D$56:DF$56,"&gt;="&amp;25)))*CAPA3_EXPANSION!DF$36)</f>
        <v>4586.4</v>
      </c>
      <c r="DG32" s="298" t="n">
        <f aca="false">IF(COUNTIF(CAPA3_EXPANSION!$D$56:DG$56,"&gt;="&amp;25)=0,0,SUP_CONTROL!$C$8*IF($B32="V",1,IF($B32="D",(1+SUP_VOLUMEN!$C$26),(1+SUP_VOLUMEN!$C$27)))*INDEX(SUP_C3_EXPANSION!$C$6:$F$6,MIN(4,COUNTIF(CAPA3_EXPANSION!$D$56:DG$56,"&gt;="&amp;25)))*CAPA3_EXPANSION!DG$36)</f>
        <v>4586.4</v>
      </c>
      <c r="DH32" s="298" t="n">
        <f aca="false">IF(COUNTIF(CAPA3_EXPANSION!$D$56:DH$56,"&gt;="&amp;25)=0,0,SUP_CONTROL!$C$8*IF($B32="V",1,IF($B32="D",(1+SUP_VOLUMEN!$C$26),(1+SUP_VOLUMEN!$C$27)))*INDEX(SUP_C3_EXPANSION!$C$6:$F$6,MIN(4,COUNTIF(CAPA3_EXPANSION!$D$56:DH$56,"&gt;="&amp;25)))*CAPA3_EXPANSION!DH$36)</f>
        <v>4586.4</v>
      </c>
      <c r="DI32" s="298" t="n">
        <f aca="false">IF(COUNTIF(CAPA3_EXPANSION!$D$56:DI$56,"&gt;="&amp;25)=0,0,SUP_CONTROL!$C$8*IF($B32="V",1,IF($B32="D",(1+SUP_VOLUMEN!$C$26),(1+SUP_VOLUMEN!$C$27)))*INDEX(SUP_C3_EXPANSION!$C$6:$F$6,MIN(4,COUNTIF(CAPA3_EXPANSION!$D$56:DI$56,"&gt;="&amp;25)))*CAPA3_EXPANSION!DI$36)</f>
        <v>4586.4</v>
      </c>
      <c r="DJ32" s="298" t="n">
        <f aca="false">IF(COUNTIF(CAPA3_EXPANSION!$D$56:DJ$56,"&gt;="&amp;25)=0,0,SUP_CONTROL!$C$8*IF($B32="V",1,IF($B32="D",(1+SUP_VOLUMEN!$C$26),(1+SUP_VOLUMEN!$C$27)))*INDEX(SUP_C3_EXPANSION!$C$6:$F$6,MIN(4,COUNTIF(CAPA3_EXPANSION!$D$56:DJ$56,"&gt;="&amp;25)))*CAPA3_EXPANSION!DJ$36)</f>
        <v>4586.4</v>
      </c>
      <c r="DK32" s="298" t="n">
        <f aca="false">IF(COUNTIF(CAPA3_EXPANSION!$D$56:DK$56,"&gt;="&amp;25)=0,0,SUP_CONTROL!$C$8*IF($B32="V",1,IF($B32="D",(1+SUP_VOLUMEN!$C$26),(1+SUP_VOLUMEN!$C$27)))*INDEX(SUP_C3_EXPANSION!$C$6:$F$6,MIN(4,COUNTIF(CAPA3_EXPANSION!$D$56:DK$56,"&gt;="&amp;25)))*CAPA3_EXPANSION!DK$36)</f>
        <v>4586.4</v>
      </c>
      <c r="DL32" s="298" t="n">
        <f aca="false">IF(COUNTIF(CAPA3_EXPANSION!$D$56:DL$56,"&gt;="&amp;25)=0,0,SUP_CONTROL!$C$8*IF($B32="V",1,IF($B32="D",(1+SUP_VOLUMEN!$C$26),(1+SUP_VOLUMEN!$C$27)))*INDEX(SUP_C3_EXPANSION!$C$6:$F$6,MIN(4,COUNTIF(CAPA3_EXPANSION!$D$56:DL$56,"&gt;="&amp;25)))*CAPA3_EXPANSION!DL$36)</f>
        <v>4586.4</v>
      </c>
      <c r="DM32" s="298" t="n">
        <f aca="false">IF(COUNTIF(CAPA3_EXPANSION!$D$56:DM$56,"&gt;="&amp;25)=0,0,SUP_CONTROL!$C$8*IF($B32="V",1,IF($B32="D",(1+SUP_VOLUMEN!$C$26),(1+SUP_VOLUMEN!$C$27)))*INDEX(SUP_C3_EXPANSION!$C$6:$F$6,MIN(4,COUNTIF(CAPA3_EXPANSION!$D$56:DM$56,"&gt;="&amp;25)))*CAPA3_EXPANSION!DM$36)</f>
        <v>4586.4</v>
      </c>
      <c r="DN32" s="298" t="n">
        <f aca="false">IF(COUNTIF(CAPA3_EXPANSION!$D$56:DN$56,"&gt;="&amp;25)=0,0,SUP_CONTROL!$C$8*IF($B32="V",1,IF($B32="D",(1+SUP_VOLUMEN!$C$26),(1+SUP_VOLUMEN!$C$27)))*INDEX(SUP_C3_EXPANSION!$C$6:$F$6,MIN(4,COUNTIF(CAPA3_EXPANSION!$D$56:DN$56,"&gt;="&amp;25)))*CAPA3_EXPANSION!DN$36)</f>
        <v>4586.4</v>
      </c>
      <c r="DO32" s="298" t="n">
        <f aca="false">IF(COUNTIF(CAPA3_EXPANSION!$D$56:DO$56,"&gt;="&amp;25)=0,0,SUP_CONTROL!$C$8*IF($B32="V",1,IF($B32="D",(1+SUP_VOLUMEN!$C$26),(1+SUP_VOLUMEN!$C$27)))*INDEX(SUP_C3_EXPANSION!$C$6:$F$6,MIN(4,COUNTIF(CAPA3_EXPANSION!$D$56:DO$56,"&gt;="&amp;25)))*CAPA3_EXPANSION!DO$36)</f>
        <v>4586.4</v>
      </c>
      <c r="DP32" s="298" t="n">
        <f aca="false">IF(COUNTIF(CAPA3_EXPANSION!$D$56:DP$56,"&gt;="&amp;25)=0,0,SUP_CONTROL!$C$8*IF($B32="V",1,IF($B32="D",(1+SUP_VOLUMEN!$C$26),(1+SUP_VOLUMEN!$C$27)))*INDEX(SUP_C3_EXPANSION!$C$6:$F$6,MIN(4,COUNTIF(CAPA3_EXPANSION!$D$56:DP$56,"&gt;="&amp;25)))*CAPA3_EXPANSION!DP$36)</f>
        <v>4586.4</v>
      </c>
      <c r="DQ32" s="298" t="n">
        <f aca="false">IF(COUNTIF(CAPA3_EXPANSION!$D$56:DQ$56,"&gt;="&amp;25)=0,0,SUP_CONTROL!$C$8*IF($B32="V",1,IF($B32="D",(1+SUP_VOLUMEN!$C$26),(1+SUP_VOLUMEN!$C$27)))*INDEX(SUP_C3_EXPANSION!$C$6:$F$6,MIN(4,COUNTIF(CAPA3_EXPANSION!$D$56:DQ$56,"&gt;="&amp;25)))*CAPA3_EXPANSION!DQ$36)</f>
        <v>4586.4</v>
      </c>
      <c r="DR32" s="298" t="n">
        <f aca="false">IF(COUNTIF(CAPA3_EXPANSION!$D$56:DR$56,"&gt;="&amp;25)=0,0,SUP_CONTROL!$C$8*IF($B32="V",1,IF($B32="D",(1+SUP_VOLUMEN!$C$26),(1+SUP_VOLUMEN!$C$27)))*INDEX(SUP_C3_EXPANSION!$C$6:$F$6,MIN(4,COUNTIF(CAPA3_EXPANSION!$D$56:DR$56,"&gt;="&amp;25)))*CAPA3_EXPANSION!DR$36)</f>
        <v>4586.4</v>
      </c>
      <c r="DS32" s="298" t="n">
        <f aca="false">IF(COUNTIF(CAPA3_EXPANSION!$D$56:DS$56,"&gt;="&amp;25)=0,0,SUP_CONTROL!$C$8*IF($B32="V",1,IF($B32="D",(1+SUP_VOLUMEN!$C$26),(1+SUP_VOLUMEN!$C$27)))*INDEX(SUP_C3_EXPANSION!$C$6:$F$6,MIN(4,COUNTIF(CAPA3_EXPANSION!$D$56:DS$56,"&gt;="&amp;25)))*CAPA3_EXPANSION!DS$36)</f>
        <v>4586.4</v>
      </c>
    </row>
    <row r="33" customFormat="false" ht="15" hidden="false" customHeight="true" outlineLevel="0" collapsed="false">
      <c r="A33" s="298" t="n">
        <v>36</v>
      </c>
      <c r="B33" s="497" t="str">
        <f aca="false">SUP_C3_EXPANSION!B45</f>
        <v>V</v>
      </c>
      <c r="C33" s="267" t="n">
        <f aca="false">SUP_C3_EXPANSION!G45</f>
        <v>67</v>
      </c>
      <c r="D33" s="298" t="n">
        <f aca="false">IF(COUNTIF(CAPA3_EXPANSION!$D$56:D$56,"&gt;="&amp;26)=0,0,SUP_CONTROL!$C$8*IF($B33="V",1,IF($B33="D",(1+SUP_VOLUMEN!$C$26),(1+SUP_VOLUMEN!$C$27)))*INDEX(SUP_C3_EXPANSION!$C$6:$F$6,MIN(4,COUNTIF(CAPA3_EXPANSION!$D$56:D$56,"&gt;="&amp;26)))*CAPA3_EXPANSION!D$36)</f>
        <v>0</v>
      </c>
      <c r="E33" s="298" t="n">
        <f aca="false">IF(COUNTIF(CAPA3_EXPANSION!$D$56:E$56,"&gt;="&amp;26)=0,0,SUP_CONTROL!$C$8*IF($B33="V",1,IF($B33="D",(1+SUP_VOLUMEN!$C$26),(1+SUP_VOLUMEN!$C$27)))*INDEX(SUP_C3_EXPANSION!$C$6:$F$6,MIN(4,COUNTIF(CAPA3_EXPANSION!$D$56:E$56,"&gt;="&amp;26)))*CAPA3_EXPANSION!E$36)</f>
        <v>0</v>
      </c>
      <c r="F33" s="298" t="n">
        <f aca="false">IF(COUNTIF(CAPA3_EXPANSION!$D$56:F$56,"&gt;="&amp;26)=0,0,SUP_CONTROL!$C$8*IF($B33="V",1,IF($B33="D",(1+SUP_VOLUMEN!$C$26),(1+SUP_VOLUMEN!$C$27)))*INDEX(SUP_C3_EXPANSION!$C$6:$F$6,MIN(4,COUNTIF(CAPA3_EXPANSION!$D$56:F$56,"&gt;="&amp;26)))*CAPA3_EXPANSION!F$36)</f>
        <v>0</v>
      </c>
      <c r="G33" s="298" t="n">
        <f aca="false">IF(COUNTIF(CAPA3_EXPANSION!$D$56:G$56,"&gt;="&amp;26)=0,0,SUP_CONTROL!$C$8*IF($B33="V",1,IF($B33="D",(1+SUP_VOLUMEN!$C$26),(1+SUP_VOLUMEN!$C$27)))*INDEX(SUP_C3_EXPANSION!$C$6:$F$6,MIN(4,COUNTIF(CAPA3_EXPANSION!$D$56:G$56,"&gt;="&amp;26)))*CAPA3_EXPANSION!G$36)</f>
        <v>0</v>
      </c>
      <c r="H33" s="298" t="n">
        <f aca="false">IF(COUNTIF(CAPA3_EXPANSION!$D$56:H$56,"&gt;="&amp;26)=0,0,SUP_CONTROL!$C$8*IF($B33="V",1,IF($B33="D",(1+SUP_VOLUMEN!$C$26),(1+SUP_VOLUMEN!$C$27)))*INDEX(SUP_C3_EXPANSION!$C$6:$F$6,MIN(4,COUNTIF(CAPA3_EXPANSION!$D$56:H$56,"&gt;="&amp;26)))*CAPA3_EXPANSION!H$36)</f>
        <v>0</v>
      </c>
      <c r="I33" s="298" t="n">
        <f aca="false">IF(COUNTIF(CAPA3_EXPANSION!$D$56:I$56,"&gt;="&amp;26)=0,0,SUP_CONTROL!$C$8*IF($B33="V",1,IF($B33="D",(1+SUP_VOLUMEN!$C$26),(1+SUP_VOLUMEN!$C$27)))*INDEX(SUP_C3_EXPANSION!$C$6:$F$6,MIN(4,COUNTIF(CAPA3_EXPANSION!$D$56:I$56,"&gt;="&amp;26)))*CAPA3_EXPANSION!I$36)</f>
        <v>0</v>
      </c>
      <c r="J33" s="298" t="n">
        <f aca="false">IF(COUNTIF(CAPA3_EXPANSION!$D$56:J$56,"&gt;="&amp;26)=0,0,SUP_CONTROL!$C$8*IF($B33="V",1,IF($B33="D",(1+SUP_VOLUMEN!$C$26),(1+SUP_VOLUMEN!$C$27)))*INDEX(SUP_C3_EXPANSION!$C$6:$F$6,MIN(4,COUNTIF(CAPA3_EXPANSION!$D$56:J$56,"&gt;="&amp;26)))*CAPA3_EXPANSION!J$36)</f>
        <v>0</v>
      </c>
      <c r="K33" s="298" t="n">
        <f aca="false">IF(COUNTIF(CAPA3_EXPANSION!$D$56:K$56,"&gt;="&amp;26)=0,0,SUP_CONTROL!$C$8*IF($B33="V",1,IF($B33="D",(1+SUP_VOLUMEN!$C$26),(1+SUP_VOLUMEN!$C$27)))*INDEX(SUP_C3_EXPANSION!$C$6:$F$6,MIN(4,COUNTIF(CAPA3_EXPANSION!$D$56:K$56,"&gt;="&amp;26)))*CAPA3_EXPANSION!K$36)</f>
        <v>0</v>
      </c>
      <c r="L33" s="298" t="n">
        <f aca="false">IF(COUNTIF(CAPA3_EXPANSION!$D$56:L$56,"&gt;="&amp;26)=0,0,SUP_CONTROL!$C$8*IF($B33="V",1,IF($B33="D",(1+SUP_VOLUMEN!$C$26),(1+SUP_VOLUMEN!$C$27)))*INDEX(SUP_C3_EXPANSION!$C$6:$F$6,MIN(4,COUNTIF(CAPA3_EXPANSION!$D$56:L$56,"&gt;="&amp;26)))*CAPA3_EXPANSION!L$36)</f>
        <v>0</v>
      </c>
      <c r="M33" s="298" t="n">
        <f aca="false">IF(COUNTIF(CAPA3_EXPANSION!$D$56:M$56,"&gt;="&amp;26)=0,0,SUP_CONTROL!$C$8*IF($B33="V",1,IF($B33="D",(1+SUP_VOLUMEN!$C$26),(1+SUP_VOLUMEN!$C$27)))*INDEX(SUP_C3_EXPANSION!$C$6:$F$6,MIN(4,COUNTIF(CAPA3_EXPANSION!$D$56:M$56,"&gt;="&amp;26)))*CAPA3_EXPANSION!M$36)</f>
        <v>0</v>
      </c>
      <c r="N33" s="298" t="n">
        <f aca="false">IF(COUNTIF(CAPA3_EXPANSION!$D$56:N$56,"&gt;="&amp;26)=0,0,SUP_CONTROL!$C$8*IF($B33="V",1,IF($B33="D",(1+SUP_VOLUMEN!$C$26),(1+SUP_VOLUMEN!$C$27)))*INDEX(SUP_C3_EXPANSION!$C$6:$F$6,MIN(4,COUNTIF(CAPA3_EXPANSION!$D$56:N$56,"&gt;="&amp;26)))*CAPA3_EXPANSION!N$36)</f>
        <v>0</v>
      </c>
      <c r="O33" s="298" t="n">
        <f aca="false">IF(COUNTIF(CAPA3_EXPANSION!$D$56:O$56,"&gt;="&amp;26)=0,0,SUP_CONTROL!$C$8*IF($B33="V",1,IF($B33="D",(1+SUP_VOLUMEN!$C$26),(1+SUP_VOLUMEN!$C$27)))*INDEX(SUP_C3_EXPANSION!$C$6:$F$6,MIN(4,COUNTIF(CAPA3_EXPANSION!$D$56:O$56,"&gt;="&amp;26)))*CAPA3_EXPANSION!O$36)</f>
        <v>0</v>
      </c>
      <c r="P33" s="298" t="n">
        <f aca="false">IF(COUNTIF(CAPA3_EXPANSION!$D$56:P$56,"&gt;="&amp;26)=0,0,SUP_CONTROL!$C$8*IF($B33="V",1,IF($B33="D",(1+SUP_VOLUMEN!$C$26),(1+SUP_VOLUMEN!$C$27)))*INDEX(SUP_C3_EXPANSION!$C$6:$F$6,MIN(4,COUNTIF(CAPA3_EXPANSION!$D$56:P$56,"&gt;="&amp;26)))*CAPA3_EXPANSION!P$36)</f>
        <v>0</v>
      </c>
      <c r="Q33" s="298" t="n">
        <f aca="false">IF(COUNTIF(CAPA3_EXPANSION!$D$56:Q$56,"&gt;="&amp;26)=0,0,SUP_CONTROL!$C$8*IF($B33="V",1,IF($B33="D",(1+SUP_VOLUMEN!$C$26),(1+SUP_VOLUMEN!$C$27)))*INDEX(SUP_C3_EXPANSION!$C$6:$F$6,MIN(4,COUNTIF(CAPA3_EXPANSION!$D$56:Q$56,"&gt;="&amp;26)))*CAPA3_EXPANSION!Q$36)</f>
        <v>0</v>
      </c>
      <c r="R33" s="298" t="n">
        <f aca="false">IF(COUNTIF(CAPA3_EXPANSION!$D$56:R$56,"&gt;="&amp;26)=0,0,SUP_CONTROL!$C$8*IF($B33="V",1,IF($B33="D",(1+SUP_VOLUMEN!$C$26),(1+SUP_VOLUMEN!$C$27)))*INDEX(SUP_C3_EXPANSION!$C$6:$F$6,MIN(4,COUNTIF(CAPA3_EXPANSION!$D$56:R$56,"&gt;="&amp;26)))*CAPA3_EXPANSION!R$36)</f>
        <v>0</v>
      </c>
      <c r="S33" s="298" t="n">
        <f aca="false">IF(COUNTIF(CAPA3_EXPANSION!$D$56:S$56,"&gt;="&amp;26)=0,0,SUP_CONTROL!$C$8*IF($B33="V",1,IF($B33="D",(1+SUP_VOLUMEN!$C$26),(1+SUP_VOLUMEN!$C$27)))*INDEX(SUP_C3_EXPANSION!$C$6:$F$6,MIN(4,COUNTIF(CAPA3_EXPANSION!$D$56:S$56,"&gt;="&amp;26)))*CAPA3_EXPANSION!S$36)</f>
        <v>0</v>
      </c>
      <c r="T33" s="298" t="n">
        <f aca="false">IF(COUNTIF(CAPA3_EXPANSION!$D$56:T$56,"&gt;="&amp;26)=0,0,SUP_CONTROL!$C$8*IF($B33="V",1,IF($B33="D",(1+SUP_VOLUMEN!$C$26),(1+SUP_VOLUMEN!$C$27)))*INDEX(SUP_C3_EXPANSION!$C$6:$F$6,MIN(4,COUNTIF(CAPA3_EXPANSION!$D$56:T$56,"&gt;="&amp;26)))*CAPA3_EXPANSION!T$36)</f>
        <v>0</v>
      </c>
      <c r="U33" s="298" t="n">
        <f aca="false">IF(COUNTIF(CAPA3_EXPANSION!$D$56:U$56,"&gt;="&amp;26)=0,0,SUP_CONTROL!$C$8*IF($B33="V",1,IF($B33="D",(1+SUP_VOLUMEN!$C$26),(1+SUP_VOLUMEN!$C$27)))*INDEX(SUP_C3_EXPANSION!$C$6:$F$6,MIN(4,COUNTIF(CAPA3_EXPANSION!$D$56:U$56,"&gt;="&amp;26)))*CAPA3_EXPANSION!U$36)</f>
        <v>0</v>
      </c>
      <c r="V33" s="298" t="n">
        <f aca="false">IF(COUNTIF(CAPA3_EXPANSION!$D$56:V$56,"&gt;="&amp;26)=0,0,SUP_CONTROL!$C$8*IF($B33="V",1,IF($B33="D",(1+SUP_VOLUMEN!$C$26),(1+SUP_VOLUMEN!$C$27)))*INDEX(SUP_C3_EXPANSION!$C$6:$F$6,MIN(4,COUNTIF(CAPA3_EXPANSION!$D$56:V$56,"&gt;="&amp;26)))*CAPA3_EXPANSION!V$36)</f>
        <v>0</v>
      </c>
      <c r="W33" s="298" t="n">
        <f aca="false">IF(COUNTIF(CAPA3_EXPANSION!$D$56:W$56,"&gt;="&amp;26)=0,0,SUP_CONTROL!$C$8*IF($B33="V",1,IF($B33="D",(1+SUP_VOLUMEN!$C$26),(1+SUP_VOLUMEN!$C$27)))*INDEX(SUP_C3_EXPANSION!$C$6:$F$6,MIN(4,COUNTIF(CAPA3_EXPANSION!$D$56:W$56,"&gt;="&amp;26)))*CAPA3_EXPANSION!W$36)</f>
        <v>0</v>
      </c>
      <c r="X33" s="298" t="n">
        <f aca="false">IF(COUNTIF(CAPA3_EXPANSION!$D$56:X$56,"&gt;="&amp;26)=0,0,SUP_CONTROL!$C$8*IF($B33="V",1,IF($B33="D",(1+SUP_VOLUMEN!$C$26),(1+SUP_VOLUMEN!$C$27)))*INDEX(SUP_C3_EXPANSION!$C$6:$F$6,MIN(4,COUNTIF(CAPA3_EXPANSION!$D$56:X$56,"&gt;="&amp;26)))*CAPA3_EXPANSION!X$36)</f>
        <v>0</v>
      </c>
      <c r="Y33" s="298" t="n">
        <f aca="false">IF(COUNTIF(CAPA3_EXPANSION!$D$56:Y$56,"&gt;="&amp;26)=0,0,SUP_CONTROL!$C$8*IF($B33="V",1,IF($B33="D",(1+SUP_VOLUMEN!$C$26),(1+SUP_VOLUMEN!$C$27)))*INDEX(SUP_C3_EXPANSION!$C$6:$F$6,MIN(4,COUNTIF(CAPA3_EXPANSION!$D$56:Y$56,"&gt;="&amp;26)))*CAPA3_EXPANSION!Y$36)</f>
        <v>0</v>
      </c>
      <c r="Z33" s="298" t="n">
        <f aca="false">IF(COUNTIF(CAPA3_EXPANSION!$D$56:Z$56,"&gt;="&amp;26)=0,0,SUP_CONTROL!$C$8*IF($B33="V",1,IF($B33="D",(1+SUP_VOLUMEN!$C$26),(1+SUP_VOLUMEN!$C$27)))*INDEX(SUP_C3_EXPANSION!$C$6:$F$6,MIN(4,COUNTIF(CAPA3_EXPANSION!$D$56:Z$56,"&gt;="&amp;26)))*CAPA3_EXPANSION!Z$36)</f>
        <v>0</v>
      </c>
      <c r="AA33" s="298" t="n">
        <f aca="false">IF(COUNTIF(CAPA3_EXPANSION!$D$56:AA$56,"&gt;="&amp;26)=0,0,SUP_CONTROL!$C$8*IF($B33="V",1,IF($B33="D",(1+SUP_VOLUMEN!$C$26),(1+SUP_VOLUMEN!$C$27)))*INDEX(SUP_C3_EXPANSION!$C$6:$F$6,MIN(4,COUNTIF(CAPA3_EXPANSION!$D$56:AA$56,"&gt;="&amp;26)))*CAPA3_EXPANSION!AA$36)</f>
        <v>0</v>
      </c>
      <c r="AB33" s="298" t="n">
        <f aca="false">IF(COUNTIF(CAPA3_EXPANSION!$D$56:AB$56,"&gt;="&amp;26)=0,0,SUP_CONTROL!$C$8*IF($B33="V",1,IF($B33="D",(1+SUP_VOLUMEN!$C$26),(1+SUP_VOLUMEN!$C$27)))*INDEX(SUP_C3_EXPANSION!$C$6:$F$6,MIN(4,COUNTIF(CAPA3_EXPANSION!$D$56:AB$56,"&gt;="&amp;26)))*CAPA3_EXPANSION!AB$36)</f>
        <v>0</v>
      </c>
      <c r="AC33" s="298" t="n">
        <f aca="false">IF(COUNTIF(CAPA3_EXPANSION!$D$56:AC$56,"&gt;="&amp;26)=0,0,SUP_CONTROL!$C$8*IF($B33="V",1,IF($B33="D",(1+SUP_VOLUMEN!$C$26),(1+SUP_VOLUMEN!$C$27)))*INDEX(SUP_C3_EXPANSION!$C$6:$F$6,MIN(4,COUNTIF(CAPA3_EXPANSION!$D$56:AC$56,"&gt;="&amp;26)))*CAPA3_EXPANSION!AC$36)</f>
        <v>0</v>
      </c>
      <c r="AD33" s="298" t="n">
        <f aca="false">IF(COUNTIF(CAPA3_EXPANSION!$D$56:AD$56,"&gt;="&amp;26)=0,0,SUP_CONTROL!$C$8*IF($B33="V",1,IF($B33="D",(1+SUP_VOLUMEN!$C$26),(1+SUP_VOLUMEN!$C$27)))*INDEX(SUP_C3_EXPANSION!$C$6:$F$6,MIN(4,COUNTIF(CAPA3_EXPANSION!$D$56:AD$56,"&gt;="&amp;26)))*CAPA3_EXPANSION!AD$36)</f>
        <v>0</v>
      </c>
      <c r="AE33" s="298" t="n">
        <f aca="false">IF(COUNTIF(CAPA3_EXPANSION!$D$56:AE$56,"&gt;="&amp;26)=0,0,SUP_CONTROL!$C$8*IF($B33="V",1,IF($B33="D",(1+SUP_VOLUMEN!$C$26),(1+SUP_VOLUMEN!$C$27)))*INDEX(SUP_C3_EXPANSION!$C$6:$F$6,MIN(4,COUNTIF(CAPA3_EXPANSION!$D$56:AE$56,"&gt;="&amp;26)))*CAPA3_EXPANSION!AE$36)</f>
        <v>0</v>
      </c>
      <c r="AF33" s="298" t="n">
        <f aca="false">IF(COUNTIF(CAPA3_EXPANSION!$D$56:AF$56,"&gt;="&amp;26)=0,0,SUP_CONTROL!$C$8*IF($B33="V",1,IF($B33="D",(1+SUP_VOLUMEN!$C$26),(1+SUP_VOLUMEN!$C$27)))*INDEX(SUP_C3_EXPANSION!$C$6:$F$6,MIN(4,COUNTIF(CAPA3_EXPANSION!$D$56:AF$56,"&gt;="&amp;26)))*CAPA3_EXPANSION!AF$36)</f>
        <v>0</v>
      </c>
      <c r="AG33" s="298" t="n">
        <f aca="false">IF(COUNTIF(CAPA3_EXPANSION!$D$56:AG$56,"&gt;="&amp;26)=0,0,SUP_CONTROL!$C$8*IF($B33="V",1,IF($B33="D",(1+SUP_VOLUMEN!$C$26),(1+SUP_VOLUMEN!$C$27)))*INDEX(SUP_C3_EXPANSION!$C$6:$F$6,MIN(4,COUNTIF(CAPA3_EXPANSION!$D$56:AG$56,"&gt;="&amp;26)))*CAPA3_EXPANSION!AG$36)</f>
        <v>0</v>
      </c>
      <c r="AH33" s="298" t="n">
        <f aca="false">IF(COUNTIF(CAPA3_EXPANSION!$D$56:AH$56,"&gt;="&amp;26)=0,0,SUP_CONTROL!$C$8*IF($B33="V",1,IF($B33="D",(1+SUP_VOLUMEN!$C$26),(1+SUP_VOLUMEN!$C$27)))*INDEX(SUP_C3_EXPANSION!$C$6:$F$6,MIN(4,COUNTIF(CAPA3_EXPANSION!$D$56:AH$56,"&gt;="&amp;26)))*CAPA3_EXPANSION!AH$36)</f>
        <v>0</v>
      </c>
      <c r="AI33" s="298" t="n">
        <f aca="false">IF(COUNTIF(CAPA3_EXPANSION!$D$56:AI$56,"&gt;="&amp;26)=0,0,SUP_CONTROL!$C$8*IF($B33="V",1,IF($B33="D",(1+SUP_VOLUMEN!$C$26),(1+SUP_VOLUMEN!$C$27)))*INDEX(SUP_C3_EXPANSION!$C$6:$F$6,MIN(4,COUNTIF(CAPA3_EXPANSION!$D$56:AI$56,"&gt;="&amp;26)))*CAPA3_EXPANSION!AI$36)</f>
        <v>0</v>
      </c>
      <c r="AJ33" s="298" t="n">
        <f aca="false">IF(COUNTIF(CAPA3_EXPANSION!$D$56:AJ$56,"&gt;="&amp;26)=0,0,SUP_CONTROL!$C$8*IF($B33="V",1,IF($B33="D",(1+SUP_VOLUMEN!$C$26),(1+SUP_VOLUMEN!$C$27)))*INDEX(SUP_C3_EXPANSION!$C$6:$F$6,MIN(4,COUNTIF(CAPA3_EXPANSION!$D$56:AJ$56,"&gt;="&amp;26)))*CAPA3_EXPANSION!AJ$36)</f>
        <v>0</v>
      </c>
      <c r="AK33" s="298" t="n">
        <f aca="false">IF(COUNTIF(CAPA3_EXPANSION!$D$56:AK$56,"&gt;="&amp;26)=0,0,SUP_CONTROL!$C$8*IF($B33="V",1,IF($B33="D",(1+SUP_VOLUMEN!$C$26),(1+SUP_VOLUMEN!$C$27)))*INDEX(SUP_C3_EXPANSION!$C$6:$F$6,MIN(4,COUNTIF(CAPA3_EXPANSION!$D$56:AK$56,"&gt;="&amp;26)))*CAPA3_EXPANSION!AK$36)</f>
        <v>0</v>
      </c>
      <c r="AL33" s="298" t="n">
        <f aca="false">IF(COUNTIF(CAPA3_EXPANSION!$D$56:AL$56,"&gt;="&amp;26)=0,0,SUP_CONTROL!$C$8*IF($B33="V",1,IF($B33="D",(1+SUP_VOLUMEN!$C$26),(1+SUP_VOLUMEN!$C$27)))*INDEX(SUP_C3_EXPANSION!$C$6:$F$6,MIN(4,COUNTIF(CAPA3_EXPANSION!$D$56:AL$56,"&gt;="&amp;26)))*CAPA3_EXPANSION!AL$36)</f>
        <v>0</v>
      </c>
      <c r="AM33" s="298" t="n">
        <f aca="false">IF(COUNTIF(CAPA3_EXPANSION!$D$56:AM$56,"&gt;="&amp;26)=0,0,SUP_CONTROL!$C$8*IF($B33="V",1,IF($B33="D",(1+SUP_VOLUMEN!$C$26),(1+SUP_VOLUMEN!$C$27)))*INDEX(SUP_C3_EXPANSION!$C$6:$F$6,MIN(4,COUNTIF(CAPA3_EXPANSION!$D$56:AM$56,"&gt;="&amp;26)))*CAPA3_EXPANSION!AM$36)</f>
        <v>0</v>
      </c>
      <c r="AN33" s="298" t="n">
        <f aca="false">IF(COUNTIF(CAPA3_EXPANSION!$D$56:AN$56,"&gt;="&amp;26)=0,0,SUP_CONTROL!$C$8*IF($B33="V",1,IF($B33="D",(1+SUP_VOLUMEN!$C$26),(1+SUP_VOLUMEN!$C$27)))*INDEX(SUP_C3_EXPANSION!$C$6:$F$6,MIN(4,COUNTIF(CAPA3_EXPANSION!$D$56:AN$56,"&gt;="&amp;26)))*CAPA3_EXPANSION!AN$36)</f>
        <v>0</v>
      </c>
      <c r="AO33" s="298" t="n">
        <f aca="false">IF(COUNTIF(CAPA3_EXPANSION!$D$56:AO$56,"&gt;="&amp;26)=0,0,SUP_CONTROL!$C$8*IF($B33="V",1,IF($B33="D",(1+SUP_VOLUMEN!$C$26),(1+SUP_VOLUMEN!$C$27)))*INDEX(SUP_C3_EXPANSION!$C$6:$F$6,MIN(4,COUNTIF(CAPA3_EXPANSION!$D$56:AO$56,"&gt;="&amp;26)))*CAPA3_EXPANSION!AO$36)</f>
        <v>0</v>
      </c>
      <c r="AP33" s="298" t="n">
        <f aca="false">IF(COUNTIF(CAPA3_EXPANSION!$D$56:AP$56,"&gt;="&amp;26)=0,0,SUP_CONTROL!$C$8*IF($B33="V",1,IF($B33="D",(1+SUP_VOLUMEN!$C$26),(1+SUP_VOLUMEN!$C$27)))*INDEX(SUP_C3_EXPANSION!$C$6:$F$6,MIN(4,COUNTIF(CAPA3_EXPANSION!$D$56:AP$56,"&gt;="&amp;26)))*CAPA3_EXPANSION!AP$36)</f>
        <v>0</v>
      </c>
      <c r="AQ33" s="298" t="n">
        <f aca="false">IF(COUNTIF(CAPA3_EXPANSION!$D$56:AQ$56,"&gt;="&amp;26)=0,0,SUP_CONTROL!$C$8*IF($B33="V",1,IF($B33="D",(1+SUP_VOLUMEN!$C$26),(1+SUP_VOLUMEN!$C$27)))*INDEX(SUP_C3_EXPANSION!$C$6:$F$6,MIN(4,COUNTIF(CAPA3_EXPANSION!$D$56:AQ$56,"&gt;="&amp;26)))*CAPA3_EXPANSION!AQ$36)</f>
        <v>0</v>
      </c>
      <c r="AR33" s="298" t="n">
        <f aca="false">IF(COUNTIF(CAPA3_EXPANSION!$D$56:AR$56,"&gt;="&amp;26)=0,0,SUP_CONTROL!$C$8*IF($B33="V",1,IF($B33="D",(1+SUP_VOLUMEN!$C$26),(1+SUP_VOLUMEN!$C$27)))*INDEX(SUP_C3_EXPANSION!$C$6:$F$6,MIN(4,COUNTIF(CAPA3_EXPANSION!$D$56:AR$56,"&gt;="&amp;26)))*CAPA3_EXPANSION!AR$36)</f>
        <v>0</v>
      </c>
      <c r="AS33" s="298" t="n">
        <f aca="false">IF(COUNTIF(CAPA3_EXPANSION!$D$56:AS$56,"&gt;="&amp;26)=0,0,SUP_CONTROL!$C$8*IF($B33="V",1,IF($B33="D",(1+SUP_VOLUMEN!$C$26),(1+SUP_VOLUMEN!$C$27)))*INDEX(SUP_C3_EXPANSION!$C$6:$F$6,MIN(4,COUNTIF(CAPA3_EXPANSION!$D$56:AS$56,"&gt;="&amp;26)))*CAPA3_EXPANSION!AS$36)</f>
        <v>0</v>
      </c>
      <c r="AT33" s="298" t="n">
        <f aca="false">IF(COUNTIF(CAPA3_EXPANSION!$D$56:AT$56,"&gt;="&amp;26)=0,0,SUP_CONTROL!$C$8*IF($B33="V",1,IF($B33="D",(1+SUP_VOLUMEN!$C$26),(1+SUP_VOLUMEN!$C$27)))*INDEX(SUP_C3_EXPANSION!$C$6:$F$6,MIN(4,COUNTIF(CAPA3_EXPANSION!$D$56:AT$56,"&gt;="&amp;26)))*CAPA3_EXPANSION!AT$36)</f>
        <v>0</v>
      </c>
      <c r="AU33" s="298" t="n">
        <f aca="false">IF(COUNTIF(CAPA3_EXPANSION!$D$56:AU$56,"&gt;="&amp;26)=0,0,SUP_CONTROL!$C$8*IF($B33="V",1,IF($B33="D",(1+SUP_VOLUMEN!$C$26),(1+SUP_VOLUMEN!$C$27)))*INDEX(SUP_C3_EXPANSION!$C$6:$F$6,MIN(4,COUNTIF(CAPA3_EXPANSION!$D$56:AU$56,"&gt;="&amp;26)))*CAPA3_EXPANSION!AU$36)</f>
        <v>0</v>
      </c>
      <c r="AV33" s="298" t="n">
        <f aca="false">IF(COUNTIF(CAPA3_EXPANSION!$D$56:AV$56,"&gt;="&amp;26)=0,0,SUP_CONTROL!$C$8*IF($B33="V",1,IF($B33="D",(1+SUP_VOLUMEN!$C$26),(1+SUP_VOLUMEN!$C$27)))*INDEX(SUP_C3_EXPANSION!$C$6:$F$6,MIN(4,COUNTIF(CAPA3_EXPANSION!$D$56:AV$56,"&gt;="&amp;26)))*CAPA3_EXPANSION!AV$36)</f>
        <v>0</v>
      </c>
      <c r="AW33" s="298" t="n">
        <f aca="false">IF(COUNTIF(CAPA3_EXPANSION!$D$56:AW$56,"&gt;="&amp;26)=0,0,SUP_CONTROL!$C$8*IF($B33="V",1,IF($B33="D",(1+SUP_VOLUMEN!$C$26),(1+SUP_VOLUMEN!$C$27)))*INDEX(SUP_C3_EXPANSION!$C$6:$F$6,MIN(4,COUNTIF(CAPA3_EXPANSION!$D$56:AW$56,"&gt;="&amp;26)))*CAPA3_EXPANSION!AW$36)</f>
        <v>0</v>
      </c>
      <c r="AX33" s="298" t="n">
        <f aca="false">IF(COUNTIF(CAPA3_EXPANSION!$D$56:AX$56,"&gt;="&amp;26)=0,0,SUP_CONTROL!$C$8*IF($B33="V",1,IF($B33="D",(1+SUP_VOLUMEN!$C$26),(1+SUP_VOLUMEN!$C$27)))*INDEX(SUP_C3_EXPANSION!$C$6:$F$6,MIN(4,COUNTIF(CAPA3_EXPANSION!$D$56:AX$56,"&gt;="&amp;26)))*CAPA3_EXPANSION!AX$36)</f>
        <v>0</v>
      </c>
      <c r="AY33" s="298" t="n">
        <f aca="false">IF(COUNTIF(CAPA3_EXPANSION!$D$56:AY$56,"&gt;="&amp;26)=0,0,SUP_CONTROL!$C$8*IF($B33="V",1,IF($B33="D",(1+SUP_VOLUMEN!$C$26),(1+SUP_VOLUMEN!$C$27)))*INDEX(SUP_C3_EXPANSION!$C$6:$F$6,MIN(4,COUNTIF(CAPA3_EXPANSION!$D$56:AY$56,"&gt;="&amp;26)))*CAPA3_EXPANSION!AY$36)</f>
        <v>0</v>
      </c>
      <c r="AZ33" s="298" t="n">
        <f aca="false">IF(COUNTIF(CAPA3_EXPANSION!$D$56:AZ$56,"&gt;="&amp;26)=0,0,SUP_CONTROL!$C$8*IF($B33="V",1,IF($B33="D",(1+SUP_VOLUMEN!$C$26),(1+SUP_VOLUMEN!$C$27)))*INDEX(SUP_C3_EXPANSION!$C$6:$F$6,MIN(4,COUNTIF(CAPA3_EXPANSION!$D$56:AZ$56,"&gt;="&amp;26)))*CAPA3_EXPANSION!AZ$36)</f>
        <v>0</v>
      </c>
      <c r="BA33" s="298" t="n">
        <f aca="false">IF(COUNTIF(CAPA3_EXPANSION!$D$56:BA$56,"&gt;="&amp;26)=0,0,SUP_CONTROL!$C$8*IF($B33="V",1,IF($B33="D",(1+SUP_VOLUMEN!$C$26),(1+SUP_VOLUMEN!$C$27)))*INDEX(SUP_C3_EXPANSION!$C$6:$F$6,MIN(4,COUNTIF(CAPA3_EXPANSION!$D$56:BA$56,"&gt;="&amp;26)))*CAPA3_EXPANSION!BA$36)</f>
        <v>0</v>
      </c>
      <c r="BB33" s="298" t="n">
        <f aca="false">IF(COUNTIF(CAPA3_EXPANSION!$D$56:BB$56,"&gt;="&amp;26)=0,0,SUP_CONTROL!$C$8*IF($B33="V",1,IF($B33="D",(1+SUP_VOLUMEN!$C$26),(1+SUP_VOLUMEN!$C$27)))*INDEX(SUP_C3_EXPANSION!$C$6:$F$6,MIN(4,COUNTIF(CAPA3_EXPANSION!$D$56:BB$56,"&gt;="&amp;26)))*CAPA3_EXPANSION!BB$36)</f>
        <v>0</v>
      </c>
      <c r="BC33" s="298" t="n">
        <f aca="false">IF(COUNTIF(CAPA3_EXPANSION!$D$56:BC$56,"&gt;="&amp;26)=0,0,SUP_CONTROL!$C$8*IF($B33="V",1,IF($B33="D",(1+SUP_VOLUMEN!$C$26),(1+SUP_VOLUMEN!$C$27)))*INDEX(SUP_C3_EXPANSION!$C$6:$F$6,MIN(4,COUNTIF(CAPA3_EXPANSION!$D$56:BC$56,"&gt;="&amp;26)))*CAPA3_EXPANSION!BC$36)</f>
        <v>0</v>
      </c>
      <c r="BD33" s="298" t="n">
        <f aca="false">IF(COUNTIF(CAPA3_EXPANSION!$D$56:BD$56,"&gt;="&amp;26)=0,0,SUP_CONTROL!$C$8*IF($B33="V",1,IF($B33="D",(1+SUP_VOLUMEN!$C$26),(1+SUP_VOLUMEN!$C$27)))*INDEX(SUP_C3_EXPANSION!$C$6:$F$6,MIN(4,COUNTIF(CAPA3_EXPANSION!$D$56:BD$56,"&gt;="&amp;26)))*CAPA3_EXPANSION!BD$36)</f>
        <v>0</v>
      </c>
      <c r="BE33" s="298" t="n">
        <f aca="false">IF(COUNTIF(CAPA3_EXPANSION!$D$56:BE$56,"&gt;="&amp;26)=0,0,SUP_CONTROL!$C$8*IF($B33="V",1,IF($B33="D",(1+SUP_VOLUMEN!$C$26),(1+SUP_VOLUMEN!$C$27)))*INDEX(SUP_C3_EXPANSION!$C$6:$F$6,MIN(4,COUNTIF(CAPA3_EXPANSION!$D$56:BE$56,"&gt;="&amp;26)))*CAPA3_EXPANSION!BE$36)</f>
        <v>0</v>
      </c>
      <c r="BF33" s="298" t="n">
        <f aca="false">IF(COUNTIF(CAPA3_EXPANSION!$D$56:BF$56,"&gt;="&amp;26)=0,0,SUP_CONTROL!$C$8*IF($B33="V",1,IF($B33="D",(1+SUP_VOLUMEN!$C$26),(1+SUP_VOLUMEN!$C$27)))*INDEX(SUP_C3_EXPANSION!$C$6:$F$6,MIN(4,COUNTIF(CAPA3_EXPANSION!$D$56:BF$56,"&gt;="&amp;26)))*CAPA3_EXPANSION!BF$36)</f>
        <v>0</v>
      </c>
      <c r="BG33" s="298" t="n">
        <f aca="false">IF(COUNTIF(CAPA3_EXPANSION!$D$56:BG$56,"&gt;="&amp;26)=0,0,SUP_CONTROL!$C$8*IF($B33="V",1,IF($B33="D",(1+SUP_VOLUMEN!$C$26),(1+SUP_VOLUMEN!$C$27)))*INDEX(SUP_C3_EXPANSION!$C$6:$F$6,MIN(4,COUNTIF(CAPA3_EXPANSION!$D$56:BG$56,"&gt;="&amp;26)))*CAPA3_EXPANSION!BG$36)</f>
        <v>0</v>
      </c>
      <c r="BH33" s="298" t="n">
        <f aca="false">IF(COUNTIF(CAPA3_EXPANSION!$D$56:BH$56,"&gt;="&amp;26)=0,0,SUP_CONTROL!$C$8*IF($B33="V",1,IF($B33="D",(1+SUP_VOLUMEN!$C$26),(1+SUP_VOLUMEN!$C$27)))*INDEX(SUP_C3_EXPANSION!$C$6:$F$6,MIN(4,COUNTIF(CAPA3_EXPANSION!$D$56:BH$56,"&gt;="&amp;26)))*CAPA3_EXPANSION!BH$36)</f>
        <v>0</v>
      </c>
      <c r="BI33" s="298" t="n">
        <f aca="false">IF(COUNTIF(CAPA3_EXPANSION!$D$56:BI$56,"&gt;="&amp;26)=0,0,SUP_CONTROL!$C$8*IF($B33="V",1,IF($B33="D",(1+SUP_VOLUMEN!$C$26),(1+SUP_VOLUMEN!$C$27)))*INDEX(SUP_C3_EXPANSION!$C$6:$F$6,MIN(4,COUNTIF(CAPA3_EXPANSION!$D$56:BI$56,"&gt;="&amp;26)))*CAPA3_EXPANSION!BI$36)</f>
        <v>0</v>
      </c>
      <c r="BJ33" s="298" t="n">
        <f aca="false">IF(COUNTIF(CAPA3_EXPANSION!$D$56:BJ$56,"&gt;="&amp;26)=0,0,SUP_CONTROL!$C$8*IF($B33="V",1,IF($B33="D",(1+SUP_VOLUMEN!$C$26),(1+SUP_VOLUMEN!$C$27)))*INDEX(SUP_C3_EXPANSION!$C$6:$F$6,MIN(4,COUNTIF(CAPA3_EXPANSION!$D$56:BJ$56,"&gt;="&amp;26)))*CAPA3_EXPANSION!BJ$36)</f>
        <v>0</v>
      </c>
      <c r="BK33" s="298" t="n">
        <f aca="false">IF(COUNTIF(CAPA3_EXPANSION!$D$56:BK$56,"&gt;="&amp;26)=0,0,SUP_CONTROL!$C$8*IF($B33="V",1,IF($B33="D",(1+SUP_VOLUMEN!$C$26),(1+SUP_VOLUMEN!$C$27)))*INDEX(SUP_C3_EXPANSION!$C$6:$F$6,MIN(4,COUNTIF(CAPA3_EXPANSION!$D$56:BK$56,"&gt;="&amp;26)))*CAPA3_EXPANSION!BK$36)</f>
        <v>0</v>
      </c>
      <c r="BL33" s="298" t="n">
        <f aca="false">IF(COUNTIF(CAPA3_EXPANSION!$D$56:BL$56,"&gt;="&amp;26)=0,0,SUP_CONTROL!$C$8*IF($B33="V",1,IF($B33="D",(1+SUP_VOLUMEN!$C$26),(1+SUP_VOLUMEN!$C$27)))*INDEX(SUP_C3_EXPANSION!$C$6:$F$6,MIN(4,COUNTIF(CAPA3_EXPANSION!$D$56:BL$56,"&gt;="&amp;26)))*CAPA3_EXPANSION!BL$36)</f>
        <v>0</v>
      </c>
      <c r="BM33" s="298" t="n">
        <f aca="false">IF(COUNTIF(CAPA3_EXPANSION!$D$56:BM$56,"&gt;="&amp;26)=0,0,SUP_CONTROL!$C$8*IF($B33="V",1,IF($B33="D",(1+SUP_VOLUMEN!$C$26),(1+SUP_VOLUMEN!$C$27)))*INDEX(SUP_C3_EXPANSION!$C$6:$F$6,MIN(4,COUNTIF(CAPA3_EXPANSION!$D$56:BM$56,"&gt;="&amp;26)))*CAPA3_EXPANSION!BM$36)</f>
        <v>0</v>
      </c>
      <c r="BN33" s="298" t="n">
        <f aca="false">IF(COUNTIF(CAPA3_EXPANSION!$D$56:BN$56,"&gt;="&amp;26)=0,0,SUP_CONTROL!$C$8*IF($B33="V",1,IF($B33="D",(1+SUP_VOLUMEN!$C$26),(1+SUP_VOLUMEN!$C$27)))*INDEX(SUP_C3_EXPANSION!$C$6:$F$6,MIN(4,COUNTIF(CAPA3_EXPANSION!$D$56:BN$56,"&gt;="&amp;26)))*CAPA3_EXPANSION!BN$36)</f>
        <v>0</v>
      </c>
      <c r="BO33" s="298" t="n">
        <f aca="false">IF(COUNTIF(CAPA3_EXPANSION!$D$56:BO$56,"&gt;="&amp;26)=0,0,SUP_CONTROL!$C$8*IF($B33="V",1,IF($B33="D",(1+SUP_VOLUMEN!$C$26),(1+SUP_VOLUMEN!$C$27)))*INDEX(SUP_C3_EXPANSION!$C$6:$F$6,MIN(4,COUNTIF(CAPA3_EXPANSION!$D$56:BO$56,"&gt;="&amp;26)))*CAPA3_EXPANSION!BO$36)</f>
        <v>0</v>
      </c>
      <c r="BP33" s="298" t="n">
        <f aca="false">IF(COUNTIF(CAPA3_EXPANSION!$D$56:BP$56,"&gt;="&amp;26)=0,0,SUP_CONTROL!$C$8*IF($B33="V",1,IF($B33="D",(1+SUP_VOLUMEN!$C$26),(1+SUP_VOLUMEN!$C$27)))*INDEX(SUP_C3_EXPANSION!$C$6:$F$6,MIN(4,COUNTIF(CAPA3_EXPANSION!$D$56:BP$56,"&gt;="&amp;26)))*CAPA3_EXPANSION!BP$36)</f>
        <v>0</v>
      </c>
      <c r="BQ33" s="298" t="n">
        <f aca="false">IF(COUNTIF(CAPA3_EXPANSION!$D$56:BQ$56,"&gt;="&amp;26)=0,0,SUP_CONTROL!$C$8*IF($B33="V",1,IF($B33="D",(1+SUP_VOLUMEN!$C$26),(1+SUP_VOLUMEN!$C$27)))*INDEX(SUP_C3_EXPANSION!$C$6:$F$6,MIN(4,COUNTIF(CAPA3_EXPANSION!$D$56:BQ$56,"&gt;="&amp;26)))*CAPA3_EXPANSION!BQ$36)</f>
        <v>0</v>
      </c>
      <c r="BR33" s="298" t="n">
        <f aca="false">IF(COUNTIF(CAPA3_EXPANSION!$D$56:BR$56,"&gt;="&amp;26)=0,0,SUP_CONTROL!$C$8*IF($B33="V",1,IF($B33="D",(1+SUP_VOLUMEN!$C$26),(1+SUP_VOLUMEN!$C$27)))*INDEX(SUP_C3_EXPANSION!$C$6:$F$6,MIN(4,COUNTIF(CAPA3_EXPANSION!$D$56:BR$56,"&gt;="&amp;26)))*CAPA3_EXPANSION!BR$36)</f>
        <v>0</v>
      </c>
      <c r="BS33" s="298" t="n">
        <f aca="false">IF(COUNTIF(CAPA3_EXPANSION!$D$56:BS$56,"&gt;="&amp;26)=0,0,SUP_CONTROL!$C$8*IF($B33="V",1,IF($B33="D",(1+SUP_VOLUMEN!$C$26),(1+SUP_VOLUMEN!$C$27)))*INDEX(SUP_C3_EXPANSION!$C$6:$F$6,MIN(4,COUNTIF(CAPA3_EXPANSION!$D$56:BS$56,"&gt;="&amp;26)))*CAPA3_EXPANSION!BS$36)</f>
        <v>0</v>
      </c>
      <c r="BT33" s="298" t="n">
        <f aca="false">IF(COUNTIF(CAPA3_EXPANSION!$D$56:BT$56,"&gt;="&amp;26)=0,0,SUP_CONTROL!$C$8*IF($B33="V",1,IF($B33="D",(1+SUP_VOLUMEN!$C$26),(1+SUP_VOLUMEN!$C$27)))*INDEX(SUP_C3_EXPANSION!$C$6:$F$6,MIN(4,COUNTIF(CAPA3_EXPANSION!$D$56:BT$56,"&gt;="&amp;26)))*CAPA3_EXPANSION!BT$36)</f>
        <v>0</v>
      </c>
      <c r="BU33" s="298" t="n">
        <f aca="false">IF(COUNTIF(CAPA3_EXPANSION!$D$56:BU$56,"&gt;="&amp;26)=0,0,SUP_CONTROL!$C$8*IF($B33="V",1,IF($B33="D",(1+SUP_VOLUMEN!$C$26),(1+SUP_VOLUMEN!$C$27)))*INDEX(SUP_C3_EXPANSION!$C$6:$F$6,MIN(4,COUNTIF(CAPA3_EXPANSION!$D$56:BU$56,"&gt;="&amp;26)))*CAPA3_EXPANSION!BU$36)</f>
        <v>2402.4</v>
      </c>
      <c r="BV33" s="298" t="n">
        <f aca="false">IF(COUNTIF(CAPA3_EXPANSION!$D$56:BV$56,"&gt;="&amp;26)=0,0,SUP_CONTROL!$C$8*IF($B33="V",1,IF($B33="D",(1+SUP_VOLUMEN!$C$26),(1+SUP_VOLUMEN!$C$27)))*INDEX(SUP_C3_EXPANSION!$C$6:$F$6,MIN(4,COUNTIF(CAPA3_EXPANSION!$D$56:BV$56,"&gt;="&amp;26)))*CAPA3_EXPANSION!BV$36)</f>
        <v>2956.8</v>
      </c>
      <c r="BW33" s="298" t="n">
        <f aca="false">IF(COUNTIF(CAPA3_EXPANSION!$D$56:BW$56,"&gt;="&amp;26)=0,0,SUP_CONTROL!$C$8*IF($B33="V",1,IF($B33="D",(1+SUP_VOLUMEN!$C$26),(1+SUP_VOLUMEN!$C$27)))*INDEX(SUP_C3_EXPANSION!$C$6:$F$6,MIN(4,COUNTIF(CAPA3_EXPANSION!$D$56:BW$56,"&gt;="&amp;26)))*CAPA3_EXPANSION!BW$36)</f>
        <v>3269.7</v>
      </c>
      <c r="BX33" s="298" t="n">
        <f aca="false">IF(COUNTIF(CAPA3_EXPANSION!$D$56:BX$56,"&gt;="&amp;26)=0,0,SUP_CONTROL!$C$8*IF($B33="V",1,IF($B33="D",(1+SUP_VOLUMEN!$C$26),(1+SUP_VOLUMEN!$C$27)))*INDEX(SUP_C3_EXPANSION!$C$6:$F$6,MIN(4,COUNTIF(CAPA3_EXPANSION!$D$56:BX$56,"&gt;="&amp;26)))*CAPA3_EXPANSION!BX$36)</f>
        <v>3633</v>
      </c>
      <c r="BY33" s="298" t="n">
        <f aca="false">IF(COUNTIF(CAPA3_EXPANSION!$D$56:BY$56,"&gt;="&amp;26)=0,0,SUP_CONTROL!$C$8*IF($B33="V",1,IF($B33="D",(1+SUP_VOLUMEN!$C$26),(1+SUP_VOLUMEN!$C$27)))*INDEX(SUP_C3_EXPANSION!$C$6:$F$6,MIN(4,COUNTIF(CAPA3_EXPANSION!$D$56:BY$56,"&gt;="&amp;26)))*CAPA3_EXPANSION!BY$36)</f>
        <v>3633</v>
      </c>
      <c r="BZ33" s="298" t="n">
        <f aca="false">IF(COUNTIF(CAPA3_EXPANSION!$D$56:BZ$56,"&gt;="&amp;26)=0,0,SUP_CONTROL!$C$8*IF($B33="V",1,IF($B33="D",(1+SUP_VOLUMEN!$C$26),(1+SUP_VOLUMEN!$C$27)))*INDEX(SUP_C3_EXPANSION!$C$6:$F$6,MIN(4,COUNTIF(CAPA3_EXPANSION!$D$56:BZ$56,"&gt;="&amp;26)))*CAPA3_EXPANSION!BZ$36)</f>
        <v>3633</v>
      </c>
      <c r="CA33" s="298" t="n">
        <f aca="false">IF(COUNTIF(CAPA3_EXPANSION!$D$56:CA$56,"&gt;="&amp;26)=0,0,SUP_CONTROL!$C$8*IF($B33="V",1,IF($B33="D",(1+SUP_VOLUMEN!$C$26),(1+SUP_VOLUMEN!$C$27)))*INDEX(SUP_C3_EXPANSION!$C$6:$F$6,MIN(4,COUNTIF(CAPA3_EXPANSION!$D$56:CA$56,"&gt;="&amp;26)))*CAPA3_EXPANSION!CA$36)</f>
        <v>3633</v>
      </c>
      <c r="CB33" s="298" t="n">
        <f aca="false">IF(COUNTIF(CAPA3_EXPANSION!$D$56:CB$56,"&gt;="&amp;26)=0,0,SUP_CONTROL!$C$8*IF($B33="V",1,IF($B33="D",(1+SUP_VOLUMEN!$C$26),(1+SUP_VOLUMEN!$C$27)))*INDEX(SUP_C3_EXPANSION!$C$6:$F$6,MIN(4,COUNTIF(CAPA3_EXPANSION!$D$56:CB$56,"&gt;="&amp;26)))*CAPA3_EXPANSION!CB$36)</f>
        <v>3570</v>
      </c>
      <c r="CC33" s="298" t="n">
        <f aca="false">IF(COUNTIF(CAPA3_EXPANSION!$D$56:CC$56,"&gt;="&amp;26)=0,0,SUP_CONTROL!$C$8*IF($B33="V",1,IF($B33="D",(1+SUP_VOLUMEN!$C$26),(1+SUP_VOLUMEN!$C$27)))*INDEX(SUP_C3_EXPANSION!$C$6:$F$6,MIN(4,COUNTIF(CAPA3_EXPANSION!$D$56:CC$56,"&gt;="&amp;26)))*CAPA3_EXPANSION!CC$36)</f>
        <v>3570</v>
      </c>
      <c r="CD33" s="298" t="n">
        <f aca="false">IF(COUNTIF(CAPA3_EXPANSION!$D$56:CD$56,"&gt;="&amp;26)=0,0,SUP_CONTROL!$C$8*IF($B33="V",1,IF($B33="D",(1+SUP_VOLUMEN!$C$26),(1+SUP_VOLUMEN!$C$27)))*INDEX(SUP_C3_EXPANSION!$C$6:$F$6,MIN(4,COUNTIF(CAPA3_EXPANSION!$D$56:CD$56,"&gt;="&amp;26)))*CAPA3_EXPANSION!CD$36)</f>
        <v>3570</v>
      </c>
      <c r="CE33" s="298" t="n">
        <f aca="false">IF(COUNTIF(CAPA3_EXPANSION!$D$56:CE$56,"&gt;="&amp;26)=0,0,SUP_CONTROL!$C$8*IF($B33="V",1,IF($B33="D",(1+SUP_VOLUMEN!$C$26),(1+SUP_VOLUMEN!$C$27)))*INDEX(SUP_C3_EXPANSION!$C$6:$F$6,MIN(4,COUNTIF(CAPA3_EXPANSION!$D$56:CE$56,"&gt;="&amp;26)))*CAPA3_EXPANSION!CE$36)</f>
        <v>3570</v>
      </c>
      <c r="CF33" s="298" t="n">
        <f aca="false">IF(COUNTIF(CAPA3_EXPANSION!$D$56:CF$56,"&gt;="&amp;26)=0,0,SUP_CONTROL!$C$8*IF($B33="V",1,IF($B33="D",(1+SUP_VOLUMEN!$C$26),(1+SUP_VOLUMEN!$C$27)))*INDEX(SUP_C3_EXPANSION!$C$6:$F$6,MIN(4,COUNTIF(CAPA3_EXPANSION!$D$56:CF$56,"&gt;="&amp;26)))*CAPA3_EXPANSION!CF$36)</f>
        <v>3570</v>
      </c>
      <c r="CG33" s="298" t="n">
        <f aca="false">IF(COUNTIF(CAPA3_EXPANSION!$D$56:CG$56,"&gt;="&amp;26)=0,0,SUP_CONTROL!$C$8*IF($B33="V",1,IF($B33="D",(1+SUP_VOLUMEN!$C$26),(1+SUP_VOLUMEN!$C$27)))*INDEX(SUP_C3_EXPANSION!$C$6:$F$6,MIN(4,COUNTIF(CAPA3_EXPANSION!$D$56:CG$56,"&gt;="&amp;26)))*CAPA3_EXPANSION!CG$36)</f>
        <v>3528</v>
      </c>
      <c r="CH33" s="298" t="n">
        <f aca="false">IF(COUNTIF(CAPA3_EXPANSION!$D$56:CH$56,"&gt;="&amp;26)=0,0,SUP_CONTROL!$C$8*IF($B33="V",1,IF($B33="D",(1+SUP_VOLUMEN!$C$26),(1+SUP_VOLUMEN!$C$27)))*INDEX(SUP_C3_EXPANSION!$C$6:$F$6,MIN(4,COUNTIF(CAPA3_EXPANSION!$D$56:CH$56,"&gt;="&amp;26)))*CAPA3_EXPANSION!CH$36)</f>
        <v>3528</v>
      </c>
      <c r="CI33" s="298" t="n">
        <f aca="false">IF(COUNTIF(CAPA3_EXPANSION!$D$56:CI$56,"&gt;="&amp;26)=0,0,SUP_CONTROL!$C$8*IF($B33="V",1,IF($B33="D",(1+SUP_VOLUMEN!$C$26),(1+SUP_VOLUMEN!$C$27)))*INDEX(SUP_C3_EXPANSION!$C$6:$F$6,MIN(4,COUNTIF(CAPA3_EXPANSION!$D$56:CI$56,"&gt;="&amp;26)))*CAPA3_EXPANSION!CI$36)</f>
        <v>3528</v>
      </c>
      <c r="CJ33" s="298" t="n">
        <f aca="false">IF(COUNTIF(CAPA3_EXPANSION!$D$56:CJ$56,"&gt;="&amp;26)=0,0,SUP_CONTROL!$C$8*IF($B33="V",1,IF($B33="D",(1+SUP_VOLUMEN!$C$26),(1+SUP_VOLUMEN!$C$27)))*INDEX(SUP_C3_EXPANSION!$C$6:$F$6,MIN(4,COUNTIF(CAPA3_EXPANSION!$D$56:CJ$56,"&gt;="&amp;26)))*CAPA3_EXPANSION!CJ$36)</f>
        <v>3528</v>
      </c>
      <c r="CK33" s="298" t="n">
        <f aca="false">IF(COUNTIF(CAPA3_EXPANSION!$D$56:CK$56,"&gt;="&amp;26)=0,0,SUP_CONTROL!$C$8*IF($B33="V",1,IF($B33="D",(1+SUP_VOLUMEN!$C$26),(1+SUP_VOLUMEN!$C$27)))*INDEX(SUP_C3_EXPANSION!$C$6:$F$6,MIN(4,COUNTIF(CAPA3_EXPANSION!$D$56:CK$56,"&gt;="&amp;26)))*CAPA3_EXPANSION!CK$36)</f>
        <v>3528</v>
      </c>
      <c r="CL33" s="298" t="n">
        <f aca="false">IF(COUNTIF(CAPA3_EXPANSION!$D$56:CL$56,"&gt;="&amp;26)=0,0,SUP_CONTROL!$C$8*IF($B33="V",1,IF($B33="D",(1+SUP_VOLUMEN!$C$26),(1+SUP_VOLUMEN!$C$27)))*INDEX(SUP_C3_EXPANSION!$C$6:$F$6,MIN(4,COUNTIF(CAPA3_EXPANSION!$D$56:CL$56,"&gt;="&amp;26)))*CAPA3_EXPANSION!CL$36)</f>
        <v>3528</v>
      </c>
      <c r="CM33" s="298" t="n">
        <f aca="false">IF(COUNTIF(CAPA3_EXPANSION!$D$56:CM$56,"&gt;="&amp;26)=0,0,SUP_CONTROL!$C$8*IF($B33="V",1,IF($B33="D",(1+SUP_VOLUMEN!$C$26),(1+SUP_VOLUMEN!$C$27)))*INDEX(SUP_C3_EXPANSION!$C$6:$F$6,MIN(4,COUNTIF(CAPA3_EXPANSION!$D$56:CM$56,"&gt;="&amp;26)))*CAPA3_EXPANSION!CM$36)</f>
        <v>3528</v>
      </c>
      <c r="CN33" s="298" t="n">
        <f aca="false">IF(COUNTIF(CAPA3_EXPANSION!$D$56:CN$56,"&gt;="&amp;26)=0,0,SUP_CONTROL!$C$8*IF($B33="V",1,IF($B33="D",(1+SUP_VOLUMEN!$C$26),(1+SUP_VOLUMEN!$C$27)))*INDEX(SUP_C3_EXPANSION!$C$6:$F$6,MIN(4,COUNTIF(CAPA3_EXPANSION!$D$56:CN$56,"&gt;="&amp;26)))*CAPA3_EXPANSION!CN$36)</f>
        <v>3528</v>
      </c>
      <c r="CO33" s="298" t="n">
        <f aca="false">IF(COUNTIF(CAPA3_EXPANSION!$D$56:CO$56,"&gt;="&amp;26)=0,0,SUP_CONTROL!$C$8*IF($B33="V",1,IF($B33="D",(1+SUP_VOLUMEN!$C$26),(1+SUP_VOLUMEN!$C$27)))*INDEX(SUP_C3_EXPANSION!$C$6:$F$6,MIN(4,COUNTIF(CAPA3_EXPANSION!$D$56:CO$56,"&gt;="&amp;26)))*CAPA3_EXPANSION!CO$36)</f>
        <v>3528</v>
      </c>
      <c r="CP33" s="298" t="n">
        <f aca="false">IF(COUNTIF(CAPA3_EXPANSION!$D$56:CP$56,"&gt;="&amp;26)=0,0,SUP_CONTROL!$C$8*IF($B33="V",1,IF($B33="D",(1+SUP_VOLUMEN!$C$26),(1+SUP_VOLUMEN!$C$27)))*INDEX(SUP_C3_EXPANSION!$C$6:$F$6,MIN(4,COUNTIF(CAPA3_EXPANSION!$D$56:CP$56,"&gt;="&amp;26)))*CAPA3_EXPANSION!CP$36)</f>
        <v>3528</v>
      </c>
      <c r="CQ33" s="298" t="n">
        <f aca="false">IF(COUNTIF(CAPA3_EXPANSION!$D$56:CQ$56,"&gt;="&amp;26)=0,0,SUP_CONTROL!$C$8*IF($B33="V",1,IF($B33="D",(1+SUP_VOLUMEN!$C$26),(1+SUP_VOLUMEN!$C$27)))*INDEX(SUP_C3_EXPANSION!$C$6:$F$6,MIN(4,COUNTIF(CAPA3_EXPANSION!$D$56:CQ$56,"&gt;="&amp;26)))*CAPA3_EXPANSION!CQ$36)</f>
        <v>3528</v>
      </c>
      <c r="CR33" s="298" t="n">
        <f aca="false">IF(COUNTIF(CAPA3_EXPANSION!$D$56:CR$56,"&gt;="&amp;26)=0,0,SUP_CONTROL!$C$8*IF($B33="V",1,IF($B33="D",(1+SUP_VOLUMEN!$C$26),(1+SUP_VOLUMEN!$C$27)))*INDEX(SUP_C3_EXPANSION!$C$6:$F$6,MIN(4,COUNTIF(CAPA3_EXPANSION!$D$56:CR$56,"&gt;="&amp;26)))*CAPA3_EXPANSION!CR$36)</f>
        <v>3528</v>
      </c>
      <c r="CS33" s="298" t="n">
        <f aca="false">IF(COUNTIF(CAPA3_EXPANSION!$D$56:CS$56,"&gt;="&amp;26)=0,0,SUP_CONTROL!$C$8*IF($B33="V",1,IF($B33="D",(1+SUP_VOLUMEN!$C$26),(1+SUP_VOLUMEN!$C$27)))*INDEX(SUP_C3_EXPANSION!$C$6:$F$6,MIN(4,COUNTIF(CAPA3_EXPANSION!$D$56:CS$56,"&gt;="&amp;26)))*CAPA3_EXPANSION!CS$36)</f>
        <v>3528</v>
      </c>
      <c r="CT33" s="298" t="n">
        <f aca="false">IF(COUNTIF(CAPA3_EXPANSION!$D$56:CT$56,"&gt;="&amp;26)=0,0,SUP_CONTROL!$C$8*IF($B33="V",1,IF($B33="D",(1+SUP_VOLUMEN!$C$26),(1+SUP_VOLUMEN!$C$27)))*INDEX(SUP_C3_EXPANSION!$C$6:$F$6,MIN(4,COUNTIF(CAPA3_EXPANSION!$D$56:CT$56,"&gt;="&amp;26)))*CAPA3_EXPANSION!CT$36)</f>
        <v>3528</v>
      </c>
      <c r="CU33" s="298" t="n">
        <f aca="false">IF(COUNTIF(CAPA3_EXPANSION!$D$56:CU$56,"&gt;="&amp;26)=0,0,SUP_CONTROL!$C$8*IF($B33="V",1,IF($B33="D",(1+SUP_VOLUMEN!$C$26),(1+SUP_VOLUMEN!$C$27)))*INDEX(SUP_C3_EXPANSION!$C$6:$F$6,MIN(4,COUNTIF(CAPA3_EXPANSION!$D$56:CU$56,"&gt;="&amp;26)))*CAPA3_EXPANSION!CU$36)</f>
        <v>3528</v>
      </c>
      <c r="CV33" s="298" t="n">
        <f aca="false">IF(COUNTIF(CAPA3_EXPANSION!$D$56:CV$56,"&gt;="&amp;26)=0,0,SUP_CONTROL!$C$8*IF($B33="V",1,IF($B33="D",(1+SUP_VOLUMEN!$C$26),(1+SUP_VOLUMEN!$C$27)))*INDEX(SUP_C3_EXPANSION!$C$6:$F$6,MIN(4,COUNTIF(CAPA3_EXPANSION!$D$56:CV$56,"&gt;="&amp;26)))*CAPA3_EXPANSION!CV$36)</f>
        <v>3528</v>
      </c>
      <c r="CW33" s="298" t="n">
        <f aca="false">IF(COUNTIF(CAPA3_EXPANSION!$D$56:CW$56,"&gt;="&amp;26)=0,0,SUP_CONTROL!$C$8*IF($B33="V",1,IF($B33="D",(1+SUP_VOLUMEN!$C$26),(1+SUP_VOLUMEN!$C$27)))*INDEX(SUP_C3_EXPANSION!$C$6:$F$6,MIN(4,COUNTIF(CAPA3_EXPANSION!$D$56:CW$56,"&gt;="&amp;26)))*CAPA3_EXPANSION!CW$36)</f>
        <v>3528</v>
      </c>
      <c r="CX33" s="298" t="n">
        <f aca="false">IF(COUNTIF(CAPA3_EXPANSION!$D$56:CX$56,"&gt;="&amp;26)=0,0,SUP_CONTROL!$C$8*IF($B33="V",1,IF($B33="D",(1+SUP_VOLUMEN!$C$26),(1+SUP_VOLUMEN!$C$27)))*INDEX(SUP_C3_EXPANSION!$C$6:$F$6,MIN(4,COUNTIF(CAPA3_EXPANSION!$D$56:CX$56,"&gt;="&amp;26)))*CAPA3_EXPANSION!CX$36)</f>
        <v>3528</v>
      </c>
      <c r="CY33" s="298" t="n">
        <f aca="false">IF(COUNTIF(CAPA3_EXPANSION!$D$56:CY$56,"&gt;="&amp;26)=0,0,SUP_CONTROL!$C$8*IF($B33="V",1,IF($B33="D",(1+SUP_VOLUMEN!$C$26),(1+SUP_VOLUMEN!$C$27)))*INDEX(SUP_C3_EXPANSION!$C$6:$F$6,MIN(4,COUNTIF(CAPA3_EXPANSION!$D$56:CY$56,"&gt;="&amp;26)))*CAPA3_EXPANSION!CY$36)</f>
        <v>3528</v>
      </c>
      <c r="CZ33" s="298" t="n">
        <f aca="false">IF(COUNTIF(CAPA3_EXPANSION!$D$56:CZ$56,"&gt;="&amp;26)=0,0,SUP_CONTROL!$C$8*IF($B33="V",1,IF($B33="D",(1+SUP_VOLUMEN!$C$26),(1+SUP_VOLUMEN!$C$27)))*INDEX(SUP_C3_EXPANSION!$C$6:$F$6,MIN(4,COUNTIF(CAPA3_EXPANSION!$D$56:CZ$56,"&gt;="&amp;26)))*CAPA3_EXPANSION!CZ$36)</f>
        <v>3528</v>
      </c>
      <c r="DA33" s="298" t="n">
        <f aca="false">IF(COUNTIF(CAPA3_EXPANSION!$D$56:DA$56,"&gt;="&amp;26)=0,0,SUP_CONTROL!$C$8*IF($B33="V",1,IF($B33="D",(1+SUP_VOLUMEN!$C$26),(1+SUP_VOLUMEN!$C$27)))*INDEX(SUP_C3_EXPANSION!$C$6:$F$6,MIN(4,COUNTIF(CAPA3_EXPANSION!$D$56:DA$56,"&gt;="&amp;26)))*CAPA3_EXPANSION!DA$36)</f>
        <v>3528</v>
      </c>
      <c r="DB33" s="298" t="n">
        <f aca="false">IF(COUNTIF(CAPA3_EXPANSION!$D$56:DB$56,"&gt;="&amp;26)=0,0,SUP_CONTROL!$C$8*IF($B33="V",1,IF($B33="D",(1+SUP_VOLUMEN!$C$26),(1+SUP_VOLUMEN!$C$27)))*INDEX(SUP_C3_EXPANSION!$C$6:$F$6,MIN(4,COUNTIF(CAPA3_EXPANSION!$D$56:DB$56,"&gt;="&amp;26)))*CAPA3_EXPANSION!DB$36)</f>
        <v>3528</v>
      </c>
      <c r="DC33" s="298" t="n">
        <f aca="false">IF(COUNTIF(CAPA3_EXPANSION!$D$56:DC$56,"&gt;="&amp;26)=0,0,SUP_CONTROL!$C$8*IF($B33="V",1,IF($B33="D",(1+SUP_VOLUMEN!$C$26),(1+SUP_VOLUMEN!$C$27)))*INDEX(SUP_C3_EXPANSION!$C$6:$F$6,MIN(4,COUNTIF(CAPA3_EXPANSION!$D$56:DC$56,"&gt;="&amp;26)))*CAPA3_EXPANSION!DC$36)</f>
        <v>3528</v>
      </c>
      <c r="DD33" s="298" t="n">
        <f aca="false">IF(COUNTIF(CAPA3_EXPANSION!$D$56:DD$56,"&gt;="&amp;26)=0,0,SUP_CONTROL!$C$8*IF($B33="V",1,IF($B33="D",(1+SUP_VOLUMEN!$C$26),(1+SUP_VOLUMEN!$C$27)))*INDEX(SUP_C3_EXPANSION!$C$6:$F$6,MIN(4,COUNTIF(CAPA3_EXPANSION!$D$56:DD$56,"&gt;="&amp;26)))*CAPA3_EXPANSION!DD$36)</f>
        <v>3528</v>
      </c>
      <c r="DE33" s="298" t="n">
        <f aca="false">IF(COUNTIF(CAPA3_EXPANSION!$D$56:DE$56,"&gt;="&amp;26)=0,0,SUP_CONTROL!$C$8*IF($B33="V",1,IF($B33="D",(1+SUP_VOLUMEN!$C$26),(1+SUP_VOLUMEN!$C$27)))*INDEX(SUP_C3_EXPANSION!$C$6:$F$6,MIN(4,COUNTIF(CAPA3_EXPANSION!$D$56:DE$56,"&gt;="&amp;26)))*CAPA3_EXPANSION!DE$36)</f>
        <v>3528</v>
      </c>
      <c r="DF33" s="298" t="n">
        <f aca="false">IF(COUNTIF(CAPA3_EXPANSION!$D$56:DF$56,"&gt;="&amp;26)=0,0,SUP_CONTROL!$C$8*IF($B33="V",1,IF($B33="D",(1+SUP_VOLUMEN!$C$26),(1+SUP_VOLUMEN!$C$27)))*INDEX(SUP_C3_EXPANSION!$C$6:$F$6,MIN(4,COUNTIF(CAPA3_EXPANSION!$D$56:DF$56,"&gt;="&amp;26)))*CAPA3_EXPANSION!DF$36)</f>
        <v>3528</v>
      </c>
      <c r="DG33" s="298" t="n">
        <f aca="false">IF(COUNTIF(CAPA3_EXPANSION!$D$56:DG$56,"&gt;="&amp;26)=0,0,SUP_CONTROL!$C$8*IF($B33="V",1,IF($B33="D",(1+SUP_VOLUMEN!$C$26),(1+SUP_VOLUMEN!$C$27)))*INDEX(SUP_C3_EXPANSION!$C$6:$F$6,MIN(4,COUNTIF(CAPA3_EXPANSION!$D$56:DG$56,"&gt;="&amp;26)))*CAPA3_EXPANSION!DG$36)</f>
        <v>3528</v>
      </c>
      <c r="DH33" s="298" t="n">
        <f aca="false">IF(COUNTIF(CAPA3_EXPANSION!$D$56:DH$56,"&gt;="&amp;26)=0,0,SUP_CONTROL!$C$8*IF($B33="V",1,IF($B33="D",(1+SUP_VOLUMEN!$C$26),(1+SUP_VOLUMEN!$C$27)))*INDEX(SUP_C3_EXPANSION!$C$6:$F$6,MIN(4,COUNTIF(CAPA3_EXPANSION!$D$56:DH$56,"&gt;="&amp;26)))*CAPA3_EXPANSION!DH$36)</f>
        <v>3528</v>
      </c>
      <c r="DI33" s="298" t="n">
        <f aca="false">IF(COUNTIF(CAPA3_EXPANSION!$D$56:DI$56,"&gt;="&amp;26)=0,0,SUP_CONTROL!$C$8*IF($B33="V",1,IF($B33="D",(1+SUP_VOLUMEN!$C$26),(1+SUP_VOLUMEN!$C$27)))*INDEX(SUP_C3_EXPANSION!$C$6:$F$6,MIN(4,COUNTIF(CAPA3_EXPANSION!$D$56:DI$56,"&gt;="&amp;26)))*CAPA3_EXPANSION!DI$36)</f>
        <v>3528</v>
      </c>
      <c r="DJ33" s="298" t="n">
        <f aca="false">IF(COUNTIF(CAPA3_EXPANSION!$D$56:DJ$56,"&gt;="&amp;26)=0,0,SUP_CONTROL!$C$8*IF($B33="V",1,IF($B33="D",(1+SUP_VOLUMEN!$C$26),(1+SUP_VOLUMEN!$C$27)))*INDEX(SUP_C3_EXPANSION!$C$6:$F$6,MIN(4,COUNTIF(CAPA3_EXPANSION!$D$56:DJ$56,"&gt;="&amp;26)))*CAPA3_EXPANSION!DJ$36)</f>
        <v>3528</v>
      </c>
      <c r="DK33" s="298" t="n">
        <f aca="false">IF(COUNTIF(CAPA3_EXPANSION!$D$56:DK$56,"&gt;="&amp;26)=0,0,SUP_CONTROL!$C$8*IF($B33="V",1,IF($B33="D",(1+SUP_VOLUMEN!$C$26),(1+SUP_VOLUMEN!$C$27)))*INDEX(SUP_C3_EXPANSION!$C$6:$F$6,MIN(4,COUNTIF(CAPA3_EXPANSION!$D$56:DK$56,"&gt;="&amp;26)))*CAPA3_EXPANSION!DK$36)</f>
        <v>3528</v>
      </c>
      <c r="DL33" s="298" t="n">
        <f aca="false">IF(COUNTIF(CAPA3_EXPANSION!$D$56:DL$56,"&gt;="&amp;26)=0,0,SUP_CONTROL!$C$8*IF($B33="V",1,IF($B33="D",(1+SUP_VOLUMEN!$C$26),(1+SUP_VOLUMEN!$C$27)))*INDEX(SUP_C3_EXPANSION!$C$6:$F$6,MIN(4,COUNTIF(CAPA3_EXPANSION!$D$56:DL$56,"&gt;="&amp;26)))*CAPA3_EXPANSION!DL$36)</f>
        <v>3528</v>
      </c>
      <c r="DM33" s="298" t="n">
        <f aca="false">IF(COUNTIF(CAPA3_EXPANSION!$D$56:DM$56,"&gt;="&amp;26)=0,0,SUP_CONTROL!$C$8*IF($B33="V",1,IF($B33="D",(1+SUP_VOLUMEN!$C$26),(1+SUP_VOLUMEN!$C$27)))*INDEX(SUP_C3_EXPANSION!$C$6:$F$6,MIN(4,COUNTIF(CAPA3_EXPANSION!$D$56:DM$56,"&gt;="&amp;26)))*CAPA3_EXPANSION!DM$36)</f>
        <v>3528</v>
      </c>
      <c r="DN33" s="298" t="n">
        <f aca="false">IF(COUNTIF(CAPA3_EXPANSION!$D$56:DN$56,"&gt;="&amp;26)=0,0,SUP_CONTROL!$C$8*IF($B33="V",1,IF($B33="D",(1+SUP_VOLUMEN!$C$26),(1+SUP_VOLUMEN!$C$27)))*INDEX(SUP_C3_EXPANSION!$C$6:$F$6,MIN(4,COUNTIF(CAPA3_EXPANSION!$D$56:DN$56,"&gt;="&amp;26)))*CAPA3_EXPANSION!DN$36)</f>
        <v>3528</v>
      </c>
      <c r="DO33" s="298" t="n">
        <f aca="false">IF(COUNTIF(CAPA3_EXPANSION!$D$56:DO$56,"&gt;="&amp;26)=0,0,SUP_CONTROL!$C$8*IF($B33="V",1,IF($B33="D",(1+SUP_VOLUMEN!$C$26),(1+SUP_VOLUMEN!$C$27)))*INDEX(SUP_C3_EXPANSION!$C$6:$F$6,MIN(4,COUNTIF(CAPA3_EXPANSION!$D$56:DO$56,"&gt;="&amp;26)))*CAPA3_EXPANSION!DO$36)</f>
        <v>3528</v>
      </c>
      <c r="DP33" s="298" t="n">
        <f aca="false">IF(COUNTIF(CAPA3_EXPANSION!$D$56:DP$56,"&gt;="&amp;26)=0,0,SUP_CONTROL!$C$8*IF($B33="V",1,IF($B33="D",(1+SUP_VOLUMEN!$C$26),(1+SUP_VOLUMEN!$C$27)))*INDEX(SUP_C3_EXPANSION!$C$6:$F$6,MIN(4,COUNTIF(CAPA3_EXPANSION!$D$56:DP$56,"&gt;="&amp;26)))*CAPA3_EXPANSION!DP$36)</f>
        <v>3528</v>
      </c>
      <c r="DQ33" s="298" t="n">
        <f aca="false">IF(COUNTIF(CAPA3_EXPANSION!$D$56:DQ$56,"&gt;="&amp;26)=0,0,SUP_CONTROL!$C$8*IF($B33="V",1,IF($B33="D",(1+SUP_VOLUMEN!$C$26),(1+SUP_VOLUMEN!$C$27)))*INDEX(SUP_C3_EXPANSION!$C$6:$F$6,MIN(4,COUNTIF(CAPA3_EXPANSION!$D$56:DQ$56,"&gt;="&amp;26)))*CAPA3_EXPANSION!DQ$36)</f>
        <v>3528</v>
      </c>
      <c r="DR33" s="298" t="n">
        <f aca="false">IF(COUNTIF(CAPA3_EXPANSION!$D$56:DR$56,"&gt;="&amp;26)=0,0,SUP_CONTROL!$C$8*IF($B33="V",1,IF($B33="D",(1+SUP_VOLUMEN!$C$26),(1+SUP_VOLUMEN!$C$27)))*INDEX(SUP_C3_EXPANSION!$C$6:$F$6,MIN(4,COUNTIF(CAPA3_EXPANSION!$D$56:DR$56,"&gt;="&amp;26)))*CAPA3_EXPANSION!DR$36)</f>
        <v>3528</v>
      </c>
      <c r="DS33" s="298" t="n">
        <f aca="false">IF(COUNTIF(CAPA3_EXPANSION!$D$56:DS$56,"&gt;="&amp;26)=0,0,SUP_CONTROL!$C$8*IF($B33="V",1,IF($B33="D",(1+SUP_VOLUMEN!$C$26),(1+SUP_VOLUMEN!$C$27)))*INDEX(SUP_C3_EXPANSION!$C$6:$F$6,MIN(4,COUNTIF(CAPA3_EXPANSION!$D$56:DS$56,"&gt;="&amp;26)))*CAPA3_EXPANSION!DS$36)</f>
        <v>3528</v>
      </c>
    </row>
    <row r="34" customFormat="false" ht="15" hidden="false" customHeight="true" outlineLevel="0" collapsed="false">
      <c r="A34" s="298" t="n">
        <v>37</v>
      </c>
      <c r="B34" s="497" t="str">
        <f aca="false">SUP_C3_EXPANSION!B46</f>
        <v>V</v>
      </c>
      <c r="C34" s="267" t="n">
        <f aca="false">SUP_C3_EXPANSION!G46</f>
        <v>68</v>
      </c>
      <c r="D34" s="298" t="n">
        <f aca="false">IF(COUNTIF(CAPA3_EXPANSION!$D$56:D$56,"&gt;="&amp;27)=0,0,SUP_CONTROL!$C$8*IF($B34="V",1,IF($B34="D",(1+SUP_VOLUMEN!$C$26),(1+SUP_VOLUMEN!$C$27)))*INDEX(SUP_C3_EXPANSION!$C$6:$F$6,MIN(4,COUNTIF(CAPA3_EXPANSION!$D$56:D$56,"&gt;="&amp;27)))*CAPA3_EXPANSION!D$36)</f>
        <v>0</v>
      </c>
      <c r="E34" s="298" t="n">
        <f aca="false">IF(COUNTIF(CAPA3_EXPANSION!$D$56:E$56,"&gt;="&amp;27)=0,0,SUP_CONTROL!$C$8*IF($B34="V",1,IF($B34="D",(1+SUP_VOLUMEN!$C$26),(1+SUP_VOLUMEN!$C$27)))*INDEX(SUP_C3_EXPANSION!$C$6:$F$6,MIN(4,COUNTIF(CAPA3_EXPANSION!$D$56:E$56,"&gt;="&amp;27)))*CAPA3_EXPANSION!E$36)</f>
        <v>0</v>
      </c>
      <c r="F34" s="298" t="n">
        <f aca="false">IF(COUNTIF(CAPA3_EXPANSION!$D$56:F$56,"&gt;="&amp;27)=0,0,SUP_CONTROL!$C$8*IF($B34="V",1,IF($B34="D",(1+SUP_VOLUMEN!$C$26),(1+SUP_VOLUMEN!$C$27)))*INDEX(SUP_C3_EXPANSION!$C$6:$F$6,MIN(4,COUNTIF(CAPA3_EXPANSION!$D$56:F$56,"&gt;="&amp;27)))*CAPA3_EXPANSION!F$36)</f>
        <v>0</v>
      </c>
      <c r="G34" s="298" t="n">
        <f aca="false">IF(COUNTIF(CAPA3_EXPANSION!$D$56:G$56,"&gt;="&amp;27)=0,0,SUP_CONTROL!$C$8*IF($B34="V",1,IF($B34="D",(1+SUP_VOLUMEN!$C$26),(1+SUP_VOLUMEN!$C$27)))*INDEX(SUP_C3_EXPANSION!$C$6:$F$6,MIN(4,COUNTIF(CAPA3_EXPANSION!$D$56:G$56,"&gt;="&amp;27)))*CAPA3_EXPANSION!G$36)</f>
        <v>0</v>
      </c>
      <c r="H34" s="298" t="n">
        <f aca="false">IF(COUNTIF(CAPA3_EXPANSION!$D$56:H$56,"&gt;="&amp;27)=0,0,SUP_CONTROL!$C$8*IF($B34="V",1,IF($B34="D",(1+SUP_VOLUMEN!$C$26),(1+SUP_VOLUMEN!$C$27)))*INDEX(SUP_C3_EXPANSION!$C$6:$F$6,MIN(4,COUNTIF(CAPA3_EXPANSION!$D$56:H$56,"&gt;="&amp;27)))*CAPA3_EXPANSION!H$36)</f>
        <v>0</v>
      </c>
      <c r="I34" s="298" t="n">
        <f aca="false">IF(COUNTIF(CAPA3_EXPANSION!$D$56:I$56,"&gt;="&amp;27)=0,0,SUP_CONTROL!$C$8*IF($B34="V",1,IF($B34="D",(1+SUP_VOLUMEN!$C$26),(1+SUP_VOLUMEN!$C$27)))*INDEX(SUP_C3_EXPANSION!$C$6:$F$6,MIN(4,COUNTIF(CAPA3_EXPANSION!$D$56:I$56,"&gt;="&amp;27)))*CAPA3_EXPANSION!I$36)</f>
        <v>0</v>
      </c>
      <c r="J34" s="298" t="n">
        <f aca="false">IF(COUNTIF(CAPA3_EXPANSION!$D$56:J$56,"&gt;="&amp;27)=0,0,SUP_CONTROL!$C$8*IF($B34="V",1,IF($B34="D",(1+SUP_VOLUMEN!$C$26),(1+SUP_VOLUMEN!$C$27)))*INDEX(SUP_C3_EXPANSION!$C$6:$F$6,MIN(4,COUNTIF(CAPA3_EXPANSION!$D$56:J$56,"&gt;="&amp;27)))*CAPA3_EXPANSION!J$36)</f>
        <v>0</v>
      </c>
      <c r="K34" s="298" t="n">
        <f aca="false">IF(COUNTIF(CAPA3_EXPANSION!$D$56:K$56,"&gt;="&amp;27)=0,0,SUP_CONTROL!$C$8*IF($B34="V",1,IF($B34="D",(1+SUP_VOLUMEN!$C$26),(1+SUP_VOLUMEN!$C$27)))*INDEX(SUP_C3_EXPANSION!$C$6:$F$6,MIN(4,COUNTIF(CAPA3_EXPANSION!$D$56:K$56,"&gt;="&amp;27)))*CAPA3_EXPANSION!K$36)</f>
        <v>0</v>
      </c>
      <c r="L34" s="298" t="n">
        <f aca="false">IF(COUNTIF(CAPA3_EXPANSION!$D$56:L$56,"&gt;="&amp;27)=0,0,SUP_CONTROL!$C$8*IF($B34="V",1,IF($B34="D",(1+SUP_VOLUMEN!$C$26),(1+SUP_VOLUMEN!$C$27)))*INDEX(SUP_C3_EXPANSION!$C$6:$F$6,MIN(4,COUNTIF(CAPA3_EXPANSION!$D$56:L$56,"&gt;="&amp;27)))*CAPA3_EXPANSION!L$36)</f>
        <v>0</v>
      </c>
      <c r="M34" s="298" t="n">
        <f aca="false">IF(COUNTIF(CAPA3_EXPANSION!$D$56:M$56,"&gt;="&amp;27)=0,0,SUP_CONTROL!$C$8*IF($B34="V",1,IF($B34="D",(1+SUP_VOLUMEN!$C$26),(1+SUP_VOLUMEN!$C$27)))*INDEX(SUP_C3_EXPANSION!$C$6:$F$6,MIN(4,COUNTIF(CAPA3_EXPANSION!$D$56:M$56,"&gt;="&amp;27)))*CAPA3_EXPANSION!M$36)</f>
        <v>0</v>
      </c>
      <c r="N34" s="298" t="n">
        <f aca="false">IF(COUNTIF(CAPA3_EXPANSION!$D$56:N$56,"&gt;="&amp;27)=0,0,SUP_CONTROL!$C$8*IF($B34="V",1,IF($B34="D",(1+SUP_VOLUMEN!$C$26),(1+SUP_VOLUMEN!$C$27)))*INDEX(SUP_C3_EXPANSION!$C$6:$F$6,MIN(4,COUNTIF(CAPA3_EXPANSION!$D$56:N$56,"&gt;="&amp;27)))*CAPA3_EXPANSION!N$36)</f>
        <v>0</v>
      </c>
      <c r="O34" s="298" t="n">
        <f aca="false">IF(COUNTIF(CAPA3_EXPANSION!$D$56:O$56,"&gt;="&amp;27)=0,0,SUP_CONTROL!$C$8*IF($B34="V",1,IF($B34="D",(1+SUP_VOLUMEN!$C$26),(1+SUP_VOLUMEN!$C$27)))*INDEX(SUP_C3_EXPANSION!$C$6:$F$6,MIN(4,COUNTIF(CAPA3_EXPANSION!$D$56:O$56,"&gt;="&amp;27)))*CAPA3_EXPANSION!O$36)</f>
        <v>0</v>
      </c>
      <c r="P34" s="298" t="n">
        <f aca="false">IF(COUNTIF(CAPA3_EXPANSION!$D$56:P$56,"&gt;="&amp;27)=0,0,SUP_CONTROL!$C$8*IF($B34="V",1,IF($B34="D",(1+SUP_VOLUMEN!$C$26),(1+SUP_VOLUMEN!$C$27)))*INDEX(SUP_C3_EXPANSION!$C$6:$F$6,MIN(4,COUNTIF(CAPA3_EXPANSION!$D$56:P$56,"&gt;="&amp;27)))*CAPA3_EXPANSION!P$36)</f>
        <v>0</v>
      </c>
      <c r="Q34" s="298" t="n">
        <f aca="false">IF(COUNTIF(CAPA3_EXPANSION!$D$56:Q$56,"&gt;="&amp;27)=0,0,SUP_CONTROL!$C$8*IF($B34="V",1,IF($B34="D",(1+SUP_VOLUMEN!$C$26),(1+SUP_VOLUMEN!$C$27)))*INDEX(SUP_C3_EXPANSION!$C$6:$F$6,MIN(4,COUNTIF(CAPA3_EXPANSION!$D$56:Q$56,"&gt;="&amp;27)))*CAPA3_EXPANSION!Q$36)</f>
        <v>0</v>
      </c>
      <c r="R34" s="298" t="n">
        <f aca="false">IF(COUNTIF(CAPA3_EXPANSION!$D$56:R$56,"&gt;="&amp;27)=0,0,SUP_CONTROL!$C$8*IF($B34="V",1,IF($B34="D",(1+SUP_VOLUMEN!$C$26),(1+SUP_VOLUMEN!$C$27)))*INDEX(SUP_C3_EXPANSION!$C$6:$F$6,MIN(4,COUNTIF(CAPA3_EXPANSION!$D$56:R$56,"&gt;="&amp;27)))*CAPA3_EXPANSION!R$36)</f>
        <v>0</v>
      </c>
      <c r="S34" s="298" t="n">
        <f aca="false">IF(COUNTIF(CAPA3_EXPANSION!$D$56:S$56,"&gt;="&amp;27)=0,0,SUP_CONTROL!$C$8*IF($B34="V",1,IF($B34="D",(1+SUP_VOLUMEN!$C$26),(1+SUP_VOLUMEN!$C$27)))*INDEX(SUP_C3_EXPANSION!$C$6:$F$6,MIN(4,COUNTIF(CAPA3_EXPANSION!$D$56:S$56,"&gt;="&amp;27)))*CAPA3_EXPANSION!S$36)</f>
        <v>0</v>
      </c>
      <c r="T34" s="298" t="n">
        <f aca="false">IF(COUNTIF(CAPA3_EXPANSION!$D$56:T$56,"&gt;="&amp;27)=0,0,SUP_CONTROL!$C$8*IF($B34="V",1,IF($B34="D",(1+SUP_VOLUMEN!$C$26),(1+SUP_VOLUMEN!$C$27)))*INDEX(SUP_C3_EXPANSION!$C$6:$F$6,MIN(4,COUNTIF(CAPA3_EXPANSION!$D$56:T$56,"&gt;="&amp;27)))*CAPA3_EXPANSION!T$36)</f>
        <v>0</v>
      </c>
      <c r="U34" s="298" t="n">
        <f aca="false">IF(COUNTIF(CAPA3_EXPANSION!$D$56:U$56,"&gt;="&amp;27)=0,0,SUP_CONTROL!$C$8*IF($B34="V",1,IF($B34="D",(1+SUP_VOLUMEN!$C$26),(1+SUP_VOLUMEN!$C$27)))*INDEX(SUP_C3_EXPANSION!$C$6:$F$6,MIN(4,COUNTIF(CAPA3_EXPANSION!$D$56:U$56,"&gt;="&amp;27)))*CAPA3_EXPANSION!U$36)</f>
        <v>0</v>
      </c>
      <c r="V34" s="298" t="n">
        <f aca="false">IF(COUNTIF(CAPA3_EXPANSION!$D$56:V$56,"&gt;="&amp;27)=0,0,SUP_CONTROL!$C$8*IF($B34="V",1,IF($B34="D",(1+SUP_VOLUMEN!$C$26),(1+SUP_VOLUMEN!$C$27)))*INDEX(SUP_C3_EXPANSION!$C$6:$F$6,MIN(4,COUNTIF(CAPA3_EXPANSION!$D$56:V$56,"&gt;="&amp;27)))*CAPA3_EXPANSION!V$36)</f>
        <v>0</v>
      </c>
      <c r="W34" s="298" t="n">
        <f aca="false">IF(COUNTIF(CAPA3_EXPANSION!$D$56:W$56,"&gt;="&amp;27)=0,0,SUP_CONTROL!$C$8*IF($B34="V",1,IF($B34="D",(1+SUP_VOLUMEN!$C$26),(1+SUP_VOLUMEN!$C$27)))*INDEX(SUP_C3_EXPANSION!$C$6:$F$6,MIN(4,COUNTIF(CAPA3_EXPANSION!$D$56:W$56,"&gt;="&amp;27)))*CAPA3_EXPANSION!W$36)</f>
        <v>0</v>
      </c>
      <c r="X34" s="298" t="n">
        <f aca="false">IF(COUNTIF(CAPA3_EXPANSION!$D$56:X$56,"&gt;="&amp;27)=0,0,SUP_CONTROL!$C$8*IF($B34="V",1,IF($B34="D",(1+SUP_VOLUMEN!$C$26),(1+SUP_VOLUMEN!$C$27)))*INDEX(SUP_C3_EXPANSION!$C$6:$F$6,MIN(4,COUNTIF(CAPA3_EXPANSION!$D$56:X$56,"&gt;="&amp;27)))*CAPA3_EXPANSION!X$36)</f>
        <v>0</v>
      </c>
      <c r="Y34" s="298" t="n">
        <f aca="false">IF(COUNTIF(CAPA3_EXPANSION!$D$56:Y$56,"&gt;="&amp;27)=0,0,SUP_CONTROL!$C$8*IF($B34="V",1,IF($B34="D",(1+SUP_VOLUMEN!$C$26),(1+SUP_VOLUMEN!$C$27)))*INDEX(SUP_C3_EXPANSION!$C$6:$F$6,MIN(4,COUNTIF(CAPA3_EXPANSION!$D$56:Y$56,"&gt;="&amp;27)))*CAPA3_EXPANSION!Y$36)</f>
        <v>0</v>
      </c>
      <c r="Z34" s="298" t="n">
        <f aca="false">IF(COUNTIF(CAPA3_EXPANSION!$D$56:Z$56,"&gt;="&amp;27)=0,0,SUP_CONTROL!$C$8*IF($B34="V",1,IF($B34="D",(1+SUP_VOLUMEN!$C$26),(1+SUP_VOLUMEN!$C$27)))*INDEX(SUP_C3_EXPANSION!$C$6:$F$6,MIN(4,COUNTIF(CAPA3_EXPANSION!$D$56:Z$56,"&gt;="&amp;27)))*CAPA3_EXPANSION!Z$36)</f>
        <v>0</v>
      </c>
      <c r="AA34" s="298" t="n">
        <f aca="false">IF(COUNTIF(CAPA3_EXPANSION!$D$56:AA$56,"&gt;="&amp;27)=0,0,SUP_CONTROL!$C$8*IF($B34="V",1,IF($B34="D",(1+SUP_VOLUMEN!$C$26),(1+SUP_VOLUMEN!$C$27)))*INDEX(SUP_C3_EXPANSION!$C$6:$F$6,MIN(4,COUNTIF(CAPA3_EXPANSION!$D$56:AA$56,"&gt;="&amp;27)))*CAPA3_EXPANSION!AA$36)</f>
        <v>0</v>
      </c>
      <c r="AB34" s="298" t="n">
        <f aca="false">IF(COUNTIF(CAPA3_EXPANSION!$D$56:AB$56,"&gt;="&amp;27)=0,0,SUP_CONTROL!$C$8*IF($B34="V",1,IF($B34="D",(1+SUP_VOLUMEN!$C$26),(1+SUP_VOLUMEN!$C$27)))*INDEX(SUP_C3_EXPANSION!$C$6:$F$6,MIN(4,COUNTIF(CAPA3_EXPANSION!$D$56:AB$56,"&gt;="&amp;27)))*CAPA3_EXPANSION!AB$36)</f>
        <v>0</v>
      </c>
      <c r="AC34" s="298" t="n">
        <f aca="false">IF(COUNTIF(CAPA3_EXPANSION!$D$56:AC$56,"&gt;="&amp;27)=0,0,SUP_CONTROL!$C$8*IF($B34="V",1,IF($B34="D",(1+SUP_VOLUMEN!$C$26),(1+SUP_VOLUMEN!$C$27)))*INDEX(SUP_C3_EXPANSION!$C$6:$F$6,MIN(4,COUNTIF(CAPA3_EXPANSION!$D$56:AC$56,"&gt;="&amp;27)))*CAPA3_EXPANSION!AC$36)</f>
        <v>0</v>
      </c>
      <c r="AD34" s="298" t="n">
        <f aca="false">IF(COUNTIF(CAPA3_EXPANSION!$D$56:AD$56,"&gt;="&amp;27)=0,0,SUP_CONTROL!$C$8*IF($B34="V",1,IF($B34="D",(1+SUP_VOLUMEN!$C$26),(1+SUP_VOLUMEN!$C$27)))*INDEX(SUP_C3_EXPANSION!$C$6:$F$6,MIN(4,COUNTIF(CAPA3_EXPANSION!$D$56:AD$56,"&gt;="&amp;27)))*CAPA3_EXPANSION!AD$36)</f>
        <v>0</v>
      </c>
      <c r="AE34" s="298" t="n">
        <f aca="false">IF(COUNTIF(CAPA3_EXPANSION!$D$56:AE$56,"&gt;="&amp;27)=0,0,SUP_CONTROL!$C$8*IF($B34="V",1,IF($B34="D",(1+SUP_VOLUMEN!$C$26),(1+SUP_VOLUMEN!$C$27)))*INDEX(SUP_C3_EXPANSION!$C$6:$F$6,MIN(4,COUNTIF(CAPA3_EXPANSION!$D$56:AE$56,"&gt;="&amp;27)))*CAPA3_EXPANSION!AE$36)</f>
        <v>0</v>
      </c>
      <c r="AF34" s="298" t="n">
        <f aca="false">IF(COUNTIF(CAPA3_EXPANSION!$D$56:AF$56,"&gt;="&amp;27)=0,0,SUP_CONTROL!$C$8*IF($B34="V",1,IF($B34="D",(1+SUP_VOLUMEN!$C$26),(1+SUP_VOLUMEN!$C$27)))*INDEX(SUP_C3_EXPANSION!$C$6:$F$6,MIN(4,COUNTIF(CAPA3_EXPANSION!$D$56:AF$56,"&gt;="&amp;27)))*CAPA3_EXPANSION!AF$36)</f>
        <v>0</v>
      </c>
      <c r="AG34" s="298" t="n">
        <f aca="false">IF(COUNTIF(CAPA3_EXPANSION!$D$56:AG$56,"&gt;="&amp;27)=0,0,SUP_CONTROL!$C$8*IF($B34="V",1,IF($B34="D",(1+SUP_VOLUMEN!$C$26),(1+SUP_VOLUMEN!$C$27)))*INDEX(SUP_C3_EXPANSION!$C$6:$F$6,MIN(4,COUNTIF(CAPA3_EXPANSION!$D$56:AG$56,"&gt;="&amp;27)))*CAPA3_EXPANSION!AG$36)</f>
        <v>0</v>
      </c>
      <c r="AH34" s="298" t="n">
        <f aca="false">IF(COUNTIF(CAPA3_EXPANSION!$D$56:AH$56,"&gt;="&amp;27)=0,0,SUP_CONTROL!$C$8*IF($B34="V",1,IF($B34="D",(1+SUP_VOLUMEN!$C$26),(1+SUP_VOLUMEN!$C$27)))*INDEX(SUP_C3_EXPANSION!$C$6:$F$6,MIN(4,COUNTIF(CAPA3_EXPANSION!$D$56:AH$56,"&gt;="&amp;27)))*CAPA3_EXPANSION!AH$36)</f>
        <v>0</v>
      </c>
      <c r="AI34" s="298" t="n">
        <f aca="false">IF(COUNTIF(CAPA3_EXPANSION!$D$56:AI$56,"&gt;="&amp;27)=0,0,SUP_CONTROL!$C$8*IF($B34="V",1,IF($B34="D",(1+SUP_VOLUMEN!$C$26),(1+SUP_VOLUMEN!$C$27)))*INDEX(SUP_C3_EXPANSION!$C$6:$F$6,MIN(4,COUNTIF(CAPA3_EXPANSION!$D$56:AI$56,"&gt;="&amp;27)))*CAPA3_EXPANSION!AI$36)</f>
        <v>0</v>
      </c>
      <c r="AJ34" s="298" t="n">
        <f aca="false">IF(COUNTIF(CAPA3_EXPANSION!$D$56:AJ$56,"&gt;="&amp;27)=0,0,SUP_CONTROL!$C$8*IF($B34="V",1,IF($B34="D",(1+SUP_VOLUMEN!$C$26),(1+SUP_VOLUMEN!$C$27)))*INDEX(SUP_C3_EXPANSION!$C$6:$F$6,MIN(4,COUNTIF(CAPA3_EXPANSION!$D$56:AJ$56,"&gt;="&amp;27)))*CAPA3_EXPANSION!AJ$36)</f>
        <v>0</v>
      </c>
      <c r="AK34" s="298" t="n">
        <f aca="false">IF(COUNTIF(CAPA3_EXPANSION!$D$56:AK$56,"&gt;="&amp;27)=0,0,SUP_CONTROL!$C$8*IF($B34="V",1,IF($B34="D",(1+SUP_VOLUMEN!$C$26),(1+SUP_VOLUMEN!$C$27)))*INDEX(SUP_C3_EXPANSION!$C$6:$F$6,MIN(4,COUNTIF(CAPA3_EXPANSION!$D$56:AK$56,"&gt;="&amp;27)))*CAPA3_EXPANSION!AK$36)</f>
        <v>0</v>
      </c>
      <c r="AL34" s="298" t="n">
        <f aca="false">IF(COUNTIF(CAPA3_EXPANSION!$D$56:AL$56,"&gt;="&amp;27)=0,0,SUP_CONTROL!$C$8*IF($B34="V",1,IF($B34="D",(1+SUP_VOLUMEN!$C$26),(1+SUP_VOLUMEN!$C$27)))*INDEX(SUP_C3_EXPANSION!$C$6:$F$6,MIN(4,COUNTIF(CAPA3_EXPANSION!$D$56:AL$56,"&gt;="&amp;27)))*CAPA3_EXPANSION!AL$36)</f>
        <v>0</v>
      </c>
      <c r="AM34" s="298" t="n">
        <f aca="false">IF(COUNTIF(CAPA3_EXPANSION!$D$56:AM$56,"&gt;="&amp;27)=0,0,SUP_CONTROL!$C$8*IF($B34="V",1,IF($B34="D",(1+SUP_VOLUMEN!$C$26),(1+SUP_VOLUMEN!$C$27)))*INDEX(SUP_C3_EXPANSION!$C$6:$F$6,MIN(4,COUNTIF(CAPA3_EXPANSION!$D$56:AM$56,"&gt;="&amp;27)))*CAPA3_EXPANSION!AM$36)</f>
        <v>0</v>
      </c>
      <c r="AN34" s="298" t="n">
        <f aca="false">IF(COUNTIF(CAPA3_EXPANSION!$D$56:AN$56,"&gt;="&amp;27)=0,0,SUP_CONTROL!$C$8*IF($B34="V",1,IF($B34="D",(1+SUP_VOLUMEN!$C$26),(1+SUP_VOLUMEN!$C$27)))*INDEX(SUP_C3_EXPANSION!$C$6:$F$6,MIN(4,COUNTIF(CAPA3_EXPANSION!$D$56:AN$56,"&gt;="&amp;27)))*CAPA3_EXPANSION!AN$36)</f>
        <v>0</v>
      </c>
      <c r="AO34" s="298" t="n">
        <f aca="false">IF(COUNTIF(CAPA3_EXPANSION!$D$56:AO$56,"&gt;="&amp;27)=0,0,SUP_CONTROL!$C$8*IF($B34="V",1,IF($B34="D",(1+SUP_VOLUMEN!$C$26),(1+SUP_VOLUMEN!$C$27)))*INDEX(SUP_C3_EXPANSION!$C$6:$F$6,MIN(4,COUNTIF(CAPA3_EXPANSION!$D$56:AO$56,"&gt;="&amp;27)))*CAPA3_EXPANSION!AO$36)</f>
        <v>0</v>
      </c>
      <c r="AP34" s="298" t="n">
        <f aca="false">IF(COUNTIF(CAPA3_EXPANSION!$D$56:AP$56,"&gt;="&amp;27)=0,0,SUP_CONTROL!$C$8*IF($B34="V",1,IF($B34="D",(1+SUP_VOLUMEN!$C$26),(1+SUP_VOLUMEN!$C$27)))*INDEX(SUP_C3_EXPANSION!$C$6:$F$6,MIN(4,COUNTIF(CAPA3_EXPANSION!$D$56:AP$56,"&gt;="&amp;27)))*CAPA3_EXPANSION!AP$36)</f>
        <v>0</v>
      </c>
      <c r="AQ34" s="298" t="n">
        <f aca="false">IF(COUNTIF(CAPA3_EXPANSION!$D$56:AQ$56,"&gt;="&amp;27)=0,0,SUP_CONTROL!$C$8*IF($B34="V",1,IF($B34="D",(1+SUP_VOLUMEN!$C$26),(1+SUP_VOLUMEN!$C$27)))*INDEX(SUP_C3_EXPANSION!$C$6:$F$6,MIN(4,COUNTIF(CAPA3_EXPANSION!$D$56:AQ$56,"&gt;="&amp;27)))*CAPA3_EXPANSION!AQ$36)</f>
        <v>0</v>
      </c>
      <c r="AR34" s="298" t="n">
        <f aca="false">IF(COUNTIF(CAPA3_EXPANSION!$D$56:AR$56,"&gt;="&amp;27)=0,0,SUP_CONTROL!$C$8*IF($B34="V",1,IF($B34="D",(1+SUP_VOLUMEN!$C$26),(1+SUP_VOLUMEN!$C$27)))*INDEX(SUP_C3_EXPANSION!$C$6:$F$6,MIN(4,COUNTIF(CAPA3_EXPANSION!$D$56:AR$56,"&gt;="&amp;27)))*CAPA3_EXPANSION!AR$36)</f>
        <v>0</v>
      </c>
      <c r="AS34" s="298" t="n">
        <f aca="false">IF(COUNTIF(CAPA3_EXPANSION!$D$56:AS$56,"&gt;="&amp;27)=0,0,SUP_CONTROL!$C$8*IF($B34="V",1,IF($B34="D",(1+SUP_VOLUMEN!$C$26),(1+SUP_VOLUMEN!$C$27)))*INDEX(SUP_C3_EXPANSION!$C$6:$F$6,MIN(4,COUNTIF(CAPA3_EXPANSION!$D$56:AS$56,"&gt;="&amp;27)))*CAPA3_EXPANSION!AS$36)</f>
        <v>0</v>
      </c>
      <c r="AT34" s="298" t="n">
        <f aca="false">IF(COUNTIF(CAPA3_EXPANSION!$D$56:AT$56,"&gt;="&amp;27)=0,0,SUP_CONTROL!$C$8*IF($B34="V",1,IF($B34="D",(1+SUP_VOLUMEN!$C$26),(1+SUP_VOLUMEN!$C$27)))*INDEX(SUP_C3_EXPANSION!$C$6:$F$6,MIN(4,COUNTIF(CAPA3_EXPANSION!$D$56:AT$56,"&gt;="&amp;27)))*CAPA3_EXPANSION!AT$36)</f>
        <v>0</v>
      </c>
      <c r="AU34" s="298" t="n">
        <f aca="false">IF(COUNTIF(CAPA3_EXPANSION!$D$56:AU$56,"&gt;="&amp;27)=0,0,SUP_CONTROL!$C$8*IF($B34="V",1,IF($B34="D",(1+SUP_VOLUMEN!$C$26),(1+SUP_VOLUMEN!$C$27)))*INDEX(SUP_C3_EXPANSION!$C$6:$F$6,MIN(4,COUNTIF(CAPA3_EXPANSION!$D$56:AU$56,"&gt;="&amp;27)))*CAPA3_EXPANSION!AU$36)</f>
        <v>0</v>
      </c>
      <c r="AV34" s="298" t="n">
        <f aca="false">IF(COUNTIF(CAPA3_EXPANSION!$D$56:AV$56,"&gt;="&amp;27)=0,0,SUP_CONTROL!$C$8*IF($B34="V",1,IF($B34="D",(1+SUP_VOLUMEN!$C$26),(1+SUP_VOLUMEN!$C$27)))*INDEX(SUP_C3_EXPANSION!$C$6:$F$6,MIN(4,COUNTIF(CAPA3_EXPANSION!$D$56:AV$56,"&gt;="&amp;27)))*CAPA3_EXPANSION!AV$36)</f>
        <v>0</v>
      </c>
      <c r="AW34" s="298" t="n">
        <f aca="false">IF(COUNTIF(CAPA3_EXPANSION!$D$56:AW$56,"&gt;="&amp;27)=0,0,SUP_CONTROL!$C$8*IF($B34="V",1,IF($B34="D",(1+SUP_VOLUMEN!$C$26),(1+SUP_VOLUMEN!$C$27)))*INDEX(SUP_C3_EXPANSION!$C$6:$F$6,MIN(4,COUNTIF(CAPA3_EXPANSION!$D$56:AW$56,"&gt;="&amp;27)))*CAPA3_EXPANSION!AW$36)</f>
        <v>0</v>
      </c>
      <c r="AX34" s="298" t="n">
        <f aca="false">IF(COUNTIF(CAPA3_EXPANSION!$D$56:AX$56,"&gt;="&amp;27)=0,0,SUP_CONTROL!$C$8*IF($B34="V",1,IF($B34="D",(1+SUP_VOLUMEN!$C$26),(1+SUP_VOLUMEN!$C$27)))*INDEX(SUP_C3_EXPANSION!$C$6:$F$6,MIN(4,COUNTIF(CAPA3_EXPANSION!$D$56:AX$56,"&gt;="&amp;27)))*CAPA3_EXPANSION!AX$36)</f>
        <v>0</v>
      </c>
      <c r="AY34" s="298" t="n">
        <f aca="false">IF(COUNTIF(CAPA3_EXPANSION!$D$56:AY$56,"&gt;="&amp;27)=0,0,SUP_CONTROL!$C$8*IF($B34="V",1,IF($B34="D",(1+SUP_VOLUMEN!$C$26),(1+SUP_VOLUMEN!$C$27)))*INDEX(SUP_C3_EXPANSION!$C$6:$F$6,MIN(4,COUNTIF(CAPA3_EXPANSION!$D$56:AY$56,"&gt;="&amp;27)))*CAPA3_EXPANSION!AY$36)</f>
        <v>0</v>
      </c>
      <c r="AZ34" s="298" t="n">
        <f aca="false">IF(COUNTIF(CAPA3_EXPANSION!$D$56:AZ$56,"&gt;="&amp;27)=0,0,SUP_CONTROL!$C$8*IF($B34="V",1,IF($B34="D",(1+SUP_VOLUMEN!$C$26),(1+SUP_VOLUMEN!$C$27)))*INDEX(SUP_C3_EXPANSION!$C$6:$F$6,MIN(4,COUNTIF(CAPA3_EXPANSION!$D$56:AZ$56,"&gt;="&amp;27)))*CAPA3_EXPANSION!AZ$36)</f>
        <v>0</v>
      </c>
      <c r="BA34" s="298" t="n">
        <f aca="false">IF(COUNTIF(CAPA3_EXPANSION!$D$56:BA$56,"&gt;="&amp;27)=0,0,SUP_CONTROL!$C$8*IF($B34="V",1,IF($B34="D",(1+SUP_VOLUMEN!$C$26),(1+SUP_VOLUMEN!$C$27)))*INDEX(SUP_C3_EXPANSION!$C$6:$F$6,MIN(4,COUNTIF(CAPA3_EXPANSION!$D$56:BA$56,"&gt;="&amp;27)))*CAPA3_EXPANSION!BA$36)</f>
        <v>0</v>
      </c>
      <c r="BB34" s="298" t="n">
        <f aca="false">IF(COUNTIF(CAPA3_EXPANSION!$D$56:BB$56,"&gt;="&amp;27)=0,0,SUP_CONTROL!$C$8*IF($B34="V",1,IF($B34="D",(1+SUP_VOLUMEN!$C$26),(1+SUP_VOLUMEN!$C$27)))*INDEX(SUP_C3_EXPANSION!$C$6:$F$6,MIN(4,COUNTIF(CAPA3_EXPANSION!$D$56:BB$56,"&gt;="&amp;27)))*CAPA3_EXPANSION!BB$36)</f>
        <v>0</v>
      </c>
      <c r="BC34" s="298" t="n">
        <f aca="false">IF(COUNTIF(CAPA3_EXPANSION!$D$56:BC$56,"&gt;="&amp;27)=0,0,SUP_CONTROL!$C$8*IF($B34="V",1,IF($B34="D",(1+SUP_VOLUMEN!$C$26),(1+SUP_VOLUMEN!$C$27)))*INDEX(SUP_C3_EXPANSION!$C$6:$F$6,MIN(4,COUNTIF(CAPA3_EXPANSION!$D$56:BC$56,"&gt;="&amp;27)))*CAPA3_EXPANSION!BC$36)</f>
        <v>0</v>
      </c>
      <c r="BD34" s="298" t="n">
        <f aca="false">IF(COUNTIF(CAPA3_EXPANSION!$D$56:BD$56,"&gt;="&amp;27)=0,0,SUP_CONTROL!$C$8*IF($B34="V",1,IF($B34="D",(1+SUP_VOLUMEN!$C$26),(1+SUP_VOLUMEN!$C$27)))*INDEX(SUP_C3_EXPANSION!$C$6:$F$6,MIN(4,COUNTIF(CAPA3_EXPANSION!$D$56:BD$56,"&gt;="&amp;27)))*CAPA3_EXPANSION!BD$36)</f>
        <v>0</v>
      </c>
      <c r="BE34" s="298" t="n">
        <f aca="false">IF(COUNTIF(CAPA3_EXPANSION!$D$56:BE$56,"&gt;="&amp;27)=0,0,SUP_CONTROL!$C$8*IF($B34="V",1,IF($B34="D",(1+SUP_VOLUMEN!$C$26),(1+SUP_VOLUMEN!$C$27)))*INDEX(SUP_C3_EXPANSION!$C$6:$F$6,MIN(4,COUNTIF(CAPA3_EXPANSION!$D$56:BE$56,"&gt;="&amp;27)))*CAPA3_EXPANSION!BE$36)</f>
        <v>0</v>
      </c>
      <c r="BF34" s="298" t="n">
        <f aca="false">IF(COUNTIF(CAPA3_EXPANSION!$D$56:BF$56,"&gt;="&amp;27)=0,0,SUP_CONTROL!$C$8*IF($B34="V",1,IF($B34="D",(1+SUP_VOLUMEN!$C$26),(1+SUP_VOLUMEN!$C$27)))*INDEX(SUP_C3_EXPANSION!$C$6:$F$6,MIN(4,COUNTIF(CAPA3_EXPANSION!$D$56:BF$56,"&gt;="&amp;27)))*CAPA3_EXPANSION!BF$36)</f>
        <v>0</v>
      </c>
      <c r="BG34" s="298" t="n">
        <f aca="false">IF(COUNTIF(CAPA3_EXPANSION!$D$56:BG$56,"&gt;="&amp;27)=0,0,SUP_CONTROL!$C$8*IF($B34="V",1,IF($B34="D",(1+SUP_VOLUMEN!$C$26),(1+SUP_VOLUMEN!$C$27)))*INDEX(SUP_C3_EXPANSION!$C$6:$F$6,MIN(4,COUNTIF(CAPA3_EXPANSION!$D$56:BG$56,"&gt;="&amp;27)))*CAPA3_EXPANSION!BG$36)</f>
        <v>0</v>
      </c>
      <c r="BH34" s="298" t="n">
        <f aca="false">IF(COUNTIF(CAPA3_EXPANSION!$D$56:BH$56,"&gt;="&amp;27)=0,0,SUP_CONTROL!$C$8*IF($B34="V",1,IF($B34="D",(1+SUP_VOLUMEN!$C$26),(1+SUP_VOLUMEN!$C$27)))*INDEX(SUP_C3_EXPANSION!$C$6:$F$6,MIN(4,COUNTIF(CAPA3_EXPANSION!$D$56:BH$56,"&gt;="&amp;27)))*CAPA3_EXPANSION!BH$36)</f>
        <v>0</v>
      </c>
      <c r="BI34" s="298" t="n">
        <f aca="false">IF(COUNTIF(CAPA3_EXPANSION!$D$56:BI$56,"&gt;="&amp;27)=0,0,SUP_CONTROL!$C$8*IF($B34="V",1,IF($B34="D",(1+SUP_VOLUMEN!$C$26),(1+SUP_VOLUMEN!$C$27)))*INDEX(SUP_C3_EXPANSION!$C$6:$F$6,MIN(4,COUNTIF(CAPA3_EXPANSION!$D$56:BI$56,"&gt;="&amp;27)))*CAPA3_EXPANSION!BI$36)</f>
        <v>0</v>
      </c>
      <c r="BJ34" s="298" t="n">
        <f aca="false">IF(COUNTIF(CAPA3_EXPANSION!$D$56:BJ$56,"&gt;="&amp;27)=0,0,SUP_CONTROL!$C$8*IF($B34="V",1,IF($B34="D",(1+SUP_VOLUMEN!$C$26),(1+SUP_VOLUMEN!$C$27)))*INDEX(SUP_C3_EXPANSION!$C$6:$F$6,MIN(4,COUNTIF(CAPA3_EXPANSION!$D$56:BJ$56,"&gt;="&amp;27)))*CAPA3_EXPANSION!BJ$36)</f>
        <v>0</v>
      </c>
      <c r="BK34" s="298" t="n">
        <f aca="false">IF(COUNTIF(CAPA3_EXPANSION!$D$56:BK$56,"&gt;="&amp;27)=0,0,SUP_CONTROL!$C$8*IF($B34="V",1,IF($B34="D",(1+SUP_VOLUMEN!$C$26),(1+SUP_VOLUMEN!$C$27)))*INDEX(SUP_C3_EXPANSION!$C$6:$F$6,MIN(4,COUNTIF(CAPA3_EXPANSION!$D$56:BK$56,"&gt;="&amp;27)))*CAPA3_EXPANSION!BK$36)</f>
        <v>0</v>
      </c>
      <c r="BL34" s="298" t="n">
        <f aca="false">IF(COUNTIF(CAPA3_EXPANSION!$D$56:BL$56,"&gt;="&amp;27)=0,0,SUP_CONTROL!$C$8*IF($B34="V",1,IF($B34="D",(1+SUP_VOLUMEN!$C$26),(1+SUP_VOLUMEN!$C$27)))*INDEX(SUP_C3_EXPANSION!$C$6:$F$6,MIN(4,COUNTIF(CAPA3_EXPANSION!$D$56:BL$56,"&gt;="&amp;27)))*CAPA3_EXPANSION!BL$36)</f>
        <v>0</v>
      </c>
      <c r="BM34" s="298" t="n">
        <f aca="false">IF(COUNTIF(CAPA3_EXPANSION!$D$56:BM$56,"&gt;="&amp;27)=0,0,SUP_CONTROL!$C$8*IF($B34="V",1,IF($B34="D",(1+SUP_VOLUMEN!$C$26),(1+SUP_VOLUMEN!$C$27)))*INDEX(SUP_C3_EXPANSION!$C$6:$F$6,MIN(4,COUNTIF(CAPA3_EXPANSION!$D$56:BM$56,"&gt;="&amp;27)))*CAPA3_EXPANSION!BM$36)</f>
        <v>0</v>
      </c>
      <c r="BN34" s="298" t="n">
        <f aca="false">IF(COUNTIF(CAPA3_EXPANSION!$D$56:BN$56,"&gt;="&amp;27)=0,0,SUP_CONTROL!$C$8*IF($B34="V",1,IF($B34="D",(1+SUP_VOLUMEN!$C$26),(1+SUP_VOLUMEN!$C$27)))*INDEX(SUP_C3_EXPANSION!$C$6:$F$6,MIN(4,COUNTIF(CAPA3_EXPANSION!$D$56:BN$56,"&gt;="&amp;27)))*CAPA3_EXPANSION!BN$36)</f>
        <v>0</v>
      </c>
      <c r="BO34" s="298" t="n">
        <f aca="false">IF(COUNTIF(CAPA3_EXPANSION!$D$56:BO$56,"&gt;="&amp;27)=0,0,SUP_CONTROL!$C$8*IF($B34="V",1,IF($B34="D",(1+SUP_VOLUMEN!$C$26),(1+SUP_VOLUMEN!$C$27)))*INDEX(SUP_C3_EXPANSION!$C$6:$F$6,MIN(4,COUNTIF(CAPA3_EXPANSION!$D$56:BO$56,"&gt;="&amp;27)))*CAPA3_EXPANSION!BO$36)</f>
        <v>0</v>
      </c>
      <c r="BP34" s="298" t="n">
        <f aca="false">IF(COUNTIF(CAPA3_EXPANSION!$D$56:BP$56,"&gt;="&amp;27)=0,0,SUP_CONTROL!$C$8*IF($B34="V",1,IF($B34="D",(1+SUP_VOLUMEN!$C$26),(1+SUP_VOLUMEN!$C$27)))*INDEX(SUP_C3_EXPANSION!$C$6:$F$6,MIN(4,COUNTIF(CAPA3_EXPANSION!$D$56:BP$56,"&gt;="&amp;27)))*CAPA3_EXPANSION!BP$36)</f>
        <v>0</v>
      </c>
      <c r="BQ34" s="298" t="n">
        <f aca="false">IF(COUNTIF(CAPA3_EXPANSION!$D$56:BQ$56,"&gt;="&amp;27)=0,0,SUP_CONTROL!$C$8*IF($B34="V",1,IF($B34="D",(1+SUP_VOLUMEN!$C$26),(1+SUP_VOLUMEN!$C$27)))*INDEX(SUP_C3_EXPANSION!$C$6:$F$6,MIN(4,COUNTIF(CAPA3_EXPANSION!$D$56:BQ$56,"&gt;="&amp;27)))*CAPA3_EXPANSION!BQ$36)</f>
        <v>0</v>
      </c>
      <c r="BR34" s="298" t="n">
        <f aca="false">IF(COUNTIF(CAPA3_EXPANSION!$D$56:BR$56,"&gt;="&amp;27)=0,0,SUP_CONTROL!$C$8*IF($B34="V",1,IF($B34="D",(1+SUP_VOLUMEN!$C$26),(1+SUP_VOLUMEN!$C$27)))*INDEX(SUP_C3_EXPANSION!$C$6:$F$6,MIN(4,COUNTIF(CAPA3_EXPANSION!$D$56:BR$56,"&gt;="&amp;27)))*CAPA3_EXPANSION!BR$36)</f>
        <v>0</v>
      </c>
      <c r="BS34" s="298" t="n">
        <f aca="false">IF(COUNTIF(CAPA3_EXPANSION!$D$56:BS$56,"&gt;="&amp;27)=0,0,SUP_CONTROL!$C$8*IF($B34="V",1,IF($B34="D",(1+SUP_VOLUMEN!$C$26),(1+SUP_VOLUMEN!$C$27)))*INDEX(SUP_C3_EXPANSION!$C$6:$F$6,MIN(4,COUNTIF(CAPA3_EXPANSION!$D$56:BS$56,"&gt;="&amp;27)))*CAPA3_EXPANSION!BS$36)</f>
        <v>0</v>
      </c>
      <c r="BT34" s="298" t="n">
        <f aca="false">IF(COUNTIF(CAPA3_EXPANSION!$D$56:BT$56,"&gt;="&amp;27)=0,0,SUP_CONTROL!$C$8*IF($B34="V",1,IF($B34="D",(1+SUP_VOLUMEN!$C$26),(1+SUP_VOLUMEN!$C$27)))*INDEX(SUP_C3_EXPANSION!$C$6:$F$6,MIN(4,COUNTIF(CAPA3_EXPANSION!$D$56:BT$56,"&gt;="&amp;27)))*CAPA3_EXPANSION!BT$36)</f>
        <v>0</v>
      </c>
      <c r="BU34" s="298" t="n">
        <f aca="false">IF(COUNTIF(CAPA3_EXPANSION!$D$56:BU$56,"&gt;="&amp;27)=0,0,SUP_CONTROL!$C$8*IF($B34="V",1,IF($B34="D",(1+SUP_VOLUMEN!$C$26),(1+SUP_VOLUMEN!$C$27)))*INDEX(SUP_C3_EXPANSION!$C$6:$F$6,MIN(4,COUNTIF(CAPA3_EXPANSION!$D$56:BU$56,"&gt;="&amp;27)))*CAPA3_EXPANSION!BU$36)</f>
        <v>0</v>
      </c>
      <c r="BV34" s="298" t="n">
        <f aca="false">IF(COUNTIF(CAPA3_EXPANSION!$D$56:BV$56,"&gt;="&amp;27)=0,0,SUP_CONTROL!$C$8*IF($B34="V",1,IF($B34="D",(1+SUP_VOLUMEN!$C$26),(1+SUP_VOLUMEN!$C$27)))*INDEX(SUP_C3_EXPANSION!$C$6:$F$6,MIN(4,COUNTIF(CAPA3_EXPANSION!$D$56:BV$56,"&gt;="&amp;27)))*CAPA3_EXPANSION!BV$36)</f>
        <v>2402.4</v>
      </c>
      <c r="BW34" s="298" t="n">
        <f aca="false">IF(COUNTIF(CAPA3_EXPANSION!$D$56:BW$56,"&gt;="&amp;27)=0,0,SUP_CONTROL!$C$8*IF($B34="V",1,IF($B34="D",(1+SUP_VOLUMEN!$C$26),(1+SUP_VOLUMEN!$C$27)))*INDEX(SUP_C3_EXPANSION!$C$6:$F$6,MIN(4,COUNTIF(CAPA3_EXPANSION!$D$56:BW$56,"&gt;="&amp;27)))*CAPA3_EXPANSION!BW$36)</f>
        <v>2906.4</v>
      </c>
      <c r="BX34" s="298" t="n">
        <f aca="false">IF(COUNTIF(CAPA3_EXPANSION!$D$56:BX$56,"&gt;="&amp;27)=0,0,SUP_CONTROL!$C$8*IF($B34="V",1,IF($B34="D",(1+SUP_VOLUMEN!$C$26),(1+SUP_VOLUMEN!$C$27)))*INDEX(SUP_C3_EXPANSION!$C$6:$F$6,MIN(4,COUNTIF(CAPA3_EXPANSION!$D$56:BX$56,"&gt;="&amp;27)))*CAPA3_EXPANSION!BX$36)</f>
        <v>3269.7</v>
      </c>
      <c r="BY34" s="298" t="n">
        <f aca="false">IF(COUNTIF(CAPA3_EXPANSION!$D$56:BY$56,"&gt;="&amp;27)=0,0,SUP_CONTROL!$C$8*IF($B34="V",1,IF($B34="D",(1+SUP_VOLUMEN!$C$26),(1+SUP_VOLUMEN!$C$27)))*INDEX(SUP_C3_EXPANSION!$C$6:$F$6,MIN(4,COUNTIF(CAPA3_EXPANSION!$D$56:BY$56,"&gt;="&amp;27)))*CAPA3_EXPANSION!BY$36)</f>
        <v>3633</v>
      </c>
      <c r="BZ34" s="298" t="n">
        <f aca="false">IF(COUNTIF(CAPA3_EXPANSION!$D$56:BZ$56,"&gt;="&amp;27)=0,0,SUP_CONTROL!$C$8*IF($B34="V",1,IF($B34="D",(1+SUP_VOLUMEN!$C$26),(1+SUP_VOLUMEN!$C$27)))*INDEX(SUP_C3_EXPANSION!$C$6:$F$6,MIN(4,COUNTIF(CAPA3_EXPANSION!$D$56:BZ$56,"&gt;="&amp;27)))*CAPA3_EXPANSION!BZ$36)</f>
        <v>3633</v>
      </c>
      <c r="CA34" s="298" t="n">
        <f aca="false">IF(COUNTIF(CAPA3_EXPANSION!$D$56:CA$56,"&gt;="&amp;27)=0,0,SUP_CONTROL!$C$8*IF($B34="V",1,IF($B34="D",(1+SUP_VOLUMEN!$C$26),(1+SUP_VOLUMEN!$C$27)))*INDEX(SUP_C3_EXPANSION!$C$6:$F$6,MIN(4,COUNTIF(CAPA3_EXPANSION!$D$56:CA$56,"&gt;="&amp;27)))*CAPA3_EXPANSION!CA$36)</f>
        <v>3633</v>
      </c>
      <c r="CB34" s="298" t="n">
        <f aca="false">IF(COUNTIF(CAPA3_EXPANSION!$D$56:CB$56,"&gt;="&amp;27)=0,0,SUP_CONTROL!$C$8*IF($B34="V",1,IF($B34="D",(1+SUP_VOLUMEN!$C$26),(1+SUP_VOLUMEN!$C$27)))*INDEX(SUP_C3_EXPANSION!$C$6:$F$6,MIN(4,COUNTIF(CAPA3_EXPANSION!$D$56:CB$56,"&gt;="&amp;27)))*CAPA3_EXPANSION!CB$36)</f>
        <v>3570</v>
      </c>
      <c r="CC34" s="298" t="n">
        <f aca="false">IF(COUNTIF(CAPA3_EXPANSION!$D$56:CC$56,"&gt;="&amp;27)=0,0,SUP_CONTROL!$C$8*IF($B34="V",1,IF($B34="D",(1+SUP_VOLUMEN!$C$26),(1+SUP_VOLUMEN!$C$27)))*INDEX(SUP_C3_EXPANSION!$C$6:$F$6,MIN(4,COUNTIF(CAPA3_EXPANSION!$D$56:CC$56,"&gt;="&amp;27)))*CAPA3_EXPANSION!CC$36)</f>
        <v>3570</v>
      </c>
      <c r="CD34" s="298" t="n">
        <f aca="false">IF(COUNTIF(CAPA3_EXPANSION!$D$56:CD$56,"&gt;="&amp;27)=0,0,SUP_CONTROL!$C$8*IF($B34="V",1,IF($B34="D",(1+SUP_VOLUMEN!$C$26),(1+SUP_VOLUMEN!$C$27)))*INDEX(SUP_C3_EXPANSION!$C$6:$F$6,MIN(4,COUNTIF(CAPA3_EXPANSION!$D$56:CD$56,"&gt;="&amp;27)))*CAPA3_EXPANSION!CD$36)</f>
        <v>3570</v>
      </c>
      <c r="CE34" s="298" t="n">
        <f aca="false">IF(COUNTIF(CAPA3_EXPANSION!$D$56:CE$56,"&gt;="&amp;27)=0,0,SUP_CONTROL!$C$8*IF($B34="V",1,IF($B34="D",(1+SUP_VOLUMEN!$C$26),(1+SUP_VOLUMEN!$C$27)))*INDEX(SUP_C3_EXPANSION!$C$6:$F$6,MIN(4,COUNTIF(CAPA3_EXPANSION!$D$56:CE$56,"&gt;="&amp;27)))*CAPA3_EXPANSION!CE$36)</f>
        <v>3570</v>
      </c>
      <c r="CF34" s="298" t="n">
        <f aca="false">IF(COUNTIF(CAPA3_EXPANSION!$D$56:CF$56,"&gt;="&amp;27)=0,0,SUP_CONTROL!$C$8*IF($B34="V",1,IF($B34="D",(1+SUP_VOLUMEN!$C$26),(1+SUP_VOLUMEN!$C$27)))*INDEX(SUP_C3_EXPANSION!$C$6:$F$6,MIN(4,COUNTIF(CAPA3_EXPANSION!$D$56:CF$56,"&gt;="&amp;27)))*CAPA3_EXPANSION!CF$36)</f>
        <v>3570</v>
      </c>
      <c r="CG34" s="298" t="n">
        <f aca="false">IF(COUNTIF(CAPA3_EXPANSION!$D$56:CG$56,"&gt;="&amp;27)=0,0,SUP_CONTROL!$C$8*IF($B34="V",1,IF($B34="D",(1+SUP_VOLUMEN!$C$26),(1+SUP_VOLUMEN!$C$27)))*INDEX(SUP_C3_EXPANSION!$C$6:$F$6,MIN(4,COUNTIF(CAPA3_EXPANSION!$D$56:CG$56,"&gt;="&amp;27)))*CAPA3_EXPANSION!CG$36)</f>
        <v>3528</v>
      </c>
      <c r="CH34" s="298" t="n">
        <f aca="false">IF(COUNTIF(CAPA3_EXPANSION!$D$56:CH$56,"&gt;="&amp;27)=0,0,SUP_CONTROL!$C$8*IF($B34="V",1,IF($B34="D",(1+SUP_VOLUMEN!$C$26),(1+SUP_VOLUMEN!$C$27)))*INDEX(SUP_C3_EXPANSION!$C$6:$F$6,MIN(4,COUNTIF(CAPA3_EXPANSION!$D$56:CH$56,"&gt;="&amp;27)))*CAPA3_EXPANSION!CH$36)</f>
        <v>3528</v>
      </c>
      <c r="CI34" s="298" t="n">
        <f aca="false">IF(COUNTIF(CAPA3_EXPANSION!$D$56:CI$56,"&gt;="&amp;27)=0,0,SUP_CONTROL!$C$8*IF($B34="V",1,IF($B34="D",(1+SUP_VOLUMEN!$C$26),(1+SUP_VOLUMEN!$C$27)))*INDEX(SUP_C3_EXPANSION!$C$6:$F$6,MIN(4,COUNTIF(CAPA3_EXPANSION!$D$56:CI$56,"&gt;="&amp;27)))*CAPA3_EXPANSION!CI$36)</f>
        <v>3528</v>
      </c>
      <c r="CJ34" s="298" t="n">
        <f aca="false">IF(COUNTIF(CAPA3_EXPANSION!$D$56:CJ$56,"&gt;="&amp;27)=0,0,SUP_CONTROL!$C$8*IF($B34="V",1,IF($B34="D",(1+SUP_VOLUMEN!$C$26),(1+SUP_VOLUMEN!$C$27)))*INDEX(SUP_C3_EXPANSION!$C$6:$F$6,MIN(4,COUNTIF(CAPA3_EXPANSION!$D$56:CJ$56,"&gt;="&amp;27)))*CAPA3_EXPANSION!CJ$36)</f>
        <v>3528</v>
      </c>
      <c r="CK34" s="298" t="n">
        <f aca="false">IF(COUNTIF(CAPA3_EXPANSION!$D$56:CK$56,"&gt;="&amp;27)=0,0,SUP_CONTROL!$C$8*IF($B34="V",1,IF($B34="D",(1+SUP_VOLUMEN!$C$26),(1+SUP_VOLUMEN!$C$27)))*INDEX(SUP_C3_EXPANSION!$C$6:$F$6,MIN(4,COUNTIF(CAPA3_EXPANSION!$D$56:CK$56,"&gt;="&amp;27)))*CAPA3_EXPANSION!CK$36)</f>
        <v>3528</v>
      </c>
      <c r="CL34" s="298" t="n">
        <f aca="false">IF(COUNTIF(CAPA3_EXPANSION!$D$56:CL$56,"&gt;="&amp;27)=0,0,SUP_CONTROL!$C$8*IF($B34="V",1,IF($B34="D",(1+SUP_VOLUMEN!$C$26),(1+SUP_VOLUMEN!$C$27)))*INDEX(SUP_C3_EXPANSION!$C$6:$F$6,MIN(4,COUNTIF(CAPA3_EXPANSION!$D$56:CL$56,"&gt;="&amp;27)))*CAPA3_EXPANSION!CL$36)</f>
        <v>3528</v>
      </c>
      <c r="CM34" s="298" t="n">
        <f aca="false">IF(COUNTIF(CAPA3_EXPANSION!$D$56:CM$56,"&gt;="&amp;27)=0,0,SUP_CONTROL!$C$8*IF($B34="V",1,IF($B34="D",(1+SUP_VOLUMEN!$C$26),(1+SUP_VOLUMEN!$C$27)))*INDEX(SUP_C3_EXPANSION!$C$6:$F$6,MIN(4,COUNTIF(CAPA3_EXPANSION!$D$56:CM$56,"&gt;="&amp;27)))*CAPA3_EXPANSION!CM$36)</f>
        <v>3528</v>
      </c>
      <c r="CN34" s="298" t="n">
        <f aca="false">IF(COUNTIF(CAPA3_EXPANSION!$D$56:CN$56,"&gt;="&amp;27)=0,0,SUP_CONTROL!$C$8*IF($B34="V",1,IF($B34="D",(1+SUP_VOLUMEN!$C$26),(1+SUP_VOLUMEN!$C$27)))*INDEX(SUP_C3_EXPANSION!$C$6:$F$6,MIN(4,COUNTIF(CAPA3_EXPANSION!$D$56:CN$56,"&gt;="&amp;27)))*CAPA3_EXPANSION!CN$36)</f>
        <v>3528</v>
      </c>
      <c r="CO34" s="298" t="n">
        <f aca="false">IF(COUNTIF(CAPA3_EXPANSION!$D$56:CO$56,"&gt;="&amp;27)=0,0,SUP_CONTROL!$C$8*IF($B34="V",1,IF($B34="D",(1+SUP_VOLUMEN!$C$26),(1+SUP_VOLUMEN!$C$27)))*INDEX(SUP_C3_EXPANSION!$C$6:$F$6,MIN(4,COUNTIF(CAPA3_EXPANSION!$D$56:CO$56,"&gt;="&amp;27)))*CAPA3_EXPANSION!CO$36)</f>
        <v>3528</v>
      </c>
      <c r="CP34" s="298" t="n">
        <f aca="false">IF(COUNTIF(CAPA3_EXPANSION!$D$56:CP$56,"&gt;="&amp;27)=0,0,SUP_CONTROL!$C$8*IF($B34="V",1,IF($B34="D",(1+SUP_VOLUMEN!$C$26),(1+SUP_VOLUMEN!$C$27)))*INDEX(SUP_C3_EXPANSION!$C$6:$F$6,MIN(4,COUNTIF(CAPA3_EXPANSION!$D$56:CP$56,"&gt;="&amp;27)))*CAPA3_EXPANSION!CP$36)</f>
        <v>3528</v>
      </c>
      <c r="CQ34" s="298" t="n">
        <f aca="false">IF(COUNTIF(CAPA3_EXPANSION!$D$56:CQ$56,"&gt;="&amp;27)=0,0,SUP_CONTROL!$C$8*IF($B34="V",1,IF($B34="D",(1+SUP_VOLUMEN!$C$26),(1+SUP_VOLUMEN!$C$27)))*INDEX(SUP_C3_EXPANSION!$C$6:$F$6,MIN(4,COUNTIF(CAPA3_EXPANSION!$D$56:CQ$56,"&gt;="&amp;27)))*CAPA3_EXPANSION!CQ$36)</f>
        <v>3528</v>
      </c>
      <c r="CR34" s="298" t="n">
        <f aca="false">IF(COUNTIF(CAPA3_EXPANSION!$D$56:CR$56,"&gt;="&amp;27)=0,0,SUP_CONTROL!$C$8*IF($B34="V",1,IF($B34="D",(1+SUP_VOLUMEN!$C$26),(1+SUP_VOLUMEN!$C$27)))*INDEX(SUP_C3_EXPANSION!$C$6:$F$6,MIN(4,COUNTIF(CAPA3_EXPANSION!$D$56:CR$56,"&gt;="&amp;27)))*CAPA3_EXPANSION!CR$36)</f>
        <v>3528</v>
      </c>
      <c r="CS34" s="298" t="n">
        <f aca="false">IF(COUNTIF(CAPA3_EXPANSION!$D$56:CS$56,"&gt;="&amp;27)=0,0,SUP_CONTROL!$C$8*IF($B34="V",1,IF($B34="D",(1+SUP_VOLUMEN!$C$26),(1+SUP_VOLUMEN!$C$27)))*INDEX(SUP_C3_EXPANSION!$C$6:$F$6,MIN(4,COUNTIF(CAPA3_EXPANSION!$D$56:CS$56,"&gt;="&amp;27)))*CAPA3_EXPANSION!CS$36)</f>
        <v>3528</v>
      </c>
      <c r="CT34" s="298" t="n">
        <f aca="false">IF(COUNTIF(CAPA3_EXPANSION!$D$56:CT$56,"&gt;="&amp;27)=0,0,SUP_CONTROL!$C$8*IF($B34="V",1,IF($B34="D",(1+SUP_VOLUMEN!$C$26),(1+SUP_VOLUMEN!$C$27)))*INDEX(SUP_C3_EXPANSION!$C$6:$F$6,MIN(4,COUNTIF(CAPA3_EXPANSION!$D$56:CT$56,"&gt;="&amp;27)))*CAPA3_EXPANSION!CT$36)</f>
        <v>3528</v>
      </c>
      <c r="CU34" s="298" t="n">
        <f aca="false">IF(COUNTIF(CAPA3_EXPANSION!$D$56:CU$56,"&gt;="&amp;27)=0,0,SUP_CONTROL!$C$8*IF($B34="V",1,IF($B34="D",(1+SUP_VOLUMEN!$C$26),(1+SUP_VOLUMEN!$C$27)))*INDEX(SUP_C3_EXPANSION!$C$6:$F$6,MIN(4,COUNTIF(CAPA3_EXPANSION!$D$56:CU$56,"&gt;="&amp;27)))*CAPA3_EXPANSION!CU$36)</f>
        <v>3528</v>
      </c>
      <c r="CV34" s="298" t="n">
        <f aca="false">IF(COUNTIF(CAPA3_EXPANSION!$D$56:CV$56,"&gt;="&amp;27)=0,0,SUP_CONTROL!$C$8*IF($B34="V",1,IF($B34="D",(1+SUP_VOLUMEN!$C$26),(1+SUP_VOLUMEN!$C$27)))*INDEX(SUP_C3_EXPANSION!$C$6:$F$6,MIN(4,COUNTIF(CAPA3_EXPANSION!$D$56:CV$56,"&gt;="&amp;27)))*CAPA3_EXPANSION!CV$36)</f>
        <v>3528</v>
      </c>
      <c r="CW34" s="298" t="n">
        <f aca="false">IF(COUNTIF(CAPA3_EXPANSION!$D$56:CW$56,"&gt;="&amp;27)=0,0,SUP_CONTROL!$C$8*IF($B34="V",1,IF($B34="D",(1+SUP_VOLUMEN!$C$26),(1+SUP_VOLUMEN!$C$27)))*INDEX(SUP_C3_EXPANSION!$C$6:$F$6,MIN(4,COUNTIF(CAPA3_EXPANSION!$D$56:CW$56,"&gt;="&amp;27)))*CAPA3_EXPANSION!CW$36)</f>
        <v>3528</v>
      </c>
      <c r="CX34" s="298" t="n">
        <f aca="false">IF(COUNTIF(CAPA3_EXPANSION!$D$56:CX$56,"&gt;="&amp;27)=0,0,SUP_CONTROL!$C$8*IF($B34="V",1,IF($B34="D",(1+SUP_VOLUMEN!$C$26),(1+SUP_VOLUMEN!$C$27)))*INDEX(SUP_C3_EXPANSION!$C$6:$F$6,MIN(4,COUNTIF(CAPA3_EXPANSION!$D$56:CX$56,"&gt;="&amp;27)))*CAPA3_EXPANSION!CX$36)</f>
        <v>3528</v>
      </c>
      <c r="CY34" s="298" t="n">
        <f aca="false">IF(COUNTIF(CAPA3_EXPANSION!$D$56:CY$56,"&gt;="&amp;27)=0,0,SUP_CONTROL!$C$8*IF($B34="V",1,IF($B34="D",(1+SUP_VOLUMEN!$C$26),(1+SUP_VOLUMEN!$C$27)))*INDEX(SUP_C3_EXPANSION!$C$6:$F$6,MIN(4,COUNTIF(CAPA3_EXPANSION!$D$56:CY$56,"&gt;="&amp;27)))*CAPA3_EXPANSION!CY$36)</f>
        <v>3528</v>
      </c>
      <c r="CZ34" s="298" t="n">
        <f aca="false">IF(COUNTIF(CAPA3_EXPANSION!$D$56:CZ$56,"&gt;="&amp;27)=0,0,SUP_CONTROL!$C$8*IF($B34="V",1,IF($B34="D",(1+SUP_VOLUMEN!$C$26),(1+SUP_VOLUMEN!$C$27)))*INDEX(SUP_C3_EXPANSION!$C$6:$F$6,MIN(4,COUNTIF(CAPA3_EXPANSION!$D$56:CZ$56,"&gt;="&amp;27)))*CAPA3_EXPANSION!CZ$36)</f>
        <v>3528</v>
      </c>
      <c r="DA34" s="298" t="n">
        <f aca="false">IF(COUNTIF(CAPA3_EXPANSION!$D$56:DA$56,"&gt;="&amp;27)=0,0,SUP_CONTROL!$C$8*IF($B34="V",1,IF($B34="D",(1+SUP_VOLUMEN!$C$26),(1+SUP_VOLUMEN!$C$27)))*INDEX(SUP_C3_EXPANSION!$C$6:$F$6,MIN(4,COUNTIF(CAPA3_EXPANSION!$D$56:DA$56,"&gt;="&amp;27)))*CAPA3_EXPANSION!DA$36)</f>
        <v>3528</v>
      </c>
      <c r="DB34" s="298" t="n">
        <f aca="false">IF(COUNTIF(CAPA3_EXPANSION!$D$56:DB$56,"&gt;="&amp;27)=0,0,SUP_CONTROL!$C$8*IF($B34="V",1,IF($B34="D",(1+SUP_VOLUMEN!$C$26),(1+SUP_VOLUMEN!$C$27)))*INDEX(SUP_C3_EXPANSION!$C$6:$F$6,MIN(4,COUNTIF(CAPA3_EXPANSION!$D$56:DB$56,"&gt;="&amp;27)))*CAPA3_EXPANSION!DB$36)</f>
        <v>3528</v>
      </c>
      <c r="DC34" s="298" t="n">
        <f aca="false">IF(COUNTIF(CAPA3_EXPANSION!$D$56:DC$56,"&gt;="&amp;27)=0,0,SUP_CONTROL!$C$8*IF($B34="V",1,IF($B34="D",(1+SUP_VOLUMEN!$C$26),(1+SUP_VOLUMEN!$C$27)))*INDEX(SUP_C3_EXPANSION!$C$6:$F$6,MIN(4,COUNTIF(CAPA3_EXPANSION!$D$56:DC$56,"&gt;="&amp;27)))*CAPA3_EXPANSION!DC$36)</f>
        <v>3528</v>
      </c>
      <c r="DD34" s="298" t="n">
        <f aca="false">IF(COUNTIF(CAPA3_EXPANSION!$D$56:DD$56,"&gt;="&amp;27)=0,0,SUP_CONTROL!$C$8*IF($B34="V",1,IF($B34="D",(1+SUP_VOLUMEN!$C$26),(1+SUP_VOLUMEN!$C$27)))*INDEX(SUP_C3_EXPANSION!$C$6:$F$6,MIN(4,COUNTIF(CAPA3_EXPANSION!$D$56:DD$56,"&gt;="&amp;27)))*CAPA3_EXPANSION!DD$36)</f>
        <v>3528</v>
      </c>
      <c r="DE34" s="298" t="n">
        <f aca="false">IF(COUNTIF(CAPA3_EXPANSION!$D$56:DE$56,"&gt;="&amp;27)=0,0,SUP_CONTROL!$C$8*IF($B34="V",1,IF($B34="D",(1+SUP_VOLUMEN!$C$26),(1+SUP_VOLUMEN!$C$27)))*INDEX(SUP_C3_EXPANSION!$C$6:$F$6,MIN(4,COUNTIF(CAPA3_EXPANSION!$D$56:DE$56,"&gt;="&amp;27)))*CAPA3_EXPANSION!DE$36)</f>
        <v>3528</v>
      </c>
      <c r="DF34" s="298" t="n">
        <f aca="false">IF(COUNTIF(CAPA3_EXPANSION!$D$56:DF$56,"&gt;="&amp;27)=0,0,SUP_CONTROL!$C$8*IF($B34="V",1,IF($B34="D",(1+SUP_VOLUMEN!$C$26),(1+SUP_VOLUMEN!$C$27)))*INDEX(SUP_C3_EXPANSION!$C$6:$F$6,MIN(4,COUNTIF(CAPA3_EXPANSION!$D$56:DF$56,"&gt;="&amp;27)))*CAPA3_EXPANSION!DF$36)</f>
        <v>3528</v>
      </c>
      <c r="DG34" s="298" t="n">
        <f aca="false">IF(COUNTIF(CAPA3_EXPANSION!$D$56:DG$56,"&gt;="&amp;27)=0,0,SUP_CONTROL!$C$8*IF($B34="V",1,IF($B34="D",(1+SUP_VOLUMEN!$C$26),(1+SUP_VOLUMEN!$C$27)))*INDEX(SUP_C3_EXPANSION!$C$6:$F$6,MIN(4,COUNTIF(CAPA3_EXPANSION!$D$56:DG$56,"&gt;="&amp;27)))*CAPA3_EXPANSION!DG$36)</f>
        <v>3528</v>
      </c>
      <c r="DH34" s="298" t="n">
        <f aca="false">IF(COUNTIF(CAPA3_EXPANSION!$D$56:DH$56,"&gt;="&amp;27)=0,0,SUP_CONTROL!$C$8*IF($B34="V",1,IF($B34="D",(1+SUP_VOLUMEN!$C$26),(1+SUP_VOLUMEN!$C$27)))*INDEX(SUP_C3_EXPANSION!$C$6:$F$6,MIN(4,COUNTIF(CAPA3_EXPANSION!$D$56:DH$56,"&gt;="&amp;27)))*CAPA3_EXPANSION!DH$36)</f>
        <v>3528</v>
      </c>
      <c r="DI34" s="298" t="n">
        <f aca="false">IF(COUNTIF(CAPA3_EXPANSION!$D$56:DI$56,"&gt;="&amp;27)=0,0,SUP_CONTROL!$C$8*IF($B34="V",1,IF($B34="D",(1+SUP_VOLUMEN!$C$26),(1+SUP_VOLUMEN!$C$27)))*INDEX(SUP_C3_EXPANSION!$C$6:$F$6,MIN(4,COUNTIF(CAPA3_EXPANSION!$D$56:DI$56,"&gt;="&amp;27)))*CAPA3_EXPANSION!DI$36)</f>
        <v>3528</v>
      </c>
      <c r="DJ34" s="298" t="n">
        <f aca="false">IF(COUNTIF(CAPA3_EXPANSION!$D$56:DJ$56,"&gt;="&amp;27)=0,0,SUP_CONTROL!$C$8*IF($B34="V",1,IF($B34="D",(1+SUP_VOLUMEN!$C$26),(1+SUP_VOLUMEN!$C$27)))*INDEX(SUP_C3_EXPANSION!$C$6:$F$6,MIN(4,COUNTIF(CAPA3_EXPANSION!$D$56:DJ$56,"&gt;="&amp;27)))*CAPA3_EXPANSION!DJ$36)</f>
        <v>3528</v>
      </c>
      <c r="DK34" s="298" t="n">
        <f aca="false">IF(COUNTIF(CAPA3_EXPANSION!$D$56:DK$56,"&gt;="&amp;27)=0,0,SUP_CONTROL!$C$8*IF($B34="V",1,IF($B34="D",(1+SUP_VOLUMEN!$C$26),(1+SUP_VOLUMEN!$C$27)))*INDEX(SUP_C3_EXPANSION!$C$6:$F$6,MIN(4,COUNTIF(CAPA3_EXPANSION!$D$56:DK$56,"&gt;="&amp;27)))*CAPA3_EXPANSION!DK$36)</f>
        <v>3528</v>
      </c>
      <c r="DL34" s="298" t="n">
        <f aca="false">IF(COUNTIF(CAPA3_EXPANSION!$D$56:DL$56,"&gt;="&amp;27)=0,0,SUP_CONTROL!$C$8*IF($B34="V",1,IF($B34="D",(1+SUP_VOLUMEN!$C$26),(1+SUP_VOLUMEN!$C$27)))*INDEX(SUP_C3_EXPANSION!$C$6:$F$6,MIN(4,COUNTIF(CAPA3_EXPANSION!$D$56:DL$56,"&gt;="&amp;27)))*CAPA3_EXPANSION!DL$36)</f>
        <v>3528</v>
      </c>
      <c r="DM34" s="298" t="n">
        <f aca="false">IF(COUNTIF(CAPA3_EXPANSION!$D$56:DM$56,"&gt;="&amp;27)=0,0,SUP_CONTROL!$C$8*IF($B34="V",1,IF($B34="D",(1+SUP_VOLUMEN!$C$26),(1+SUP_VOLUMEN!$C$27)))*INDEX(SUP_C3_EXPANSION!$C$6:$F$6,MIN(4,COUNTIF(CAPA3_EXPANSION!$D$56:DM$56,"&gt;="&amp;27)))*CAPA3_EXPANSION!DM$36)</f>
        <v>3528</v>
      </c>
      <c r="DN34" s="298" t="n">
        <f aca="false">IF(COUNTIF(CAPA3_EXPANSION!$D$56:DN$56,"&gt;="&amp;27)=0,0,SUP_CONTROL!$C$8*IF($B34="V",1,IF($B34="D",(1+SUP_VOLUMEN!$C$26),(1+SUP_VOLUMEN!$C$27)))*INDEX(SUP_C3_EXPANSION!$C$6:$F$6,MIN(4,COUNTIF(CAPA3_EXPANSION!$D$56:DN$56,"&gt;="&amp;27)))*CAPA3_EXPANSION!DN$36)</f>
        <v>3528</v>
      </c>
      <c r="DO34" s="298" t="n">
        <f aca="false">IF(COUNTIF(CAPA3_EXPANSION!$D$56:DO$56,"&gt;="&amp;27)=0,0,SUP_CONTROL!$C$8*IF($B34="V",1,IF($B34="D",(1+SUP_VOLUMEN!$C$26),(1+SUP_VOLUMEN!$C$27)))*INDEX(SUP_C3_EXPANSION!$C$6:$F$6,MIN(4,COUNTIF(CAPA3_EXPANSION!$D$56:DO$56,"&gt;="&amp;27)))*CAPA3_EXPANSION!DO$36)</f>
        <v>3528</v>
      </c>
      <c r="DP34" s="298" t="n">
        <f aca="false">IF(COUNTIF(CAPA3_EXPANSION!$D$56:DP$56,"&gt;="&amp;27)=0,0,SUP_CONTROL!$C$8*IF($B34="V",1,IF($B34="D",(1+SUP_VOLUMEN!$C$26),(1+SUP_VOLUMEN!$C$27)))*INDEX(SUP_C3_EXPANSION!$C$6:$F$6,MIN(4,COUNTIF(CAPA3_EXPANSION!$D$56:DP$56,"&gt;="&amp;27)))*CAPA3_EXPANSION!DP$36)</f>
        <v>3528</v>
      </c>
      <c r="DQ34" s="298" t="n">
        <f aca="false">IF(COUNTIF(CAPA3_EXPANSION!$D$56:DQ$56,"&gt;="&amp;27)=0,0,SUP_CONTROL!$C$8*IF($B34="V",1,IF($B34="D",(1+SUP_VOLUMEN!$C$26),(1+SUP_VOLUMEN!$C$27)))*INDEX(SUP_C3_EXPANSION!$C$6:$F$6,MIN(4,COUNTIF(CAPA3_EXPANSION!$D$56:DQ$56,"&gt;="&amp;27)))*CAPA3_EXPANSION!DQ$36)</f>
        <v>3528</v>
      </c>
      <c r="DR34" s="298" t="n">
        <f aca="false">IF(COUNTIF(CAPA3_EXPANSION!$D$56:DR$56,"&gt;="&amp;27)=0,0,SUP_CONTROL!$C$8*IF($B34="V",1,IF($B34="D",(1+SUP_VOLUMEN!$C$26),(1+SUP_VOLUMEN!$C$27)))*INDEX(SUP_C3_EXPANSION!$C$6:$F$6,MIN(4,COUNTIF(CAPA3_EXPANSION!$D$56:DR$56,"&gt;="&amp;27)))*CAPA3_EXPANSION!DR$36)</f>
        <v>3528</v>
      </c>
      <c r="DS34" s="298" t="n">
        <f aca="false">IF(COUNTIF(CAPA3_EXPANSION!$D$56:DS$56,"&gt;="&amp;27)=0,0,SUP_CONTROL!$C$8*IF($B34="V",1,IF($B34="D",(1+SUP_VOLUMEN!$C$26),(1+SUP_VOLUMEN!$C$27)))*INDEX(SUP_C3_EXPANSION!$C$6:$F$6,MIN(4,COUNTIF(CAPA3_EXPANSION!$D$56:DS$56,"&gt;="&amp;27)))*CAPA3_EXPANSION!DS$36)</f>
        <v>3528</v>
      </c>
    </row>
    <row r="35" customFormat="false" ht="15" hidden="false" customHeight="true" outlineLevel="0" collapsed="false">
      <c r="A35" s="298" t="n">
        <v>38</v>
      </c>
      <c r="B35" s="497" t="str">
        <f aca="false">SUP_C3_EXPANSION!B47</f>
        <v>V</v>
      </c>
      <c r="C35" s="267" t="n">
        <f aca="false">SUP_C3_EXPANSION!G47</f>
        <v>69</v>
      </c>
      <c r="D35" s="298" t="n">
        <f aca="false">IF(COUNTIF(CAPA3_EXPANSION!$D$56:D$56,"&gt;="&amp;28)=0,0,SUP_CONTROL!$C$8*IF($B35="V",1,IF($B35="D",(1+SUP_VOLUMEN!$C$26),(1+SUP_VOLUMEN!$C$27)))*INDEX(SUP_C3_EXPANSION!$C$6:$F$6,MIN(4,COUNTIF(CAPA3_EXPANSION!$D$56:D$56,"&gt;="&amp;28)))*CAPA3_EXPANSION!D$36)</f>
        <v>0</v>
      </c>
      <c r="E35" s="298" t="n">
        <f aca="false">IF(COUNTIF(CAPA3_EXPANSION!$D$56:E$56,"&gt;="&amp;28)=0,0,SUP_CONTROL!$C$8*IF($B35="V",1,IF($B35="D",(1+SUP_VOLUMEN!$C$26),(1+SUP_VOLUMEN!$C$27)))*INDEX(SUP_C3_EXPANSION!$C$6:$F$6,MIN(4,COUNTIF(CAPA3_EXPANSION!$D$56:E$56,"&gt;="&amp;28)))*CAPA3_EXPANSION!E$36)</f>
        <v>0</v>
      </c>
      <c r="F35" s="298" t="n">
        <f aca="false">IF(COUNTIF(CAPA3_EXPANSION!$D$56:F$56,"&gt;="&amp;28)=0,0,SUP_CONTROL!$C$8*IF($B35="V",1,IF($B35="D",(1+SUP_VOLUMEN!$C$26),(1+SUP_VOLUMEN!$C$27)))*INDEX(SUP_C3_EXPANSION!$C$6:$F$6,MIN(4,COUNTIF(CAPA3_EXPANSION!$D$56:F$56,"&gt;="&amp;28)))*CAPA3_EXPANSION!F$36)</f>
        <v>0</v>
      </c>
      <c r="G35" s="298" t="n">
        <f aca="false">IF(COUNTIF(CAPA3_EXPANSION!$D$56:G$56,"&gt;="&amp;28)=0,0,SUP_CONTROL!$C$8*IF($B35="V",1,IF($B35="D",(1+SUP_VOLUMEN!$C$26),(1+SUP_VOLUMEN!$C$27)))*INDEX(SUP_C3_EXPANSION!$C$6:$F$6,MIN(4,COUNTIF(CAPA3_EXPANSION!$D$56:G$56,"&gt;="&amp;28)))*CAPA3_EXPANSION!G$36)</f>
        <v>0</v>
      </c>
      <c r="H35" s="298" t="n">
        <f aca="false">IF(COUNTIF(CAPA3_EXPANSION!$D$56:H$56,"&gt;="&amp;28)=0,0,SUP_CONTROL!$C$8*IF($B35="V",1,IF($B35="D",(1+SUP_VOLUMEN!$C$26),(1+SUP_VOLUMEN!$C$27)))*INDEX(SUP_C3_EXPANSION!$C$6:$F$6,MIN(4,COUNTIF(CAPA3_EXPANSION!$D$56:H$56,"&gt;="&amp;28)))*CAPA3_EXPANSION!H$36)</f>
        <v>0</v>
      </c>
      <c r="I35" s="298" t="n">
        <f aca="false">IF(COUNTIF(CAPA3_EXPANSION!$D$56:I$56,"&gt;="&amp;28)=0,0,SUP_CONTROL!$C$8*IF($B35="V",1,IF($B35="D",(1+SUP_VOLUMEN!$C$26),(1+SUP_VOLUMEN!$C$27)))*INDEX(SUP_C3_EXPANSION!$C$6:$F$6,MIN(4,COUNTIF(CAPA3_EXPANSION!$D$56:I$56,"&gt;="&amp;28)))*CAPA3_EXPANSION!I$36)</f>
        <v>0</v>
      </c>
      <c r="J35" s="298" t="n">
        <f aca="false">IF(COUNTIF(CAPA3_EXPANSION!$D$56:J$56,"&gt;="&amp;28)=0,0,SUP_CONTROL!$C$8*IF($B35="V",1,IF($B35="D",(1+SUP_VOLUMEN!$C$26),(1+SUP_VOLUMEN!$C$27)))*INDEX(SUP_C3_EXPANSION!$C$6:$F$6,MIN(4,COUNTIF(CAPA3_EXPANSION!$D$56:J$56,"&gt;="&amp;28)))*CAPA3_EXPANSION!J$36)</f>
        <v>0</v>
      </c>
      <c r="K35" s="298" t="n">
        <f aca="false">IF(COUNTIF(CAPA3_EXPANSION!$D$56:K$56,"&gt;="&amp;28)=0,0,SUP_CONTROL!$C$8*IF($B35="V",1,IF($B35="D",(1+SUP_VOLUMEN!$C$26),(1+SUP_VOLUMEN!$C$27)))*INDEX(SUP_C3_EXPANSION!$C$6:$F$6,MIN(4,COUNTIF(CAPA3_EXPANSION!$D$56:K$56,"&gt;="&amp;28)))*CAPA3_EXPANSION!K$36)</f>
        <v>0</v>
      </c>
      <c r="L35" s="298" t="n">
        <f aca="false">IF(COUNTIF(CAPA3_EXPANSION!$D$56:L$56,"&gt;="&amp;28)=0,0,SUP_CONTROL!$C$8*IF($B35="V",1,IF($B35="D",(1+SUP_VOLUMEN!$C$26),(1+SUP_VOLUMEN!$C$27)))*INDEX(SUP_C3_EXPANSION!$C$6:$F$6,MIN(4,COUNTIF(CAPA3_EXPANSION!$D$56:L$56,"&gt;="&amp;28)))*CAPA3_EXPANSION!L$36)</f>
        <v>0</v>
      </c>
      <c r="M35" s="298" t="n">
        <f aca="false">IF(COUNTIF(CAPA3_EXPANSION!$D$56:M$56,"&gt;="&amp;28)=0,0,SUP_CONTROL!$C$8*IF($B35="V",1,IF($B35="D",(1+SUP_VOLUMEN!$C$26),(1+SUP_VOLUMEN!$C$27)))*INDEX(SUP_C3_EXPANSION!$C$6:$F$6,MIN(4,COUNTIF(CAPA3_EXPANSION!$D$56:M$56,"&gt;="&amp;28)))*CAPA3_EXPANSION!M$36)</f>
        <v>0</v>
      </c>
      <c r="N35" s="298" t="n">
        <f aca="false">IF(COUNTIF(CAPA3_EXPANSION!$D$56:N$56,"&gt;="&amp;28)=0,0,SUP_CONTROL!$C$8*IF($B35="V",1,IF($B35="D",(1+SUP_VOLUMEN!$C$26),(1+SUP_VOLUMEN!$C$27)))*INDEX(SUP_C3_EXPANSION!$C$6:$F$6,MIN(4,COUNTIF(CAPA3_EXPANSION!$D$56:N$56,"&gt;="&amp;28)))*CAPA3_EXPANSION!N$36)</f>
        <v>0</v>
      </c>
      <c r="O35" s="298" t="n">
        <f aca="false">IF(COUNTIF(CAPA3_EXPANSION!$D$56:O$56,"&gt;="&amp;28)=0,0,SUP_CONTROL!$C$8*IF($B35="V",1,IF($B35="D",(1+SUP_VOLUMEN!$C$26),(1+SUP_VOLUMEN!$C$27)))*INDEX(SUP_C3_EXPANSION!$C$6:$F$6,MIN(4,COUNTIF(CAPA3_EXPANSION!$D$56:O$56,"&gt;="&amp;28)))*CAPA3_EXPANSION!O$36)</f>
        <v>0</v>
      </c>
      <c r="P35" s="298" t="n">
        <f aca="false">IF(COUNTIF(CAPA3_EXPANSION!$D$56:P$56,"&gt;="&amp;28)=0,0,SUP_CONTROL!$C$8*IF($B35="V",1,IF($B35="D",(1+SUP_VOLUMEN!$C$26),(1+SUP_VOLUMEN!$C$27)))*INDEX(SUP_C3_EXPANSION!$C$6:$F$6,MIN(4,COUNTIF(CAPA3_EXPANSION!$D$56:P$56,"&gt;="&amp;28)))*CAPA3_EXPANSION!P$36)</f>
        <v>0</v>
      </c>
      <c r="Q35" s="298" t="n">
        <f aca="false">IF(COUNTIF(CAPA3_EXPANSION!$D$56:Q$56,"&gt;="&amp;28)=0,0,SUP_CONTROL!$C$8*IF($B35="V",1,IF($B35="D",(1+SUP_VOLUMEN!$C$26),(1+SUP_VOLUMEN!$C$27)))*INDEX(SUP_C3_EXPANSION!$C$6:$F$6,MIN(4,COUNTIF(CAPA3_EXPANSION!$D$56:Q$56,"&gt;="&amp;28)))*CAPA3_EXPANSION!Q$36)</f>
        <v>0</v>
      </c>
      <c r="R35" s="298" t="n">
        <f aca="false">IF(COUNTIF(CAPA3_EXPANSION!$D$56:R$56,"&gt;="&amp;28)=0,0,SUP_CONTROL!$C$8*IF($B35="V",1,IF($B35="D",(1+SUP_VOLUMEN!$C$26),(1+SUP_VOLUMEN!$C$27)))*INDEX(SUP_C3_EXPANSION!$C$6:$F$6,MIN(4,COUNTIF(CAPA3_EXPANSION!$D$56:R$56,"&gt;="&amp;28)))*CAPA3_EXPANSION!R$36)</f>
        <v>0</v>
      </c>
      <c r="S35" s="298" t="n">
        <f aca="false">IF(COUNTIF(CAPA3_EXPANSION!$D$56:S$56,"&gt;="&amp;28)=0,0,SUP_CONTROL!$C$8*IF($B35="V",1,IF($B35="D",(1+SUP_VOLUMEN!$C$26),(1+SUP_VOLUMEN!$C$27)))*INDEX(SUP_C3_EXPANSION!$C$6:$F$6,MIN(4,COUNTIF(CAPA3_EXPANSION!$D$56:S$56,"&gt;="&amp;28)))*CAPA3_EXPANSION!S$36)</f>
        <v>0</v>
      </c>
      <c r="T35" s="298" t="n">
        <f aca="false">IF(COUNTIF(CAPA3_EXPANSION!$D$56:T$56,"&gt;="&amp;28)=0,0,SUP_CONTROL!$C$8*IF($B35="V",1,IF($B35="D",(1+SUP_VOLUMEN!$C$26),(1+SUP_VOLUMEN!$C$27)))*INDEX(SUP_C3_EXPANSION!$C$6:$F$6,MIN(4,COUNTIF(CAPA3_EXPANSION!$D$56:T$56,"&gt;="&amp;28)))*CAPA3_EXPANSION!T$36)</f>
        <v>0</v>
      </c>
      <c r="U35" s="298" t="n">
        <f aca="false">IF(COUNTIF(CAPA3_EXPANSION!$D$56:U$56,"&gt;="&amp;28)=0,0,SUP_CONTROL!$C$8*IF($B35="V",1,IF($B35="D",(1+SUP_VOLUMEN!$C$26),(1+SUP_VOLUMEN!$C$27)))*INDEX(SUP_C3_EXPANSION!$C$6:$F$6,MIN(4,COUNTIF(CAPA3_EXPANSION!$D$56:U$56,"&gt;="&amp;28)))*CAPA3_EXPANSION!U$36)</f>
        <v>0</v>
      </c>
      <c r="V35" s="298" t="n">
        <f aca="false">IF(COUNTIF(CAPA3_EXPANSION!$D$56:V$56,"&gt;="&amp;28)=0,0,SUP_CONTROL!$C$8*IF($B35="V",1,IF($B35="D",(1+SUP_VOLUMEN!$C$26),(1+SUP_VOLUMEN!$C$27)))*INDEX(SUP_C3_EXPANSION!$C$6:$F$6,MIN(4,COUNTIF(CAPA3_EXPANSION!$D$56:V$56,"&gt;="&amp;28)))*CAPA3_EXPANSION!V$36)</f>
        <v>0</v>
      </c>
      <c r="W35" s="298" t="n">
        <f aca="false">IF(COUNTIF(CAPA3_EXPANSION!$D$56:W$56,"&gt;="&amp;28)=0,0,SUP_CONTROL!$C$8*IF($B35="V",1,IF($B35="D",(1+SUP_VOLUMEN!$C$26),(1+SUP_VOLUMEN!$C$27)))*INDEX(SUP_C3_EXPANSION!$C$6:$F$6,MIN(4,COUNTIF(CAPA3_EXPANSION!$D$56:W$56,"&gt;="&amp;28)))*CAPA3_EXPANSION!W$36)</f>
        <v>0</v>
      </c>
      <c r="X35" s="298" t="n">
        <f aca="false">IF(COUNTIF(CAPA3_EXPANSION!$D$56:X$56,"&gt;="&amp;28)=0,0,SUP_CONTROL!$C$8*IF($B35="V",1,IF($B35="D",(1+SUP_VOLUMEN!$C$26),(1+SUP_VOLUMEN!$C$27)))*INDEX(SUP_C3_EXPANSION!$C$6:$F$6,MIN(4,COUNTIF(CAPA3_EXPANSION!$D$56:X$56,"&gt;="&amp;28)))*CAPA3_EXPANSION!X$36)</f>
        <v>0</v>
      </c>
      <c r="Y35" s="298" t="n">
        <f aca="false">IF(COUNTIF(CAPA3_EXPANSION!$D$56:Y$56,"&gt;="&amp;28)=0,0,SUP_CONTROL!$C$8*IF($B35="V",1,IF($B35="D",(1+SUP_VOLUMEN!$C$26),(1+SUP_VOLUMEN!$C$27)))*INDEX(SUP_C3_EXPANSION!$C$6:$F$6,MIN(4,COUNTIF(CAPA3_EXPANSION!$D$56:Y$56,"&gt;="&amp;28)))*CAPA3_EXPANSION!Y$36)</f>
        <v>0</v>
      </c>
      <c r="Z35" s="298" t="n">
        <f aca="false">IF(COUNTIF(CAPA3_EXPANSION!$D$56:Z$56,"&gt;="&amp;28)=0,0,SUP_CONTROL!$C$8*IF($B35="V",1,IF($B35="D",(1+SUP_VOLUMEN!$C$26),(1+SUP_VOLUMEN!$C$27)))*INDEX(SUP_C3_EXPANSION!$C$6:$F$6,MIN(4,COUNTIF(CAPA3_EXPANSION!$D$56:Z$56,"&gt;="&amp;28)))*CAPA3_EXPANSION!Z$36)</f>
        <v>0</v>
      </c>
      <c r="AA35" s="298" t="n">
        <f aca="false">IF(COUNTIF(CAPA3_EXPANSION!$D$56:AA$56,"&gt;="&amp;28)=0,0,SUP_CONTROL!$C$8*IF($B35="V",1,IF($B35="D",(1+SUP_VOLUMEN!$C$26),(1+SUP_VOLUMEN!$C$27)))*INDEX(SUP_C3_EXPANSION!$C$6:$F$6,MIN(4,COUNTIF(CAPA3_EXPANSION!$D$56:AA$56,"&gt;="&amp;28)))*CAPA3_EXPANSION!AA$36)</f>
        <v>0</v>
      </c>
      <c r="AB35" s="298" t="n">
        <f aca="false">IF(COUNTIF(CAPA3_EXPANSION!$D$56:AB$56,"&gt;="&amp;28)=0,0,SUP_CONTROL!$C$8*IF($B35="V",1,IF($B35="D",(1+SUP_VOLUMEN!$C$26),(1+SUP_VOLUMEN!$C$27)))*INDEX(SUP_C3_EXPANSION!$C$6:$F$6,MIN(4,COUNTIF(CAPA3_EXPANSION!$D$56:AB$56,"&gt;="&amp;28)))*CAPA3_EXPANSION!AB$36)</f>
        <v>0</v>
      </c>
      <c r="AC35" s="298" t="n">
        <f aca="false">IF(COUNTIF(CAPA3_EXPANSION!$D$56:AC$56,"&gt;="&amp;28)=0,0,SUP_CONTROL!$C$8*IF($B35="V",1,IF($B35="D",(1+SUP_VOLUMEN!$C$26),(1+SUP_VOLUMEN!$C$27)))*INDEX(SUP_C3_EXPANSION!$C$6:$F$6,MIN(4,COUNTIF(CAPA3_EXPANSION!$D$56:AC$56,"&gt;="&amp;28)))*CAPA3_EXPANSION!AC$36)</f>
        <v>0</v>
      </c>
      <c r="AD35" s="298" t="n">
        <f aca="false">IF(COUNTIF(CAPA3_EXPANSION!$D$56:AD$56,"&gt;="&amp;28)=0,0,SUP_CONTROL!$C$8*IF($B35="V",1,IF($B35="D",(1+SUP_VOLUMEN!$C$26),(1+SUP_VOLUMEN!$C$27)))*INDEX(SUP_C3_EXPANSION!$C$6:$F$6,MIN(4,COUNTIF(CAPA3_EXPANSION!$D$56:AD$56,"&gt;="&amp;28)))*CAPA3_EXPANSION!AD$36)</f>
        <v>0</v>
      </c>
      <c r="AE35" s="298" t="n">
        <f aca="false">IF(COUNTIF(CAPA3_EXPANSION!$D$56:AE$56,"&gt;="&amp;28)=0,0,SUP_CONTROL!$C$8*IF($B35="V",1,IF($B35="D",(1+SUP_VOLUMEN!$C$26),(1+SUP_VOLUMEN!$C$27)))*INDEX(SUP_C3_EXPANSION!$C$6:$F$6,MIN(4,COUNTIF(CAPA3_EXPANSION!$D$56:AE$56,"&gt;="&amp;28)))*CAPA3_EXPANSION!AE$36)</f>
        <v>0</v>
      </c>
      <c r="AF35" s="298" t="n">
        <f aca="false">IF(COUNTIF(CAPA3_EXPANSION!$D$56:AF$56,"&gt;="&amp;28)=0,0,SUP_CONTROL!$C$8*IF($B35="V",1,IF($B35="D",(1+SUP_VOLUMEN!$C$26),(1+SUP_VOLUMEN!$C$27)))*INDEX(SUP_C3_EXPANSION!$C$6:$F$6,MIN(4,COUNTIF(CAPA3_EXPANSION!$D$56:AF$56,"&gt;="&amp;28)))*CAPA3_EXPANSION!AF$36)</f>
        <v>0</v>
      </c>
      <c r="AG35" s="298" t="n">
        <f aca="false">IF(COUNTIF(CAPA3_EXPANSION!$D$56:AG$56,"&gt;="&amp;28)=0,0,SUP_CONTROL!$C$8*IF($B35="V",1,IF($B35="D",(1+SUP_VOLUMEN!$C$26),(1+SUP_VOLUMEN!$C$27)))*INDEX(SUP_C3_EXPANSION!$C$6:$F$6,MIN(4,COUNTIF(CAPA3_EXPANSION!$D$56:AG$56,"&gt;="&amp;28)))*CAPA3_EXPANSION!AG$36)</f>
        <v>0</v>
      </c>
      <c r="AH35" s="298" t="n">
        <f aca="false">IF(COUNTIF(CAPA3_EXPANSION!$D$56:AH$56,"&gt;="&amp;28)=0,0,SUP_CONTROL!$C$8*IF($B35="V",1,IF($B35="D",(1+SUP_VOLUMEN!$C$26),(1+SUP_VOLUMEN!$C$27)))*INDEX(SUP_C3_EXPANSION!$C$6:$F$6,MIN(4,COUNTIF(CAPA3_EXPANSION!$D$56:AH$56,"&gt;="&amp;28)))*CAPA3_EXPANSION!AH$36)</f>
        <v>0</v>
      </c>
      <c r="AI35" s="298" t="n">
        <f aca="false">IF(COUNTIF(CAPA3_EXPANSION!$D$56:AI$56,"&gt;="&amp;28)=0,0,SUP_CONTROL!$C$8*IF($B35="V",1,IF($B35="D",(1+SUP_VOLUMEN!$C$26),(1+SUP_VOLUMEN!$C$27)))*INDEX(SUP_C3_EXPANSION!$C$6:$F$6,MIN(4,COUNTIF(CAPA3_EXPANSION!$D$56:AI$56,"&gt;="&amp;28)))*CAPA3_EXPANSION!AI$36)</f>
        <v>0</v>
      </c>
      <c r="AJ35" s="298" t="n">
        <f aca="false">IF(COUNTIF(CAPA3_EXPANSION!$D$56:AJ$56,"&gt;="&amp;28)=0,0,SUP_CONTROL!$C$8*IF($B35="V",1,IF($B35="D",(1+SUP_VOLUMEN!$C$26),(1+SUP_VOLUMEN!$C$27)))*INDEX(SUP_C3_EXPANSION!$C$6:$F$6,MIN(4,COUNTIF(CAPA3_EXPANSION!$D$56:AJ$56,"&gt;="&amp;28)))*CAPA3_EXPANSION!AJ$36)</f>
        <v>0</v>
      </c>
      <c r="AK35" s="298" t="n">
        <f aca="false">IF(COUNTIF(CAPA3_EXPANSION!$D$56:AK$56,"&gt;="&amp;28)=0,0,SUP_CONTROL!$C$8*IF($B35="V",1,IF($B35="D",(1+SUP_VOLUMEN!$C$26),(1+SUP_VOLUMEN!$C$27)))*INDEX(SUP_C3_EXPANSION!$C$6:$F$6,MIN(4,COUNTIF(CAPA3_EXPANSION!$D$56:AK$56,"&gt;="&amp;28)))*CAPA3_EXPANSION!AK$36)</f>
        <v>0</v>
      </c>
      <c r="AL35" s="298" t="n">
        <f aca="false">IF(COUNTIF(CAPA3_EXPANSION!$D$56:AL$56,"&gt;="&amp;28)=0,0,SUP_CONTROL!$C$8*IF($B35="V",1,IF($B35="D",(1+SUP_VOLUMEN!$C$26),(1+SUP_VOLUMEN!$C$27)))*INDEX(SUP_C3_EXPANSION!$C$6:$F$6,MIN(4,COUNTIF(CAPA3_EXPANSION!$D$56:AL$56,"&gt;="&amp;28)))*CAPA3_EXPANSION!AL$36)</f>
        <v>0</v>
      </c>
      <c r="AM35" s="298" t="n">
        <f aca="false">IF(COUNTIF(CAPA3_EXPANSION!$D$56:AM$56,"&gt;="&amp;28)=0,0,SUP_CONTROL!$C$8*IF($B35="V",1,IF($B35="D",(1+SUP_VOLUMEN!$C$26),(1+SUP_VOLUMEN!$C$27)))*INDEX(SUP_C3_EXPANSION!$C$6:$F$6,MIN(4,COUNTIF(CAPA3_EXPANSION!$D$56:AM$56,"&gt;="&amp;28)))*CAPA3_EXPANSION!AM$36)</f>
        <v>0</v>
      </c>
      <c r="AN35" s="298" t="n">
        <f aca="false">IF(COUNTIF(CAPA3_EXPANSION!$D$56:AN$56,"&gt;="&amp;28)=0,0,SUP_CONTROL!$C$8*IF($B35="V",1,IF($B35="D",(1+SUP_VOLUMEN!$C$26),(1+SUP_VOLUMEN!$C$27)))*INDEX(SUP_C3_EXPANSION!$C$6:$F$6,MIN(4,COUNTIF(CAPA3_EXPANSION!$D$56:AN$56,"&gt;="&amp;28)))*CAPA3_EXPANSION!AN$36)</f>
        <v>0</v>
      </c>
      <c r="AO35" s="298" t="n">
        <f aca="false">IF(COUNTIF(CAPA3_EXPANSION!$D$56:AO$56,"&gt;="&amp;28)=0,0,SUP_CONTROL!$C$8*IF($B35="V",1,IF($B35="D",(1+SUP_VOLUMEN!$C$26),(1+SUP_VOLUMEN!$C$27)))*INDEX(SUP_C3_EXPANSION!$C$6:$F$6,MIN(4,COUNTIF(CAPA3_EXPANSION!$D$56:AO$56,"&gt;="&amp;28)))*CAPA3_EXPANSION!AO$36)</f>
        <v>0</v>
      </c>
      <c r="AP35" s="298" t="n">
        <f aca="false">IF(COUNTIF(CAPA3_EXPANSION!$D$56:AP$56,"&gt;="&amp;28)=0,0,SUP_CONTROL!$C$8*IF($B35="V",1,IF($B35="D",(1+SUP_VOLUMEN!$C$26),(1+SUP_VOLUMEN!$C$27)))*INDEX(SUP_C3_EXPANSION!$C$6:$F$6,MIN(4,COUNTIF(CAPA3_EXPANSION!$D$56:AP$56,"&gt;="&amp;28)))*CAPA3_EXPANSION!AP$36)</f>
        <v>0</v>
      </c>
      <c r="AQ35" s="298" t="n">
        <f aca="false">IF(COUNTIF(CAPA3_EXPANSION!$D$56:AQ$56,"&gt;="&amp;28)=0,0,SUP_CONTROL!$C$8*IF($B35="V",1,IF($B35="D",(1+SUP_VOLUMEN!$C$26),(1+SUP_VOLUMEN!$C$27)))*INDEX(SUP_C3_EXPANSION!$C$6:$F$6,MIN(4,COUNTIF(CAPA3_EXPANSION!$D$56:AQ$56,"&gt;="&amp;28)))*CAPA3_EXPANSION!AQ$36)</f>
        <v>0</v>
      </c>
      <c r="AR35" s="298" t="n">
        <f aca="false">IF(COUNTIF(CAPA3_EXPANSION!$D$56:AR$56,"&gt;="&amp;28)=0,0,SUP_CONTROL!$C$8*IF($B35="V",1,IF($B35="D",(1+SUP_VOLUMEN!$C$26),(1+SUP_VOLUMEN!$C$27)))*INDEX(SUP_C3_EXPANSION!$C$6:$F$6,MIN(4,COUNTIF(CAPA3_EXPANSION!$D$56:AR$56,"&gt;="&amp;28)))*CAPA3_EXPANSION!AR$36)</f>
        <v>0</v>
      </c>
      <c r="AS35" s="298" t="n">
        <f aca="false">IF(COUNTIF(CAPA3_EXPANSION!$D$56:AS$56,"&gt;="&amp;28)=0,0,SUP_CONTROL!$C$8*IF($B35="V",1,IF($B35="D",(1+SUP_VOLUMEN!$C$26),(1+SUP_VOLUMEN!$C$27)))*INDEX(SUP_C3_EXPANSION!$C$6:$F$6,MIN(4,COUNTIF(CAPA3_EXPANSION!$D$56:AS$56,"&gt;="&amp;28)))*CAPA3_EXPANSION!AS$36)</f>
        <v>0</v>
      </c>
      <c r="AT35" s="298" t="n">
        <f aca="false">IF(COUNTIF(CAPA3_EXPANSION!$D$56:AT$56,"&gt;="&amp;28)=0,0,SUP_CONTROL!$C$8*IF($B35="V",1,IF($B35="D",(1+SUP_VOLUMEN!$C$26),(1+SUP_VOLUMEN!$C$27)))*INDEX(SUP_C3_EXPANSION!$C$6:$F$6,MIN(4,COUNTIF(CAPA3_EXPANSION!$D$56:AT$56,"&gt;="&amp;28)))*CAPA3_EXPANSION!AT$36)</f>
        <v>0</v>
      </c>
      <c r="AU35" s="298" t="n">
        <f aca="false">IF(COUNTIF(CAPA3_EXPANSION!$D$56:AU$56,"&gt;="&amp;28)=0,0,SUP_CONTROL!$C$8*IF($B35="V",1,IF($B35="D",(1+SUP_VOLUMEN!$C$26),(1+SUP_VOLUMEN!$C$27)))*INDEX(SUP_C3_EXPANSION!$C$6:$F$6,MIN(4,COUNTIF(CAPA3_EXPANSION!$D$56:AU$56,"&gt;="&amp;28)))*CAPA3_EXPANSION!AU$36)</f>
        <v>0</v>
      </c>
      <c r="AV35" s="298" t="n">
        <f aca="false">IF(COUNTIF(CAPA3_EXPANSION!$D$56:AV$56,"&gt;="&amp;28)=0,0,SUP_CONTROL!$C$8*IF($B35="V",1,IF($B35="D",(1+SUP_VOLUMEN!$C$26),(1+SUP_VOLUMEN!$C$27)))*INDEX(SUP_C3_EXPANSION!$C$6:$F$6,MIN(4,COUNTIF(CAPA3_EXPANSION!$D$56:AV$56,"&gt;="&amp;28)))*CAPA3_EXPANSION!AV$36)</f>
        <v>0</v>
      </c>
      <c r="AW35" s="298" t="n">
        <f aca="false">IF(COUNTIF(CAPA3_EXPANSION!$D$56:AW$56,"&gt;="&amp;28)=0,0,SUP_CONTROL!$C$8*IF($B35="V",1,IF($B35="D",(1+SUP_VOLUMEN!$C$26),(1+SUP_VOLUMEN!$C$27)))*INDEX(SUP_C3_EXPANSION!$C$6:$F$6,MIN(4,COUNTIF(CAPA3_EXPANSION!$D$56:AW$56,"&gt;="&amp;28)))*CAPA3_EXPANSION!AW$36)</f>
        <v>0</v>
      </c>
      <c r="AX35" s="298" t="n">
        <f aca="false">IF(COUNTIF(CAPA3_EXPANSION!$D$56:AX$56,"&gt;="&amp;28)=0,0,SUP_CONTROL!$C$8*IF($B35="V",1,IF($B35="D",(1+SUP_VOLUMEN!$C$26),(1+SUP_VOLUMEN!$C$27)))*INDEX(SUP_C3_EXPANSION!$C$6:$F$6,MIN(4,COUNTIF(CAPA3_EXPANSION!$D$56:AX$56,"&gt;="&amp;28)))*CAPA3_EXPANSION!AX$36)</f>
        <v>0</v>
      </c>
      <c r="AY35" s="298" t="n">
        <f aca="false">IF(COUNTIF(CAPA3_EXPANSION!$D$56:AY$56,"&gt;="&amp;28)=0,0,SUP_CONTROL!$C$8*IF($B35="V",1,IF($B35="D",(1+SUP_VOLUMEN!$C$26),(1+SUP_VOLUMEN!$C$27)))*INDEX(SUP_C3_EXPANSION!$C$6:$F$6,MIN(4,COUNTIF(CAPA3_EXPANSION!$D$56:AY$56,"&gt;="&amp;28)))*CAPA3_EXPANSION!AY$36)</f>
        <v>0</v>
      </c>
      <c r="AZ35" s="298" t="n">
        <f aca="false">IF(COUNTIF(CAPA3_EXPANSION!$D$56:AZ$56,"&gt;="&amp;28)=0,0,SUP_CONTROL!$C$8*IF($B35="V",1,IF($B35="D",(1+SUP_VOLUMEN!$C$26),(1+SUP_VOLUMEN!$C$27)))*INDEX(SUP_C3_EXPANSION!$C$6:$F$6,MIN(4,COUNTIF(CAPA3_EXPANSION!$D$56:AZ$56,"&gt;="&amp;28)))*CAPA3_EXPANSION!AZ$36)</f>
        <v>0</v>
      </c>
      <c r="BA35" s="298" t="n">
        <f aca="false">IF(COUNTIF(CAPA3_EXPANSION!$D$56:BA$56,"&gt;="&amp;28)=0,0,SUP_CONTROL!$C$8*IF($B35="V",1,IF($B35="D",(1+SUP_VOLUMEN!$C$26),(1+SUP_VOLUMEN!$C$27)))*INDEX(SUP_C3_EXPANSION!$C$6:$F$6,MIN(4,COUNTIF(CAPA3_EXPANSION!$D$56:BA$56,"&gt;="&amp;28)))*CAPA3_EXPANSION!BA$36)</f>
        <v>0</v>
      </c>
      <c r="BB35" s="298" t="n">
        <f aca="false">IF(COUNTIF(CAPA3_EXPANSION!$D$56:BB$56,"&gt;="&amp;28)=0,0,SUP_CONTROL!$C$8*IF($B35="V",1,IF($B35="D",(1+SUP_VOLUMEN!$C$26),(1+SUP_VOLUMEN!$C$27)))*INDEX(SUP_C3_EXPANSION!$C$6:$F$6,MIN(4,COUNTIF(CAPA3_EXPANSION!$D$56:BB$56,"&gt;="&amp;28)))*CAPA3_EXPANSION!BB$36)</f>
        <v>0</v>
      </c>
      <c r="BC35" s="298" t="n">
        <f aca="false">IF(COUNTIF(CAPA3_EXPANSION!$D$56:BC$56,"&gt;="&amp;28)=0,0,SUP_CONTROL!$C$8*IF($B35="V",1,IF($B35="D",(1+SUP_VOLUMEN!$C$26),(1+SUP_VOLUMEN!$C$27)))*INDEX(SUP_C3_EXPANSION!$C$6:$F$6,MIN(4,COUNTIF(CAPA3_EXPANSION!$D$56:BC$56,"&gt;="&amp;28)))*CAPA3_EXPANSION!BC$36)</f>
        <v>0</v>
      </c>
      <c r="BD35" s="298" t="n">
        <f aca="false">IF(COUNTIF(CAPA3_EXPANSION!$D$56:BD$56,"&gt;="&amp;28)=0,0,SUP_CONTROL!$C$8*IF($B35="V",1,IF($B35="D",(1+SUP_VOLUMEN!$C$26),(1+SUP_VOLUMEN!$C$27)))*INDEX(SUP_C3_EXPANSION!$C$6:$F$6,MIN(4,COUNTIF(CAPA3_EXPANSION!$D$56:BD$56,"&gt;="&amp;28)))*CAPA3_EXPANSION!BD$36)</f>
        <v>0</v>
      </c>
      <c r="BE35" s="298" t="n">
        <f aca="false">IF(COUNTIF(CAPA3_EXPANSION!$D$56:BE$56,"&gt;="&amp;28)=0,0,SUP_CONTROL!$C$8*IF($B35="V",1,IF($B35="D",(1+SUP_VOLUMEN!$C$26),(1+SUP_VOLUMEN!$C$27)))*INDEX(SUP_C3_EXPANSION!$C$6:$F$6,MIN(4,COUNTIF(CAPA3_EXPANSION!$D$56:BE$56,"&gt;="&amp;28)))*CAPA3_EXPANSION!BE$36)</f>
        <v>0</v>
      </c>
      <c r="BF35" s="298" t="n">
        <f aca="false">IF(COUNTIF(CAPA3_EXPANSION!$D$56:BF$56,"&gt;="&amp;28)=0,0,SUP_CONTROL!$C$8*IF($B35="V",1,IF($B35="D",(1+SUP_VOLUMEN!$C$26),(1+SUP_VOLUMEN!$C$27)))*INDEX(SUP_C3_EXPANSION!$C$6:$F$6,MIN(4,COUNTIF(CAPA3_EXPANSION!$D$56:BF$56,"&gt;="&amp;28)))*CAPA3_EXPANSION!BF$36)</f>
        <v>0</v>
      </c>
      <c r="BG35" s="298" t="n">
        <f aca="false">IF(COUNTIF(CAPA3_EXPANSION!$D$56:BG$56,"&gt;="&amp;28)=0,0,SUP_CONTROL!$C$8*IF($B35="V",1,IF($B35="D",(1+SUP_VOLUMEN!$C$26),(1+SUP_VOLUMEN!$C$27)))*INDEX(SUP_C3_EXPANSION!$C$6:$F$6,MIN(4,COUNTIF(CAPA3_EXPANSION!$D$56:BG$56,"&gt;="&amp;28)))*CAPA3_EXPANSION!BG$36)</f>
        <v>0</v>
      </c>
      <c r="BH35" s="298" t="n">
        <f aca="false">IF(COUNTIF(CAPA3_EXPANSION!$D$56:BH$56,"&gt;="&amp;28)=0,0,SUP_CONTROL!$C$8*IF($B35="V",1,IF($B35="D",(1+SUP_VOLUMEN!$C$26),(1+SUP_VOLUMEN!$C$27)))*INDEX(SUP_C3_EXPANSION!$C$6:$F$6,MIN(4,COUNTIF(CAPA3_EXPANSION!$D$56:BH$56,"&gt;="&amp;28)))*CAPA3_EXPANSION!BH$36)</f>
        <v>0</v>
      </c>
      <c r="BI35" s="298" t="n">
        <f aca="false">IF(COUNTIF(CAPA3_EXPANSION!$D$56:BI$56,"&gt;="&amp;28)=0,0,SUP_CONTROL!$C$8*IF($B35="V",1,IF($B35="D",(1+SUP_VOLUMEN!$C$26),(1+SUP_VOLUMEN!$C$27)))*INDEX(SUP_C3_EXPANSION!$C$6:$F$6,MIN(4,COUNTIF(CAPA3_EXPANSION!$D$56:BI$56,"&gt;="&amp;28)))*CAPA3_EXPANSION!BI$36)</f>
        <v>0</v>
      </c>
      <c r="BJ35" s="298" t="n">
        <f aca="false">IF(COUNTIF(CAPA3_EXPANSION!$D$56:BJ$56,"&gt;="&amp;28)=0,0,SUP_CONTROL!$C$8*IF($B35="V",1,IF($B35="D",(1+SUP_VOLUMEN!$C$26),(1+SUP_VOLUMEN!$C$27)))*INDEX(SUP_C3_EXPANSION!$C$6:$F$6,MIN(4,COUNTIF(CAPA3_EXPANSION!$D$56:BJ$56,"&gt;="&amp;28)))*CAPA3_EXPANSION!BJ$36)</f>
        <v>0</v>
      </c>
      <c r="BK35" s="298" t="n">
        <f aca="false">IF(COUNTIF(CAPA3_EXPANSION!$D$56:BK$56,"&gt;="&amp;28)=0,0,SUP_CONTROL!$C$8*IF($B35="V",1,IF($B35="D",(1+SUP_VOLUMEN!$C$26),(1+SUP_VOLUMEN!$C$27)))*INDEX(SUP_C3_EXPANSION!$C$6:$F$6,MIN(4,COUNTIF(CAPA3_EXPANSION!$D$56:BK$56,"&gt;="&amp;28)))*CAPA3_EXPANSION!BK$36)</f>
        <v>0</v>
      </c>
      <c r="BL35" s="298" t="n">
        <f aca="false">IF(COUNTIF(CAPA3_EXPANSION!$D$56:BL$56,"&gt;="&amp;28)=0,0,SUP_CONTROL!$C$8*IF($B35="V",1,IF($B35="D",(1+SUP_VOLUMEN!$C$26),(1+SUP_VOLUMEN!$C$27)))*INDEX(SUP_C3_EXPANSION!$C$6:$F$6,MIN(4,COUNTIF(CAPA3_EXPANSION!$D$56:BL$56,"&gt;="&amp;28)))*CAPA3_EXPANSION!BL$36)</f>
        <v>0</v>
      </c>
      <c r="BM35" s="298" t="n">
        <f aca="false">IF(COUNTIF(CAPA3_EXPANSION!$D$56:BM$56,"&gt;="&amp;28)=0,0,SUP_CONTROL!$C$8*IF($B35="V",1,IF($B35="D",(1+SUP_VOLUMEN!$C$26),(1+SUP_VOLUMEN!$C$27)))*INDEX(SUP_C3_EXPANSION!$C$6:$F$6,MIN(4,COUNTIF(CAPA3_EXPANSION!$D$56:BM$56,"&gt;="&amp;28)))*CAPA3_EXPANSION!BM$36)</f>
        <v>0</v>
      </c>
      <c r="BN35" s="298" t="n">
        <f aca="false">IF(COUNTIF(CAPA3_EXPANSION!$D$56:BN$56,"&gt;="&amp;28)=0,0,SUP_CONTROL!$C$8*IF($B35="V",1,IF($B35="D",(1+SUP_VOLUMEN!$C$26),(1+SUP_VOLUMEN!$C$27)))*INDEX(SUP_C3_EXPANSION!$C$6:$F$6,MIN(4,COUNTIF(CAPA3_EXPANSION!$D$56:BN$56,"&gt;="&amp;28)))*CAPA3_EXPANSION!BN$36)</f>
        <v>0</v>
      </c>
      <c r="BO35" s="298" t="n">
        <f aca="false">IF(COUNTIF(CAPA3_EXPANSION!$D$56:BO$56,"&gt;="&amp;28)=0,0,SUP_CONTROL!$C$8*IF($B35="V",1,IF($B35="D",(1+SUP_VOLUMEN!$C$26),(1+SUP_VOLUMEN!$C$27)))*INDEX(SUP_C3_EXPANSION!$C$6:$F$6,MIN(4,COUNTIF(CAPA3_EXPANSION!$D$56:BO$56,"&gt;="&amp;28)))*CAPA3_EXPANSION!BO$36)</f>
        <v>0</v>
      </c>
      <c r="BP35" s="298" t="n">
        <f aca="false">IF(COUNTIF(CAPA3_EXPANSION!$D$56:BP$56,"&gt;="&amp;28)=0,0,SUP_CONTROL!$C$8*IF($B35="V",1,IF($B35="D",(1+SUP_VOLUMEN!$C$26),(1+SUP_VOLUMEN!$C$27)))*INDEX(SUP_C3_EXPANSION!$C$6:$F$6,MIN(4,COUNTIF(CAPA3_EXPANSION!$D$56:BP$56,"&gt;="&amp;28)))*CAPA3_EXPANSION!BP$36)</f>
        <v>0</v>
      </c>
      <c r="BQ35" s="298" t="n">
        <f aca="false">IF(COUNTIF(CAPA3_EXPANSION!$D$56:BQ$56,"&gt;="&amp;28)=0,0,SUP_CONTROL!$C$8*IF($B35="V",1,IF($B35="D",(1+SUP_VOLUMEN!$C$26),(1+SUP_VOLUMEN!$C$27)))*INDEX(SUP_C3_EXPANSION!$C$6:$F$6,MIN(4,COUNTIF(CAPA3_EXPANSION!$D$56:BQ$56,"&gt;="&amp;28)))*CAPA3_EXPANSION!BQ$36)</f>
        <v>0</v>
      </c>
      <c r="BR35" s="298" t="n">
        <f aca="false">IF(COUNTIF(CAPA3_EXPANSION!$D$56:BR$56,"&gt;="&amp;28)=0,0,SUP_CONTROL!$C$8*IF($B35="V",1,IF($B35="D",(1+SUP_VOLUMEN!$C$26),(1+SUP_VOLUMEN!$C$27)))*INDEX(SUP_C3_EXPANSION!$C$6:$F$6,MIN(4,COUNTIF(CAPA3_EXPANSION!$D$56:BR$56,"&gt;="&amp;28)))*CAPA3_EXPANSION!BR$36)</f>
        <v>0</v>
      </c>
      <c r="BS35" s="298" t="n">
        <f aca="false">IF(COUNTIF(CAPA3_EXPANSION!$D$56:BS$56,"&gt;="&amp;28)=0,0,SUP_CONTROL!$C$8*IF($B35="V",1,IF($B35="D",(1+SUP_VOLUMEN!$C$26),(1+SUP_VOLUMEN!$C$27)))*INDEX(SUP_C3_EXPANSION!$C$6:$F$6,MIN(4,COUNTIF(CAPA3_EXPANSION!$D$56:BS$56,"&gt;="&amp;28)))*CAPA3_EXPANSION!BS$36)</f>
        <v>0</v>
      </c>
      <c r="BT35" s="298" t="n">
        <f aca="false">IF(COUNTIF(CAPA3_EXPANSION!$D$56:BT$56,"&gt;="&amp;28)=0,0,SUP_CONTROL!$C$8*IF($B35="V",1,IF($B35="D",(1+SUP_VOLUMEN!$C$26),(1+SUP_VOLUMEN!$C$27)))*INDEX(SUP_C3_EXPANSION!$C$6:$F$6,MIN(4,COUNTIF(CAPA3_EXPANSION!$D$56:BT$56,"&gt;="&amp;28)))*CAPA3_EXPANSION!BT$36)</f>
        <v>0</v>
      </c>
      <c r="BU35" s="298" t="n">
        <f aca="false">IF(COUNTIF(CAPA3_EXPANSION!$D$56:BU$56,"&gt;="&amp;28)=0,0,SUP_CONTROL!$C$8*IF($B35="V",1,IF($B35="D",(1+SUP_VOLUMEN!$C$26),(1+SUP_VOLUMEN!$C$27)))*INDEX(SUP_C3_EXPANSION!$C$6:$F$6,MIN(4,COUNTIF(CAPA3_EXPANSION!$D$56:BU$56,"&gt;="&amp;28)))*CAPA3_EXPANSION!BU$36)</f>
        <v>0</v>
      </c>
      <c r="BV35" s="298" t="n">
        <f aca="false">IF(COUNTIF(CAPA3_EXPANSION!$D$56:BV$56,"&gt;="&amp;28)=0,0,SUP_CONTROL!$C$8*IF($B35="V",1,IF($B35="D",(1+SUP_VOLUMEN!$C$26),(1+SUP_VOLUMEN!$C$27)))*INDEX(SUP_C3_EXPANSION!$C$6:$F$6,MIN(4,COUNTIF(CAPA3_EXPANSION!$D$56:BV$56,"&gt;="&amp;28)))*CAPA3_EXPANSION!BV$36)</f>
        <v>0</v>
      </c>
      <c r="BW35" s="298" t="n">
        <f aca="false">IF(COUNTIF(CAPA3_EXPANSION!$D$56:BW$56,"&gt;="&amp;28)=0,0,SUP_CONTROL!$C$8*IF($B35="V",1,IF($B35="D",(1+SUP_VOLUMEN!$C$26),(1+SUP_VOLUMEN!$C$27)))*INDEX(SUP_C3_EXPANSION!$C$6:$F$6,MIN(4,COUNTIF(CAPA3_EXPANSION!$D$56:BW$56,"&gt;="&amp;28)))*CAPA3_EXPANSION!BW$36)</f>
        <v>2361.45</v>
      </c>
      <c r="BX35" s="298" t="n">
        <f aca="false">IF(COUNTIF(CAPA3_EXPANSION!$D$56:BX$56,"&gt;="&amp;28)=0,0,SUP_CONTROL!$C$8*IF($B35="V",1,IF($B35="D",(1+SUP_VOLUMEN!$C$26),(1+SUP_VOLUMEN!$C$27)))*INDEX(SUP_C3_EXPANSION!$C$6:$F$6,MIN(4,COUNTIF(CAPA3_EXPANSION!$D$56:BX$56,"&gt;="&amp;28)))*CAPA3_EXPANSION!BX$36)</f>
        <v>2906.4</v>
      </c>
      <c r="BY35" s="298" t="n">
        <f aca="false">IF(COUNTIF(CAPA3_EXPANSION!$D$56:BY$56,"&gt;="&amp;28)=0,0,SUP_CONTROL!$C$8*IF($B35="V",1,IF($B35="D",(1+SUP_VOLUMEN!$C$26),(1+SUP_VOLUMEN!$C$27)))*INDEX(SUP_C3_EXPANSION!$C$6:$F$6,MIN(4,COUNTIF(CAPA3_EXPANSION!$D$56:BY$56,"&gt;="&amp;28)))*CAPA3_EXPANSION!BY$36)</f>
        <v>3269.7</v>
      </c>
      <c r="BZ35" s="298" t="n">
        <f aca="false">IF(COUNTIF(CAPA3_EXPANSION!$D$56:BZ$56,"&gt;="&amp;28)=0,0,SUP_CONTROL!$C$8*IF($B35="V",1,IF($B35="D",(1+SUP_VOLUMEN!$C$26),(1+SUP_VOLUMEN!$C$27)))*INDEX(SUP_C3_EXPANSION!$C$6:$F$6,MIN(4,COUNTIF(CAPA3_EXPANSION!$D$56:BZ$56,"&gt;="&amp;28)))*CAPA3_EXPANSION!BZ$36)</f>
        <v>3633</v>
      </c>
      <c r="CA35" s="298" t="n">
        <f aca="false">IF(COUNTIF(CAPA3_EXPANSION!$D$56:CA$56,"&gt;="&amp;28)=0,0,SUP_CONTROL!$C$8*IF($B35="V",1,IF($B35="D",(1+SUP_VOLUMEN!$C$26),(1+SUP_VOLUMEN!$C$27)))*INDEX(SUP_C3_EXPANSION!$C$6:$F$6,MIN(4,COUNTIF(CAPA3_EXPANSION!$D$56:CA$56,"&gt;="&amp;28)))*CAPA3_EXPANSION!CA$36)</f>
        <v>3633</v>
      </c>
      <c r="CB35" s="298" t="n">
        <f aca="false">IF(COUNTIF(CAPA3_EXPANSION!$D$56:CB$56,"&gt;="&amp;28)=0,0,SUP_CONTROL!$C$8*IF($B35="V",1,IF($B35="D",(1+SUP_VOLUMEN!$C$26),(1+SUP_VOLUMEN!$C$27)))*INDEX(SUP_C3_EXPANSION!$C$6:$F$6,MIN(4,COUNTIF(CAPA3_EXPANSION!$D$56:CB$56,"&gt;="&amp;28)))*CAPA3_EXPANSION!CB$36)</f>
        <v>3570</v>
      </c>
      <c r="CC35" s="298" t="n">
        <f aca="false">IF(COUNTIF(CAPA3_EXPANSION!$D$56:CC$56,"&gt;="&amp;28)=0,0,SUP_CONTROL!$C$8*IF($B35="V",1,IF($B35="D",(1+SUP_VOLUMEN!$C$26),(1+SUP_VOLUMEN!$C$27)))*INDEX(SUP_C3_EXPANSION!$C$6:$F$6,MIN(4,COUNTIF(CAPA3_EXPANSION!$D$56:CC$56,"&gt;="&amp;28)))*CAPA3_EXPANSION!CC$36)</f>
        <v>3570</v>
      </c>
      <c r="CD35" s="298" t="n">
        <f aca="false">IF(COUNTIF(CAPA3_EXPANSION!$D$56:CD$56,"&gt;="&amp;28)=0,0,SUP_CONTROL!$C$8*IF($B35="V",1,IF($B35="D",(1+SUP_VOLUMEN!$C$26),(1+SUP_VOLUMEN!$C$27)))*INDEX(SUP_C3_EXPANSION!$C$6:$F$6,MIN(4,COUNTIF(CAPA3_EXPANSION!$D$56:CD$56,"&gt;="&amp;28)))*CAPA3_EXPANSION!CD$36)</f>
        <v>3570</v>
      </c>
      <c r="CE35" s="298" t="n">
        <f aca="false">IF(COUNTIF(CAPA3_EXPANSION!$D$56:CE$56,"&gt;="&amp;28)=0,0,SUP_CONTROL!$C$8*IF($B35="V",1,IF($B35="D",(1+SUP_VOLUMEN!$C$26),(1+SUP_VOLUMEN!$C$27)))*INDEX(SUP_C3_EXPANSION!$C$6:$F$6,MIN(4,COUNTIF(CAPA3_EXPANSION!$D$56:CE$56,"&gt;="&amp;28)))*CAPA3_EXPANSION!CE$36)</f>
        <v>3570</v>
      </c>
      <c r="CF35" s="298" t="n">
        <f aca="false">IF(COUNTIF(CAPA3_EXPANSION!$D$56:CF$56,"&gt;="&amp;28)=0,0,SUP_CONTROL!$C$8*IF($B35="V",1,IF($B35="D",(1+SUP_VOLUMEN!$C$26),(1+SUP_VOLUMEN!$C$27)))*INDEX(SUP_C3_EXPANSION!$C$6:$F$6,MIN(4,COUNTIF(CAPA3_EXPANSION!$D$56:CF$56,"&gt;="&amp;28)))*CAPA3_EXPANSION!CF$36)</f>
        <v>3570</v>
      </c>
      <c r="CG35" s="298" t="n">
        <f aca="false">IF(COUNTIF(CAPA3_EXPANSION!$D$56:CG$56,"&gt;="&amp;28)=0,0,SUP_CONTROL!$C$8*IF($B35="V",1,IF($B35="D",(1+SUP_VOLUMEN!$C$26),(1+SUP_VOLUMEN!$C$27)))*INDEX(SUP_C3_EXPANSION!$C$6:$F$6,MIN(4,COUNTIF(CAPA3_EXPANSION!$D$56:CG$56,"&gt;="&amp;28)))*CAPA3_EXPANSION!CG$36)</f>
        <v>3528</v>
      </c>
      <c r="CH35" s="298" t="n">
        <f aca="false">IF(COUNTIF(CAPA3_EXPANSION!$D$56:CH$56,"&gt;="&amp;28)=0,0,SUP_CONTROL!$C$8*IF($B35="V",1,IF($B35="D",(1+SUP_VOLUMEN!$C$26),(1+SUP_VOLUMEN!$C$27)))*INDEX(SUP_C3_EXPANSION!$C$6:$F$6,MIN(4,COUNTIF(CAPA3_EXPANSION!$D$56:CH$56,"&gt;="&amp;28)))*CAPA3_EXPANSION!CH$36)</f>
        <v>3528</v>
      </c>
      <c r="CI35" s="298" t="n">
        <f aca="false">IF(COUNTIF(CAPA3_EXPANSION!$D$56:CI$56,"&gt;="&amp;28)=0,0,SUP_CONTROL!$C$8*IF($B35="V",1,IF($B35="D",(1+SUP_VOLUMEN!$C$26),(1+SUP_VOLUMEN!$C$27)))*INDEX(SUP_C3_EXPANSION!$C$6:$F$6,MIN(4,COUNTIF(CAPA3_EXPANSION!$D$56:CI$56,"&gt;="&amp;28)))*CAPA3_EXPANSION!CI$36)</f>
        <v>3528</v>
      </c>
      <c r="CJ35" s="298" t="n">
        <f aca="false">IF(COUNTIF(CAPA3_EXPANSION!$D$56:CJ$56,"&gt;="&amp;28)=0,0,SUP_CONTROL!$C$8*IF($B35="V",1,IF($B35="D",(1+SUP_VOLUMEN!$C$26),(1+SUP_VOLUMEN!$C$27)))*INDEX(SUP_C3_EXPANSION!$C$6:$F$6,MIN(4,COUNTIF(CAPA3_EXPANSION!$D$56:CJ$56,"&gt;="&amp;28)))*CAPA3_EXPANSION!CJ$36)</f>
        <v>3528</v>
      </c>
      <c r="CK35" s="298" t="n">
        <f aca="false">IF(COUNTIF(CAPA3_EXPANSION!$D$56:CK$56,"&gt;="&amp;28)=0,0,SUP_CONTROL!$C$8*IF($B35="V",1,IF($B35="D",(1+SUP_VOLUMEN!$C$26),(1+SUP_VOLUMEN!$C$27)))*INDEX(SUP_C3_EXPANSION!$C$6:$F$6,MIN(4,COUNTIF(CAPA3_EXPANSION!$D$56:CK$56,"&gt;="&amp;28)))*CAPA3_EXPANSION!CK$36)</f>
        <v>3528</v>
      </c>
      <c r="CL35" s="298" t="n">
        <f aca="false">IF(COUNTIF(CAPA3_EXPANSION!$D$56:CL$56,"&gt;="&amp;28)=0,0,SUP_CONTROL!$C$8*IF($B35="V",1,IF($B35="D",(1+SUP_VOLUMEN!$C$26),(1+SUP_VOLUMEN!$C$27)))*INDEX(SUP_C3_EXPANSION!$C$6:$F$6,MIN(4,COUNTIF(CAPA3_EXPANSION!$D$56:CL$56,"&gt;="&amp;28)))*CAPA3_EXPANSION!CL$36)</f>
        <v>3528</v>
      </c>
      <c r="CM35" s="298" t="n">
        <f aca="false">IF(COUNTIF(CAPA3_EXPANSION!$D$56:CM$56,"&gt;="&amp;28)=0,0,SUP_CONTROL!$C$8*IF($B35="V",1,IF($B35="D",(1+SUP_VOLUMEN!$C$26),(1+SUP_VOLUMEN!$C$27)))*INDEX(SUP_C3_EXPANSION!$C$6:$F$6,MIN(4,COUNTIF(CAPA3_EXPANSION!$D$56:CM$56,"&gt;="&amp;28)))*CAPA3_EXPANSION!CM$36)</f>
        <v>3528</v>
      </c>
      <c r="CN35" s="298" t="n">
        <f aca="false">IF(COUNTIF(CAPA3_EXPANSION!$D$56:CN$56,"&gt;="&amp;28)=0,0,SUP_CONTROL!$C$8*IF($B35="V",1,IF($B35="D",(1+SUP_VOLUMEN!$C$26),(1+SUP_VOLUMEN!$C$27)))*INDEX(SUP_C3_EXPANSION!$C$6:$F$6,MIN(4,COUNTIF(CAPA3_EXPANSION!$D$56:CN$56,"&gt;="&amp;28)))*CAPA3_EXPANSION!CN$36)</f>
        <v>3528</v>
      </c>
      <c r="CO35" s="298" t="n">
        <f aca="false">IF(COUNTIF(CAPA3_EXPANSION!$D$56:CO$56,"&gt;="&amp;28)=0,0,SUP_CONTROL!$C$8*IF($B35="V",1,IF($B35="D",(1+SUP_VOLUMEN!$C$26),(1+SUP_VOLUMEN!$C$27)))*INDEX(SUP_C3_EXPANSION!$C$6:$F$6,MIN(4,COUNTIF(CAPA3_EXPANSION!$D$56:CO$56,"&gt;="&amp;28)))*CAPA3_EXPANSION!CO$36)</f>
        <v>3528</v>
      </c>
      <c r="CP35" s="298" t="n">
        <f aca="false">IF(COUNTIF(CAPA3_EXPANSION!$D$56:CP$56,"&gt;="&amp;28)=0,0,SUP_CONTROL!$C$8*IF($B35="V",1,IF($B35="D",(1+SUP_VOLUMEN!$C$26),(1+SUP_VOLUMEN!$C$27)))*INDEX(SUP_C3_EXPANSION!$C$6:$F$6,MIN(4,COUNTIF(CAPA3_EXPANSION!$D$56:CP$56,"&gt;="&amp;28)))*CAPA3_EXPANSION!CP$36)</f>
        <v>3528</v>
      </c>
      <c r="CQ35" s="298" t="n">
        <f aca="false">IF(COUNTIF(CAPA3_EXPANSION!$D$56:CQ$56,"&gt;="&amp;28)=0,0,SUP_CONTROL!$C$8*IF($B35="V",1,IF($B35="D",(1+SUP_VOLUMEN!$C$26),(1+SUP_VOLUMEN!$C$27)))*INDEX(SUP_C3_EXPANSION!$C$6:$F$6,MIN(4,COUNTIF(CAPA3_EXPANSION!$D$56:CQ$56,"&gt;="&amp;28)))*CAPA3_EXPANSION!CQ$36)</f>
        <v>3528</v>
      </c>
      <c r="CR35" s="298" t="n">
        <f aca="false">IF(COUNTIF(CAPA3_EXPANSION!$D$56:CR$56,"&gt;="&amp;28)=0,0,SUP_CONTROL!$C$8*IF($B35="V",1,IF($B35="D",(1+SUP_VOLUMEN!$C$26),(1+SUP_VOLUMEN!$C$27)))*INDEX(SUP_C3_EXPANSION!$C$6:$F$6,MIN(4,COUNTIF(CAPA3_EXPANSION!$D$56:CR$56,"&gt;="&amp;28)))*CAPA3_EXPANSION!CR$36)</f>
        <v>3528</v>
      </c>
      <c r="CS35" s="298" t="n">
        <f aca="false">IF(COUNTIF(CAPA3_EXPANSION!$D$56:CS$56,"&gt;="&amp;28)=0,0,SUP_CONTROL!$C$8*IF($B35="V",1,IF($B35="D",(1+SUP_VOLUMEN!$C$26),(1+SUP_VOLUMEN!$C$27)))*INDEX(SUP_C3_EXPANSION!$C$6:$F$6,MIN(4,COUNTIF(CAPA3_EXPANSION!$D$56:CS$56,"&gt;="&amp;28)))*CAPA3_EXPANSION!CS$36)</f>
        <v>3528</v>
      </c>
      <c r="CT35" s="298" t="n">
        <f aca="false">IF(COUNTIF(CAPA3_EXPANSION!$D$56:CT$56,"&gt;="&amp;28)=0,0,SUP_CONTROL!$C$8*IF($B35="V",1,IF($B35="D",(1+SUP_VOLUMEN!$C$26),(1+SUP_VOLUMEN!$C$27)))*INDEX(SUP_C3_EXPANSION!$C$6:$F$6,MIN(4,COUNTIF(CAPA3_EXPANSION!$D$56:CT$56,"&gt;="&amp;28)))*CAPA3_EXPANSION!CT$36)</f>
        <v>3528</v>
      </c>
      <c r="CU35" s="298" t="n">
        <f aca="false">IF(COUNTIF(CAPA3_EXPANSION!$D$56:CU$56,"&gt;="&amp;28)=0,0,SUP_CONTROL!$C$8*IF($B35="V",1,IF($B35="D",(1+SUP_VOLUMEN!$C$26),(1+SUP_VOLUMEN!$C$27)))*INDEX(SUP_C3_EXPANSION!$C$6:$F$6,MIN(4,COUNTIF(CAPA3_EXPANSION!$D$56:CU$56,"&gt;="&amp;28)))*CAPA3_EXPANSION!CU$36)</f>
        <v>3528</v>
      </c>
      <c r="CV35" s="298" t="n">
        <f aca="false">IF(COUNTIF(CAPA3_EXPANSION!$D$56:CV$56,"&gt;="&amp;28)=0,0,SUP_CONTROL!$C$8*IF($B35="V",1,IF($B35="D",(1+SUP_VOLUMEN!$C$26),(1+SUP_VOLUMEN!$C$27)))*INDEX(SUP_C3_EXPANSION!$C$6:$F$6,MIN(4,COUNTIF(CAPA3_EXPANSION!$D$56:CV$56,"&gt;="&amp;28)))*CAPA3_EXPANSION!CV$36)</f>
        <v>3528</v>
      </c>
      <c r="CW35" s="298" t="n">
        <f aca="false">IF(COUNTIF(CAPA3_EXPANSION!$D$56:CW$56,"&gt;="&amp;28)=0,0,SUP_CONTROL!$C$8*IF($B35="V",1,IF($B35="D",(1+SUP_VOLUMEN!$C$26),(1+SUP_VOLUMEN!$C$27)))*INDEX(SUP_C3_EXPANSION!$C$6:$F$6,MIN(4,COUNTIF(CAPA3_EXPANSION!$D$56:CW$56,"&gt;="&amp;28)))*CAPA3_EXPANSION!CW$36)</f>
        <v>3528</v>
      </c>
      <c r="CX35" s="298" t="n">
        <f aca="false">IF(COUNTIF(CAPA3_EXPANSION!$D$56:CX$56,"&gt;="&amp;28)=0,0,SUP_CONTROL!$C$8*IF($B35="V",1,IF($B35="D",(1+SUP_VOLUMEN!$C$26),(1+SUP_VOLUMEN!$C$27)))*INDEX(SUP_C3_EXPANSION!$C$6:$F$6,MIN(4,COUNTIF(CAPA3_EXPANSION!$D$56:CX$56,"&gt;="&amp;28)))*CAPA3_EXPANSION!CX$36)</f>
        <v>3528</v>
      </c>
      <c r="CY35" s="298" t="n">
        <f aca="false">IF(COUNTIF(CAPA3_EXPANSION!$D$56:CY$56,"&gt;="&amp;28)=0,0,SUP_CONTROL!$C$8*IF($B35="V",1,IF($B35="D",(1+SUP_VOLUMEN!$C$26),(1+SUP_VOLUMEN!$C$27)))*INDEX(SUP_C3_EXPANSION!$C$6:$F$6,MIN(4,COUNTIF(CAPA3_EXPANSION!$D$56:CY$56,"&gt;="&amp;28)))*CAPA3_EXPANSION!CY$36)</f>
        <v>3528</v>
      </c>
      <c r="CZ35" s="298" t="n">
        <f aca="false">IF(COUNTIF(CAPA3_EXPANSION!$D$56:CZ$56,"&gt;="&amp;28)=0,0,SUP_CONTROL!$C$8*IF($B35="V",1,IF($B35="D",(1+SUP_VOLUMEN!$C$26),(1+SUP_VOLUMEN!$C$27)))*INDEX(SUP_C3_EXPANSION!$C$6:$F$6,MIN(4,COUNTIF(CAPA3_EXPANSION!$D$56:CZ$56,"&gt;="&amp;28)))*CAPA3_EXPANSION!CZ$36)</f>
        <v>3528</v>
      </c>
      <c r="DA35" s="298" t="n">
        <f aca="false">IF(COUNTIF(CAPA3_EXPANSION!$D$56:DA$56,"&gt;="&amp;28)=0,0,SUP_CONTROL!$C$8*IF($B35="V",1,IF($B35="D",(1+SUP_VOLUMEN!$C$26),(1+SUP_VOLUMEN!$C$27)))*INDEX(SUP_C3_EXPANSION!$C$6:$F$6,MIN(4,COUNTIF(CAPA3_EXPANSION!$D$56:DA$56,"&gt;="&amp;28)))*CAPA3_EXPANSION!DA$36)</f>
        <v>3528</v>
      </c>
      <c r="DB35" s="298" t="n">
        <f aca="false">IF(COUNTIF(CAPA3_EXPANSION!$D$56:DB$56,"&gt;="&amp;28)=0,0,SUP_CONTROL!$C$8*IF($B35="V",1,IF($B35="D",(1+SUP_VOLUMEN!$C$26),(1+SUP_VOLUMEN!$C$27)))*INDEX(SUP_C3_EXPANSION!$C$6:$F$6,MIN(4,COUNTIF(CAPA3_EXPANSION!$D$56:DB$56,"&gt;="&amp;28)))*CAPA3_EXPANSION!DB$36)</f>
        <v>3528</v>
      </c>
      <c r="DC35" s="298" t="n">
        <f aca="false">IF(COUNTIF(CAPA3_EXPANSION!$D$56:DC$56,"&gt;="&amp;28)=0,0,SUP_CONTROL!$C$8*IF($B35="V",1,IF($B35="D",(1+SUP_VOLUMEN!$C$26),(1+SUP_VOLUMEN!$C$27)))*INDEX(SUP_C3_EXPANSION!$C$6:$F$6,MIN(4,COUNTIF(CAPA3_EXPANSION!$D$56:DC$56,"&gt;="&amp;28)))*CAPA3_EXPANSION!DC$36)</f>
        <v>3528</v>
      </c>
      <c r="DD35" s="298" t="n">
        <f aca="false">IF(COUNTIF(CAPA3_EXPANSION!$D$56:DD$56,"&gt;="&amp;28)=0,0,SUP_CONTROL!$C$8*IF($B35="V",1,IF($B35="D",(1+SUP_VOLUMEN!$C$26),(1+SUP_VOLUMEN!$C$27)))*INDEX(SUP_C3_EXPANSION!$C$6:$F$6,MIN(4,COUNTIF(CAPA3_EXPANSION!$D$56:DD$56,"&gt;="&amp;28)))*CAPA3_EXPANSION!DD$36)</f>
        <v>3528</v>
      </c>
      <c r="DE35" s="298" t="n">
        <f aca="false">IF(COUNTIF(CAPA3_EXPANSION!$D$56:DE$56,"&gt;="&amp;28)=0,0,SUP_CONTROL!$C$8*IF($B35="V",1,IF($B35="D",(1+SUP_VOLUMEN!$C$26),(1+SUP_VOLUMEN!$C$27)))*INDEX(SUP_C3_EXPANSION!$C$6:$F$6,MIN(4,COUNTIF(CAPA3_EXPANSION!$D$56:DE$56,"&gt;="&amp;28)))*CAPA3_EXPANSION!DE$36)</f>
        <v>3528</v>
      </c>
      <c r="DF35" s="298" t="n">
        <f aca="false">IF(COUNTIF(CAPA3_EXPANSION!$D$56:DF$56,"&gt;="&amp;28)=0,0,SUP_CONTROL!$C$8*IF($B35="V",1,IF($B35="D",(1+SUP_VOLUMEN!$C$26),(1+SUP_VOLUMEN!$C$27)))*INDEX(SUP_C3_EXPANSION!$C$6:$F$6,MIN(4,COUNTIF(CAPA3_EXPANSION!$D$56:DF$56,"&gt;="&amp;28)))*CAPA3_EXPANSION!DF$36)</f>
        <v>3528</v>
      </c>
      <c r="DG35" s="298" t="n">
        <f aca="false">IF(COUNTIF(CAPA3_EXPANSION!$D$56:DG$56,"&gt;="&amp;28)=0,0,SUP_CONTROL!$C$8*IF($B35="V",1,IF($B35="D",(1+SUP_VOLUMEN!$C$26),(1+SUP_VOLUMEN!$C$27)))*INDEX(SUP_C3_EXPANSION!$C$6:$F$6,MIN(4,COUNTIF(CAPA3_EXPANSION!$D$56:DG$56,"&gt;="&amp;28)))*CAPA3_EXPANSION!DG$36)</f>
        <v>3528</v>
      </c>
      <c r="DH35" s="298" t="n">
        <f aca="false">IF(COUNTIF(CAPA3_EXPANSION!$D$56:DH$56,"&gt;="&amp;28)=0,0,SUP_CONTROL!$C$8*IF($B35="V",1,IF($B35="D",(1+SUP_VOLUMEN!$C$26),(1+SUP_VOLUMEN!$C$27)))*INDEX(SUP_C3_EXPANSION!$C$6:$F$6,MIN(4,COUNTIF(CAPA3_EXPANSION!$D$56:DH$56,"&gt;="&amp;28)))*CAPA3_EXPANSION!DH$36)</f>
        <v>3528</v>
      </c>
      <c r="DI35" s="298" t="n">
        <f aca="false">IF(COUNTIF(CAPA3_EXPANSION!$D$56:DI$56,"&gt;="&amp;28)=0,0,SUP_CONTROL!$C$8*IF($B35="V",1,IF($B35="D",(1+SUP_VOLUMEN!$C$26),(1+SUP_VOLUMEN!$C$27)))*INDEX(SUP_C3_EXPANSION!$C$6:$F$6,MIN(4,COUNTIF(CAPA3_EXPANSION!$D$56:DI$56,"&gt;="&amp;28)))*CAPA3_EXPANSION!DI$36)</f>
        <v>3528</v>
      </c>
      <c r="DJ35" s="298" t="n">
        <f aca="false">IF(COUNTIF(CAPA3_EXPANSION!$D$56:DJ$56,"&gt;="&amp;28)=0,0,SUP_CONTROL!$C$8*IF($B35="V",1,IF($B35="D",(1+SUP_VOLUMEN!$C$26),(1+SUP_VOLUMEN!$C$27)))*INDEX(SUP_C3_EXPANSION!$C$6:$F$6,MIN(4,COUNTIF(CAPA3_EXPANSION!$D$56:DJ$56,"&gt;="&amp;28)))*CAPA3_EXPANSION!DJ$36)</f>
        <v>3528</v>
      </c>
      <c r="DK35" s="298" t="n">
        <f aca="false">IF(COUNTIF(CAPA3_EXPANSION!$D$56:DK$56,"&gt;="&amp;28)=0,0,SUP_CONTROL!$C$8*IF($B35="V",1,IF($B35="D",(1+SUP_VOLUMEN!$C$26),(1+SUP_VOLUMEN!$C$27)))*INDEX(SUP_C3_EXPANSION!$C$6:$F$6,MIN(4,COUNTIF(CAPA3_EXPANSION!$D$56:DK$56,"&gt;="&amp;28)))*CAPA3_EXPANSION!DK$36)</f>
        <v>3528</v>
      </c>
      <c r="DL35" s="298" t="n">
        <f aca="false">IF(COUNTIF(CAPA3_EXPANSION!$D$56:DL$56,"&gt;="&amp;28)=0,0,SUP_CONTROL!$C$8*IF($B35="V",1,IF($B35="D",(1+SUP_VOLUMEN!$C$26),(1+SUP_VOLUMEN!$C$27)))*INDEX(SUP_C3_EXPANSION!$C$6:$F$6,MIN(4,COUNTIF(CAPA3_EXPANSION!$D$56:DL$56,"&gt;="&amp;28)))*CAPA3_EXPANSION!DL$36)</f>
        <v>3528</v>
      </c>
      <c r="DM35" s="298" t="n">
        <f aca="false">IF(COUNTIF(CAPA3_EXPANSION!$D$56:DM$56,"&gt;="&amp;28)=0,0,SUP_CONTROL!$C$8*IF($B35="V",1,IF($B35="D",(1+SUP_VOLUMEN!$C$26),(1+SUP_VOLUMEN!$C$27)))*INDEX(SUP_C3_EXPANSION!$C$6:$F$6,MIN(4,COUNTIF(CAPA3_EXPANSION!$D$56:DM$56,"&gt;="&amp;28)))*CAPA3_EXPANSION!DM$36)</f>
        <v>3528</v>
      </c>
      <c r="DN35" s="298" t="n">
        <f aca="false">IF(COUNTIF(CAPA3_EXPANSION!$D$56:DN$56,"&gt;="&amp;28)=0,0,SUP_CONTROL!$C$8*IF($B35="V",1,IF($B35="D",(1+SUP_VOLUMEN!$C$26),(1+SUP_VOLUMEN!$C$27)))*INDEX(SUP_C3_EXPANSION!$C$6:$F$6,MIN(4,COUNTIF(CAPA3_EXPANSION!$D$56:DN$56,"&gt;="&amp;28)))*CAPA3_EXPANSION!DN$36)</f>
        <v>3528</v>
      </c>
      <c r="DO35" s="298" t="n">
        <f aca="false">IF(COUNTIF(CAPA3_EXPANSION!$D$56:DO$56,"&gt;="&amp;28)=0,0,SUP_CONTROL!$C$8*IF($B35="V",1,IF($B35="D",(1+SUP_VOLUMEN!$C$26),(1+SUP_VOLUMEN!$C$27)))*INDEX(SUP_C3_EXPANSION!$C$6:$F$6,MIN(4,COUNTIF(CAPA3_EXPANSION!$D$56:DO$56,"&gt;="&amp;28)))*CAPA3_EXPANSION!DO$36)</f>
        <v>3528</v>
      </c>
      <c r="DP35" s="298" t="n">
        <f aca="false">IF(COUNTIF(CAPA3_EXPANSION!$D$56:DP$56,"&gt;="&amp;28)=0,0,SUP_CONTROL!$C$8*IF($B35="V",1,IF($B35="D",(1+SUP_VOLUMEN!$C$26),(1+SUP_VOLUMEN!$C$27)))*INDEX(SUP_C3_EXPANSION!$C$6:$F$6,MIN(4,COUNTIF(CAPA3_EXPANSION!$D$56:DP$56,"&gt;="&amp;28)))*CAPA3_EXPANSION!DP$36)</f>
        <v>3528</v>
      </c>
      <c r="DQ35" s="298" t="n">
        <f aca="false">IF(COUNTIF(CAPA3_EXPANSION!$D$56:DQ$56,"&gt;="&amp;28)=0,0,SUP_CONTROL!$C$8*IF($B35="V",1,IF($B35="D",(1+SUP_VOLUMEN!$C$26),(1+SUP_VOLUMEN!$C$27)))*INDEX(SUP_C3_EXPANSION!$C$6:$F$6,MIN(4,COUNTIF(CAPA3_EXPANSION!$D$56:DQ$56,"&gt;="&amp;28)))*CAPA3_EXPANSION!DQ$36)</f>
        <v>3528</v>
      </c>
      <c r="DR35" s="298" t="n">
        <f aca="false">IF(COUNTIF(CAPA3_EXPANSION!$D$56:DR$56,"&gt;="&amp;28)=0,0,SUP_CONTROL!$C$8*IF($B35="V",1,IF($B35="D",(1+SUP_VOLUMEN!$C$26),(1+SUP_VOLUMEN!$C$27)))*INDEX(SUP_C3_EXPANSION!$C$6:$F$6,MIN(4,COUNTIF(CAPA3_EXPANSION!$D$56:DR$56,"&gt;="&amp;28)))*CAPA3_EXPANSION!DR$36)</f>
        <v>3528</v>
      </c>
      <c r="DS35" s="298" t="n">
        <f aca="false">IF(COUNTIF(CAPA3_EXPANSION!$D$56:DS$56,"&gt;="&amp;28)=0,0,SUP_CONTROL!$C$8*IF($B35="V",1,IF($B35="D",(1+SUP_VOLUMEN!$C$26),(1+SUP_VOLUMEN!$C$27)))*INDEX(SUP_C3_EXPANSION!$C$6:$F$6,MIN(4,COUNTIF(CAPA3_EXPANSION!$D$56:DS$56,"&gt;="&amp;28)))*CAPA3_EXPANSION!DS$36)</f>
        <v>3528</v>
      </c>
    </row>
    <row r="36" customFormat="false" ht="15" hidden="false" customHeight="true" outlineLevel="0" collapsed="false">
      <c r="A36" s="298" t="n">
        <v>39</v>
      </c>
      <c r="B36" s="497" t="str">
        <f aca="false">SUP_C3_EXPANSION!B48</f>
        <v>D</v>
      </c>
      <c r="C36" s="267" t="n">
        <f aca="false">SUP_C3_EXPANSION!G48</f>
        <v>70</v>
      </c>
      <c r="D36" s="298" t="n">
        <f aca="false">IF(COUNTIF(CAPA3_EXPANSION!$D$56:D$56,"&gt;="&amp;29)=0,0,SUP_CONTROL!$C$8*IF($B36="V",1,IF($B36="D",(1+SUP_VOLUMEN!$C$26),(1+SUP_VOLUMEN!$C$27)))*INDEX(SUP_C3_EXPANSION!$C$6:$F$6,MIN(4,COUNTIF(CAPA3_EXPANSION!$D$56:D$56,"&gt;="&amp;29)))*CAPA3_EXPANSION!D$36)</f>
        <v>0</v>
      </c>
      <c r="E36" s="298" t="n">
        <f aca="false">IF(COUNTIF(CAPA3_EXPANSION!$D$56:E$56,"&gt;="&amp;29)=0,0,SUP_CONTROL!$C$8*IF($B36="V",1,IF($B36="D",(1+SUP_VOLUMEN!$C$26),(1+SUP_VOLUMEN!$C$27)))*INDEX(SUP_C3_EXPANSION!$C$6:$F$6,MIN(4,COUNTIF(CAPA3_EXPANSION!$D$56:E$56,"&gt;="&amp;29)))*CAPA3_EXPANSION!E$36)</f>
        <v>0</v>
      </c>
      <c r="F36" s="298" t="n">
        <f aca="false">IF(COUNTIF(CAPA3_EXPANSION!$D$56:F$56,"&gt;="&amp;29)=0,0,SUP_CONTROL!$C$8*IF($B36="V",1,IF($B36="D",(1+SUP_VOLUMEN!$C$26),(1+SUP_VOLUMEN!$C$27)))*INDEX(SUP_C3_EXPANSION!$C$6:$F$6,MIN(4,COUNTIF(CAPA3_EXPANSION!$D$56:F$56,"&gt;="&amp;29)))*CAPA3_EXPANSION!F$36)</f>
        <v>0</v>
      </c>
      <c r="G36" s="298" t="n">
        <f aca="false">IF(COUNTIF(CAPA3_EXPANSION!$D$56:G$56,"&gt;="&amp;29)=0,0,SUP_CONTROL!$C$8*IF($B36="V",1,IF($B36="D",(1+SUP_VOLUMEN!$C$26),(1+SUP_VOLUMEN!$C$27)))*INDEX(SUP_C3_EXPANSION!$C$6:$F$6,MIN(4,COUNTIF(CAPA3_EXPANSION!$D$56:G$56,"&gt;="&amp;29)))*CAPA3_EXPANSION!G$36)</f>
        <v>0</v>
      </c>
      <c r="H36" s="298" t="n">
        <f aca="false">IF(COUNTIF(CAPA3_EXPANSION!$D$56:H$56,"&gt;="&amp;29)=0,0,SUP_CONTROL!$C$8*IF($B36="V",1,IF($B36="D",(1+SUP_VOLUMEN!$C$26),(1+SUP_VOLUMEN!$C$27)))*INDEX(SUP_C3_EXPANSION!$C$6:$F$6,MIN(4,COUNTIF(CAPA3_EXPANSION!$D$56:H$56,"&gt;="&amp;29)))*CAPA3_EXPANSION!H$36)</f>
        <v>0</v>
      </c>
      <c r="I36" s="298" t="n">
        <f aca="false">IF(COUNTIF(CAPA3_EXPANSION!$D$56:I$56,"&gt;="&amp;29)=0,0,SUP_CONTROL!$C$8*IF($B36="V",1,IF($B36="D",(1+SUP_VOLUMEN!$C$26),(1+SUP_VOLUMEN!$C$27)))*INDEX(SUP_C3_EXPANSION!$C$6:$F$6,MIN(4,COUNTIF(CAPA3_EXPANSION!$D$56:I$56,"&gt;="&amp;29)))*CAPA3_EXPANSION!I$36)</f>
        <v>0</v>
      </c>
      <c r="J36" s="298" t="n">
        <f aca="false">IF(COUNTIF(CAPA3_EXPANSION!$D$56:J$56,"&gt;="&amp;29)=0,0,SUP_CONTROL!$C$8*IF($B36="V",1,IF($B36="D",(1+SUP_VOLUMEN!$C$26),(1+SUP_VOLUMEN!$C$27)))*INDEX(SUP_C3_EXPANSION!$C$6:$F$6,MIN(4,COUNTIF(CAPA3_EXPANSION!$D$56:J$56,"&gt;="&amp;29)))*CAPA3_EXPANSION!J$36)</f>
        <v>0</v>
      </c>
      <c r="K36" s="298" t="n">
        <f aca="false">IF(COUNTIF(CAPA3_EXPANSION!$D$56:K$56,"&gt;="&amp;29)=0,0,SUP_CONTROL!$C$8*IF($B36="V",1,IF($B36="D",(1+SUP_VOLUMEN!$C$26),(1+SUP_VOLUMEN!$C$27)))*INDEX(SUP_C3_EXPANSION!$C$6:$F$6,MIN(4,COUNTIF(CAPA3_EXPANSION!$D$56:K$56,"&gt;="&amp;29)))*CAPA3_EXPANSION!K$36)</f>
        <v>0</v>
      </c>
      <c r="L36" s="298" t="n">
        <f aca="false">IF(COUNTIF(CAPA3_EXPANSION!$D$56:L$56,"&gt;="&amp;29)=0,0,SUP_CONTROL!$C$8*IF($B36="V",1,IF($B36="D",(1+SUP_VOLUMEN!$C$26),(1+SUP_VOLUMEN!$C$27)))*INDEX(SUP_C3_EXPANSION!$C$6:$F$6,MIN(4,COUNTIF(CAPA3_EXPANSION!$D$56:L$56,"&gt;="&amp;29)))*CAPA3_EXPANSION!L$36)</f>
        <v>0</v>
      </c>
      <c r="M36" s="298" t="n">
        <f aca="false">IF(COUNTIF(CAPA3_EXPANSION!$D$56:M$56,"&gt;="&amp;29)=0,0,SUP_CONTROL!$C$8*IF($B36="V",1,IF($B36="D",(1+SUP_VOLUMEN!$C$26),(1+SUP_VOLUMEN!$C$27)))*INDEX(SUP_C3_EXPANSION!$C$6:$F$6,MIN(4,COUNTIF(CAPA3_EXPANSION!$D$56:M$56,"&gt;="&amp;29)))*CAPA3_EXPANSION!M$36)</f>
        <v>0</v>
      </c>
      <c r="N36" s="298" t="n">
        <f aca="false">IF(COUNTIF(CAPA3_EXPANSION!$D$56:N$56,"&gt;="&amp;29)=0,0,SUP_CONTROL!$C$8*IF($B36="V",1,IF($B36="D",(1+SUP_VOLUMEN!$C$26),(1+SUP_VOLUMEN!$C$27)))*INDEX(SUP_C3_EXPANSION!$C$6:$F$6,MIN(4,COUNTIF(CAPA3_EXPANSION!$D$56:N$56,"&gt;="&amp;29)))*CAPA3_EXPANSION!N$36)</f>
        <v>0</v>
      </c>
      <c r="O36" s="298" t="n">
        <f aca="false">IF(COUNTIF(CAPA3_EXPANSION!$D$56:O$56,"&gt;="&amp;29)=0,0,SUP_CONTROL!$C$8*IF($B36="V",1,IF($B36="D",(1+SUP_VOLUMEN!$C$26),(1+SUP_VOLUMEN!$C$27)))*INDEX(SUP_C3_EXPANSION!$C$6:$F$6,MIN(4,COUNTIF(CAPA3_EXPANSION!$D$56:O$56,"&gt;="&amp;29)))*CAPA3_EXPANSION!O$36)</f>
        <v>0</v>
      </c>
      <c r="P36" s="298" t="n">
        <f aca="false">IF(COUNTIF(CAPA3_EXPANSION!$D$56:P$56,"&gt;="&amp;29)=0,0,SUP_CONTROL!$C$8*IF($B36="V",1,IF($B36="D",(1+SUP_VOLUMEN!$C$26),(1+SUP_VOLUMEN!$C$27)))*INDEX(SUP_C3_EXPANSION!$C$6:$F$6,MIN(4,COUNTIF(CAPA3_EXPANSION!$D$56:P$56,"&gt;="&amp;29)))*CAPA3_EXPANSION!P$36)</f>
        <v>0</v>
      </c>
      <c r="Q36" s="298" t="n">
        <f aca="false">IF(COUNTIF(CAPA3_EXPANSION!$D$56:Q$56,"&gt;="&amp;29)=0,0,SUP_CONTROL!$C$8*IF($B36="V",1,IF($B36="D",(1+SUP_VOLUMEN!$C$26),(1+SUP_VOLUMEN!$C$27)))*INDEX(SUP_C3_EXPANSION!$C$6:$F$6,MIN(4,COUNTIF(CAPA3_EXPANSION!$D$56:Q$56,"&gt;="&amp;29)))*CAPA3_EXPANSION!Q$36)</f>
        <v>0</v>
      </c>
      <c r="R36" s="298" t="n">
        <f aca="false">IF(COUNTIF(CAPA3_EXPANSION!$D$56:R$56,"&gt;="&amp;29)=0,0,SUP_CONTROL!$C$8*IF($B36="V",1,IF($B36="D",(1+SUP_VOLUMEN!$C$26),(1+SUP_VOLUMEN!$C$27)))*INDEX(SUP_C3_EXPANSION!$C$6:$F$6,MIN(4,COUNTIF(CAPA3_EXPANSION!$D$56:R$56,"&gt;="&amp;29)))*CAPA3_EXPANSION!R$36)</f>
        <v>0</v>
      </c>
      <c r="S36" s="298" t="n">
        <f aca="false">IF(COUNTIF(CAPA3_EXPANSION!$D$56:S$56,"&gt;="&amp;29)=0,0,SUP_CONTROL!$C$8*IF($B36="V",1,IF($B36="D",(1+SUP_VOLUMEN!$C$26),(1+SUP_VOLUMEN!$C$27)))*INDEX(SUP_C3_EXPANSION!$C$6:$F$6,MIN(4,COUNTIF(CAPA3_EXPANSION!$D$56:S$56,"&gt;="&amp;29)))*CAPA3_EXPANSION!S$36)</f>
        <v>0</v>
      </c>
      <c r="T36" s="298" t="n">
        <f aca="false">IF(COUNTIF(CAPA3_EXPANSION!$D$56:T$56,"&gt;="&amp;29)=0,0,SUP_CONTROL!$C$8*IF($B36="V",1,IF($B36="D",(1+SUP_VOLUMEN!$C$26),(1+SUP_VOLUMEN!$C$27)))*INDEX(SUP_C3_EXPANSION!$C$6:$F$6,MIN(4,COUNTIF(CAPA3_EXPANSION!$D$56:T$56,"&gt;="&amp;29)))*CAPA3_EXPANSION!T$36)</f>
        <v>0</v>
      </c>
      <c r="U36" s="298" t="n">
        <f aca="false">IF(COUNTIF(CAPA3_EXPANSION!$D$56:U$56,"&gt;="&amp;29)=0,0,SUP_CONTROL!$C$8*IF($B36="V",1,IF($B36="D",(1+SUP_VOLUMEN!$C$26),(1+SUP_VOLUMEN!$C$27)))*INDEX(SUP_C3_EXPANSION!$C$6:$F$6,MIN(4,COUNTIF(CAPA3_EXPANSION!$D$56:U$56,"&gt;="&amp;29)))*CAPA3_EXPANSION!U$36)</f>
        <v>0</v>
      </c>
      <c r="V36" s="298" t="n">
        <f aca="false">IF(COUNTIF(CAPA3_EXPANSION!$D$56:V$56,"&gt;="&amp;29)=0,0,SUP_CONTROL!$C$8*IF($B36="V",1,IF($B36="D",(1+SUP_VOLUMEN!$C$26),(1+SUP_VOLUMEN!$C$27)))*INDEX(SUP_C3_EXPANSION!$C$6:$F$6,MIN(4,COUNTIF(CAPA3_EXPANSION!$D$56:V$56,"&gt;="&amp;29)))*CAPA3_EXPANSION!V$36)</f>
        <v>0</v>
      </c>
      <c r="W36" s="298" t="n">
        <f aca="false">IF(COUNTIF(CAPA3_EXPANSION!$D$56:W$56,"&gt;="&amp;29)=0,0,SUP_CONTROL!$C$8*IF($B36="V",1,IF($B36="D",(1+SUP_VOLUMEN!$C$26),(1+SUP_VOLUMEN!$C$27)))*INDEX(SUP_C3_EXPANSION!$C$6:$F$6,MIN(4,COUNTIF(CAPA3_EXPANSION!$D$56:W$56,"&gt;="&amp;29)))*CAPA3_EXPANSION!W$36)</f>
        <v>0</v>
      </c>
      <c r="X36" s="298" t="n">
        <f aca="false">IF(COUNTIF(CAPA3_EXPANSION!$D$56:X$56,"&gt;="&amp;29)=0,0,SUP_CONTROL!$C$8*IF($B36="V",1,IF($B36="D",(1+SUP_VOLUMEN!$C$26),(1+SUP_VOLUMEN!$C$27)))*INDEX(SUP_C3_EXPANSION!$C$6:$F$6,MIN(4,COUNTIF(CAPA3_EXPANSION!$D$56:X$56,"&gt;="&amp;29)))*CAPA3_EXPANSION!X$36)</f>
        <v>0</v>
      </c>
      <c r="Y36" s="298" t="n">
        <f aca="false">IF(COUNTIF(CAPA3_EXPANSION!$D$56:Y$56,"&gt;="&amp;29)=0,0,SUP_CONTROL!$C$8*IF($B36="V",1,IF($B36="D",(1+SUP_VOLUMEN!$C$26),(1+SUP_VOLUMEN!$C$27)))*INDEX(SUP_C3_EXPANSION!$C$6:$F$6,MIN(4,COUNTIF(CAPA3_EXPANSION!$D$56:Y$56,"&gt;="&amp;29)))*CAPA3_EXPANSION!Y$36)</f>
        <v>0</v>
      </c>
      <c r="Z36" s="298" t="n">
        <f aca="false">IF(COUNTIF(CAPA3_EXPANSION!$D$56:Z$56,"&gt;="&amp;29)=0,0,SUP_CONTROL!$C$8*IF($B36="V",1,IF($B36="D",(1+SUP_VOLUMEN!$C$26),(1+SUP_VOLUMEN!$C$27)))*INDEX(SUP_C3_EXPANSION!$C$6:$F$6,MIN(4,COUNTIF(CAPA3_EXPANSION!$D$56:Z$56,"&gt;="&amp;29)))*CAPA3_EXPANSION!Z$36)</f>
        <v>0</v>
      </c>
      <c r="AA36" s="298" t="n">
        <f aca="false">IF(COUNTIF(CAPA3_EXPANSION!$D$56:AA$56,"&gt;="&amp;29)=0,0,SUP_CONTROL!$C$8*IF($B36="V",1,IF($B36="D",(1+SUP_VOLUMEN!$C$26),(1+SUP_VOLUMEN!$C$27)))*INDEX(SUP_C3_EXPANSION!$C$6:$F$6,MIN(4,COUNTIF(CAPA3_EXPANSION!$D$56:AA$56,"&gt;="&amp;29)))*CAPA3_EXPANSION!AA$36)</f>
        <v>0</v>
      </c>
      <c r="AB36" s="298" t="n">
        <f aca="false">IF(COUNTIF(CAPA3_EXPANSION!$D$56:AB$56,"&gt;="&amp;29)=0,0,SUP_CONTROL!$C$8*IF($B36="V",1,IF($B36="D",(1+SUP_VOLUMEN!$C$26),(1+SUP_VOLUMEN!$C$27)))*INDEX(SUP_C3_EXPANSION!$C$6:$F$6,MIN(4,COUNTIF(CAPA3_EXPANSION!$D$56:AB$56,"&gt;="&amp;29)))*CAPA3_EXPANSION!AB$36)</f>
        <v>0</v>
      </c>
      <c r="AC36" s="298" t="n">
        <f aca="false">IF(COUNTIF(CAPA3_EXPANSION!$D$56:AC$56,"&gt;="&amp;29)=0,0,SUP_CONTROL!$C$8*IF($B36="V",1,IF($B36="D",(1+SUP_VOLUMEN!$C$26),(1+SUP_VOLUMEN!$C$27)))*INDEX(SUP_C3_EXPANSION!$C$6:$F$6,MIN(4,COUNTIF(CAPA3_EXPANSION!$D$56:AC$56,"&gt;="&amp;29)))*CAPA3_EXPANSION!AC$36)</f>
        <v>0</v>
      </c>
      <c r="AD36" s="298" t="n">
        <f aca="false">IF(COUNTIF(CAPA3_EXPANSION!$D$56:AD$56,"&gt;="&amp;29)=0,0,SUP_CONTROL!$C$8*IF($B36="V",1,IF($B36="D",(1+SUP_VOLUMEN!$C$26),(1+SUP_VOLUMEN!$C$27)))*INDEX(SUP_C3_EXPANSION!$C$6:$F$6,MIN(4,COUNTIF(CAPA3_EXPANSION!$D$56:AD$56,"&gt;="&amp;29)))*CAPA3_EXPANSION!AD$36)</f>
        <v>0</v>
      </c>
      <c r="AE36" s="298" t="n">
        <f aca="false">IF(COUNTIF(CAPA3_EXPANSION!$D$56:AE$56,"&gt;="&amp;29)=0,0,SUP_CONTROL!$C$8*IF($B36="V",1,IF($B36="D",(1+SUP_VOLUMEN!$C$26),(1+SUP_VOLUMEN!$C$27)))*INDEX(SUP_C3_EXPANSION!$C$6:$F$6,MIN(4,COUNTIF(CAPA3_EXPANSION!$D$56:AE$56,"&gt;="&amp;29)))*CAPA3_EXPANSION!AE$36)</f>
        <v>0</v>
      </c>
      <c r="AF36" s="298" t="n">
        <f aca="false">IF(COUNTIF(CAPA3_EXPANSION!$D$56:AF$56,"&gt;="&amp;29)=0,0,SUP_CONTROL!$C$8*IF($B36="V",1,IF($B36="D",(1+SUP_VOLUMEN!$C$26),(1+SUP_VOLUMEN!$C$27)))*INDEX(SUP_C3_EXPANSION!$C$6:$F$6,MIN(4,COUNTIF(CAPA3_EXPANSION!$D$56:AF$56,"&gt;="&amp;29)))*CAPA3_EXPANSION!AF$36)</f>
        <v>0</v>
      </c>
      <c r="AG36" s="298" t="n">
        <f aca="false">IF(COUNTIF(CAPA3_EXPANSION!$D$56:AG$56,"&gt;="&amp;29)=0,0,SUP_CONTROL!$C$8*IF($B36="V",1,IF($B36="D",(1+SUP_VOLUMEN!$C$26),(1+SUP_VOLUMEN!$C$27)))*INDEX(SUP_C3_EXPANSION!$C$6:$F$6,MIN(4,COUNTIF(CAPA3_EXPANSION!$D$56:AG$56,"&gt;="&amp;29)))*CAPA3_EXPANSION!AG$36)</f>
        <v>0</v>
      </c>
      <c r="AH36" s="298" t="n">
        <f aca="false">IF(COUNTIF(CAPA3_EXPANSION!$D$56:AH$56,"&gt;="&amp;29)=0,0,SUP_CONTROL!$C$8*IF($B36="V",1,IF($B36="D",(1+SUP_VOLUMEN!$C$26),(1+SUP_VOLUMEN!$C$27)))*INDEX(SUP_C3_EXPANSION!$C$6:$F$6,MIN(4,COUNTIF(CAPA3_EXPANSION!$D$56:AH$56,"&gt;="&amp;29)))*CAPA3_EXPANSION!AH$36)</f>
        <v>0</v>
      </c>
      <c r="AI36" s="298" t="n">
        <f aca="false">IF(COUNTIF(CAPA3_EXPANSION!$D$56:AI$56,"&gt;="&amp;29)=0,0,SUP_CONTROL!$C$8*IF($B36="V",1,IF($B36="D",(1+SUP_VOLUMEN!$C$26),(1+SUP_VOLUMEN!$C$27)))*INDEX(SUP_C3_EXPANSION!$C$6:$F$6,MIN(4,COUNTIF(CAPA3_EXPANSION!$D$56:AI$56,"&gt;="&amp;29)))*CAPA3_EXPANSION!AI$36)</f>
        <v>0</v>
      </c>
      <c r="AJ36" s="298" t="n">
        <f aca="false">IF(COUNTIF(CAPA3_EXPANSION!$D$56:AJ$56,"&gt;="&amp;29)=0,0,SUP_CONTROL!$C$8*IF($B36="V",1,IF($B36="D",(1+SUP_VOLUMEN!$C$26),(1+SUP_VOLUMEN!$C$27)))*INDEX(SUP_C3_EXPANSION!$C$6:$F$6,MIN(4,COUNTIF(CAPA3_EXPANSION!$D$56:AJ$56,"&gt;="&amp;29)))*CAPA3_EXPANSION!AJ$36)</f>
        <v>0</v>
      </c>
      <c r="AK36" s="298" t="n">
        <f aca="false">IF(COUNTIF(CAPA3_EXPANSION!$D$56:AK$56,"&gt;="&amp;29)=0,0,SUP_CONTROL!$C$8*IF($B36="V",1,IF($B36="D",(1+SUP_VOLUMEN!$C$26),(1+SUP_VOLUMEN!$C$27)))*INDEX(SUP_C3_EXPANSION!$C$6:$F$6,MIN(4,COUNTIF(CAPA3_EXPANSION!$D$56:AK$56,"&gt;="&amp;29)))*CAPA3_EXPANSION!AK$36)</f>
        <v>0</v>
      </c>
      <c r="AL36" s="298" t="n">
        <f aca="false">IF(COUNTIF(CAPA3_EXPANSION!$D$56:AL$56,"&gt;="&amp;29)=0,0,SUP_CONTROL!$C$8*IF($B36="V",1,IF($B36="D",(1+SUP_VOLUMEN!$C$26),(1+SUP_VOLUMEN!$C$27)))*INDEX(SUP_C3_EXPANSION!$C$6:$F$6,MIN(4,COUNTIF(CAPA3_EXPANSION!$D$56:AL$56,"&gt;="&amp;29)))*CAPA3_EXPANSION!AL$36)</f>
        <v>0</v>
      </c>
      <c r="AM36" s="298" t="n">
        <f aca="false">IF(COUNTIF(CAPA3_EXPANSION!$D$56:AM$56,"&gt;="&amp;29)=0,0,SUP_CONTROL!$C$8*IF($B36="V",1,IF($B36="D",(1+SUP_VOLUMEN!$C$26),(1+SUP_VOLUMEN!$C$27)))*INDEX(SUP_C3_EXPANSION!$C$6:$F$6,MIN(4,COUNTIF(CAPA3_EXPANSION!$D$56:AM$56,"&gt;="&amp;29)))*CAPA3_EXPANSION!AM$36)</f>
        <v>0</v>
      </c>
      <c r="AN36" s="298" t="n">
        <f aca="false">IF(COUNTIF(CAPA3_EXPANSION!$D$56:AN$56,"&gt;="&amp;29)=0,0,SUP_CONTROL!$C$8*IF($B36="V",1,IF($B36="D",(1+SUP_VOLUMEN!$C$26),(1+SUP_VOLUMEN!$C$27)))*INDEX(SUP_C3_EXPANSION!$C$6:$F$6,MIN(4,COUNTIF(CAPA3_EXPANSION!$D$56:AN$56,"&gt;="&amp;29)))*CAPA3_EXPANSION!AN$36)</f>
        <v>0</v>
      </c>
      <c r="AO36" s="298" t="n">
        <f aca="false">IF(COUNTIF(CAPA3_EXPANSION!$D$56:AO$56,"&gt;="&amp;29)=0,0,SUP_CONTROL!$C$8*IF($B36="V",1,IF($B36="D",(1+SUP_VOLUMEN!$C$26),(1+SUP_VOLUMEN!$C$27)))*INDEX(SUP_C3_EXPANSION!$C$6:$F$6,MIN(4,COUNTIF(CAPA3_EXPANSION!$D$56:AO$56,"&gt;="&amp;29)))*CAPA3_EXPANSION!AO$36)</f>
        <v>0</v>
      </c>
      <c r="AP36" s="298" t="n">
        <f aca="false">IF(COUNTIF(CAPA3_EXPANSION!$D$56:AP$56,"&gt;="&amp;29)=0,0,SUP_CONTROL!$C$8*IF($B36="V",1,IF($B36="D",(1+SUP_VOLUMEN!$C$26),(1+SUP_VOLUMEN!$C$27)))*INDEX(SUP_C3_EXPANSION!$C$6:$F$6,MIN(4,COUNTIF(CAPA3_EXPANSION!$D$56:AP$56,"&gt;="&amp;29)))*CAPA3_EXPANSION!AP$36)</f>
        <v>0</v>
      </c>
      <c r="AQ36" s="298" t="n">
        <f aca="false">IF(COUNTIF(CAPA3_EXPANSION!$D$56:AQ$56,"&gt;="&amp;29)=0,0,SUP_CONTROL!$C$8*IF($B36="V",1,IF($B36="D",(1+SUP_VOLUMEN!$C$26),(1+SUP_VOLUMEN!$C$27)))*INDEX(SUP_C3_EXPANSION!$C$6:$F$6,MIN(4,COUNTIF(CAPA3_EXPANSION!$D$56:AQ$56,"&gt;="&amp;29)))*CAPA3_EXPANSION!AQ$36)</f>
        <v>0</v>
      </c>
      <c r="AR36" s="298" t="n">
        <f aca="false">IF(COUNTIF(CAPA3_EXPANSION!$D$56:AR$56,"&gt;="&amp;29)=0,0,SUP_CONTROL!$C$8*IF($B36="V",1,IF($B36="D",(1+SUP_VOLUMEN!$C$26),(1+SUP_VOLUMEN!$C$27)))*INDEX(SUP_C3_EXPANSION!$C$6:$F$6,MIN(4,COUNTIF(CAPA3_EXPANSION!$D$56:AR$56,"&gt;="&amp;29)))*CAPA3_EXPANSION!AR$36)</f>
        <v>0</v>
      </c>
      <c r="AS36" s="298" t="n">
        <f aca="false">IF(COUNTIF(CAPA3_EXPANSION!$D$56:AS$56,"&gt;="&amp;29)=0,0,SUP_CONTROL!$C$8*IF($B36="V",1,IF($B36="D",(1+SUP_VOLUMEN!$C$26),(1+SUP_VOLUMEN!$C$27)))*INDEX(SUP_C3_EXPANSION!$C$6:$F$6,MIN(4,COUNTIF(CAPA3_EXPANSION!$D$56:AS$56,"&gt;="&amp;29)))*CAPA3_EXPANSION!AS$36)</f>
        <v>0</v>
      </c>
      <c r="AT36" s="298" t="n">
        <f aca="false">IF(COUNTIF(CAPA3_EXPANSION!$D$56:AT$56,"&gt;="&amp;29)=0,0,SUP_CONTROL!$C$8*IF($B36="V",1,IF($B36="D",(1+SUP_VOLUMEN!$C$26),(1+SUP_VOLUMEN!$C$27)))*INDEX(SUP_C3_EXPANSION!$C$6:$F$6,MIN(4,COUNTIF(CAPA3_EXPANSION!$D$56:AT$56,"&gt;="&amp;29)))*CAPA3_EXPANSION!AT$36)</f>
        <v>0</v>
      </c>
      <c r="AU36" s="298" t="n">
        <f aca="false">IF(COUNTIF(CAPA3_EXPANSION!$D$56:AU$56,"&gt;="&amp;29)=0,0,SUP_CONTROL!$C$8*IF($B36="V",1,IF($B36="D",(1+SUP_VOLUMEN!$C$26),(1+SUP_VOLUMEN!$C$27)))*INDEX(SUP_C3_EXPANSION!$C$6:$F$6,MIN(4,COUNTIF(CAPA3_EXPANSION!$D$56:AU$56,"&gt;="&amp;29)))*CAPA3_EXPANSION!AU$36)</f>
        <v>0</v>
      </c>
      <c r="AV36" s="298" t="n">
        <f aca="false">IF(COUNTIF(CAPA3_EXPANSION!$D$56:AV$56,"&gt;="&amp;29)=0,0,SUP_CONTROL!$C$8*IF($B36="V",1,IF($B36="D",(1+SUP_VOLUMEN!$C$26),(1+SUP_VOLUMEN!$C$27)))*INDEX(SUP_C3_EXPANSION!$C$6:$F$6,MIN(4,COUNTIF(CAPA3_EXPANSION!$D$56:AV$56,"&gt;="&amp;29)))*CAPA3_EXPANSION!AV$36)</f>
        <v>0</v>
      </c>
      <c r="AW36" s="298" t="n">
        <f aca="false">IF(COUNTIF(CAPA3_EXPANSION!$D$56:AW$56,"&gt;="&amp;29)=0,0,SUP_CONTROL!$C$8*IF($B36="V",1,IF($B36="D",(1+SUP_VOLUMEN!$C$26),(1+SUP_VOLUMEN!$C$27)))*INDEX(SUP_C3_EXPANSION!$C$6:$F$6,MIN(4,COUNTIF(CAPA3_EXPANSION!$D$56:AW$56,"&gt;="&amp;29)))*CAPA3_EXPANSION!AW$36)</f>
        <v>0</v>
      </c>
      <c r="AX36" s="298" t="n">
        <f aca="false">IF(COUNTIF(CAPA3_EXPANSION!$D$56:AX$56,"&gt;="&amp;29)=0,0,SUP_CONTROL!$C$8*IF($B36="V",1,IF($B36="D",(1+SUP_VOLUMEN!$C$26),(1+SUP_VOLUMEN!$C$27)))*INDEX(SUP_C3_EXPANSION!$C$6:$F$6,MIN(4,COUNTIF(CAPA3_EXPANSION!$D$56:AX$56,"&gt;="&amp;29)))*CAPA3_EXPANSION!AX$36)</f>
        <v>0</v>
      </c>
      <c r="AY36" s="298" t="n">
        <f aca="false">IF(COUNTIF(CAPA3_EXPANSION!$D$56:AY$56,"&gt;="&amp;29)=0,0,SUP_CONTROL!$C$8*IF($B36="V",1,IF($B36="D",(1+SUP_VOLUMEN!$C$26),(1+SUP_VOLUMEN!$C$27)))*INDEX(SUP_C3_EXPANSION!$C$6:$F$6,MIN(4,COUNTIF(CAPA3_EXPANSION!$D$56:AY$56,"&gt;="&amp;29)))*CAPA3_EXPANSION!AY$36)</f>
        <v>0</v>
      </c>
      <c r="AZ36" s="298" t="n">
        <f aca="false">IF(COUNTIF(CAPA3_EXPANSION!$D$56:AZ$56,"&gt;="&amp;29)=0,0,SUP_CONTROL!$C$8*IF($B36="V",1,IF($B36="D",(1+SUP_VOLUMEN!$C$26),(1+SUP_VOLUMEN!$C$27)))*INDEX(SUP_C3_EXPANSION!$C$6:$F$6,MIN(4,COUNTIF(CAPA3_EXPANSION!$D$56:AZ$56,"&gt;="&amp;29)))*CAPA3_EXPANSION!AZ$36)</f>
        <v>0</v>
      </c>
      <c r="BA36" s="298" t="n">
        <f aca="false">IF(COUNTIF(CAPA3_EXPANSION!$D$56:BA$56,"&gt;="&amp;29)=0,0,SUP_CONTROL!$C$8*IF($B36="V",1,IF($B36="D",(1+SUP_VOLUMEN!$C$26),(1+SUP_VOLUMEN!$C$27)))*INDEX(SUP_C3_EXPANSION!$C$6:$F$6,MIN(4,COUNTIF(CAPA3_EXPANSION!$D$56:BA$56,"&gt;="&amp;29)))*CAPA3_EXPANSION!BA$36)</f>
        <v>0</v>
      </c>
      <c r="BB36" s="298" t="n">
        <f aca="false">IF(COUNTIF(CAPA3_EXPANSION!$D$56:BB$56,"&gt;="&amp;29)=0,0,SUP_CONTROL!$C$8*IF($B36="V",1,IF($B36="D",(1+SUP_VOLUMEN!$C$26),(1+SUP_VOLUMEN!$C$27)))*INDEX(SUP_C3_EXPANSION!$C$6:$F$6,MIN(4,COUNTIF(CAPA3_EXPANSION!$D$56:BB$56,"&gt;="&amp;29)))*CAPA3_EXPANSION!BB$36)</f>
        <v>0</v>
      </c>
      <c r="BC36" s="298" t="n">
        <f aca="false">IF(COUNTIF(CAPA3_EXPANSION!$D$56:BC$56,"&gt;="&amp;29)=0,0,SUP_CONTROL!$C$8*IF($B36="V",1,IF($B36="D",(1+SUP_VOLUMEN!$C$26),(1+SUP_VOLUMEN!$C$27)))*INDEX(SUP_C3_EXPANSION!$C$6:$F$6,MIN(4,COUNTIF(CAPA3_EXPANSION!$D$56:BC$56,"&gt;="&amp;29)))*CAPA3_EXPANSION!BC$36)</f>
        <v>0</v>
      </c>
      <c r="BD36" s="298" t="n">
        <f aca="false">IF(COUNTIF(CAPA3_EXPANSION!$D$56:BD$56,"&gt;="&amp;29)=0,0,SUP_CONTROL!$C$8*IF($B36="V",1,IF($B36="D",(1+SUP_VOLUMEN!$C$26),(1+SUP_VOLUMEN!$C$27)))*INDEX(SUP_C3_EXPANSION!$C$6:$F$6,MIN(4,COUNTIF(CAPA3_EXPANSION!$D$56:BD$56,"&gt;="&amp;29)))*CAPA3_EXPANSION!BD$36)</f>
        <v>0</v>
      </c>
      <c r="BE36" s="298" t="n">
        <f aca="false">IF(COUNTIF(CAPA3_EXPANSION!$D$56:BE$56,"&gt;="&amp;29)=0,0,SUP_CONTROL!$C$8*IF($B36="V",1,IF($B36="D",(1+SUP_VOLUMEN!$C$26),(1+SUP_VOLUMEN!$C$27)))*INDEX(SUP_C3_EXPANSION!$C$6:$F$6,MIN(4,COUNTIF(CAPA3_EXPANSION!$D$56:BE$56,"&gt;="&amp;29)))*CAPA3_EXPANSION!BE$36)</f>
        <v>0</v>
      </c>
      <c r="BF36" s="298" t="n">
        <f aca="false">IF(COUNTIF(CAPA3_EXPANSION!$D$56:BF$56,"&gt;="&amp;29)=0,0,SUP_CONTROL!$C$8*IF($B36="V",1,IF($B36="D",(1+SUP_VOLUMEN!$C$26),(1+SUP_VOLUMEN!$C$27)))*INDEX(SUP_C3_EXPANSION!$C$6:$F$6,MIN(4,COUNTIF(CAPA3_EXPANSION!$D$56:BF$56,"&gt;="&amp;29)))*CAPA3_EXPANSION!BF$36)</f>
        <v>0</v>
      </c>
      <c r="BG36" s="298" t="n">
        <f aca="false">IF(COUNTIF(CAPA3_EXPANSION!$D$56:BG$56,"&gt;="&amp;29)=0,0,SUP_CONTROL!$C$8*IF($B36="V",1,IF($B36="D",(1+SUP_VOLUMEN!$C$26),(1+SUP_VOLUMEN!$C$27)))*INDEX(SUP_C3_EXPANSION!$C$6:$F$6,MIN(4,COUNTIF(CAPA3_EXPANSION!$D$56:BG$56,"&gt;="&amp;29)))*CAPA3_EXPANSION!BG$36)</f>
        <v>0</v>
      </c>
      <c r="BH36" s="298" t="n">
        <f aca="false">IF(COUNTIF(CAPA3_EXPANSION!$D$56:BH$56,"&gt;="&amp;29)=0,0,SUP_CONTROL!$C$8*IF($B36="V",1,IF($B36="D",(1+SUP_VOLUMEN!$C$26),(1+SUP_VOLUMEN!$C$27)))*INDEX(SUP_C3_EXPANSION!$C$6:$F$6,MIN(4,COUNTIF(CAPA3_EXPANSION!$D$56:BH$56,"&gt;="&amp;29)))*CAPA3_EXPANSION!BH$36)</f>
        <v>0</v>
      </c>
      <c r="BI36" s="298" t="n">
        <f aca="false">IF(COUNTIF(CAPA3_EXPANSION!$D$56:BI$56,"&gt;="&amp;29)=0,0,SUP_CONTROL!$C$8*IF($B36="V",1,IF($B36="D",(1+SUP_VOLUMEN!$C$26),(1+SUP_VOLUMEN!$C$27)))*INDEX(SUP_C3_EXPANSION!$C$6:$F$6,MIN(4,COUNTIF(CAPA3_EXPANSION!$D$56:BI$56,"&gt;="&amp;29)))*CAPA3_EXPANSION!BI$36)</f>
        <v>0</v>
      </c>
      <c r="BJ36" s="298" t="n">
        <f aca="false">IF(COUNTIF(CAPA3_EXPANSION!$D$56:BJ$56,"&gt;="&amp;29)=0,0,SUP_CONTROL!$C$8*IF($B36="V",1,IF($B36="D",(1+SUP_VOLUMEN!$C$26),(1+SUP_VOLUMEN!$C$27)))*INDEX(SUP_C3_EXPANSION!$C$6:$F$6,MIN(4,COUNTIF(CAPA3_EXPANSION!$D$56:BJ$56,"&gt;="&amp;29)))*CAPA3_EXPANSION!BJ$36)</f>
        <v>0</v>
      </c>
      <c r="BK36" s="298" t="n">
        <f aca="false">IF(COUNTIF(CAPA3_EXPANSION!$D$56:BK$56,"&gt;="&amp;29)=0,0,SUP_CONTROL!$C$8*IF($B36="V",1,IF($B36="D",(1+SUP_VOLUMEN!$C$26),(1+SUP_VOLUMEN!$C$27)))*INDEX(SUP_C3_EXPANSION!$C$6:$F$6,MIN(4,COUNTIF(CAPA3_EXPANSION!$D$56:BK$56,"&gt;="&amp;29)))*CAPA3_EXPANSION!BK$36)</f>
        <v>0</v>
      </c>
      <c r="BL36" s="298" t="n">
        <f aca="false">IF(COUNTIF(CAPA3_EXPANSION!$D$56:BL$56,"&gt;="&amp;29)=0,0,SUP_CONTROL!$C$8*IF($B36="V",1,IF($B36="D",(1+SUP_VOLUMEN!$C$26),(1+SUP_VOLUMEN!$C$27)))*INDEX(SUP_C3_EXPANSION!$C$6:$F$6,MIN(4,COUNTIF(CAPA3_EXPANSION!$D$56:BL$56,"&gt;="&amp;29)))*CAPA3_EXPANSION!BL$36)</f>
        <v>0</v>
      </c>
      <c r="BM36" s="298" t="n">
        <f aca="false">IF(COUNTIF(CAPA3_EXPANSION!$D$56:BM$56,"&gt;="&amp;29)=0,0,SUP_CONTROL!$C$8*IF($B36="V",1,IF($B36="D",(1+SUP_VOLUMEN!$C$26),(1+SUP_VOLUMEN!$C$27)))*INDEX(SUP_C3_EXPANSION!$C$6:$F$6,MIN(4,COUNTIF(CAPA3_EXPANSION!$D$56:BM$56,"&gt;="&amp;29)))*CAPA3_EXPANSION!BM$36)</f>
        <v>0</v>
      </c>
      <c r="BN36" s="298" t="n">
        <f aca="false">IF(COUNTIF(CAPA3_EXPANSION!$D$56:BN$56,"&gt;="&amp;29)=0,0,SUP_CONTROL!$C$8*IF($B36="V",1,IF($B36="D",(1+SUP_VOLUMEN!$C$26),(1+SUP_VOLUMEN!$C$27)))*INDEX(SUP_C3_EXPANSION!$C$6:$F$6,MIN(4,COUNTIF(CAPA3_EXPANSION!$D$56:BN$56,"&gt;="&amp;29)))*CAPA3_EXPANSION!BN$36)</f>
        <v>0</v>
      </c>
      <c r="BO36" s="298" t="n">
        <f aca="false">IF(COUNTIF(CAPA3_EXPANSION!$D$56:BO$56,"&gt;="&amp;29)=0,0,SUP_CONTROL!$C$8*IF($B36="V",1,IF($B36="D",(1+SUP_VOLUMEN!$C$26),(1+SUP_VOLUMEN!$C$27)))*INDEX(SUP_C3_EXPANSION!$C$6:$F$6,MIN(4,COUNTIF(CAPA3_EXPANSION!$D$56:BO$56,"&gt;="&amp;29)))*CAPA3_EXPANSION!BO$36)</f>
        <v>0</v>
      </c>
      <c r="BP36" s="298" t="n">
        <f aca="false">IF(COUNTIF(CAPA3_EXPANSION!$D$56:BP$56,"&gt;="&amp;29)=0,0,SUP_CONTROL!$C$8*IF($B36="V",1,IF($B36="D",(1+SUP_VOLUMEN!$C$26),(1+SUP_VOLUMEN!$C$27)))*INDEX(SUP_C3_EXPANSION!$C$6:$F$6,MIN(4,COUNTIF(CAPA3_EXPANSION!$D$56:BP$56,"&gt;="&amp;29)))*CAPA3_EXPANSION!BP$36)</f>
        <v>0</v>
      </c>
      <c r="BQ36" s="298" t="n">
        <f aca="false">IF(COUNTIF(CAPA3_EXPANSION!$D$56:BQ$56,"&gt;="&amp;29)=0,0,SUP_CONTROL!$C$8*IF($B36="V",1,IF($B36="D",(1+SUP_VOLUMEN!$C$26),(1+SUP_VOLUMEN!$C$27)))*INDEX(SUP_C3_EXPANSION!$C$6:$F$6,MIN(4,COUNTIF(CAPA3_EXPANSION!$D$56:BQ$56,"&gt;="&amp;29)))*CAPA3_EXPANSION!BQ$36)</f>
        <v>0</v>
      </c>
      <c r="BR36" s="298" t="n">
        <f aca="false">IF(COUNTIF(CAPA3_EXPANSION!$D$56:BR$56,"&gt;="&amp;29)=0,0,SUP_CONTROL!$C$8*IF($B36="V",1,IF($B36="D",(1+SUP_VOLUMEN!$C$26),(1+SUP_VOLUMEN!$C$27)))*INDEX(SUP_C3_EXPANSION!$C$6:$F$6,MIN(4,COUNTIF(CAPA3_EXPANSION!$D$56:BR$56,"&gt;="&amp;29)))*CAPA3_EXPANSION!BR$36)</f>
        <v>0</v>
      </c>
      <c r="BS36" s="298" t="n">
        <f aca="false">IF(COUNTIF(CAPA3_EXPANSION!$D$56:BS$56,"&gt;="&amp;29)=0,0,SUP_CONTROL!$C$8*IF($B36="V",1,IF($B36="D",(1+SUP_VOLUMEN!$C$26),(1+SUP_VOLUMEN!$C$27)))*INDEX(SUP_C3_EXPANSION!$C$6:$F$6,MIN(4,COUNTIF(CAPA3_EXPANSION!$D$56:BS$56,"&gt;="&amp;29)))*CAPA3_EXPANSION!BS$36)</f>
        <v>0</v>
      </c>
      <c r="BT36" s="298" t="n">
        <f aca="false">IF(COUNTIF(CAPA3_EXPANSION!$D$56:BT$56,"&gt;="&amp;29)=0,0,SUP_CONTROL!$C$8*IF($B36="V",1,IF($B36="D",(1+SUP_VOLUMEN!$C$26),(1+SUP_VOLUMEN!$C$27)))*INDEX(SUP_C3_EXPANSION!$C$6:$F$6,MIN(4,COUNTIF(CAPA3_EXPANSION!$D$56:BT$56,"&gt;="&amp;29)))*CAPA3_EXPANSION!BT$36)</f>
        <v>0</v>
      </c>
      <c r="BU36" s="298" t="n">
        <f aca="false">IF(COUNTIF(CAPA3_EXPANSION!$D$56:BU$56,"&gt;="&amp;29)=0,0,SUP_CONTROL!$C$8*IF($B36="V",1,IF($B36="D",(1+SUP_VOLUMEN!$C$26),(1+SUP_VOLUMEN!$C$27)))*INDEX(SUP_C3_EXPANSION!$C$6:$F$6,MIN(4,COUNTIF(CAPA3_EXPANSION!$D$56:BU$56,"&gt;="&amp;29)))*CAPA3_EXPANSION!BU$36)</f>
        <v>0</v>
      </c>
      <c r="BV36" s="298" t="n">
        <f aca="false">IF(COUNTIF(CAPA3_EXPANSION!$D$56:BV$56,"&gt;="&amp;29)=0,0,SUP_CONTROL!$C$8*IF($B36="V",1,IF($B36="D",(1+SUP_VOLUMEN!$C$26),(1+SUP_VOLUMEN!$C$27)))*INDEX(SUP_C3_EXPANSION!$C$6:$F$6,MIN(4,COUNTIF(CAPA3_EXPANSION!$D$56:BV$56,"&gt;="&amp;29)))*CAPA3_EXPANSION!BV$36)</f>
        <v>0</v>
      </c>
      <c r="BW36" s="298" t="n">
        <f aca="false">IF(COUNTIF(CAPA3_EXPANSION!$D$56:BW$56,"&gt;="&amp;29)=0,0,SUP_CONTROL!$C$8*IF($B36="V",1,IF($B36="D",(1+SUP_VOLUMEN!$C$26),(1+SUP_VOLUMEN!$C$27)))*INDEX(SUP_C3_EXPANSION!$C$6:$F$6,MIN(4,COUNTIF(CAPA3_EXPANSION!$D$56:BW$56,"&gt;="&amp;29)))*CAPA3_EXPANSION!BW$36)</f>
        <v>0</v>
      </c>
      <c r="BX36" s="298" t="n">
        <f aca="false">IF(COUNTIF(CAPA3_EXPANSION!$D$56:BX$56,"&gt;="&amp;29)=0,0,SUP_CONTROL!$C$8*IF($B36="V",1,IF($B36="D",(1+SUP_VOLUMEN!$C$26),(1+SUP_VOLUMEN!$C$27)))*INDEX(SUP_C3_EXPANSION!$C$6:$F$6,MIN(4,COUNTIF(CAPA3_EXPANSION!$D$56:BX$56,"&gt;="&amp;29)))*CAPA3_EXPANSION!BX$36)</f>
        <v>3069.885</v>
      </c>
      <c r="BY36" s="298" t="n">
        <f aca="false">IF(COUNTIF(CAPA3_EXPANSION!$D$56:BY$56,"&gt;="&amp;29)=0,0,SUP_CONTROL!$C$8*IF($B36="V",1,IF($B36="D",(1+SUP_VOLUMEN!$C$26),(1+SUP_VOLUMEN!$C$27)))*INDEX(SUP_C3_EXPANSION!$C$6:$F$6,MIN(4,COUNTIF(CAPA3_EXPANSION!$D$56:BY$56,"&gt;="&amp;29)))*CAPA3_EXPANSION!BY$36)</f>
        <v>3778.32</v>
      </c>
      <c r="BZ36" s="298" t="n">
        <f aca="false">IF(COUNTIF(CAPA3_EXPANSION!$D$56:BZ$56,"&gt;="&amp;29)=0,0,SUP_CONTROL!$C$8*IF($B36="V",1,IF($B36="D",(1+SUP_VOLUMEN!$C$26),(1+SUP_VOLUMEN!$C$27)))*INDEX(SUP_C3_EXPANSION!$C$6:$F$6,MIN(4,COUNTIF(CAPA3_EXPANSION!$D$56:BZ$56,"&gt;="&amp;29)))*CAPA3_EXPANSION!BZ$36)</f>
        <v>4250.61</v>
      </c>
      <c r="CA36" s="298" t="n">
        <f aca="false">IF(COUNTIF(CAPA3_EXPANSION!$D$56:CA$56,"&gt;="&amp;29)=0,0,SUP_CONTROL!$C$8*IF($B36="V",1,IF($B36="D",(1+SUP_VOLUMEN!$C$26),(1+SUP_VOLUMEN!$C$27)))*INDEX(SUP_C3_EXPANSION!$C$6:$F$6,MIN(4,COUNTIF(CAPA3_EXPANSION!$D$56:CA$56,"&gt;="&amp;29)))*CAPA3_EXPANSION!CA$36)</f>
        <v>4722.9</v>
      </c>
      <c r="CB36" s="298" t="n">
        <f aca="false">IF(COUNTIF(CAPA3_EXPANSION!$D$56:CB$56,"&gt;="&amp;29)=0,0,SUP_CONTROL!$C$8*IF($B36="V",1,IF($B36="D",(1+SUP_VOLUMEN!$C$26),(1+SUP_VOLUMEN!$C$27)))*INDEX(SUP_C3_EXPANSION!$C$6:$F$6,MIN(4,COUNTIF(CAPA3_EXPANSION!$D$56:CB$56,"&gt;="&amp;29)))*CAPA3_EXPANSION!CB$36)</f>
        <v>4641</v>
      </c>
      <c r="CC36" s="298" t="n">
        <f aca="false">IF(COUNTIF(CAPA3_EXPANSION!$D$56:CC$56,"&gt;="&amp;29)=0,0,SUP_CONTROL!$C$8*IF($B36="V",1,IF($B36="D",(1+SUP_VOLUMEN!$C$26),(1+SUP_VOLUMEN!$C$27)))*INDEX(SUP_C3_EXPANSION!$C$6:$F$6,MIN(4,COUNTIF(CAPA3_EXPANSION!$D$56:CC$56,"&gt;="&amp;29)))*CAPA3_EXPANSION!CC$36)</f>
        <v>4641</v>
      </c>
      <c r="CD36" s="298" t="n">
        <f aca="false">IF(COUNTIF(CAPA3_EXPANSION!$D$56:CD$56,"&gt;="&amp;29)=0,0,SUP_CONTROL!$C$8*IF($B36="V",1,IF($B36="D",(1+SUP_VOLUMEN!$C$26),(1+SUP_VOLUMEN!$C$27)))*INDEX(SUP_C3_EXPANSION!$C$6:$F$6,MIN(4,COUNTIF(CAPA3_EXPANSION!$D$56:CD$56,"&gt;="&amp;29)))*CAPA3_EXPANSION!CD$36)</f>
        <v>4641</v>
      </c>
      <c r="CE36" s="298" t="n">
        <f aca="false">IF(COUNTIF(CAPA3_EXPANSION!$D$56:CE$56,"&gt;="&amp;29)=0,0,SUP_CONTROL!$C$8*IF($B36="V",1,IF($B36="D",(1+SUP_VOLUMEN!$C$26),(1+SUP_VOLUMEN!$C$27)))*INDEX(SUP_C3_EXPANSION!$C$6:$F$6,MIN(4,COUNTIF(CAPA3_EXPANSION!$D$56:CE$56,"&gt;="&amp;29)))*CAPA3_EXPANSION!CE$36)</f>
        <v>4641</v>
      </c>
      <c r="CF36" s="298" t="n">
        <f aca="false">IF(COUNTIF(CAPA3_EXPANSION!$D$56:CF$56,"&gt;="&amp;29)=0,0,SUP_CONTROL!$C$8*IF($B36="V",1,IF($B36="D",(1+SUP_VOLUMEN!$C$26),(1+SUP_VOLUMEN!$C$27)))*INDEX(SUP_C3_EXPANSION!$C$6:$F$6,MIN(4,COUNTIF(CAPA3_EXPANSION!$D$56:CF$56,"&gt;="&amp;29)))*CAPA3_EXPANSION!CF$36)</f>
        <v>4641</v>
      </c>
      <c r="CG36" s="298" t="n">
        <f aca="false">IF(COUNTIF(CAPA3_EXPANSION!$D$56:CG$56,"&gt;="&amp;29)=0,0,SUP_CONTROL!$C$8*IF($B36="V",1,IF($B36="D",(1+SUP_VOLUMEN!$C$26),(1+SUP_VOLUMEN!$C$27)))*INDEX(SUP_C3_EXPANSION!$C$6:$F$6,MIN(4,COUNTIF(CAPA3_EXPANSION!$D$56:CG$56,"&gt;="&amp;29)))*CAPA3_EXPANSION!CG$36)</f>
        <v>4586.4</v>
      </c>
      <c r="CH36" s="298" t="n">
        <f aca="false">IF(COUNTIF(CAPA3_EXPANSION!$D$56:CH$56,"&gt;="&amp;29)=0,0,SUP_CONTROL!$C$8*IF($B36="V",1,IF($B36="D",(1+SUP_VOLUMEN!$C$26),(1+SUP_VOLUMEN!$C$27)))*INDEX(SUP_C3_EXPANSION!$C$6:$F$6,MIN(4,COUNTIF(CAPA3_EXPANSION!$D$56:CH$56,"&gt;="&amp;29)))*CAPA3_EXPANSION!CH$36)</f>
        <v>4586.4</v>
      </c>
      <c r="CI36" s="298" t="n">
        <f aca="false">IF(COUNTIF(CAPA3_EXPANSION!$D$56:CI$56,"&gt;="&amp;29)=0,0,SUP_CONTROL!$C$8*IF($B36="V",1,IF($B36="D",(1+SUP_VOLUMEN!$C$26),(1+SUP_VOLUMEN!$C$27)))*INDEX(SUP_C3_EXPANSION!$C$6:$F$6,MIN(4,COUNTIF(CAPA3_EXPANSION!$D$56:CI$56,"&gt;="&amp;29)))*CAPA3_EXPANSION!CI$36)</f>
        <v>4586.4</v>
      </c>
      <c r="CJ36" s="298" t="n">
        <f aca="false">IF(COUNTIF(CAPA3_EXPANSION!$D$56:CJ$56,"&gt;="&amp;29)=0,0,SUP_CONTROL!$C$8*IF($B36="V",1,IF($B36="D",(1+SUP_VOLUMEN!$C$26),(1+SUP_VOLUMEN!$C$27)))*INDEX(SUP_C3_EXPANSION!$C$6:$F$6,MIN(4,COUNTIF(CAPA3_EXPANSION!$D$56:CJ$56,"&gt;="&amp;29)))*CAPA3_EXPANSION!CJ$36)</f>
        <v>4586.4</v>
      </c>
      <c r="CK36" s="298" t="n">
        <f aca="false">IF(COUNTIF(CAPA3_EXPANSION!$D$56:CK$56,"&gt;="&amp;29)=0,0,SUP_CONTROL!$C$8*IF($B36="V",1,IF($B36="D",(1+SUP_VOLUMEN!$C$26),(1+SUP_VOLUMEN!$C$27)))*INDEX(SUP_C3_EXPANSION!$C$6:$F$6,MIN(4,COUNTIF(CAPA3_EXPANSION!$D$56:CK$56,"&gt;="&amp;29)))*CAPA3_EXPANSION!CK$36)</f>
        <v>4586.4</v>
      </c>
      <c r="CL36" s="298" t="n">
        <f aca="false">IF(COUNTIF(CAPA3_EXPANSION!$D$56:CL$56,"&gt;="&amp;29)=0,0,SUP_CONTROL!$C$8*IF($B36="V",1,IF($B36="D",(1+SUP_VOLUMEN!$C$26),(1+SUP_VOLUMEN!$C$27)))*INDEX(SUP_C3_EXPANSION!$C$6:$F$6,MIN(4,COUNTIF(CAPA3_EXPANSION!$D$56:CL$56,"&gt;="&amp;29)))*CAPA3_EXPANSION!CL$36)</f>
        <v>4586.4</v>
      </c>
      <c r="CM36" s="298" t="n">
        <f aca="false">IF(COUNTIF(CAPA3_EXPANSION!$D$56:CM$56,"&gt;="&amp;29)=0,0,SUP_CONTROL!$C$8*IF($B36="V",1,IF($B36="D",(1+SUP_VOLUMEN!$C$26),(1+SUP_VOLUMEN!$C$27)))*INDEX(SUP_C3_EXPANSION!$C$6:$F$6,MIN(4,COUNTIF(CAPA3_EXPANSION!$D$56:CM$56,"&gt;="&amp;29)))*CAPA3_EXPANSION!CM$36)</f>
        <v>4586.4</v>
      </c>
      <c r="CN36" s="298" t="n">
        <f aca="false">IF(COUNTIF(CAPA3_EXPANSION!$D$56:CN$56,"&gt;="&amp;29)=0,0,SUP_CONTROL!$C$8*IF($B36="V",1,IF($B36="D",(1+SUP_VOLUMEN!$C$26),(1+SUP_VOLUMEN!$C$27)))*INDEX(SUP_C3_EXPANSION!$C$6:$F$6,MIN(4,COUNTIF(CAPA3_EXPANSION!$D$56:CN$56,"&gt;="&amp;29)))*CAPA3_EXPANSION!CN$36)</f>
        <v>4586.4</v>
      </c>
      <c r="CO36" s="298" t="n">
        <f aca="false">IF(COUNTIF(CAPA3_EXPANSION!$D$56:CO$56,"&gt;="&amp;29)=0,0,SUP_CONTROL!$C$8*IF($B36="V",1,IF($B36="D",(1+SUP_VOLUMEN!$C$26),(1+SUP_VOLUMEN!$C$27)))*INDEX(SUP_C3_EXPANSION!$C$6:$F$6,MIN(4,COUNTIF(CAPA3_EXPANSION!$D$56:CO$56,"&gt;="&amp;29)))*CAPA3_EXPANSION!CO$36)</f>
        <v>4586.4</v>
      </c>
      <c r="CP36" s="298" t="n">
        <f aca="false">IF(COUNTIF(CAPA3_EXPANSION!$D$56:CP$56,"&gt;="&amp;29)=0,0,SUP_CONTROL!$C$8*IF($B36="V",1,IF($B36="D",(1+SUP_VOLUMEN!$C$26),(1+SUP_VOLUMEN!$C$27)))*INDEX(SUP_C3_EXPANSION!$C$6:$F$6,MIN(4,COUNTIF(CAPA3_EXPANSION!$D$56:CP$56,"&gt;="&amp;29)))*CAPA3_EXPANSION!CP$36)</f>
        <v>4586.4</v>
      </c>
      <c r="CQ36" s="298" t="n">
        <f aca="false">IF(COUNTIF(CAPA3_EXPANSION!$D$56:CQ$56,"&gt;="&amp;29)=0,0,SUP_CONTROL!$C$8*IF($B36="V",1,IF($B36="D",(1+SUP_VOLUMEN!$C$26),(1+SUP_VOLUMEN!$C$27)))*INDEX(SUP_C3_EXPANSION!$C$6:$F$6,MIN(4,COUNTIF(CAPA3_EXPANSION!$D$56:CQ$56,"&gt;="&amp;29)))*CAPA3_EXPANSION!CQ$36)</f>
        <v>4586.4</v>
      </c>
      <c r="CR36" s="298" t="n">
        <f aca="false">IF(COUNTIF(CAPA3_EXPANSION!$D$56:CR$56,"&gt;="&amp;29)=0,0,SUP_CONTROL!$C$8*IF($B36="V",1,IF($B36="D",(1+SUP_VOLUMEN!$C$26),(1+SUP_VOLUMEN!$C$27)))*INDEX(SUP_C3_EXPANSION!$C$6:$F$6,MIN(4,COUNTIF(CAPA3_EXPANSION!$D$56:CR$56,"&gt;="&amp;29)))*CAPA3_EXPANSION!CR$36)</f>
        <v>4586.4</v>
      </c>
      <c r="CS36" s="298" t="n">
        <f aca="false">IF(COUNTIF(CAPA3_EXPANSION!$D$56:CS$56,"&gt;="&amp;29)=0,0,SUP_CONTROL!$C$8*IF($B36="V",1,IF($B36="D",(1+SUP_VOLUMEN!$C$26),(1+SUP_VOLUMEN!$C$27)))*INDEX(SUP_C3_EXPANSION!$C$6:$F$6,MIN(4,COUNTIF(CAPA3_EXPANSION!$D$56:CS$56,"&gt;="&amp;29)))*CAPA3_EXPANSION!CS$36)</f>
        <v>4586.4</v>
      </c>
      <c r="CT36" s="298" t="n">
        <f aca="false">IF(COUNTIF(CAPA3_EXPANSION!$D$56:CT$56,"&gt;="&amp;29)=0,0,SUP_CONTROL!$C$8*IF($B36="V",1,IF($B36="D",(1+SUP_VOLUMEN!$C$26),(1+SUP_VOLUMEN!$C$27)))*INDEX(SUP_C3_EXPANSION!$C$6:$F$6,MIN(4,COUNTIF(CAPA3_EXPANSION!$D$56:CT$56,"&gt;="&amp;29)))*CAPA3_EXPANSION!CT$36)</f>
        <v>4586.4</v>
      </c>
      <c r="CU36" s="298" t="n">
        <f aca="false">IF(COUNTIF(CAPA3_EXPANSION!$D$56:CU$56,"&gt;="&amp;29)=0,0,SUP_CONTROL!$C$8*IF($B36="V",1,IF($B36="D",(1+SUP_VOLUMEN!$C$26),(1+SUP_VOLUMEN!$C$27)))*INDEX(SUP_C3_EXPANSION!$C$6:$F$6,MIN(4,COUNTIF(CAPA3_EXPANSION!$D$56:CU$56,"&gt;="&amp;29)))*CAPA3_EXPANSION!CU$36)</f>
        <v>4586.4</v>
      </c>
      <c r="CV36" s="298" t="n">
        <f aca="false">IF(COUNTIF(CAPA3_EXPANSION!$D$56:CV$56,"&gt;="&amp;29)=0,0,SUP_CONTROL!$C$8*IF($B36="V",1,IF($B36="D",(1+SUP_VOLUMEN!$C$26),(1+SUP_VOLUMEN!$C$27)))*INDEX(SUP_C3_EXPANSION!$C$6:$F$6,MIN(4,COUNTIF(CAPA3_EXPANSION!$D$56:CV$56,"&gt;="&amp;29)))*CAPA3_EXPANSION!CV$36)</f>
        <v>4586.4</v>
      </c>
      <c r="CW36" s="298" t="n">
        <f aca="false">IF(COUNTIF(CAPA3_EXPANSION!$D$56:CW$56,"&gt;="&amp;29)=0,0,SUP_CONTROL!$C$8*IF($B36="V",1,IF($B36="D",(1+SUP_VOLUMEN!$C$26),(1+SUP_VOLUMEN!$C$27)))*INDEX(SUP_C3_EXPANSION!$C$6:$F$6,MIN(4,COUNTIF(CAPA3_EXPANSION!$D$56:CW$56,"&gt;="&amp;29)))*CAPA3_EXPANSION!CW$36)</f>
        <v>4586.4</v>
      </c>
      <c r="CX36" s="298" t="n">
        <f aca="false">IF(COUNTIF(CAPA3_EXPANSION!$D$56:CX$56,"&gt;="&amp;29)=0,0,SUP_CONTROL!$C$8*IF($B36="V",1,IF($B36="D",(1+SUP_VOLUMEN!$C$26),(1+SUP_VOLUMEN!$C$27)))*INDEX(SUP_C3_EXPANSION!$C$6:$F$6,MIN(4,COUNTIF(CAPA3_EXPANSION!$D$56:CX$56,"&gt;="&amp;29)))*CAPA3_EXPANSION!CX$36)</f>
        <v>4586.4</v>
      </c>
      <c r="CY36" s="298" t="n">
        <f aca="false">IF(COUNTIF(CAPA3_EXPANSION!$D$56:CY$56,"&gt;="&amp;29)=0,0,SUP_CONTROL!$C$8*IF($B36="V",1,IF($B36="D",(1+SUP_VOLUMEN!$C$26),(1+SUP_VOLUMEN!$C$27)))*INDEX(SUP_C3_EXPANSION!$C$6:$F$6,MIN(4,COUNTIF(CAPA3_EXPANSION!$D$56:CY$56,"&gt;="&amp;29)))*CAPA3_EXPANSION!CY$36)</f>
        <v>4586.4</v>
      </c>
      <c r="CZ36" s="298" t="n">
        <f aca="false">IF(COUNTIF(CAPA3_EXPANSION!$D$56:CZ$56,"&gt;="&amp;29)=0,0,SUP_CONTROL!$C$8*IF($B36="V",1,IF($B36="D",(1+SUP_VOLUMEN!$C$26),(1+SUP_VOLUMEN!$C$27)))*INDEX(SUP_C3_EXPANSION!$C$6:$F$6,MIN(4,COUNTIF(CAPA3_EXPANSION!$D$56:CZ$56,"&gt;="&amp;29)))*CAPA3_EXPANSION!CZ$36)</f>
        <v>4586.4</v>
      </c>
      <c r="DA36" s="298" t="n">
        <f aca="false">IF(COUNTIF(CAPA3_EXPANSION!$D$56:DA$56,"&gt;="&amp;29)=0,0,SUP_CONTROL!$C$8*IF($B36="V",1,IF($B36="D",(1+SUP_VOLUMEN!$C$26),(1+SUP_VOLUMEN!$C$27)))*INDEX(SUP_C3_EXPANSION!$C$6:$F$6,MIN(4,COUNTIF(CAPA3_EXPANSION!$D$56:DA$56,"&gt;="&amp;29)))*CAPA3_EXPANSION!DA$36)</f>
        <v>4586.4</v>
      </c>
      <c r="DB36" s="298" t="n">
        <f aca="false">IF(COUNTIF(CAPA3_EXPANSION!$D$56:DB$56,"&gt;="&amp;29)=0,0,SUP_CONTROL!$C$8*IF($B36="V",1,IF($B36="D",(1+SUP_VOLUMEN!$C$26),(1+SUP_VOLUMEN!$C$27)))*INDEX(SUP_C3_EXPANSION!$C$6:$F$6,MIN(4,COUNTIF(CAPA3_EXPANSION!$D$56:DB$56,"&gt;="&amp;29)))*CAPA3_EXPANSION!DB$36)</f>
        <v>4586.4</v>
      </c>
      <c r="DC36" s="298" t="n">
        <f aca="false">IF(COUNTIF(CAPA3_EXPANSION!$D$56:DC$56,"&gt;="&amp;29)=0,0,SUP_CONTROL!$C$8*IF($B36="V",1,IF($B36="D",(1+SUP_VOLUMEN!$C$26),(1+SUP_VOLUMEN!$C$27)))*INDEX(SUP_C3_EXPANSION!$C$6:$F$6,MIN(4,COUNTIF(CAPA3_EXPANSION!$D$56:DC$56,"&gt;="&amp;29)))*CAPA3_EXPANSION!DC$36)</f>
        <v>4586.4</v>
      </c>
      <c r="DD36" s="298" t="n">
        <f aca="false">IF(COUNTIF(CAPA3_EXPANSION!$D$56:DD$56,"&gt;="&amp;29)=0,0,SUP_CONTROL!$C$8*IF($B36="V",1,IF($B36="D",(1+SUP_VOLUMEN!$C$26),(1+SUP_VOLUMEN!$C$27)))*INDEX(SUP_C3_EXPANSION!$C$6:$F$6,MIN(4,COUNTIF(CAPA3_EXPANSION!$D$56:DD$56,"&gt;="&amp;29)))*CAPA3_EXPANSION!DD$36)</f>
        <v>4586.4</v>
      </c>
      <c r="DE36" s="298" t="n">
        <f aca="false">IF(COUNTIF(CAPA3_EXPANSION!$D$56:DE$56,"&gt;="&amp;29)=0,0,SUP_CONTROL!$C$8*IF($B36="V",1,IF($B36="D",(1+SUP_VOLUMEN!$C$26),(1+SUP_VOLUMEN!$C$27)))*INDEX(SUP_C3_EXPANSION!$C$6:$F$6,MIN(4,COUNTIF(CAPA3_EXPANSION!$D$56:DE$56,"&gt;="&amp;29)))*CAPA3_EXPANSION!DE$36)</f>
        <v>4586.4</v>
      </c>
      <c r="DF36" s="298" t="n">
        <f aca="false">IF(COUNTIF(CAPA3_EXPANSION!$D$56:DF$56,"&gt;="&amp;29)=0,0,SUP_CONTROL!$C$8*IF($B36="V",1,IF($B36="D",(1+SUP_VOLUMEN!$C$26),(1+SUP_VOLUMEN!$C$27)))*INDEX(SUP_C3_EXPANSION!$C$6:$F$6,MIN(4,COUNTIF(CAPA3_EXPANSION!$D$56:DF$56,"&gt;="&amp;29)))*CAPA3_EXPANSION!DF$36)</f>
        <v>4586.4</v>
      </c>
      <c r="DG36" s="298" t="n">
        <f aca="false">IF(COUNTIF(CAPA3_EXPANSION!$D$56:DG$56,"&gt;="&amp;29)=0,0,SUP_CONTROL!$C$8*IF($B36="V",1,IF($B36="D",(1+SUP_VOLUMEN!$C$26),(1+SUP_VOLUMEN!$C$27)))*INDEX(SUP_C3_EXPANSION!$C$6:$F$6,MIN(4,COUNTIF(CAPA3_EXPANSION!$D$56:DG$56,"&gt;="&amp;29)))*CAPA3_EXPANSION!DG$36)</f>
        <v>4586.4</v>
      </c>
      <c r="DH36" s="298" t="n">
        <f aca="false">IF(COUNTIF(CAPA3_EXPANSION!$D$56:DH$56,"&gt;="&amp;29)=0,0,SUP_CONTROL!$C$8*IF($B36="V",1,IF($B36="D",(1+SUP_VOLUMEN!$C$26),(1+SUP_VOLUMEN!$C$27)))*INDEX(SUP_C3_EXPANSION!$C$6:$F$6,MIN(4,COUNTIF(CAPA3_EXPANSION!$D$56:DH$56,"&gt;="&amp;29)))*CAPA3_EXPANSION!DH$36)</f>
        <v>4586.4</v>
      </c>
      <c r="DI36" s="298" t="n">
        <f aca="false">IF(COUNTIF(CAPA3_EXPANSION!$D$56:DI$56,"&gt;="&amp;29)=0,0,SUP_CONTROL!$C$8*IF($B36="V",1,IF($B36="D",(1+SUP_VOLUMEN!$C$26),(1+SUP_VOLUMEN!$C$27)))*INDEX(SUP_C3_EXPANSION!$C$6:$F$6,MIN(4,COUNTIF(CAPA3_EXPANSION!$D$56:DI$56,"&gt;="&amp;29)))*CAPA3_EXPANSION!DI$36)</f>
        <v>4586.4</v>
      </c>
      <c r="DJ36" s="298" t="n">
        <f aca="false">IF(COUNTIF(CAPA3_EXPANSION!$D$56:DJ$56,"&gt;="&amp;29)=0,0,SUP_CONTROL!$C$8*IF($B36="V",1,IF($B36="D",(1+SUP_VOLUMEN!$C$26),(1+SUP_VOLUMEN!$C$27)))*INDEX(SUP_C3_EXPANSION!$C$6:$F$6,MIN(4,COUNTIF(CAPA3_EXPANSION!$D$56:DJ$56,"&gt;="&amp;29)))*CAPA3_EXPANSION!DJ$36)</f>
        <v>4586.4</v>
      </c>
      <c r="DK36" s="298" t="n">
        <f aca="false">IF(COUNTIF(CAPA3_EXPANSION!$D$56:DK$56,"&gt;="&amp;29)=0,0,SUP_CONTROL!$C$8*IF($B36="V",1,IF($B36="D",(1+SUP_VOLUMEN!$C$26),(1+SUP_VOLUMEN!$C$27)))*INDEX(SUP_C3_EXPANSION!$C$6:$F$6,MIN(4,COUNTIF(CAPA3_EXPANSION!$D$56:DK$56,"&gt;="&amp;29)))*CAPA3_EXPANSION!DK$36)</f>
        <v>4586.4</v>
      </c>
      <c r="DL36" s="298" t="n">
        <f aca="false">IF(COUNTIF(CAPA3_EXPANSION!$D$56:DL$56,"&gt;="&amp;29)=0,0,SUP_CONTROL!$C$8*IF($B36="V",1,IF($B36="D",(1+SUP_VOLUMEN!$C$26),(1+SUP_VOLUMEN!$C$27)))*INDEX(SUP_C3_EXPANSION!$C$6:$F$6,MIN(4,COUNTIF(CAPA3_EXPANSION!$D$56:DL$56,"&gt;="&amp;29)))*CAPA3_EXPANSION!DL$36)</f>
        <v>4586.4</v>
      </c>
      <c r="DM36" s="298" t="n">
        <f aca="false">IF(COUNTIF(CAPA3_EXPANSION!$D$56:DM$56,"&gt;="&amp;29)=0,0,SUP_CONTROL!$C$8*IF($B36="V",1,IF($B36="D",(1+SUP_VOLUMEN!$C$26),(1+SUP_VOLUMEN!$C$27)))*INDEX(SUP_C3_EXPANSION!$C$6:$F$6,MIN(4,COUNTIF(CAPA3_EXPANSION!$D$56:DM$56,"&gt;="&amp;29)))*CAPA3_EXPANSION!DM$36)</f>
        <v>4586.4</v>
      </c>
      <c r="DN36" s="298" t="n">
        <f aca="false">IF(COUNTIF(CAPA3_EXPANSION!$D$56:DN$56,"&gt;="&amp;29)=0,0,SUP_CONTROL!$C$8*IF($B36="V",1,IF($B36="D",(1+SUP_VOLUMEN!$C$26),(1+SUP_VOLUMEN!$C$27)))*INDEX(SUP_C3_EXPANSION!$C$6:$F$6,MIN(4,COUNTIF(CAPA3_EXPANSION!$D$56:DN$56,"&gt;="&amp;29)))*CAPA3_EXPANSION!DN$36)</f>
        <v>4586.4</v>
      </c>
      <c r="DO36" s="298" t="n">
        <f aca="false">IF(COUNTIF(CAPA3_EXPANSION!$D$56:DO$56,"&gt;="&amp;29)=0,0,SUP_CONTROL!$C$8*IF($B36="V",1,IF($B36="D",(1+SUP_VOLUMEN!$C$26),(1+SUP_VOLUMEN!$C$27)))*INDEX(SUP_C3_EXPANSION!$C$6:$F$6,MIN(4,COUNTIF(CAPA3_EXPANSION!$D$56:DO$56,"&gt;="&amp;29)))*CAPA3_EXPANSION!DO$36)</f>
        <v>4586.4</v>
      </c>
      <c r="DP36" s="298" t="n">
        <f aca="false">IF(COUNTIF(CAPA3_EXPANSION!$D$56:DP$56,"&gt;="&amp;29)=0,0,SUP_CONTROL!$C$8*IF($B36="V",1,IF($B36="D",(1+SUP_VOLUMEN!$C$26),(1+SUP_VOLUMEN!$C$27)))*INDEX(SUP_C3_EXPANSION!$C$6:$F$6,MIN(4,COUNTIF(CAPA3_EXPANSION!$D$56:DP$56,"&gt;="&amp;29)))*CAPA3_EXPANSION!DP$36)</f>
        <v>4586.4</v>
      </c>
      <c r="DQ36" s="298" t="n">
        <f aca="false">IF(COUNTIF(CAPA3_EXPANSION!$D$56:DQ$56,"&gt;="&amp;29)=0,0,SUP_CONTROL!$C$8*IF($B36="V",1,IF($B36="D",(1+SUP_VOLUMEN!$C$26),(1+SUP_VOLUMEN!$C$27)))*INDEX(SUP_C3_EXPANSION!$C$6:$F$6,MIN(4,COUNTIF(CAPA3_EXPANSION!$D$56:DQ$56,"&gt;="&amp;29)))*CAPA3_EXPANSION!DQ$36)</f>
        <v>4586.4</v>
      </c>
      <c r="DR36" s="298" t="n">
        <f aca="false">IF(COUNTIF(CAPA3_EXPANSION!$D$56:DR$56,"&gt;="&amp;29)=0,0,SUP_CONTROL!$C$8*IF($B36="V",1,IF($B36="D",(1+SUP_VOLUMEN!$C$26),(1+SUP_VOLUMEN!$C$27)))*INDEX(SUP_C3_EXPANSION!$C$6:$F$6,MIN(4,COUNTIF(CAPA3_EXPANSION!$D$56:DR$56,"&gt;="&amp;29)))*CAPA3_EXPANSION!DR$36)</f>
        <v>4586.4</v>
      </c>
      <c r="DS36" s="298" t="n">
        <f aca="false">IF(COUNTIF(CAPA3_EXPANSION!$D$56:DS$56,"&gt;="&amp;29)=0,0,SUP_CONTROL!$C$8*IF($B36="V",1,IF($B36="D",(1+SUP_VOLUMEN!$C$26),(1+SUP_VOLUMEN!$C$27)))*INDEX(SUP_C3_EXPANSION!$C$6:$F$6,MIN(4,COUNTIF(CAPA3_EXPANSION!$D$56:DS$56,"&gt;="&amp;29)))*CAPA3_EXPANSION!DS$36)</f>
        <v>4586.4</v>
      </c>
    </row>
    <row r="37" customFormat="false" ht="15" hidden="false" customHeight="true" outlineLevel="0" collapsed="false">
      <c r="A37" s="298" t="n">
        <v>40</v>
      </c>
      <c r="B37" s="497" t="str">
        <f aca="false">SUP_C3_EXPANSION!B49</f>
        <v>F</v>
      </c>
      <c r="C37" s="267" t="n">
        <f aca="false">SUP_C3_EXPANSION!G49</f>
        <v>72</v>
      </c>
      <c r="D37" s="298" t="n">
        <f aca="false">IF(COUNTIF(CAPA3_EXPANSION!$D$56:D$56,"&gt;="&amp;30)=0,0,SUP_CONTROL!$C$8*IF($B37="V",1,IF($B37="D",(1+SUP_VOLUMEN!$C$26),(1+SUP_VOLUMEN!$C$27)))*INDEX(SUP_C3_EXPANSION!$C$6:$F$6,MIN(4,COUNTIF(CAPA3_EXPANSION!$D$56:D$56,"&gt;="&amp;30)))*CAPA3_EXPANSION!D$36)</f>
        <v>0</v>
      </c>
      <c r="E37" s="298" t="n">
        <f aca="false">IF(COUNTIF(CAPA3_EXPANSION!$D$56:E$56,"&gt;="&amp;30)=0,0,SUP_CONTROL!$C$8*IF($B37="V",1,IF($B37="D",(1+SUP_VOLUMEN!$C$26),(1+SUP_VOLUMEN!$C$27)))*INDEX(SUP_C3_EXPANSION!$C$6:$F$6,MIN(4,COUNTIF(CAPA3_EXPANSION!$D$56:E$56,"&gt;="&amp;30)))*CAPA3_EXPANSION!E$36)</f>
        <v>0</v>
      </c>
      <c r="F37" s="298" t="n">
        <f aca="false">IF(COUNTIF(CAPA3_EXPANSION!$D$56:F$56,"&gt;="&amp;30)=0,0,SUP_CONTROL!$C$8*IF($B37="V",1,IF($B37="D",(1+SUP_VOLUMEN!$C$26),(1+SUP_VOLUMEN!$C$27)))*INDEX(SUP_C3_EXPANSION!$C$6:$F$6,MIN(4,COUNTIF(CAPA3_EXPANSION!$D$56:F$56,"&gt;="&amp;30)))*CAPA3_EXPANSION!F$36)</f>
        <v>0</v>
      </c>
      <c r="G37" s="298" t="n">
        <f aca="false">IF(COUNTIF(CAPA3_EXPANSION!$D$56:G$56,"&gt;="&amp;30)=0,0,SUP_CONTROL!$C$8*IF($B37="V",1,IF($B37="D",(1+SUP_VOLUMEN!$C$26),(1+SUP_VOLUMEN!$C$27)))*INDEX(SUP_C3_EXPANSION!$C$6:$F$6,MIN(4,COUNTIF(CAPA3_EXPANSION!$D$56:G$56,"&gt;="&amp;30)))*CAPA3_EXPANSION!G$36)</f>
        <v>0</v>
      </c>
      <c r="H37" s="298" t="n">
        <f aca="false">IF(COUNTIF(CAPA3_EXPANSION!$D$56:H$56,"&gt;="&amp;30)=0,0,SUP_CONTROL!$C$8*IF($B37="V",1,IF($B37="D",(1+SUP_VOLUMEN!$C$26),(1+SUP_VOLUMEN!$C$27)))*INDEX(SUP_C3_EXPANSION!$C$6:$F$6,MIN(4,COUNTIF(CAPA3_EXPANSION!$D$56:H$56,"&gt;="&amp;30)))*CAPA3_EXPANSION!H$36)</f>
        <v>0</v>
      </c>
      <c r="I37" s="298" t="n">
        <f aca="false">IF(COUNTIF(CAPA3_EXPANSION!$D$56:I$56,"&gt;="&amp;30)=0,0,SUP_CONTROL!$C$8*IF($B37="V",1,IF($B37="D",(1+SUP_VOLUMEN!$C$26),(1+SUP_VOLUMEN!$C$27)))*INDEX(SUP_C3_EXPANSION!$C$6:$F$6,MIN(4,COUNTIF(CAPA3_EXPANSION!$D$56:I$56,"&gt;="&amp;30)))*CAPA3_EXPANSION!I$36)</f>
        <v>0</v>
      </c>
      <c r="J37" s="298" t="n">
        <f aca="false">IF(COUNTIF(CAPA3_EXPANSION!$D$56:J$56,"&gt;="&amp;30)=0,0,SUP_CONTROL!$C$8*IF($B37="V",1,IF($B37="D",(1+SUP_VOLUMEN!$C$26),(1+SUP_VOLUMEN!$C$27)))*INDEX(SUP_C3_EXPANSION!$C$6:$F$6,MIN(4,COUNTIF(CAPA3_EXPANSION!$D$56:J$56,"&gt;="&amp;30)))*CAPA3_EXPANSION!J$36)</f>
        <v>0</v>
      </c>
      <c r="K37" s="298" t="n">
        <f aca="false">IF(COUNTIF(CAPA3_EXPANSION!$D$56:K$56,"&gt;="&amp;30)=0,0,SUP_CONTROL!$C$8*IF($B37="V",1,IF($B37="D",(1+SUP_VOLUMEN!$C$26),(1+SUP_VOLUMEN!$C$27)))*INDEX(SUP_C3_EXPANSION!$C$6:$F$6,MIN(4,COUNTIF(CAPA3_EXPANSION!$D$56:K$56,"&gt;="&amp;30)))*CAPA3_EXPANSION!K$36)</f>
        <v>0</v>
      </c>
      <c r="L37" s="298" t="n">
        <f aca="false">IF(COUNTIF(CAPA3_EXPANSION!$D$56:L$56,"&gt;="&amp;30)=0,0,SUP_CONTROL!$C$8*IF($B37="V",1,IF($B37="D",(1+SUP_VOLUMEN!$C$26),(1+SUP_VOLUMEN!$C$27)))*INDEX(SUP_C3_EXPANSION!$C$6:$F$6,MIN(4,COUNTIF(CAPA3_EXPANSION!$D$56:L$56,"&gt;="&amp;30)))*CAPA3_EXPANSION!L$36)</f>
        <v>0</v>
      </c>
      <c r="M37" s="298" t="n">
        <f aca="false">IF(COUNTIF(CAPA3_EXPANSION!$D$56:M$56,"&gt;="&amp;30)=0,0,SUP_CONTROL!$C$8*IF($B37="V",1,IF($B37="D",(1+SUP_VOLUMEN!$C$26),(1+SUP_VOLUMEN!$C$27)))*INDEX(SUP_C3_EXPANSION!$C$6:$F$6,MIN(4,COUNTIF(CAPA3_EXPANSION!$D$56:M$56,"&gt;="&amp;30)))*CAPA3_EXPANSION!M$36)</f>
        <v>0</v>
      </c>
      <c r="N37" s="298" t="n">
        <f aca="false">IF(COUNTIF(CAPA3_EXPANSION!$D$56:N$56,"&gt;="&amp;30)=0,0,SUP_CONTROL!$C$8*IF($B37="V",1,IF($B37="D",(1+SUP_VOLUMEN!$C$26),(1+SUP_VOLUMEN!$C$27)))*INDEX(SUP_C3_EXPANSION!$C$6:$F$6,MIN(4,COUNTIF(CAPA3_EXPANSION!$D$56:N$56,"&gt;="&amp;30)))*CAPA3_EXPANSION!N$36)</f>
        <v>0</v>
      </c>
      <c r="O37" s="298" t="n">
        <f aca="false">IF(COUNTIF(CAPA3_EXPANSION!$D$56:O$56,"&gt;="&amp;30)=0,0,SUP_CONTROL!$C$8*IF($B37="V",1,IF($B37="D",(1+SUP_VOLUMEN!$C$26),(1+SUP_VOLUMEN!$C$27)))*INDEX(SUP_C3_EXPANSION!$C$6:$F$6,MIN(4,COUNTIF(CAPA3_EXPANSION!$D$56:O$56,"&gt;="&amp;30)))*CAPA3_EXPANSION!O$36)</f>
        <v>0</v>
      </c>
      <c r="P37" s="298" t="n">
        <f aca="false">IF(COUNTIF(CAPA3_EXPANSION!$D$56:P$56,"&gt;="&amp;30)=0,0,SUP_CONTROL!$C$8*IF($B37="V",1,IF($B37="D",(1+SUP_VOLUMEN!$C$26),(1+SUP_VOLUMEN!$C$27)))*INDEX(SUP_C3_EXPANSION!$C$6:$F$6,MIN(4,COUNTIF(CAPA3_EXPANSION!$D$56:P$56,"&gt;="&amp;30)))*CAPA3_EXPANSION!P$36)</f>
        <v>0</v>
      </c>
      <c r="Q37" s="298" t="n">
        <f aca="false">IF(COUNTIF(CAPA3_EXPANSION!$D$56:Q$56,"&gt;="&amp;30)=0,0,SUP_CONTROL!$C$8*IF($B37="V",1,IF($B37="D",(1+SUP_VOLUMEN!$C$26),(1+SUP_VOLUMEN!$C$27)))*INDEX(SUP_C3_EXPANSION!$C$6:$F$6,MIN(4,COUNTIF(CAPA3_EXPANSION!$D$56:Q$56,"&gt;="&amp;30)))*CAPA3_EXPANSION!Q$36)</f>
        <v>0</v>
      </c>
      <c r="R37" s="298" t="n">
        <f aca="false">IF(COUNTIF(CAPA3_EXPANSION!$D$56:R$56,"&gt;="&amp;30)=0,0,SUP_CONTROL!$C$8*IF($B37="V",1,IF($B37="D",(1+SUP_VOLUMEN!$C$26),(1+SUP_VOLUMEN!$C$27)))*INDEX(SUP_C3_EXPANSION!$C$6:$F$6,MIN(4,COUNTIF(CAPA3_EXPANSION!$D$56:R$56,"&gt;="&amp;30)))*CAPA3_EXPANSION!R$36)</f>
        <v>0</v>
      </c>
      <c r="S37" s="298" t="n">
        <f aca="false">IF(COUNTIF(CAPA3_EXPANSION!$D$56:S$56,"&gt;="&amp;30)=0,0,SUP_CONTROL!$C$8*IF($B37="V",1,IF($B37="D",(1+SUP_VOLUMEN!$C$26),(1+SUP_VOLUMEN!$C$27)))*INDEX(SUP_C3_EXPANSION!$C$6:$F$6,MIN(4,COUNTIF(CAPA3_EXPANSION!$D$56:S$56,"&gt;="&amp;30)))*CAPA3_EXPANSION!S$36)</f>
        <v>0</v>
      </c>
      <c r="T37" s="298" t="n">
        <f aca="false">IF(COUNTIF(CAPA3_EXPANSION!$D$56:T$56,"&gt;="&amp;30)=0,0,SUP_CONTROL!$C$8*IF($B37="V",1,IF($B37="D",(1+SUP_VOLUMEN!$C$26),(1+SUP_VOLUMEN!$C$27)))*INDEX(SUP_C3_EXPANSION!$C$6:$F$6,MIN(4,COUNTIF(CAPA3_EXPANSION!$D$56:T$56,"&gt;="&amp;30)))*CAPA3_EXPANSION!T$36)</f>
        <v>0</v>
      </c>
      <c r="U37" s="298" t="n">
        <f aca="false">IF(COUNTIF(CAPA3_EXPANSION!$D$56:U$56,"&gt;="&amp;30)=0,0,SUP_CONTROL!$C$8*IF($B37="V",1,IF($B37="D",(1+SUP_VOLUMEN!$C$26),(1+SUP_VOLUMEN!$C$27)))*INDEX(SUP_C3_EXPANSION!$C$6:$F$6,MIN(4,COUNTIF(CAPA3_EXPANSION!$D$56:U$56,"&gt;="&amp;30)))*CAPA3_EXPANSION!U$36)</f>
        <v>0</v>
      </c>
      <c r="V37" s="298" t="n">
        <f aca="false">IF(COUNTIF(CAPA3_EXPANSION!$D$56:V$56,"&gt;="&amp;30)=0,0,SUP_CONTROL!$C$8*IF($B37="V",1,IF($B37="D",(1+SUP_VOLUMEN!$C$26),(1+SUP_VOLUMEN!$C$27)))*INDEX(SUP_C3_EXPANSION!$C$6:$F$6,MIN(4,COUNTIF(CAPA3_EXPANSION!$D$56:V$56,"&gt;="&amp;30)))*CAPA3_EXPANSION!V$36)</f>
        <v>0</v>
      </c>
      <c r="W37" s="298" t="n">
        <f aca="false">IF(COUNTIF(CAPA3_EXPANSION!$D$56:W$56,"&gt;="&amp;30)=0,0,SUP_CONTROL!$C$8*IF($B37="V",1,IF($B37="D",(1+SUP_VOLUMEN!$C$26),(1+SUP_VOLUMEN!$C$27)))*INDEX(SUP_C3_EXPANSION!$C$6:$F$6,MIN(4,COUNTIF(CAPA3_EXPANSION!$D$56:W$56,"&gt;="&amp;30)))*CAPA3_EXPANSION!W$36)</f>
        <v>0</v>
      </c>
      <c r="X37" s="298" t="n">
        <f aca="false">IF(COUNTIF(CAPA3_EXPANSION!$D$56:X$56,"&gt;="&amp;30)=0,0,SUP_CONTROL!$C$8*IF($B37="V",1,IF($B37="D",(1+SUP_VOLUMEN!$C$26),(1+SUP_VOLUMEN!$C$27)))*INDEX(SUP_C3_EXPANSION!$C$6:$F$6,MIN(4,COUNTIF(CAPA3_EXPANSION!$D$56:X$56,"&gt;="&amp;30)))*CAPA3_EXPANSION!X$36)</f>
        <v>0</v>
      </c>
      <c r="Y37" s="298" t="n">
        <f aca="false">IF(COUNTIF(CAPA3_EXPANSION!$D$56:Y$56,"&gt;="&amp;30)=0,0,SUP_CONTROL!$C$8*IF($B37="V",1,IF($B37="D",(1+SUP_VOLUMEN!$C$26),(1+SUP_VOLUMEN!$C$27)))*INDEX(SUP_C3_EXPANSION!$C$6:$F$6,MIN(4,COUNTIF(CAPA3_EXPANSION!$D$56:Y$56,"&gt;="&amp;30)))*CAPA3_EXPANSION!Y$36)</f>
        <v>0</v>
      </c>
      <c r="Z37" s="298" t="n">
        <f aca="false">IF(COUNTIF(CAPA3_EXPANSION!$D$56:Z$56,"&gt;="&amp;30)=0,0,SUP_CONTROL!$C$8*IF($B37="V",1,IF($B37="D",(1+SUP_VOLUMEN!$C$26),(1+SUP_VOLUMEN!$C$27)))*INDEX(SUP_C3_EXPANSION!$C$6:$F$6,MIN(4,COUNTIF(CAPA3_EXPANSION!$D$56:Z$56,"&gt;="&amp;30)))*CAPA3_EXPANSION!Z$36)</f>
        <v>0</v>
      </c>
      <c r="AA37" s="298" t="n">
        <f aca="false">IF(COUNTIF(CAPA3_EXPANSION!$D$56:AA$56,"&gt;="&amp;30)=0,0,SUP_CONTROL!$C$8*IF($B37="V",1,IF($B37="D",(1+SUP_VOLUMEN!$C$26),(1+SUP_VOLUMEN!$C$27)))*INDEX(SUP_C3_EXPANSION!$C$6:$F$6,MIN(4,COUNTIF(CAPA3_EXPANSION!$D$56:AA$56,"&gt;="&amp;30)))*CAPA3_EXPANSION!AA$36)</f>
        <v>0</v>
      </c>
      <c r="AB37" s="298" t="n">
        <f aca="false">IF(COUNTIF(CAPA3_EXPANSION!$D$56:AB$56,"&gt;="&amp;30)=0,0,SUP_CONTROL!$C$8*IF($B37="V",1,IF($B37="D",(1+SUP_VOLUMEN!$C$26),(1+SUP_VOLUMEN!$C$27)))*INDEX(SUP_C3_EXPANSION!$C$6:$F$6,MIN(4,COUNTIF(CAPA3_EXPANSION!$D$56:AB$56,"&gt;="&amp;30)))*CAPA3_EXPANSION!AB$36)</f>
        <v>0</v>
      </c>
      <c r="AC37" s="298" t="n">
        <f aca="false">IF(COUNTIF(CAPA3_EXPANSION!$D$56:AC$56,"&gt;="&amp;30)=0,0,SUP_CONTROL!$C$8*IF($B37="V",1,IF($B37="D",(1+SUP_VOLUMEN!$C$26),(1+SUP_VOLUMEN!$C$27)))*INDEX(SUP_C3_EXPANSION!$C$6:$F$6,MIN(4,COUNTIF(CAPA3_EXPANSION!$D$56:AC$56,"&gt;="&amp;30)))*CAPA3_EXPANSION!AC$36)</f>
        <v>0</v>
      </c>
      <c r="AD37" s="298" t="n">
        <f aca="false">IF(COUNTIF(CAPA3_EXPANSION!$D$56:AD$56,"&gt;="&amp;30)=0,0,SUP_CONTROL!$C$8*IF($B37="V",1,IF($B37="D",(1+SUP_VOLUMEN!$C$26),(1+SUP_VOLUMEN!$C$27)))*INDEX(SUP_C3_EXPANSION!$C$6:$F$6,MIN(4,COUNTIF(CAPA3_EXPANSION!$D$56:AD$56,"&gt;="&amp;30)))*CAPA3_EXPANSION!AD$36)</f>
        <v>0</v>
      </c>
      <c r="AE37" s="298" t="n">
        <f aca="false">IF(COUNTIF(CAPA3_EXPANSION!$D$56:AE$56,"&gt;="&amp;30)=0,0,SUP_CONTROL!$C$8*IF($B37="V",1,IF($B37="D",(1+SUP_VOLUMEN!$C$26),(1+SUP_VOLUMEN!$C$27)))*INDEX(SUP_C3_EXPANSION!$C$6:$F$6,MIN(4,COUNTIF(CAPA3_EXPANSION!$D$56:AE$56,"&gt;="&amp;30)))*CAPA3_EXPANSION!AE$36)</f>
        <v>0</v>
      </c>
      <c r="AF37" s="298" t="n">
        <f aca="false">IF(COUNTIF(CAPA3_EXPANSION!$D$56:AF$56,"&gt;="&amp;30)=0,0,SUP_CONTROL!$C$8*IF($B37="V",1,IF($B37="D",(1+SUP_VOLUMEN!$C$26),(1+SUP_VOLUMEN!$C$27)))*INDEX(SUP_C3_EXPANSION!$C$6:$F$6,MIN(4,COUNTIF(CAPA3_EXPANSION!$D$56:AF$56,"&gt;="&amp;30)))*CAPA3_EXPANSION!AF$36)</f>
        <v>0</v>
      </c>
      <c r="AG37" s="298" t="n">
        <f aca="false">IF(COUNTIF(CAPA3_EXPANSION!$D$56:AG$56,"&gt;="&amp;30)=0,0,SUP_CONTROL!$C$8*IF($B37="V",1,IF($B37="D",(1+SUP_VOLUMEN!$C$26),(1+SUP_VOLUMEN!$C$27)))*INDEX(SUP_C3_EXPANSION!$C$6:$F$6,MIN(4,COUNTIF(CAPA3_EXPANSION!$D$56:AG$56,"&gt;="&amp;30)))*CAPA3_EXPANSION!AG$36)</f>
        <v>0</v>
      </c>
      <c r="AH37" s="298" t="n">
        <f aca="false">IF(COUNTIF(CAPA3_EXPANSION!$D$56:AH$56,"&gt;="&amp;30)=0,0,SUP_CONTROL!$C$8*IF($B37="V",1,IF($B37="D",(1+SUP_VOLUMEN!$C$26),(1+SUP_VOLUMEN!$C$27)))*INDEX(SUP_C3_EXPANSION!$C$6:$F$6,MIN(4,COUNTIF(CAPA3_EXPANSION!$D$56:AH$56,"&gt;="&amp;30)))*CAPA3_EXPANSION!AH$36)</f>
        <v>0</v>
      </c>
      <c r="AI37" s="298" t="n">
        <f aca="false">IF(COUNTIF(CAPA3_EXPANSION!$D$56:AI$56,"&gt;="&amp;30)=0,0,SUP_CONTROL!$C$8*IF($B37="V",1,IF($B37="D",(1+SUP_VOLUMEN!$C$26),(1+SUP_VOLUMEN!$C$27)))*INDEX(SUP_C3_EXPANSION!$C$6:$F$6,MIN(4,COUNTIF(CAPA3_EXPANSION!$D$56:AI$56,"&gt;="&amp;30)))*CAPA3_EXPANSION!AI$36)</f>
        <v>0</v>
      </c>
      <c r="AJ37" s="298" t="n">
        <f aca="false">IF(COUNTIF(CAPA3_EXPANSION!$D$56:AJ$56,"&gt;="&amp;30)=0,0,SUP_CONTROL!$C$8*IF($B37="V",1,IF($B37="D",(1+SUP_VOLUMEN!$C$26),(1+SUP_VOLUMEN!$C$27)))*INDEX(SUP_C3_EXPANSION!$C$6:$F$6,MIN(4,COUNTIF(CAPA3_EXPANSION!$D$56:AJ$56,"&gt;="&amp;30)))*CAPA3_EXPANSION!AJ$36)</f>
        <v>0</v>
      </c>
      <c r="AK37" s="298" t="n">
        <f aca="false">IF(COUNTIF(CAPA3_EXPANSION!$D$56:AK$56,"&gt;="&amp;30)=0,0,SUP_CONTROL!$C$8*IF($B37="V",1,IF($B37="D",(1+SUP_VOLUMEN!$C$26),(1+SUP_VOLUMEN!$C$27)))*INDEX(SUP_C3_EXPANSION!$C$6:$F$6,MIN(4,COUNTIF(CAPA3_EXPANSION!$D$56:AK$56,"&gt;="&amp;30)))*CAPA3_EXPANSION!AK$36)</f>
        <v>0</v>
      </c>
      <c r="AL37" s="298" t="n">
        <f aca="false">IF(COUNTIF(CAPA3_EXPANSION!$D$56:AL$56,"&gt;="&amp;30)=0,0,SUP_CONTROL!$C$8*IF($B37="V",1,IF($B37="D",(1+SUP_VOLUMEN!$C$26),(1+SUP_VOLUMEN!$C$27)))*INDEX(SUP_C3_EXPANSION!$C$6:$F$6,MIN(4,COUNTIF(CAPA3_EXPANSION!$D$56:AL$56,"&gt;="&amp;30)))*CAPA3_EXPANSION!AL$36)</f>
        <v>0</v>
      </c>
      <c r="AM37" s="298" t="n">
        <f aca="false">IF(COUNTIF(CAPA3_EXPANSION!$D$56:AM$56,"&gt;="&amp;30)=0,0,SUP_CONTROL!$C$8*IF($B37="V",1,IF($B37="D",(1+SUP_VOLUMEN!$C$26),(1+SUP_VOLUMEN!$C$27)))*INDEX(SUP_C3_EXPANSION!$C$6:$F$6,MIN(4,COUNTIF(CAPA3_EXPANSION!$D$56:AM$56,"&gt;="&amp;30)))*CAPA3_EXPANSION!AM$36)</f>
        <v>0</v>
      </c>
      <c r="AN37" s="298" t="n">
        <f aca="false">IF(COUNTIF(CAPA3_EXPANSION!$D$56:AN$56,"&gt;="&amp;30)=0,0,SUP_CONTROL!$C$8*IF($B37="V",1,IF($B37="D",(1+SUP_VOLUMEN!$C$26),(1+SUP_VOLUMEN!$C$27)))*INDEX(SUP_C3_EXPANSION!$C$6:$F$6,MIN(4,COUNTIF(CAPA3_EXPANSION!$D$56:AN$56,"&gt;="&amp;30)))*CAPA3_EXPANSION!AN$36)</f>
        <v>0</v>
      </c>
      <c r="AO37" s="298" t="n">
        <f aca="false">IF(COUNTIF(CAPA3_EXPANSION!$D$56:AO$56,"&gt;="&amp;30)=0,0,SUP_CONTROL!$C$8*IF($B37="V",1,IF($B37="D",(1+SUP_VOLUMEN!$C$26),(1+SUP_VOLUMEN!$C$27)))*INDEX(SUP_C3_EXPANSION!$C$6:$F$6,MIN(4,COUNTIF(CAPA3_EXPANSION!$D$56:AO$56,"&gt;="&amp;30)))*CAPA3_EXPANSION!AO$36)</f>
        <v>0</v>
      </c>
      <c r="AP37" s="298" t="n">
        <f aca="false">IF(COUNTIF(CAPA3_EXPANSION!$D$56:AP$56,"&gt;="&amp;30)=0,0,SUP_CONTROL!$C$8*IF($B37="V",1,IF($B37="D",(1+SUP_VOLUMEN!$C$26),(1+SUP_VOLUMEN!$C$27)))*INDEX(SUP_C3_EXPANSION!$C$6:$F$6,MIN(4,COUNTIF(CAPA3_EXPANSION!$D$56:AP$56,"&gt;="&amp;30)))*CAPA3_EXPANSION!AP$36)</f>
        <v>0</v>
      </c>
      <c r="AQ37" s="298" t="n">
        <f aca="false">IF(COUNTIF(CAPA3_EXPANSION!$D$56:AQ$56,"&gt;="&amp;30)=0,0,SUP_CONTROL!$C$8*IF($B37="V",1,IF($B37="D",(1+SUP_VOLUMEN!$C$26),(1+SUP_VOLUMEN!$C$27)))*INDEX(SUP_C3_EXPANSION!$C$6:$F$6,MIN(4,COUNTIF(CAPA3_EXPANSION!$D$56:AQ$56,"&gt;="&amp;30)))*CAPA3_EXPANSION!AQ$36)</f>
        <v>0</v>
      </c>
      <c r="AR37" s="298" t="n">
        <f aca="false">IF(COUNTIF(CAPA3_EXPANSION!$D$56:AR$56,"&gt;="&amp;30)=0,0,SUP_CONTROL!$C$8*IF($B37="V",1,IF($B37="D",(1+SUP_VOLUMEN!$C$26),(1+SUP_VOLUMEN!$C$27)))*INDEX(SUP_C3_EXPANSION!$C$6:$F$6,MIN(4,COUNTIF(CAPA3_EXPANSION!$D$56:AR$56,"&gt;="&amp;30)))*CAPA3_EXPANSION!AR$36)</f>
        <v>0</v>
      </c>
      <c r="AS37" s="298" t="n">
        <f aca="false">IF(COUNTIF(CAPA3_EXPANSION!$D$56:AS$56,"&gt;="&amp;30)=0,0,SUP_CONTROL!$C$8*IF($B37="V",1,IF($B37="D",(1+SUP_VOLUMEN!$C$26),(1+SUP_VOLUMEN!$C$27)))*INDEX(SUP_C3_EXPANSION!$C$6:$F$6,MIN(4,COUNTIF(CAPA3_EXPANSION!$D$56:AS$56,"&gt;="&amp;30)))*CAPA3_EXPANSION!AS$36)</f>
        <v>0</v>
      </c>
      <c r="AT37" s="298" t="n">
        <f aca="false">IF(COUNTIF(CAPA3_EXPANSION!$D$56:AT$56,"&gt;="&amp;30)=0,0,SUP_CONTROL!$C$8*IF($B37="V",1,IF($B37="D",(1+SUP_VOLUMEN!$C$26),(1+SUP_VOLUMEN!$C$27)))*INDEX(SUP_C3_EXPANSION!$C$6:$F$6,MIN(4,COUNTIF(CAPA3_EXPANSION!$D$56:AT$56,"&gt;="&amp;30)))*CAPA3_EXPANSION!AT$36)</f>
        <v>0</v>
      </c>
      <c r="AU37" s="298" t="n">
        <f aca="false">IF(COUNTIF(CAPA3_EXPANSION!$D$56:AU$56,"&gt;="&amp;30)=0,0,SUP_CONTROL!$C$8*IF($B37="V",1,IF($B37="D",(1+SUP_VOLUMEN!$C$26),(1+SUP_VOLUMEN!$C$27)))*INDEX(SUP_C3_EXPANSION!$C$6:$F$6,MIN(4,COUNTIF(CAPA3_EXPANSION!$D$56:AU$56,"&gt;="&amp;30)))*CAPA3_EXPANSION!AU$36)</f>
        <v>0</v>
      </c>
      <c r="AV37" s="298" t="n">
        <f aca="false">IF(COUNTIF(CAPA3_EXPANSION!$D$56:AV$56,"&gt;="&amp;30)=0,0,SUP_CONTROL!$C$8*IF($B37="V",1,IF($B37="D",(1+SUP_VOLUMEN!$C$26),(1+SUP_VOLUMEN!$C$27)))*INDEX(SUP_C3_EXPANSION!$C$6:$F$6,MIN(4,COUNTIF(CAPA3_EXPANSION!$D$56:AV$56,"&gt;="&amp;30)))*CAPA3_EXPANSION!AV$36)</f>
        <v>0</v>
      </c>
      <c r="AW37" s="298" t="n">
        <f aca="false">IF(COUNTIF(CAPA3_EXPANSION!$D$56:AW$56,"&gt;="&amp;30)=0,0,SUP_CONTROL!$C$8*IF($B37="V",1,IF($B37="D",(1+SUP_VOLUMEN!$C$26),(1+SUP_VOLUMEN!$C$27)))*INDEX(SUP_C3_EXPANSION!$C$6:$F$6,MIN(4,COUNTIF(CAPA3_EXPANSION!$D$56:AW$56,"&gt;="&amp;30)))*CAPA3_EXPANSION!AW$36)</f>
        <v>0</v>
      </c>
      <c r="AX37" s="298" t="n">
        <f aca="false">IF(COUNTIF(CAPA3_EXPANSION!$D$56:AX$56,"&gt;="&amp;30)=0,0,SUP_CONTROL!$C$8*IF($B37="V",1,IF($B37="D",(1+SUP_VOLUMEN!$C$26),(1+SUP_VOLUMEN!$C$27)))*INDEX(SUP_C3_EXPANSION!$C$6:$F$6,MIN(4,COUNTIF(CAPA3_EXPANSION!$D$56:AX$56,"&gt;="&amp;30)))*CAPA3_EXPANSION!AX$36)</f>
        <v>0</v>
      </c>
      <c r="AY37" s="298" t="n">
        <f aca="false">IF(COUNTIF(CAPA3_EXPANSION!$D$56:AY$56,"&gt;="&amp;30)=0,0,SUP_CONTROL!$C$8*IF($B37="V",1,IF($B37="D",(1+SUP_VOLUMEN!$C$26),(1+SUP_VOLUMEN!$C$27)))*INDEX(SUP_C3_EXPANSION!$C$6:$F$6,MIN(4,COUNTIF(CAPA3_EXPANSION!$D$56:AY$56,"&gt;="&amp;30)))*CAPA3_EXPANSION!AY$36)</f>
        <v>0</v>
      </c>
      <c r="AZ37" s="298" t="n">
        <f aca="false">IF(COUNTIF(CAPA3_EXPANSION!$D$56:AZ$56,"&gt;="&amp;30)=0,0,SUP_CONTROL!$C$8*IF($B37="V",1,IF($B37="D",(1+SUP_VOLUMEN!$C$26),(1+SUP_VOLUMEN!$C$27)))*INDEX(SUP_C3_EXPANSION!$C$6:$F$6,MIN(4,COUNTIF(CAPA3_EXPANSION!$D$56:AZ$56,"&gt;="&amp;30)))*CAPA3_EXPANSION!AZ$36)</f>
        <v>0</v>
      </c>
      <c r="BA37" s="298" t="n">
        <f aca="false">IF(COUNTIF(CAPA3_EXPANSION!$D$56:BA$56,"&gt;="&amp;30)=0,0,SUP_CONTROL!$C$8*IF($B37="V",1,IF($B37="D",(1+SUP_VOLUMEN!$C$26),(1+SUP_VOLUMEN!$C$27)))*INDEX(SUP_C3_EXPANSION!$C$6:$F$6,MIN(4,COUNTIF(CAPA3_EXPANSION!$D$56:BA$56,"&gt;="&amp;30)))*CAPA3_EXPANSION!BA$36)</f>
        <v>0</v>
      </c>
      <c r="BB37" s="298" t="n">
        <f aca="false">IF(COUNTIF(CAPA3_EXPANSION!$D$56:BB$56,"&gt;="&amp;30)=0,0,SUP_CONTROL!$C$8*IF($B37="V",1,IF($B37="D",(1+SUP_VOLUMEN!$C$26),(1+SUP_VOLUMEN!$C$27)))*INDEX(SUP_C3_EXPANSION!$C$6:$F$6,MIN(4,COUNTIF(CAPA3_EXPANSION!$D$56:BB$56,"&gt;="&amp;30)))*CAPA3_EXPANSION!BB$36)</f>
        <v>0</v>
      </c>
      <c r="BC37" s="298" t="n">
        <f aca="false">IF(COUNTIF(CAPA3_EXPANSION!$D$56:BC$56,"&gt;="&amp;30)=0,0,SUP_CONTROL!$C$8*IF($B37="V",1,IF($B37="D",(1+SUP_VOLUMEN!$C$26),(1+SUP_VOLUMEN!$C$27)))*INDEX(SUP_C3_EXPANSION!$C$6:$F$6,MIN(4,COUNTIF(CAPA3_EXPANSION!$D$56:BC$56,"&gt;="&amp;30)))*CAPA3_EXPANSION!BC$36)</f>
        <v>0</v>
      </c>
      <c r="BD37" s="298" t="n">
        <f aca="false">IF(COUNTIF(CAPA3_EXPANSION!$D$56:BD$56,"&gt;="&amp;30)=0,0,SUP_CONTROL!$C$8*IF($B37="V",1,IF($B37="D",(1+SUP_VOLUMEN!$C$26),(1+SUP_VOLUMEN!$C$27)))*INDEX(SUP_C3_EXPANSION!$C$6:$F$6,MIN(4,COUNTIF(CAPA3_EXPANSION!$D$56:BD$56,"&gt;="&amp;30)))*CAPA3_EXPANSION!BD$36)</f>
        <v>0</v>
      </c>
      <c r="BE37" s="298" t="n">
        <f aca="false">IF(COUNTIF(CAPA3_EXPANSION!$D$56:BE$56,"&gt;="&amp;30)=0,0,SUP_CONTROL!$C$8*IF($B37="V",1,IF($B37="D",(1+SUP_VOLUMEN!$C$26),(1+SUP_VOLUMEN!$C$27)))*INDEX(SUP_C3_EXPANSION!$C$6:$F$6,MIN(4,COUNTIF(CAPA3_EXPANSION!$D$56:BE$56,"&gt;="&amp;30)))*CAPA3_EXPANSION!BE$36)</f>
        <v>0</v>
      </c>
      <c r="BF37" s="298" t="n">
        <f aca="false">IF(COUNTIF(CAPA3_EXPANSION!$D$56:BF$56,"&gt;="&amp;30)=0,0,SUP_CONTROL!$C$8*IF($B37="V",1,IF($B37="D",(1+SUP_VOLUMEN!$C$26),(1+SUP_VOLUMEN!$C$27)))*INDEX(SUP_C3_EXPANSION!$C$6:$F$6,MIN(4,COUNTIF(CAPA3_EXPANSION!$D$56:BF$56,"&gt;="&amp;30)))*CAPA3_EXPANSION!BF$36)</f>
        <v>0</v>
      </c>
      <c r="BG37" s="298" t="n">
        <f aca="false">IF(COUNTIF(CAPA3_EXPANSION!$D$56:BG$56,"&gt;="&amp;30)=0,0,SUP_CONTROL!$C$8*IF($B37="V",1,IF($B37="D",(1+SUP_VOLUMEN!$C$26),(1+SUP_VOLUMEN!$C$27)))*INDEX(SUP_C3_EXPANSION!$C$6:$F$6,MIN(4,COUNTIF(CAPA3_EXPANSION!$D$56:BG$56,"&gt;="&amp;30)))*CAPA3_EXPANSION!BG$36)</f>
        <v>0</v>
      </c>
      <c r="BH37" s="298" t="n">
        <f aca="false">IF(COUNTIF(CAPA3_EXPANSION!$D$56:BH$56,"&gt;="&amp;30)=0,0,SUP_CONTROL!$C$8*IF($B37="V",1,IF($B37="D",(1+SUP_VOLUMEN!$C$26),(1+SUP_VOLUMEN!$C$27)))*INDEX(SUP_C3_EXPANSION!$C$6:$F$6,MIN(4,COUNTIF(CAPA3_EXPANSION!$D$56:BH$56,"&gt;="&amp;30)))*CAPA3_EXPANSION!BH$36)</f>
        <v>0</v>
      </c>
      <c r="BI37" s="298" t="n">
        <f aca="false">IF(COUNTIF(CAPA3_EXPANSION!$D$56:BI$56,"&gt;="&amp;30)=0,0,SUP_CONTROL!$C$8*IF($B37="V",1,IF($B37="D",(1+SUP_VOLUMEN!$C$26),(1+SUP_VOLUMEN!$C$27)))*INDEX(SUP_C3_EXPANSION!$C$6:$F$6,MIN(4,COUNTIF(CAPA3_EXPANSION!$D$56:BI$56,"&gt;="&amp;30)))*CAPA3_EXPANSION!BI$36)</f>
        <v>0</v>
      </c>
      <c r="BJ37" s="298" t="n">
        <f aca="false">IF(COUNTIF(CAPA3_EXPANSION!$D$56:BJ$56,"&gt;="&amp;30)=0,0,SUP_CONTROL!$C$8*IF($B37="V",1,IF($B37="D",(1+SUP_VOLUMEN!$C$26),(1+SUP_VOLUMEN!$C$27)))*INDEX(SUP_C3_EXPANSION!$C$6:$F$6,MIN(4,COUNTIF(CAPA3_EXPANSION!$D$56:BJ$56,"&gt;="&amp;30)))*CAPA3_EXPANSION!BJ$36)</f>
        <v>0</v>
      </c>
      <c r="BK37" s="298" t="n">
        <f aca="false">IF(COUNTIF(CAPA3_EXPANSION!$D$56:BK$56,"&gt;="&amp;30)=0,0,SUP_CONTROL!$C$8*IF($B37="V",1,IF($B37="D",(1+SUP_VOLUMEN!$C$26),(1+SUP_VOLUMEN!$C$27)))*INDEX(SUP_C3_EXPANSION!$C$6:$F$6,MIN(4,COUNTIF(CAPA3_EXPANSION!$D$56:BK$56,"&gt;="&amp;30)))*CAPA3_EXPANSION!BK$36)</f>
        <v>0</v>
      </c>
      <c r="BL37" s="298" t="n">
        <f aca="false">IF(COUNTIF(CAPA3_EXPANSION!$D$56:BL$56,"&gt;="&amp;30)=0,0,SUP_CONTROL!$C$8*IF($B37="V",1,IF($B37="D",(1+SUP_VOLUMEN!$C$26),(1+SUP_VOLUMEN!$C$27)))*INDEX(SUP_C3_EXPANSION!$C$6:$F$6,MIN(4,COUNTIF(CAPA3_EXPANSION!$D$56:BL$56,"&gt;="&amp;30)))*CAPA3_EXPANSION!BL$36)</f>
        <v>0</v>
      </c>
      <c r="BM37" s="298" t="n">
        <f aca="false">IF(COUNTIF(CAPA3_EXPANSION!$D$56:BM$56,"&gt;="&amp;30)=0,0,SUP_CONTROL!$C$8*IF($B37="V",1,IF($B37="D",(1+SUP_VOLUMEN!$C$26),(1+SUP_VOLUMEN!$C$27)))*INDEX(SUP_C3_EXPANSION!$C$6:$F$6,MIN(4,COUNTIF(CAPA3_EXPANSION!$D$56:BM$56,"&gt;="&amp;30)))*CAPA3_EXPANSION!BM$36)</f>
        <v>0</v>
      </c>
      <c r="BN37" s="298" t="n">
        <f aca="false">IF(COUNTIF(CAPA3_EXPANSION!$D$56:BN$56,"&gt;="&amp;30)=0,0,SUP_CONTROL!$C$8*IF($B37="V",1,IF($B37="D",(1+SUP_VOLUMEN!$C$26),(1+SUP_VOLUMEN!$C$27)))*INDEX(SUP_C3_EXPANSION!$C$6:$F$6,MIN(4,COUNTIF(CAPA3_EXPANSION!$D$56:BN$56,"&gt;="&amp;30)))*CAPA3_EXPANSION!BN$36)</f>
        <v>0</v>
      </c>
      <c r="BO37" s="298" t="n">
        <f aca="false">IF(COUNTIF(CAPA3_EXPANSION!$D$56:BO$56,"&gt;="&amp;30)=0,0,SUP_CONTROL!$C$8*IF($B37="V",1,IF($B37="D",(1+SUP_VOLUMEN!$C$26),(1+SUP_VOLUMEN!$C$27)))*INDEX(SUP_C3_EXPANSION!$C$6:$F$6,MIN(4,COUNTIF(CAPA3_EXPANSION!$D$56:BO$56,"&gt;="&amp;30)))*CAPA3_EXPANSION!BO$36)</f>
        <v>0</v>
      </c>
      <c r="BP37" s="298" t="n">
        <f aca="false">IF(COUNTIF(CAPA3_EXPANSION!$D$56:BP$56,"&gt;="&amp;30)=0,0,SUP_CONTROL!$C$8*IF($B37="V",1,IF($B37="D",(1+SUP_VOLUMEN!$C$26),(1+SUP_VOLUMEN!$C$27)))*INDEX(SUP_C3_EXPANSION!$C$6:$F$6,MIN(4,COUNTIF(CAPA3_EXPANSION!$D$56:BP$56,"&gt;="&amp;30)))*CAPA3_EXPANSION!BP$36)</f>
        <v>0</v>
      </c>
      <c r="BQ37" s="298" t="n">
        <f aca="false">IF(COUNTIF(CAPA3_EXPANSION!$D$56:BQ$56,"&gt;="&amp;30)=0,0,SUP_CONTROL!$C$8*IF($B37="V",1,IF($B37="D",(1+SUP_VOLUMEN!$C$26),(1+SUP_VOLUMEN!$C$27)))*INDEX(SUP_C3_EXPANSION!$C$6:$F$6,MIN(4,COUNTIF(CAPA3_EXPANSION!$D$56:BQ$56,"&gt;="&amp;30)))*CAPA3_EXPANSION!BQ$36)</f>
        <v>0</v>
      </c>
      <c r="BR37" s="298" t="n">
        <f aca="false">IF(COUNTIF(CAPA3_EXPANSION!$D$56:BR$56,"&gt;="&amp;30)=0,0,SUP_CONTROL!$C$8*IF($B37="V",1,IF($B37="D",(1+SUP_VOLUMEN!$C$26),(1+SUP_VOLUMEN!$C$27)))*INDEX(SUP_C3_EXPANSION!$C$6:$F$6,MIN(4,COUNTIF(CAPA3_EXPANSION!$D$56:BR$56,"&gt;="&amp;30)))*CAPA3_EXPANSION!BR$36)</f>
        <v>0</v>
      </c>
      <c r="BS37" s="298" t="n">
        <f aca="false">IF(COUNTIF(CAPA3_EXPANSION!$D$56:BS$56,"&gt;="&amp;30)=0,0,SUP_CONTROL!$C$8*IF($B37="V",1,IF($B37="D",(1+SUP_VOLUMEN!$C$26),(1+SUP_VOLUMEN!$C$27)))*INDEX(SUP_C3_EXPANSION!$C$6:$F$6,MIN(4,COUNTIF(CAPA3_EXPANSION!$D$56:BS$56,"&gt;="&amp;30)))*CAPA3_EXPANSION!BS$36)</f>
        <v>0</v>
      </c>
      <c r="BT37" s="298" t="n">
        <f aca="false">IF(COUNTIF(CAPA3_EXPANSION!$D$56:BT$56,"&gt;="&amp;30)=0,0,SUP_CONTROL!$C$8*IF($B37="V",1,IF($B37="D",(1+SUP_VOLUMEN!$C$26),(1+SUP_VOLUMEN!$C$27)))*INDEX(SUP_C3_EXPANSION!$C$6:$F$6,MIN(4,COUNTIF(CAPA3_EXPANSION!$D$56:BT$56,"&gt;="&amp;30)))*CAPA3_EXPANSION!BT$36)</f>
        <v>0</v>
      </c>
      <c r="BU37" s="298" t="n">
        <f aca="false">IF(COUNTIF(CAPA3_EXPANSION!$D$56:BU$56,"&gt;="&amp;30)=0,0,SUP_CONTROL!$C$8*IF($B37="V",1,IF($B37="D",(1+SUP_VOLUMEN!$C$26),(1+SUP_VOLUMEN!$C$27)))*INDEX(SUP_C3_EXPANSION!$C$6:$F$6,MIN(4,COUNTIF(CAPA3_EXPANSION!$D$56:BU$56,"&gt;="&amp;30)))*CAPA3_EXPANSION!BU$36)</f>
        <v>0</v>
      </c>
      <c r="BV37" s="298" t="n">
        <f aca="false">IF(COUNTIF(CAPA3_EXPANSION!$D$56:BV$56,"&gt;="&amp;30)=0,0,SUP_CONTROL!$C$8*IF($B37="V",1,IF($B37="D",(1+SUP_VOLUMEN!$C$26),(1+SUP_VOLUMEN!$C$27)))*INDEX(SUP_C3_EXPANSION!$C$6:$F$6,MIN(4,COUNTIF(CAPA3_EXPANSION!$D$56:BV$56,"&gt;="&amp;30)))*CAPA3_EXPANSION!BV$36)</f>
        <v>0</v>
      </c>
      <c r="BW37" s="298" t="n">
        <f aca="false">IF(COUNTIF(CAPA3_EXPANSION!$D$56:BW$56,"&gt;="&amp;30)=0,0,SUP_CONTROL!$C$8*IF($B37="V",1,IF($B37="D",(1+SUP_VOLUMEN!$C$26),(1+SUP_VOLUMEN!$C$27)))*INDEX(SUP_C3_EXPANSION!$C$6:$F$6,MIN(4,COUNTIF(CAPA3_EXPANSION!$D$56:BW$56,"&gt;="&amp;30)))*CAPA3_EXPANSION!BW$36)</f>
        <v>0</v>
      </c>
      <c r="BX37" s="298" t="n">
        <f aca="false">IF(COUNTIF(CAPA3_EXPANSION!$D$56:BX$56,"&gt;="&amp;30)=0,0,SUP_CONTROL!$C$8*IF($B37="V",1,IF($B37="D",(1+SUP_VOLUMEN!$C$26),(1+SUP_VOLUMEN!$C$27)))*INDEX(SUP_C3_EXPANSION!$C$6:$F$6,MIN(4,COUNTIF(CAPA3_EXPANSION!$D$56:BX$56,"&gt;="&amp;30)))*CAPA3_EXPANSION!BX$36)</f>
        <v>0</v>
      </c>
      <c r="BY37" s="298" t="n">
        <f aca="false">IF(COUNTIF(CAPA3_EXPANSION!$D$56:BY$56,"&gt;="&amp;30)=0,0,SUP_CONTROL!$C$8*IF($B37="V",1,IF($B37="D",(1+SUP_VOLUMEN!$C$26),(1+SUP_VOLUMEN!$C$27)))*INDEX(SUP_C3_EXPANSION!$C$6:$F$6,MIN(4,COUNTIF(CAPA3_EXPANSION!$D$56:BY$56,"&gt;="&amp;30)))*CAPA3_EXPANSION!BY$36)</f>
        <v>0</v>
      </c>
      <c r="BZ37" s="298" t="n">
        <f aca="false">IF(COUNTIF(CAPA3_EXPANSION!$D$56:BZ$56,"&gt;="&amp;30)=0,0,SUP_CONTROL!$C$8*IF($B37="V",1,IF($B37="D",(1+SUP_VOLUMEN!$C$26),(1+SUP_VOLUMEN!$C$27)))*INDEX(SUP_C3_EXPANSION!$C$6:$F$6,MIN(4,COUNTIF(CAPA3_EXPANSION!$D$56:BZ$56,"&gt;="&amp;30)))*CAPA3_EXPANSION!BZ$36)</f>
        <v>4722.9</v>
      </c>
      <c r="CA37" s="298" t="n">
        <f aca="false">IF(COUNTIF(CAPA3_EXPANSION!$D$56:CA$56,"&gt;="&amp;30)=0,0,SUP_CONTROL!$C$8*IF($B37="V",1,IF($B37="D",(1+SUP_VOLUMEN!$C$26),(1+SUP_VOLUMEN!$C$27)))*INDEX(SUP_C3_EXPANSION!$C$6:$F$6,MIN(4,COUNTIF(CAPA3_EXPANSION!$D$56:CA$56,"&gt;="&amp;30)))*CAPA3_EXPANSION!CA$36)</f>
        <v>5812.8</v>
      </c>
      <c r="CB37" s="298" t="n">
        <f aca="false">IF(COUNTIF(CAPA3_EXPANSION!$D$56:CB$56,"&gt;="&amp;30)=0,0,SUP_CONTROL!$C$8*IF($B37="V",1,IF($B37="D",(1+SUP_VOLUMEN!$C$26),(1+SUP_VOLUMEN!$C$27)))*INDEX(SUP_C3_EXPANSION!$C$6:$F$6,MIN(4,COUNTIF(CAPA3_EXPANSION!$D$56:CB$56,"&gt;="&amp;30)))*CAPA3_EXPANSION!CB$36)</f>
        <v>6426</v>
      </c>
      <c r="CC37" s="298" t="n">
        <f aca="false">IF(COUNTIF(CAPA3_EXPANSION!$D$56:CC$56,"&gt;="&amp;30)=0,0,SUP_CONTROL!$C$8*IF($B37="V",1,IF($B37="D",(1+SUP_VOLUMEN!$C$26),(1+SUP_VOLUMEN!$C$27)))*INDEX(SUP_C3_EXPANSION!$C$6:$F$6,MIN(4,COUNTIF(CAPA3_EXPANSION!$D$56:CC$56,"&gt;="&amp;30)))*CAPA3_EXPANSION!CC$36)</f>
        <v>7140</v>
      </c>
      <c r="CD37" s="298" t="n">
        <f aca="false">IF(COUNTIF(CAPA3_EXPANSION!$D$56:CD$56,"&gt;="&amp;30)=0,0,SUP_CONTROL!$C$8*IF($B37="V",1,IF($B37="D",(1+SUP_VOLUMEN!$C$26),(1+SUP_VOLUMEN!$C$27)))*INDEX(SUP_C3_EXPANSION!$C$6:$F$6,MIN(4,COUNTIF(CAPA3_EXPANSION!$D$56:CD$56,"&gt;="&amp;30)))*CAPA3_EXPANSION!CD$36)</f>
        <v>7140</v>
      </c>
      <c r="CE37" s="298" t="n">
        <f aca="false">IF(COUNTIF(CAPA3_EXPANSION!$D$56:CE$56,"&gt;="&amp;30)=0,0,SUP_CONTROL!$C$8*IF($B37="V",1,IF($B37="D",(1+SUP_VOLUMEN!$C$26),(1+SUP_VOLUMEN!$C$27)))*INDEX(SUP_C3_EXPANSION!$C$6:$F$6,MIN(4,COUNTIF(CAPA3_EXPANSION!$D$56:CE$56,"&gt;="&amp;30)))*CAPA3_EXPANSION!CE$36)</f>
        <v>7140</v>
      </c>
      <c r="CF37" s="298" t="n">
        <f aca="false">IF(COUNTIF(CAPA3_EXPANSION!$D$56:CF$56,"&gt;="&amp;30)=0,0,SUP_CONTROL!$C$8*IF($B37="V",1,IF($B37="D",(1+SUP_VOLUMEN!$C$26),(1+SUP_VOLUMEN!$C$27)))*INDEX(SUP_C3_EXPANSION!$C$6:$F$6,MIN(4,COUNTIF(CAPA3_EXPANSION!$D$56:CF$56,"&gt;="&amp;30)))*CAPA3_EXPANSION!CF$36)</f>
        <v>7140</v>
      </c>
      <c r="CG37" s="298" t="n">
        <f aca="false">IF(COUNTIF(CAPA3_EXPANSION!$D$56:CG$56,"&gt;="&amp;30)=0,0,SUP_CONTROL!$C$8*IF($B37="V",1,IF($B37="D",(1+SUP_VOLUMEN!$C$26),(1+SUP_VOLUMEN!$C$27)))*INDEX(SUP_C3_EXPANSION!$C$6:$F$6,MIN(4,COUNTIF(CAPA3_EXPANSION!$D$56:CG$56,"&gt;="&amp;30)))*CAPA3_EXPANSION!CG$36)</f>
        <v>7056</v>
      </c>
      <c r="CH37" s="298" t="n">
        <f aca="false">IF(COUNTIF(CAPA3_EXPANSION!$D$56:CH$56,"&gt;="&amp;30)=0,0,SUP_CONTROL!$C$8*IF($B37="V",1,IF($B37="D",(1+SUP_VOLUMEN!$C$26),(1+SUP_VOLUMEN!$C$27)))*INDEX(SUP_C3_EXPANSION!$C$6:$F$6,MIN(4,COUNTIF(CAPA3_EXPANSION!$D$56:CH$56,"&gt;="&amp;30)))*CAPA3_EXPANSION!CH$36)</f>
        <v>7056</v>
      </c>
      <c r="CI37" s="298" t="n">
        <f aca="false">IF(COUNTIF(CAPA3_EXPANSION!$D$56:CI$56,"&gt;="&amp;30)=0,0,SUP_CONTROL!$C$8*IF($B37="V",1,IF($B37="D",(1+SUP_VOLUMEN!$C$26),(1+SUP_VOLUMEN!$C$27)))*INDEX(SUP_C3_EXPANSION!$C$6:$F$6,MIN(4,COUNTIF(CAPA3_EXPANSION!$D$56:CI$56,"&gt;="&amp;30)))*CAPA3_EXPANSION!CI$36)</f>
        <v>7056</v>
      </c>
      <c r="CJ37" s="298" t="n">
        <f aca="false">IF(COUNTIF(CAPA3_EXPANSION!$D$56:CJ$56,"&gt;="&amp;30)=0,0,SUP_CONTROL!$C$8*IF($B37="V",1,IF($B37="D",(1+SUP_VOLUMEN!$C$26),(1+SUP_VOLUMEN!$C$27)))*INDEX(SUP_C3_EXPANSION!$C$6:$F$6,MIN(4,COUNTIF(CAPA3_EXPANSION!$D$56:CJ$56,"&gt;="&amp;30)))*CAPA3_EXPANSION!CJ$36)</f>
        <v>7056</v>
      </c>
      <c r="CK37" s="298" t="n">
        <f aca="false">IF(COUNTIF(CAPA3_EXPANSION!$D$56:CK$56,"&gt;="&amp;30)=0,0,SUP_CONTROL!$C$8*IF($B37="V",1,IF($B37="D",(1+SUP_VOLUMEN!$C$26),(1+SUP_VOLUMEN!$C$27)))*INDEX(SUP_C3_EXPANSION!$C$6:$F$6,MIN(4,COUNTIF(CAPA3_EXPANSION!$D$56:CK$56,"&gt;="&amp;30)))*CAPA3_EXPANSION!CK$36)</f>
        <v>7056</v>
      </c>
      <c r="CL37" s="298" t="n">
        <f aca="false">IF(COUNTIF(CAPA3_EXPANSION!$D$56:CL$56,"&gt;="&amp;30)=0,0,SUP_CONTROL!$C$8*IF($B37="V",1,IF($B37="D",(1+SUP_VOLUMEN!$C$26),(1+SUP_VOLUMEN!$C$27)))*INDEX(SUP_C3_EXPANSION!$C$6:$F$6,MIN(4,COUNTIF(CAPA3_EXPANSION!$D$56:CL$56,"&gt;="&amp;30)))*CAPA3_EXPANSION!CL$36)</f>
        <v>7056</v>
      </c>
      <c r="CM37" s="298" t="n">
        <f aca="false">IF(COUNTIF(CAPA3_EXPANSION!$D$56:CM$56,"&gt;="&amp;30)=0,0,SUP_CONTROL!$C$8*IF($B37="V",1,IF($B37="D",(1+SUP_VOLUMEN!$C$26),(1+SUP_VOLUMEN!$C$27)))*INDEX(SUP_C3_EXPANSION!$C$6:$F$6,MIN(4,COUNTIF(CAPA3_EXPANSION!$D$56:CM$56,"&gt;="&amp;30)))*CAPA3_EXPANSION!CM$36)</f>
        <v>7056</v>
      </c>
      <c r="CN37" s="298" t="n">
        <f aca="false">IF(COUNTIF(CAPA3_EXPANSION!$D$56:CN$56,"&gt;="&amp;30)=0,0,SUP_CONTROL!$C$8*IF($B37="V",1,IF($B37="D",(1+SUP_VOLUMEN!$C$26),(1+SUP_VOLUMEN!$C$27)))*INDEX(SUP_C3_EXPANSION!$C$6:$F$6,MIN(4,COUNTIF(CAPA3_EXPANSION!$D$56:CN$56,"&gt;="&amp;30)))*CAPA3_EXPANSION!CN$36)</f>
        <v>7056</v>
      </c>
      <c r="CO37" s="298" t="n">
        <f aca="false">IF(COUNTIF(CAPA3_EXPANSION!$D$56:CO$56,"&gt;="&amp;30)=0,0,SUP_CONTROL!$C$8*IF($B37="V",1,IF($B37="D",(1+SUP_VOLUMEN!$C$26),(1+SUP_VOLUMEN!$C$27)))*INDEX(SUP_C3_EXPANSION!$C$6:$F$6,MIN(4,COUNTIF(CAPA3_EXPANSION!$D$56:CO$56,"&gt;="&amp;30)))*CAPA3_EXPANSION!CO$36)</f>
        <v>7056</v>
      </c>
      <c r="CP37" s="298" t="n">
        <f aca="false">IF(COUNTIF(CAPA3_EXPANSION!$D$56:CP$56,"&gt;="&amp;30)=0,0,SUP_CONTROL!$C$8*IF($B37="V",1,IF($B37="D",(1+SUP_VOLUMEN!$C$26),(1+SUP_VOLUMEN!$C$27)))*INDEX(SUP_C3_EXPANSION!$C$6:$F$6,MIN(4,COUNTIF(CAPA3_EXPANSION!$D$56:CP$56,"&gt;="&amp;30)))*CAPA3_EXPANSION!CP$36)</f>
        <v>7056</v>
      </c>
      <c r="CQ37" s="298" t="n">
        <f aca="false">IF(COUNTIF(CAPA3_EXPANSION!$D$56:CQ$56,"&gt;="&amp;30)=0,0,SUP_CONTROL!$C$8*IF($B37="V",1,IF($B37="D",(1+SUP_VOLUMEN!$C$26),(1+SUP_VOLUMEN!$C$27)))*INDEX(SUP_C3_EXPANSION!$C$6:$F$6,MIN(4,COUNTIF(CAPA3_EXPANSION!$D$56:CQ$56,"&gt;="&amp;30)))*CAPA3_EXPANSION!CQ$36)</f>
        <v>7056</v>
      </c>
      <c r="CR37" s="298" t="n">
        <f aca="false">IF(COUNTIF(CAPA3_EXPANSION!$D$56:CR$56,"&gt;="&amp;30)=0,0,SUP_CONTROL!$C$8*IF($B37="V",1,IF($B37="D",(1+SUP_VOLUMEN!$C$26),(1+SUP_VOLUMEN!$C$27)))*INDEX(SUP_C3_EXPANSION!$C$6:$F$6,MIN(4,COUNTIF(CAPA3_EXPANSION!$D$56:CR$56,"&gt;="&amp;30)))*CAPA3_EXPANSION!CR$36)</f>
        <v>7056</v>
      </c>
      <c r="CS37" s="298" t="n">
        <f aca="false">IF(COUNTIF(CAPA3_EXPANSION!$D$56:CS$56,"&gt;="&amp;30)=0,0,SUP_CONTROL!$C$8*IF($B37="V",1,IF($B37="D",(1+SUP_VOLUMEN!$C$26),(1+SUP_VOLUMEN!$C$27)))*INDEX(SUP_C3_EXPANSION!$C$6:$F$6,MIN(4,COUNTIF(CAPA3_EXPANSION!$D$56:CS$56,"&gt;="&amp;30)))*CAPA3_EXPANSION!CS$36)</f>
        <v>7056</v>
      </c>
      <c r="CT37" s="298" t="n">
        <f aca="false">IF(COUNTIF(CAPA3_EXPANSION!$D$56:CT$56,"&gt;="&amp;30)=0,0,SUP_CONTROL!$C$8*IF($B37="V",1,IF($B37="D",(1+SUP_VOLUMEN!$C$26),(1+SUP_VOLUMEN!$C$27)))*INDEX(SUP_C3_EXPANSION!$C$6:$F$6,MIN(4,COUNTIF(CAPA3_EXPANSION!$D$56:CT$56,"&gt;="&amp;30)))*CAPA3_EXPANSION!CT$36)</f>
        <v>7056</v>
      </c>
      <c r="CU37" s="298" t="n">
        <f aca="false">IF(COUNTIF(CAPA3_EXPANSION!$D$56:CU$56,"&gt;="&amp;30)=0,0,SUP_CONTROL!$C$8*IF($B37="V",1,IF($B37="D",(1+SUP_VOLUMEN!$C$26),(1+SUP_VOLUMEN!$C$27)))*INDEX(SUP_C3_EXPANSION!$C$6:$F$6,MIN(4,COUNTIF(CAPA3_EXPANSION!$D$56:CU$56,"&gt;="&amp;30)))*CAPA3_EXPANSION!CU$36)</f>
        <v>7056</v>
      </c>
      <c r="CV37" s="298" t="n">
        <f aca="false">IF(COUNTIF(CAPA3_EXPANSION!$D$56:CV$56,"&gt;="&amp;30)=0,0,SUP_CONTROL!$C$8*IF($B37="V",1,IF($B37="D",(1+SUP_VOLUMEN!$C$26),(1+SUP_VOLUMEN!$C$27)))*INDEX(SUP_C3_EXPANSION!$C$6:$F$6,MIN(4,COUNTIF(CAPA3_EXPANSION!$D$56:CV$56,"&gt;="&amp;30)))*CAPA3_EXPANSION!CV$36)</f>
        <v>7056</v>
      </c>
      <c r="CW37" s="298" t="n">
        <f aca="false">IF(COUNTIF(CAPA3_EXPANSION!$D$56:CW$56,"&gt;="&amp;30)=0,0,SUP_CONTROL!$C$8*IF($B37="V",1,IF($B37="D",(1+SUP_VOLUMEN!$C$26),(1+SUP_VOLUMEN!$C$27)))*INDEX(SUP_C3_EXPANSION!$C$6:$F$6,MIN(4,COUNTIF(CAPA3_EXPANSION!$D$56:CW$56,"&gt;="&amp;30)))*CAPA3_EXPANSION!CW$36)</f>
        <v>7056</v>
      </c>
      <c r="CX37" s="298" t="n">
        <f aca="false">IF(COUNTIF(CAPA3_EXPANSION!$D$56:CX$56,"&gt;="&amp;30)=0,0,SUP_CONTROL!$C$8*IF($B37="V",1,IF($B37="D",(1+SUP_VOLUMEN!$C$26),(1+SUP_VOLUMEN!$C$27)))*INDEX(SUP_C3_EXPANSION!$C$6:$F$6,MIN(4,COUNTIF(CAPA3_EXPANSION!$D$56:CX$56,"&gt;="&amp;30)))*CAPA3_EXPANSION!CX$36)</f>
        <v>7056</v>
      </c>
      <c r="CY37" s="298" t="n">
        <f aca="false">IF(COUNTIF(CAPA3_EXPANSION!$D$56:CY$56,"&gt;="&amp;30)=0,0,SUP_CONTROL!$C$8*IF($B37="V",1,IF($B37="D",(1+SUP_VOLUMEN!$C$26),(1+SUP_VOLUMEN!$C$27)))*INDEX(SUP_C3_EXPANSION!$C$6:$F$6,MIN(4,COUNTIF(CAPA3_EXPANSION!$D$56:CY$56,"&gt;="&amp;30)))*CAPA3_EXPANSION!CY$36)</f>
        <v>7056</v>
      </c>
      <c r="CZ37" s="298" t="n">
        <f aca="false">IF(COUNTIF(CAPA3_EXPANSION!$D$56:CZ$56,"&gt;="&amp;30)=0,0,SUP_CONTROL!$C$8*IF($B37="V",1,IF($B37="D",(1+SUP_VOLUMEN!$C$26),(1+SUP_VOLUMEN!$C$27)))*INDEX(SUP_C3_EXPANSION!$C$6:$F$6,MIN(4,COUNTIF(CAPA3_EXPANSION!$D$56:CZ$56,"&gt;="&amp;30)))*CAPA3_EXPANSION!CZ$36)</f>
        <v>7056</v>
      </c>
      <c r="DA37" s="298" t="n">
        <f aca="false">IF(COUNTIF(CAPA3_EXPANSION!$D$56:DA$56,"&gt;="&amp;30)=0,0,SUP_CONTROL!$C$8*IF($B37="V",1,IF($B37="D",(1+SUP_VOLUMEN!$C$26),(1+SUP_VOLUMEN!$C$27)))*INDEX(SUP_C3_EXPANSION!$C$6:$F$6,MIN(4,COUNTIF(CAPA3_EXPANSION!$D$56:DA$56,"&gt;="&amp;30)))*CAPA3_EXPANSION!DA$36)</f>
        <v>7056</v>
      </c>
      <c r="DB37" s="298" t="n">
        <f aca="false">IF(COUNTIF(CAPA3_EXPANSION!$D$56:DB$56,"&gt;="&amp;30)=0,0,SUP_CONTROL!$C$8*IF($B37="V",1,IF($B37="D",(1+SUP_VOLUMEN!$C$26),(1+SUP_VOLUMEN!$C$27)))*INDEX(SUP_C3_EXPANSION!$C$6:$F$6,MIN(4,COUNTIF(CAPA3_EXPANSION!$D$56:DB$56,"&gt;="&amp;30)))*CAPA3_EXPANSION!DB$36)</f>
        <v>7056</v>
      </c>
      <c r="DC37" s="298" t="n">
        <f aca="false">IF(COUNTIF(CAPA3_EXPANSION!$D$56:DC$56,"&gt;="&amp;30)=0,0,SUP_CONTROL!$C$8*IF($B37="V",1,IF($B37="D",(1+SUP_VOLUMEN!$C$26),(1+SUP_VOLUMEN!$C$27)))*INDEX(SUP_C3_EXPANSION!$C$6:$F$6,MIN(4,COUNTIF(CAPA3_EXPANSION!$D$56:DC$56,"&gt;="&amp;30)))*CAPA3_EXPANSION!DC$36)</f>
        <v>7056</v>
      </c>
      <c r="DD37" s="298" t="n">
        <f aca="false">IF(COUNTIF(CAPA3_EXPANSION!$D$56:DD$56,"&gt;="&amp;30)=0,0,SUP_CONTROL!$C$8*IF($B37="V",1,IF($B37="D",(1+SUP_VOLUMEN!$C$26),(1+SUP_VOLUMEN!$C$27)))*INDEX(SUP_C3_EXPANSION!$C$6:$F$6,MIN(4,COUNTIF(CAPA3_EXPANSION!$D$56:DD$56,"&gt;="&amp;30)))*CAPA3_EXPANSION!DD$36)</f>
        <v>7056</v>
      </c>
      <c r="DE37" s="298" t="n">
        <f aca="false">IF(COUNTIF(CAPA3_EXPANSION!$D$56:DE$56,"&gt;="&amp;30)=0,0,SUP_CONTROL!$C$8*IF($B37="V",1,IF($B37="D",(1+SUP_VOLUMEN!$C$26),(1+SUP_VOLUMEN!$C$27)))*INDEX(SUP_C3_EXPANSION!$C$6:$F$6,MIN(4,COUNTIF(CAPA3_EXPANSION!$D$56:DE$56,"&gt;="&amp;30)))*CAPA3_EXPANSION!DE$36)</f>
        <v>7056</v>
      </c>
      <c r="DF37" s="298" t="n">
        <f aca="false">IF(COUNTIF(CAPA3_EXPANSION!$D$56:DF$56,"&gt;="&amp;30)=0,0,SUP_CONTROL!$C$8*IF($B37="V",1,IF($B37="D",(1+SUP_VOLUMEN!$C$26),(1+SUP_VOLUMEN!$C$27)))*INDEX(SUP_C3_EXPANSION!$C$6:$F$6,MIN(4,COUNTIF(CAPA3_EXPANSION!$D$56:DF$56,"&gt;="&amp;30)))*CAPA3_EXPANSION!DF$36)</f>
        <v>7056</v>
      </c>
      <c r="DG37" s="298" t="n">
        <f aca="false">IF(COUNTIF(CAPA3_EXPANSION!$D$56:DG$56,"&gt;="&amp;30)=0,0,SUP_CONTROL!$C$8*IF($B37="V",1,IF($B37="D",(1+SUP_VOLUMEN!$C$26),(1+SUP_VOLUMEN!$C$27)))*INDEX(SUP_C3_EXPANSION!$C$6:$F$6,MIN(4,COUNTIF(CAPA3_EXPANSION!$D$56:DG$56,"&gt;="&amp;30)))*CAPA3_EXPANSION!DG$36)</f>
        <v>7056</v>
      </c>
      <c r="DH37" s="298" t="n">
        <f aca="false">IF(COUNTIF(CAPA3_EXPANSION!$D$56:DH$56,"&gt;="&amp;30)=0,0,SUP_CONTROL!$C$8*IF($B37="V",1,IF($B37="D",(1+SUP_VOLUMEN!$C$26),(1+SUP_VOLUMEN!$C$27)))*INDEX(SUP_C3_EXPANSION!$C$6:$F$6,MIN(4,COUNTIF(CAPA3_EXPANSION!$D$56:DH$56,"&gt;="&amp;30)))*CAPA3_EXPANSION!DH$36)</f>
        <v>7056</v>
      </c>
      <c r="DI37" s="298" t="n">
        <f aca="false">IF(COUNTIF(CAPA3_EXPANSION!$D$56:DI$56,"&gt;="&amp;30)=0,0,SUP_CONTROL!$C$8*IF($B37="V",1,IF($B37="D",(1+SUP_VOLUMEN!$C$26),(1+SUP_VOLUMEN!$C$27)))*INDEX(SUP_C3_EXPANSION!$C$6:$F$6,MIN(4,COUNTIF(CAPA3_EXPANSION!$D$56:DI$56,"&gt;="&amp;30)))*CAPA3_EXPANSION!DI$36)</f>
        <v>7056</v>
      </c>
      <c r="DJ37" s="298" t="n">
        <f aca="false">IF(COUNTIF(CAPA3_EXPANSION!$D$56:DJ$56,"&gt;="&amp;30)=0,0,SUP_CONTROL!$C$8*IF($B37="V",1,IF($B37="D",(1+SUP_VOLUMEN!$C$26),(1+SUP_VOLUMEN!$C$27)))*INDEX(SUP_C3_EXPANSION!$C$6:$F$6,MIN(4,COUNTIF(CAPA3_EXPANSION!$D$56:DJ$56,"&gt;="&amp;30)))*CAPA3_EXPANSION!DJ$36)</f>
        <v>7056</v>
      </c>
      <c r="DK37" s="298" t="n">
        <f aca="false">IF(COUNTIF(CAPA3_EXPANSION!$D$56:DK$56,"&gt;="&amp;30)=0,0,SUP_CONTROL!$C$8*IF($B37="V",1,IF($B37="D",(1+SUP_VOLUMEN!$C$26),(1+SUP_VOLUMEN!$C$27)))*INDEX(SUP_C3_EXPANSION!$C$6:$F$6,MIN(4,COUNTIF(CAPA3_EXPANSION!$D$56:DK$56,"&gt;="&amp;30)))*CAPA3_EXPANSION!DK$36)</f>
        <v>7056</v>
      </c>
      <c r="DL37" s="298" t="n">
        <f aca="false">IF(COUNTIF(CAPA3_EXPANSION!$D$56:DL$56,"&gt;="&amp;30)=0,0,SUP_CONTROL!$C$8*IF($B37="V",1,IF($B37="D",(1+SUP_VOLUMEN!$C$26),(1+SUP_VOLUMEN!$C$27)))*INDEX(SUP_C3_EXPANSION!$C$6:$F$6,MIN(4,COUNTIF(CAPA3_EXPANSION!$D$56:DL$56,"&gt;="&amp;30)))*CAPA3_EXPANSION!DL$36)</f>
        <v>7056</v>
      </c>
      <c r="DM37" s="298" t="n">
        <f aca="false">IF(COUNTIF(CAPA3_EXPANSION!$D$56:DM$56,"&gt;="&amp;30)=0,0,SUP_CONTROL!$C$8*IF($B37="V",1,IF($B37="D",(1+SUP_VOLUMEN!$C$26),(1+SUP_VOLUMEN!$C$27)))*INDEX(SUP_C3_EXPANSION!$C$6:$F$6,MIN(4,COUNTIF(CAPA3_EXPANSION!$D$56:DM$56,"&gt;="&amp;30)))*CAPA3_EXPANSION!DM$36)</f>
        <v>7056</v>
      </c>
      <c r="DN37" s="298" t="n">
        <f aca="false">IF(COUNTIF(CAPA3_EXPANSION!$D$56:DN$56,"&gt;="&amp;30)=0,0,SUP_CONTROL!$C$8*IF($B37="V",1,IF($B37="D",(1+SUP_VOLUMEN!$C$26),(1+SUP_VOLUMEN!$C$27)))*INDEX(SUP_C3_EXPANSION!$C$6:$F$6,MIN(4,COUNTIF(CAPA3_EXPANSION!$D$56:DN$56,"&gt;="&amp;30)))*CAPA3_EXPANSION!DN$36)</f>
        <v>7056</v>
      </c>
      <c r="DO37" s="298" t="n">
        <f aca="false">IF(COUNTIF(CAPA3_EXPANSION!$D$56:DO$56,"&gt;="&amp;30)=0,0,SUP_CONTROL!$C$8*IF($B37="V",1,IF($B37="D",(1+SUP_VOLUMEN!$C$26),(1+SUP_VOLUMEN!$C$27)))*INDEX(SUP_C3_EXPANSION!$C$6:$F$6,MIN(4,COUNTIF(CAPA3_EXPANSION!$D$56:DO$56,"&gt;="&amp;30)))*CAPA3_EXPANSION!DO$36)</f>
        <v>7056</v>
      </c>
      <c r="DP37" s="298" t="n">
        <f aca="false">IF(COUNTIF(CAPA3_EXPANSION!$D$56:DP$56,"&gt;="&amp;30)=0,0,SUP_CONTROL!$C$8*IF($B37="V",1,IF($B37="D",(1+SUP_VOLUMEN!$C$26),(1+SUP_VOLUMEN!$C$27)))*INDEX(SUP_C3_EXPANSION!$C$6:$F$6,MIN(4,COUNTIF(CAPA3_EXPANSION!$D$56:DP$56,"&gt;="&amp;30)))*CAPA3_EXPANSION!DP$36)</f>
        <v>7056</v>
      </c>
      <c r="DQ37" s="298" t="n">
        <f aca="false">IF(COUNTIF(CAPA3_EXPANSION!$D$56:DQ$56,"&gt;="&amp;30)=0,0,SUP_CONTROL!$C$8*IF($B37="V",1,IF($B37="D",(1+SUP_VOLUMEN!$C$26),(1+SUP_VOLUMEN!$C$27)))*INDEX(SUP_C3_EXPANSION!$C$6:$F$6,MIN(4,COUNTIF(CAPA3_EXPANSION!$D$56:DQ$56,"&gt;="&amp;30)))*CAPA3_EXPANSION!DQ$36)</f>
        <v>7056</v>
      </c>
      <c r="DR37" s="298" t="n">
        <f aca="false">IF(COUNTIF(CAPA3_EXPANSION!$D$56:DR$56,"&gt;="&amp;30)=0,0,SUP_CONTROL!$C$8*IF($B37="V",1,IF($B37="D",(1+SUP_VOLUMEN!$C$26),(1+SUP_VOLUMEN!$C$27)))*INDEX(SUP_C3_EXPANSION!$C$6:$F$6,MIN(4,COUNTIF(CAPA3_EXPANSION!$D$56:DR$56,"&gt;="&amp;30)))*CAPA3_EXPANSION!DR$36)</f>
        <v>7056</v>
      </c>
      <c r="DS37" s="298" t="n">
        <f aca="false">IF(COUNTIF(CAPA3_EXPANSION!$D$56:DS$56,"&gt;="&amp;30)=0,0,SUP_CONTROL!$C$8*IF($B37="V",1,IF($B37="D",(1+SUP_VOLUMEN!$C$26),(1+SUP_VOLUMEN!$C$27)))*INDEX(SUP_C3_EXPANSION!$C$6:$F$6,MIN(4,COUNTIF(CAPA3_EXPANSION!$D$56:DS$56,"&gt;="&amp;30)))*CAPA3_EXPANSION!DS$36)</f>
        <v>7056</v>
      </c>
    </row>
    <row r="38" customFormat="false" ht="15" hidden="false" customHeight="true" outlineLevel="0" collapsed="false">
      <c r="A38" s="298" t="n">
        <v>41</v>
      </c>
      <c r="B38" s="497" t="str">
        <f aca="false">SUP_C3_EXPANSION!B50</f>
        <v>V</v>
      </c>
      <c r="C38" s="267" t="n">
        <f aca="false">SUP_C3_EXPANSION!G50</f>
        <v>73</v>
      </c>
      <c r="D38" s="298" t="n">
        <f aca="false">IF(COUNTIF(CAPA3_EXPANSION!$D$56:D$56,"&gt;="&amp;31)=0,0,SUP_CONTROL!$C$8*IF($B38="V",1,IF($B38="D",(1+SUP_VOLUMEN!$C$26),(1+SUP_VOLUMEN!$C$27)))*INDEX(SUP_C3_EXPANSION!$C$6:$F$6,MIN(4,COUNTIF(CAPA3_EXPANSION!$D$56:D$56,"&gt;="&amp;31)))*CAPA3_EXPANSION!D$36)</f>
        <v>0</v>
      </c>
      <c r="E38" s="298" t="n">
        <f aca="false">IF(COUNTIF(CAPA3_EXPANSION!$D$56:E$56,"&gt;="&amp;31)=0,0,SUP_CONTROL!$C$8*IF($B38="V",1,IF($B38="D",(1+SUP_VOLUMEN!$C$26),(1+SUP_VOLUMEN!$C$27)))*INDEX(SUP_C3_EXPANSION!$C$6:$F$6,MIN(4,COUNTIF(CAPA3_EXPANSION!$D$56:E$56,"&gt;="&amp;31)))*CAPA3_EXPANSION!E$36)</f>
        <v>0</v>
      </c>
      <c r="F38" s="298" t="n">
        <f aca="false">IF(COUNTIF(CAPA3_EXPANSION!$D$56:F$56,"&gt;="&amp;31)=0,0,SUP_CONTROL!$C$8*IF($B38="V",1,IF($B38="D",(1+SUP_VOLUMEN!$C$26),(1+SUP_VOLUMEN!$C$27)))*INDEX(SUP_C3_EXPANSION!$C$6:$F$6,MIN(4,COUNTIF(CAPA3_EXPANSION!$D$56:F$56,"&gt;="&amp;31)))*CAPA3_EXPANSION!F$36)</f>
        <v>0</v>
      </c>
      <c r="G38" s="298" t="n">
        <f aca="false">IF(COUNTIF(CAPA3_EXPANSION!$D$56:G$56,"&gt;="&amp;31)=0,0,SUP_CONTROL!$C$8*IF($B38="V",1,IF($B38="D",(1+SUP_VOLUMEN!$C$26),(1+SUP_VOLUMEN!$C$27)))*INDEX(SUP_C3_EXPANSION!$C$6:$F$6,MIN(4,COUNTIF(CAPA3_EXPANSION!$D$56:G$56,"&gt;="&amp;31)))*CAPA3_EXPANSION!G$36)</f>
        <v>0</v>
      </c>
      <c r="H38" s="298" t="n">
        <f aca="false">IF(COUNTIF(CAPA3_EXPANSION!$D$56:H$56,"&gt;="&amp;31)=0,0,SUP_CONTROL!$C$8*IF($B38="V",1,IF($B38="D",(1+SUP_VOLUMEN!$C$26),(1+SUP_VOLUMEN!$C$27)))*INDEX(SUP_C3_EXPANSION!$C$6:$F$6,MIN(4,COUNTIF(CAPA3_EXPANSION!$D$56:H$56,"&gt;="&amp;31)))*CAPA3_EXPANSION!H$36)</f>
        <v>0</v>
      </c>
      <c r="I38" s="298" t="n">
        <f aca="false">IF(COUNTIF(CAPA3_EXPANSION!$D$56:I$56,"&gt;="&amp;31)=0,0,SUP_CONTROL!$C$8*IF($B38="V",1,IF($B38="D",(1+SUP_VOLUMEN!$C$26),(1+SUP_VOLUMEN!$C$27)))*INDEX(SUP_C3_EXPANSION!$C$6:$F$6,MIN(4,COUNTIF(CAPA3_EXPANSION!$D$56:I$56,"&gt;="&amp;31)))*CAPA3_EXPANSION!I$36)</f>
        <v>0</v>
      </c>
      <c r="J38" s="298" t="n">
        <f aca="false">IF(COUNTIF(CAPA3_EXPANSION!$D$56:J$56,"&gt;="&amp;31)=0,0,SUP_CONTROL!$C$8*IF($B38="V",1,IF($B38="D",(1+SUP_VOLUMEN!$C$26),(1+SUP_VOLUMEN!$C$27)))*INDEX(SUP_C3_EXPANSION!$C$6:$F$6,MIN(4,COUNTIF(CAPA3_EXPANSION!$D$56:J$56,"&gt;="&amp;31)))*CAPA3_EXPANSION!J$36)</f>
        <v>0</v>
      </c>
      <c r="K38" s="298" t="n">
        <f aca="false">IF(COUNTIF(CAPA3_EXPANSION!$D$56:K$56,"&gt;="&amp;31)=0,0,SUP_CONTROL!$C$8*IF($B38="V",1,IF($B38="D",(1+SUP_VOLUMEN!$C$26),(1+SUP_VOLUMEN!$C$27)))*INDEX(SUP_C3_EXPANSION!$C$6:$F$6,MIN(4,COUNTIF(CAPA3_EXPANSION!$D$56:K$56,"&gt;="&amp;31)))*CAPA3_EXPANSION!K$36)</f>
        <v>0</v>
      </c>
      <c r="L38" s="298" t="n">
        <f aca="false">IF(COUNTIF(CAPA3_EXPANSION!$D$56:L$56,"&gt;="&amp;31)=0,0,SUP_CONTROL!$C$8*IF($B38="V",1,IF($B38="D",(1+SUP_VOLUMEN!$C$26),(1+SUP_VOLUMEN!$C$27)))*INDEX(SUP_C3_EXPANSION!$C$6:$F$6,MIN(4,COUNTIF(CAPA3_EXPANSION!$D$56:L$56,"&gt;="&amp;31)))*CAPA3_EXPANSION!L$36)</f>
        <v>0</v>
      </c>
      <c r="M38" s="298" t="n">
        <f aca="false">IF(COUNTIF(CAPA3_EXPANSION!$D$56:M$56,"&gt;="&amp;31)=0,0,SUP_CONTROL!$C$8*IF($B38="V",1,IF($B38="D",(1+SUP_VOLUMEN!$C$26),(1+SUP_VOLUMEN!$C$27)))*INDEX(SUP_C3_EXPANSION!$C$6:$F$6,MIN(4,COUNTIF(CAPA3_EXPANSION!$D$56:M$56,"&gt;="&amp;31)))*CAPA3_EXPANSION!M$36)</f>
        <v>0</v>
      </c>
      <c r="N38" s="298" t="n">
        <f aca="false">IF(COUNTIF(CAPA3_EXPANSION!$D$56:N$56,"&gt;="&amp;31)=0,0,SUP_CONTROL!$C$8*IF($B38="V",1,IF($B38="D",(1+SUP_VOLUMEN!$C$26),(1+SUP_VOLUMEN!$C$27)))*INDEX(SUP_C3_EXPANSION!$C$6:$F$6,MIN(4,COUNTIF(CAPA3_EXPANSION!$D$56:N$56,"&gt;="&amp;31)))*CAPA3_EXPANSION!N$36)</f>
        <v>0</v>
      </c>
      <c r="O38" s="298" t="n">
        <f aca="false">IF(COUNTIF(CAPA3_EXPANSION!$D$56:O$56,"&gt;="&amp;31)=0,0,SUP_CONTROL!$C$8*IF($B38="V",1,IF($B38="D",(1+SUP_VOLUMEN!$C$26),(1+SUP_VOLUMEN!$C$27)))*INDEX(SUP_C3_EXPANSION!$C$6:$F$6,MIN(4,COUNTIF(CAPA3_EXPANSION!$D$56:O$56,"&gt;="&amp;31)))*CAPA3_EXPANSION!O$36)</f>
        <v>0</v>
      </c>
      <c r="P38" s="298" t="n">
        <f aca="false">IF(COUNTIF(CAPA3_EXPANSION!$D$56:P$56,"&gt;="&amp;31)=0,0,SUP_CONTROL!$C$8*IF($B38="V",1,IF($B38="D",(1+SUP_VOLUMEN!$C$26),(1+SUP_VOLUMEN!$C$27)))*INDEX(SUP_C3_EXPANSION!$C$6:$F$6,MIN(4,COUNTIF(CAPA3_EXPANSION!$D$56:P$56,"&gt;="&amp;31)))*CAPA3_EXPANSION!P$36)</f>
        <v>0</v>
      </c>
      <c r="Q38" s="298" t="n">
        <f aca="false">IF(COUNTIF(CAPA3_EXPANSION!$D$56:Q$56,"&gt;="&amp;31)=0,0,SUP_CONTROL!$C$8*IF($B38="V",1,IF($B38="D",(1+SUP_VOLUMEN!$C$26),(1+SUP_VOLUMEN!$C$27)))*INDEX(SUP_C3_EXPANSION!$C$6:$F$6,MIN(4,COUNTIF(CAPA3_EXPANSION!$D$56:Q$56,"&gt;="&amp;31)))*CAPA3_EXPANSION!Q$36)</f>
        <v>0</v>
      </c>
      <c r="R38" s="298" t="n">
        <f aca="false">IF(COUNTIF(CAPA3_EXPANSION!$D$56:R$56,"&gt;="&amp;31)=0,0,SUP_CONTROL!$C$8*IF($B38="V",1,IF($B38="D",(1+SUP_VOLUMEN!$C$26),(1+SUP_VOLUMEN!$C$27)))*INDEX(SUP_C3_EXPANSION!$C$6:$F$6,MIN(4,COUNTIF(CAPA3_EXPANSION!$D$56:R$56,"&gt;="&amp;31)))*CAPA3_EXPANSION!R$36)</f>
        <v>0</v>
      </c>
      <c r="S38" s="298" t="n">
        <f aca="false">IF(COUNTIF(CAPA3_EXPANSION!$D$56:S$56,"&gt;="&amp;31)=0,0,SUP_CONTROL!$C$8*IF($B38="V",1,IF($B38="D",(1+SUP_VOLUMEN!$C$26),(1+SUP_VOLUMEN!$C$27)))*INDEX(SUP_C3_EXPANSION!$C$6:$F$6,MIN(4,COUNTIF(CAPA3_EXPANSION!$D$56:S$56,"&gt;="&amp;31)))*CAPA3_EXPANSION!S$36)</f>
        <v>0</v>
      </c>
      <c r="T38" s="298" t="n">
        <f aca="false">IF(COUNTIF(CAPA3_EXPANSION!$D$56:T$56,"&gt;="&amp;31)=0,0,SUP_CONTROL!$C$8*IF($B38="V",1,IF($B38="D",(1+SUP_VOLUMEN!$C$26),(1+SUP_VOLUMEN!$C$27)))*INDEX(SUP_C3_EXPANSION!$C$6:$F$6,MIN(4,COUNTIF(CAPA3_EXPANSION!$D$56:T$56,"&gt;="&amp;31)))*CAPA3_EXPANSION!T$36)</f>
        <v>0</v>
      </c>
      <c r="U38" s="298" t="n">
        <f aca="false">IF(COUNTIF(CAPA3_EXPANSION!$D$56:U$56,"&gt;="&amp;31)=0,0,SUP_CONTROL!$C$8*IF($B38="V",1,IF($B38="D",(1+SUP_VOLUMEN!$C$26),(1+SUP_VOLUMEN!$C$27)))*INDEX(SUP_C3_EXPANSION!$C$6:$F$6,MIN(4,COUNTIF(CAPA3_EXPANSION!$D$56:U$56,"&gt;="&amp;31)))*CAPA3_EXPANSION!U$36)</f>
        <v>0</v>
      </c>
      <c r="V38" s="298" t="n">
        <f aca="false">IF(COUNTIF(CAPA3_EXPANSION!$D$56:V$56,"&gt;="&amp;31)=0,0,SUP_CONTROL!$C$8*IF($B38="V",1,IF($B38="D",(1+SUP_VOLUMEN!$C$26),(1+SUP_VOLUMEN!$C$27)))*INDEX(SUP_C3_EXPANSION!$C$6:$F$6,MIN(4,COUNTIF(CAPA3_EXPANSION!$D$56:V$56,"&gt;="&amp;31)))*CAPA3_EXPANSION!V$36)</f>
        <v>0</v>
      </c>
      <c r="W38" s="298" t="n">
        <f aca="false">IF(COUNTIF(CAPA3_EXPANSION!$D$56:W$56,"&gt;="&amp;31)=0,0,SUP_CONTROL!$C$8*IF($B38="V",1,IF($B38="D",(1+SUP_VOLUMEN!$C$26),(1+SUP_VOLUMEN!$C$27)))*INDEX(SUP_C3_EXPANSION!$C$6:$F$6,MIN(4,COUNTIF(CAPA3_EXPANSION!$D$56:W$56,"&gt;="&amp;31)))*CAPA3_EXPANSION!W$36)</f>
        <v>0</v>
      </c>
      <c r="X38" s="298" t="n">
        <f aca="false">IF(COUNTIF(CAPA3_EXPANSION!$D$56:X$56,"&gt;="&amp;31)=0,0,SUP_CONTROL!$C$8*IF($B38="V",1,IF($B38="D",(1+SUP_VOLUMEN!$C$26),(1+SUP_VOLUMEN!$C$27)))*INDEX(SUP_C3_EXPANSION!$C$6:$F$6,MIN(4,COUNTIF(CAPA3_EXPANSION!$D$56:X$56,"&gt;="&amp;31)))*CAPA3_EXPANSION!X$36)</f>
        <v>0</v>
      </c>
      <c r="Y38" s="298" t="n">
        <f aca="false">IF(COUNTIF(CAPA3_EXPANSION!$D$56:Y$56,"&gt;="&amp;31)=0,0,SUP_CONTROL!$C$8*IF($B38="V",1,IF($B38="D",(1+SUP_VOLUMEN!$C$26),(1+SUP_VOLUMEN!$C$27)))*INDEX(SUP_C3_EXPANSION!$C$6:$F$6,MIN(4,COUNTIF(CAPA3_EXPANSION!$D$56:Y$56,"&gt;="&amp;31)))*CAPA3_EXPANSION!Y$36)</f>
        <v>0</v>
      </c>
      <c r="Z38" s="298" t="n">
        <f aca="false">IF(COUNTIF(CAPA3_EXPANSION!$D$56:Z$56,"&gt;="&amp;31)=0,0,SUP_CONTROL!$C$8*IF($B38="V",1,IF($B38="D",(1+SUP_VOLUMEN!$C$26),(1+SUP_VOLUMEN!$C$27)))*INDEX(SUP_C3_EXPANSION!$C$6:$F$6,MIN(4,COUNTIF(CAPA3_EXPANSION!$D$56:Z$56,"&gt;="&amp;31)))*CAPA3_EXPANSION!Z$36)</f>
        <v>0</v>
      </c>
      <c r="AA38" s="298" t="n">
        <f aca="false">IF(COUNTIF(CAPA3_EXPANSION!$D$56:AA$56,"&gt;="&amp;31)=0,0,SUP_CONTROL!$C$8*IF($B38="V",1,IF($B38="D",(1+SUP_VOLUMEN!$C$26),(1+SUP_VOLUMEN!$C$27)))*INDEX(SUP_C3_EXPANSION!$C$6:$F$6,MIN(4,COUNTIF(CAPA3_EXPANSION!$D$56:AA$56,"&gt;="&amp;31)))*CAPA3_EXPANSION!AA$36)</f>
        <v>0</v>
      </c>
      <c r="AB38" s="298" t="n">
        <f aca="false">IF(COUNTIF(CAPA3_EXPANSION!$D$56:AB$56,"&gt;="&amp;31)=0,0,SUP_CONTROL!$C$8*IF($B38="V",1,IF($B38="D",(1+SUP_VOLUMEN!$C$26),(1+SUP_VOLUMEN!$C$27)))*INDEX(SUP_C3_EXPANSION!$C$6:$F$6,MIN(4,COUNTIF(CAPA3_EXPANSION!$D$56:AB$56,"&gt;="&amp;31)))*CAPA3_EXPANSION!AB$36)</f>
        <v>0</v>
      </c>
      <c r="AC38" s="298" t="n">
        <f aca="false">IF(COUNTIF(CAPA3_EXPANSION!$D$56:AC$56,"&gt;="&amp;31)=0,0,SUP_CONTROL!$C$8*IF($B38="V",1,IF($B38="D",(1+SUP_VOLUMEN!$C$26),(1+SUP_VOLUMEN!$C$27)))*INDEX(SUP_C3_EXPANSION!$C$6:$F$6,MIN(4,COUNTIF(CAPA3_EXPANSION!$D$56:AC$56,"&gt;="&amp;31)))*CAPA3_EXPANSION!AC$36)</f>
        <v>0</v>
      </c>
      <c r="AD38" s="298" t="n">
        <f aca="false">IF(COUNTIF(CAPA3_EXPANSION!$D$56:AD$56,"&gt;="&amp;31)=0,0,SUP_CONTROL!$C$8*IF($B38="V",1,IF($B38="D",(1+SUP_VOLUMEN!$C$26),(1+SUP_VOLUMEN!$C$27)))*INDEX(SUP_C3_EXPANSION!$C$6:$F$6,MIN(4,COUNTIF(CAPA3_EXPANSION!$D$56:AD$56,"&gt;="&amp;31)))*CAPA3_EXPANSION!AD$36)</f>
        <v>0</v>
      </c>
      <c r="AE38" s="298" t="n">
        <f aca="false">IF(COUNTIF(CAPA3_EXPANSION!$D$56:AE$56,"&gt;="&amp;31)=0,0,SUP_CONTROL!$C$8*IF($B38="V",1,IF($B38="D",(1+SUP_VOLUMEN!$C$26),(1+SUP_VOLUMEN!$C$27)))*INDEX(SUP_C3_EXPANSION!$C$6:$F$6,MIN(4,COUNTIF(CAPA3_EXPANSION!$D$56:AE$56,"&gt;="&amp;31)))*CAPA3_EXPANSION!AE$36)</f>
        <v>0</v>
      </c>
      <c r="AF38" s="298" t="n">
        <f aca="false">IF(COUNTIF(CAPA3_EXPANSION!$D$56:AF$56,"&gt;="&amp;31)=0,0,SUP_CONTROL!$C$8*IF($B38="V",1,IF($B38="D",(1+SUP_VOLUMEN!$C$26),(1+SUP_VOLUMEN!$C$27)))*INDEX(SUP_C3_EXPANSION!$C$6:$F$6,MIN(4,COUNTIF(CAPA3_EXPANSION!$D$56:AF$56,"&gt;="&amp;31)))*CAPA3_EXPANSION!AF$36)</f>
        <v>0</v>
      </c>
      <c r="AG38" s="298" t="n">
        <f aca="false">IF(COUNTIF(CAPA3_EXPANSION!$D$56:AG$56,"&gt;="&amp;31)=0,0,SUP_CONTROL!$C$8*IF($B38="V",1,IF($B38="D",(1+SUP_VOLUMEN!$C$26),(1+SUP_VOLUMEN!$C$27)))*INDEX(SUP_C3_EXPANSION!$C$6:$F$6,MIN(4,COUNTIF(CAPA3_EXPANSION!$D$56:AG$56,"&gt;="&amp;31)))*CAPA3_EXPANSION!AG$36)</f>
        <v>0</v>
      </c>
      <c r="AH38" s="298" t="n">
        <f aca="false">IF(COUNTIF(CAPA3_EXPANSION!$D$56:AH$56,"&gt;="&amp;31)=0,0,SUP_CONTROL!$C$8*IF($B38="V",1,IF($B38="D",(1+SUP_VOLUMEN!$C$26),(1+SUP_VOLUMEN!$C$27)))*INDEX(SUP_C3_EXPANSION!$C$6:$F$6,MIN(4,COUNTIF(CAPA3_EXPANSION!$D$56:AH$56,"&gt;="&amp;31)))*CAPA3_EXPANSION!AH$36)</f>
        <v>0</v>
      </c>
      <c r="AI38" s="298" t="n">
        <f aca="false">IF(COUNTIF(CAPA3_EXPANSION!$D$56:AI$56,"&gt;="&amp;31)=0,0,SUP_CONTROL!$C$8*IF($B38="V",1,IF($B38="D",(1+SUP_VOLUMEN!$C$26),(1+SUP_VOLUMEN!$C$27)))*INDEX(SUP_C3_EXPANSION!$C$6:$F$6,MIN(4,COUNTIF(CAPA3_EXPANSION!$D$56:AI$56,"&gt;="&amp;31)))*CAPA3_EXPANSION!AI$36)</f>
        <v>0</v>
      </c>
      <c r="AJ38" s="298" t="n">
        <f aca="false">IF(COUNTIF(CAPA3_EXPANSION!$D$56:AJ$56,"&gt;="&amp;31)=0,0,SUP_CONTROL!$C$8*IF($B38="V",1,IF($B38="D",(1+SUP_VOLUMEN!$C$26),(1+SUP_VOLUMEN!$C$27)))*INDEX(SUP_C3_EXPANSION!$C$6:$F$6,MIN(4,COUNTIF(CAPA3_EXPANSION!$D$56:AJ$56,"&gt;="&amp;31)))*CAPA3_EXPANSION!AJ$36)</f>
        <v>0</v>
      </c>
      <c r="AK38" s="298" t="n">
        <f aca="false">IF(COUNTIF(CAPA3_EXPANSION!$D$56:AK$56,"&gt;="&amp;31)=0,0,SUP_CONTROL!$C$8*IF($B38="V",1,IF($B38="D",(1+SUP_VOLUMEN!$C$26),(1+SUP_VOLUMEN!$C$27)))*INDEX(SUP_C3_EXPANSION!$C$6:$F$6,MIN(4,COUNTIF(CAPA3_EXPANSION!$D$56:AK$56,"&gt;="&amp;31)))*CAPA3_EXPANSION!AK$36)</f>
        <v>0</v>
      </c>
      <c r="AL38" s="298" t="n">
        <f aca="false">IF(COUNTIF(CAPA3_EXPANSION!$D$56:AL$56,"&gt;="&amp;31)=0,0,SUP_CONTROL!$C$8*IF($B38="V",1,IF($B38="D",(1+SUP_VOLUMEN!$C$26),(1+SUP_VOLUMEN!$C$27)))*INDEX(SUP_C3_EXPANSION!$C$6:$F$6,MIN(4,COUNTIF(CAPA3_EXPANSION!$D$56:AL$56,"&gt;="&amp;31)))*CAPA3_EXPANSION!AL$36)</f>
        <v>0</v>
      </c>
      <c r="AM38" s="298" t="n">
        <f aca="false">IF(COUNTIF(CAPA3_EXPANSION!$D$56:AM$56,"&gt;="&amp;31)=0,0,SUP_CONTROL!$C$8*IF($B38="V",1,IF($B38="D",(1+SUP_VOLUMEN!$C$26),(1+SUP_VOLUMEN!$C$27)))*INDEX(SUP_C3_EXPANSION!$C$6:$F$6,MIN(4,COUNTIF(CAPA3_EXPANSION!$D$56:AM$56,"&gt;="&amp;31)))*CAPA3_EXPANSION!AM$36)</f>
        <v>0</v>
      </c>
      <c r="AN38" s="298" t="n">
        <f aca="false">IF(COUNTIF(CAPA3_EXPANSION!$D$56:AN$56,"&gt;="&amp;31)=0,0,SUP_CONTROL!$C$8*IF($B38="V",1,IF($B38="D",(1+SUP_VOLUMEN!$C$26),(1+SUP_VOLUMEN!$C$27)))*INDEX(SUP_C3_EXPANSION!$C$6:$F$6,MIN(4,COUNTIF(CAPA3_EXPANSION!$D$56:AN$56,"&gt;="&amp;31)))*CAPA3_EXPANSION!AN$36)</f>
        <v>0</v>
      </c>
      <c r="AO38" s="298" t="n">
        <f aca="false">IF(COUNTIF(CAPA3_EXPANSION!$D$56:AO$56,"&gt;="&amp;31)=0,0,SUP_CONTROL!$C$8*IF($B38="V",1,IF($B38="D",(1+SUP_VOLUMEN!$C$26),(1+SUP_VOLUMEN!$C$27)))*INDEX(SUP_C3_EXPANSION!$C$6:$F$6,MIN(4,COUNTIF(CAPA3_EXPANSION!$D$56:AO$56,"&gt;="&amp;31)))*CAPA3_EXPANSION!AO$36)</f>
        <v>0</v>
      </c>
      <c r="AP38" s="298" t="n">
        <f aca="false">IF(COUNTIF(CAPA3_EXPANSION!$D$56:AP$56,"&gt;="&amp;31)=0,0,SUP_CONTROL!$C$8*IF($B38="V",1,IF($B38="D",(1+SUP_VOLUMEN!$C$26),(1+SUP_VOLUMEN!$C$27)))*INDEX(SUP_C3_EXPANSION!$C$6:$F$6,MIN(4,COUNTIF(CAPA3_EXPANSION!$D$56:AP$56,"&gt;="&amp;31)))*CAPA3_EXPANSION!AP$36)</f>
        <v>0</v>
      </c>
      <c r="AQ38" s="298" t="n">
        <f aca="false">IF(COUNTIF(CAPA3_EXPANSION!$D$56:AQ$56,"&gt;="&amp;31)=0,0,SUP_CONTROL!$C$8*IF($B38="V",1,IF($B38="D",(1+SUP_VOLUMEN!$C$26),(1+SUP_VOLUMEN!$C$27)))*INDEX(SUP_C3_EXPANSION!$C$6:$F$6,MIN(4,COUNTIF(CAPA3_EXPANSION!$D$56:AQ$56,"&gt;="&amp;31)))*CAPA3_EXPANSION!AQ$36)</f>
        <v>0</v>
      </c>
      <c r="AR38" s="298" t="n">
        <f aca="false">IF(COUNTIF(CAPA3_EXPANSION!$D$56:AR$56,"&gt;="&amp;31)=0,0,SUP_CONTROL!$C$8*IF($B38="V",1,IF($B38="D",(1+SUP_VOLUMEN!$C$26),(1+SUP_VOLUMEN!$C$27)))*INDEX(SUP_C3_EXPANSION!$C$6:$F$6,MIN(4,COUNTIF(CAPA3_EXPANSION!$D$56:AR$56,"&gt;="&amp;31)))*CAPA3_EXPANSION!AR$36)</f>
        <v>0</v>
      </c>
      <c r="AS38" s="298" t="n">
        <f aca="false">IF(COUNTIF(CAPA3_EXPANSION!$D$56:AS$56,"&gt;="&amp;31)=0,0,SUP_CONTROL!$C$8*IF($B38="V",1,IF($B38="D",(1+SUP_VOLUMEN!$C$26),(1+SUP_VOLUMEN!$C$27)))*INDEX(SUP_C3_EXPANSION!$C$6:$F$6,MIN(4,COUNTIF(CAPA3_EXPANSION!$D$56:AS$56,"&gt;="&amp;31)))*CAPA3_EXPANSION!AS$36)</f>
        <v>0</v>
      </c>
      <c r="AT38" s="298" t="n">
        <f aca="false">IF(COUNTIF(CAPA3_EXPANSION!$D$56:AT$56,"&gt;="&amp;31)=0,0,SUP_CONTROL!$C$8*IF($B38="V",1,IF($B38="D",(1+SUP_VOLUMEN!$C$26),(1+SUP_VOLUMEN!$C$27)))*INDEX(SUP_C3_EXPANSION!$C$6:$F$6,MIN(4,COUNTIF(CAPA3_EXPANSION!$D$56:AT$56,"&gt;="&amp;31)))*CAPA3_EXPANSION!AT$36)</f>
        <v>0</v>
      </c>
      <c r="AU38" s="298" t="n">
        <f aca="false">IF(COUNTIF(CAPA3_EXPANSION!$D$56:AU$56,"&gt;="&amp;31)=0,0,SUP_CONTROL!$C$8*IF($B38="V",1,IF($B38="D",(1+SUP_VOLUMEN!$C$26),(1+SUP_VOLUMEN!$C$27)))*INDEX(SUP_C3_EXPANSION!$C$6:$F$6,MIN(4,COUNTIF(CAPA3_EXPANSION!$D$56:AU$56,"&gt;="&amp;31)))*CAPA3_EXPANSION!AU$36)</f>
        <v>0</v>
      </c>
      <c r="AV38" s="298" t="n">
        <f aca="false">IF(COUNTIF(CAPA3_EXPANSION!$D$56:AV$56,"&gt;="&amp;31)=0,0,SUP_CONTROL!$C$8*IF($B38="V",1,IF($B38="D",(1+SUP_VOLUMEN!$C$26),(1+SUP_VOLUMEN!$C$27)))*INDEX(SUP_C3_EXPANSION!$C$6:$F$6,MIN(4,COUNTIF(CAPA3_EXPANSION!$D$56:AV$56,"&gt;="&amp;31)))*CAPA3_EXPANSION!AV$36)</f>
        <v>0</v>
      </c>
      <c r="AW38" s="298" t="n">
        <f aca="false">IF(COUNTIF(CAPA3_EXPANSION!$D$56:AW$56,"&gt;="&amp;31)=0,0,SUP_CONTROL!$C$8*IF($B38="V",1,IF($B38="D",(1+SUP_VOLUMEN!$C$26),(1+SUP_VOLUMEN!$C$27)))*INDEX(SUP_C3_EXPANSION!$C$6:$F$6,MIN(4,COUNTIF(CAPA3_EXPANSION!$D$56:AW$56,"&gt;="&amp;31)))*CAPA3_EXPANSION!AW$36)</f>
        <v>0</v>
      </c>
      <c r="AX38" s="298" t="n">
        <f aca="false">IF(COUNTIF(CAPA3_EXPANSION!$D$56:AX$56,"&gt;="&amp;31)=0,0,SUP_CONTROL!$C$8*IF($B38="V",1,IF($B38="D",(1+SUP_VOLUMEN!$C$26),(1+SUP_VOLUMEN!$C$27)))*INDEX(SUP_C3_EXPANSION!$C$6:$F$6,MIN(4,COUNTIF(CAPA3_EXPANSION!$D$56:AX$56,"&gt;="&amp;31)))*CAPA3_EXPANSION!AX$36)</f>
        <v>0</v>
      </c>
      <c r="AY38" s="298" t="n">
        <f aca="false">IF(COUNTIF(CAPA3_EXPANSION!$D$56:AY$56,"&gt;="&amp;31)=0,0,SUP_CONTROL!$C$8*IF($B38="V",1,IF($B38="D",(1+SUP_VOLUMEN!$C$26),(1+SUP_VOLUMEN!$C$27)))*INDEX(SUP_C3_EXPANSION!$C$6:$F$6,MIN(4,COUNTIF(CAPA3_EXPANSION!$D$56:AY$56,"&gt;="&amp;31)))*CAPA3_EXPANSION!AY$36)</f>
        <v>0</v>
      </c>
      <c r="AZ38" s="298" t="n">
        <f aca="false">IF(COUNTIF(CAPA3_EXPANSION!$D$56:AZ$56,"&gt;="&amp;31)=0,0,SUP_CONTROL!$C$8*IF($B38="V",1,IF($B38="D",(1+SUP_VOLUMEN!$C$26),(1+SUP_VOLUMEN!$C$27)))*INDEX(SUP_C3_EXPANSION!$C$6:$F$6,MIN(4,COUNTIF(CAPA3_EXPANSION!$D$56:AZ$56,"&gt;="&amp;31)))*CAPA3_EXPANSION!AZ$36)</f>
        <v>0</v>
      </c>
      <c r="BA38" s="298" t="n">
        <f aca="false">IF(COUNTIF(CAPA3_EXPANSION!$D$56:BA$56,"&gt;="&amp;31)=0,0,SUP_CONTROL!$C$8*IF($B38="V",1,IF($B38="D",(1+SUP_VOLUMEN!$C$26),(1+SUP_VOLUMEN!$C$27)))*INDEX(SUP_C3_EXPANSION!$C$6:$F$6,MIN(4,COUNTIF(CAPA3_EXPANSION!$D$56:BA$56,"&gt;="&amp;31)))*CAPA3_EXPANSION!BA$36)</f>
        <v>0</v>
      </c>
      <c r="BB38" s="298" t="n">
        <f aca="false">IF(COUNTIF(CAPA3_EXPANSION!$D$56:BB$56,"&gt;="&amp;31)=0,0,SUP_CONTROL!$C$8*IF($B38="V",1,IF($B38="D",(1+SUP_VOLUMEN!$C$26),(1+SUP_VOLUMEN!$C$27)))*INDEX(SUP_C3_EXPANSION!$C$6:$F$6,MIN(4,COUNTIF(CAPA3_EXPANSION!$D$56:BB$56,"&gt;="&amp;31)))*CAPA3_EXPANSION!BB$36)</f>
        <v>0</v>
      </c>
      <c r="BC38" s="298" t="n">
        <f aca="false">IF(COUNTIF(CAPA3_EXPANSION!$D$56:BC$56,"&gt;="&amp;31)=0,0,SUP_CONTROL!$C$8*IF($B38="V",1,IF($B38="D",(1+SUP_VOLUMEN!$C$26),(1+SUP_VOLUMEN!$C$27)))*INDEX(SUP_C3_EXPANSION!$C$6:$F$6,MIN(4,COUNTIF(CAPA3_EXPANSION!$D$56:BC$56,"&gt;="&amp;31)))*CAPA3_EXPANSION!BC$36)</f>
        <v>0</v>
      </c>
      <c r="BD38" s="298" t="n">
        <f aca="false">IF(COUNTIF(CAPA3_EXPANSION!$D$56:BD$56,"&gt;="&amp;31)=0,0,SUP_CONTROL!$C$8*IF($B38="V",1,IF($B38="D",(1+SUP_VOLUMEN!$C$26),(1+SUP_VOLUMEN!$C$27)))*INDEX(SUP_C3_EXPANSION!$C$6:$F$6,MIN(4,COUNTIF(CAPA3_EXPANSION!$D$56:BD$56,"&gt;="&amp;31)))*CAPA3_EXPANSION!BD$36)</f>
        <v>0</v>
      </c>
      <c r="BE38" s="298" t="n">
        <f aca="false">IF(COUNTIF(CAPA3_EXPANSION!$D$56:BE$56,"&gt;="&amp;31)=0,0,SUP_CONTROL!$C$8*IF($B38="V",1,IF($B38="D",(1+SUP_VOLUMEN!$C$26),(1+SUP_VOLUMEN!$C$27)))*INDEX(SUP_C3_EXPANSION!$C$6:$F$6,MIN(4,COUNTIF(CAPA3_EXPANSION!$D$56:BE$56,"&gt;="&amp;31)))*CAPA3_EXPANSION!BE$36)</f>
        <v>0</v>
      </c>
      <c r="BF38" s="298" t="n">
        <f aca="false">IF(COUNTIF(CAPA3_EXPANSION!$D$56:BF$56,"&gt;="&amp;31)=0,0,SUP_CONTROL!$C$8*IF($B38="V",1,IF($B38="D",(1+SUP_VOLUMEN!$C$26),(1+SUP_VOLUMEN!$C$27)))*INDEX(SUP_C3_EXPANSION!$C$6:$F$6,MIN(4,COUNTIF(CAPA3_EXPANSION!$D$56:BF$56,"&gt;="&amp;31)))*CAPA3_EXPANSION!BF$36)</f>
        <v>0</v>
      </c>
      <c r="BG38" s="298" t="n">
        <f aca="false">IF(COUNTIF(CAPA3_EXPANSION!$D$56:BG$56,"&gt;="&amp;31)=0,0,SUP_CONTROL!$C$8*IF($B38="V",1,IF($B38="D",(1+SUP_VOLUMEN!$C$26),(1+SUP_VOLUMEN!$C$27)))*INDEX(SUP_C3_EXPANSION!$C$6:$F$6,MIN(4,COUNTIF(CAPA3_EXPANSION!$D$56:BG$56,"&gt;="&amp;31)))*CAPA3_EXPANSION!BG$36)</f>
        <v>0</v>
      </c>
      <c r="BH38" s="298" t="n">
        <f aca="false">IF(COUNTIF(CAPA3_EXPANSION!$D$56:BH$56,"&gt;="&amp;31)=0,0,SUP_CONTROL!$C$8*IF($B38="V",1,IF($B38="D",(1+SUP_VOLUMEN!$C$26),(1+SUP_VOLUMEN!$C$27)))*INDEX(SUP_C3_EXPANSION!$C$6:$F$6,MIN(4,COUNTIF(CAPA3_EXPANSION!$D$56:BH$56,"&gt;="&amp;31)))*CAPA3_EXPANSION!BH$36)</f>
        <v>0</v>
      </c>
      <c r="BI38" s="298" t="n">
        <f aca="false">IF(COUNTIF(CAPA3_EXPANSION!$D$56:BI$56,"&gt;="&amp;31)=0,0,SUP_CONTROL!$C$8*IF($B38="V",1,IF($B38="D",(1+SUP_VOLUMEN!$C$26),(1+SUP_VOLUMEN!$C$27)))*INDEX(SUP_C3_EXPANSION!$C$6:$F$6,MIN(4,COUNTIF(CAPA3_EXPANSION!$D$56:BI$56,"&gt;="&amp;31)))*CAPA3_EXPANSION!BI$36)</f>
        <v>0</v>
      </c>
      <c r="BJ38" s="298" t="n">
        <f aca="false">IF(COUNTIF(CAPA3_EXPANSION!$D$56:BJ$56,"&gt;="&amp;31)=0,0,SUP_CONTROL!$C$8*IF($B38="V",1,IF($B38="D",(1+SUP_VOLUMEN!$C$26),(1+SUP_VOLUMEN!$C$27)))*INDEX(SUP_C3_EXPANSION!$C$6:$F$6,MIN(4,COUNTIF(CAPA3_EXPANSION!$D$56:BJ$56,"&gt;="&amp;31)))*CAPA3_EXPANSION!BJ$36)</f>
        <v>0</v>
      </c>
      <c r="BK38" s="298" t="n">
        <f aca="false">IF(COUNTIF(CAPA3_EXPANSION!$D$56:BK$56,"&gt;="&amp;31)=0,0,SUP_CONTROL!$C$8*IF($B38="V",1,IF($B38="D",(1+SUP_VOLUMEN!$C$26),(1+SUP_VOLUMEN!$C$27)))*INDEX(SUP_C3_EXPANSION!$C$6:$F$6,MIN(4,COUNTIF(CAPA3_EXPANSION!$D$56:BK$56,"&gt;="&amp;31)))*CAPA3_EXPANSION!BK$36)</f>
        <v>0</v>
      </c>
      <c r="BL38" s="298" t="n">
        <f aca="false">IF(COUNTIF(CAPA3_EXPANSION!$D$56:BL$56,"&gt;="&amp;31)=0,0,SUP_CONTROL!$C$8*IF($B38="V",1,IF($B38="D",(1+SUP_VOLUMEN!$C$26),(1+SUP_VOLUMEN!$C$27)))*INDEX(SUP_C3_EXPANSION!$C$6:$F$6,MIN(4,COUNTIF(CAPA3_EXPANSION!$D$56:BL$56,"&gt;="&amp;31)))*CAPA3_EXPANSION!BL$36)</f>
        <v>0</v>
      </c>
      <c r="BM38" s="298" t="n">
        <f aca="false">IF(COUNTIF(CAPA3_EXPANSION!$D$56:BM$56,"&gt;="&amp;31)=0,0,SUP_CONTROL!$C$8*IF($B38="V",1,IF($B38="D",(1+SUP_VOLUMEN!$C$26),(1+SUP_VOLUMEN!$C$27)))*INDEX(SUP_C3_EXPANSION!$C$6:$F$6,MIN(4,COUNTIF(CAPA3_EXPANSION!$D$56:BM$56,"&gt;="&amp;31)))*CAPA3_EXPANSION!BM$36)</f>
        <v>0</v>
      </c>
      <c r="BN38" s="298" t="n">
        <f aca="false">IF(COUNTIF(CAPA3_EXPANSION!$D$56:BN$56,"&gt;="&amp;31)=0,0,SUP_CONTROL!$C$8*IF($B38="V",1,IF($B38="D",(1+SUP_VOLUMEN!$C$26),(1+SUP_VOLUMEN!$C$27)))*INDEX(SUP_C3_EXPANSION!$C$6:$F$6,MIN(4,COUNTIF(CAPA3_EXPANSION!$D$56:BN$56,"&gt;="&amp;31)))*CAPA3_EXPANSION!BN$36)</f>
        <v>0</v>
      </c>
      <c r="BO38" s="298" t="n">
        <f aca="false">IF(COUNTIF(CAPA3_EXPANSION!$D$56:BO$56,"&gt;="&amp;31)=0,0,SUP_CONTROL!$C$8*IF($B38="V",1,IF($B38="D",(1+SUP_VOLUMEN!$C$26),(1+SUP_VOLUMEN!$C$27)))*INDEX(SUP_C3_EXPANSION!$C$6:$F$6,MIN(4,COUNTIF(CAPA3_EXPANSION!$D$56:BO$56,"&gt;="&amp;31)))*CAPA3_EXPANSION!BO$36)</f>
        <v>0</v>
      </c>
      <c r="BP38" s="298" t="n">
        <f aca="false">IF(COUNTIF(CAPA3_EXPANSION!$D$56:BP$56,"&gt;="&amp;31)=0,0,SUP_CONTROL!$C$8*IF($B38="V",1,IF($B38="D",(1+SUP_VOLUMEN!$C$26),(1+SUP_VOLUMEN!$C$27)))*INDEX(SUP_C3_EXPANSION!$C$6:$F$6,MIN(4,COUNTIF(CAPA3_EXPANSION!$D$56:BP$56,"&gt;="&amp;31)))*CAPA3_EXPANSION!BP$36)</f>
        <v>0</v>
      </c>
      <c r="BQ38" s="298" t="n">
        <f aca="false">IF(COUNTIF(CAPA3_EXPANSION!$D$56:BQ$56,"&gt;="&amp;31)=0,0,SUP_CONTROL!$C$8*IF($B38="V",1,IF($B38="D",(1+SUP_VOLUMEN!$C$26),(1+SUP_VOLUMEN!$C$27)))*INDEX(SUP_C3_EXPANSION!$C$6:$F$6,MIN(4,COUNTIF(CAPA3_EXPANSION!$D$56:BQ$56,"&gt;="&amp;31)))*CAPA3_EXPANSION!BQ$36)</f>
        <v>0</v>
      </c>
      <c r="BR38" s="298" t="n">
        <f aca="false">IF(COUNTIF(CAPA3_EXPANSION!$D$56:BR$56,"&gt;="&amp;31)=0,0,SUP_CONTROL!$C$8*IF($B38="V",1,IF($B38="D",(1+SUP_VOLUMEN!$C$26),(1+SUP_VOLUMEN!$C$27)))*INDEX(SUP_C3_EXPANSION!$C$6:$F$6,MIN(4,COUNTIF(CAPA3_EXPANSION!$D$56:BR$56,"&gt;="&amp;31)))*CAPA3_EXPANSION!BR$36)</f>
        <v>0</v>
      </c>
      <c r="BS38" s="298" t="n">
        <f aca="false">IF(COUNTIF(CAPA3_EXPANSION!$D$56:BS$56,"&gt;="&amp;31)=0,0,SUP_CONTROL!$C$8*IF($B38="V",1,IF($B38="D",(1+SUP_VOLUMEN!$C$26),(1+SUP_VOLUMEN!$C$27)))*INDEX(SUP_C3_EXPANSION!$C$6:$F$6,MIN(4,COUNTIF(CAPA3_EXPANSION!$D$56:BS$56,"&gt;="&amp;31)))*CAPA3_EXPANSION!BS$36)</f>
        <v>0</v>
      </c>
      <c r="BT38" s="298" t="n">
        <f aca="false">IF(COUNTIF(CAPA3_EXPANSION!$D$56:BT$56,"&gt;="&amp;31)=0,0,SUP_CONTROL!$C$8*IF($B38="V",1,IF($B38="D",(1+SUP_VOLUMEN!$C$26),(1+SUP_VOLUMEN!$C$27)))*INDEX(SUP_C3_EXPANSION!$C$6:$F$6,MIN(4,COUNTIF(CAPA3_EXPANSION!$D$56:BT$56,"&gt;="&amp;31)))*CAPA3_EXPANSION!BT$36)</f>
        <v>0</v>
      </c>
      <c r="BU38" s="298" t="n">
        <f aca="false">IF(COUNTIF(CAPA3_EXPANSION!$D$56:BU$56,"&gt;="&amp;31)=0,0,SUP_CONTROL!$C$8*IF($B38="V",1,IF($B38="D",(1+SUP_VOLUMEN!$C$26),(1+SUP_VOLUMEN!$C$27)))*INDEX(SUP_C3_EXPANSION!$C$6:$F$6,MIN(4,COUNTIF(CAPA3_EXPANSION!$D$56:BU$56,"&gt;="&amp;31)))*CAPA3_EXPANSION!BU$36)</f>
        <v>0</v>
      </c>
      <c r="BV38" s="298" t="n">
        <f aca="false">IF(COUNTIF(CAPA3_EXPANSION!$D$56:BV$56,"&gt;="&amp;31)=0,0,SUP_CONTROL!$C$8*IF($B38="V",1,IF($B38="D",(1+SUP_VOLUMEN!$C$26),(1+SUP_VOLUMEN!$C$27)))*INDEX(SUP_C3_EXPANSION!$C$6:$F$6,MIN(4,COUNTIF(CAPA3_EXPANSION!$D$56:BV$56,"&gt;="&amp;31)))*CAPA3_EXPANSION!BV$36)</f>
        <v>0</v>
      </c>
      <c r="BW38" s="298" t="n">
        <f aca="false">IF(COUNTIF(CAPA3_EXPANSION!$D$56:BW$56,"&gt;="&amp;31)=0,0,SUP_CONTROL!$C$8*IF($B38="V",1,IF($B38="D",(1+SUP_VOLUMEN!$C$26),(1+SUP_VOLUMEN!$C$27)))*INDEX(SUP_C3_EXPANSION!$C$6:$F$6,MIN(4,COUNTIF(CAPA3_EXPANSION!$D$56:BW$56,"&gt;="&amp;31)))*CAPA3_EXPANSION!BW$36)</f>
        <v>0</v>
      </c>
      <c r="BX38" s="298" t="n">
        <f aca="false">IF(COUNTIF(CAPA3_EXPANSION!$D$56:BX$56,"&gt;="&amp;31)=0,0,SUP_CONTROL!$C$8*IF($B38="V",1,IF($B38="D",(1+SUP_VOLUMEN!$C$26),(1+SUP_VOLUMEN!$C$27)))*INDEX(SUP_C3_EXPANSION!$C$6:$F$6,MIN(4,COUNTIF(CAPA3_EXPANSION!$D$56:BX$56,"&gt;="&amp;31)))*CAPA3_EXPANSION!BX$36)</f>
        <v>0</v>
      </c>
      <c r="BY38" s="298" t="n">
        <f aca="false">IF(COUNTIF(CAPA3_EXPANSION!$D$56:BY$56,"&gt;="&amp;31)=0,0,SUP_CONTROL!$C$8*IF($B38="V",1,IF($B38="D",(1+SUP_VOLUMEN!$C$26),(1+SUP_VOLUMEN!$C$27)))*INDEX(SUP_C3_EXPANSION!$C$6:$F$6,MIN(4,COUNTIF(CAPA3_EXPANSION!$D$56:BY$56,"&gt;="&amp;31)))*CAPA3_EXPANSION!BY$36)</f>
        <v>0</v>
      </c>
      <c r="BZ38" s="298" t="n">
        <f aca="false">IF(COUNTIF(CAPA3_EXPANSION!$D$56:BZ$56,"&gt;="&amp;31)=0,0,SUP_CONTROL!$C$8*IF($B38="V",1,IF($B38="D",(1+SUP_VOLUMEN!$C$26),(1+SUP_VOLUMEN!$C$27)))*INDEX(SUP_C3_EXPANSION!$C$6:$F$6,MIN(4,COUNTIF(CAPA3_EXPANSION!$D$56:BZ$56,"&gt;="&amp;31)))*CAPA3_EXPANSION!BZ$36)</f>
        <v>0</v>
      </c>
      <c r="CA38" s="298" t="n">
        <f aca="false">IF(COUNTIF(CAPA3_EXPANSION!$D$56:CA$56,"&gt;="&amp;31)=0,0,SUP_CONTROL!$C$8*IF($B38="V",1,IF($B38="D",(1+SUP_VOLUMEN!$C$26),(1+SUP_VOLUMEN!$C$27)))*INDEX(SUP_C3_EXPANSION!$C$6:$F$6,MIN(4,COUNTIF(CAPA3_EXPANSION!$D$56:CA$56,"&gt;="&amp;31)))*CAPA3_EXPANSION!CA$36)</f>
        <v>2361.45</v>
      </c>
      <c r="CB38" s="298" t="n">
        <f aca="false">IF(COUNTIF(CAPA3_EXPANSION!$D$56:CB$56,"&gt;="&amp;31)=0,0,SUP_CONTROL!$C$8*IF($B38="V",1,IF($B38="D",(1+SUP_VOLUMEN!$C$26),(1+SUP_VOLUMEN!$C$27)))*INDEX(SUP_C3_EXPANSION!$C$6:$F$6,MIN(4,COUNTIF(CAPA3_EXPANSION!$D$56:CB$56,"&gt;="&amp;31)))*CAPA3_EXPANSION!CB$36)</f>
        <v>2856</v>
      </c>
      <c r="CC38" s="298" t="n">
        <f aca="false">IF(COUNTIF(CAPA3_EXPANSION!$D$56:CC$56,"&gt;="&amp;31)=0,0,SUP_CONTROL!$C$8*IF($B38="V",1,IF($B38="D",(1+SUP_VOLUMEN!$C$26),(1+SUP_VOLUMEN!$C$27)))*INDEX(SUP_C3_EXPANSION!$C$6:$F$6,MIN(4,COUNTIF(CAPA3_EXPANSION!$D$56:CC$56,"&gt;="&amp;31)))*CAPA3_EXPANSION!CC$36)</f>
        <v>3213</v>
      </c>
      <c r="CD38" s="298" t="n">
        <f aca="false">IF(COUNTIF(CAPA3_EXPANSION!$D$56:CD$56,"&gt;="&amp;31)=0,0,SUP_CONTROL!$C$8*IF($B38="V",1,IF($B38="D",(1+SUP_VOLUMEN!$C$26),(1+SUP_VOLUMEN!$C$27)))*INDEX(SUP_C3_EXPANSION!$C$6:$F$6,MIN(4,COUNTIF(CAPA3_EXPANSION!$D$56:CD$56,"&gt;="&amp;31)))*CAPA3_EXPANSION!CD$36)</f>
        <v>3570</v>
      </c>
      <c r="CE38" s="298" t="n">
        <f aca="false">IF(COUNTIF(CAPA3_EXPANSION!$D$56:CE$56,"&gt;="&amp;31)=0,0,SUP_CONTROL!$C$8*IF($B38="V",1,IF($B38="D",(1+SUP_VOLUMEN!$C$26),(1+SUP_VOLUMEN!$C$27)))*INDEX(SUP_C3_EXPANSION!$C$6:$F$6,MIN(4,COUNTIF(CAPA3_EXPANSION!$D$56:CE$56,"&gt;="&amp;31)))*CAPA3_EXPANSION!CE$36)</f>
        <v>3570</v>
      </c>
      <c r="CF38" s="298" t="n">
        <f aca="false">IF(COUNTIF(CAPA3_EXPANSION!$D$56:CF$56,"&gt;="&amp;31)=0,0,SUP_CONTROL!$C$8*IF($B38="V",1,IF($B38="D",(1+SUP_VOLUMEN!$C$26),(1+SUP_VOLUMEN!$C$27)))*INDEX(SUP_C3_EXPANSION!$C$6:$F$6,MIN(4,COUNTIF(CAPA3_EXPANSION!$D$56:CF$56,"&gt;="&amp;31)))*CAPA3_EXPANSION!CF$36)</f>
        <v>3570</v>
      </c>
      <c r="CG38" s="298" t="n">
        <f aca="false">IF(COUNTIF(CAPA3_EXPANSION!$D$56:CG$56,"&gt;="&amp;31)=0,0,SUP_CONTROL!$C$8*IF($B38="V",1,IF($B38="D",(1+SUP_VOLUMEN!$C$26),(1+SUP_VOLUMEN!$C$27)))*INDEX(SUP_C3_EXPANSION!$C$6:$F$6,MIN(4,COUNTIF(CAPA3_EXPANSION!$D$56:CG$56,"&gt;="&amp;31)))*CAPA3_EXPANSION!CG$36)</f>
        <v>3528</v>
      </c>
      <c r="CH38" s="298" t="n">
        <f aca="false">IF(COUNTIF(CAPA3_EXPANSION!$D$56:CH$56,"&gt;="&amp;31)=0,0,SUP_CONTROL!$C$8*IF($B38="V",1,IF($B38="D",(1+SUP_VOLUMEN!$C$26),(1+SUP_VOLUMEN!$C$27)))*INDEX(SUP_C3_EXPANSION!$C$6:$F$6,MIN(4,COUNTIF(CAPA3_EXPANSION!$D$56:CH$56,"&gt;="&amp;31)))*CAPA3_EXPANSION!CH$36)</f>
        <v>3528</v>
      </c>
      <c r="CI38" s="298" t="n">
        <f aca="false">IF(COUNTIF(CAPA3_EXPANSION!$D$56:CI$56,"&gt;="&amp;31)=0,0,SUP_CONTROL!$C$8*IF($B38="V",1,IF($B38="D",(1+SUP_VOLUMEN!$C$26),(1+SUP_VOLUMEN!$C$27)))*INDEX(SUP_C3_EXPANSION!$C$6:$F$6,MIN(4,COUNTIF(CAPA3_EXPANSION!$D$56:CI$56,"&gt;="&amp;31)))*CAPA3_EXPANSION!CI$36)</f>
        <v>3528</v>
      </c>
      <c r="CJ38" s="298" t="n">
        <f aca="false">IF(COUNTIF(CAPA3_EXPANSION!$D$56:CJ$56,"&gt;="&amp;31)=0,0,SUP_CONTROL!$C$8*IF($B38="V",1,IF($B38="D",(1+SUP_VOLUMEN!$C$26),(1+SUP_VOLUMEN!$C$27)))*INDEX(SUP_C3_EXPANSION!$C$6:$F$6,MIN(4,COUNTIF(CAPA3_EXPANSION!$D$56:CJ$56,"&gt;="&amp;31)))*CAPA3_EXPANSION!CJ$36)</f>
        <v>3528</v>
      </c>
      <c r="CK38" s="298" t="n">
        <f aca="false">IF(COUNTIF(CAPA3_EXPANSION!$D$56:CK$56,"&gt;="&amp;31)=0,0,SUP_CONTROL!$C$8*IF($B38="V",1,IF($B38="D",(1+SUP_VOLUMEN!$C$26),(1+SUP_VOLUMEN!$C$27)))*INDEX(SUP_C3_EXPANSION!$C$6:$F$6,MIN(4,COUNTIF(CAPA3_EXPANSION!$D$56:CK$56,"&gt;="&amp;31)))*CAPA3_EXPANSION!CK$36)</f>
        <v>3528</v>
      </c>
      <c r="CL38" s="298" t="n">
        <f aca="false">IF(COUNTIF(CAPA3_EXPANSION!$D$56:CL$56,"&gt;="&amp;31)=0,0,SUP_CONTROL!$C$8*IF($B38="V",1,IF($B38="D",(1+SUP_VOLUMEN!$C$26),(1+SUP_VOLUMEN!$C$27)))*INDEX(SUP_C3_EXPANSION!$C$6:$F$6,MIN(4,COUNTIF(CAPA3_EXPANSION!$D$56:CL$56,"&gt;="&amp;31)))*CAPA3_EXPANSION!CL$36)</f>
        <v>3528</v>
      </c>
      <c r="CM38" s="298" t="n">
        <f aca="false">IF(COUNTIF(CAPA3_EXPANSION!$D$56:CM$56,"&gt;="&amp;31)=0,0,SUP_CONTROL!$C$8*IF($B38="V",1,IF($B38="D",(1+SUP_VOLUMEN!$C$26),(1+SUP_VOLUMEN!$C$27)))*INDEX(SUP_C3_EXPANSION!$C$6:$F$6,MIN(4,COUNTIF(CAPA3_EXPANSION!$D$56:CM$56,"&gt;="&amp;31)))*CAPA3_EXPANSION!CM$36)</f>
        <v>3528</v>
      </c>
      <c r="CN38" s="298" t="n">
        <f aca="false">IF(COUNTIF(CAPA3_EXPANSION!$D$56:CN$56,"&gt;="&amp;31)=0,0,SUP_CONTROL!$C$8*IF($B38="V",1,IF($B38="D",(1+SUP_VOLUMEN!$C$26),(1+SUP_VOLUMEN!$C$27)))*INDEX(SUP_C3_EXPANSION!$C$6:$F$6,MIN(4,COUNTIF(CAPA3_EXPANSION!$D$56:CN$56,"&gt;="&amp;31)))*CAPA3_EXPANSION!CN$36)</f>
        <v>3528</v>
      </c>
      <c r="CO38" s="298" t="n">
        <f aca="false">IF(COUNTIF(CAPA3_EXPANSION!$D$56:CO$56,"&gt;="&amp;31)=0,0,SUP_CONTROL!$C$8*IF($B38="V",1,IF($B38="D",(1+SUP_VOLUMEN!$C$26),(1+SUP_VOLUMEN!$C$27)))*INDEX(SUP_C3_EXPANSION!$C$6:$F$6,MIN(4,COUNTIF(CAPA3_EXPANSION!$D$56:CO$56,"&gt;="&amp;31)))*CAPA3_EXPANSION!CO$36)</f>
        <v>3528</v>
      </c>
      <c r="CP38" s="298" t="n">
        <f aca="false">IF(COUNTIF(CAPA3_EXPANSION!$D$56:CP$56,"&gt;="&amp;31)=0,0,SUP_CONTROL!$C$8*IF($B38="V",1,IF($B38="D",(1+SUP_VOLUMEN!$C$26),(1+SUP_VOLUMEN!$C$27)))*INDEX(SUP_C3_EXPANSION!$C$6:$F$6,MIN(4,COUNTIF(CAPA3_EXPANSION!$D$56:CP$56,"&gt;="&amp;31)))*CAPA3_EXPANSION!CP$36)</f>
        <v>3528</v>
      </c>
      <c r="CQ38" s="298" t="n">
        <f aca="false">IF(COUNTIF(CAPA3_EXPANSION!$D$56:CQ$56,"&gt;="&amp;31)=0,0,SUP_CONTROL!$C$8*IF($B38="V",1,IF($B38="D",(1+SUP_VOLUMEN!$C$26),(1+SUP_VOLUMEN!$C$27)))*INDEX(SUP_C3_EXPANSION!$C$6:$F$6,MIN(4,COUNTIF(CAPA3_EXPANSION!$D$56:CQ$56,"&gt;="&amp;31)))*CAPA3_EXPANSION!CQ$36)</f>
        <v>3528</v>
      </c>
      <c r="CR38" s="298" t="n">
        <f aca="false">IF(COUNTIF(CAPA3_EXPANSION!$D$56:CR$56,"&gt;="&amp;31)=0,0,SUP_CONTROL!$C$8*IF($B38="V",1,IF($B38="D",(1+SUP_VOLUMEN!$C$26),(1+SUP_VOLUMEN!$C$27)))*INDEX(SUP_C3_EXPANSION!$C$6:$F$6,MIN(4,COUNTIF(CAPA3_EXPANSION!$D$56:CR$56,"&gt;="&amp;31)))*CAPA3_EXPANSION!CR$36)</f>
        <v>3528</v>
      </c>
      <c r="CS38" s="298" t="n">
        <f aca="false">IF(COUNTIF(CAPA3_EXPANSION!$D$56:CS$56,"&gt;="&amp;31)=0,0,SUP_CONTROL!$C$8*IF($B38="V",1,IF($B38="D",(1+SUP_VOLUMEN!$C$26),(1+SUP_VOLUMEN!$C$27)))*INDEX(SUP_C3_EXPANSION!$C$6:$F$6,MIN(4,COUNTIF(CAPA3_EXPANSION!$D$56:CS$56,"&gt;="&amp;31)))*CAPA3_EXPANSION!CS$36)</f>
        <v>3528</v>
      </c>
      <c r="CT38" s="298" t="n">
        <f aca="false">IF(COUNTIF(CAPA3_EXPANSION!$D$56:CT$56,"&gt;="&amp;31)=0,0,SUP_CONTROL!$C$8*IF($B38="V",1,IF($B38="D",(1+SUP_VOLUMEN!$C$26),(1+SUP_VOLUMEN!$C$27)))*INDEX(SUP_C3_EXPANSION!$C$6:$F$6,MIN(4,COUNTIF(CAPA3_EXPANSION!$D$56:CT$56,"&gt;="&amp;31)))*CAPA3_EXPANSION!CT$36)</f>
        <v>3528</v>
      </c>
      <c r="CU38" s="298" t="n">
        <f aca="false">IF(COUNTIF(CAPA3_EXPANSION!$D$56:CU$56,"&gt;="&amp;31)=0,0,SUP_CONTROL!$C$8*IF($B38="V",1,IF($B38="D",(1+SUP_VOLUMEN!$C$26),(1+SUP_VOLUMEN!$C$27)))*INDEX(SUP_C3_EXPANSION!$C$6:$F$6,MIN(4,COUNTIF(CAPA3_EXPANSION!$D$56:CU$56,"&gt;="&amp;31)))*CAPA3_EXPANSION!CU$36)</f>
        <v>3528</v>
      </c>
      <c r="CV38" s="298" t="n">
        <f aca="false">IF(COUNTIF(CAPA3_EXPANSION!$D$56:CV$56,"&gt;="&amp;31)=0,0,SUP_CONTROL!$C$8*IF($B38="V",1,IF($B38="D",(1+SUP_VOLUMEN!$C$26),(1+SUP_VOLUMEN!$C$27)))*INDEX(SUP_C3_EXPANSION!$C$6:$F$6,MIN(4,COUNTIF(CAPA3_EXPANSION!$D$56:CV$56,"&gt;="&amp;31)))*CAPA3_EXPANSION!CV$36)</f>
        <v>3528</v>
      </c>
      <c r="CW38" s="298" t="n">
        <f aca="false">IF(COUNTIF(CAPA3_EXPANSION!$D$56:CW$56,"&gt;="&amp;31)=0,0,SUP_CONTROL!$C$8*IF($B38="V",1,IF($B38="D",(1+SUP_VOLUMEN!$C$26),(1+SUP_VOLUMEN!$C$27)))*INDEX(SUP_C3_EXPANSION!$C$6:$F$6,MIN(4,COUNTIF(CAPA3_EXPANSION!$D$56:CW$56,"&gt;="&amp;31)))*CAPA3_EXPANSION!CW$36)</f>
        <v>3528</v>
      </c>
      <c r="CX38" s="298" t="n">
        <f aca="false">IF(COUNTIF(CAPA3_EXPANSION!$D$56:CX$56,"&gt;="&amp;31)=0,0,SUP_CONTROL!$C$8*IF($B38="V",1,IF($B38="D",(1+SUP_VOLUMEN!$C$26),(1+SUP_VOLUMEN!$C$27)))*INDEX(SUP_C3_EXPANSION!$C$6:$F$6,MIN(4,COUNTIF(CAPA3_EXPANSION!$D$56:CX$56,"&gt;="&amp;31)))*CAPA3_EXPANSION!CX$36)</f>
        <v>3528</v>
      </c>
      <c r="CY38" s="298" t="n">
        <f aca="false">IF(COUNTIF(CAPA3_EXPANSION!$D$56:CY$56,"&gt;="&amp;31)=0,0,SUP_CONTROL!$C$8*IF($B38="V",1,IF($B38="D",(1+SUP_VOLUMEN!$C$26),(1+SUP_VOLUMEN!$C$27)))*INDEX(SUP_C3_EXPANSION!$C$6:$F$6,MIN(4,COUNTIF(CAPA3_EXPANSION!$D$56:CY$56,"&gt;="&amp;31)))*CAPA3_EXPANSION!CY$36)</f>
        <v>3528</v>
      </c>
      <c r="CZ38" s="298" t="n">
        <f aca="false">IF(COUNTIF(CAPA3_EXPANSION!$D$56:CZ$56,"&gt;="&amp;31)=0,0,SUP_CONTROL!$C$8*IF($B38="V",1,IF($B38="D",(1+SUP_VOLUMEN!$C$26),(1+SUP_VOLUMEN!$C$27)))*INDEX(SUP_C3_EXPANSION!$C$6:$F$6,MIN(4,COUNTIF(CAPA3_EXPANSION!$D$56:CZ$56,"&gt;="&amp;31)))*CAPA3_EXPANSION!CZ$36)</f>
        <v>3528</v>
      </c>
      <c r="DA38" s="298" t="n">
        <f aca="false">IF(COUNTIF(CAPA3_EXPANSION!$D$56:DA$56,"&gt;="&amp;31)=0,0,SUP_CONTROL!$C$8*IF($B38="V",1,IF($B38="D",(1+SUP_VOLUMEN!$C$26),(1+SUP_VOLUMEN!$C$27)))*INDEX(SUP_C3_EXPANSION!$C$6:$F$6,MIN(4,COUNTIF(CAPA3_EXPANSION!$D$56:DA$56,"&gt;="&amp;31)))*CAPA3_EXPANSION!DA$36)</f>
        <v>3528</v>
      </c>
      <c r="DB38" s="298" t="n">
        <f aca="false">IF(COUNTIF(CAPA3_EXPANSION!$D$56:DB$56,"&gt;="&amp;31)=0,0,SUP_CONTROL!$C$8*IF($B38="V",1,IF($B38="D",(1+SUP_VOLUMEN!$C$26),(1+SUP_VOLUMEN!$C$27)))*INDEX(SUP_C3_EXPANSION!$C$6:$F$6,MIN(4,COUNTIF(CAPA3_EXPANSION!$D$56:DB$56,"&gt;="&amp;31)))*CAPA3_EXPANSION!DB$36)</f>
        <v>3528</v>
      </c>
      <c r="DC38" s="298" t="n">
        <f aca="false">IF(COUNTIF(CAPA3_EXPANSION!$D$56:DC$56,"&gt;="&amp;31)=0,0,SUP_CONTROL!$C$8*IF($B38="V",1,IF($B38="D",(1+SUP_VOLUMEN!$C$26),(1+SUP_VOLUMEN!$C$27)))*INDEX(SUP_C3_EXPANSION!$C$6:$F$6,MIN(4,COUNTIF(CAPA3_EXPANSION!$D$56:DC$56,"&gt;="&amp;31)))*CAPA3_EXPANSION!DC$36)</f>
        <v>3528</v>
      </c>
      <c r="DD38" s="298" t="n">
        <f aca="false">IF(COUNTIF(CAPA3_EXPANSION!$D$56:DD$56,"&gt;="&amp;31)=0,0,SUP_CONTROL!$C$8*IF($B38="V",1,IF($B38="D",(1+SUP_VOLUMEN!$C$26),(1+SUP_VOLUMEN!$C$27)))*INDEX(SUP_C3_EXPANSION!$C$6:$F$6,MIN(4,COUNTIF(CAPA3_EXPANSION!$D$56:DD$56,"&gt;="&amp;31)))*CAPA3_EXPANSION!DD$36)</f>
        <v>3528</v>
      </c>
      <c r="DE38" s="298" t="n">
        <f aca="false">IF(COUNTIF(CAPA3_EXPANSION!$D$56:DE$56,"&gt;="&amp;31)=0,0,SUP_CONTROL!$C$8*IF($B38="V",1,IF($B38="D",(1+SUP_VOLUMEN!$C$26),(1+SUP_VOLUMEN!$C$27)))*INDEX(SUP_C3_EXPANSION!$C$6:$F$6,MIN(4,COUNTIF(CAPA3_EXPANSION!$D$56:DE$56,"&gt;="&amp;31)))*CAPA3_EXPANSION!DE$36)</f>
        <v>3528</v>
      </c>
      <c r="DF38" s="298" t="n">
        <f aca="false">IF(COUNTIF(CAPA3_EXPANSION!$D$56:DF$56,"&gt;="&amp;31)=0,0,SUP_CONTROL!$C$8*IF($B38="V",1,IF($B38="D",(1+SUP_VOLUMEN!$C$26),(1+SUP_VOLUMEN!$C$27)))*INDEX(SUP_C3_EXPANSION!$C$6:$F$6,MIN(4,COUNTIF(CAPA3_EXPANSION!$D$56:DF$56,"&gt;="&amp;31)))*CAPA3_EXPANSION!DF$36)</f>
        <v>3528</v>
      </c>
      <c r="DG38" s="298" t="n">
        <f aca="false">IF(COUNTIF(CAPA3_EXPANSION!$D$56:DG$56,"&gt;="&amp;31)=0,0,SUP_CONTROL!$C$8*IF($B38="V",1,IF($B38="D",(1+SUP_VOLUMEN!$C$26),(1+SUP_VOLUMEN!$C$27)))*INDEX(SUP_C3_EXPANSION!$C$6:$F$6,MIN(4,COUNTIF(CAPA3_EXPANSION!$D$56:DG$56,"&gt;="&amp;31)))*CAPA3_EXPANSION!DG$36)</f>
        <v>3528</v>
      </c>
      <c r="DH38" s="298" t="n">
        <f aca="false">IF(COUNTIF(CAPA3_EXPANSION!$D$56:DH$56,"&gt;="&amp;31)=0,0,SUP_CONTROL!$C$8*IF($B38="V",1,IF($B38="D",(1+SUP_VOLUMEN!$C$26),(1+SUP_VOLUMEN!$C$27)))*INDEX(SUP_C3_EXPANSION!$C$6:$F$6,MIN(4,COUNTIF(CAPA3_EXPANSION!$D$56:DH$56,"&gt;="&amp;31)))*CAPA3_EXPANSION!DH$36)</f>
        <v>3528</v>
      </c>
      <c r="DI38" s="298" t="n">
        <f aca="false">IF(COUNTIF(CAPA3_EXPANSION!$D$56:DI$56,"&gt;="&amp;31)=0,0,SUP_CONTROL!$C$8*IF($B38="V",1,IF($B38="D",(1+SUP_VOLUMEN!$C$26),(1+SUP_VOLUMEN!$C$27)))*INDEX(SUP_C3_EXPANSION!$C$6:$F$6,MIN(4,COUNTIF(CAPA3_EXPANSION!$D$56:DI$56,"&gt;="&amp;31)))*CAPA3_EXPANSION!DI$36)</f>
        <v>3528</v>
      </c>
      <c r="DJ38" s="298" t="n">
        <f aca="false">IF(COUNTIF(CAPA3_EXPANSION!$D$56:DJ$56,"&gt;="&amp;31)=0,0,SUP_CONTROL!$C$8*IF($B38="V",1,IF($B38="D",(1+SUP_VOLUMEN!$C$26),(1+SUP_VOLUMEN!$C$27)))*INDEX(SUP_C3_EXPANSION!$C$6:$F$6,MIN(4,COUNTIF(CAPA3_EXPANSION!$D$56:DJ$56,"&gt;="&amp;31)))*CAPA3_EXPANSION!DJ$36)</f>
        <v>3528</v>
      </c>
      <c r="DK38" s="298" t="n">
        <f aca="false">IF(COUNTIF(CAPA3_EXPANSION!$D$56:DK$56,"&gt;="&amp;31)=0,0,SUP_CONTROL!$C$8*IF($B38="V",1,IF($B38="D",(1+SUP_VOLUMEN!$C$26),(1+SUP_VOLUMEN!$C$27)))*INDEX(SUP_C3_EXPANSION!$C$6:$F$6,MIN(4,COUNTIF(CAPA3_EXPANSION!$D$56:DK$56,"&gt;="&amp;31)))*CAPA3_EXPANSION!DK$36)</f>
        <v>3528</v>
      </c>
      <c r="DL38" s="298" t="n">
        <f aca="false">IF(COUNTIF(CAPA3_EXPANSION!$D$56:DL$56,"&gt;="&amp;31)=0,0,SUP_CONTROL!$C$8*IF($B38="V",1,IF($B38="D",(1+SUP_VOLUMEN!$C$26),(1+SUP_VOLUMEN!$C$27)))*INDEX(SUP_C3_EXPANSION!$C$6:$F$6,MIN(4,COUNTIF(CAPA3_EXPANSION!$D$56:DL$56,"&gt;="&amp;31)))*CAPA3_EXPANSION!DL$36)</f>
        <v>3528</v>
      </c>
      <c r="DM38" s="298" t="n">
        <f aca="false">IF(COUNTIF(CAPA3_EXPANSION!$D$56:DM$56,"&gt;="&amp;31)=0,0,SUP_CONTROL!$C$8*IF($B38="V",1,IF($B38="D",(1+SUP_VOLUMEN!$C$26),(1+SUP_VOLUMEN!$C$27)))*INDEX(SUP_C3_EXPANSION!$C$6:$F$6,MIN(4,COUNTIF(CAPA3_EXPANSION!$D$56:DM$56,"&gt;="&amp;31)))*CAPA3_EXPANSION!DM$36)</f>
        <v>3528</v>
      </c>
      <c r="DN38" s="298" t="n">
        <f aca="false">IF(COUNTIF(CAPA3_EXPANSION!$D$56:DN$56,"&gt;="&amp;31)=0,0,SUP_CONTROL!$C$8*IF($B38="V",1,IF($B38="D",(1+SUP_VOLUMEN!$C$26),(1+SUP_VOLUMEN!$C$27)))*INDEX(SUP_C3_EXPANSION!$C$6:$F$6,MIN(4,COUNTIF(CAPA3_EXPANSION!$D$56:DN$56,"&gt;="&amp;31)))*CAPA3_EXPANSION!DN$36)</f>
        <v>3528</v>
      </c>
      <c r="DO38" s="298" t="n">
        <f aca="false">IF(COUNTIF(CAPA3_EXPANSION!$D$56:DO$56,"&gt;="&amp;31)=0,0,SUP_CONTROL!$C$8*IF($B38="V",1,IF($B38="D",(1+SUP_VOLUMEN!$C$26),(1+SUP_VOLUMEN!$C$27)))*INDEX(SUP_C3_EXPANSION!$C$6:$F$6,MIN(4,COUNTIF(CAPA3_EXPANSION!$D$56:DO$56,"&gt;="&amp;31)))*CAPA3_EXPANSION!DO$36)</f>
        <v>3528</v>
      </c>
      <c r="DP38" s="298" t="n">
        <f aca="false">IF(COUNTIF(CAPA3_EXPANSION!$D$56:DP$56,"&gt;="&amp;31)=0,0,SUP_CONTROL!$C$8*IF($B38="V",1,IF($B38="D",(1+SUP_VOLUMEN!$C$26),(1+SUP_VOLUMEN!$C$27)))*INDEX(SUP_C3_EXPANSION!$C$6:$F$6,MIN(4,COUNTIF(CAPA3_EXPANSION!$D$56:DP$56,"&gt;="&amp;31)))*CAPA3_EXPANSION!DP$36)</f>
        <v>3528</v>
      </c>
      <c r="DQ38" s="298" t="n">
        <f aca="false">IF(COUNTIF(CAPA3_EXPANSION!$D$56:DQ$56,"&gt;="&amp;31)=0,0,SUP_CONTROL!$C$8*IF($B38="V",1,IF($B38="D",(1+SUP_VOLUMEN!$C$26),(1+SUP_VOLUMEN!$C$27)))*INDEX(SUP_C3_EXPANSION!$C$6:$F$6,MIN(4,COUNTIF(CAPA3_EXPANSION!$D$56:DQ$56,"&gt;="&amp;31)))*CAPA3_EXPANSION!DQ$36)</f>
        <v>3528</v>
      </c>
      <c r="DR38" s="298" t="n">
        <f aca="false">IF(COUNTIF(CAPA3_EXPANSION!$D$56:DR$56,"&gt;="&amp;31)=0,0,SUP_CONTROL!$C$8*IF($B38="V",1,IF($B38="D",(1+SUP_VOLUMEN!$C$26),(1+SUP_VOLUMEN!$C$27)))*INDEX(SUP_C3_EXPANSION!$C$6:$F$6,MIN(4,COUNTIF(CAPA3_EXPANSION!$D$56:DR$56,"&gt;="&amp;31)))*CAPA3_EXPANSION!DR$36)</f>
        <v>3528</v>
      </c>
      <c r="DS38" s="298" t="n">
        <f aca="false">IF(COUNTIF(CAPA3_EXPANSION!$D$56:DS$56,"&gt;="&amp;31)=0,0,SUP_CONTROL!$C$8*IF($B38="V",1,IF($B38="D",(1+SUP_VOLUMEN!$C$26),(1+SUP_VOLUMEN!$C$27)))*INDEX(SUP_C3_EXPANSION!$C$6:$F$6,MIN(4,COUNTIF(CAPA3_EXPANSION!$D$56:DS$56,"&gt;="&amp;31)))*CAPA3_EXPANSION!DS$36)</f>
        <v>3528</v>
      </c>
    </row>
    <row r="39" customFormat="false" ht="15" hidden="false" customHeight="true" outlineLevel="0" collapsed="false">
      <c r="A39" s="298" t="n">
        <v>42</v>
      </c>
      <c r="B39" s="497" t="str">
        <f aca="false">SUP_C3_EXPANSION!B51</f>
        <v>V</v>
      </c>
      <c r="C39" s="267" t="n">
        <f aca="false">SUP_C3_EXPANSION!G51</f>
        <v>74</v>
      </c>
      <c r="D39" s="298" t="n">
        <f aca="false">IF(COUNTIF(CAPA3_EXPANSION!$D$56:D$56,"&gt;="&amp;32)=0,0,SUP_CONTROL!$C$8*IF($B39="V",1,IF($B39="D",(1+SUP_VOLUMEN!$C$26),(1+SUP_VOLUMEN!$C$27)))*INDEX(SUP_C3_EXPANSION!$C$6:$F$6,MIN(4,COUNTIF(CAPA3_EXPANSION!$D$56:D$56,"&gt;="&amp;32)))*CAPA3_EXPANSION!D$36)</f>
        <v>0</v>
      </c>
      <c r="E39" s="298" t="n">
        <f aca="false">IF(COUNTIF(CAPA3_EXPANSION!$D$56:E$56,"&gt;="&amp;32)=0,0,SUP_CONTROL!$C$8*IF($B39="V",1,IF($B39="D",(1+SUP_VOLUMEN!$C$26),(1+SUP_VOLUMEN!$C$27)))*INDEX(SUP_C3_EXPANSION!$C$6:$F$6,MIN(4,COUNTIF(CAPA3_EXPANSION!$D$56:E$56,"&gt;="&amp;32)))*CAPA3_EXPANSION!E$36)</f>
        <v>0</v>
      </c>
      <c r="F39" s="298" t="n">
        <f aca="false">IF(COUNTIF(CAPA3_EXPANSION!$D$56:F$56,"&gt;="&amp;32)=0,0,SUP_CONTROL!$C$8*IF($B39="V",1,IF($B39="D",(1+SUP_VOLUMEN!$C$26),(1+SUP_VOLUMEN!$C$27)))*INDEX(SUP_C3_EXPANSION!$C$6:$F$6,MIN(4,COUNTIF(CAPA3_EXPANSION!$D$56:F$56,"&gt;="&amp;32)))*CAPA3_EXPANSION!F$36)</f>
        <v>0</v>
      </c>
      <c r="G39" s="298" t="n">
        <f aca="false">IF(COUNTIF(CAPA3_EXPANSION!$D$56:G$56,"&gt;="&amp;32)=0,0,SUP_CONTROL!$C$8*IF($B39="V",1,IF($B39="D",(1+SUP_VOLUMEN!$C$26),(1+SUP_VOLUMEN!$C$27)))*INDEX(SUP_C3_EXPANSION!$C$6:$F$6,MIN(4,COUNTIF(CAPA3_EXPANSION!$D$56:G$56,"&gt;="&amp;32)))*CAPA3_EXPANSION!G$36)</f>
        <v>0</v>
      </c>
      <c r="H39" s="298" t="n">
        <f aca="false">IF(COUNTIF(CAPA3_EXPANSION!$D$56:H$56,"&gt;="&amp;32)=0,0,SUP_CONTROL!$C$8*IF($B39="V",1,IF($B39="D",(1+SUP_VOLUMEN!$C$26),(1+SUP_VOLUMEN!$C$27)))*INDEX(SUP_C3_EXPANSION!$C$6:$F$6,MIN(4,COUNTIF(CAPA3_EXPANSION!$D$56:H$56,"&gt;="&amp;32)))*CAPA3_EXPANSION!H$36)</f>
        <v>0</v>
      </c>
      <c r="I39" s="298" t="n">
        <f aca="false">IF(COUNTIF(CAPA3_EXPANSION!$D$56:I$56,"&gt;="&amp;32)=0,0,SUP_CONTROL!$C$8*IF($B39="V",1,IF($B39="D",(1+SUP_VOLUMEN!$C$26),(1+SUP_VOLUMEN!$C$27)))*INDEX(SUP_C3_EXPANSION!$C$6:$F$6,MIN(4,COUNTIF(CAPA3_EXPANSION!$D$56:I$56,"&gt;="&amp;32)))*CAPA3_EXPANSION!I$36)</f>
        <v>0</v>
      </c>
      <c r="J39" s="298" t="n">
        <f aca="false">IF(COUNTIF(CAPA3_EXPANSION!$D$56:J$56,"&gt;="&amp;32)=0,0,SUP_CONTROL!$C$8*IF($B39="V",1,IF($B39="D",(1+SUP_VOLUMEN!$C$26),(1+SUP_VOLUMEN!$C$27)))*INDEX(SUP_C3_EXPANSION!$C$6:$F$6,MIN(4,COUNTIF(CAPA3_EXPANSION!$D$56:J$56,"&gt;="&amp;32)))*CAPA3_EXPANSION!J$36)</f>
        <v>0</v>
      </c>
      <c r="K39" s="298" t="n">
        <f aca="false">IF(COUNTIF(CAPA3_EXPANSION!$D$56:K$56,"&gt;="&amp;32)=0,0,SUP_CONTROL!$C$8*IF($B39="V",1,IF($B39="D",(1+SUP_VOLUMEN!$C$26),(1+SUP_VOLUMEN!$C$27)))*INDEX(SUP_C3_EXPANSION!$C$6:$F$6,MIN(4,COUNTIF(CAPA3_EXPANSION!$D$56:K$56,"&gt;="&amp;32)))*CAPA3_EXPANSION!K$36)</f>
        <v>0</v>
      </c>
      <c r="L39" s="298" t="n">
        <f aca="false">IF(COUNTIF(CAPA3_EXPANSION!$D$56:L$56,"&gt;="&amp;32)=0,0,SUP_CONTROL!$C$8*IF($B39="V",1,IF($B39="D",(1+SUP_VOLUMEN!$C$26),(1+SUP_VOLUMEN!$C$27)))*INDEX(SUP_C3_EXPANSION!$C$6:$F$6,MIN(4,COUNTIF(CAPA3_EXPANSION!$D$56:L$56,"&gt;="&amp;32)))*CAPA3_EXPANSION!L$36)</f>
        <v>0</v>
      </c>
      <c r="M39" s="298" t="n">
        <f aca="false">IF(COUNTIF(CAPA3_EXPANSION!$D$56:M$56,"&gt;="&amp;32)=0,0,SUP_CONTROL!$C$8*IF($B39="V",1,IF($B39="D",(1+SUP_VOLUMEN!$C$26),(1+SUP_VOLUMEN!$C$27)))*INDEX(SUP_C3_EXPANSION!$C$6:$F$6,MIN(4,COUNTIF(CAPA3_EXPANSION!$D$56:M$56,"&gt;="&amp;32)))*CAPA3_EXPANSION!M$36)</f>
        <v>0</v>
      </c>
      <c r="N39" s="298" t="n">
        <f aca="false">IF(COUNTIF(CAPA3_EXPANSION!$D$56:N$56,"&gt;="&amp;32)=0,0,SUP_CONTROL!$C$8*IF($B39="V",1,IF($B39="D",(1+SUP_VOLUMEN!$C$26),(1+SUP_VOLUMEN!$C$27)))*INDEX(SUP_C3_EXPANSION!$C$6:$F$6,MIN(4,COUNTIF(CAPA3_EXPANSION!$D$56:N$56,"&gt;="&amp;32)))*CAPA3_EXPANSION!N$36)</f>
        <v>0</v>
      </c>
      <c r="O39" s="298" t="n">
        <f aca="false">IF(COUNTIF(CAPA3_EXPANSION!$D$56:O$56,"&gt;="&amp;32)=0,0,SUP_CONTROL!$C$8*IF($B39="V",1,IF($B39="D",(1+SUP_VOLUMEN!$C$26),(1+SUP_VOLUMEN!$C$27)))*INDEX(SUP_C3_EXPANSION!$C$6:$F$6,MIN(4,COUNTIF(CAPA3_EXPANSION!$D$56:O$56,"&gt;="&amp;32)))*CAPA3_EXPANSION!O$36)</f>
        <v>0</v>
      </c>
      <c r="P39" s="298" t="n">
        <f aca="false">IF(COUNTIF(CAPA3_EXPANSION!$D$56:P$56,"&gt;="&amp;32)=0,0,SUP_CONTROL!$C$8*IF($B39="V",1,IF($B39="D",(1+SUP_VOLUMEN!$C$26),(1+SUP_VOLUMEN!$C$27)))*INDEX(SUP_C3_EXPANSION!$C$6:$F$6,MIN(4,COUNTIF(CAPA3_EXPANSION!$D$56:P$56,"&gt;="&amp;32)))*CAPA3_EXPANSION!P$36)</f>
        <v>0</v>
      </c>
      <c r="Q39" s="298" t="n">
        <f aca="false">IF(COUNTIF(CAPA3_EXPANSION!$D$56:Q$56,"&gt;="&amp;32)=0,0,SUP_CONTROL!$C$8*IF($B39="V",1,IF($B39="D",(1+SUP_VOLUMEN!$C$26),(1+SUP_VOLUMEN!$C$27)))*INDEX(SUP_C3_EXPANSION!$C$6:$F$6,MIN(4,COUNTIF(CAPA3_EXPANSION!$D$56:Q$56,"&gt;="&amp;32)))*CAPA3_EXPANSION!Q$36)</f>
        <v>0</v>
      </c>
      <c r="R39" s="298" t="n">
        <f aca="false">IF(COUNTIF(CAPA3_EXPANSION!$D$56:R$56,"&gt;="&amp;32)=0,0,SUP_CONTROL!$C$8*IF($B39="V",1,IF($B39="D",(1+SUP_VOLUMEN!$C$26),(1+SUP_VOLUMEN!$C$27)))*INDEX(SUP_C3_EXPANSION!$C$6:$F$6,MIN(4,COUNTIF(CAPA3_EXPANSION!$D$56:R$56,"&gt;="&amp;32)))*CAPA3_EXPANSION!R$36)</f>
        <v>0</v>
      </c>
      <c r="S39" s="298" t="n">
        <f aca="false">IF(COUNTIF(CAPA3_EXPANSION!$D$56:S$56,"&gt;="&amp;32)=0,0,SUP_CONTROL!$C$8*IF($B39="V",1,IF($B39="D",(1+SUP_VOLUMEN!$C$26),(1+SUP_VOLUMEN!$C$27)))*INDEX(SUP_C3_EXPANSION!$C$6:$F$6,MIN(4,COUNTIF(CAPA3_EXPANSION!$D$56:S$56,"&gt;="&amp;32)))*CAPA3_EXPANSION!S$36)</f>
        <v>0</v>
      </c>
      <c r="T39" s="298" t="n">
        <f aca="false">IF(COUNTIF(CAPA3_EXPANSION!$D$56:T$56,"&gt;="&amp;32)=0,0,SUP_CONTROL!$C$8*IF($B39="V",1,IF($B39="D",(1+SUP_VOLUMEN!$C$26),(1+SUP_VOLUMEN!$C$27)))*INDEX(SUP_C3_EXPANSION!$C$6:$F$6,MIN(4,COUNTIF(CAPA3_EXPANSION!$D$56:T$56,"&gt;="&amp;32)))*CAPA3_EXPANSION!T$36)</f>
        <v>0</v>
      </c>
      <c r="U39" s="298" t="n">
        <f aca="false">IF(COUNTIF(CAPA3_EXPANSION!$D$56:U$56,"&gt;="&amp;32)=0,0,SUP_CONTROL!$C$8*IF($B39="V",1,IF($B39="D",(1+SUP_VOLUMEN!$C$26),(1+SUP_VOLUMEN!$C$27)))*INDEX(SUP_C3_EXPANSION!$C$6:$F$6,MIN(4,COUNTIF(CAPA3_EXPANSION!$D$56:U$56,"&gt;="&amp;32)))*CAPA3_EXPANSION!U$36)</f>
        <v>0</v>
      </c>
      <c r="V39" s="298" t="n">
        <f aca="false">IF(COUNTIF(CAPA3_EXPANSION!$D$56:V$56,"&gt;="&amp;32)=0,0,SUP_CONTROL!$C$8*IF($B39="V",1,IF($B39="D",(1+SUP_VOLUMEN!$C$26),(1+SUP_VOLUMEN!$C$27)))*INDEX(SUP_C3_EXPANSION!$C$6:$F$6,MIN(4,COUNTIF(CAPA3_EXPANSION!$D$56:V$56,"&gt;="&amp;32)))*CAPA3_EXPANSION!V$36)</f>
        <v>0</v>
      </c>
      <c r="W39" s="298" t="n">
        <f aca="false">IF(COUNTIF(CAPA3_EXPANSION!$D$56:W$56,"&gt;="&amp;32)=0,0,SUP_CONTROL!$C$8*IF($B39="V",1,IF($B39="D",(1+SUP_VOLUMEN!$C$26),(1+SUP_VOLUMEN!$C$27)))*INDEX(SUP_C3_EXPANSION!$C$6:$F$6,MIN(4,COUNTIF(CAPA3_EXPANSION!$D$56:W$56,"&gt;="&amp;32)))*CAPA3_EXPANSION!W$36)</f>
        <v>0</v>
      </c>
      <c r="X39" s="298" t="n">
        <f aca="false">IF(COUNTIF(CAPA3_EXPANSION!$D$56:X$56,"&gt;="&amp;32)=0,0,SUP_CONTROL!$C$8*IF($B39="V",1,IF($B39="D",(1+SUP_VOLUMEN!$C$26),(1+SUP_VOLUMEN!$C$27)))*INDEX(SUP_C3_EXPANSION!$C$6:$F$6,MIN(4,COUNTIF(CAPA3_EXPANSION!$D$56:X$56,"&gt;="&amp;32)))*CAPA3_EXPANSION!X$36)</f>
        <v>0</v>
      </c>
      <c r="Y39" s="298" t="n">
        <f aca="false">IF(COUNTIF(CAPA3_EXPANSION!$D$56:Y$56,"&gt;="&amp;32)=0,0,SUP_CONTROL!$C$8*IF($B39="V",1,IF($B39="D",(1+SUP_VOLUMEN!$C$26),(1+SUP_VOLUMEN!$C$27)))*INDEX(SUP_C3_EXPANSION!$C$6:$F$6,MIN(4,COUNTIF(CAPA3_EXPANSION!$D$56:Y$56,"&gt;="&amp;32)))*CAPA3_EXPANSION!Y$36)</f>
        <v>0</v>
      </c>
      <c r="Z39" s="298" t="n">
        <f aca="false">IF(COUNTIF(CAPA3_EXPANSION!$D$56:Z$56,"&gt;="&amp;32)=0,0,SUP_CONTROL!$C$8*IF($B39="V",1,IF($B39="D",(1+SUP_VOLUMEN!$C$26),(1+SUP_VOLUMEN!$C$27)))*INDEX(SUP_C3_EXPANSION!$C$6:$F$6,MIN(4,COUNTIF(CAPA3_EXPANSION!$D$56:Z$56,"&gt;="&amp;32)))*CAPA3_EXPANSION!Z$36)</f>
        <v>0</v>
      </c>
      <c r="AA39" s="298" t="n">
        <f aca="false">IF(COUNTIF(CAPA3_EXPANSION!$D$56:AA$56,"&gt;="&amp;32)=0,0,SUP_CONTROL!$C$8*IF($B39="V",1,IF($B39="D",(1+SUP_VOLUMEN!$C$26),(1+SUP_VOLUMEN!$C$27)))*INDEX(SUP_C3_EXPANSION!$C$6:$F$6,MIN(4,COUNTIF(CAPA3_EXPANSION!$D$56:AA$56,"&gt;="&amp;32)))*CAPA3_EXPANSION!AA$36)</f>
        <v>0</v>
      </c>
      <c r="AB39" s="298" t="n">
        <f aca="false">IF(COUNTIF(CAPA3_EXPANSION!$D$56:AB$56,"&gt;="&amp;32)=0,0,SUP_CONTROL!$C$8*IF($B39="V",1,IF($B39="D",(1+SUP_VOLUMEN!$C$26),(1+SUP_VOLUMEN!$C$27)))*INDEX(SUP_C3_EXPANSION!$C$6:$F$6,MIN(4,COUNTIF(CAPA3_EXPANSION!$D$56:AB$56,"&gt;="&amp;32)))*CAPA3_EXPANSION!AB$36)</f>
        <v>0</v>
      </c>
      <c r="AC39" s="298" t="n">
        <f aca="false">IF(COUNTIF(CAPA3_EXPANSION!$D$56:AC$56,"&gt;="&amp;32)=0,0,SUP_CONTROL!$C$8*IF($B39="V",1,IF($B39="D",(1+SUP_VOLUMEN!$C$26),(1+SUP_VOLUMEN!$C$27)))*INDEX(SUP_C3_EXPANSION!$C$6:$F$6,MIN(4,COUNTIF(CAPA3_EXPANSION!$D$56:AC$56,"&gt;="&amp;32)))*CAPA3_EXPANSION!AC$36)</f>
        <v>0</v>
      </c>
      <c r="AD39" s="298" t="n">
        <f aca="false">IF(COUNTIF(CAPA3_EXPANSION!$D$56:AD$56,"&gt;="&amp;32)=0,0,SUP_CONTROL!$C$8*IF($B39="V",1,IF($B39="D",(1+SUP_VOLUMEN!$C$26),(1+SUP_VOLUMEN!$C$27)))*INDEX(SUP_C3_EXPANSION!$C$6:$F$6,MIN(4,COUNTIF(CAPA3_EXPANSION!$D$56:AD$56,"&gt;="&amp;32)))*CAPA3_EXPANSION!AD$36)</f>
        <v>0</v>
      </c>
      <c r="AE39" s="298" t="n">
        <f aca="false">IF(COUNTIF(CAPA3_EXPANSION!$D$56:AE$56,"&gt;="&amp;32)=0,0,SUP_CONTROL!$C$8*IF($B39="V",1,IF($B39="D",(1+SUP_VOLUMEN!$C$26),(1+SUP_VOLUMEN!$C$27)))*INDEX(SUP_C3_EXPANSION!$C$6:$F$6,MIN(4,COUNTIF(CAPA3_EXPANSION!$D$56:AE$56,"&gt;="&amp;32)))*CAPA3_EXPANSION!AE$36)</f>
        <v>0</v>
      </c>
      <c r="AF39" s="298" t="n">
        <f aca="false">IF(COUNTIF(CAPA3_EXPANSION!$D$56:AF$56,"&gt;="&amp;32)=0,0,SUP_CONTROL!$C$8*IF($B39="V",1,IF($B39="D",(1+SUP_VOLUMEN!$C$26),(1+SUP_VOLUMEN!$C$27)))*INDEX(SUP_C3_EXPANSION!$C$6:$F$6,MIN(4,COUNTIF(CAPA3_EXPANSION!$D$56:AF$56,"&gt;="&amp;32)))*CAPA3_EXPANSION!AF$36)</f>
        <v>0</v>
      </c>
      <c r="AG39" s="298" t="n">
        <f aca="false">IF(COUNTIF(CAPA3_EXPANSION!$D$56:AG$56,"&gt;="&amp;32)=0,0,SUP_CONTROL!$C$8*IF($B39="V",1,IF($B39="D",(1+SUP_VOLUMEN!$C$26),(1+SUP_VOLUMEN!$C$27)))*INDEX(SUP_C3_EXPANSION!$C$6:$F$6,MIN(4,COUNTIF(CAPA3_EXPANSION!$D$56:AG$56,"&gt;="&amp;32)))*CAPA3_EXPANSION!AG$36)</f>
        <v>0</v>
      </c>
      <c r="AH39" s="298" t="n">
        <f aca="false">IF(COUNTIF(CAPA3_EXPANSION!$D$56:AH$56,"&gt;="&amp;32)=0,0,SUP_CONTROL!$C$8*IF($B39="V",1,IF($B39="D",(1+SUP_VOLUMEN!$C$26),(1+SUP_VOLUMEN!$C$27)))*INDEX(SUP_C3_EXPANSION!$C$6:$F$6,MIN(4,COUNTIF(CAPA3_EXPANSION!$D$56:AH$56,"&gt;="&amp;32)))*CAPA3_EXPANSION!AH$36)</f>
        <v>0</v>
      </c>
      <c r="AI39" s="298" t="n">
        <f aca="false">IF(COUNTIF(CAPA3_EXPANSION!$D$56:AI$56,"&gt;="&amp;32)=0,0,SUP_CONTROL!$C$8*IF($B39="V",1,IF($B39="D",(1+SUP_VOLUMEN!$C$26),(1+SUP_VOLUMEN!$C$27)))*INDEX(SUP_C3_EXPANSION!$C$6:$F$6,MIN(4,COUNTIF(CAPA3_EXPANSION!$D$56:AI$56,"&gt;="&amp;32)))*CAPA3_EXPANSION!AI$36)</f>
        <v>0</v>
      </c>
      <c r="AJ39" s="298" t="n">
        <f aca="false">IF(COUNTIF(CAPA3_EXPANSION!$D$56:AJ$56,"&gt;="&amp;32)=0,0,SUP_CONTROL!$C$8*IF($B39="V",1,IF($B39="D",(1+SUP_VOLUMEN!$C$26),(1+SUP_VOLUMEN!$C$27)))*INDEX(SUP_C3_EXPANSION!$C$6:$F$6,MIN(4,COUNTIF(CAPA3_EXPANSION!$D$56:AJ$56,"&gt;="&amp;32)))*CAPA3_EXPANSION!AJ$36)</f>
        <v>0</v>
      </c>
      <c r="AK39" s="298" t="n">
        <f aca="false">IF(COUNTIF(CAPA3_EXPANSION!$D$56:AK$56,"&gt;="&amp;32)=0,0,SUP_CONTROL!$C$8*IF($B39="V",1,IF($B39="D",(1+SUP_VOLUMEN!$C$26),(1+SUP_VOLUMEN!$C$27)))*INDEX(SUP_C3_EXPANSION!$C$6:$F$6,MIN(4,COUNTIF(CAPA3_EXPANSION!$D$56:AK$56,"&gt;="&amp;32)))*CAPA3_EXPANSION!AK$36)</f>
        <v>0</v>
      </c>
      <c r="AL39" s="298" t="n">
        <f aca="false">IF(COUNTIF(CAPA3_EXPANSION!$D$56:AL$56,"&gt;="&amp;32)=0,0,SUP_CONTROL!$C$8*IF($B39="V",1,IF($B39="D",(1+SUP_VOLUMEN!$C$26),(1+SUP_VOLUMEN!$C$27)))*INDEX(SUP_C3_EXPANSION!$C$6:$F$6,MIN(4,COUNTIF(CAPA3_EXPANSION!$D$56:AL$56,"&gt;="&amp;32)))*CAPA3_EXPANSION!AL$36)</f>
        <v>0</v>
      </c>
      <c r="AM39" s="298" t="n">
        <f aca="false">IF(COUNTIF(CAPA3_EXPANSION!$D$56:AM$56,"&gt;="&amp;32)=0,0,SUP_CONTROL!$C$8*IF($B39="V",1,IF($B39="D",(1+SUP_VOLUMEN!$C$26),(1+SUP_VOLUMEN!$C$27)))*INDEX(SUP_C3_EXPANSION!$C$6:$F$6,MIN(4,COUNTIF(CAPA3_EXPANSION!$D$56:AM$56,"&gt;="&amp;32)))*CAPA3_EXPANSION!AM$36)</f>
        <v>0</v>
      </c>
      <c r="AN39" s="298" t="n">
        <f aca="false">IF(COUNTIF(CAPA3_EXPANSION!$D$56:AN$56,"&gt;="&amp;32)=0,0,SUP_CONTROL!$C$8*IF($B39="V",1,IF($B39="D",(1+SUP_VOLUMEN!$C$26),(1+SUP_VOLUMEN!$C$27)))*INDEX(SUP_C3_EXPANSION!$C$6:$F$6,MIN(4,COUNTIF(CAPA3_EXPANSION!$D$56:AN$56,"&gt;="&amp;32)))*CAPA3_EXPANSION!AN$36)</f>
        <v>0</v>
      </c>
      <c r="AO39" s="298" t="n">
        <f aca="false">IF(COUNTIF(CAPA3_EXPANSION!$D$56:AO$56,"&gt;="&amp;32)=0,0,SUP_CONTROL!$C$8*IF($B39="V",1,IF($B39="D",(1+SUP_VOLUMEN!$C$26),(1+SUP_VOLUMEN!$C$27)))*INDEX(SUP_C3_EXPANSION!$C$6:$F$6,MIN(4,COUNTIF(CAPA3_EXPANSION!$D$56:AO$56,"&gt;="&amp;32)))*CAPA3_EXPANSION!AO$36)</f>
        <v>0</v>
      </c>
      <c r="AP39" s="298" t="n">
        <f aca="false">IF(COUNTIF(CAPA3_EXPANSION!$D$56:AP$56,"&gt;="&amp;32)=0,0,SUP_CONTROL!$C$8*IF($B39="V",1,IF($B39="D",(1+SUP_VOLUMEN!$C$26),(1+SUP_VOLUMEN!$C$27)))*INDEX(SUP_C3_EXPANSION!$C$6:$F$6,MIN(4,COUNTIF(CAPA3_EXPANSION!$D$56:AP$56,"&gt;="&amp;32)))*CAPA3_EXPANSION!AP$36)</f>
        <v>0</v>
      </c>
      <c r="AQ39" s="298" t="n">
        <f aca="false">IF(COUNTIF(CAPA3_EXPANSION!$D$56:AQ$56,"&gt;="&amp;32)=0,0,SUP_CONTROL!$C$8*IF($B39="V",1,IF($B39="D",(1+SUP_VOLUMEN!$C$26),(1+SUP_VOLUMEN!$C$27)))*INDEX(SUP_C3_EXPANSION!$C$6:$F$6,MIN(4,COUNTIF(CAPA3_EXPANSION!$D$56:AQ$56,"&gt;="&amp;32)))*CAPA3_EXPANSION!AQ$36)</f>
        <v>0</v>
      </c>
      <c r="AR39" s="298" t="n">
        <f aca="false">IF(COUNTIF(CAPA3_EXPANSION!$D$56:AR$56,"&gt;="&amp;32)=0,0,SUP_CONTROL!$C$8*IF($B39="V",1,IF($B39="D",(1+SUP_VOLUMEN!$C$26),(1+SUP_VOLUMEN!$C$27)))*INDEX(SUP_C3_EXPANSION!$C$6:$F$6,MIN(4,COUNTIF(CAPA3_EXPANSION!$D$56:AR$56,"&gt;="&amp;32)))*CAPA3_EXPANSION!AR$36)</f>
        <v>0</v>
      </c>
      <c r="AS39" s="298" t="n">
        <f aca="false">IF(COUNTIF(CAPA3_EXPANSION!$D$56:AS$56,"&gt;="&amp;32)=0,0,SUP_CONTROL!$C$8*IF($B39="V",1,IF($B39="D",(1+SUP_VOLUMEN!$C$26),(1+SUP_VOLUMEN!$C$27)))*INDEX(SUP_C3_EXPANSION!$C$6:$F$6,MIN(4,COUNTIF(CAPA3_EXPANSION!$D$56:AS$56,"&gt;="&amp;32)))*CAPA3_EXPANSION!AS$36)</f>
        <v>0</v>
      </c>
      <c r="AT39" s="298" t="n">
        <f aca="false">IF(COUNTIF(CAPA3_EXPANSION!$D$56:AT$56,"&gt;="&amp;32)=0,0,SUP_CONTROL!$C$8*IF($B39="V",1,IF($B39="D",(1+SUP_VOLUMEN!$C$26),(1+SUP_VOLUMEN!$C$27)))*INDEX(SUP_C3_EXPANSION!$C$6:$F$6,MIN(4,COUNTIF(CAPA3_EXPANSION!$D$56:AT$56,"&gt;="&amp;32)))*CAPA3_EXPANSION!AT$36)</f>
        <v>0</v>
      </c>
      <c r="AU39" s="298" t="n">
        <f aca="false">IF(COUNTIF(CAPA3_EXPANSION!$D$56:AU$56,"&gt;="&amp;32)=0,0,SUP_CONTROL!$C$8*IF($B39="V",1,IF($B39="D",(1+SUP_VOLUMEN!$C$26),(1+SUP_VOLUMEN!$C$27)))*INDEX(SUP_C3_EXPANSION!$C$6:$F$6,MIN(4,COUNTIF(CAPA3_EXPANSION!$D$56:AU$56,"&gt;="&amp;32)))*CAPA3_EXPANSION!AU$36)</f>
        <v>0</v>
      </c>
      <c r="AV39" s="298" t="n">
        <f aca="false">IF(COUNTIF(CAPA3_EXPANSION!$D$56:AV$56,"&gt;="&amp;32)=0,0,SUP_CONTROL!$C$8*IF($B39="V",1,IF($B39="D",(1+SUP_VOLUMEN!$C$26),(1+SUP_VOLUMEN!$C$27)))*INDEX(SUP_C3_EXPANSION!$C$6:$F$6,MIN(4,COUNTIF(CAPA3_EXPANSION!$D$56:AV$56,"&gt;="&amp;32)))*CAPA3_EXPANSION!AV$36)</f>
        <v>0</v>
      </c>
      <c r="AW39" s="298" t="n">
        <f aca="false">IF(COUNTIF(CAPA3_EXPANSION!$D$56:AW$56,"&gt;="&amp;32)=0,0,SUP_CONTROL!$C$8*IF($B39="V",1,IF($B39="D",(1+SUP_VOLUMEN!$C$26),(1+SUP_VOLUMEN!$C$27)))*INDEX(SUP_C3_EXPANSION!$C$6:$F$6,MIN(4,COUNTIF(CAPA3_EXPANSION!$D$56:AW$56,"&gt;="&amp;32)))*CAPA3_EXPANSION!AW$36)</f>
        <v>0</v>
      </c>
      <c r="AX39" s="298" t="n">
        <f aca="false">IF(COUNTIF(CAPA3_EXPANSION!$D$56:AX$56,"&gt;="&amp;32)=0,0,SUP_CONTROL!$C$8*IF($B39="V",1,IF($B39="D",(1+SUP_VOLUMEN!$C$26),(1+SUP_VOLUMEN!$C$27)))*INDEX(SUP_C3_EXPANSION!$C$6:$F$6,MIN(4,COUNTIF(CAPA3_EXPANSION!$D$56:AX$56,"&gt;="&amp;32)))*CAPA3_EXPANSION!AX$36)</f>
        <v>0</v>
      </c>
      <c r="AY39" s="298" t="n">
        <f aca="false">IF(COUNTIF(CAPA3_EXPANSION!$D$56:AY$56,"&gt;="&amp;32)=0,0,SUP_CONTROL!$C$8*IF($B39="V",1,IF($B39="D",(1+SUP_VOLUMEN!$C$26),(1+SUP_VOLUMEN!$C$27)))*INDEX(SUP_C3_EXPANSION!$C$6:$F$6,MIN(4,COUNTIF(CAPA3_EXPANSION!$D$56:AY$56,"&gt;="&amp;32)))*CAPA3_EXPANSION!AY$36)</f>
        <v>0</v>
      </c>
      <c r="AZ39" s="298" t="n">
        <f aca="false">IF(COUNTIF(CAPA3_EXPANSION!$D$56:AZ$56,"&gt;="&amp;32)=0,0,SUP_CONTROL!$C$8*IF($B39="V",1,IF($B39="D",(1+SUP_VOLUMEN!$C$26),(1+SUP_VOLUMEN!$C$27)))*INDEX(SUP_C3_EXPANSION!$C$6:$F$6,MIN(4,COUNTIF(CAPA3_EXPANSION!$D$56:AZ$56,"&gt;="&amp;32)))*CAPA3_EXPANSION!AZ$36)</f>
        <v>0</v>
      </c>
      <c r="BA39" s="298" t="n">
        <f aca="false">IF(COUNTIF(CAPA3_EXPANSION!$D$56:BA$56,"&gt;="&amp;32)=0,0,SUP_CONTROL!$C$8*IF($B39="V",1,IF($B39="D",(1+SUP_VOLUMEN!$C$26),(1+SUP_VOLUMEN!$C$27)))*INDEX(SUP_C3_EXPANSION!$C$6:$F$6,MIN(4,COUNTIF(CAPA3_EXPANSION!$D$56:BA$56,"&gt;="&amp;32)))*CAPA3_EXPANSION!BA$36)</f>
        <v>0</v>
      </c>
      <c r="BB39" s="298" t="n">
        <f aca="false">IF(COUNTIF(CAPA3_EXPANSION!$D$56:BB$56,"&gt;="&amp;32)=0,0,SUP_CONTROL!$C$8*IF($B39="V",1,IF($B39="D",(1+SUP_VOLUMEN!$C$26),(1+SUP_VOLUMEN!$C$27)))*INDEX(SUP_C3_EXPANSION!$C$6:$F$6,MIN(4,COUNTIF(CAPA3_EXPANSION!$D$56:BB$56,"&gt;="&amp;32)))*CAPA3_EXPANSION!BB$36)</f>
        <v>0</v>
      </c>
      <c r="BC39" s="298" t="n">
        <f aca="false">IF(COUNTIF(CAPA3_EXPANSION!$D$56:BC$56,"&gt;="&amp;32)=0,0,SUP_CONTROL!$C$8*IF($B39="V",1,IF($B39="D",(1+SUP_VOLUMEN!$C$26),(1+SUP_VOLUMEN!$C$27)))*INDEX(SUP_C3_EXPANSION!$C$6:$F$6,MIN(4,COUNTIF(CAPA3_EXPANSION!$D$56:BC$56,"&gt;="&amp;32)))*CAPA3_EXPANSION!BC$36)</f>
        <v>0</v>
      </c>
      <c r="BD39" s="298" t="n">
        <f aca="false">IF(COUNTIF(CAPA3_EXPANSION!$D$56:BD$56,"&gt;="&amp;32)=0,0,SUP_CONTROL!$C$8*IF($B39="V",1,IF($B39="D",(1+SUP_VOLUMEN!$C$26),(1+SUP_VOLUMEN!$C$27)))*INDEX(SUP_C3_EXPANSION!$C$6:$F$6,MIN(4,COUNTIF(CAPA3_EXPANSION!$D$56:BD$56,"&gt;="&amp;32)))*CAPA3_EXPANSION!BD$36)</f>
        <v>0</v>
      </c>
      <c r="BE39" s="298" t="n">
        <f aca="false">IF(COUNTIF(CAPA3_EXPANSION!$D$56:BE$56,"&gt;="&amp;32)=0,0,SUP_CONTROL!$C$8*IF($B39="V",1,IF($B39="D",(1+SUP_VOLUMEN!$C$26),(1+SUP_VOLUMEN!$C$27)))*INDEX(SUP_C3_EXPANSION!$C$6:$F$6,MIN(4,COUNTIF(CAPA3_EXPANSION!$D$56:BE$56,"&gt;="&amp;32)))*CAPA3_EXPANSION!BE$36)</f>
        <v>0</v>
      </c>
      <c r="BF39" s="298" t="n">
        <f aca="false">IF(COUNTIF(CAPA3_EXPANSION!$D$56:BF$56,"&gt;="&amp;32)=0,0,SUP_CONTROL!$C$8*IF($B39="V",1,IF($B39="D",(1+SUP_VOLUMEN!$C$26),(1+SUP_VOLUMEN!$C$27)))*INDEX(SUP_C3_EXPANSION!$C$6:$F$6,MIN(4,COUNTIF(CAPA3_EXPANSION!$D$56:BF$56,"&gt;="&amp;32)))*CAPA3_EXPANSION!BF$36)</f>
        <v>0</v>
      </c>
      <c r="BG39" s="298" t="n">
        <f aca="false">IF(COUNTIF(CAPA3_EXPANSION!$D$56:BG$56,"&gt;="&amp;32)=0,0,SUP_CONTROL!$C$8*IF($B39="V",1,IF($B39="D",(1+SUP_VOLUMEN!$C$26),(1+SUP_VOLUMEN!$C$27)))*INDEX(SUP_C3_EXPANSION!$C$6:$F$6,MIN(4,COUNTIF(CAPA3_EXPANSION!$D$56:BG$56,"&gt;="&amp;32)))*CAPA3_EXPANSION!BG$36)</f>
        <v>0</v>
      </c>
      <c r="BH39" s="298" t="n">
        <f aca="false">IF(COUNTIF(CAPA3_EXPANSION!$D$56:BH$56,"&gt;="&amp;32)=0,0,SUP_CONTROL!$C$8*IF($B39="V",1,IF($B39="D",(1+SUP_VOLUMEN!$C$26),(1+SUP_VOLUMEN!$C$27)))*INDEX(SUP_C3_EXPANSION!$C$6:$F$6,MIN(4,COUNTIF(CAPA3_EXPANSION!$D$56:BH$56,"&gt;="&amp;32)))*CAPA3_EXPANSION!BH$36)</f>
        <v>0</v>
      </c>
      <c r="BI39" s="298" t="n">
        <f aca="false">IF(COUNTIF(CAPA3_EXPANSION!$D$56:BI$56,"&gt;="&amp;32)=0,0,SUP_CONTROL!$C$8*IF($B39="V",1,IF($B39="D",(1+SUP_VOLUMEN!$C$26),(1+SUP_VOLUMEN!$C$27)))*INDEX(SUP_C3_EXPANSION!$C$6:$F$6,MIN(4,COUNTIF(CAPA3_EXPANSION!$D$56:BI$56,"&gt;="&amp;32)))*CAPA3_EXPANSION!BI$36)</f>
        <v>0</v>
      </c>
      <c r="BJ39" s="298" t="n">
        <f aca="false">IF(COUNTIF(CAPA3_EXPANSION!$D$56:BJ$56,"&gt;="&amp;32)=0,0,SUP_CONTROL!$C$8*IF($B39="V",1,IF($B39="D",(1+SUP_VOLUMEN!$C$26),(1+SUP_VOLUMEN!$C$27)))*INDEX(SUP_C3_EXPANSION!$C$6:$F$6,MIN(4,COUNTIF(CAPA3_EXPANSION!$D$56:BJ$56,"&gt;="&amp;32)))*CAPA3_EXPANSION!BJ$36)</f>
        <v>0</v>
      </c>
      <c r="BK39" s="298" t="n">
        <f aca="false">IF(COUNTIF(CAPA3_EXPANSION!$D$56:BK$56,"&gt;="&amp;32)=0,0,SUP_CONTROL!$C$8*IF($B39="V",1,IF($B39="D",(1+SUP_VOLUMEN!$C$26),(1+SUP_VOLUMEN!$C$27)))*INDEX(SUP_C3_EXPANSION!$C$6:$F$6,MIN(4,COUNTIF(CAPA3_EXPANSION!$D$56:BK$56,"&gt;="&amp;32)))*CAPA3_EXPANSION!BK$36)</f>
        <v>0</v>
      </c>
      <c r="BL39" s="298" t="n">
        <f aca="false">IF(COUNTIF(CAPA3_EXPANSION!$D$56:BL$56,"&gt;="&amp;32)=0,0,SUP_CONTROL!$C$8*IF($B39="V",1,IF($B39="D",(1+SUP_VOLUMEN!$C$26),(1+SUP_VOLUMEN!$C$27)))*INDEX(SUP_C3_EXPANSION!$C$6:$F$6,MIN(4,COUNTIF(CAPA3_EXPANSION!$D$56:BL$56,"&gt;="&amp;32)))*CAPA3_EXPANSION!BL$36)</f>
        <v>0</v>
      </c>
      <c r="BM39" s="298" t="n">
        <f aca="false">IF(COUNTIF(CAPA3_EXPANSION!$D$56:BM$56,"&gt;="&amp;32)=0,0,SUP_CONTROL!$C$8*IF($B39="V",1,IF($B39="D",(1+SUP_VOLUMEN!$C$26),(1+SUP_VOLUMEN!$C$27)))*INDEX(SUP_C3_EXPANSION!$C$6:$F$6,MIN(4,COUNTIF(CAPA3_EXPANSION!$D$56:BM$56,"&gt;="&amp;32)))*CAPA3_EXPANSION!BM$36)</f>
        <v>0</v>
      </c>
      <c r="BN39" s="298" t="n">
        <f aca="false">IF(COUNTIF(CAPA3_EXPANSION!$D$56:BN$56,"&gt;="&amp;32)=0,0,SUP_CONTROL!$C$8*IF($B39="V",1,IF($B39="D",(1+SUP_VOLUMEN!$C$26),(1+SUP_VOLUMEN!$C$27)))*INDEX(SUP_C3_EXPANSION!$C$6:$F$6,MIN(4,COUNTIF(CAPA3_EXPANSION!$D$56:BN$56,"&gt;="&amp;32)))*CAPA3_EXPANSION!BN$36)</f>
        <v>0</v>
      </c>
      <c r="BO39" s="298" t="n">
        <f aca="false">IF(COUNTIF(CAPA3_EXPANSION!$D$56:BO$56,"&gt;="&amp;32)=0,0,SUP_CONTROL!$C$8*IF($B39="V",1,IF($B39="D",(1+SUP_VOLUMEN!$C$26),(1+SUP_VOLUMEN!$C$27)))*INDEX(SUP_C3_EXPANSION!$C$6:$F$6,MIN(4,COUNTIF(CAPA3_EXPANSION!$D$56:BO$56,"&gt;="&amp;32)))*CAPA3_EXPANSION!BO$36)</f>
        <v>0</v>
      </c>
      <c r="BP39" s="298" t="n">
        <f aca="false">IF(COUNTIF(CAPA3_EXPANSION!$D$56:BP$56,"&gt;="&amp;32)=0,0,SUP_CONTROL!$C$8*IF($B39="V",1,IF($B39="D",(1+SUP_VOLUMEN!$C$26),(1+SUP_VOLUMEN!$C$27)))*INDEX(SUP_C3_EXPANSION!$C$6:$F$6,MIN(4,COUNTIF(CAPA3_EXPANSION!$D$56:BP$56,"&gt;="&amp;32)))*CAPA3_EXPANSION!BP$36)</f>
        <v>0</v>
      </c>
      <c r="BQ39" s="298" t="n">
        <f aca="false">IF(COUNTIF(CAPA3_EXPANSION!$D$56:BQ$56,"&gt;="&amp;32)=0,0,SUP_CONTROL!$C$8*IF($B39="V",1,IF($B39="D",(1+SUP_VOLUMEN!$C$26),(1+SUP_VOLUMEN!$C$27)))*INDEX(SUP_C3_EXPANSION!$C$6:$F$6,MIN(4,COUNTIF(CAPA3_EXPANSION!$D$56:BQ$56,"&gt;="&amp;32)))*CAPA3_EXPANSION!BQ$36)</f>
        <v>0</v>
      </c>
      <c r="BR39" s="298" t="n">
        <f aca="false">IF(COUNTIF(CAPA3_EXPANSION!$D$56:BR$56,"&gt;="&amp;32)=0,0,SUP_CONTROL!$C$8*IF($B39="V",1,IF($B39="D",(1+SUP_VOLUMEN!$C$26),(1+SUP_VOLUMEN!$C$27)))*INDEX(SUP_C3_EXPANSION!$C$6:$F$6,MIN(4,COUNTIF(CAPA3_EXPANSION!$D$56:BR$56,"&gt;="&amp;32)))*CAPA3_EXPANSION!BR$36)</f>
        <v>0</v>
      </c>
      <c r="BS39" s="298" t="n">
        <f aca="false">IF(COUNTIF(CAPA3_EXPANSION!$D$56:BS$56,"&gt;="&amp;32)=0,0,SUP_CONTROL!$C$8*IF($B39="V",1,IF($B39="D",(1+SUP_VOLUMEN!$C$26),(1+SUP_VOLUMEN!$C$27)))*INDEX(SUP_C3_EXPANSION!$C$6:$F$6,MIN(4,COUNTIF(CAPA3_EXPANSION!$D$56:BS$56,"&gt;="&amp;32)))*CAPA3_EXPANSION!BS$36)</f>
        <v>0</v>
      </c>
      <c r="BT39" s="298" t="n">
        <f aca="false">IF(COUNTIF(CAPA3_EXPANSION!$D$56:BT$56,"&gt;="&amp;32)=0,0,SUP_CONTROL!$C$8*IF($B39="V",1,IF($B39="D",(1+SUP_VOLUMEN!$C$26),(1+SUP_VOLUMEN!$C$27)))*INDEX(SUP_C3_EXPANSION!$C$6:$F$6,MIN(4,COUNTIF(CAPA3_EXPANSION!$D$56:BT$56,"&gt;="&amp;32)))*CAPA3_EXPANSION!BT$36)</f>
        <v>0</v>
      </c>
      <c r="BU39" s="298" t="n">
        <f aca="false">IF(COUNTIF(CAPA3_EXPANSION!$D$56:BU$56,"&gt;="&amp;32)=0,0,SUP_CONTROL!$C$8*IF($B39="V",1,IF($B39="D",(1+SUP_VOLUMEN!$C$26),(1+SUP_VOLUMEN!$C$27)))*INDEX(SUP_C3_EXPANSION!$C$6:$F$6,MIN(4,COUNTIF(CAPA3_EXPANSION!$D$56:BU$56,"&gt;="&amp;32)))*CAPA3_EXPANSION!BU$36)</f>
        <v>0</v>
      </c>
      <c r="BV39" s="298" t="n">
        <f aca="false">IF(COUNTIF(CAPA3_EXPANSION!$D$56:BV$56,"&gt;="&amp;32)=0,0,SUP_CONTROL!$C$8*IF($B39="V",1,IF($B39="D",(1+SUP_VOLUMEN!$C$26),(1+SUP_VOLUMEN!$C$27)))*INDEX(SUP_C3_EXPANSION!$C$6:$F$6,MIN(4,COUNTIF(CAPA3_EXPANSION!$D$56:BV$56,"&gt;="&amp;32)))*CAPA3_EXPANSION!BV$36)</f>
        <v>0</v>
      </c>
      <c r="BW39" s="298" t="n">
        <f aca="false">IF(COUNTIF(CAPA3_EXPANSION!$D$56:BW$56,"&gt;="&amp;32)=0,0,SUP_CONTROL!$C$8*IF($B39="V",1,IF($B39="D",(1+SUP_VOLUMEN!$C$26),(1+SUP_VOLUMEN!$C$27)))*INDEX(SUP_C3_EXPANSION!$C$6:$F$6,MIN(4,COUNTIF(CAPA3_EXPANSION!$D$56:BW$56,"&gt;="&amp;32)))*CAPA3_EXPANSION!BW$36)</f>
        <v>0</v>
      </c>
      <c r="BX39" s="298" t="n">
        <f aca="false">IF(COUNTIF(CAPA3_EXPANSION!$D$56:BX$56,"&gt;="&amp;32)=0,0,SUP_CONTROL!$C$8*IF($B39="V",1,IF($B39="D",(1+SUP_VOLUMEN!$C$26),(1+SUP_VOLUMEN!$C$27)))*INDEX(SUP_C3_EXPANSION!$C$6:$F$6,MIN(4,COUNTIF(CAPA3_EXPANSION!$D$56:BX$56,"&gt;="&amp;32)))*CAPA3_EXPANSION!BX$36)</f>
        <v>0</v>
      </c>
      <c r="BY39" s="298" t="n">
        <f aca="false">IF(COUNTIF(CAPA3_EXPANSION!$D$56:BY$56,"&gt;="&amp;32)=0,0,SUP_CONTROL!$C$8*IF($B39="V",1,IF($B39="D",(1+SUP_VOLUMEN!$C$26),(1+SUP_VOLUMEN!$C$27)))*INDEX(SUP_C3_EXPANSION!$C$6:$F$6,MIN(4,COUNTIF(CAPA3_EXPANSION!$D$56:BY$56,"&gt;="&amp;32)))*CAPA3_EXPANSION!BY$36)</f>
        <v>0</v>
      </c>
      <c r="BZ39" s="298" t="n">
        <f aca="false">IF(COUNTIF(CAPA3_EXPANSION!$D$56:BZ$56,"&gt;="&amp;32)=0,0,SUP_CONTROL!$C$8*IF($B39="V",1,IF($B39="D",(1+SUP_VOLUMEN!$C$26),(1+SUP_VOLUMEN!$C$27)))*INDEX(SUP_C3_EXPANSION!$C$6:$F$6,MIN(4,COUNTIF(CAPA3_EXPANSION!$D$56:BZ$56,"&gt;="&amp;32)))*CAPA3_EXPANSION!BZ$36)</f>
        <v>0</v>
      </c>
      <c r="CA39" s="298" t="n">
        <f aca="false">IF(COUNTIF(CAPA3_EXPANSION!$D$56:CA$56,"&gt;="&amp;32)=0,0,SUP_CONTROL!$C$8*IF($B39="V",1,IF($B39="D",(1+SUP_VOLUMEN!$C$26),(1+SUP_VOLUMEN!$C$27)))*INDEX(SUP_C3_EXPANSION!$C$6:$F$6,MIN(4,COUNTIF(CAPA3_EXPANSION!$D$56:CA$56,"&gt;="&amp;32)))*CAPA3_EXPANSION!CA$36)</f>
        <v>0</v>
      </c>
      <c r="CB39" s="298" t="n">
        <f aca="false">IF(COUNTIF(CAPA3_EXPANSION!$D$56:CB$56,"&gt;="&amp;32)=0,0,SUP_CONTROL!$C$8*IF($B39="V",1,IF($B39="D",(1+SUP_VOLUMEN!$C$26),(1+SUP_VOLUMEN!$C$27)))*INDEX(SUP_C3_EXPANSION!$C$6:$F$6,MIN(4,COUNTIF(CAPA3_EXPANSION!$D$56:CB$56,"&gt;="&amp;32)))*CAPA3_EXPANSION!CB$36)</f>
        <v>2320.5</v>
      </c>
      <c r="CC39" s="298" t="n">
        <f aca="false">IF(COUNTIF(CAPA3_EXPANSION!$D$56:CC$56,"&gt;="&amp;32)=0,0,SUP_CONTROL!$C$8*IF($B39="V",1,IF($B39="D",(1+SUP_VOLUMEN!$C$26),(1+SUP_VOLUMEN!$C$27)))*INDEX(SUP_C3_EXPANSION!$C$6:$F$6,MIN(4,COUNTIF(CAPA3_EXPANSION!$D$56:CC$56,"&gt;="&amp;32)))*CAPA3_EXPANSION!CC$36)</f>
        <v>2856</v>
      </c>
      <c r="CD39" s="298" t="n">
        <f aca="false">IF(COUNTIF(CAPA3_EXPANSION!$D$56:CD$56,"&gt;="&amp;32)=0,0,SUP_CONTROL!$C$8*IF($B39="V",1,IF($B39="D",(1+SUP_VOLUMEN!$C$26),(1+SUP_VOLUMEN!$C$27)))*INDEX(SUP_C3_EXPANSION!$C$6:$F$6,MIN(4,COUNTIF(CAPA3_EXPANSION!$D$56:CD$56,"&gt;="&amp;32)))*CAPA3_EXPANSION!CD$36)</f>
        <v>3213</v>
      </c>
      <c r="CE39" s="298" t="n">
        <f aca="false">IF(COUNTIF(CAPA3_EXPANSION!$D$56:CE$56,"&gt;="&amp;32)=0,0,SUP_CONTROL!$C$8*IF($B39="V",1,IF($B39="D",(1+SUP_VOLUMEN!$C$26),(1+SUP_VOLUMEN!$C$27)))*INDEX(SUP_C3_EXPANSION!$C$6:$F$6,MIN(4,COUNTIF(CAPA3_EXPANSION!$D$56:CE$56,"&gt;="&amp;32)))*CAPA3_EXPANSION!CE$36)</f>
        <v>3570</v>
      </c>
      <c r="CF39" s="298" t="n">
        <f aca="false">IF(COUNTIF(CAPA3_EXPANSION!$D$56:CF$56,"&gt;="&amp;32)=0,0,SUP_CONTROL!$C$8*IF($B39="V",1,IF($B39="D",(1+SUP_VOLUMEN!$C$26),(1+SUP_VOLUMEN!$C$27)))*INDEX(SUP_C3_EXPANSION!$C$6:$F$6,MIN(4,COUNTIF(CAPA3_EXPANSION!$D$56:CF$56,"&gt;="&amp;32)))*CAPA3_EXPANSION!CF$36)</f>
        <v>3570</v>
      </c>
      <c r="CG39" s="298" t="n">
        <f aca="false">IF(COUNTIF(CAPA3_EXPANSION!$D$56:CG$56,"&gt;="&amp;32)=0,0,SUP_CONTROL!$C$8*IF($B39="V",1,IF($B39="D",(1+SUP_VOLUMEN!$C$26),(1+SUP_VOLUMEN!$C$27)))*INDEX(SUP_C3_EXPANSION!$C$6:$F$6,MIN(4,COUNTIF(CAPA3_EXPANSION!$D$56:CG$56,"&gt;="&amp;32)))*CAPA3_EXPANSION!CG$36)</f>
        <v>3528</v>
      </c>
      <c r="CH39" s="298" t="n">
        <f aca="false">IF(COUNTIF(CAPA3_EXPANSION!$D$56:CH$56,"&gt;="&amp;32)=0,0,SUP_CONTROL!$C$8*IF($B39="V",1,IF($B39="D",(1+SUP_VOLUMEN!$C$26),(1+SUP_VOLUMEN!$C$27)))*INDEX(SUP_C3_EXPANSION!$C$6:$F$6,MIN(4,COUNTIF(CAPA3_EXPANSION!$D$56:CH$56,"&gt;="&amp;32)))*CAPA3_EXPANSION!CH$36)</f>
        <v>3528</v>
      </c>
      <c r="CI39" s="298" t="n">
        <f aca="false">IF(COUNTIF(CAPA3_EXPANSION!$D$56:CI$56,"&gt;="&amp;32)=0,0,SUP_CONTROL!$C$8*IF($B39="V",1,IF($B39="D",(1+SUP_VOLUMEN!$C$26),(1+SUP_VOLUMEN!$C$27)))*INDEX(SUP_C3_EXPANSION!$C$6:$F$6,MIN(4,COUNTIF(CAPA3_EXPANSION!$D$56:CI$56,"&gt;="&amp;32)))*CAPA3_EXPANSION!CI$36)</f>
        <v>3528</v>
      </c>
      <c r="CJ39" s="298" t="n">
        <f aca="false">IF(COUNTIF(CAPA3_EXPANSION!$D$56:CJ$56,"&gt;="&amp;32)=0,0,SUP_CONTROL!$C$8*IF($B39="V",1,IF($B39="D",(1+SUP_VOLUMEN!$C$26),(1+SUP_VOLUMEN!$C$27)))*INDEX(SUP_C3_EXPANSION!$C$6:$F$6,MIN(4,COUNTIF(CAPA3_EXPANSION!$D$56:CJ$56,"&gt;="&amp;32)))*CAPA3_EXPANSION!CJ$36)</f>
        <v>3528</v>
      </c>
      <c r="CK39" s="298" t="n">
        <f aca="false">IF(COUNTIF(CAPA3_EXPANSION!$D$56:CK$56,"&gt;="&amp;32)=0,0,SUP_CONTROL!$C$8*IF($B39="V",1,IF($B39="D",(1+SUP_VOLUMEN!$C$26),(1+SUP_VOLUMEN!$C$27)))*INDEX(SUP_C3_EXPANSION!$C$6:$F$6,MIN(4,COUNTIF(CAPA3_EXPANSION!$D$56:CK$56,"&gt;="&amp;32)))*CAPA3_EXPANSION!CK$36)</f>
        <v>3528</v>
      </c>
      <c r="CL39" s="298" t="n">
        <f aca="false">IF(COUNTIF(CAPA3_EXPANSION!$D$56:CL$56,"&gt;="&amp;32)=0,0,SUP_CONTROL!$C$8*IF($B39="V",1,IF($B39="D",(1+SUP_VOLUMEN!$C$26),(1+SUP_VOLUMEN!$C$27)))*INDEX(SUP_C3_EXPANSION!$C$6:$F$6,MIN(4,COUNTIF(CAPA3_EXPANSION!$D$56:CL$56,"&gt;="&amp;32)))*CAPA3_EXPANSION!CL$36)</f>
        <v>3528</v>
      </c>
      <c r="CM39" s="298" t="n">
        <f aca="false">IF(COUNTIF(CAPA3_EXPANSION!$D$56:CM$56,"&gt;="&amp;32)=0,0,SUP_CONTROL!$C$8*IF($B39="V",1,IF($B39="D",(1+SUP_VOLUMEN!$C$26),(1+SUP_VOLUMEN!$C$27)))*INDEX(SUP_C3_EXPANSION!$C$6:$F$6,MIN(4,COUNTIF(CAPA3_EXPANSION!$D$56:CM$56,"&gt;="&amp;32)))*CAPA3_EXPANSION!CM$36)</f>
        <v>3528</v>
      </c>
      <c r="CN39" s="298" t="n">
        <f aca="false">IF(COUNTIF(CAPA3_EXPANSION!$D$56:CN$56,"&gt;="&amp;32)=0,0,SUP_CONTROL!$C$8*IF($B39="V",1,IF($B39="D",(1+SUP_VOLUMEN!$C$26),(1+SUP_VOLUMEN!$C$27)))*INDEX(SUP_C3_EXPANSION!$C$6:$F$6,MIN(4,COUNTIF(CAPA3_EXPANSION!$D$56:CN$56,"&gt;="&amp;32)))*CAPA3_EXPANSION!CN$36)</f>
        <v>3528</v>
      </c>
      <c r="CO39" s="298" t="n">
        <f aca="false">IF(COUNTIF(CAPA3_EXPANSION!$D$56:CO$56,"&gt;="&amp;32)=0,0,SUP_CONTROL!$C$8*IF($B39="V",1,IF($B39="D",(1+SUP_VOLUMEN!$C$26),(1+SUP_VOLUMEN!$C$27)))*INDEX(SUP_C3_EXPANSION!$C$6:$F$6,MIN(4,COUNTIF(CAPA3_EXPANSION!$D$56:CO$56,"&gt;="&amp;32)))*CAPA3_EXPANSION!CO$36)</f>
        <v>3528</v>
      </c>
      <c r="CP39" s="298" t="n">
        <f aca="false">IF(COUNTIF(CAPA3_EXPANSION!$D$56:CP$56,"&gt;="&amp;32)=0,0,SUP_CONTROL!$C$8*IF($B39="V",1,IF($B39="D",(1+SUP_VOLUMEN!$C$26),(1+SUP_VOLUMEN!$C$27)))*INDEX(SUP_C3_EXPANSION!$C$6:$F$6,MIN(4,COUNTIF(CAPA3_EXPANSION!$D$56:CP$56,"&gt;="&amp;32)))*CAPA3_EXPANSION!CP$36)</f>
        <v>3528</v>
      </c>
      <c r="CQ39" s="298" t="n">
        <f aca="false">IF(COUNTIF(CAPA3_EXPANSION!$D$56:CQ$56,"&gt;="&amp;32)=0,0,SUP_CONTROL!$C$8*IF($B39="V",1,IF($B39="D",(1+SUP_VOLUMEN!$C$26),(1+SUP_VOLUMEN!$C$27)))*INDEX(SUP_C3_EXPANSION!$C$6:$F$6,MIN(4,COUNTIF(CAPA3_EXPANSION!$D$56:CQ$56,"&gt;="&amp;32)))*CAPA3_EXPANSION!CQ$36)</f>
        <v>3528</v>
      </c>
      <c r="CR39" s="298" t="n">
        <f aca="false">IF(COUNTIF(CAPA3_EXPANSION!$D$56:CR$56,"&gt;="&amp;32)=0,0,SUP_CONTROL!$C$8*IF($B39="V",1,IF($B39="D",(1+SUP_VOLUMEN!$C$26),(1+SUP_VOLUMEN!$C$27)))*INDEX(SUP_C3_EXPANSION!$C$6:$F$6,MIN(4,COUNTIF(CAPA3_EXPANSION!$D$56:CR$56,"&gt;="&amp;32)))*CAPA3_EXPANSION!CR$36)</f>
        <v>3528</v>
      </c>
      <c r="CS39" s="298" t="n">
        <f aca="false">IF(COUNTIF(CAPA3_EXPANSION!$D$56:CS$56,"&gt;="&amp;32)=0,0,SUP_CONTROL!$C$8*IF($B39="V",1,IF($B39="D",(1+SUP_VOLUMEN!$C$26),(1+SUP_VOLUMEN!$C$27)))*INDEX(SUP_C3_EXPANSION!$C$6:$F$6,MIN(4,COUNTIF(CAPA3_EXPANSION!$D$56:CS$56,"&gt;="&amp;32)))*CAPA3_EXPANSION!CS$36)</f>
        <v>3528</v>
      </c>
      <c r="CT39" s="298" t="n">
        <f aca="false">IF(COUNTIF(CAPA3_EXPANSION!$D$56:CT$56,"&gt;="&amp;32)=0,0,SUP_CONTROL!$C$8*IF($B39="V",1,IF($B39="D",(1+SUP_VOLUMEN!$C$26),(1+SUP_VOLUMEN!$C$27)))*INDEX(SUP_C3_EXPANSION!$C$6:$F$6,MIN(4,COUNTIF(CAPA3_EXPANSION!$D$56:CT$56,"&gt;="&amp;32)))*CAPA3_EXPANSION!CT$36)</f>
        <v>3528</v>
      </c>
      <c r="CU39" s="298" t="n">
        <f aca="false">IF(COUNTIF(CAPA3_EXPANSION!$D$56:CU$56,"&gt;="&amp;32)=0,0,SUP_CONTROL!$C$8*IF($B39="V",1,IF($B39="D",(1+SUP_VOLUMEN!$C$26),(1+SUP_VOLUMEN!$C$27)))*INDEX(SUP_C3_EXPANSION!$C$6:$F$6,MIN(4,COUNTIF(CAPA3_EXPANSION!$D$56:CU$56,"&gt;="&amp;32)))*CAPA3_EXPANSION!CU$36)</f>
        <v>3528</v>
      </c>
      <c r="CV39" s="298" t="n">
        <f aca="false">IF(COUNTIF(CAPA3_EXPANSION!$D$56:CV$56,"&gt;="&amp;32)=0,0,SUP_CONTROL!$C$8*IF($B39="V",1,IF($B39="D",(1+SUP_VOLUMEN!$C$26),(1+SUP_VOLUMEN!$C$27)))*INDEX(SUP_C3_EXPANSION!$C$6:$F$6,MIN(4,COUNTIF(CAPA3_EXPANSION!$D$56:CV$56,"&gt;="&amp;32)))*CAPA3_EXPANSION!CV$36)</f>
        <v>3528</v>
      </c>
      <c r="CW39" s="298" t="n">
        <f aca="false">IF(COUNTIF(CAPA3_EXPANSION!$D$56:CW$56,"&gt;="&amp;32)=0,0,SUP_CONTROL!$C$8*IF($B39="V",1,IF($B39="D",(1+SUP_VOLUMEN!$C$26),(1+SUP_VOLUMEN!$C$27)))*INDEX(SUP_C3_EXPANSION!$C$6:$F$6,MIN(4,COUNTIF(CAPA3_EXPANSION!$D$56:CW$56,"&gt;="&amp;32)))*CAPA3_EXPANSION!CW$36)</f>
        <v>3528</v>
      </c>
      <c r="CX39" s="298" t="n">
        <f aca="false">IF(COUNTIF(CAPA3_EXPANSION!$D$56:CX$56,"&gt;="&amp;32)=0,0,SUP_CONTROL!$C$8*IF($B39="V",1,IF($B39="D",(1+SUP_VOLUMEN!$C$26),(1+SUP_VOLUMEN!$C$27)))*INDEX(SUP_C3_EXPANSION!$C$6:$F$6,MIN(4,COUNTIF(CAPA3_EXPANSION!$D$56:CX$56,"&gt;="&amp;32)))*CAPA3_EXPANSION!CX$36)</f>
        <v>3528</v>
      </c>
      <c r="CY39" s="298" t="n">
        <f aca="false">IF(COUNTIF(CAPA3_EXPANSION!$D$56:CY$56,"&gt;="&amp;32)=0,0,SUP_CONTROL!$C$8*IF($B39="V",1,IF($B39="D",(1+SUP_VOLUMEN!$C$26),(1+SUP_VOLUMEN!$C$27)))*INDEX(SUP_C3_EXPANSION!$C$6:$F$6,MIN(4,COUNTIF(CAPA3_EXPANSION!$D$56:CY$56,"&gt;="&amp;32)))*CAPA3_EXPANSION!CY$36)</f>
        <v>3528</v>
      </c>
      <c r="CZ39" s="298" t="n">
        <f aca="false">IF(COUNTIF(CAPA3_EXPANSION!$D$56:CZ$56,"&gt;="&amp;32)=0,0,SUP_CONTROL!$C$8*IF($B39="V",1,IF($B39="D",(1+SUP_VOLUMEN!$C$26),(1+SUP_VOLUMEN!$C$27)))*INDEX(SUP_C3_EXPANSION!$C$6:$F$6,MIN(4,COUNTIF(CAPA3_EXPANSION!$D$56:CZ$56,"&gt;="&amp;32)))*CAPA3_EXPANSION!CZ$36)</f>
        <v>3528</v>
      </c>
      <c r="DA39" s="298" t="n">
        <f aca="false">IF(COUNTIF(CAPA3_EXPANSION!$D$56:DA$56,"&gt;="&amp;32)=0,0,SUP_CONTROL!$C$8*IF($B39="V",1,IF($B39="D",(1+SUP_VOLUMEN!$C$26),(1+SUP_VOLUMEN!$C$27)))*INDEX(SUP_C3_EXPANSION!$C$6:$F$6,MIN(4,COUNTIF(CAPA3_EXPANSION!$D$56:DA$56,"&gt;="&amp;32)))*CAPA3_EXPANSION!DA$36)</f>
        <v>3528</v>
      </c>
      <c r="DB39" s="298" t="n">
        <f aca="false">IF(COUNTIF(CAPA3_EXPANSION!$D$56:DB$56,"&gt;="&amp;32)=0,0,SUP_CONTROL!$C$8*IF($B39="V",1,IF($B39="D",(1+SUP_VOLUMEN!$C$26),(1+SUP_VOLUMEN!$C$27)))*INDEX(SUP_C3_EXPANSION!$C$6:$F$6,MIN(4,COUNTIF(CAPA3_EXPANSION!$D$56:DB$56,"&gt;="&amp;32)))*CAPA3_EXPANSION!DB$36)</f>
        <v>3528</v>
      </c>
      <c r="DC39" s="298" t="n">
        <f aca="false">IF(COUNTIF(CAPA3_EXPANSION!$D$56:DC$56,"&gt;="&amp;32)=0,0,SUP_CONTROL!$C$8*IF($B39="V",1,IF($B39="D",(1+SUP_VOLUMEN!$C$26),(1+SUP_VOLUMEN!$C$27)))*INDEX(SUP_C3_EXPANSION!$C$6:$F$6,MIN(4,COUNTIF(CAPA3_EXPANSION!$D$56:DC$56,"&gt;="&amp;32)))*CAPA3_EXPANSION!DC$36)</f>
        <v>3528</v>
      </c>
      <c r="DD39" s="298" t="n">
        <f aca="false">IF(COUNTIF(CAPA3_EXPANSION!$D$56:DD$56,"&gt;="&amp;32)=0,0,SUP_CONTROL!$C$8*IF($B39="V",1,IF($B39="D",(1+SUP_VOLUMEN!$C$26),(1+SUP_VOLUMEN!$C$27)))*INDEX(SUP_C3_EXPANSION!$C$6:$F$6,MIN(4,COUNTIF(CAPA3_EXPANSION!$D$56:DD$56,"&gt;="&amp;32)))*CAPA3_EXPANSION!DD$36)</f>
        <v>3528</v>
      </c>
      <c r="DE39" s="298" t="n">
        <f aca="false">IF(COUNTIF(CAPA3_EXPANSION!$D$56:DE$56,"&gt;="&amp;32)=0,0,SUP_CONTROL!$C$8*IF($B39="V",1,IF($B39="D",(1+SUP_VOLUMEN!$C$26),(1+SUP_VOLUMEN!$C$27)))*INDEX(SUP_C3_EXPANSION!$C$6:$F$6,MIN(4,COUNTIF(CAPA3_EXPANSION!$D$56:DE$56,"&gt;="&amp;32)))*CAPA3_EXPANSION!DE$36)</f>
        <v>3528</v>
      </c>
      <c r="DF39" s="298" t="n">
        <f aca="false">IF(COUNTIF(CAPA3_EXPANSION!$D$56:DF$56,"&gt;="&amp;32)=0,0,SUP_CONTROL!$C$8*IF($B39="V",1,IF($B39="D",(1+SUP_VOLUMEN!$C$26),(1+SUP_VOLUMEN!$C$27)))*INDEX(SUP_C3_EXPANSION!$C$6:$F$6,MIN(4,COUNTIF(CAPA3_EXPANSION!$D$56:DF$56,"&gt;="&amp;32)))*CAPA3_EXPANSION!DF$36)</f>
        <v>3528</v>
      </c>
      <c r="DG39" s="298" t="n">
        <f aca="false">IF(COUNTIF(CAPA3_EXPANSION!$D$56:DG$56,"&gt;="&amp;32)=0,0,SUP_CONTROL!$C$8*IF($B39="V",1,IF($B39="D",(1+SUP_VOLUMEN!$C$26),(1+SUP_VOLUMEN!$C$27)))*INDEX(SUP_C3_EXPANSION!$C$6:$F$6,MIN(4,COUNTIF(CAPA3_EXPANSION!$D$56:DG$56,"&gt;="&amp;32)))*CAPA3_EXPANSION!DG$36)</f>
        <v>3528</v>
      </c>
      <c r="DH39" s="298" t="n">
        <f aca="false">IF(COUNTIF(CAPA3_EXPANSION!$D$56:DH$56,"&gt;="&amp;32)=0,0,SUP_CONTROL!$C$8*IF($B39="V",1,IF($B39="D",(1+SUP_VOLUMEN!$C$26),(1+SUP_VOLUMEN!$C$27)))*INDEX(SUP_C3_EXPANSION!$C$6:$F$6,MIN(4,COUNTIF(CAPA3_EXPANSION!$D$56:DH$56,"&gt;="&amp;32)))*CAPA3_EXPANSION!DH$36)</f>
        <v>3528</v>
      </c>
      <c r="DI39" s="298" t="n">
        <f aca="false">IF(COUNTIF(CAPA3_EXPANSION!$D$56:DI$56,"&gt;="&amp;32)=0,0,SUP_CONTROL!$C$8*IF($B39="V",1,IF($B39="D",(1+SUP_VOLUMEN!$C$26),(1+SUP_VOLUMEN!$C$27)))*INDEX(SUP_C3_EXPANSION!$C$6:$F$6,MIN(4,COUNTIF(CAPA3_EXPANSION!$D$56:DI$56,"&gt;="&amp;32)))*CAPA3_EXPANSION!DI$36)</f>
        <v>3528</v>
      </c>
      <c r="DJ39" s="298" t="n">
        <f aca="false">IF(COUNTIF(CAPA3_EXPANSION!$D$56:DJ$56,"&gt;="&amp;32)=0,0,SUP_CONTROL!$C$8*IF($B39="V",1,IF($B39="D",(1+SUP_VOLUMEN!$C$26),(1+SUP_VOLUMEN!$C$27)))*INDEX(SUP_C3_EXPANSION!$C$6:$F$6,MIN(4,COUNTIF(CAPA3_EXPANSION!$D$56:DJ$56,"&gt;="&amp;32)))*CAPA3_EXPANSION!DJ$36)</f>
        <v>3528</v>
      </c>
      <c r="DK39" s="298" t="n">
        <f aca="false">IF(COUNTIF(CAPA3_EXPANSION!$D$56:DK$56,"&gt;="&amp;32)=0,0,SUP_CONTROL!$C$8*IF($B39="V",1,IF($B39="D",(1+SUP_VOLUMEN!$C$26),(1+SUP_VOLUMEN!$C$27)))*INDEX(SUP_C3_EXPANSION!$C$6:$F$6,MIN(4,COUNTIF(CAPA3_EXPANSION!$D$56:DK$56,"&gt;="&amp;32)))*CAPA3_EXPANSION!DK$36)</f>
        <v>3528</v>
      </c>
      <c r="DL39" s="298" t="n">
        <f aca="false">IF(COUNTIF(CAPA3_EXPANSION!$D$56:DL$56,"&gt;="&amp;32)=0,0,SUP_CONTROL!$C$8*IF($B39="V",1,IF($B39="D",(1+SUP_VOLUMEN!$C$26),(1+SUP_VOLUMEN!$C$27)))*INDEX(SUP_C3_EXPANSION!$C$6:$F$6,MIN(4,COUNTIF(CAPA3_EXPANSION!$D$56:DL$56,"&gt;="&amp;32)))*CAPA3_EXPANSION!DL$36)</f>
        <v>3528</v>
      </c>
      <c r="DM39" s="298" t="n">
        <f aca="false">IF(COUNTIF(CAPA3_EXPANSION!$D$56:DM$56,"&gt;="&amp;32)=0,0,SUP_CONTROL!$C$8*IF($B39="V",1,IF($B39="D",(1+SUP_VOLUMEN!$C$26),(1+SUP_VOLUMEN!$C$27)))*INDEX(SUP_C3_EXPANSION!$C$6:$F$6,MIN(4,COUNTIF(CAPA3_EXPANSION!$D$56:DM$56,"&gt;="&amp;32)))*CAPA3_EXPANSION!DM$36)</f>
        <v>3528</v>
      </c>
      <c r="DN39" s="298" t="n">
        <f aca="false">IF(COUNTIF(CAPA3_EXPANSION!$D$56:DN$56,"&gt;="&amp;32)=0,0,SUP_CONTROL!$C$8*IF($B39="V",1,IF($B39="D",(1+SUP_VOLUMEN!$C$26),(1+SUP_VOLUMEN!$C$27)))*INDEX(SUP_C3_EXPANSION!$C$6:$F$6,MIN(4,COUNTIF(CAPA3_EXPANSION!$D$56:DN$56,"&gt;="&amp;32)))*CAPA3_EXPANSION!DN$36)</f>
        <v>3528</v>
      </c>
      <c r="DO39" s="298" t="n">
        <f aca="false">IF(COUNTIF(CAPA3_EXPANSION!$D$56:DO$56,"&gt;="&amp;32)=0,0,SUP_CONTROL!$C$8*IF($B39="V",1,IF($B39="D",(1+SUP_VOLUMEN!$C$26),(1+SUP_VOLUMEN!$C$27)))*INDEX(SUP_C3_EXPANSION!$C$6:$F$6,MIN(4,COUNTIF(CAPA3_EXPANSION!$D$56:DO$56,"&gt;="&amp;32)))*CAPA3_EXPANSION!DO$36)</f>
        <v>3528</v>
      </c>
      <c r="DP39" s="298" t="n">
        <f aca="false">IF(COUNTIF(CAPA3_EXPANSION!$D$56:DP$56,"&gt;="&amp;32)=0,0,SUP_CONTROL!$C$8*IF($B39="V",1,IF($B39="D",(1+SUP_VOLUMEN!$C$26),(1+SUP_VOLUMEN!$C$27)))*INDEX(SUP_C3_EXPANSION!$C$6:$F$6,MIN(4,COUNTIF(CAPA3_EXPANSION!$D$56:DP$56,"&gt;="&amp;32)))*CAPA3_EXPANSION!DP$36)</f>
        <v>3528</v>
      </c>
      <c r="DQ39" s="298" t="n">
        <f aca="false">IF(COUNTIF(CAPA3_EXPANSION!$D$56:DQ$56,"&gt;="&amp;32)=0,0,SUP_CONTROL!$C$8*IF($B39="V",1,IF($B39="D",(1+SUP_VOLUMEN!$C$26),(1+SUP_VOLUMEN!$C$27)))*INDEX(SUP_C3_EXPANSION!$C$6:$F$6,MIN(4,COUNTIF(CAPA3_EXPANSION!$D$56:DQ$56,"&gt;="&amp;32)))*CAPA3_EXPANSION!DQ$36)</f>
        <v>3528</v>
      </c>
      <c r="DR39" s="298" t="n">
        <f aca="false">IF(COUNTIF(CAPA3_EXPANSION!$D$56:DR$56,"&gt;="&amp;32)=0,0,SUP_CONTROL!$C$8*IF($B39="V",1,IF($B39="D",(1+SUP_VOLUMEN!$C$26),(1+SUP_VOLUMEN!$C$27)))*INDEX(SUP_C3_EXPANSION!$C$6:$F$6,MIN(4,COUNTIF(CAPA3_EXPANSION!$D$56:DR$56,"&gt;="&amp;32)))*CAPA3_EXPANSION!DR$36)</f>
        <v>3528</v>
      </c>
      <c r="DS39" s="298" t="n">
        <f aca="false">IF(COUNTIF(CAPA3_EXPANSION!$D$56:DS$56,"&gt;="&amp;32)=0,0,SUP_CONTROL!$C$8*IF($B39="V",1,IF($B39="D",(1+SUP_VOLUMEN!$C$26),(1+SUP_VOLUMEN!$C$27)))*INDEX(SUP_C3_EXPANSION!$C$6:$F$6,MIN(4,COUNTIF(CAPA3_EXPANSION!$D$56:DS$56,"&gt;="&amp;32)))*CAPA3_EXPANSION!DS$36)</f>
        <v>3528</v>
      </c>
    </row>
    <row r="40" customFormat="false" ht="15" hidden="false" customHeight="true" outlineLevel="0" collapsed="false">
      <c r="A40" s="298" t="n">
        <v>43</v>
      </c>
      <c r="B40" s="497" t="str">
        <f aca="false">SUP_C3_EXPANSION!B52</f>
        <v>V</v>
      </c>
      <c r="C40" s="267" t="n">
        <f aca="false">SUP_C3_EXPANSION!G52</f>
        <v>75</v>
      </c>
      <c r="D40" s="298" t="n">
        <f aca="false">IF(COUNTIF(CAPA3_EXPANSION!$D$56:D$56,"&gt;="&amp;33)=0,0,SUP_CONTROL!$C$8*IF($B40="V",1,IF($B40="D",(1+SUP_VOLUMEN!$C$26),(1+SUP_VOLUMEN!$C$27)))*INDEX(SUP_C3_EXPANSION!$C$6:$F$6,MIN(4,COUNTIF(CAPA3_EXPANSION!$D$56:D$56,"&gt;="&amp;33)))*CAPA3_EXPANSION!D$36)</f>
        <v>0</v>
      </c>
      <c r="E40" s="298" t="n">
        <f aca="false">IF(COUNTIF(CAPA3_EXPANSION!$D$56:E$56,"&gt;="&amp;33)=0,0,SUP_CONTROL!$C$8*IF($B40="V",1,IF($B40="D",(1+SUP_VOLUMEN!$C$26),(1+SUP_VOLUMEN!$C$27)))*INDEX(SUP_C3_EXPANSION!$C$6:$F$6,MIN(4,COUNTIF(CAPA3_EXPANSION!$D$56:E$56,"&gt;="&amp;33)))*CAPA3_EXPANSION!E$36)</f>
        <v>0</v>
      </c>
      <c r="F40" s="298" t="n">
        <f aca="false">IF(COUNTIF(CAPA3_EXPANSION!$D$56:F$56,"&gt;="&amp;33)=0,0,SUP_CONTROL!$C$8*IF($B40="V",1,IF($B40="D",(1+SUP_VOLUMEN!$C$26),(1+SUP_VOLUMEN!$C$27)))*INDEX(SUP_C3_EXPANSION!$C$6:$F$6,MIN(4,COUNTIF(CAPA3_EXPANSION!$D$56:F$56,"&gt;="&amp;33)))*CAPA3_EXPANSION!F$36)</f>
        <v>0</v>
      </c>
      <c r="G40" s="298" t="n">
        <f aca="false">IF(COUNTIF(CAPA3_EXPANSION!$D$56:G$56,"&gt;="&amp;33)=0,0,SUP_CONTROL!$C$8*IF($B40="V",1,IF($B40="D",(1+SUP_VOLUMEN!$C$26),(1+SUP_VOLUMEN!$C$27)))*INDEX(SUP_C3_EXPANSION!$C$6:$F$6,MIN(4,COUNTIF(CAPA3_EXPANSION!$D$56:G$56,"&gt;="&amp;33)))*CAPA3_EXPANSION!G$36)</f>
        <v>0</v>
      </c>
      <c r="H40" s="298" t="n">
        <f aca="false">IF(COUNTIF(CAPA3_EXPANSION!$D$56:H$56,"&gt;="&amp;33)=0,0,SUP_CONTROL!$C$8*IF($B40="V",1,IF($B40="D",(1+SUP_VOLUMEN!$C$26),(1+SUP_VOLUMEN!$C$27)))*INDEX(SUP_C3_EXPANSION!$C$6:$F$6,MIN(4,COUNTIF(CAPA3_EXPANSION!$D$56:H$56,"&gt;="&amp;33)))*CAPA3_EXPANSION!H$36)</f>
        <v>0</v>
      </c>
      <c r="I40" s="298" t="n">
        <f aca="false">IF(COUNTIF(CAPA3_EXPANSION!$D$56:I$56,"&gt;="&amp;33)=0,0,SUP_CONTROL!$C$8*IF($B40="V",1,IF($B40="D",(1+SUP_VOLUMEN!$C$26),(1+SUP_VOLUMEN!$C$27)))*INDEX(SUP_C3_EXPANSION!$C$6:$F$6,MIN(4,COUNTIF(CAPA3_EXPANSION!$D$56:I$56,"&gt;="&amp;33)))*CAPA3_EXPANSION!I$36)</f>
        <v>0</v>
      </c>
      <c r="J40" s="298" t="n">
        <f aca="false">IF(COUNTIF(CAPA3_EXPANSION!$D$56:J$56,"&gt;="&amp;33)=0,0,SUP_CONTROL!$C$8*IF($B40="V",1,IF($B40="D",(1+SUP_VOLUMEN!$C$26),(1+SUP_VOLUMEN!$C$27)))*INDEX(SUP_C3_EXPANSION!$C$6:$F$6,MIN(4,COUNTIF(CAPA3_EXPANSION!$D$56:J$56,"&gt;="&amp;33)))*CAPA3_EXPANSION!J$36)</f>
        <v>0</v>
      </c>
      <c r="K40" s="298" t="n">
        <f aca="false">IF(COUNTIF(CAPA3_EXPANSION!$D$56:K$56,"&gt;="&amp;33)=0,0,SUP_CONTROL!$C$8*IF($B40="V",1,IF($B40="D",(1+SUP_VOLUMEN!$C$26),(1+SUP_VOLUMEN!$C$27)))*INDEX(SUP_C3_EXPANSION!$C$6:$F$6,MIN(4,COUNTIF(CAPA3_EXPANSION!$D$56:K$56,"&gt;="&amp;33)))*CAPA3_EXPANSION!K$36)</f>
        <v>0</v>
      </c>
      <c r="L40" s="298" t="n">
        <f aca="false">IF(COUNTIF(CAPA3_EXPANSION!$D$56:L$56,"&gt;="&amp;33)=0,0,SUP_CONTROL!$C$8*IF($B40="V",1,IF($B40="D",(1+SUP_VOLUMEN!$C$26),(1+SUP_VOLUMEN!$C$27)))*INDEX(SUP_C3_EXPANSION!$C$6:$F$6,MIN(4,COUNTIF(CAPA3_EXPANSION!$D$56:L$56,"&gt;="&amp;33)))*CAPA3_EXPANSION!L$36)</f>
        <v>0</v>
      </c>
      <c r="M40" s="298" t="n">
        <f aca="false">IF(COUNTIF(CAPA3_EXPANSION!$D$56:M$56,"&gt;="&amp;33)=0,0,SUP_CONTROL!$C$8*IF($B40="V",1,IF($B40="D",(1+SUP_VOLUMEN!$C$26),(1+SUP_VOLUMEN!$C$27)))*INDEX(SUP_C3_EXPANSION!$C$6:$F$6,MIN(4,COUNTIF(CAPA3_EXPANSION!$D$56:M$56,"&gt;="&amp;33)))*CAPA3_EXPANSION!M$36)</f>
        <v>0</v>
      </c>
      <c r="N40" s="298" t="n">
        <f aca="false">IF(COUNTIF(CAPA3_EXPANSION!$D$56:N$56,"&gt;="&amp;33)=0,0,SUP_CONTROL!$C$8*IF($B40="V",1,IF($B40="D",(1+SUP_VOLUMEN!$C$26),(1+SUP_VOLUMEN!$C$27)))*INDEX(SUP_C3_EXPANSION!$C$6:$F$6,MIN(4,COUNTIF(CAPA3_EXPANSION!$D$56:N$56,"&gt;="&amp;33)))*CAPA3_EXPANSION!N$36)</f>
        <v>0</v>
      </c>
      <c r="O40" s="298" t="n">
        <f aca="false">IF(COUNTIF(CAPA3_EXPANSION!$D$56:O$56,"&gt;="&amp;33)=0,0,SUP_CONTROL!$C$8*IF($B40="V",1,IF($B40="D",(1+SUP_VOLUMEN!$C$26),(1+SUP_VOLUMEN!$C$27)))*INDEX(SUP_C3_EXPANSION!$C$6:$F$6,MIN(4,COUNTIF(CAPA3_EXPANSION!$D$56:O$56,"&gt;="&amp;33)))*CAPA3_EXPANSION!O$36)</f>
        <v>0</v>
      </c>
      <c r="P40" s="298" t="n">
        <f aca="false">IF(COUNTIF(CAPA3_EXPANSION!$D$56:P$56,"&gt;="&amp;33)=0,0,SUP_CONTROL!$C$8*IF($B40="V",1,IF($B40="D",(1+SUP_VOLUMEN!$C$26),(1+SUP_VOLUMEN!$C$27)))*INDEX(SUP_C3_EXPANSION!$C$6:$F$6,MIN(4,COUNTIF(CAPA3_EXPANSION!$D$56:P$56,"&gt;="&amp;33)))*CAPA3_EXPANSION!P$36)</f>
        <v>0</v>
      </c>
      <c r="Q40" s="298" t="n">
        <f aca="false">IF(COUNTIF(CAPA3_EXPANSION!$D$56:Q$56,"&gt;="&amp;33)=0,0,SUP_CONTROL!$C$8*IF($B40="V",1,IF($B40="D",(1+SUP_VOLUMEN!$C$26),(1+SUP_VOLUMEN!$C$27)))*INDEX(SUP_C3_EXPANSION!$C$6:$F$6,MIN(4,COUNTIF(CAPA3_EXPANSION!$D$56:Q$56,"&gt;="&amp;33)))*CAPA3_EXPANSION!Q$36)</f>
        <v>0</v>
      </c>
      <c r="R40" s="298" t="n">
        <f aca="false">IF(COUNTIF(CAPA3_EXPANSION!$D$56:R$56,"&gt;="&amp;33)=0,0,SUP_CONTROL!$C$8*IF($B40="V",1,IF($B40="D",(1+SUP_VOLUMEN!$C$26),(1+SUP_VOLUMEN!$C$27)))*INDEX(SUP_C3_EXPANSION!$C$6:$F$6,MIN(4,COUNTIF(CAPA3_EXPANSION!$D$56:R$56,"&gt;="&amp;33)))*CAPA3_EXPANSION!R$36)</f>
        <v>0</v>
      </c>
      <c r="S40" s="298" t="n">
        <f aca="false">IF(COUNTIF(CAPA3_EXPANSION!$D$56:S$56,"&gt;="&amp;33)=0,0,SUP_CONTROL!$C$8*IF($B40="V",1,IF($B40="D",(1+SUP_VOLUMEN!$C$26),(1+SUP_VOLUMEN!$C$27)))*INDEX(SUP_C3_EXPANSION!$C$6:$F$6,MIN(4,COUNTIF(CAPA3_EXPANSION!$D$56:S$56,"&gt;="&amp;33)))*CAPA3_EXPANSION!S$36)</f>
        <v>0</v>
      </c>
      <c r="T40" s="298" t="n">
        <f aca="false">IF(COUNTIF(CAPA3_EXPANSION!$D$56:T$56,"&gt;="&amp;33)=0,0,SUP_CONTROL!$C$8*IF($B40="V",1,IF($B40="D",(1+SUP_VOLUMEN!$C$26),(1+SUP_VOLUMEN!$C$27)))*INDEX(SUP_C3_EXPANSION!$C$6:$F$6,MIN(4,COUNTIF(CAPA3_EXPANSION!$D$56:T$56,"&gt;="&amp;33)))*CAPA3_EXPANSION!T$36)</f>
        <v>0</v>
      </c>
      <c r="U40" s="298" t="n">
        <f aca="false">IF(COUNTIF(CAPA3_EXPANSION!$D$56:U$56,"&gt;="&amp;33)=0,0,SUP_CONTROL!$C$8*IF($B40="V",1,IF($B40="D",(1+SUP_VOLUMEN!$C$26),(1+SUP_VOLUMEN!$C$27)))*INDEX(SUP_C3_EXPANSION!$C$6:$F$6,MIN(4,COUNTIF(CAPA3_EXPANSION!$D$56:U$56,"&gt;="&amp;33)))*CAPA3_EXPANSION!U$36)</f>
        <v>0</v>
      </c>
      <c r="V40" s="298" t="n">
        <f aca="false">IF(COUNTIF(CAPA3_EXPANSION!$D$56:V$56,"&gt;="&amp;33)=0,0,SUP_CONTROL!$C$8*IF($B40="V",1,IF($B40="D",(1+SUP_VOLUMEN!$C$26),(1+SUP_VOLUMEN!$C$27)))*INDEX(SUP_C3_EXPANSION!$C$6:$F$6,MIN(4,COUNTIF(CAPA3_EXPANSION!$D$56:V$56,"&gt;="&amp;33)))*CAPA3_EXPANSION!V$36)</f>
        <v>0</v>
      </c>
      <c r="W40" s="298" t="n">
        <f aca="false">IF(COUNTIF(CAPA3_EXPANSION!$D$56:W$56,"&gt;="&amp;33)=0,0,SUP_CONTROL!$C$8*IF($B40="V",1,IF($B40="D",(1+SUP_VOLUMEN!$C$26),(1+SUP_VOLUMEN!$C$27)))*INDEX(SUP_C3_EXPANSION!$C$6:$F$6,MIN(4,COUNTIF(CAPA3_EXPANSION!$D$56:W$56,"&gt;="&amp;33)))*CAPA3_EXPANSION!W$36)</f>
        <v>0</v>
      </c>
      <c r="X40" s="298" t="n">
        <f aca="false">IF(COUNTIF(CAPA3_EXPANSION!$D$56:X$56,"&gt;="&amp;33)=0,0,SUP_CONTROL!$C$8*IF($B40="V",1,IF($B40="D",(1+SUP_VOLUMEN!$C$26),(1+SUP_VOLUMEN!$C$27)))*INDEX(SUP_C3_EXPANSION!$C$6:$F$6,MIN(4,COUNTIF(CAPA3_EXPANSION!$D$56:X$56,"&gt;="&amp;33)))*CAPA3_EXPANSION!X$36)</f>
        <v>0</v>
      </c>
      <c r="Y40" s="298" t="n">
        <f aca="false">IF(COUNTIF(CAPA3_EXPANSION!$D$56:Y$56,"&gt;="&amp;33)=0,0,SUP_CONTROL!$C$8*IF($B40="V",1,IF($B40="D",(1+SUP_VOLUMEN!$C$26),(1+SUP_VOLUMEN!$C$27)))*INDEX(SUP_C3_EXPANSION!$C$6:$F$6,MIN(4,COUNTIF(CAPA3_EXPANSION!$D$56:Y$56,"&gt;="&amp;33)))*CAPA3_EXPANSION!Y$36)</f>
        <v>0</v>
      </c>
      <c r="Z40" s="298" t="n">
        <f aca="false">IF(COUNTIF(CAPA3_EXPANSION!$D$56:Z$56,"&gt;="&amp;33)=0,0,SUP_CONTROL!$C$8*IF($B40="V",1,IF($B40="D",(1+SUP_VOLUMEN!$C$26),(1+SUP_VOLUMEN!$C$27)))*INDEX(SUP_C3_EXPANSION!$C$6:$F$6,MIN(4,COUNTIF(CAPA3_EXPANSION!$D$56:Z$56,"&gt;="&amp;33)))*CAPA3_EXPANSION!Z$36)</f>
        <v>0</v>
      </c>
      <c r="AA40" s="298" t="n">
        <f aca="false">IF(COUNTIF(CAPA3_EXPANSION!$D$56:AA$56,"&gt;="&amp;33)=0,0,SUP_CONTROL!$C$8*IF($B40="V",1,IF($B40="D",(1+SUP_VOLUMEN!$C$26),(1+SUP_VOLUMEN!$C$27)))*INDEX(SUP_C3_EXPANSION!$C$6:$F$6,MIN(4,COUNTIF(CAPA3_EXPANSION!$D$56:AA$56,"&gt;="&amp;33)))*CAPA3_EXPANSION!AA$36)</f>
        <v>0</v>
      </c>
      <c r="AB40" s="298" t="n">
        <f aca="false">IF(COUNTIF(CAPA3_EXPANSION!$D$56:AB$56,"&gt;="&amp;33)=0,0,SUP_CONTROL!$C$8*IF($B40="V",1,IF($B40="D",(1+SUP_VOLUMEN!$C$26),(1+SUP_VOLUMEN!$C$27)))*INDEX(SUP_C3_EXPANSION!$C$6:$F$6,MIN(4,COUNTIF(CAPA3_EXPANSION!$D$56:AB$56,"&gt;="&amp;33)))*CAPA3_EXPANSION!AB$36)</f>
        <v>0</v>
      </c>
      <c r="AC40" s="298" t="n">
        <f aca="false">IF(COUNTIF(CAPA3_EXPANSION!$D$56:AC$56,"&gt;="&amp;33)=0,0,SUP_CONTROL!$C$8*IF($B40="V",1,IF($B40="D",(1+SUP_VOLUMEN!$C$26),(1+SUP_VOLUMEN!$C$27)))*INDEX(SUP_C3_EXPANSION!$C$6:$F$6,MIN(4,COUNTIF(CAPA3_EXPANSION!$D$56:AC$56,"&gt;="&amp;33)))*CAPA3_EXPANSION!AC$36)</f>
        <v>0</v>
      </c>
      <c r="AD40" s="298" t="n">
        <f aca="false">IF(COUNTIF(CAPA3_EXPANSION!$D$56:AD$56,"&gt;="&amp;33)=0,0,SUP_CONTROL!$C$8*IF($B40="V",1,IF($B40="D",(1+SUP_VOLUMEN!$C$26),(1+SUP_VOLUMEN!$C$27)))*INDEX(SUP_C3_EXPANSION!$C$6:$F$6,MIN(4,COUNTIF(CAPA3_EXPANSION!$D$56:AD$56,"&gt;="&amp;33)))*CAPA3_EXPANSION!AD$36)</f>
        <v>0</v>
      </c>
      <c r="AE40" s="298" t="n">
        <f aca="false">IF(COUNTIF(CAPA3_EXPANSION!$D$56:AE$56,"&gt;="&amp;33)=0,0,SUP_CONTROL!$C$8*IF($B40="V",1,IF($B40="D",(1+SUP_VOLUMEN!$C$26),(1+SUP_VOLUMEN!$C$27)))*INDEX(SUP_C3_EXPANSION!$C$6:$F$6,MIN(4,COUNTIF(CAPA3_EXPANSION!$D$56:AE$56,"&gt;="&amp;33)))*CAPA3_EXPANSION!AE$36)</f>
        <v>0</v>
      </c>
      <c r="AF40" s="298" t="n">
        <f aca="false">IF(COUNTIF(CAPA3_EXPANSION!$D$56:AF$56,"&gt;="&amp;33)=0,0,SUP_CONTROL!$C$8*IF($B40="V",1,IF($B40="D",(1+SUP_VOLUMEN!$C$26),(1+SUP_VOLUMEN!$C$27)))*INDEX(SUP_C3_EXPANSION!$C$6:$F$6,MIN(4,COUNTIF(CAPA3_EXPANSION!$D$56:AF$56,"&gt;="&amp;33)))*CAPA3_EXPANSION!AF$36)</f>
        <v>0</v>
      </c>
      <c r="AG40" s="298" t="n">
        <f aca="false">IF(COUNTIF(CAPA3_EXPANSION!$D$56:AG$56,"&gt;="&amp;33)=0,0,SUP_CONTROL!$C$8*IF($B40="V",1,IF($B40="D",(1+SUP_VOLUMEN!$C$26),(1+SUP_VOLUMEN!$C$27)))*INDEX(SUP_C3_EXPANSION!$C$6:$F$6,MIN(4,COUNTIF(CAPA3_EXPANSION!$D$56:AG$56,"&gt;="&amp;33)))*CAPA3_EXPANSION!AG$36)</f>
        <v>0</v>
      </c>
      <c r="AH40" s="298" t="n">
        <f aca="false">IF(COUNTIF(CAPA3_EXPANSION!$D$56:AH$56,"&gt;="&amp;33)=0,0,SUP_CONTROL!$C$8*IF($B40="V",1,IF($B40="D",(1+SUP_VOLUMEN!$C$26),(1+SUP_VOLUMEN!$C$27)))*INDEX(SUP_C3_EXPANSION!$C$6:$F$6,MIN(4,COUNTIF(CAPA3_EXPANSION!$D$56:AH$56,"&gt;="&amp;33)))*CAPA3_EXPANSION!AH$36)</f>
        <v>0</v>
      </c>
      <c r="AI40" s="298" t="n">
        <f aca="false">IF(COUNTIF(CAPA3_EXPANSION!$D$56:AI$56,"&gt;="&amp;33)=0,0,SUP_CONTROL!$C$8*IF($B40="V",1,IF($B40="D",(1+SUP_VOLUMEN!$C$26),(1+SUP_VOLUMEN!$C$27)))*INDEX(SUP_C3_EXPANSION!$C$6:$F$6,MIN(4,COUNTIF(CAPA3_EXPANSION!$D$56:AI$56,"&gt;="&amp;33)))*CAPA3_EXPANSION!AI$36)</f>
        <v>0</v>
      </c>
      <c r="AJ40" s="298" t="n">
        <f aca="false">IF(COUNTIF(CAPA3_EXPANSION!$D$56:AJ$56,"&gt;="&amp;33)=0,0,SUP_CONTROL!$C$8*IF($B40="V",1,IF($B40="D",(1+SUP_VOLUMEN!$C$26),(1+SUP_VOLUMEN!$C$27)))*INDEX(SUP_C3_EXPANSION!$C$6:$F$6,MIN(4,COUNTIF(CAPA3_EXPANSION!$D$56:AJ$56,"&gt;="&amp;33)))*CAPA3_EXPANSION!AJ$36)</f>
        <v>0</v>
      </c>
      <c r="AK40" s="298" t="n">
        <f aca="false">IF(COUNTIF(CAPA3_EXPANSION!$D$56:AK$56,"&gt;="&amp;33)=0,0,SUP_CONTROL!$C$8*IF($B40="V",1,IF($B40="D",(1+SUP_VOLUMEN!$C$26),(1+SUP_VOLUMEN!$C$27)))*INDEX(SUP_C3_EXPANSION!$C$6:$F$6,MIN(4,COUNTIF(CAPA3_EXPANSION!$D$56:AK$56,"&gt;="&amp;33)))*CAPA3_EXPANSION!AK$36)</f>
        <v>0</v>
      </c>
      <c r="AL40" s="298" t="n">
        <f aca="false">IF(COUNTIF(CAPA3_EXPANSION!$D$56:AL$56,"&gt;="&amp;33)=0,0,SUP_CONTROL!$C$8*IF($B40="V",1,IF($B40="D",(1+SUP_VOLUMEN!$C$26),(1+SUP_VOLUMEN!$C$27)))*INDEX(SUP_C3_EXPANSION!$C$6:$F$6,MIN(4,COUNTIF(CAPA3_EXPANSION!$D$56:AL$56,"&gt;="&amp;33)))*CAPA3_EXPANSION!AL$36)</f>
        <v>0</v>
      </c>
      <c r="AM40" s="298" t="n">
        <f aca="false">IF(COUNTIF(CAPA3_EXPANSION!$D$56:AM$56,"&gt;="&amp;33)=0,0,SUP_CONTROL!$C$8*IF($B40="V",1,IF($B40="D",(1+SUP_VOLUMEN!$C$26),(1+SUP_VOLUMEN!$C$27)))*INDEX(SUP_C3_EXPANSION!$C$6:$F$6,MIN(4,COUNTIF(CAPA3_EXPANSION!$D$56:AM$56,"&gt;="&amp;33)))*CAPA3_EXPANSION!AM$36)</f>
        <v>0</v>
      </c>
      <c r="AN40" s="298" t="n">
        <f aca="false">IF(COUNTIF(CAPA3_EXPANSION!$D$56:AN$56,"&gt;="&amp;33)=0,0,SUP_CONTROL!$C$8*IF($B40="V",1,IF($B40="D",(1+SUP_VOLUMEN!$C$26),(1+SUP_VOLUMEN!$C$27)))*INDEX(SUP_C3_EXPANSION!$C$6:$F$6,MIN(4,COUNTIF(CAPA3_EXPANSION!$D$56:AN$56,"&gt;="&amp;33)))*CAPA3_EXPANSION!AN$36)</f>
        <v>0</v>
      </c>
      <c r="AO40" s="298" t="n">
        <f aca="false">IF(COUNTIF(CAPA3_EXPANSION!$D$56:AO$56,"&gt;="&amp;33)=0,0,SUP_CONTROL!$C$8*IF($B40="V",1,IF($B40="D",(1+SUP_VOLUMEN!$C$26),(1+SUP_VOLUMEN!$C$27)))*INDEX(SUP_C3_EXPANSION!$C$6:$F$6,MIN(4,COUNTIF(CAPA3_EXPANSION!$D$56:AO$56,"&gt;="&amp;33)))*CAPA3_EXPANSION!AO$36)</f>
        <v>0</v>
      </c>
      <c r="AP40" s="298" t="n">
        <f aca="false">IF(COUNTIF(CAPA3_EXPANSION!$D$56:AP$56,"&gt;="&amp;33)=0,0,SUP_CONTROL!$C$8*IF($B40="V",1,IF($B40="D",(1+SUP_VOLUMEN!$C$26),(1+SUP_VOLUMEN!$C$27)))*INDEX(SUP_C3_EXPANSION!$C$6:$F$6,MIN(4,COUNTIF(CAPA3_EXPANSION!$D$56:AP$56,"&gt;="&amp;33)))*CAPA3_EXPANSION!AP$36)</f>
        <v>0</v>
      </c>
      <c r="AQ40" s="298" t="n">
        <f aca="false">IF(COUNTIF(CAPA3_EXPANSION!$D$56:AQ$56,"&gt;="&amp;33)=0,0,SUP_CONTROL!$C$8*IF($B40="V",1,IF($B40="D",(1+SUP_VOLUMEN!$C$26),(1+SUP_VOLUMEN!$C$27)))*INDEX(SUP_C3_EXPANSION!$C$6:$F$6,MIN(4,COUNTIF(CAPA3_EXPANSION!$D$56:AQ$56,"&gt;="&amp;33)))*CAPA3_EXPANSION!AQ$36)</f>
        <v>0</v>
      </c>
      <c r="AR40" s="298" t="n">
        <f aca="false">IF(COUNTIF(CAPA3_EXPANSION!$D$56:AR$56,"&gt;="&amp;33)=0,0,SUP_CONTROL!$C$8*IF($B40="V",1,IF($B40="D",(1+SUP_VOLUMEN!$C$26),(1+SUP_VOLUMEN!$C$27)))*INDEX(SUP_C3_EXPANSION!$C$6:$F$6,MIN(4,COUNTIF(CAPA3_EXPANSION!$D$56:AR$56,"&gt;="&amp;33)))*CAPA3_EXPANSION!AR$36)</f>
        <v>0</v>
      </c>
      <c r="AS40" s="298" t="n">
        <f aca="false">IF(COUNTIF(CAPA3_EXPANSION!$D$56:AS$56,"&gt;="&amp;33)=0,0,SUP_CONTROL!$C$8*IF($B40="V",1,IF($B40="D",(1+SUP_VOLUMEN!$C$26),(1+SUP_VOLUMEN!$C$27)))*INDEX(SUP_C3_EXPANSION!$C$6:$F$6,MIN(4,COUNTIF(CAPA3_EXPANSION!$D$56:AS$56,"&gt;="&amp;33)))*CAPA3_EXPANSION!AS$36)</f>
        <v>0</v>
      </c>
      <c r="AT40" s="298" t="n">
        <f aca="false">IF(COUNTIF(CAPA3_EXPANSION!$D$56:AT$56,"&gt;="&amp;33)=0,0,SUP_CONTROL!$C$8*IF($B40="V",1,IF($B40="D",(1+SUP_VOLUMEN!$C$26),(1+SUP_VOLUMEN!$C$27)))*INDEX(SUP_C3_EXPANSION!$C$6:$F$6,MIN(4,COUNTIF(CAPA3_EXPANSION!$D$56:AT$56,"&gt;="&amp;33)))*CAPA3_EXPANSION!AT$36)</f>
        <v>0</v>
      </c>
      <c r="AU40" s="298" t="n">
        <f aca="false">IF(COUNTIF(CAPA3_EXPANSION!$D$56:AU$56,"&gt;="&amp;33)=0,0,SUP_CONTROL!$C$8*IF($B40="V",1,IF($B40="D",(1+SUP_VOLUMEN!$C$26),(1+SUP_VOLUMEN!$C$27)))*INDEX(SUP_C3_EXPANSION!$C$6:$F$6,MIN(4,COUNTIF(CAPA3_EXPANSION!$D$56:AU$56,"&gt;="&amp;33)))*CAPA3_EXPANSION!AU$36)</f>
        <v>0</v>
      </c>
      <c r="AV40" s="298" t="n">
        <f aca="false">IF(COUNTIF(CAPA3_EXPANSION!$D$56:AV$56,"&gt;="&amp;33)=0,0,SUP_CONTROL!$C$8*IF($B40="V",1,IF($B40="D",(1+SUP_VOLUMEN!$C$26),(1+SUP_VOLUMEN!$C$27)))*INDEX(SUP_C3_EXPANSION!$C$6:$F$6,MIN(4,COUNTIF(CAPA3_EXPANSION!$D$56:AV$56,"&gt;="&amp;33)))*CAPA3_EXPANSION!AV$36)</f>
        <v>0</v>
      </c>
      <c r="AW40" s="298" t="n">
        <f aca="false">IF(COUNTIF(CAPA3_EXPANSION!$D$56:AW$56,"&gt;="&amp;33)=0,0,SUP_CONTROL!$C$8*IF($B40="V",1,IF($B40="D",(1+SUP_VOLUMEN!$C$26),(1+SUP_VOLUMEN!$C$27)))*INDEX(SUP_C3_EXPANSION!$C$6:$F$6,MIN(4,COUNTIF(CAPA3_EXPANSION!$D$56:AW$56,"&gt;="&amp;33)))*CAPA3_EXPANSION!AW$36)</f>
        <v>0</v>
      </c>
      <c r="AX40" s="298" t="n">
        <f aca="false">IF(COUNTIF(CAPA3_EXPANSION!$D$56:AX$56,"&gt;="&amp;33)=0,0,SUP_CONTROL!$C$8*IF($B40="V",1,IF($B40="D",(1+SUP_VOLUMEN!$C$26),(1+SUP_VOLUMEN!$C$27)))*INDEX(SUP_C3_EXPANSION!$C$6:$F$6,MIN(4,COUNTIF(CAPA3_EXPANSION!$D$56:AX$56,"&gt;="&amp;33)))*CAPA3_EXPANSION!AX$36)</f>
        <v>0</v>
      </c>
      <c r="AY40" s="298" t="n">
        <f aca="false">IF(COUNTIF(CAPA3_EXPANSION!$D$56:AY$56,"&gt;="&amp;33)=0,0,SUP_CONTROL!$C$8*IF($B40="V",1,IF($B40="D",(1+SUP_VOLUMEN!$C$26),(1+SUP_VOLUMEN!$C$27)))*INDEX(SUP_C3_EXPANSION!$C$6:$F$6,MIN(4,COUNTIF(CAPA3_EXPANSION!$D$56:AY$56,"&gt;="&amp;33)))*CAPA3_EXPANSION!AY$36)</f>
        <v>0</v>
      </c>
      <c r="AZ40" s="298" t="n">
        <f aca="false">IF(COUNTIF(CAPA3_EXPANSION!$D$56:AZ$56,"&gt;="&amp;33)=0,0,SUP_CONTROL!$C$8*IF($B40="V",1,IF($B40="D",(1+SUP_VOLUMEN!$C$26),(1+SUP_VOLUMEN!$C$27)))*INDEX(SUP_C3_EXPANSION!$C$6:$F$6,MIN(4,COUNTIF(CAPA3_EXPANSION!$D$56:AZ$56,"&gt;="&amp;33)))*CAPA3_EXPANSION!AZ$36)</f>
        <v>0</v>
      </c>
      <c r="BA40" s="298" t="n">
        <f aca="false">IF(COUNTIF(CAPA3_EXPANSION!$D$56:BA$56,"&gt;="&amp;33)=0,0,SUP_CONTROL!$C$8*IF($B40="V",1,IF($B40="D",(1+SUP_VOLUMEN!$C$26),(1+SUP_VOLUMEN!$C$27)))*INDEX(SUP_C3_EXPANSION!$C$6:$F$6,MIN(4,COUNTIF(CAPA3_EXPANSION!$D$56:BA$56,"&gt;="&amp;33)))*CAPA3_EXPANSION!BA$36)</f>
        <v>0</v>
      </c>
      <c r="BB40" s="298" t="n">
        <f aca="false">IF(COUNTIF(CAPA3_EXPANSION!$D$56:BB$56,"&gt;="&amp;33)=0,0,SUP_CONTROL!$C$8*IF($B40="V",1,IF($B40="D",(1+SUP_VOLUMEN!$C$26),(1+SUP_VOLUMEN!$C$27)))*INDEX(SUP_C3_EXPANSION!$C$6:$F$6,MIN(4,COUNTIF(CAPA3_EXPANSION!$D$56:BB$56,"&gt;="&amp;33)))*CAPA3_EXPANSION!BB$36)</f>
        <v>0</v>
      </c>
      <c r="BC40" s="298" t="n">
        <f aca="false">IF(COUNTIF(CAPA3_EXPANSION!$D$56:BC$56,"&gt;="&amp;33)=0,0,SUP_CONTROL!$C$8*IF($B40="V",1,IF($B40="D",(1+SUP_VOLUMEN!$C$26),(1+SUP_VOLUMEN!$C$27)))*INDEX(SUP_C3_EXPANSION!$C$6:$F$6,MIN(4,COUNTIF(CAPA3_EXPANSION!$D$56:BC$56,"&gt;="&amp;33)))*CAPA3_EXPANSION!BC$36)</f>
        <v>0</v>
      </c>
      <c r="BD40" s="298" t="n">
        <f aca="false">IF(COUNTIF(CAPA3_EXPANSION!$D$56:BD$56,"&gt;="&amp;33)=0,0,SUP_CONTROL!$C$8*IF($B40="V",1,IF($B40="D",(1+SUP_VOLUMEN!$C$26),(1+SUP_VOLUMEN!$C$27)))*INDEX(SUP_C3_EXPANSION!$C$6:$F$6,MIN(4,COUNTIF(CAPA3_EXPANSION!$D$56:BD$56,"&gt;="&amp;33)))*CAPA3_EXPANSION!BD$36)</f>
        <v>0</v>
      </c>
      <c r="BE40" s="298" t="n">
        <f aca="false">IF(COUNTIF(CAPA3_EXPANSION!$D$56:BE$56,"&gt;="&amp;33)=0,0,SUP_CONTROL!$C$8*IF($B40="V",1,IF($B40="D",(1+SUP_VOLUMEN!$C$26),(1+SUP_VOLUMEN!$C$27)))*INDEX(SUP_C3_EXPANSION!$C$6:$F$6,MIN(4,COUNTIF(CAPA3_EXPANSION!$D$56:BE$56,"&gt;="&amp;33)))*CAPA3_EXPANSION!BE$36)</f>
        <v>0</v>
      </c>
      <c r="BF40" s="298" t="n">
        <f aca="false">IF(COUNTIF(CAPA3_EXPANSION!$D$56:BF$56,"&gt;="&amp;33)=0,0,SUP_CONTROL!$C$8*IF($B40="V",1,IF($B40="D",(1+SUP_VOLUMEN!$C$26),(1+SUP_VOLUMEN!$C$27)))*INDEX(SUP_C3_EXPANSION!$C$6:$F$6,MIN(4,COUNTIF(CAPA3_EXPANSION!$D$56:BF$56,"&gt;="&amp;33)))*CAPA3_EXPANSION!BF$36)</f>
        <v>0</v>
      </c>
      <c r="BG40" s="298" t="n">
        <f aca="false">IF(COUNTIF(CAPA3_EXPANSION!$D$56:BG$56,"&gt;="&amp;33)=0,0,SUP_CONTROL!$C$8*IF($B40="V",1,IF($B40="D",(1+SUP_VOLUMEN!$C$26),(1+SUP_VOLUMEN!$C$27)))*INDEX(SUP_C3_EXPANSION!$C$6:$F$6,MIN(4,COUNTIF(CAPA3_EXPANSION!$D$56:BG$56,"&gt;="&amp;33)))*CAPA3_EXPANSION!BG$36)</f>
        <v>0</v>
      </c>
      <c r="BH40" s="298" t="n">
        <f aca="false">IF(COUNTIF(CAPA3_EXPANSION!$D$56:BH$56,"&gt;="&amp;33)=0,0,SUP_CONTROL!$C$8*IF($B40="V",1,IF($B40="D",(1+SUP_VOLUMEN!$C$26),(1+SUP_VOLUMEN!$C$27)))*INDEX(SUP_C3_EXPANSION!$C$6:$F$6,MIN(4,COUNTIF(CAPA3_EXPANSION!$D$56:BH$56,"&gt;="&amp;33)))*CAPA3_EXPANSION!BH$36)</f>
        <v>0</v>
      </c>
      <c r="BI40" s="298" t="n">
        <f aca="false">IF(COUNTIF(CAPA3_EXPANSION!$D$56:BI$56,"&gt;="&amp;33)=0,0,SUP_CONTROL!$C$8*IF($B40="V",1,IF($B40="D",(1+SUP_VOLUMEN!$C$26),(1+SUP_VOLUMEN!$C$27)))*INDEX(SUP_C3_EXPANSION!$C$6:$F$6,MIN(4,COUNTIF(CAPA3_EXPANSION!$D$56:BI$56,"&gt;="&amp;33)))*CAPA3_EXPANSION!BI$36)</f>
        <v>0</v>
      </c>
      <c r="BJ40" s="298" t="n">
        <f aca="false">IF(COUNTIF(CAPA3_EXPANSION!$D$56:BJ$56,"&gt;="&amp;33)=0,0,SUP_CONTROL!$C$8*IF($B40="V",1,IF($B40="D",(1+SUP_VOLUMEN!$C$26),(1+SUP_VOLUMEN!$C$27)))*INDEX(SUP_C3_EXPANSION!$C$6:$F$6,MIN(4,COUNTIF(CAPA3_EXPANSION!$D$56:BJ$56,"&gt;="&amp;33)))*CAPA3_EXPANSION!BJ$36)</f>
        <v>0</v>
      </c>
      <c r="BK40" s="298" t="n">
        <f aca="false">IF(COUNTIF(CAPA3_EXPANSION!$D$56:BK$56,"&gt;="&amp;33)=0,0,SUP_CONTROL!$C$8*IF($B40="V",1,IF($B40="D",(1+SUP_VOLUMEN!$C$26),(1+SUP_VOLUMEN!$C$27)))*INDEX(SUP_C3_EXPANSION!$C$6:$F$6,MIN(4,COUNTIF(CAPA3_EXPANSION!$D$56:BK$56,"&gt;="&amp;33)))*CAPA3_EXPANSION!BK$36)</f>
        <v>0</v>
      </c>
      <c r="BL40" s="298" t="n">
        <f aca="false">IF(COUNTIF(CAPA3_EXPANSION!$D$56:BL$56,"&gt;="&amp;33)=0,0,SUP_CONTROL!$C$8*IF($B40="V",1,IF($B40="D",(1+SUP_VOLUMEN!$C$26),(1+SUP_VOLUMEN!$C$27)))*INDEX(SUP_C3_EXPANSION!$C$6:$F$6,MIN(4,COUNTIF(CAPA3_EXPANSION!$D$56:BL$56,"&gt;="&amp;33)))*CAPA3_EXPANSION!BL$36)</f>
        <v>0</v>
      </c>
      <c r="BM40" s="298" t="n">
        <f aca="false">IF(COUNTIF(CAPA3_EXPANSION!$D$56:BM$56,"&gt;="&amp;33)=0,0,SUP_CONTROL!$C$8*IF($B40="V",1,IF($B40="D",(1+SUP_VOLUMEN!$C$26),(1+SUP_VOLUMEN!$C$27)))*INDEX(SUP_C3_EXPANSION!$C$6:$F$6,MIN(4,COUNTIF(CAPA3_EXPANSION!$D$56:BM$56,"&gt;="&amp;33)))*CAPA3_EXPANSION!BM$36)</f>
        <v>0</v>
      </c>
      <c r="BN40" s="298" t="n">
        <f aca="false">IF(COUNTIF(CAPA3_EXPANSION!$D$56:BN$56,"&gt;="&amp;33)=0,0,SUP_CONTROL!$C$8*IF($B40="V",1,IF($B40="D",(1+SUP_VOLUMEN!$C$26),(1+SUP_VOLUMEN!$C$27)))*INDEX(SUP_C3_EXPANSION!$C$6:$F$6,MIN(4,COUNTIF(CAPA3_EXPANSION!$D$56:BN$56,"&gt;="&amp;33)))*CAPA3_EXPANSION!BN$36)</f>
        <v>0</v>
      </c>
      <c r="BO40" s="298" t="n">
        <f aca="false">IF(COUNTIF(CAPA3_EXPANSION!$D$56:BO$56,"&gt;="&amp;33)=0,0,SUP_CONTROL!$C$8*IF($B40="V",1,IF($B40="D",(1+SUP_VOLUMEN!$C$26),(1+SUP_VOLUMEN!$C$27)))*INDEX(SUP_C3_EXPANSION!$C$6:$F$6,MIN(4,COUNTIF(CAPA3_EXPANSION!$D$56:BO$56,"&gt;="&amp;33)))*CAPA3_EXPANSION!BO$36)</f>
        <v>0</v>
      </c>
      <c r="BP40" s="298" t="n">
        <f aca="false">IF(COUNTIF(CAPA3_EXPANSION!$D$56:BP$56,"&gt;="&amp;33)=0,0,SUP_CONTROL!$C$8*IF($B40="V",1,IF($B40="D",(1+SUP_VOLUMEN!$C$26),(1+SUP_VOLUMEN!$C$27)))*INDEX(SUP_C3_EXPANSION!$C$6:$F$6,MIN(4,COUNTIF(CAPA3_EXPANSION!$D$56:BP$56,"&gt;="&amp;33)))*CAPA3_EXPANSION!BP$36)</f>
        <v>0</v>
      </c>
      <c r="BQ40" s="298" t="n">
        <f aca="false">IF(COUNTIF(CAPA3_EXPANSION!$D$56:BQ$56,"&gt;="&amp;33)=0,0,SUP_CONTROL!$C$8*IF($B40="V",1,IF($B40="D",(1+SUP_VOLUMEN!$C$26),(1+SUP_VOLUMEN!$C$27)))*INDEX(SUP_C3_EXPANSION!$C$6:$F$6,MIN(4,COUNTIF(CAPA3_EXPANSION!$D$56:BQ$56,"&gt;="&amp;33)))*CAPA3_EXPANSION!BQ$36)</f>
        <v>0</v>
      </c>
      <c r="BR40" s="298" t="n">
        <f aca="false">IF(COUNTIF(CAPA3_EXPANSION!$D$56:BR$56,"&gt;="&amp;33)=0,0,SUP_CONTROL!$C$8*IF($B40="V",1,IF($B40="D",(1+SUP_VOLUMEN!$C$26),(1+SUP_VOLUMEN!$C$27)))*INDEX(SUP_C3_EXPANSION!$C$6:$F$6,MIN(4,COUNTIF(CAPA3_EXPANSION!$D$56:BR$56,"&gt;="&amp;33)))*CAPA3_EXPANSION!BR$36)</f>
        <v>0</v>
      </c>
      <c r="BS40" s="298" t="n">
        <f aca="false">IF(COUNTIF(CAPA3_EXPANSION!$D$56:BS$56,"&gt;="&amp;33)=0,0,SUP_CONTROL!$C$8*IF($B40="V",1,IF($B40="D",(1+SUP_VOLUMEN!$C$26),(1+SUP_VOLUMEN!$C$27)))*INDEX(SUP_C3_EXPANSION!$C$6:$F$6,MIN(4,COUNTIF(CAPA3_EXPANSION!$D$56:BS$56,"&gt;="&amp;33)))*CAPA3_EXPANSION!BS$36)</f>
        <v>0</v>
      </c>
      <c r="BT40" s="298" t="n">
        <f aca="false">IF(COUNTIF(CAPA3_EXPANSION!$D$56:BT$56,"&gt;="&amp;33)=0,0,SUP_CONTROL!$C$8*IF($B40="V",1,IF($B40="D",(1+SUP_VOLUMEN!$C$26),(1+SUP_VOLUMEN!$C$27)))*INDEX(SUP_C3_EXPANSION!$C$6:$F$6,MIN(4,COUNTIF(CAPA3_EXPANSION!$D$56:BT$56,"&gt;="&amp;33)))*CAPA3_EXPANSION!BT$36)</f>
        <v>0</v>
      </c>
      <c r="BU40" s="298" t="n">
        <f aca="false">IF(COUNTIF(CAPA3_EXPANSION!$D$56:BU$56,"&gt;="&amp;33)=0,0,SUP_CONTROL!$C$8*IF($B40="V",1,IF($B40="D",(1+SUP_VOLUMEN!$C$26),(1+SUP_VOLUMEN!$C$27)))*INDEX(SUP_C3_EXPANSION!$C$6:$F$6,MIN(4,COUNTIF(CAPA3_EXPANSION!$D$56:BU$56,"&gt;="&amp;33)))*CAPA3_EXPANSION!BU$36)</f>
        <v>0</v>
      </c>
      <c r="BV40" s="298" t="n">
        <f aca="false">IF(COUNTIF(CAPA3_EXPANSION!$D$56:BV$56,"&gt;="&amp;33)=0,0,SUP_CONTROL!$C$8*IF($B40="V",1,IF($B40="D",(1+SUP_VOLUMEN!$C$26),(1+SUP_VOLUMEN!$C$27)))*INDEX(SUP_C3_EXPANSION!$C$6:$F$6,MIN(4,COUNTIF(CAPA3_EXPANSION!$D$56:BV$56,"&gt;="&amp;33)))*CAPA3_EXPANSION!BV$36)</f>
        <v>0</v>
      </c>
      <c r="BW40" s="298" t="n">
        <f aca="false">IF(COUNTIF(CAPA3_EXPANSION!$D$56:BW$56,"&gt;="&amp;33)=0,0,SUP_CONTROL!$C$8*IF($B40="V",1,IF($B40="D",(1+SUP_VOLUMEN!$C$26),(1+SUP_VOLUMEN!$C$27)))*INDEX(SUP_C3_EXPANSION!$C$6:$F$6,MIN(4,COUNTIF(CAPA3_EXPANSION!$D$56:BW$56,"&gt;="&amp;33)))*CAPA3_EXPANSION!BW$36)</f>
        <v>0</v>
      </c>
      <c r="BX40" s="298" t="n">
        <f aca="false">IF(COUNTIF(CAPA3_EXPANSION!$D$56:BX$56,"&gt;="&amp;33)=0,0,SUP_CONTROL!$C$8*IF($B40="V",1,IF($B40="D",(1+SUP_VOLUMEN!$C$26),(1+SUP_VOLUMEN!$C$27)))*INDEX(SUP_C3_EXPANSION!$C$6:$F$6,MIN(4,COUNTIF(CAPA3_EXPANSION!$D$56:BX$56,"&gt;="&amp;33)))*CAPA3_EXPANSION!BX$36)</f>
        <v>0</v>
      </c>
      <c r="BY40" s="298" t="n">
        <f aca="false">IF(COUNTIF(CAPA3_EXPANSION!$D$56:BY$56,"&gt;="&amp;33)=0,0,SUP_CONTROL!$C$8*IF($B40="V",1,IF($B40="D",(1+SUP_VOLUMEN!$C$26),(1+SUP_VOLUMEN!$C$27)))*INDEX(SUP_C3_EXPANSION!$C$6:$F$6,MIN(4,COUNTIF(CAPA3_EXPANSION!$D$56:BY$56,"&gt;="&amp;33)))*CAPA3_EXPANSION!BY$36)</f>
        <v>0</v>
      </c>
      <c r="BZ40" s="298" t="n">
        <f aca="false">IF(COUNTIF(CAPA3_EXPANSION!$D$56:BZ$56,"&gt;="&amp;33)=0,0,SUP_CONTROL!$C$8*IF($B40="V",1,IF($B40="D",(1+SUP_VOLUMEN!$C$26),(1+SUP_VOLUMEN!$C$27)))*INDEX(SUP_C3_EXPANSION!$C$6:$F$6,MIN(4,COUNTIF(CAPA3_EXPANSION!$D$56:BZ$56,"&gt;="&amp;33)))*CAPA3_EXPANSION!BZ$36)</f>
        <v>0</v>
      </c>
      <c r="CA40" s="298" t="n">
        <f aca="false">IF(COUNTIF(CAPA3_EXPANSION!$D$56:CA$56,"&gt;="&amp;33)=0,0,SUP_CONTROL!$C$8*IF($B40="V",1,IF($B40="D",(1+SUP_VOLUMEN!$C$26),(1+SUP_VOLUMEN!$C$27)))*INDEX(SUP_C3_EXPANSION!$C$6:$F$6,MIN(4,COUNTIF(CAPA3_EXPANSION!$D$56:CA$56,"&gt;="&amp;33)))*CAPA3_EXPANSION!CA$36)</f>
        <v>0</v>
      </c>
      <c r="CB40" s="298" t="n">
        <f aca="false">IF(COUNTIF(CAPA3_EXPANSION!$D$56:CB$56,"&gt;="&amp;33)=0,0,SUP_CONTROL!$C$8*IF($B40="V",1,IF($B40="D",(1+SUP_VOLUMEN!$C$26),(1+SUP_VOLUMEN!$C$27)))*INDEX(SUP_C3_EXPANSION!$C$6:$F$6,MIN(4,COUNTIF(CAPA3_EXPANSION!$D$56:CB$56,"&gt;="&amp;33)))*CAPA3_EXPANSION!CB$36)</f>
        <v>0</v>
      </c>
      <c r="CC40" s="298" t="n">
        <f aca="false">IF(COUNTIF(CAPA3_EXPANSION!$D$56:CC$56,"&gt;="&amp;33)=0,0,SUP_CONTROL!$C$8*IF($B40="V",1,IF($B40="D",(1+SUP_VOLUMEN!$C$26),(1+SUP_VOLUMEN!$C$27)))*INDEX(SUP_C3_EXPANSION!$C$6:$F$6,MIN(4,COUNTIF(CAPA3_EXPANSION!$D$56:CC$56,"&gt;="&amp;33)))*CAPA3_EXPANSION!CC$36)</f>
        <v>2320.5</v>
      </c>
      <c r="CD40" s="298" t="n">
        <f aca="false">IF(COUNTIF(CAPA3_EXPANSION!$D$56:CD$56,"&gt;="&amp;33)=0,0,SUP_CONTROL!$C$8*IF($B40="V",1,IF($B40="D",(1+SUP_VOLUMEN!$C$26),(1+SUP_VOLUMEN!$C$27)))*INDEX(SUP_C3_EXPANSION!$C$6:$F$6,MIN(4,COUNTIF(CAPA3_EXPANSION!$D$56:CD$56,"&gt;="&amp;33)))*CAPA3_EXPANSION!CD$36)</f>
        <v>2856</v>
      </c>
      <c r="CE40" s="298" t="n">
        <f aca="false">IF(COUNTIF(CAPA3_EXPANSION!$D$56:CE$56,"&gt;="&amp;33)=0,0,SUP_CONTROL!$C$8*IF($B40="V",1,IF($B40="D",(1+SUP_VOLUMEN!$C$26),(1+SUP_VOLUMEN!$C$27)))*INDEX(SUP_C3_EXPANSION!$C$6:$F$6,MIN(4,COUNTIF(CAPA3_EXPANSION!$D$56:CE$56,"&gt;="&amp;33)))*CAPA3_EXPANSION!CE$36)</f>
        <v>3213</v>
      </c>
      <c r="CF40" s="298" t="n">
        <f aca="false">IF(COUNTIF(CAPA3_EXPANSION!$D$56:CF$56,"&gt;="&amp;33)=0,0,SUP_CONTROL!$C$8*IF($B40="V",1,IF($B40="D",(1+SUP_VOLUMEN!$C$26),(1+SUP_VOLUMEN!$C$27)))*INDEX(SUP_C3_EXPANSION!$C$6:$F$6,MIN(4,COUNTIF(CAPA3_EXPANSION!$D$56:CF$56,"&gt;="&amp;33)))*CAPA3_EXPANSION!CF$36)</f>
        <v>3570</v>
      </c>
      <c r="CG40" s="298" t="n">
        <f aca="false">IF(COUNTIF(CAPA3_EXPANSION!$D$56:CG$56,"&gt;="&amp;33)=0,0,SUP_CONTROL!$C$8*IF($B40="V",1,IF($B40="D",(1+SUP_VOLUMEN!$C$26),(1+SUP_VOLUMEN!$C$27)))*INDEX(SUP_C3_EXPANSION!$C$6:$F$6,MIN(4,COUNTIF(CAPA3_EXPANSION!$D$56:CG$56,"&gt;="&amp;33)))*CAPA3_EXPANSION!CG$36)</f>
        <v>3528</v>
      </c>
      <c r="CH40" s="298" t="n">
        <f aca="false">IF(COUNTIF(CAPA3_EXPANSION!$D$56:CH$56,"&gt;="&amp;33)=0,0,SUP_CONTROL!$C$8*IF($B40="V",1,IF($B40="D",(1+SUP_VOLUMEN!$C$26),(1+SUP_VOLUMEN!$C$27)))*INDEX(SUP_C3_EXPANSION!$C$6:$F$6,MIN(4,COUNTIF(CAPA3_EXPANSION!$D$56:CH$56,"&gt;="&amp;33)))*CAPA3_EXPANSION!CH$36)</f>
        <v>3528</v>
      </c>
      <c r="CI40" s="298" t="n">
        <f aca="false">IF(COUNTIF(CAPA3_EXPANSION!$D$56:CI$56,"&gt;="&amp;33)=0,0,SUP_CONTROL!$C$8*IF($B40="V",1,IF($B40="D",(1+SUP_VOLUMEN!$C$26),(1+SUP_VOLUMEN!$C$27)))*INDEX(SUP_C3_EXPANSION!$C$6:$F$6,MIN(4,COUNTIF(CAPA3_EXPANSION!$D$56:CI$56,"&gt;="&amp;33)))*CAPA3_EXPANSION!CI$36)</f>
        <v>3528</v>
      </c>
      <c r="CJ40" s="298" t="n">
        <f aca="false">IF(COUNTIF(CAPA3_EXPANSION!$D$56:CJ$56,"&gt;="&amp;33)=0,0,SUP_CONTROL!$C$8*IF($B40="V",1,IF($B40="D",(1+SUP_VOLUMEN!$C$26),(1+SUP_VOLUMEN!$C$27)))*INDEX(SUP_C3_EXPANSION!$C$6:$F$6,MIN(4,COUNTIF(CAPA3_EXPANSION!$D$56:CJ$56,"&gt;="&amp;33)))*CAPA3_EXPANSION!CJ$36)</f>
        <v>3528</v>
      </c>
      <c r="CK40" s="298" t="n">
        <f aca="false">IF(COUNTIF(CAPA3_EXPANSION!$D$56:CK$56,"&gt;="&amp;33)=0,0,SUP_CONTROL!$C$8*IF($B40="V",1,IF($B40="D",(1+SUP_VOLUMEN!$C$26),(1+SUP_VOLUMEN!$C$27)))*INDEX(SUP_C3_EXPANSION!$C$6:$F$6,MIN(4,COUNTIF(CAPA3_EXPANSION!$D$56:CK$56,"&gt;="&amp;33)))*CAPA3_EXPANSION!CK$36)</f>
        <v>3528</v>
      </c>
      <c r="CL40" s="298" t="n">
        <f aca="false">IF(COUNTIF(CAPA3_EXPANSION!$D$56:CL$56,"&gt;="&amp;33)=0,0,SUP_CONTROL!$C$8*IF($B40="V",1,IF($B40="D",(1+SUP_VOLUMEN!$C$26),(1+SUP_VOLUMEN!$C$27)))*INDEX(SUP_C3_EXPANSION!$C$6:$F$6,MIN(4,COUNTIF(CAPA3_EXPANSION!$D$56:CL$56,"&gt;="&amp;33)))*CAPA3_EXPANSION!CL$36)</f>
        <v>3528</v>
      </c>
      <c r="CM40" s="298" t="n">
        <f aca="false">IF(COUNTIF(CAPA3_EXPANSION!$D$56:CM$56,"&gt;="&amp;33)=0,0,SUP_CONTROL!$C$8*IF($B40="V",1,IF($B40="D",(1+SUP_VOLUMEN!$C$26),(1+SUP_VOLUMEN!$C$27)))*INDEX(SUP_C3_EXPANSION!$C$6:$F$6,MIN(4,COUNTIF(CAPA3_EXPANSION!$D$56:CM$56,"&gt;="&amp;33)))*CAPA3_EXPANSION!CM$36)</f>
        <v>3528</v>
      </c>
      <c r="CN40" s="298" t="n">
        <f aca="false">IF(COUNTIF(CAPA3_EXPANSION!$D$56:CN$56,"&gt;="&amp;33)=0,0,SUP_CONTROL!$C$8*IF($B40="V",1,IF($B40="D",(1+SUP_VOLUMEN!$C$26),(1+SUP_VOLUMEN!$C$27)))*INDEX(SUP_C3_EXPANSION!$C$6:$F$6,MIN(4,COUNTIF(CAPA3_EXPANSION!$D$56:CN$56,"&gt;="&amp;33)))*CAPA3_EXPANSION!CN$36)</f>
        <v>3528</v>
      </c>
      <c r="CO40" s="298" t="n">
        <f aca="false">IF(COUNTIF(CAPA3_EXPANSION!$D$56:CO$56,"&gt;="&amp;33)=0,0,SUP_CONTROL!$C$8*IF($B40="V",1,IF($B40="D",(1+SUP_VOLUMEN!$C$26),(1+SUP_VOLUMEN!$C$27)))*INDEX(SUP_C3_EXPANSION!$C$6:$F$6,MIN(4,COUNTIF(CAPA3_EXPANSION!$D$56:CO$56,"&gt;="&amp;33)))*CAPA3_EXPANSION!CO$36)</f>
        <v>3528</v>
      </c>
      <c r="CP40" s="298" t="n">
        <f aca="false">IF(COUNTIF(CAPA3_EXPANSION!$D$56:CP$56,"&gt;="&amp;33)=0,0,SUP_CONTROL!$C$8*IF($B40="V",1,IF($B40="D",(1+SUP_VOLUMEN!$C$26),(1+SUP_VOLUMEN!$C$27)))*INDEX(SUP_C3_EXPANSION!$C$6:$F$6,MIN(4,COUNTIF(CAPA3_EXPANSION!$D$56:CP$56,"&gt;="&amp;33)))*CAPA3_EXPANSION!CP$36)</f>
        <v>3528</v>
      </c>
      <c r="CQ40" s="298" t="n">
        <f aca="false">IF(COUNTIF(CAPA3_EXPANSION!$D$56:CQ$56,"&gt;="&amp;33)=0,0,SUP_CONTROL!$C$8*IF($B40="V",1,IF($B40="D",(1+SUP_VOLUMEN!$C$26),(1+SUP_VOLUMEN!$C$27)))*INDEX(SUP_C3_EXPANSION!$C$6:$F$6,MIN(4,COUNTIF(CAPA3_EXPANSION!$D$56:CQ$56,"&gt;="&amp;33)))*CAPA3_EXPANSION!CQ$36)</f>
        <v>3528</v>
      </c>
      <c r="CR40" s="298" t="n">
        <f aca="false">IF(COUNTIF(CAPA3_EXPANSION!$D$56:CR$56,"&gt;="&amp;33)=0,0,SUP_CONTROL!$C$8*IF($B40="V",1,IF($B40="D",(1+SUP_VOLUMEN!$C$26),(1+SUP_VOLUMEN!$C$27)))*INDEX(SUP_C3_EXPANSION!$C$6:$F$6,MIN(4,COUNTIF(CAPA3_EXPANSION!$D$56:CR$56,"&gt;="&amp;33)))*CAPA3_EXPANSION!CR$36)</f>
        <v>3528</v>
      </c>
      <c r="CS40" s="298" t="n">
        <f aca="false">IF(COUNTIF(CAPA3_EXPANSION!$D$56:CS$56,"&gt;="&amp;33)=0,0,SUP_CONTROL!$C$8*IF($B40="V",1,IF($B40="D",(1+SUP_VOLUMEN!$C$26),(1+SUP_VOLUMEN!$C$27)))*INDEX(SUP_C3_EXPANSION!$C$6:$F$6,MIN(4,COUNTIF(CAPA3_EXPANSION!$D$56:CS$56,"&gt;="&amp;33)))*CAPA3_EXPANSION!CS$36)</f>
        <v>3528</v>
      </c>
      <c r="CT40" s="298" t="n">
        <f aca="false">IF(COUNTIF(CAPA3_EXPANSION!$D$56:CT$56,"&gt;="&amp;33)=0,0,SUP_CONTROL!$C$8*IF($B40="V",1,IF($B40="D",(1+SUP_VOLUMEN!$C$26),(1+SUP_VOLUMEN!$C$27)))*INDEX(SUP_C3_EXPANSION!$C$6:$F$6,MIN(4,COUNTIF(CAPA3_EXPANSION!$D$56:CT$56,"&gt;="&amp;33)))*CAPA3_EXPANSION!CT$36)</f>
        <v>3528</v>
      </c>
      <c r="CU40" s="298" t="n">
        <f aca="false">IF(COUNTIF(CAPA3_EXPANSION!$D$56:CU$56,"&gt;="&amp;33)=0,0,SUP_CONTROL!$C$8*IF($B40="V",1,IF($B40="D",(1+SUP_VOLUMEN!$C$26),(1+SUP_VOLUMEN!$C$27)))*INDEX(SUP_C3_EXPANSION!$C$6:$F$6,MIN(4,COUNTIF(CAPA3_EXPANSION!$D$56:CU$56,"&gt;="&amp;33)))*CAPA3_EXPANSION!CU$36)</f>
        <v>3528</v>
      </c>
      <c r="CV40" s="298" t="n">
        <f aca="false">IF(COUNTIF(CAPA3_EXPANSION!$D$56:CV$56,"&gt;="&amp;33)=0,0,SUP_CONTROL!$C$8*IF($B40="V",1,IF($B40="D",(1+SUP_VOLUMEN!$C$26),(1+SUP_VOLUMEN!$C$27)))*INDEX(SUP_C3_EXPANSION!$C$6:$F$6,MIN(4,COUNTIF(CAPA3_EXPANSION!$D$56:CV$56,"&gt;="&amp;33)))*CAPA3_EXPANSION!CV$36)</f>
        <v>3528</v>
      </c>
      <c r="CW40" s="298" t="n">
        <f aca="false">IF(COUNTIF(CAPA3_EXPANSION!$D$56:CW$56,"&gt;="&amp;33)=0,0,SUP_CONTROL!$C$8*IF($B40="V",1,IF($B40="D",(1+SUP_VOLUMEN!$C$26),(1+SUP_VOLUMEN!$C$27)))*INDEX(SUP_C3_EXPANSION!$C$6:$F$6,MIN(4,COUNTIF(CAPA3_EXPANSION!$D$56:CW$56,"&gt;="&amp;33)))*CAPA3_EXPANSION!CW$36)</f>
        <v>3528</v>
      </c>
      <c r="CX40" s="298" t="n">
        <f aca="false">IF(COUNTIF(CAPA3_EXPANSION!$D$56:CX$56,"&gt;="&amp;33)=0,0,SUP_CONTROL!$C$8*IF($B40="V",1,IF($B40="D",(1+SUP_VOLUMEN!$C$26),(1+SUP_VOLUMEN!$C$27)))*INDEX(SUP_C3_EXPANSION!$C$6:$F$6,MIN(4,COUNTIF(CAPA3_EXPANSION!$D$56:CX$56,"&gt;="&amp;33)))*CAPA3_EXPANSION!CX$36)</f>
        <v>3528</v>
      </c>
      <c r="CY40" s="298" t="n">
        <f aca="false">IF(COUNTIF(CAPA3_EXPANSION!$D$56:CY$56,"&gt;="&amp;33)=0,0,SUP_CONTROL!$C$8*IF($B40="V",1,IF($B40="D",(1+SUP_VOLUMEN!$C$26),(1+SUP_VOLUMEN!$C$27)))*INDEX(SUP_C3_EXPANSION!$C$6:$F$6,MIN(4,COUNTIF(CAPA3_EXPANSION!$D$56:CY$56,"&gt;="&amp;33)))*CAPA3_EXPANSION!CY$36)</f>
        <v>3528</v>
      </c>
      <c r="CZ40" s="298" t="n">
        <f aca="false">IF(COUNTIF(CAPA3_EXPANSION!$D$56:CZ$56,"&gt;="&amp;33)=0,0,SUP_CONTROL!$C$8*IF($B40="V",1,IF($B40="D",(1+SUP_VOLUMEN!$C$26),(1+SUP_VOLUMEN!$C$27)))*INDEX(SUP_C3_EXPANSION!$C$6:$F$6,MIN(4,COUNTIF(CAPA3_EXPANSION!$D$56:CZ$56,"&gt;="&amp;33)))*CAPA3_EXPANSION!CZ$36)</f>
        <v>3528</v>
      </c>
      <c r="DA40" s="298" t="n">
        <f aca="false">IF(COUNTIF(CAPA3_EXPANSION!$D$56:DA$56,"&gt;="&amp;33)=0,0,SUP_CONTROL!$C$8*IF($B40="V",1,IF($B40="D",(1+SUP_VOLUMEN!$C$26),(1+SUP_VOLUMEN!$C$27)))*INDEX(SUP_C3_EXPANSION!$C$6:$F$6,MIN(4,COUNTIF(CAPA3_EXPANSION!$D$56:DA$56,"&gt;="&amp;33)))*CAPA3_EXPANSION!DA$36)</f>
        <v>3528</v>
      </c>
      <c r="DB40" s="298" t="n">
        <f aca="false">IF(COUNTIF(CAPA3_EXPANSION!$D$56:DB$56,"&gt;="&amp;33)=0,0,SUP_CONTROL!$C$8*IF($B40="V",1,IF($B40="D",(1+SUP_VOLUMEN!$C$26),(1+SUP_VOLUMEN!$C$27)))*INDEX(SUP_C3_EXPANSION!$C$6:$F$6,MIN(4,COUNTIF(CAPA3_EXPANSION!$D$56:DB$56,"&gt;="&amp;33)))*CAPA3_EXPANSION!DB$36)</f>
        <v>3528</v>
      </c>
      <c r="DC40" s="298" t="n">
        <f aca="false">IF(COUNTIF(CAPA3_EXPANSION!$D$56:DC$56,"&gt;="&amp;33)=0,0,SUP_CONTROL!$C$8*IF($B40="V",1,IF($B40="D",(1+SUP_VOLUMEN!$C$26),(1+SUP_VOLUMEN!$C$27)))*INDEX(SUP_C3_EXPANSION!$C$6:$F$6,MIN(4,COUNTIF(CAPA3_EXPANSION!$D$56:DC$56,"&gt;="&amp;33)))*CAPA3_EXPANSION!DC$36)</f>
        <v>3528</v>
      </c>
      <c r="DD40" s="298" t="n">
        <f aca="false">IF(COUNTIF(CAPA3_EXPANSION!$D$56:DD$56,"&gt;="&amp;33)=0,0,SUP_CONTROL!$C$8*IF($B40="V",1,IF($B40="D",(1+SUP_VOLUMEN!$C$26),(1+SUP_VOLUMEN!$C$27)))*INDEX(SUP_C3_EXPANSION!$C$6:$F$6,MIN(4,COUNTIF(CAPA3_EXPANSION!$D$56:DD$56,"&gt;="&amp;33)))*CAPA3_EXPANSION!DD$36)</f>
        <v>3528</v>
      </c>
      <c r="DE40" s="298" t="n">
        <f aca="false">IF(COUNTIF(CAPA3_EXPANSION!$D$56:DE$56,"&gt;="&amp;33)=0,0,SUP_CONTROL!$C$8*IF($B40="V",1,IF($B40="D",(1+SUP_VOLUMEN!$C$26),(1+SUP_VOLUMEN!$C$27)))*INDEX(SUP_C3_EXPANSION!$C$6:$F$6,MIN(4,COUNTIF(CAPA3_EXPANSION!$D$56:DE$56,"&gt;="&amp;33)))*CAPA3_EXPANSION!DE$36)</f>
        <v>3528</v>
      </c>
      <c r="DF40" s="298" t="n">
        <f aca="false">IF(COUNTIF(CAPA3_EXPANSION!$D$56:DF$56,"&gt;="&amp;33)=0,0,SUP_CONTROL!$C$8*IF($B40="V",1,IF($B40="D",(1+SUP_VOLUMEN!$C$26),(1+SUP_VOLUMEN!$C$27)))*INDEX(SUP_C3_EXPANSION!$C$6:$F$6,MIN(4,COUNTIF(CAPA3_EXPANSION!$D$56:DF$56,"&gt;="&amp;33)))*CAPA3_EXPANSION!DF$36)</f>
        <v>3528</v>
      </c>
      <c r="DG40" s="298" t="n">
        <f aca="false">IF(COUNTIF(CAPA3_EXPANSION!$D$56:DG$56,"&gt;="&amp;33)=0,0,SUP_CONTROL!$C$8*IF($B40="V",1,IF($B40="D",(1+SUP_VOLUMEN!$C$26),(1+SUP_VOLUMEN!$C$27)))*INDEX(SUP_C3_EXPANSION!$C$6:$F$6,MIN(4,COUNTIF(CAPA3_EXPANSION!$D$56:DG$56,"&gt;="&amp;33)))*CAPA3_EXPANSION!DG$36)</f>
        <v>3528</v>
      </c>
      <c r="DH40" s="298" t="n">
        <f aca="false">IF(COUNTIF(CAPA3_EXPANSION!$D$56:DH$56,"&gt;="&amp;33)=0,0,SUP_CONTROL!$C$8*IF($B40="V",1,IF($B40="D",(1+SUP_VOLUMEN!$C$26),(1+SUP_VOLUMEN!$C$27)))*INDEX(SUP_C3_EXPANSION!$C$6:$F$6,MIN(4,COUNTIF(CAPA3_EXPANSION!$D$56:DH$56,"&gt;="&amp;33)))*CAPA3_EXPANSION!DH$36)</f>
        <v>3528</v>
      </c>
      <c r="DI40" s="298" t="n">
        <f aca="false">IF(COUNTIF(CAPA3_EXPANSION!$D$56:DI$56,"&gt;="&amp;33)=0,0,SUP_CONTROL!$C$8*IF($B40="V",1,IF($B40="D",(1+SUP_VOLUMEN!$C$26),(1+SUP_VOLUMEN!$C$27)))*INDEX(SUP_C3_EXPANSION!$C$6:$F$6,MIN(4,COUNTIF(CAPA3_EXPANSION!$D$56:DI$56,"&gt;="&amp;33)))*CAPA3_EXPANSION!DI$36)</f>
        <v>3528</v>
      </c>
      <c r="DJ40" s="298" t="n">
        <f aca="false">IF(COUNTIF(CAPA3_EXPANSION!$D$56:DJ$56,"&gt;="&amp;33)=0,0,SUP_CONTROL!$C$8*IF($B40="V",1,IF($B40="D",(1+SUP_VOLUMEN!$C$26),(1+SUP_VOLUMEN!$C$27)))*INDEX(SUP_C3_EXPANSION!$C$6:$F$6,MIN(4,COUNTIF(CAPA3_EXPANSION!$D$56:DJ$56,"&gt;="&amp;33)))*CAPA3_EXPANSION!DJ$36)</f>
        <v>3528</v>
      </c>
      <c r="DK40" s="298" t="n">
        <f aca="false">IF(COUNTIF(CAPA3_EXPANSION!$D$56:DK$56,"&gt;="&amp;33)=0,0,SUP_CONTROL!$C$8*IF($B40="V",1,IF($B40="D",(1+SUP_VOLUMEN!$C$26),(1+SUP_VOLUMEN!$C$27)))*INDEX(SUP_C3_EXPANSION!$C$6:$F$6,MIN(4,COUNTIF(CAPA3_EXPANSION!$D$56:DK$56,"&gt;="&amp;33)))*CAPA3_EXPANSION!DK$36)</f>
        <v>3528</v>
      </c>
      <c r="DL40" s="298" t="n">
        <f aca="false">IF(COUNTIF(CAPA3_EXPANSION!$D$56:DL$56,"&gt;="&amp;33)=0,0,SUP_CONTROL!$C$8*IF($B40="V",1,IF($B40="D",(1+SUP_VOLUMEN!$C$26),(1+SUP_VOLUMEN!$C$27)))*INDEX(SUP_C3_EXPANSION!$C$6:$F$6,MIN(4,COUNTIF(CAPA3_EXPANSION!$D$56:DL$56,"&gt;="&amp;33)))*CAPA3_EXPANSION!DL$36)</f>
        <v>3528</v>
      </c>
      <c r="DM40" s="298" t="n">
        <f aca="false">IF(COUNTIF(CAPA3_EXPANSION!$D$56:DM$56,"&gt;="&amp;33)=0,0,SUP_CONTROL!$C$8*IF($B40="V",1,IF($B40="D",(1+SUP_VOLUMEN!$C$26),(1+SUP_VOLUMEN!$C$27)))*INDEX(SUP_C3_EXPANSION!$C$6:$F$6,MIN(4,COUNTIF(CAPA3_EXPANSION!$D$56:DM$56,"&gt;="&amp;33)))*CAPA3_EXPANSION!DM$36)</f>
        <v>3528</v>
      </c>
      <c r="DN40" s="298" t="n">
        <f aca="false">IF(COUNTIF(CAPA3_EXPANSION!$D$56:DN$56,"&gt;="&amp;33)=0,0,SUP_CONTROL!$C$8*IF($B40="V",1,IF($B40="D",(1+SUP_VOLUMEN!$C$26),(1+SUP_VOLUMEN!$C$27)))*INDEX(SUP_C3_EXPANSION!$C$6:$F$6,MIN(4,COUNTIF(CAPA3_EXPANSION!$D$56:DN$56,"&gt;="&amp;33)))*CAPA3_EXPANSION!DN$36)</f>
        <v>3528</v>
      </c>
      <c r="DO40" s="298" t="n">
        <f aca="false">IF(COUNTIF(CAPA3_EXPANSION!$D$56:DO$56,"&gt;="&amp;33)=0,0,SUP_CONTROL!$C$8*IF($B40="V",1,IF($B40="D",(1+SUP_VOLUMEN!$C$26),(1+SUP_VOLUMEN!$C$27)))*INDEX(SUP_C3_EXPANSION!$C$6:$F$6,MIN(4,COUNTIF(CAPA3_EXPANSION!$D$56:DO$56,"&gt;="&amp;33)))*CAPA3_EXPANSION!DO$36)</f>
        <v>3528</v>
      </c>
      <c r="DP40" s="298" t="n">
        <f aca="false">IF(COUNTIF(CAPA3_EXPANSION!$D$56:DP$56,"&gt;="&amp;33)=0,0,SUP_CONTROL!$C$8*IF($B40="V",1,IF($B40="D",(1+SUP_VOLUMEN!$C$26),(1+SUP_VOLUMEN!$C$27)))*INDEX(SUP_C3_EXPANSION!$C$6:$F$6,MIN(4,COUNTIF(CAPA3_EXPANSION!$D$56:DP$56,"&gt;="&amp;33)))*CAPA3_EXPANSION!DP$36)</f>
        <v>3528</v>
      </c>
      <c r="DQ40" s="298" t="n">
        <f aca="false">IF(COUNTIF(CAPA3_EXPANSION!$D$56:DQ$56,"&gt;="&amp;33)=0,0,SUP_CONTROL!$C$8*IF($B40="V",1,IF($B40="D",(1+SUP_VOLUMEN!$C$26),(1+SUP_VOLUMEN!$C$27)))*INDEX(SUP_C3_EXPANSION!$C$6:$F$6,MIN(4,COUNTIF(CAPA3_EXPANSION!$D$56:DQ$56,"&gt;="&amp;33)))*CAPA3_EXPANSION!DQ$36)</f>
        <v>3528</v>
      </c>
      <c r="DR40" s="298" t="n">
        <f aca="false">IF(COUNTIF(CAPA3_EXPANSION!$D$56:DR$56,"&gt;="&amp;33)=0,0,SUP_CONTROL!$C$8*IF($B40="V",1,IF($B40="D",(1+SUP_VOLUMEN!$C$26),(1+SUP_VOLUMEN!$C$27)))*INDEX(SUP_C3_EXPANSION!$C$6:$F$6,MIN(4,COUNTIF(CAPA3_EXPANSION!$D$56:DR$56,"&gt;="&amp;33)))*CAPA3_EXPANSION!DR$36)</f>
        <v>3528</v>
      </c>
      <c r="DS40" s="298" t="n">
        <f aca="false">IF(COUNTIF(CAPA3_EXPANSION!$D$56:DS$56,"&gt;="&amp;33)=0,0,SUP_CONTROL!$C$8*IF($B40="V",1,IF($B40="D",(1+SUP_VOLUMEN!$C$26),(1+SUP_VOLUMEN!$C$27)))*INDEX(SUP_C3_EXPANSION!$C$6:$F$6,MIN(4,COUNTIF(CAPA3_EXPANSION!$D$56:DS$56,"&gt;="&amp;33)))*CAPA3_EXPANSION!DS$36)</f>
        <v>3528</v>
      </c>
    </row>
    <row r="41" customFormat="false" ht="15" hidden="false" customHeight="true" outlineLevel="0" collapsed="false">
      <c r="A41" s="298" t="n">
        <v>44</v>
      </c>
      <c r="B41" s="497" t="str">
        <f aca="false">SUP_C3_EXPANSION!B53</f>
        <v>D</v>
      </c>
      <c r="C41" s="267" t="n">
        <f aca="false">SUP_C3_EXPANSION!G53</f>
        <v>76</v>
      </c>
      <c r="D41" s="298" t="n">
        <f aca="false">IF(COUNTIF(CAPA3_EXPANSION!$D$56:D$56,"&gt;="&amp;34)=0,0,SUP_CONTROL!$C$8*IF($B41="V",1,IF($B41="D",(1+SUP_VOLUMEN!$C$26),(1+SUP_VOLUMEN!$C$27)))*INDEX(SUP_C3_EXPANSION!$C$6:$F$6,MIN(4,COUNTIF(CAPA3_EXPANSION!$D$56:D$56,"&gt;="&amp;34)))*CAPA3_EXPANSION!D$36)</f>
        <v>0</v>
      </c>
      <c r="E41" s="298" t="n">
        <f aca="false">IF(COUNTIF(CAPA3_EXPANSION!$D$56:E$56,"&gt;="&amp;34)=0,0,SUP_CONTROL!$C$8*IF($B41="V",1,IF($B41="D",(1+SUP_VOLUMEN!$C$26),(1+SUP_VOLUMEN!$C$27)))*INDEX(SUP_C3_EXPANSION!$C$6:$F$6,MIN(4,COUNTIF(CAPA3_EXPANSION!$D$56:E$56,"&gt;="&amp;34)))*CAPA3_EXPANSION!E$36)</f>
        <v>0</v>
      </c>
      <c r="F41" s="298" t="n">
        <f aca="false">IF(COUNTIF(CAPA3_EXPANSION!$D$56:F$56,"&gt;="&amp;34)=0,0,SUP_CONTROL!$C$8*IF($B41="V",1,IF($B41="D",(1+SUP_VOLUMEN!$C$26),(1+SUP_VOLUMEN!$C$27)))*INDEX(SUP_C3_EXPANSION!$C$6:$F$6,MIN(4,COUNTIF(CAPA3_EXPANSION!$D$56:F$56,"&gt;="&amp;34)))*CAPA3_EXPANSION!F$36)</f>
        <v>0</v>
      </c>
      <c r="G41" s="298" t="n">
        <f aca="false">IF(COUNTIF(CAPA3_EXPANSION!$D$56:G$56,"&gt;="&amp;34)=0,0,SUP_CONTROL!$C$8*IF($B41="V",1,IF($B41="D",(1+SUP_VOLUMEN!$C$26),(1+SUP_VOLUMEN!$C$27)))*INDEX(SUP_C3_EXPANSION!$C$6:$F$6,MIN(4,COUNTIF(CAPA3_EXPANSION!$D$56:G$56,"&gt;="&amp;34)))*CAPA3_EXPANSION!G$36)</f>
        <v>0</v>
      </c>
      <c r="H41" s="298" t="n">
        <f aca="false">IF(COUNTIF(CAPA3_EXPANSION!$D$56:H$56,"&gt;="&amp;34)=0,0,SUP_CONTROL!$C$8*IF($B41="V",1,IF($B41="D",(1+SUP_VOLUMEN!$C$26),(1+SUP_VOLUMEN!$C$27)))*INDEX(SUP_C3_EXPANSION!$C$6:$F$6,MIN(4,COUNTIF(CAPA3_EXPANSION!$D$56:H$56,"&gt;="&amp;34)))*CAPA3_EXPANSION!H$36)</f>
        <v>0</v>
      </c>
      <c r="I41" s="298" t="n">
        <f aca="false">IF(COUNTIF(CAPA3_EXPANSION!$D$56:I$56,"&gt;="&amp;34)=0,0,SUP_CONTROL!$C$8*IF($B41="V",1,IF($B41="D",(1+SUP_VOLUMEN!$C$26),(1+SUP_VOLUMEN!$C$27)))*INDEX(SUP_C3_EXPANSION!$C$6:$F$6,MIN(4,COUNTIF(CAPA3_EXPANSION!$D$56:I$56,"&gt;="&amp;34)))*CAPA3_EXPANSION!I$36)</f>
        <v>0</v>
      </c>
      <c r="J41" s="298" t="n">
        <f aca="false">IF(COUNTIF(CAPA3_EXPANSION!$D$56:J$56,"&gt;="&amp;34)=0,0,SUP_CONTROL!$C$8*IF($B41="V",1,IF($B41="D",(1+SUP_VOLUMEN!$C$26),(1+SUP_VOLUMEN!$C$27)))*INDEX(SUP_C3_EXPANSION!$C$6:$F$6,MIN(4,COUNTIF(CAPA3_EXPANSION!$D$56:J$56,"&gt;="&amp;34)))*CAPA3_EXPANSION!J$36)</f>
        <v>0</v>
      </c>
      <c r="K41" s="298" t="n">
        <f aca="false">IF(COUNTIF(CAPA3_EXPANSION!$D$56:K$56,"&gt;="&amp;34)=0,0,SUP_CONTROL!$C$8*IF($B41="V",1,IF($B41="D",(1+SUP_VOLUMEN!$C$26),(1+SUP_VOLUMEN!$C$27)))*INDEX(SUP_C3_EXPANSION!$C$6:$F$6,MIN(4,COUNTIF(CAPA3_EXPANSION!$D$56:K$56,"&gt;="&amp;34)))*CAPA3_EXPANSION!K$36)</f>
        <v>0</v>
      </c>
      <c r="L41" s="298" t="n">
        <f aca="false">IF(COUNTIF(CAPA3_EXPANSION!$D$56:L$56,"&gt;="&amp;34)=0,0,SUP_CONTROL!$C$8*IF($B41="V",1,IF($B41="D",(1+SUP_VOLUMEN!$C$26),(1+SUP_VOLUMEN!$C$27)))*INDEX(SUP_C3_EXPANSION!$C$6:$F$6,MIN(4,COUNTIF(CAPA3_EXPANSION!$D$56:L$56,"&gt;="&amp;34)))*CAPA3_EXPANSION!L$36)</f>
        <v>0</v>
      </c>
      <c r="M41" s="298" t="n">
        <f aca="false">IF(COUNTIF(CAPA3_EXPANSION!$D$56:M$56,"&gt;="&amp;34)=0,0,SUP_CONTROL!$C$8*IF($B41="V",1,IF($B41="D",(1+SUP_VOLUMEN!$C$26),(1+SUP_VOLUMEN!$C$27)))*INDEX(SUP_C3_EXPANSION!$C$6:$F$6,MIN(4,COUNTIF(CAPA3_EXPANSION!$D$56:M$56,"&gt;="&amp;34)))*CAPA3_EXPANSION!M$36)</f>
        <v>0</v>
      </c>
      <c r="N41" s="298" t="n">
        <f aca="false">IF(COUNTIF(CAPA3_EXPANSION!$D$56:N$56,"&gt;="&amp;34)=0,0,SUP_CONTROL!$C$8*IF($B41="V",1,IF($B41="D",(1+SUP_VOLUMEN!$C$26),(1+SUP_VOLUMEN!$C$27)))*INDEX(SUP_C3_EXPANSION!$C$6:$F$6,MIN(4,COUNTIF(CAPA3_EXPANSION!$D$56:N$56,"&gt;="&amp;34)))*CAPA3_EXPANSION!N$36)</f>
        <v>0</v>
      </c>
      <c r="O41" s="298" t="n">
        <f aca="false">IF(COUNTIF(CAPA3_EXPANSION!$D$56:O$56,"&gt;="&amp;34)=0,0,SUP_CONTROL!$C$8*IF($B41="V",1,IF($B41="D",(1+SUP_VOLUMEN!$C$26),(1+SUP_VOLUMEN!$C$27)))*INDEX(SUP_C3_EXPANSION!$C$6:$F$6,MIN(4,COUNTIF(CAPA3_EXPANSION!$D$56:O$56,"&gt;="&amp;34)))*CAPA3_EXPANSION!O$36)</f>
        <v>0</v>
      </c>
      <c r="P41" s="298" t="n">
        <f aca="false">IF(COUNTIF(CAPA3_EXPANSION!$D$56:P$56,"&gt;="&amp;34)=0,0,SUP_CONTROL!$C$8*IF($B41="V",1,IF($B41="D",(1+SUP_VOLUMEN!$C$26),(1+SUP_VOLUMEN!$C$27)))*INDEX(SUP_C3_EXPANSION!$C$6:$F$6,MIN(4,COUNTIF(CAPA3_EXPANSION!$D$56:P$56,"&gt;="&amp;34)))*CAPA3_EXPANSION!P$36)</f>
        <v>0</v>
      </c>
      <c r="Q41" s="298" t="n">
        <f aca="false">IF(COUNTIF(CAPA3_EXPANSION!$D$56:Q$56,"&gt;="&amp;34)=0,0,SUP_CONTROL!$C$8*IF($B41="V",1,IF($B41="D",(1+SUP_VOLUMEN!$C$26),(1+SUP_VOLUMEN!$C$27)))*INDEX(SUP_C3_EXPANSION!$C$6:$F$6,MIN(4,COUNTIF(CAPA3_EXPANSION!$D$56:Q$56,"&gt;="&amp;34)))*CAPA3_EXPANSION!Q$36)</f>
        <v>0</v>
      </c>
      <c r="R41" s="298" t="n">
        <f aca="false">IF(COUNTIF(CAPA3_EXPANSION!$D$56:R$56,"&gt;="&amp;34)=0,0,SUP_CONTROL!$C$8*IF($B41="V",1,IF($B41="D",(1+SUP_VOLUMEN!$C$26),(1+SUP_VOLUMEN!$C$27)))*INDEX(SUP_C3_EXPANSION!$C$6:$F$6,MIN(4,COUNTIF(CAPA3_EXPANSION!$D$56:R$56,"&gt;="&amp;34)))*CAPA3_EXPANSION!R$36)</f>
        <v>0</v>
      </c>
      <c r="S41" s="298" t="n">
        <f aca="false">IF(COUNTIF(CAPA3_EXPANSION!$D$56:S$56,"&gt;="&amp;34)=0,0,SUP_CONTROL!$C$8*IF($B41="V",1,IF($B41="D",(1+SUP_VOLUMEN!$C$26),(1+SUP_VOLUMEN!$C$27)))*INDEX(SUP_C3_EXPANSION!$C$6:$F$6,MIN(4,COUNTIF(CAPA3_EXPANSION!$D$56:S$56,"&gt;="&amp;34)))*CAPA3_EXPANSION!S$36)</f>
        <v>0</v>
      </c>
      <c r="T41" s="298" t="n">
        <f aca="false">IF(COUNTIF(CAPA3_EXPANSION!$D$56:T$56,"&gt;="&amp;34)=0,0,SUP_CONTROL!$C$8*IF($B41="V",1,IF($B41="D",(1+SUP_VOLUMEN!$C$26),(1+SUP_VOLUMEN!$C$27)))*INDEX(SUP_C3_EXPANSION!$C$6:$F$6,MIN(4,COUNTIF(CAPA3_EXPANSION!$D$56:T$56,"&gt;="&amp;34)))*CAPA3_EXPANSION!T$36)</f>
        <v>0</v>
      </c>
      <c r="U41" s="298" t="n">
        <f aca="false">IF(COUNTIF(CAPA3_EXPANSION!$D$56:U$56,"&gt;="&amp;34)=0,0,SUP_CONTROL!$C$8*IF($B41="V",1,IF($B41="D",(1+SUP_VOLUMEN!$C$26),(1+SUP_VOLUMEN!$C$27)))*INDEX(SUP_C3_EXPANSION!$C$6:$F$6,MIN(4,COUNTIF(CAPA3_EXPANSION!$D$56:U$56,"&gt;="&amp;34)))*CAPA3_EXPANSION!U$36)</f>
        <v>0</v>
      </c>
      <c r="V41" s="298" t="n">
        <f aca="false">IF(COUNTIF(CAPA3_EXPANSION!$D$56:V$56,"&gt;="&amp;34)=0,0,SUP_CONTROL!$C$8*IF($B41="V",1,IF($B41="D",(1+SUP_VOLUMEN!$C$26),(1+SUP_VOLUMEN!$C$27)))*INDEX(SUP_C3_EXPANSION!$C$6:$F$6,MIN(4,COUNTIF(CAPA3_EXPANSION!$D$56:V$56,"&gt;="&amp;34)))*CAPA3_EXPANSION!V$36)</f>
        <v>0</v>
      </c>
      <c r="W41" s="298" t="n">
        <f aca="false">IF(COUNTIF(CAPA3_EXPANSION!$D$56:W$56,"&gt;="&amp;34)=0,0,SUP_CONTROL!$C$8*IF($B41="V",1,IF($B41="D",(1+SUP_VOLUMEN!$C$26),(1+SUP_VOLUMEN!$C$27)))*INDEX(SUP_C3_EXPANSION!$C$6:$F$6,MIN(4,COUNTIF(CAPA3_EXPANSION!$D$56:W$56,"&gt;="&amp;34)))*CAPA3_EXPANSION!W$36)</f>
        <v>0</v>
      </c>
      <c r="X41" s="298" t="n">
        <f aca="false">IF(COUNTIF(CAPA3_EXPANSION!$D$56:X$56,"&gt;="&amp;34)=0,0,SUP_CONTROL!$C$8*IF($B41="V",1,IF($B41="D",(1+SUP_VOLUMEN!$C$26),(1+SUP_VOLUMEN!$C$27)))*INDEX(SUP_C3_EXPANSION!$C$6:$F$6,MIN(4,COUNTIF(CAPA3_EXPANSION!$D$56:X$56,"&gt;="&amp;34)))*CAPA3_EXPANSION!X$36)</f>
        <v>0</v>
      </c>
      <c r="Y41" s="298" t="n">
        <f aca="false">IF(COUNTIF(CAPA3_EXPANSION!$D$56:Y$56,"&gt;="&amp;34)=0,0,SUP_CONTROL!$C$8*IF($B41="V",1,IF($B41="D",(1+SUP_VOLUMEN!$C$26),(1+SUP_VOLUMEN!$C$27)))*INDEX(SUP_C3_EXPANSION!$C$6:$F$6,MIN(4,COUNTIF(CAPA3_EXPANSION!$D$56:Y$56,"&gt;="&amp;34)))*CAPA3_EXPANSION!Y$36)</f>
        <v>0</v>
      </c>
      <c r="Z41" s="298" t="n">
        <f aca="false">IF(COUNTIF(CAPA3_EXPANSION!$D$56:Z$56,"&gt;="&amp;34)=0,0,SUP_CONTROL!$C$8*IF($B41="V",1,IF($B41="D",(1+SUP_VOLUMEN!$C$26),(1+SUP_VOLUMEN!$C$27)))*INDEX(SUP_C3_EXPANSION!$C$6:$F$6,MIN(4,COUNTIF(CAPA3_EXPANSION!$D$56:Z$56,"&gt;="&amp;34)))*CAPA3_EXPANSION!Z$36)</f>
        <v>0</v>
      </c>
      <c r="AA41" s="298" t="n">
        <f aca="false">IF(COUNTIF(CAPA3_EXPANSION!$D$56:AA$56,"&gt;="&amp;34)=0,0,SUP_CONTROL!$C$8*IF($B41="V",1,IF($B41="D",(1+SUP_VOLUMEN!$C$26),(1+SUP_VOLUMEN!$C$27)))*INDEX(SUP_C3_EXPANSION!$C$6:$F$6,MIN(4,COUNTIF(CAPA3_EXPANSION!$D$56:AA$56,"&gt;="&amp;34)))*CAPA3_EXPANSION!AA$36)</f>
        <v>0</v>
      </c>
      <c r="AB41" s="298" t="n">
        <f aca="false">IF(COUNTIF(CAPA3_EXPANSION!$D$56:AB$56,"&gt;="&amp;34)=0,0,SUP_CONTROL!$C$8*IF($B41="V",1,IF($B41="D",(1+SUP_VOLUMEN!$C$26),(1+SUP_VOLUMEN!$C$27)))*INDEX(SUP_C3_EXPANSION!$C$6:$F$6,MIN(4,COUNTIF(CAPA3_EXPANSION!$D$56:AB$56,"&gt;="&amp;34)))*CAPA3_EXPANSION!AB$36)</f>
        <v>0</v>
      </c>
      <c r="AC41" s="298" t="n">
        <f aca="false">IF(COUNTIF(CAPA3_EXPANSION!$D$56:AC$56,"&gt;="&amp;34)=0,0,SUP_CONTROL!$C$8*IF($B41="V",1,IF($B41="D",(1+SUP_VOLUMEN!$C$26),(1+SUP_VOLUMEN!$C$27)))*INDEX(SUP_C3_EXPANSION!$C$6:$F$6,MIN(4,COUNTIF(CAPA3_EXPANSION!$D$56:AC$56,"&gt;="&amp;34)))*CAPA3_EXPANSION!AC$36)</f>
        <v>0</v>
      </c>
      <c r="AD41" s="298" t="n">
        <f aca="false">IF(COUNTIF(CAPA3_EXPANSION!$D$56:AD$56,"&gt;="&amp;34)=0,0,SUP_CONTROL!$C$8*IF($B41="V",1,IF($B41="D",(1+SUP_VOLUMEN!$C$26),(1+SUP_VOLUMEN!$C$27)))*INDEX(SUP_C3_EXPANSION!$C$6:$F$6,MIN(4,COUNTIF(CAPA3_EXPANSION!$D$56:AD$56,"&gt;="&amp;34)))*CAPA3_EXPANSION!AD$36)</f>
        <v>0</v>
      </c>
      <c r="AE41" s="298" t="n">
        <f aca="false">IF(COUNTIF(CAPA3_EXPANSION!$D$56:AE$56,"&gt;="&amp;34)=0,0,SUP_CONTROL!$C$8*IF($B41="V",1,IF($B41="D",(1+SUP_VOLUMEN!$C$26),(1+SUP_VOLUMEN!$C$27)))*INDEX(SUP_C3_EXPANSION!$C$6:$F$6,MIN(4,COUNTIF(CAPA3_EXPANSION!$D$56:AE$56,"&gt;="&amp;34)))*CAPA3_EXPANSION!AE$36)</f>
        <v>0</v>
      </c>
      <c r="AF41" s="298" t="n">
        <f aca="false">IF(COUNTIF(CAPA3_EXPANSION!$D$56:AF$56,"&gt;="&amp;34)=0,0,SUP_CONTROL!$C$8*IF($B41="V",1,IF($B41="D",(1+SUP_VOLUMEN!$C$26),(1+SUP_VOLUMEN!$C$27)))*INDEX(SUP_C3_EXPANSION!$C$6:$F$6,MIN(4,COUNTIF(CAPA3_EXPANSION!$D$56:AF$56,"&gt;="&amp;34)))*CAPA3_EXPANSION!AF$36)</f>
        <v>0</v>
      </c>
      <c r="AG41" s="298" t="n">
        <f aca="false">IF(COUNTIF(CAPA3_EXPANSION!$D$56:AG$56,"&gt;="&amp;34)=0,0,SUP_CONTROL!$C$8*IF($B41="V",1,IF($B41="D",(1+SUP_VOLUMEN!$C$26),(1+SUP_VOLUMEN!$C$27)))*INDEX(SUP_C3_EXPANSION!$C$6:$F$6,MIN(4,COUNTIF(CAPA3_EXPANSION!$D$56:AG$56,"&gt;="&amp;34)))*CAPA3_EXPANSION!AG$36)</f>
        <v>0</v>
      </c>
      <c r="AH41" s="298" t="n">
        <f aca="false">IF(COUNTIF(CAPA3_EXPANSION!$D$56:AH$56,"&gt;="&amp;34)=0,0,SUP_CONTROL!$C$8*IF($B41="V",1,IF($B41="D",(1+SUP_VOLUMEN!$C$26),(1+SUP_VOLUMEN!$C$27)))*INDEX(SUP_C3_EXPANSION!$C$6:$F$6,MIN(4,COUNTIF(CAPA3_EXPANSION!$D$56:AH$56,"&gt;="&amp;34)))*CAPA3_EXPANSION!AH$36)</f>
        <v>0</v>
      </c>
      <c r="AI41" s="298" t="n">
        <f aca="false">IF(COUNTIF(CAPA3_EXPANSION!$D$56:AI$56,"&gt;="&amp;34)=0,0,SUP_CONTROL!$C$8*IF($B41="V",1,IF($B41="D",(1+SUP_VOLUMEN!$C$26),(1+SUP_VOLUMEN!$C$27)))*INDEX(SUP_C3_EXPANSION!$C$6:$F$6,MIN(4,COUNTIF(CAPA3_EXPANSION!$D$56:AI$56,"&gt;="&amp;34)))*CAPA3_EXPANSION!AI$36)</f>
        <v>0</v>
      </c>
      <c r="AJ41" s="298" t="n">
        <f aca="false">IF(COUNTIF(CAPA3_EXPANSION!$D$56:AJ$56,"&gt;="&amp;34)=0,0,SUP_CONTROL!$C$8*IF($B41="V",1,IF($B41="D",(1+SUP_VOLUMEN!$C$26),(1+SUP_VOLUMEN!$C$27)))*INDEX(SUP_C3_EXPANSION!$C$6:$F$6,MIN(4,COUNTIF(CAPA3_EXPANSION!$D$56:AJ$56,"&gt;="&amp;34)))*CAPA3_EXPANSION!AJ$36)</f>
        <v>0</v>
      </c>
      <c r="AK41" s="298" t="n">
        <f aca="false">IF(COUNTIF(CAPA3_EXPANSION!$D$56:AK$56,"&gt;="&amp;34)=0,0,SUP_CONTROL!$C$8*IF($B41="V",1,IF($B41="D",(1+SUP_VOLUMEN!$C$26),(1+SUP_VOLUMEN!$C$27)))*INDEX(SUP_C3_EXPANSION!$C$6:$F$6,MIN(4,COUNTIF(CAPA3_EXPANSION!$D$56:AK$56,"&gt;="&amp;34)))*CAPA3_EXPANSION!AK$36)</f>
        <v>0</v>
      </c>
      <c r="AL41" s="298" t="n">
        <f aca="false">IF(COUNTIF(CAPA3_EXPANSION!$D$56:AL$56,"&gt;="&amp;34)=0,0,SUP_CONTROL!$C$8*IF($B41="V",1,IF($B41="D",(1+SUP_VOLUMEN!$C$26),(1+SUP_VOLUMEN!$C$27)))*INDEX(SUP_C3_EXPANSION!$C$6:$F$6,MIN(4,COUNTIF(CAPA3_EXPANSION!$D$56:AL$56,"&gt;="&amp;34)))*CAPA3_EXPANSION!AL$36)</f>
        <v>0</v>
      </c>
      <c r="AM41" s="298" t="n">
        <f aca="false">IF(COUNTIF(CAPA3_EXPANSION!$D$56:AM$56,"&gt;="&amp;34)=0,0,SUP_CONTROL!$C$8*IF($B41="V",1,IF($B41="D",(1+SUP_VOLUMEN!$C$26),(1+SUP_VOLUMEN!$C$27)))*INDEX(SUP_C3_EXPANSION!$C$6:$F$6,MIN(4,COUNTIF(CAPA3_EXPANSION!$D$56:AM$56,"&gt;="&amp;34)))*CAPA3_EXPANSION!AM$36)</f>
        <v>0</v>
      </c>
      <c r="AN41" s="298" t="n">
        <f aca="false">IF(COUNTIF(CAPA3_EXPANSION!$D$56:AN$56,"&gt;="&amp;34)=0,0,SUP_CONTROL!$C$8*IF($B41="V",1,IF($B41="D",(1+SUP_VOLUMEN!$C$26),(1+SUP_VOLUMEN!$C$27)))*INDEX(SUP_C3_EXPANSION!$C$6:$F$6,MIN(4,COUNTIF(CAPA3_EXPANSION!$D$56:AN$56,"&gt;="&amp;34)))*CAPA3_EXPANSION!AN$36)</f>
        <v>0</v>
      </c>
      <c r="AO41" s="298" t="n">
        <f aca="false">IF(COUNTIF(CAPA3_EXPANSION!$D$56:AO$56,"&gt;="&amp;34)=0,0,SUP_CONTROL!$C$8*IF($B41="V",1,IF($B41="D",(1+SUP_VOLUMEN!$C$26),(1+SUP_VOLUMEN!$C$27)))*INDEX(SUP_C3_EXPANSION!$C$6:$F$6,MIN(4,COUNTIF(CAPA3_EXPANSION!$D$56:AO$56,"&gt;="&amp;34)))*CAPA3_EXPANSION!AO$36)</f>
        <v>0</v>
      </c>
      <c r="AP41" s="298" t="n">
        <f aca="false">IF(COUNTIF(CAPA3_EXPANSION!$D$56:AP$56,"&gt;="&amp;34)=0,0,SUP_CONTROL!$C$8*IF($B41="V",1,IF($B41="D",(1+SUP_VOLUMEN!$C$26),(1+SUP_VOLUMEN!$C$27)))*INDEX(SUP_C3_EXPANSION!$C$6:$F$6,MIN(4,COUNTIF(CAPA3_EXPANSION!$D$56:AP$56,"&gt;="&amp;34)))*CAPA3_EXPANSION!AP$36)</f>
        <v>0</v>
      </c>
      <c r="AQ41" s="298" t="n">
        <f aca="false">IF(COUNTIF(CAPA3_EXPANSION!$D$56:AQ$56,"&gt;="&amp;34)=0,0,SUP_CONTROL!$C$8*IF($B41="V",1,IF($B41="D",(1+SUP_VOLUMEN!$C$26),(1+SUP_VOLUMEN!$C$27)))*INDEX(SUP_C3_EXPANSION!$C$6:$F$6,MIN(4,COUNTIF(CAPA3_EXPANSION!$D$56:AQ$56,"&gt;="&amp;34)))*CAPA3_EXPANSION!AQ$36)</f>
        <v>0</v>
      </c>
      <c r="AR41" s="298" t="n">
        <f aca="false">IF(COUNTIF(CAPA3_EXPANSION!$D$56:AR$56,"&gt;="&amp;34)=0,0,SUP_CONTROL!$C$8*IF($B41="V",1,IF($B41="D",(1+SUP_VOLUMEN!$C$26),(1+SUP_VOLUMEN!$C$27)))*INDEX(SUP_C3_EXPANSION!$C$6:$F$6,MIN(4,COUNTIF(CAPA3_EXPANSION!$D$56:AR$56,"&gt;="&amp;34)))*CAPA3_EXPANSION!AR$36)</f>
        <v>0</v>
      </c>
      <c r="AS41" s="298" t="n">
        <f aca="false">IF(COUNTIF(CAPA3_EXPANSION!$D$56:AS$56,"&gt;="&amp;34)=0,0,SUP_CONTROL!$C$8*IF($B41="V",1,IF($B41="D",(1+SUP_VOLUMEN!$C$26),(1+SUP_VOLUMEN!$C$27)))*INDEX(SUP_C3_EXPANSION!$C$6:$F$6,MIN(4,COUNTIF(CAPA3_EXPANSION!$D$56:AS$56,"&gt;="&amp;34)))*CAPA3_EXPANSION!AS$36)</f>
        <v>0</v>
      </c>
      <c r="AT41" s="298" t="n">
        <f aca="false">IF(COUNTIF(CAPA3_EXPANSION!$D$56:AT$56,"&gt;="&amp;34)=0,0,SUP_CONTROL!$C$8*IF($B41="V",1,IF($B41="D",(1+SUP_VOLUMEN!$C$26),(1+SUP_VOLUMEN!$C$27)))*INDEX(SUP_C3_EXPANSION!$C$6:$F$6,MIN(4,COUNTIF(CAPA3_EXPANSION!$D$56:AT$56,"&gt;="&amp;34)))*CAPA3_EXPANSION!AT$36)</f>
        <v>0</v>
      </c>
      <c r="AU41" s="298" t="n">
        <f aca="false">IF(COUNTIF(CAPA3_EXPANSION!$D$56:AU$56,"&gt;="&amp;34)=0,0,SUP_CONTROL!$C$8*IF($B41="V",1,IF($B41="D",(1+SUP_VOLUMEN!$C$26),(1+SUP_VOLUMEN!$C$27)))*INDEX(SUP_C3_EXPANSION!$C$6:$F$6,MIN(4,COUNTIF(CAPA3_EXPANSION!$D$56:AU$56,"&gt;="&amp;34)))*CAPA3_EXPANSION!AU$36)</f>
        <v>0</v>
      </c>
      <c r="AV41" s="298" t="n">
        <f aca="false">IF(COUNTIF(CAPA3_EXPANSION!$D$56:AV$56,"&gt;="&amp;34)=0,0,SUP_CONTROL!$C$8*IF($B41="V",1,IF($B41="D",(1+SUP_VOLUMEN!$C$26),(1+SUP_VOLUMEN!$C$27)))*INDEX(SUP_C3_EXPANSION!$C$6:$F$6,MIN(4,COUNTIF(CAPA3_EXPANSION!$D$56:AV$56,"&gt;="&amp;34)))*CAPA3_EXPANSION!AV$36)</f>
        <v>0</v>
      </c>
      <c r="AW41" s="298" t="n">
        <f aca="false">IF(COUNTIF(CAPA3_EXPANSION!$D$56:AW$56,"&gt;="&amp;34)=0,0,SUP_CONTROL!$C$8*IF($B41="V",1,IF($B41="D",(1+SUP_VOLUMEN!$C$26),(1+SUP_VOLUMEN!$C$27)))*INDEX(SUP_C3_EXPANSION!$C$6:$F$6,MIN(4,COUNTIF(CAPA3_EXPANSION!$D$56:AW$56,"&gt;="&amp;34)))*CAPA3_EXPANSION!AW$36)</f>
        <v>0</v>
      </c>
      <c r="AX41" s="298" t="n">
        <f aca="false">IF(COUNTIF(CAPA3_EXPANSION!$D$56:AX$56,"&gt;="&amp;34)=0,0,SUP_CONTROL!$C$8*IF($B41="V",1,IF($B41="D",(1+SUP_VOLUMEN!$C$26),(1+SUP_VOLUMEN!$C$27)))*INDEX(SUP_C3_EXPANSION!$C$6:$F$6,MIN(4,COUNTIF(CAPA3_EXPANSION!$D$56:AX$56,"&gt;="&amp;34)))*CAPA3_EXPANSION!AX$36)</f>
        <v>0</v>
      </c>
      <c r="AY41" s="298" t="n">
        <f aca="false">IF(COUNTIF(CAPA3_EXPANSION!$D$56:AY$56,"&gt;="&amp;34)=0,0,SUP_CONTROL!$C$8*IF($B41="V",1,IF($B41="D",(1+SUP_VOLUMEN!$C$26),(1+SUP_VOLUMEN!$C$27)))*INDEX(SUP_C3_EXPANSION!$C$6:$F$6,MIN(4,COUNTIF(CAPA3_EXPANSION!$D$56:AY$56,"&gt;="&amp;34)))*CAPA3_EXPANSION!AY$36)</f>
        <v>0</v>
      </c>
      <c r="AZ41" s="298" t="n">
        <f aca="false">IF(COUNTIF(CAPA3_EXPANSION!$D$56:AZ$56,"&gt;="&amp;34)=0,0,SUP_CONTROL!$C$8*IF($B41="V",1,IF($B41="D",(1+SUP_VOLUMEN!$C$26),(1+SUP_VOLUMEN!$C$27)))*INDEX(SUP_C3_EXPANSION!$C$6:$F$6,MIN(4,COUNTIF(CAPA3_EXPANSION!$D$56:AZ$56,"&gt;="&amp;34)))*CAPA3_EXPANSION!AZ$36)</f>
        <v>0</v>
      </c>
      <c r="BA41" s="298" t="n">
        <f aca="false">IF(COUNTIF(CAPA3_EXPANSION!$D$56:BA$56,"&gt;="&amp;34)=0,0,SUP_CONTROL!$C$8*IF($B41="V",1,IF($B41="D",(1+SUP_VOLUMEN!$C$26),(1+SUP_VOLUMEN!$C$27)))*INDEX(SUP_C3_EXPANSION!$C$6:$F$6,MIN(4,COUNTIF(CAPA3_EXPANSION!$D$56:BA$56,"&gt;="&amp;34)))*CAPA3_EXPANSION!BA$36)</f>
        <v>0</v>
      </c>
      <c r="BB41" s="298" t="n">
        <f aca="false">IF(COUNTIF(CAPA3_EXPANSION!$D$56:BB$56,"&gt;="&amp;34)=0,0,SUP_CONTROL!$C$8*IF($B41="V",1,IF($B41="D",(1+SUP_VOLUMEN!$C$26),(1+SUP_VOLUMEN!$C$27)))*INDEX(SUP_C3_EXPANSION!$C$6:$F$6,MIN(4,COUNTIF(CAPA3_EXPANSION!$D$56:BB$56,"&gt;="&amp;34)))*CAPA3_EXPANSION!BB$36)</f>
        <v>0</v>
      </c>
      <c r="BC41" s="298" t="n">
        <f aca="false">IF(COUNTIF(CAPA3_EXPANSION!$D$56:BC$56,"&gt;="&amp;34)=0,0,SUP_CONTROL!$C$8*IF($B41="V",1,IF($B41="D",(1+SUP_VOLUMEN!$C$26),(1+SUP_VOLUMEN!$C$27)))*INDEX(SUP_C3_EXPANSION!$C$6:$F$6,MIN(4,COUNTIF(CAPA3_EXPANSION!$D$56:BC$56,"&gt;="&amp;34)))*CAPA3_EXPANSION!BC$36)</f>
        <v>0</v>
      </c>
      <c r="BD41" s="298" t="n">
        <f aca="false">IF(COUNTIF(CAPA3_EXPANSION!$D$56:BD$56,"&gt;="&amp;34)=0,0,SUP_CONTROL!$C$8*IF($B41="V",1,IF($B41="D",(1+SUP_VOLUMEN!$C$26),(1+SUP_VOLUMEN!$C$27)))*INDEX(SUP_C3_EXPANSION!$C$6:$F$6,MIN(4,COUNTIF(CAPA3_EXPANSION!$D$56:BD$56,"&gt;="&amp;34)))*CAPA3_EXPANSION!BD$36)</f>
        <v>0</v>
      </c>
      <c r="BE41" s="298" t="n">
        <f aca="false">IF(COUNTIF(CAPA3_EXPANSION!$D$56:BE$56,"&gt;="&amp;34)=0,0,SUP_CONTROL!$C$8*IF($B41="V",1,IF($B41="D",(1+SUP_VOLUMEN!$C$26),(1+SUP_VOLUMEN!$C$27)))*INDEX(SUP_C3_EXPANSION!$C$6:$F$6,MIN(4,COUNTIF(CAPA3_EXPANSION!$D$56:BE$56,"&gt;="&amp;34)))*CAPA3_EXPANSION!BE$36)</f>
        <v>0</v>
      </c>
      <c r="BF41" s="298" t="n">
        <f aca="false">IF(COUNTIF(CAPA3_EXPANSION!$D$56:BF$56,"&gt;="&amp;34)=0,0,SUP_CONTROL!$C$8*IF($B41="V",1,IF($B41="D",(1+SUP_VOLUMEN!$C$26),(1+SUP_VOLUMEN!$C$27)))*INDEX(SUP_C3_EXPANSION!$C$6:$F$6,MIN(4,COUNTIF(CAPA3_EXPANSION!$D$56:BF$56,"&gt;="&amp;34)))*CAPA3_EXPANSION!BF$36)</f>
        <v>0</v>
      </c>
      <c r="BG41" s="298" t="n">
        <f aca="false">IF(COUNTIF(CAPA3_EXPANSION!$D$56:BG$56,"&gt;="&amp;34)=0,0,SUP_CONTROL!$C$8*IF($B41="V",1,IF($B41="D",(1+SUP_VOLUMEN!$C$26),(1+SUP_VOLUMEN!$C$27)))*INDEX(SUP_C3_EXPANSION!$C$6:$F$6,MIN(4,COUNTIF(CAPA3_EXPANSION!$D$56:BG$56,"&gt;="&amp;34)))*CAPA3_EXPANSION!BG$36)</f>
        <v>0</v>
      </c>
      <c r="BH41" s="298" t="n">
        <f aca="false">IF(COUNTIF(CAPA3_EXPANSION!$D$56:BH$56,"&gt;="&amp;34)=0,0,SUP_CONTROL!$C$8*IF($B41="V",1,IF($B41="D",(1+SUP_VOLUMEN!$C$26),(1+SUP_VOLUMEN!$C$27)))*INDEX(SUP_C3_EXPANSION!$C$6:$F$6,MIN(4,COUNTIF(CAPA3_EXPANSION!$D$56:BH$56,"&gt;="&amp;34)))*CAPA3_EXPANSION!BH$36)</f>
        <v>0</v>
      </c>
      <c r="BI41" s="298" t="n">
        <f aca="false">IF(COUNTIF(CAPA3_EXPANSION!$D$56:BI$56,"&gt;="&amp;34)=0,0,SUP_CONTROL!$C$8*IF($B41="V",1,IF($B41="D",(1+SUP_VOLUMEN!$C$26),(1+SUP_VOLUMEN!$C$27)))*INDEX(SUP_C3_EXPANSION!$C$6:$F$6,MIN(4,COUNTIF(CAPA3_EXPANSION!$D$56:BI$56,"&gt;="&amp;34)))*CAPA3_EXPANSION!BI$36)</f>
        <v>0</v>
      </c>
      <c r="BJ41" s="298" t="n">
        <f aca="false">IF(COUNTIF(CAPA3_EXPANSION!$D$56:BJ$56,"&gt;="&amp;34)=0,0,SUP_CONTROL!$C$8*IF($B41="V",1,IF($B41="D",(1+SUP_VOLUMEN!$C$26),(1+SUP_VOLUMEN!$C$27)))*INDEX(SUP_C3_EXPANSION!$C$6:$F$6,MIN(4,COUNTIF(CAPA3_EXPANSION!$D$56:BJ$56,"&gt;="&amp;34)))*CAPA3_EXPANSION!BJ$36)</f>
        <v>0</v>
      </c>
      <c r="BK41" s="298" t="n">
        <f aca="false">IF(COUNTIF(CAPA3_EXPANSION!$D$56:BK$56,"&gt;="&amp;34)=0,0,SUP_CONTROL!$C$8*IF($B41="V",1,IF($B41="D",(1+SUP_VOLUMEN!$C$26),(1+SUP_VOLUMEN!$C$27)))*INDEX(SUP_C3_EXPANSION!$C$6:$F$6,MIN(4,COUNTIF(CAPA3_EXPANSION!$D$56:BK$56,"&gt;="&amp;34)))*CAPA3_EXPANSION!BK$36)</f>
        <v>0</v>
      </c>
      <c r="BL41" s="298" t="n">
        <f aca="false">IF(COUNTIF(CAPA3_EXPANSION!$D$56:BL$56,"&gt;="&amp;34)=0,0,SUP_CONTROL!$C$8*IF($B41="V",1,IF($B41="D",(1+SUP_VOLUMEN!$C$26),(1+SUP_VOLUMEN!$C$27)))*INDEX(SUP_C3_EXPANSION!$C$6:$F$6,MIN(4,COUNTIF(CAPA3_EXPANSION!$D$56:BL$56,"&gt;="&amp;34)))*CAPA3_EXPANSION!BL$36)</f>
        <v>0</v>
      </c>
      <c r="BM41" s="298" t="n">
        <f aca="false">IF(COUNTIF(CAPA3_EXPANSION!$D$56:BM$56,"&gt;="&amp;34)=0,0,SUP_CONTROL!$C$8*IF($B41="V",1,IF($B41="D",(1+SUP_VOLUMEN!$C$26),(1+SUP_VOLUMEN!$C$27)))*INDEX(SUP_C3_EXPANSION!$C$6:$F$6,MIN(4,COUNTIF(CAPA3_EXPANSION!$D$56:BM$56,"&gt;="&amp;34)))*CAPA3_EXPANSION!BM$36)</f>
        <v>0</v>
      </c>
      <c r="BN41" s="298" t="n">
        <f aca="false">IF(COUNTIF(CAPA3_EXPANSION!$D$56:BN$56,"&gt;="&amp;34)=0,0,SUP_CONTROL!$C$8*IF($B41="V",1,IF($B41="D",(1+SUP_VOLUMEN!$C$26),(1+SUP_VOLUMEN!$C$27)))*INDEX(SUP_C3_EXPANSION!$C$6:$F$6,MIN(4,COUNTIF(CAPA3_EXPANSION!$D$56:BN$56,"&gt;="&amp;34)))*CAPA3_EXPANSION!BN$36)</f>
        <v>0</v>
      </c>
      <c r="BO41" s="298" t="n">
        <f aca="false">IF(COUNTIF(CAPA3_EXPANSION!$D$56:BO$56,"&gt;="&amp;34)=0,0,SUP_CONTROL!$C$8*IF($B41="V",1,IF($B41="D",(1+SUP_VOLUMEN!$C$26),(1+SUP_VOLUMEN!$C$27)))*INDEX(SUP_C3_EXPANSION!$C$6:$F$6,MIN(4,COUNTIF(CAPA3_EXPANSION!$D$56:BO$56,"&gt;="&amp;34)))*CAPA3_EXPANSION!BO$36)</f>
        <v>0</v>
      </c>
      <c r="BP41" s="298" t="n">
        <f aca="false">IF(COUNTIF(CAPA3_EXPANSION!$D$56:BP$56,"&gt;="&amp;34)=0,0,SUP_CONTROL!$C$8*IF($B41="V",1,IF($B41="D",(1+SUP_VOLUMEN!$C$26),(1+SUP_VOLUMEN!$C$27)))*INDEX(SUP_C3_EXPANSION!$C$6:$F$6,MIN(4,COUNTIF(CAPA3_EXPANSION!$D$56:BP$56,"&gt;="&amp;34)))*CAPA3_EXPANSION!BP$36)</f>
        <v>0</v>
      </c>
      <c r="BQ41" s="298" t="n">
        <f aca="false">IF(COUNTIF(CAPA3_EXPANSION!$D$56:BQ$56,"&gt;="&amp;34)=0,0,SUP_CONTROL!$C$8*IF($B41="V",1,IF($B41="D",(1+SUP_VOLUMEN!$C$26),(1+SUP_VOLUMEN!$C$27)))*INDEX(SUP_C3_EXPANSION!$C$6:$F$6,MIN(4,COUNTIF(CAPA3_EXPANSION!$D$56:BQ$56,"&gt;="&amp;34)))*CAPA3_EXPANSION!BQ$36)</f>
        <v>0</v>
      </c>
      <c r="BR41" s="298" t="n">
        <f aca="false">IF(COUNTIF(CAPA3_EXPANSION!$D$56:BR$56,"&gt;="&amp;34)=0,0,SUP_CONTROL!$C$8*IF($B41="V",1,IF($B41="D",(1+SUP_VOLUMEN!$C$26),(1+SUP_VOLUMEN!$C$27)))*INDEX(SUP_C3_EXPANSION!$C$6:$F$6,MIN(4,COUNTIF(CAPA3_EXPANSION!$D$56:BR$56,"&gt;="&amp;34)))*CAPA3_EXPANSION!BR$36)</f>
        <v>0</v>
      </c>
      <c r="BS41" s="298" t="n">
        <f aca="false">IF(COUNTIF(CAPA3_EXPANSION!$D$56:BS$56,"&gt;="&amp;34)=0,0,SUP_CONTROL!$C$8*IF($B41="V",1,IF($B41="D",(1+SUP_VOLUMEN!$C$26),(1+SUP_VOLUMEN!$C$27)))*INDEX(SUP_C3_EXPANSION!$C$6:$F$6,MIN(4,COUNTIF(CAPA3_EXPANSION!$D$56:BS$56,"&gt;="&amp;34)))*CAPA3_EXPANSION!BS$36)</f>
        <v>0</v>
      </c>
      <c r="BT41" s="298" t="n">
        <f aca="false">IF(COUNTIF(CAPA3_EXPANSION!$D$56:BT$56,"&gt;="&amp;34)=0,0,SUP_CONTROL!$C$8*IF($B41="V",1,IF($B41="D",(1+SUP_VOLUMEN!$C$26),(1+SUP_VOLUMEN!$C$27)))*INDEX(SUP_C3_EXPANSION!$C$6:$F$6,MIN(4,COUNTIF(CAPA3_EXPANSION!$D$56:BT$56,"&gt;="&amp;34)))*CAPA3_EXPANSION!BT$36)</f>
        <v>0</v>
      </c>
      <c r="BU41" s="298" t="n">
        <f aca="false">IF(COUNTIF(CAPA3_EXPANSION!$D$56:BU$56,"&gt;="&amp;34)=0,0,SUP_CONTROL!$C$8*IF($B41="V",1,IF($B41="D",(1+SUP_VOLUMEN!$C$26),(1+SUP_VOLUMEN!$C$27)))*INDEX(SUP_C3_EXPANSION!$C$6:$F$6,MIN(4,COUNTIF(CAPA3_EXPANSION!$D$56:BU$56,"&gt;="&amp;34)))*CAPA3_EXPANSION!BU$36)</f>
        <v>0</v>
      </c>
      <c r="BV41" s="298" t="n">
        <f aca="false">IF(COUNTIF(CAPA3_EXPANSION!$D$56:BV$56,"&gt;="&amp;34)=0,0,SUP_CONTROL!$C$8*IF($B41="V",1,IF($B41="D",(1+SUP_VOLUMEN!$C$26),(1+SUP_VOLUMEN!$C$27)))*INDEX(SUP_C3_EXPANSION!$C$6:$F$6,MIN(4,COUNTIF(CAPA3_EXPANSION!$D$56:BV$56,"&gt;="&amp;34)))*CAPA3_EXPANSION!BV$36)</f>
        <v>0</v>
      </c>
      <c r="BW41" s="298" t="n">
        <f aca="false">IF(COUNTIF(CAPA3_EXPANSION!$D$56:BW$56,"&gt;="&amp;34)=0,0,SUP_CONTROL!$C$8*IF($B41="V",1,IF($B41="D",(1+SUP_VOLUMEN!$C$26),(1+SUP_VOLUMEN!$C$27)))*INDEX(SUP_C3_EXPANSION!$C$6:$F$6,MIN(4,COUNTIF(CAPA3_EXPANSION!$D$56:BW$56,"&gt;="&amp;34)))*CAPA3_EXPANSION!BW$36)</f>
        <v>0</v>
      </c>
      <c r="BX41" s="298" t="n">
        <f aca="false">IF(COUNTIF(CAPA3_EXPANSION!$D$56:BX$56,"&gt;="&amp;34)=0,0,SUP_CONTROL!$C$8*IF($B41="V",1,IF($B41="D",(1+SUP_VOLUMEN!$C$26),(1+SUP_VOLUMEN!$C$27)))*INDEX(SUP_C3_EXPANSION!$C$6:$F$6,MIN(4,COUNTIF(CAPA3_EXPANSION!$D$56:BX$56,"&gt;="&amp;34)))*CAPA3_EXPANSION!BX$36)</f>
        <v>0</v>
      </c>
      <c r="BY41" s="298" t="n">
        <f aca="false">IF(COUNTIF(CAPA3_EXPANSION!$D$56:BY$56,"&gt;="&amp;34)=0,0,SUP_CONTROL!$C$8*IF($B41="V",1,IF($B41="D",(1+SUP_VOLUMEN!$C$26),(1+SUP_VOLUMEN!$C$27)))*INDEX(SUP_C3_EXPANSION!$C$6:$F$6,MIN(4,COUNTIF(CAPA3_EXPANSION!$D$56:BY$56,"&gt;="&amp;34)))*CAPA3_EXPANSION!BY$36)</f>
        <v>0</v>
      </c>
      <c r="BZ41" s="298" t="n">
        <f aca="false">IF(COUNTIF(CAPA3_EXPANSION!$D$56:BZ$56,"&gt;="&amp;34)=0,0,SUP_CONTROL!$C$8*IF($B41="V",1,IF($B41="D",(1+SUP_VOLUMEN!$C$26),(1+SUP_VOLUMEN!$C$27)))*INDEX(SUP_C3_EXPANSION!$C$6:$F$6,MIN(4,COUNTIF(CAPA3_EXPANSION!$D$56:BZ$56,"&gt;="&amp;34)))*CAPA3_EXPANSION!BZ$36)</f>
        <v>0</v>
      </c>
      <c r="CA41" s="298" t="n">
        <f aca="false">IF(COUNTIF(CAPA3_EXPANSION!$D$56:CA$56,"&gt;="&amp;34)=0,0,SUP_CONTROL!$C$8*IF($B41="V",1,IF($B41="D",(1+SUP_VOLUMEN!$C$26),(1+SUP_VOLUMEN!$C$27)))*INDEX(SUP_C3_EXPANSION!$C$6:$F$6,MIN(4,COUNTIF(CAPA3_EXPANSION!$D$56:CA$56,"&gt;="&amp;34)))*CAPA3_EXPANSION!CA$36)</f>
        <v>0</v>
      </c>
      <c r="CB41" s="298" t="n">
        <f aca="false">IF(COUNTIF(CAPA3_EXPANSION!$D$56:CB$56,"&gt;="&amp;34)=0,0,SUP_CONTROL!$C$8*IF($B41="V",1,IF($B41="D",(1+SUP_VOLUMEN!$C$26),(1+SUP_VOLUMEN!$C$27)))*INDEX(SUP_C3_EXPANSION!$C$6:$F$6,MIN(4,COUNTIF(CAPA3_EXPANSION!$D$56:CB$56,"&gt;="&amp;34)))*CAPA3_EXPANSION!CB$36)</f>
        <v>0</v>
      </c>
      <c r="CC41" s="298" t="n">
        <f aca="false">IF(COUNTIF(CAPA3_EXPANSION!$D$56:CC$56,"&gt;="&amp;34)=0,0,SUP_CONTROL!$C$8*IF($B41="V",1,IF($B41="D",(1+SUP_VOLUMEN!$C$26),(1+SUP_VOLUMEN!$C$27)))*INDEX(SUP_C3_EXPANSION!$C$6:$F$6,MIN(4,COUNTIF(CAPA3_EXPANSION!$D$56:CC$56,"&gt;="&amp;34)))*CAPA3_EXPANSION!CC$36)</f>
        <v>0</v>
      </c>
      <c r="CD41" s="298" t="n">
        <f aca="false">IF(COUNTIF(CAPA3_EXPANSION!$D$56:CD$56,"&gt;="&amp;34)=0,0,SUP_CONTROL!$C$8*IF($B41="V",1,IF($B41="D",(1+SUP_VOLUMEN!$C$26),(1+SUP_VOLUMEN!$C$27)))*INDEX(SUP_C3_EXPANSION!$C$6:$F$6,MIN(4,COUNTIF(CAPA3_EXPANSION!$D$56:CD$56,"&gt;="&amp;34)))*CAPA3_EXPANSION!CD$36)</f>
        <v>3016.65</v>
      </c>
      <c r="CE41" s="298" t="n">
        <f aca="false">IF(COUNTIF(CAPA3_EXPANSION!$D$56:CE$56,"&gt;="&amp;34)=0,0,SUP_CONTROL!$C$8*IF($B41="V",1,IF($B41="D",(1+SUP_VOLUMEN!$C$26),(1+SUP_VOLUMEN!$C$27)))*INDEX(SUP_C3_EXPANSION!$C$6:$F$6,MIN(4,COUNTIF(CAPA3_EXPANSION!$D$56:CE$56,"&gt;="&amp;34)))*CAPA3_EXPANSION!CE$36)</f>
        <v>3712.8</v>
      </c>
      <c r="CF41" s="298" t="n">
        <f aca="false">IF(COUNTIF(CAPA3_EXPANSION!$D$56:CF$56,"&gt;="&amp;34)=0,0,SUP_CONTROL!$C$8*IF($B41="V",1,IF($B41="D",(1+SUP_VOLUMEN!$C$26),(1+SUP_VOLUMEN!$C$27)))*INDEX(SUP_C3_EXPANSION!$C$6:$F$6,MIN(4,COUNTIF(CAPA3_EXPANSION!$D$56:CF$56,"&gt;="&amp;34)))*CAPA3_EXPANSION!CF$36)</f>
        <v>4176.9</v>
      </c>
      <c r="CG41" s="298" t="n">
        <f aca="false">IF(COUNTIF(CAPA3_EXPANSION!$D$56:CG$56,"&gt;="&amp;34)=0,0,SUP_CONTROL!$C$8*IF($B41="V",1,IF($B41="D",(1+SUP_VOLUMEN!$C$26),(1+SUP_VOLUMEN!$C$27)))*INDEX(SUP_C3_EXPANSION!$C$6:$F$6,MIN(4,COUNTIF(CAPA3_EXPANSION!$D$56:CG$56,"&gt;="&amp;34)))*CAPA3_EXPANSION!CG$36)</f>
        <v>4586.4</v>
      </c>
      <c r="CH41" s="298" t="n">
        <f aca="false">IF(COUNTIF(CAPA3_EXPANSION!$D$56:CH$56,"&gt;="&amp;34)=0,0,SUP_CONTROL!$C$8*IF($B41="V",1,IF($B41="D",(1+SUP_VOLUMEN!$C$26),(1+SUP_VOLUMEN!$C$27)))*INDEX(SUP_C3_EXPANSION!$C$6:$F$6,MIN(4,COUNTIF(CAPA3_EXPANSION!$D$56:CH$56,"&gt;="&amp;34)))*CAPA3_EXPANSION!CH$36)</f>
        <v>4586.4</v>
      </c>
      <c r="CI41" s="298" t="n">
        <f aca="false">IF(COUNTIF(CAPA3_EXPANSION!$D$56:CI$56,"&gt;="&amp;34)=0,0,SUP_CONTROL!$C$8*IF($B41="V",1,IF($B41="D",(1+SUP_VOLUMEN!$C$26),(1+SUP_VOLUMEN!$C$27)))*INDEX(SUP_C3_EXPANSION!$C$6:$F$6,MIN(4,COUNTIF(CAPA3_EXPANSION!$D$56:CI$56,"&gt;="&amp;34)))*CAPA3_EXPANSION!CI$36)</f>
        <v>4586.4</v>
      </c>
      <c r="CJ41" s="298" t="n">
        <f aca="false">IF(COUNTIF(CAPA3_EXPANSION!$D$56:CJ$56,"&gt;="&amp;34)=0,0,SUP_CONTROL!$C$8*IF($B41="V",1,IF($B41="D",(1+SUP_VOLUMEN!$C$26),(1+SUP_VOLUMEN!$C$27)))*INDEX(SUP_C3_EXPANSION!$C$6:$F$6,MIN(4,COUNTIF(CAPA3_EXPANSION!$D$56:CJ$56,"&gt;="&amp;34)))*CAPA3_EXPANSION!CJ$36)</f>
        <v>4586.4</v>
      </c>
      <c r="CK41" s="298" t="n">
        <f aca="false">IF(COUNTIF(CAPA3_EXPANSION!$D$56:CK$56,"&gt;="&amp;34)=0,0,SUP_CONTROL!$C$8*IF($B41="V",1,IF($B41="D",(1+SUP_VOLUMEN!$C$26),(1+SUP_VOLUMEN!$C$27)))*INDEX(SUP_C3_EXPANSION!$C$6:$F$6,MIN(4,COUNTIF(CAPA3_EXPANSION!$D$56:CK$56,"&gt;="&amp;34)))*CAPA3_EXPANSION!CK$36)</f>
        <v>4586.4</v>
      </c>
      <c r="CL41" s="298" t="n">
        <f aca="false">IF(COUNTIF(CAPA3_EXPANSION!$D$56:CL$56,"&gt;="&amp;34)=0,0,SUP_CONTROL!$C$8*IF($B41="V",1,IF($B41="D",(1+SUP_VOLUMEN!$C$26),(1+SUP_VOLUMEN!$C$27)))*INDEX(SUP_C3_EXPANSION!$C$6:$F$6,MIN(4,COUNTIF(CAPA3_EXPANSION!$D$56:CL$56,"&gt;="&amp;34)))*CAPA3_EXPANSION!CL$36)</f>
        <v>4586.4</v>
      </c>
      <c r="CM41" s="298" t="n">
        <f aca="false">IF(COUNTIF(CAPA3_EXPANSION!$D$56:CM$56,"&gt;="&amp;34)=0,0,SUP_CONTROL!$C$8*IF($B41="V",1,IF($B41="D",(1+SUP_VOLUMEN!$C$26),(1+SUP_VOLUMEN!$C$27)))*INDEX(SUP_C3_EXPANSION!$C$6:$F$6,MIN(4,COUNTIF(CAPA3_EXPANSION!$D$56:CM$56,"&gt;="&amp;34)))*CAPA3_EXPANSION!CM$36)</f>
        <v>4586.4</v>
      </c>
      <c r="CN41" s="298" t="n">
        <f aca="false">IF(COUNTIF(CAPA3_EXPANSION!$D$56:CN$56,"&gt;="&amp;34)=0,0,SUP_CONTROL!$C$8*IF($B41="V",1,IF($B41="D",(1+SUP_VOLUMEN!$C$26),(1+SUP_VOLUMEN!$C$27)))*INDEX(SUP_C3_EXPANSION!$C$6:$F$6,MIN(4,COUNTIF(CAPA3_EXPANSION!$D$56:CN$56,"&gt;="&amp;34)))*CAPA3_EXPANSION!CN$36)</f>
        <v>4586.4</v>
      </c>
      <c r="CO41" s="298" t="n">
        <f aca="false">IF(COUNTIF(CAPA3_EXPANSION!$D$56:CO$56,"&gt;="&amp;34)=0,0,SUP_CONTROL!$C$8*IF($B41="V",1,IF($B41="D",(1+SUP_VOLUMEN!$C$26),(1+SUP_VOLUMEN!$C$27)))*INDEX(SUP_C3_EXPANSION!$C$6:$F$6,MIN(4,COUNTIF(CAPA3_EXPANSION!$D$56:CO$56,"&gt;="&amp;34)))*CAPA3_EXPANSION!CO$36)</f>
        <v>4586.4</v>
      </c>
      <c r="CP41" s="298" t="n">
        <f aca="false">IF(COUNTIF(CAPA3_EXPANSION!$D$56:CP$56,"&gt;="&amp;34)=0,0,SUP_CONTROL!$C$8*IF($B41="V",1,IF($B41="D",(1+SUP_VOLUMEN!$C$26),(1+SUP_VOLUMEN!$C$27)))*INDEX(SUP_C3_EXPANSION!$C$6:$F$6,MIN(4,COUNTIF(CAPA3_EXPANSION!$D$56:CP$56,"&gt;="&amp;34)))*CAPA3_EXPANSION!CP$36)</f>
        <v>4586.4</v>
      </c>
      <c r="CQ41" s="298" t="n">
        <f aca="false">IF(COUNTIF(CAPA3_EXPANSION!$D$56:CQ$56,"&gt;="&amp;34)=0,0,SUP_CONTROL!$C$8*IF($B41="V",1,IF($B41="D",(1+SUP_VOLUMEN!$C$26),(1+SUP_VOLUMEN!$C$27)))*INDEX(SUP_C3_EXPANSION!$C$6:$F$6,MIN(4,COUNTIF(CAPA3_EXPANSION!$D$56:CQ$56,"&gt;="&amp;34)))*CAPA3_EXPANSION!CQ$36)</f>
        <v>4586.4</v>
      </c>
      <c r="CR41" s="298" t="n">
        <f aca="false">IF(COUNTIF(CAPA3_EXPANSION!$D$56:CR$56,"&gt;="&amp;34)=0,0,SUP_CONTROL!$C$8*IF($B41="V",1,IF($B41="D",(1+SUP_VOLUMEN!$C$26),(1+SUP_VOLUMEN!$C$27)))*INDEX(SUP_C3_EXPANSION!$C$6:$F$6,MIN(4,COUNTIF(CAPA3_EXPANSION!$D$56:CR$56,"&gt;="&amp;34)))*CAPA3_EXPANSION!CR$36)</f>
        <v>4586.4</v>
      </c>
      <c r="CS41" s="298" t="n">
        <f aca="false">IF(COUNTIF(CAPA3_EXPANSION!$D$56:CS$56,"&gt;="&amp;34)=0,0,SUP_CONTROL!$C$8*IF($B41="V",1,IF($B41="D",(1+SUP_VOLUMEN!$C$26),(1+SUP_VOLUMEN!$C$27)))*INDEX(SUP_C3_EXPANSION!$C$6:$F$6,MIN(4,COUNTIF(CAPA3_EXPANSION!$D$56:CS$56,"&gt;="&amp;34)))*CAPA3_EXPANSION!CS$36)</f>
        <v>4586.4</v>
      </c>
      <c r="CT41" s="298" t="n">
        <f aca="false">IF(COUNTIF(CAPA3_EXPANSION!$D$56:CT$56,"&gt;="&amp;34)=0,0,SUP_CONTROL!$C$8*IF($B41="V",1,IF($B41="D",(1+SUP_VOLUMEN!$C$26),(1+SUP_VOLUMEN!$C$27)))*INDEX(SUP_C3_EXPANSION!$C$6:$F$6,MIN(4,COUNTIF(CAPA3_EXPANSION!$D$56:CT$56,"&gt;="&amp;34)))*CAPA3_EXPANSION!CT$36)</f>
        <v>4586.4</v>
      </c>
      <c r="CU41" s="298" t="n">
        <f aca="false">IF(COUNTIF(CAPA3_EXPANSION!$D$56:CU$56,"&gt;="&amp;34)=0,0,SUP_CONTROL!$C$8*IF($B41="V",1,IF($B41="D",(1+SUP_VOLUMEN!$C$26),(1+SUP_VOLUMEN!$C$27)))*INDEX(SUP_C3_EXPANSION!$C$6:$F$6,MIN(4,COUNTIF(CAPA3_EXPANSION!$D$56:CU$56,"&gt;="&amp;34)))*CAPA3_EXPANSION!CU$36)</f>
        <v>4586.4</v>
      </c>
      <c r="CV41" s="298" t="n">
        <f aca="false">IF(COUNTIF(CAPA3_EXPANSION!$D$56:CV$56,"&gt;="&amp;34)=0,0,SUP_CONTROL!$C$8*IF($B41="V",1,IF($B41="D",(1+SUP_VOLUMEN!$C$26),(1+SUP_VOLUMEN!$C$27)))*INDEX(SUP_C3_EXPANSION!$C$6:$F$6,MIN(4,COUNTIF(CAPA3_EXPANSION!$D$56:CV$56,"&gt;="&amp;34)))*CAPA3_EXPANSION!CV$36)</f>
        <v>4586.4</v>
      </c>
      <c r="CW41" s="298" t="n">
        <f aca="false">IF(COUNTIF(CAPA3_EXPANSION!$D$56:CW$56,"&gt;="&amp;34)=0,0,SUP_CONTROL!$C$8*IF($B41="V",1,IF($B41="D",(1+SUP_VOLUMEN!$C$26),(1+SUP_VOLUMEN!$C$27)))*INDEX(SUP_C3_EXPANSION!$C$6:$F$6,MIN(4,COUNTIF(CAPA3_EXPANSION!$D$56:CW$56,"&gt;="&amp;34)))*CAPA3_EXPANSION!CW$36)</f>
        <v>4586.4</v>
      </c>
      <c r="CX41" s="298" t="n">
        <f aca="false">IF(COUNTIF(CAPA3_EXPANSION!$D$56:CX$56,"&gt;="&amp;34)=0,0,SUP_CONTROL!$C$8*IF($B41="V",1,IF($B41="D",(1+SUP_VOLUMEN!$C$26),(1+SUP_VOLUMEN!$C$27)))*INDEX(SUP_C3_EXPANSION!$C$6:$F$6,MIN(4,COUNTIF(CAPA3_EXPANSION!$D$56:CX$56,"&gt;="&amp;34)))*CAPA3_EXPANSION!CX$36)</f>
        <v>4586.4</v>
      </c>
      <c r="CY41" s="298" t="n">
        <f aca="false">IF(COUNTIF(CAPA3_EXPANSION!$D$56:CY$56,"&gt;="&amp;34)=0,0,SUP_CONTROL!$C$8*IF($B41="V",1,IF($B41="D",(1+SUP_VOLUMEN!$C$26),(1+SUP_VOLUMEN!$C$27)))*INDEX(SUP_C3_EXPANSION!$C$6:$F$6,MIN(4,COUNTIF(CAPA3_EXPANSION!$D$56:CY$56,"&gt;="&amp;34)))*CAPA3_EXPANSION!CY$36)</f>
        <v>4586.4</v>
      </c>
      <c r="CZ41" s="298" t="n">
        <f aca="false">IF(COUNTIF(CAPA3_EXPANSION!$D$56:CZ$56,"&gt;="&amp;34)=0,0,SUP_CONTROL!$C$8*IF($B41="V",1,IF($B41="D",(1+SUP_VOLUMEN!$C$26),(1+SUP_VOLUMEN!$C$27)))*INDEX(SUP_C3_EXPANSION!$C$6:$F$6,MIN(4,COUNTIF(CAPA3_EXPANSION!$D$56:CZ$56,"&gt;="&amp;34)))*CAPA3_EXPANSION!CZ$36)</f>
        <v>4586.4</v>
      </c>
      <c r="DA41" s="298" t="n">
        <f aca="false">IF(COUNTIF(CAPA3_EXPANSION!$D$56:DA$56,"&gt;="&amp;34)=0,0,SUP_CONTROL!$C$8*IF($B41="V",1,IF($B41="D",(1+SUP_VOLUMEN!$C$26),(1+SUP_VOLUMEN!$C$27)))*INDEX(SUP_C3_EXPANSION!$C$6:$F$6,MIN(4,COUNTIF(CAPA3_EXPANSION!$D$56:DA$56,"&gt;="&amp;34)))*CAPA3_EXPANSION!DA$36)</f>
        <v>4586.4</v>
      </c>
      <c r="DB41" s="298" t="n">
        <f aca="false">IF(COUNTIF(CAPA3_EXPANSION!$D$56:DB$56,"&gt;="&amp;34)=0,0,SUP_CONTROL!$C$8*IF($B41="V",1,IF($B41="D",(1+SUP_VOLUMEN!$C$26),(1+SUP_VOLUMEN!$C$27)))*INDEX(SUP_C3_EXPANSION!$C$6:$F$6,MIN(4,COUNTIF(CAPA3_EXPANSION!$D$56:DB$56,"&gt;="&amp;34)))*CAPA3_EXPANSION!DB$36)</f>
        <v>4586.4</v>
      </c>
      <c r="DC41" s="298" t="n">
        <f aca="false">IF(COUNTIF(CAPA3_EXPANSION!$D$56:DC$56,"&gt;="&amp;34)=0,0,SUP_CONTROL!$C$8*IF($B41="V",1,IF($B41="D",(1+SUP_VOLUMEN!$C$26),(1+SUP_VOLUMEN!$C$27)))*INDEX(SUP_C3_EXPANSION!$C$6:$F$6,MIN(4,COUNTIF(CAPA3_EXPANSION!$D$56:DC$56,"&gt;="&amp;34)))*CAPA3_EXPANSION!DC$36)</f>
        <v>4586.4</v>
      </c>
      <c r="DD41" s="298" t="n">
        <f aca="false">IF(COUNTIF(CAPA3_EXPANSION!$D$56:DD$56,"&gt;="&amp;34)=0,0,SUP_CONTROL!$C$8*IF($B41="V",1,IF($B41="D",(1+SUP_VOLUMEN!$C$26),(1+SUP_VOLUMEN!$C$27)))*INDEX(SUP_C3_EXPANSION!$C$6:$F$6,MIN(4,COUNTIF(CAPA3_EXPANSION!$D$56:DD$56,"&gt;="&amp;34)))*CAPA3_EXPANSION!DD$36)</f>
        <v>4586.4</v>
      </c>
      <c r="DE41" s="298" t="n">
        <f aca="false">IF(COUNTIF(CAPA3_EXPANSION!$D$56:DE$56,"&gt;="&amp;34)=0,0,SUP_CONTROL!$C$8*IF($B41="V",1,IF($B41="D",(1+SUP_VOLUMEN!$C$26),(1+SUP_VOLUMEN!$C$27)))*INDEX(SUP_C3_EXPANSION!$C$6:$F$6,MIN(4,COUNTIF(CAPA3_EXPANSION!$D$56:DE$56,"&gt;="&amp;34)))*CAPA3_EXPANSION!DE$36)</f>
        <v>4586.4</v>
      </c>
      <c r="DF41" s="298" t="n">
        <f aca="false">IF(COUNTIF(CAPA3_EXPANSION!$D$56:DF$56,"&gt;="&amp;34)=0,0,SUP_CONTROL!$C$8*IF($B41="V",1,IF($B41="D",(1+SUP_VOLUMEN!$C$26),(1+SUP_VOLUMEN!$C$27)))*INDEX(SUP_C3_EXPANSION!$C$6:$F$6,MIN(4,COUNTIF(CAPA3_EXPANSION!$D$56:DF$56,"&gt;="&amp;34)))*CAPA3_EXPANSION!DF$36)</f>
        <v>4586.4</v>
      </c>
      <c r="DG41" s="298" t="n">
        <f aca="false">IF(COUNTIF(CAPA3_EXPANSION!$D$56:DG$56,"&gt;="&amp;34)=0,0,SUP_CONTROL!$C$8*IF($B41="V",1,IF($B41="D",(1+SUP_VOLUMEN!$C$26),(1+SUP_VOLUMEN!$C$27)))*INDEX(SUP_C3_EXPANSION!$C$6:$F$6,MIN(4,COUNTIF(CAPA3_EXPANSION!$D$56:DG$56,"&gt;="&amp;34)))*CAPA3_EXPANSION!DG$36)</f>
        <v>4586.4</v>
      </c>
      <c r="DH41" s="298" t="n">
        <f aca="false">IF(COUNTIF(CAPA3_EXPANSION!$D$56:DH$56,"&gt;="&amp;34)=0,0,SUP_CONTROL!$C$8*IF($B41="V",1,IF($B41="D",(1+SUP_VOLUMEN!$C$26),(1+SUP_VOLUMEN!$C$27)))*INDEX(SUP_C3_EXPANSION!$C$6:$F$6,MIN(4,COUNTIF(CAPA3_EXPANSION!$D$56:DH$56,"&gt;="&amp;34)))*CAPA3_EXPANSION!DH$36)</f>
        <v>4586.4</v>
      </c>
      <c r="DI41" s="298" t="n">
        <f aca="false">IF(COUNTIF(CAPA3_EXPANSION!$D$56:DI$56,"&gt;="&amp;34)=0,0,SUP_CONTROL!$C$8*IF($B41="V",1,IF($B41="D",(1+SUP_VOLUMEN!$C$26),(1+SUP_VOLUMEN!$C$27)))*INDEX(SUP_C3_EXPANSION!$C$6:$F$6,MIN(4,COUNTIF(CAPA3_EXPANSION!$D$56:DI$56,"&gt;="&amp;34)))*CAPA3_EXPANSION!DI$36)</f>
        <v>4586.4</v>
      </c>
      <c r="DJ41" s="298" t="n">
        <f aca="false">IF(COUNTIF(CAPA3_EXPANSION!$D$56:DJ$56,"&gt;="&amp;34)=0,0,SUP_CONTROL!$C$8*IF($B41="V",1,IF($B41="D",(1+SUP_VOLUMEN!$C$26),(1+SUP_VOLUMEN!$C$27)))*INDEX(SUP_C3_EXPANSION!$C$6:$F$6,MIN(4,COUNTIF(CAPA3_EXPANSION!$D$56:DJ$56,"&gt;="&amp;34)))*CAPA3_EXPANSION!DJ$36)</f>
        <v>4586.4</v>
      </c>
      <c r="DK41" s="298" t="n">
        <f aca="false">IF(COUNTIF(CAPA3_EXPANSION!$D$56:DK$56,"&gt;="&amp;34)=0,0,SUP_CONTROL!$C$8*IF($B41="V",1,IF($B41="D",(1+SUP_VOLUMEN!$C$26),(1+SUP_VOLUMEN!$C$27)))*INDEX(SUP_C3_EXPANSION!$C$6:$F$6,MIN(4,COUNTIF(CAPA3_EXPANSION!$D$56:DK$56,"&gt;="&amp;34)))*CAPA3_EXPANSION!DK$36)</f>
        <v>4586.4</v>
      </c>
      <c r="DL41" s="298" t="n">
        <f aca="false">IF(COUNTIF(CAPA3_EXPANSION!$D$56:DL$56,"&gt;="&amp;34)=0,0,SUP_CONTROL!$C$8*IF($B41="V",1,IF($B41="D",(1+SUP_VOLUMEN!$C$26),(1+SUP_VOLUMEN!$C$27)))*INDEX(SUP_C3_EXPANSION!$C$6:$F$6,MIN(4,COUNTIF(CAPA3_EXPANSION!$D$56:DL$56,"&gt;="&amp;34)))*CAPA3_EXPANSION!DL$36)</f>
        <v>4586.4</v>
      </c>
      <c r="DM41" s="298" t="n">
        <f aca="false">IF(COUNTIF(CAPA3_EXPANSION!$D$56:DM$56,"&gt;="&amp;34)=0,0,SUP_CONTROL!$C$8*IF($B41="V",1,IF($B41="D",(1+SUP_VOLUMEN!$C$26),(1+SUP_VOLUMEN!$C$27)))*INDEX(SUP_C3_EXPANSION!$C$6:$F$6,MIN(4,COUNTIF(CAPA3_EXPANSION!$D$56:DM$56,"&gt;="&amp;34)))*CAPA3_EXPANSION!DM$36)</f>
        <v>4586.4</v>
      </c>
      <c r="DN41" s="298" t="n">
        <f aca="false">IF(COUNTIF(CAPA3_EXPANSION!$D$56:DN$56,"&gt;="&amp;34)=0,0,SUP_CONTROL!$C$8*IF($B41="V",1,IF($B41="D",(1+SUP_VOLUMEN!$C$26),(1+SUP_VOLUMEN!$C$27)))*INDEX(SUP_C3_EXPANSION!$C$6:$F$6,MIN(4,COUNTIF(CAPA3_EXPANSION!$D$56:DN$56,"&gt;="&amp;34)))*CAPA3_EXPANSION!DN$36)</f>
        <v>4586.4</v>
      </c>
      <c r="DO41" s="298" t="n">
        <f aca="false">IF(COUNTIF(CAPA3_EXPANSION!$D$56:DO$56,"&gt;="&amp;34)=0,0,SUP_CONTROL!$C$8*IF($B41="V",1,IF($B41="D",(1+SUP_VOLUMEN!$C$26),(1+SUP_VOLUMEN!$C$27)))*INDEX(SUP_C3_EXPANSION!$C$6:$F$6,MIN(4,COUNTIF(CAPA3_EXPANSION!$D$56:DO$56,"&gt;="&amp;34)))*CAPA3_EXPANSION!DO$36)</f>
        <v>4586.4</v>
      </c>
      <c r="DP41" s="298" t="n">
        <f aca="false">IF(COUNTIF(CAPA3_EXPANSION!$D$56:DP$56,"&gt;="&amp;34)=0,0,SUP_CONTROL!$C$8*IF($B41="V",1,IF($B41="D",(1+SUP_VOLUMEN!$C$26),(1+SUP_VOLUMEN!$C$27)))*INDEX(SUP_C3_EXPANSION!$C$6:$F$6,MIN(4,COUNTIF(CAPA3_EXPANSION!$D$56:DP$56,"&gt;="&amp;34)))*CAPA3_EXPANSION!DP$36)</f>
        <v>4586.4</v>
      </c>
      <c r="DQ41" s="298" t="n">
        <f aca="false">IF(COUNTIF(CAPA3_EXPANSION!$D$56:DQ$56,"&gt;="&amp;34)=0,0,SUP_CONTROL!$C$8*IF($B41="V",1,IF($B41="D",(1+SUP_VOLUMEN!$C$26),(1+SUP_VOLUMEN!$C$27)))*INDEX(SUP_C3_EXPANSION!$C$6:$F$6,MIN(4,COUNTIF(CAPA3_EXPANSION!$D$56:DQ$56,"&gt;="&amp;34)))*CAPA3_EXPANSION!DQ$36)</f>
        <v>4586.4</v>
      </c>
      <c r="DR41" s="298" t="n">
        <f aca="false">IF(COUNTIF(CAPA3_EXPANSION!$D$56:DR$56,"&gt;="&amp;34)=0,0,SUP_CONTROL!$C$8*IF($B41="V",1,IF($B41="D",(1+SUP_VOLUMEN!$C$26),(1+SUP_VOLUMEN!$C$27)))*INDEX(SUP_C3_EXPANSION!$C$6:$F$6,MIN(4,COUNTIF(CAPA3_EXPANSION!$D$56:DR$56,"&gt;="&amp;34)))*CAPA3_EXPANSION!DR$36)</f>
        <v>4586.4</v>
      </c>
      <c r="DS41" s="298" t="n">
        <f aca="false">IF(COUNTIF(CAPA3_EXPANSION!$D$56:DS$56,"&gt;="&amp;34)=0,0,SUP_CONTROL!$C$8*IF($B41="V",1,IF($B41="D",(1+SUP_VOLUMEN!$C$26),(1+SUP_VOLUMEN!$C$27)))*INDEX(SUP_C3_EXPANSION!$C$6:$F$6,MIN(4,COUNTIF(CAPA3_EXPANSION!$D$56:DS$56,"&gt;="&amp;34)))*CAPA3_EXPANSION!DS$36)</f>
        <v>4586.4</v>
      </c>
    </row>
    <row r="42" customFormat="false" ht="15" hidden="false" customHeight="true" outlineLevel="0" collapsed="false">
      <c r="A42" s="298" t="n">
        <v>45</v>
      </c>
      <c r="B42" s="497" t="str">
        <f aca="false">SUP_C3_EXPANSION!B54</f>
        <v>V</v>
      </c>
      <c r="C42" s="267" t="n">
        <f aca="false">SUP_C3_EXPANSION!G54</f>
        <v>77</v>
      </c>
      <c r="D42" s="298" t="n">
        <f aca="false">IF(COUNTIF(CAPA3_EXPANSION!$D$56:D$56,"&gt;="&amp;35)=0,0,SUP_CONTROL!$C$8*IF($B42="V",1,IF($B42="D",(1+SUP_VOLUMEN!$C$26),(1+SUP_VOLUMEN!$C$27)))*INDEX(SUP_C3_EXPANSION!$C$6:$F$6,MIN(4,COUNTIF(CAPA3_EXPANSION!$D$56:D$56,"&gt;="&amp;35)))*CAPA3_EXPANSION!D$36)</f>
        <v>0</v>
      </c>
      <c r="E42" s="298" t="n">
        <f aca="false">IF(COUNTIF(CAPA3_EXPANSION!$D$56:E$56,"&gt;="&amp;35)=0,0,SUP_CONTROL!$C$8*IF($B42="V",1,IF($B42="D",(1+SUP_VOLUMEN!$C$26),(1+SUP_VOLUMEN!$C$27)))*INDEX(SUP_C3_EXPANSION!$C$6:$F$6,MIN(4,COUNTIF(CAPA3_EXPANSION!$D$56:E$56,"&gt;="&amp;35)))*CAPA3_EXPANSION!E$36)</f>
        <v>0</v>
      </c>
      <c r="F42" s="298" t="n">
        <f aca="false">IF(COUNTIF(CAPA3_EXPANSION!$D$56:F$56,"&gt;="&amp;35)=0,0,SUP_CONTROL!$C$8*IF($B42="V",1,IF($B42="D",(1+SUP_VOLUMEN!$C$26),(1+SUP_VOLUMEN!$C$27)))*INDEX(SUP_C3_EXPANSION!$C$6:$F$6,MIN(4,COUNTIF(CAPA3_EXPANSION!$D$56:F$56,"&gt;="&amp;35)))*CAPA3_EXPANSION!F$36)</f>
        <v>0</v>
      </c>
      <c r="G42" s="298" t="n">
        <f aca="false">IF(COUNTIF(CAPA3_EXPANSION!$D$56:G$56,"&gt;="&amp;35)=0,0,SUP_CONTROL!$C$8*IF($B42="V",1,IF($B42="D",(1+SUP_VOLUMEN!$C$26),(1+SUP_VOLUMEN!$C$27)))*INDEX(SUP_C3_EXPANSION!$C$6:$F$6,MIN(4,COUNTIF(CAPA3_EXPANSION!$D$56:G$56,"&gt;="&amp;35)))*CAPA3_EXPANSION!G$36)</f>
        <v>0</v>
      </c>
      <c r="H42" s="298" t="n">
        <f aca="false">IF(COUNTIF(CAPA3_EXPANSION!$D$56:H$56,"&gt;="&amp;35)=0,0,SUP_CONTROL!$C$8*IF($B42="V",1,IF($B42="D",(1+SUP_VOLUMEN!$C$26),(1+SUP_VOLUMEN!$C$27)))*INDEX(SUP_C3_EXPANSION!$C$6:$F$6,MIN(4,COUNTIF(CAPA3_EXPANSION!$D$56:H$56,"&gt;="&amp;35)))*CAPA3_EXPANSION!H$36)</f>
        <v>0</v>
      </c>
      <c r="I42" s="298" t="n">
        <f aca="false">IF(COUNTIF(CAPA3_EXPANSION!$D$56:I$56,"&gt;="&amp;35)=0,0,SUP_CONTROL!$C$8*IF($B42="V",1,IF($B42="D",(1+SUP_VOLUMEN!$C$26),(1+SUP_VOLUMEN!$C$27)))*INDEX(SUP_C3_EXPANSION!$C$6:$F$6,MIN(4,COUNTIF(CAPA3_EXPANSION!$D$56:I$56,"&gt;="&amp;35)))*CAPA3_EXPANSION!I$36)</f>
        <v>0</v>
      </c>
      <c r="J42" s="298" t="n">
        <f aca="false">IF(COUNTIF(CAPA3_EXPANSION!$D$56:J$56,"&gt;="&amp;35)=0,0,SUP_CONTROL!$C$8*IF($B42="V",1,IF($B42="D",(1+SUP_VOLUMEN!$C$26),(1+SUP_VOLUMEN!$C$27)))*INDEX(SUP_C3_EXPANSION!$C$6:$F$6,MIN(4,COUNTIF(CAPA3_EXPANSION!$D$56:J$56,"&gt;="&amp;35)))*CAPA3_EXPANSION!J$36)</f>
        <v>0</v>
      </c>
      <c r="K42" s="298" t="n">
        <f aca="false">IF(COUNTIF(CAPA3_EXPANSION!$D$56:K$56,"&gt;="&amp;35)=0,0,SUP_CONTROL!$C$8*IF($B42="V",1,IF($B42="D",(1+SUP_VOLUMEN!$C$26),(1+SUP_VOLUMEN!$C$27)))*INDEX(SUP_C3_EXPANSION!$C$6:$F$6,MIN(4,COUNTIF(CAPA3_EXPANSION!$D$56:K$56,"&gt;="&amp;35)))*CAPA3_EXPANSION!K$36)</f>
        <v>0</v>
      </c>
      <c r="L42" s="298" t="n">
        <f aca="false">IF(COUNTIF(CAPA3_EXPANSION!$D$56:L$56,"&gt;="&amp;35)=0,0,SUP_CONTROL!$C$8*IF($B42="V",1,IF($B42="D",(1+SUP_VOLUMEN!$C$26),(1+SUP_VOLUMEN!$C$27)))*INDEX(SUP_C3_EXPANSION!$C$6:$F$6,MIN(4,COUNTIF(CAPA3_EXPANSION!$D$56:L$56,"&gt;="&amp;35)))*CAPA3_EXPANSION!L$36)</f>
        <v>0</v>
      </c>
      <c r="M42" s="298" t="n">
        <f aca="false">IF(COUNTIF(CAPA3_EXPANSION!$D$56:M$56,"&gt;="&amp;35)=0,0,SUP_CONTROL!$C$8*IF($B42="V",1,IF($B42="D",(1+SUP_VOLUMEN!$C$26),(1+SUP_VOLUMEN!$C$27)))*INDEX(SUP_C3_EXPANSION!$C$6:$F$6,MIN(4,COUNTIF(CAPA3_EXPANSION!$D$56:M$56,"&gt;="&amp;35)))*CAPA3_EXPANSION!M$36)</f>
        <v>0</v>
      </c>
      <c r="N42" s="298" t="n">
        <f aca="false">IF(COUNTIF(CAPA3_EXPANSION!$D$56:N$56,"&gt;="&amp;35)=0,0,SUP_CONTROL!$C$8*IF($B42="V",1,IF($B42="D",(1+SUP_VOLUMEN!$C$26),(1+SUP_VOLUMEN!$C$27)))*INDEX(SUP_C3_EXPANSION!$C$6:$F$6,MIN(4,COUNTIF(CAPA3_EXPANSION!$D$56:N$56,"&gt;="&amp;35)))*CAPA3_EXPANSION!N$36)</f>
        <v>0</v>
      </c>
      <c r="O42" s="298" t="n">
        <f aca="false">IF(COUNTIF(CAPA3_EXPANSION!$D$56:O$56,"&gt;="&amp;35)=0,0,SUP_CONTROL!$C$8*IF($B42="V",1,IF($B42="D",(1+SUP_VOLUMEN!$C$26),(1+SUP_VOLUMEN!$C$27)))*INDEX(SUP_C3_EXPANSION!$C$6:$F$6,MIN(4,COUNTIF(CAPA3_EXPANSION!$D$56:O$56,"&gt;="&amp;35)))*CAPA3_EXPANSION!O$36)</f>
        <v>0</v>
      </c>
      <c r="P42" s="298" t="n">
        <f aca="false">IF(COUNTIF(CAPA3_EXPANSION!$D$56:P$56,"&gt;="&amp;35)=0,0,SUP_CONTROL!$C$8*IF($B42="V",1,IF($B42="D",(1+SUP_VOLUMEN!$C$26),(1+SUP_VOLUMEN!$C$27)))*INDEX(SUP_C3_EXPANSION!$C$6:$F$6,MIN(4,COUNTIF(CAPA3_EXPANSION!$D$56:P$56,"&gt;="&amp;35)))*CAPA3_EXPANSION!P$36)</f>
        <v>0</v>
      </c>
      <c r="Q42" s="298" t="n">
        <f aca="false">IF(COUNTIF(CAPA3_EXPANSION!$D$56:Q$56,"&gt;="&amp;35)=0,0,SUP_CONTROL!$C$8*IF($B42="V",1,IF($B42="D",(1+SUP_VOLUMEN!$C$26),(1+SUP_VOLUMEN!$C$27)))*INDEX(SUP_C3_EXPANSION!$C$6:$F$6,MIN(4,COUNTIF(CAPA3_EXPANSION!$D$56:Q$56,"&gt;="&amp;35)))*CAPA3_EXPANSION!Q$36)</f>
        <v>0</v>
      </c>
      <c r="R42" s="298" t="n">
        <f aca="false">IF(COUNTIF(CAPA3_EXPANSION!$D$56:R$56,"&gt;="&amp;35)=0,0,SUP_CONTROL!$C$8*IF($B42="V",1,IF($B42="D",(1+SUP_VOLUMEN!$C$26),(1+SUP_VOLUMEN!$C$27)))*INDEX(SUP_C3_EXPANSION!$C$6:$F$6,MIN(4,COUNTIF(CAPA3_EXPANSION!$D$56:R$56,"&gt;="&amp;35)))*CAPA3_EXPANSION!R$36)</f>
        <v>0</v>
      </c>
      <c r="S42" s="298" t="n">
        <f aca="false">IF(COUNTIF(CAPA3_EXPANSION!$D$56:S$56,"&gt;="&amp;35)=0,0,SUP_CONTROL!$C$8*IF($B42="V",1,IF($B42="D",(1+SUP_VOLUMEN!$C$26),(1+SUP_VOLUMEN!$C$27)))*INDEX(SUP_C3_EXPANSION!$C$6:$F$6,MIN(4,COUNTIF(CAPA3_EXPANSION!$D$56:S$56,"&gt;="&amp;35)))*CAPA3_EXPANSION!S$36)</f>
        <v>0</v>
      </c>
      <c r="T42" s="298" t="n">
        <f aca="false">IF(COUNTIF(CAPA3_EXPANSION!$D$56:T$56,"&gt;="&amp;35)=0,0,SUP_CONTROL!$C$8*IF($B42="V",1,IF($B42="D",(1+SUP_VOLUMEN!$C$26),(1+SUP_VOLUMEN!$C$27)))*INDEX(SUP_C3_EXPANSION!$C$6:$F$6,MIN(4,COUNTIF(CAPA3_EXPANSION!$D$56:T$56,"&gt;="&amp;35)))*CAPA3_EXPANSION!T$36)</f>
        <v>0</v>
      </c>
      <c r="U42" s="298" t="n">
        <f aca="false">IF(COUNTIF(CAPA3_EXPANSION!$D$56:U$56,"&gt;="&amp;35)=0,0,SUP_CONTROL!$C$8*IF($B42="V",1,IF($B42="D",(1+SUP_VOLUMEN!$C$26),(1+SUP_VOLUMEN!$C$27)))*INDEX(SUP_C3_EXPANSION!$C$6:$F$6,MIN(4,COUNTIF(CAPA3_EXPANSION!$D$56:U$56,"&gt;="&amp;35)))*CAPA3_EXPANSION!U$36)</f>
        <v>0</v>
      </c>
      <c r="V42" s="298" t="n">
        <f aca="false">IF(COUNTIF(CAPA3_EXPANSION!$D$56:V$56,"&gt;="&amp;35)=0,0,SUP_CONTROL!$C$8*IF($B42="V",1,IF($B42="D",(1+SUP_VOLUMEN!$C$26),(1+SUP_VOLUMEN!$C$27)))*INDEX(SUP_C3_EXPANSION!$C$6:$F$6,MIN(4,COUNTIF(CAPA3_EXPANSION!$D$56:V$56,"&gt;="&amp;35)))*CAPA3_EXPANSION!V$36)</f>
        <v>0</v>
      </c>
      <c r="W42" s="298" t="n">
        <f aca="false">IF(COUNTIF(CAPA3_EXPANSION!$D$56:W$56,"&gt;="&amp;35)=0,0,SUP_CONTROL!$C$8*IF($B42="V",1,IF($B42="D",(1+SUP_VOLUMEN!$C$26),(1+SUP_VOLUMEN!$C$27)))*INDEX(SUP_C3_EXPANSION!$C$6:$F$6,MIN(4,COUNTIF(CAPA3_EXPANSION!$D$56:W$56,"&gt;="&amp;35)))*CAPA3_EXPANSION!W$36)</f>
        <v>0</v>
      </c>
      <c r="X42" s="298" t="n">
        <f aca="false">IF(COUNTIF(CAPA3_EXPANSION!$D$56:X$56,"&gt;="&amp;35)=0,0,SUP_CONTROL!$C$8*IF($B42="V",1,IF($B42="D",(1+SUP_VOLUMEN!$C$26),(1+SUP_VOLUMEN!$C$27)))*INDEX(SUP_C3_EXPANSION!$C$6:$F$6,MIN(4,COUNTIF(CAPA3_EXPANSION!$D$56:X$56,"&gt;="&amp;35)))*CAPA3_EXPANSION!X$36)</f>
        <v>0</v>
      </c>
      <c r="Y42" s="298" t="n">
        <f aca="false">IF(COUNTIF(CAPA3_EXPANSION!$D$56:Y$56,"&gt;="&amp;35)=0,0,SUP_CONTROL!$C$8*IF($B42="V",1,IF($B42="D",(1+SUP_VOLUMEN!$C$26),(1+SUP_VOLUMEN!$C$27)))*INDEX(SUP_C3_EXPANSION!$C$6:$F$6,MIN(4,COUNTIF(CAPA3_EXPANSION!$D$56:Y$56,"&gt;="&amp;35)))*CAPA3_EXPANSION!Y$36)</f>
        <v>0</v>
      </c>
      <c r="Z42" s="298" t="n">
        <f aca="false">IF(COUNTIF(CAPA3_EXPANSION!$D$56:Z$56,"&gt;="&amp;35)=0,0,SUP_CONTROL!$C$8*IF($B42="V",1,IF($B42="D",(1+SUP_VOLUMEN!$C$26),(1+SUP_VOLUMEN!$C$27)))*INDEX(SUP_C3_EXPANSION!$C$6:$F$6,MIN(4,COUNTIF(CAPA3_EXPANSION!$D$56:Z$56,"&gt;="&amp;35)))*CAPA3_EXPANSION!Z$36)</f>
        <v>0</v>
      </c>
      <c r="AA42" s="298" t="n">
        <f aca="false">IF(COUNTIF(CAPA3_EXPANSION!$D$56:AA$56,"&gt;="&amp;35)=0,0,SUP_CONTROL!$C$8*IF($B42="V",1,IF($B42="D",(1+SUP_VOLUMEN!$C$26),(1+SUP_VOLUMEN!$C$27)))*INDEX(SUP_C3_EXPANSION!$C$6:$F$6,MIN(4,COUNTIF(CAPA3_EXPANSION!$D$56:AA$56,"&gt;="&amp;35)))*CAPA3_EXPANSION!AA$36)</f>
        <v>0</v>
      </c>
      <c r="AB42" s="298" t="n">
        <f aca="false">IF(COUNTIF(CAPA3_EXPANSION!$D$56:AB$56,"&gt;="&amp;35)=0,0,SUP_CONTROL!$C$8*IF($B42="V",1,IF($B42="D",(1+SUP_VOLUMEN!$C$26),(1+SUP_VOLUMEN!$C$27)))*INDEX(SUP_C3_EXPANSION!$C$6:$F$6,MIN(4,COUNTIF(CAPA3_EXPANSION!$D$56:AB$56,"&gt;="&amp;35)))*CAPA3_EXPANSION!AB$36)</f>
        <v>0</v>
      </c>
      <c r="AC42" s="298" t="n">
        <f aca="false">IF(COUNTIF(CAPA3_EXPANSION!$D$56:AC$56,"&gt;="&amp;35)=0,0,SUP_CONTROL!$C$8*IF($B42="V",1,IF($B42="D",(1+SUP_VOLUMEN!$C$26),(1+SUP_VOLUMEN!$C$27)))*INDEX(SUP_C3_EXPANSION!$C$6:$F$6,MIN(4,COUNTIF(CAPA3_EXPANSION!$D$56:AC$56,"&gt;="&amp;35)))*CAPA3_EXPANSION!AC$36)</f>
        <v>0</v>
      </c>
      <c r="AD42" s="298" t="n">
        <f aca="false">IF(COUNTIF(CAPA3_EXPANSION!$D$56:AD$56,"&gt;="&amp;35)=0,0,SUP_CONTROL!$C$8*IF($B42="V",1,IF($B42="D",(1+SUP_VOLUMEN!$C$26),(1+SUP_VOLUMEN!$C$27)))*INDEX(SUP_C3_EXPANSION!$C$6:$F$6,MIN(4,COUNTIF(CAPA3_EXPANSION!$D$56:AD$56,"&gt;="&amp;35)))*CAPA3_EXPANSION!AD$36)</f>
        <v>0</v>
      </c>
      <c r="AE42" s="298" t="n">
        <f aca="false">IF(COUNTIF(CAPA3_EXPANSION!$D$56:AE$56,"&gt;="&amp;35)=0,0,SUP_CONTROL!$C$8*IF($B42="V",1,IF($B42="D",(1+SUP_VOLUMEN!$C$26),(1+SUP_VOLUMEN!$C$27)))*INDEX(SUP_C3_EXPANSION!$C$6:$F$6,MIN(4,COUNTIF(CAPA3_EXPANSION!$D$56:AE$56,"&gt;="&amp;35)))*CAPA3_EXPANSION!AE$36)</f>
        <v>0</v>
      </c>
      <c r="AF42" s="298" t="n">
        <f aca="false">IF(COUNTIF(CAPA3_EXPANSION!$D$56:AF$56,"&gt;="&amp;35)=0,0,SUP_CONTROL!$C$8*IF($B42="V",1,IF($B42="D",(1+SUP_VOLUMEN!$C$26),(1+SUP_VOLUMEN!$C$27)))*INDEX(SUP_C3_EXPANSION!$C$6:$F$6,MIN(4,COUNTIF(CAPA3_EXPANSION!$D$56:AF$56,"&gt;="&amp;35)))*CAPA3_EXPANSION!AF$36)</f>
        <v>0</v>
      </c>
      <c r="AG42" s="298" t="n">
        <f aca="false">IF(COUNTIF(CAPA3_EXPANSION!$D$56:AG$56,"&gt;="&amp;35)=0,0,SUP_CONTROL!$C$8*IF($B42="V",1,IF($B42="D",(1+SUP_VOLUMEN!$C$26),(1+SUP_VOLUMEN!$C$27)))*INDEX(SUP_C3_EXPANSION!$C$6:$F$6,MIN(4,COUNTIF(CAPA3_EXPANSION!$D$56:AG$56,"&gt;="&amp;35)))*CAPA3_EXPANSION!AG$36)</f>
        <v>0</v>
      </c>
      <c r="AH42" s="298" t="n">
        <f aca="false">IF(COUNTIF(CAPA3_EXPANSION!$D$56:AH$56,"&gt;="&amp;35)=0,0,SUP_CONTROL!$C$8*IF($B42="V",1,IF($B42="D",(1+SUP_VOLUMEN!$C$26),(1+SUP_VOLUMEN!$C$27)))*INDEX(SUP_C3_EXPANSION!$C$6:$F$6,MIN(4,COUNTIF(CAPA3_EXPANSION!$D$56:AH$56,"&gt;="&amp;35)))*CAPA3_EXPANSION!AH$36)</f>
        <v>0</v>
      </c>
      <c r="AI42" s="298" t="n">
        <f aca="false">IF(COUNTIF(CAPA3_EXPANSION!$D$56:AI$56,"&gt;="&amp;35)=0,0,SUP_CONTROL!$C$8*IF($B42="V",1,IF($B42="D",(1+SUP_VOLUMEN!$C$26),(1+SUP_VOLUMEN!$C$27)))*INDEX(SUP_C3_EXPANSION!$C$6:$F$6,MIN(4,COUNTIF(CAPA3_EXPANSION!$D$56:AI$56,"&gt;="&amp;35)))*CAPA3_EXPANSION!AI$36)</f>
        <v>0</v>
      </c>
      <c r="AJ42" s="298" t="n">
        <f aca="false">IF(COUNTIF(CAPA3_EXPANSION!$D$56:AJ$56,"&gt;="&amp;35)=0,0,SUP_CONTROL!$C$8*IF($B42="V",1,IF($B42="D",(1+SUP_VOLUMEN!$C$26),(1+SUP_VOLUMEN!$C$27)))*INDEX(SUP_C3_EXPANSION!$C$6:$F$6,MIN(4,COUNTIF(CAPA3_EXPANSION!$D$56:AJ$56,"&gt;="&amp;35)))*CAPA3_EXPANSION!AJ$36)</f>
        <v>0</v>
      </c>
      <c r="AK42" s="298" t="n">
        <f aca="false">IF(COUNTIF(CAPA3_EXPANSION!$D$56:AK$56,"&gt;="&amp;35)=0,0,SUP_CONTROL!$C$8*IF($B42="V",1,IF($B42="D",(1+SUP_VOLUMEN!$C$26),(1+SUP_VOLUMEN!$C$27)))*INDEX(SUP_C3_EXPANSION!$C$6:$F$6,MIN(4,COUNTIF(CAPA3_EXPANSION!$D$56:AK$56,"&gt;="&amp;35)))*CAPA3_EXPANSION!AK$36)</f>
        <v>0</v>
      </c>
      <c r="AL42" s="298" t="n">
        <f aca="false">IF(COUNTIF(CAPA3_EXPANSION!$D$56:AL$56,"&gt;="&amp;35)=0,0,SUP_CONTROL!$C$8*IF($B42="V",1,IF($B42="D",(1+SUP_VOLUMEN!$C$26),(1+SUP_VOLUMEN!$C$27)))*INDEX(SUP_C3_EXPANSION!$C$6:$F$6,MIN(4,COUNTIF(CAPA3_EXPANSION!$D$56:AL$56,"&gt;="&amp;35)))*CAPA3_EXPANSION!AL$36)</f>
        <v>0</v>
      </c>
      <c r="AM42" s="298" t="n">
        <f aca="false">IF(COUNTIF(CAPA3_EXPANSION!$D$56:AM$56,"&gt;="&amp;35)=0,0,SUP_CONTROL!$C$8*IF($B42="V",1,IF($B42="D",(1+SUP_VOLUMEN!$C$26),(1+SUP_VOLUMEN!$C$27)))*INDEX(SUP_C3_EXPANSION!$C$6:$F$6,MIN(4,COUNTIF(CAPA3_EXPANSION!$D$56:AM$56,"&gt;="&amp;35)))*CAPA3_EXPANSION!AM$36)</f>
        <v>0</v>
      </c>
      <c r="AN42" s="298" t="n">
        <f aca="false">IF(COUNTIF(CAPA3_EXPANSION!$D$56:AN$56,"&gt;="&amp;35)=0,0,SUP_CONTROL!$C$8*IF($B42="V",1,IF($B42="D",(1+SUP_VOLUMEN!$C$26),(1+SUP_VOLUMEN!$C$27)))*INDEX(SUP_C3_EXPANSION!$C$6:$F$6,MIN(4,COUNTIF(CAPA3_EXPANSION!$D$56:AN$56,"&gt;="&amp;35)))*CAPA3_EXPANSION!AN$36)</f>
        <v>0</v>
      </c>
      <c r="AO42" s="298" t="n">
        <f aca="false">IF(COUNTIF(CAPA3_EXPANSION!$D$56:AO$56,"&gt;="&amp;35)=0,0,SUP_CONTROL!$C$8*IF($B42="V",1,IF($B42="D",(1+SUP_VOLUMEN!$C$26),(1+SUP_VOLUMEN!$C$27)))*INDEX(SUP_C3_EXPANSION!$C$6:$F$6,MIN(4,COUNTIF(CAPA3_EXPANSION!$D$56:AO$56,"&gt;="&amp;35)))*CAPA3_EXPANSION!AO$36)</f>
        <v>0</v>
      </c>
      <c r="AP42" s="298" t="n">
        <f aca="false">IF(COUNTIF(CAPA3_EXPANSION!$D$56:AP$56,"&gt;="&amp;35)=0,0,SUP_CONTROL!$C$8*IF($B42="V",1,IF($B42="D",(1+SUP_VOLUMEN!$C$26),(1+SUP_VOLUMEN!$C$27)))*INDEX(SUP_C3_EXPANSION!$C$6:$F$6,MIN(4,COUNTIF(CAPA3_EXPANSION!$D$56:AP$56,"&gt;="&amp;35)))*CAPA3_EXPANSION!AP$36)</f>
        <v>0</v>
      </c>
      <c r="AQ42" s="298" t="n">
        <f aca="false">IF(COUNTIF(CAPA3_EXPANSION!$D$56:AQ$56,"&gt;="&amp;35)=0,0,SUP_CONTROL!$C$8*IF($B42="V",1,IF($B42="D",(1+SUP_VOLUMEN!$C$26),(1+SUP_VOLUMEN!$C$27)))*INDEX(SUP_C3_EXPANSION!$C$6:$F$6,MIN(4,COUNTIF(CAPA3_EXPANSION!$D$56:AQ$56,"&gt;="&amp;35)))*CAPA3_EXPANSION!AQ$36)</f>
        <v>0</v>
      </c>
      <c r="AR42" s="298" t="n">
        <f aca="false">IF(COUNTIF(CAPA3_EXPANSION!$D$56:AR$56,"&gt;="&amp;35)=0,0,SUP_CONTROL!$C$8*IF($B42="V",1,IF($B42="D",(1+SUP_VOLUMEN!$C$26),(1+SUP_VOLUMEN!$C$27)))*INDEX(SUP_C3_EXPANSION!$C$6:$F$6,MIN(4,COUNTIF(CAPA3_EXPANSION!$D$56:AR$56,"&gt;="&amp;35)))*CAPA3_EXPANSION!AR$36)</f>
        <v>0</v>
      </c>
      <c r="AS42" s="298" t="n">
        <f aca="false">IF(COUNTIF(CAPA3_EXPANSION!$D$56:AS$56,"&gt;="&amp;35)=0,0,SUP_CONTROL!$C$8*IF($B42="V",1,IF($B42="D",(1+SUP_VOLUMEN!$C$26),(1+SUP_VOLUMEN!$C$27)))*INDEX(SUP_C3_EXPANSION!$C$6:$F$6,MIN(4,COUNTIF(CAPA3_EXPANSION!$D$56:AS$56,"&gt;="&amp;35)))*CAPA3_EXPANSION!AS$36)</f>
        <v>0</v>
      </c>
      <c r="AT42" s="298" t="n">
        <f aca="false">IF(COUNTIF(CAPA3_EXPANSION!$D$56:AT$56,"&gt;="&amp;35)=0,0,SUP_CONTROL!$C$8*IF($B42="V",1,IF($B42="D",(1+SUP_VOLUMEN!$C$26),(1+SUP_VOLUMEN!$C$27)))*INDEX(SUP_C3_EXPANSION!$C$6:$F$6,MIN(4,COUNTIF(CAPA3_EXPANSION!$D$56:AT$56,"&gt;="&amp;35)))*CAPA3_EXPANSION!AT$36)</f>
        <v>0</v>
      </c>
      <c r="AU42" s="298" t="n">
        <f aca="false">IF(COUNTIF(CAPA3_EXPANSION!$D$56:AU$56,"&gt;="&amp;35)=0,0,SUP_CONTROL!$C$8*IF($B42="V",1,IF($B42="D",(1+SUP_VOLUMEN!$C$26),(1+SUP_VOLUMEN!$C$27)))*INDEX(SUP_C3_EXPANSION!$C$6:$F$6,MIN(4,COUNTIF(CAPA3_EXPANSION!$D$56:AU$56,"&gt;="&amp;35)))*CAPA3_EXPANSION!AU$36)</f>
        <v>0</v>
      </c>
      <c r="AV42" s="298" t="n">
        <f aca="false">IF(COUNTIF(CAPA3_EXPANSION!$D$56:AV$56,"&gt;="&amp;35)=0,0,SUP_CONTROL!$C$8*IF($B42="V",1,IF($B42="D",(1+SUP_VOLUMEN!$C$26),(1+SUP_VOLUMEN!$C$27)))*INDEX(SUP_C3_EXPANSION!$C$6:$F$6,MIN(4,COUNTIF(CAPA3_EXPANSION!$D$56:AV$56,"&gt;="&amp;35)))*CAPA3_EXPANSION!AV$36)</f>
        <v>0</v>
      </c>
      <c r="AW42" s="298" t="n">
        <f aca="false">IF(COUNTIF(CAPA3_EXPANSION!$D$56:AW$56,"&gt;="&amp;35)=0,0,SUP_CONTROL!$C$8*IF($B42="V",1,IF($B42="D",(1+SUP_VOLUMEN!$C$26),(1+SUP_VOLUMEN!$C$27)))*INDEX(SUP_C3_EXPANSION!$C$6:$F$6,MIN(4,COUNTIF(CAPA3_EXPANSION!$D$56:AW$56,"&gt;="&amp;35)))*CAPA3_EXPANSION!AW$36)</f>
        <v>0</v>
      </c>
      <c r="AX42" s="298" t="n">
        <f aca="false">IF(COUNTIF(CAPA3_EXPANSION!$D$56:AX$56,"&gt;="&amp;35)=0,0,SUP_CONTROL!$C$8*IF($B42="V",1,IF($B42="D",(1+SUP_VOLUMEN!$C$26),(1+SUP_VOLUMEN!$C$27)))*INDEX(SUP_C3_EXPANSION!$C$6:$F$6,MIN(4,COUNTIF(CAPA3_EXPANSION!$D$56:AX$56,"&gt;="&amp;35)))*CAPA3_EXPANSION!AX$36)</f>
        <v>0</v>
      </c>
      <c r="AY42" s="298" t="n">
        <f aca="false">IF(COUNTIF(CAPA3_EXPANSION!$D$56:AY$56,"&gt;="&amp;35)=0,0,SUP_CONTROL!$C$8*IF($B42="V",1,IF($B42="D",(1+SUP_VOLUMEN!$C$26),(1+SUP_VOLUMEN!$C$27)))*INDEX(SUP_C3_EXPANSION!$C$6:$F$6,MIN(4,COUNTIF(CAPA3_EXPANSION!$D$56:AY$56,"&gt;="&amp;35)))*CAPA3_EXPANSION!AY$36)</f>
        <v>0</v>
      </c>
      <c r="AZ42" s="298" t="n">
        <f aca="false">IF(COUNTIF(CAPA3_EXPANSION!$D$56:AZ$56,"&gt;="&amp;35)=0,0,SUP_CONTROL!$C$8*IF($B42="V",1,IF($B42="D",(1+SUP_VOLUMEN!$C$26),(1+SUP_VOLUMEN!$C$27)))*INDEX(SUP_C3_EXPANSION!$C$6:$F$6,MIN(4,COUNTIF(CAPA3_EXPANSION!$D$56:AZ$56,"&gt;="&amp;35)))*CAPA3_EXPANSION!AZ$36)</f>
        <v>0</v>
      </c>
      <c r="BA42" s="298" t="n">
        <f aca="false">IF(COUNTIF(CAPA3_EXPANSION!$D$56:BA$56,"&gt;="&amp;35)=0,0,SUP_CONTROL!$C$8*IF($B42="V",1,IF($B42="D",(1+SUP_VOLUMEN!$C$26),(1+SUP_VOLUMEN!$C$27)))*INDEX(SUP_C3_EXPANSION!$C$6:$F$6,MIN(4,COUNTIF(CAPA3_EXPANSION!$D$56:BA$56,"&gt;="&amp;35)))*CAPA3_EXPANSION!BA$36)</f>
        <v>0</v>
      </c>
      <c r="BB42" s="298" t="n">
        <f aca="false">IF(COUNTIF(CAPA3_EXPANSION!$D$56:BB$56,"&gt;="&amp;35)=0,0,SUP_CONTROL!$C$8*IF($B42="V",1,IF($B42="D",(1+SUP_VOLUMEN!$C$26),(1+SUP_VOLUMEN!$C$27)))*INDEX(SUP_C3_EXPANSION!$C$6:$F$6,MIN(4,COUNTIF(CAPA3_EXPANSION!$D$56:BB$56,"&gt;="&amp;35)))*CAPA3_EXPANSION!BB$36)</f>
        <v>0</v>
      </c>
      <c r="BC42" s="298" t="n">
        <f aca="false">IF(COUNTIF(CAPA3_EXPANSION!$D$56:BC$56,"&gt;="&amp;35)=0,0,SUP_CONTROL!$C$8*IF($B42="V",1,IF($B42="D",(1+SUP_VOLUMEN!$C$26),(1+SUP_VOLUMEN!$C$27)))*INDEX(SUP_C3_EXPANSION!$C$6:$F$6,MIN(4,COUNTIF(CAPA3_EXPANSION!$D$56:BC$56,"&gt;="&amp;35)))*CAPA3_EXPANSION!BC$36)</f>
        <v>0</v>
      </c>
      <c r="BD42" s="298" t="n">
        <f aca="false">IF(COUNTIF(CAPA3_EXPANSION!$D$56:BD$56,"&gt;="&amp;35)=0,0,SUP_CONTROL!$C$8*IF($B42="V",1,IF($B42="D",(1+SUP_VOLUMEN!$C$26),(1+SUP_VOLUMEN!$C$27)))*INDEX(SUP_C3_EXPANSION!$C$6:$F$6,MIN(4,COUNTIF(CAPA3_EXPANSION!$D$56:BD$56,"&gt;="&amp;35)))*CAPA3_EXPANSION!BD$36)</f>
        <v>0</v>
      </c>
      <c r="BE42" s="298" t="n">
        <f aca="false">IF(COUNTIF(CAPA3_EXPANSION!$D$56:BE$56,"&gt;="&amp;35)=0,0,SUP_CONTROL!$C$8*IF($B42="V",1,IF($B42="D",(1+SUP_VOLUMEN!$C$26),(1+SUP_VOLUMEN!$C$27)))*INDEX(SUP_C3_EXPANSION!$C$6:$F$6,MIN(4,COUNTIF(CAPA3_EXPANSION!$D$56:BE$56,"&gt;="&amp;35)))*CAPA3_EXPANSION!BE$36)</f>
        <v>0</v>
      </c>
      <c r="BF42" s="298" t="n">
        <f aca="false">IF(COUNTIF(CAPA3_EXPANSION!$D$56:BF$56,"&gt;="&amp;35)=0,0,SUP_CONTROL!$C$8*IF($B42="V",1,IF($B42="D",(1+SUP_VOLUMEN!$C$26),(1+SUP_VOLUMEN!$C$27)))*INDEX(SUP_C3_EXPANSION!$C$6:$F$6,MIN(4,COUNTIF(CAPA3_EXPANSION!$D$56:BF$56,"&gt;="&amp;35)))*CAPA3_EXPANSION!BF$36)</f>
        <v>0</v>
      </c>
      <c r="BG42" s="298" t="n">
        <f aca="false">IF(COUNTIF(CAPA3_EXPANSION!$D$56:BG$56,"&gt;="&amp;35)=0,0,SUP_CONTROL!$C$8*IF($B42="V",1,IF($B42="D",(1+SUP_VOLUMEN!$C$26),(1+SUP_VOLUMEN!$C$27)))*INDEX(SUP_C3_EXPANSION!$C$6:$F$6,MIN(4,COUNTIF(CAPA3_EXPANSION!$D$56:BG$56,"&gt;="&amp;35)))*CAPA3_EXPANSION!BG$36)</f>
        <v>0</v>
      </c>
      <c r="BH42" s="298" t="n">
        <f aca="false">IF(COUNTIF(CAPA3_EXPANSION!$D$56:BH$56,"&gt;="&amp;35)=0,0,SUP_CONTROL!$C$8*IF($B42="V",1,IF($B42="D",(1+SUP_VOLUMEN!$C$26),(1+SUP_VOLUMEN!$C$27)))*INDEX(SUP_C3_EXPANSION!$C$6:$F$6,MIN(4,COUNTIF(CAPA3_EXPANSION!$D$56:BH$56,"&gt;="&amp;35)))*CAPA3_EXPANSION!BH$36)</f>
        <v>0</v>
      </c>
      <c r="BI42" s="298" t="n">
        <f aca="false">IF(COUNTIF(CAPA3_EXPANSION!$D$56:BI$56,"&gt;="&amp;35)=0,0,SUP_CONTROL!$C$8*IF($B42="V",1,IF($B42="D",(1+SUP_VOLUMEN!$C$26),(1+SUP_VOLUMEN!$C$27)))*INDEX(SUP_C3_EXPANSION!$C$6:$F$6,MIN(4,COUNTIF(CAPA3_EXPANSION!$D$56:BI$56,"&gt;="&amp;35)))*CAPA3_EXPANSION!BI$36)</f>
        <v>0</v>
      </c>
      <c r="BJ42" s="298" t="n">
        <f aca="false">IF(COUNTIF(CAPA3_EXPANSION!$D$56:BJ$56,"&gt;="&amp;35)=0,0,SUP_CONTROL!$C$8*IF($B42="V",1,IF($B42="D",(1+SUP_VOLUMEN!$C$26),(1+SUP_VOLUMEN!$C$27)))*INDEX(SUP_C3_EXPANSION!$C$6:$F$6,MIN(4,COUNTIF(CAPA3_EXPANSION!$D$56:BJ$56,"&gt;="&amp;35)))*CAPA3_EXPANSION!BJ$36)</f>
        <v>0</v>
      </c>
      <c r="BK42" s="298" t="n">
        <f aca="false">IF(COUNTIF(CAPA3_EXPANSION!$D$56:BK$56,"&gt;="&amp;35)=0,0,SUP_CONTROL!$C$8*IF($B42="V",1,IF($B42="D",(1+SUP_VOLUMEN!$C$26),(1+SUP_VOLUMEN!$C$27)))*INDEX(SUP_C3_EXPANSION!$C$6:$F$6,MIN(4,COUNTIF(CAPA3_EXPANSION!$D$56:BK$56,"&gt;="&amp;35)))*CAPA3_EXPANSION!BK$36)</f>
        <v>0</v>
      </c>
      <c r="BL42" s="298" t="n">
        <f aca="false">IF(COUNTIF(CAPA3_EXPANSION!$D$56:BL$56,"&gt;="&amp;35)=0,0,SUP_CONTROL!$C$8*IF($B42="V",1,IF($B42="D",(1+SUP_VOLUMEN!$C$26),(1+SUP_VOLUMEN!$C$27)))*INDEX(SUP_C3_EXPANSION!$C$6:$F$6,MIN(4,COUNTIF(CAPA3_EXPANSION!$D$56:BL$56,"&gt;="&amp;35)))*CAPA3_EXPANSION!BL$36)</f>
        <v>0</v>
      </c>
      <c r="BM42" s="298" t="n">
        <f aca="false">IF(COUNTIF(CAPA3_EXPANSION!$D$56:BM$56,"&gt;="&amp;35)=0,0,SUP_CONTROL!$C$8*IF($B42="V",1,IF($B42="D",(1+SUP_VOLUMEN!$C$26),(1+SUP_VOLUMEN!$C$27)))*INDEX(SUP_C3_EXPANSION!$C$6:$F$6,MIN(4,COUNTIF(CAPA3_EXPANSION!$D$56:BM$56,"&gt;="&amp;35)))*CAPA3_EXPANSION!BM$36)</f>
        <v>0</v>
      </c>
      <c r="BN42" s="298" t="n">
        <f aca="false">IF(COUNTIF(CAPA3_EXPANSION!$D$56:BN$56,"&gt;="&amp;35)=0,0,SUP_CONTROL!$C$8*IF($B42="V",1,IF($B42="D",(1+SUP_VOLUMEN!$C$26),(1+SUP_VOLUMEN!$C$27)))*INDEX(SUP_C3_EXPANSION!$C$6:$F$6,MIN(4,COUNTIF(CAPA3_EXPANSION!$D$56:BN$56,"&gt;="&amp;35)))*CAPA3_EXPANSION!BN$36)</f>
        <v>0</v>
      </c>
      <c r="BO42" s="298" t="n">
        <f aca="false">IF(COUNTIF(CAPA3_EXPANSION!$D$56:BO$56,"&gt;="&amp;35)=0,0,SUP_CONTROL!$C$8*IF($B42="V",1,IF($B42="D",(1+SUP_VOLUMEN!$C$26),(1+SUP_VOLUMEN!$C$27)))*INDEX(SUP_C3_EXPANSION!$C$6:$F$6,MIN(4,COUNTIF(CAPA3_EXPANSION!$D$56:BO$56,"&gt;="&amp;35)))*CAPA3_EXPANSION!BO$36)</f>
        <v>0</v>
      </c>
      <c r="BP42" s="298" t="n">
        <f aca="false">IF(COUNTIF(CAPA3_EXPANSION!$D$56:BP$56,"&gt;="&amp;35)=0,0,SUP_CONTROL!$C$8*IF($B42="V",1,IF($B42="D",(1+SUP_VOLUMEN!$C$26),(1+SUP_VOLUMEN!$C$27)))*INDEX(SUP_C3_EXPANSION!$C$6:$F$6,MIN(4,COUNTIF(CAPA3_EXPANSION!$D$56:BP$56,"&gt;="&amp;35)))*CAPA3_EXPANSION!BP$36)</f>
        <v>0</v>
      </c>
      <c r="BQ42" s="298" t="n">
        <f aca="false">IF(COUNTIF(CAPA3_EXPANSION!$D$56:BQ$56,"&gt;="&amp;35)=0,0,SUP_CONTROL!$C$8*IF($B42="V",1,IF($B42="D",(1+SUP_VOLUMEN!$C$26),(1+SUP_VOLUMEN!$C$27)))*INDEX(SUP_C3_EXPANSION!$C$6:$F$6,MIN(4,COUNTIF(CAPA3_EXPANSION!$D$56:BQ$56,"&gt;="&amp;35)))*CAPA3_EXPANSION!BQ$36)</f>
        <v>0</v>
      </c>
      <c r="BR42" s="298" t="n">
        <f aca="false">IF(COUNTIF(CAPA3_EXPANSION!$D$56:BR$56,"&gt;="&amp;35)=0,0,SUP_CONTROL!$C$8*IF($B42="V",1,IF($B42="D",(1+SUP_VOLUMEN!$C$26),(1+SUP_VOLUMEN!$C$27)))*INDEX(SUP_C3_EXPANSION!$C$6:$F$6,MIN(4,COUNTIF(CAPA3_EXPANSION!$D$56:BR$56,"&gt;="&amp;35)))*CAPA3_EXPANSION!BR$36)</f>
        <v>0</v>
      </c>
      <c r="BS42" s="298" t="n">
        <f aca="false">IF(COUNTIF(CAPA3_EXPANSION!$D$56:BS$56,"&gt;="&amp;35)=0,0,SUP_CONTROL!$C$8*IF($B42="V",1,IF($B42="D",(1+SUP_VOLUMEN!$C$26),(1+SUP_VOLUMEN!$C$27)))*INDEX(SUP_C3_EXPANSION!$C$6:$F$6,MIN(4,COUNTIF(CAPA3_EXPANSION!$D$56:BS$56,"&gt;="&amp;35)))*CAPA3_EXPANSION!BS$36)</f>
        <v>0</v>
      </c>
      <c r="BT42" s="298" t="n">
        <f aca="false">IF(COUNTIF(CAPA3_EXPANSION!$D$56:BT$56,"&gt;="&amp;35)=0,0,SUP_CONTROL!$C$8*IF($B42="V",1,IF($B42="D",(1+SUP_VOLUMEN!$C$26),(1+SUP_VOLUMEN!$C$27)))*INDEX(SUP_C3_EXPANSION!$C$6:$F$6,MIN(4,COUNTIF(CAPA3_EXPANSION!$D$56:BT$56,"&gt;="&amp;35)))*CAPA3_EXPANSION!BT$36)</f>
        <v>0</v>
      </c>
      <c r="BU42" s="298" t="n">
        <f aca="false">IF(COUNTIF(CAPA3_EXPANSION!$D$56:BU$56,"&gt;="&amp;35)=0,0,SUP_CONTROL!$C$8*IF($B42="V",1,IF($B42="D",(1+SUP_VOLUMEN!$C$26),(1+SUP_VOLUMEN!$C$27)))*INDEX(SUP_C3_EXPANSION!$C$6:$F$6,MIN(4,COUNTIF(CAPA3_EXPANSION!$D$56:BU$56,"&gt;="&amp;35)))*CAPA3_EXPANSION!BU$36)</f>
        <v>0</v>
      </c>
      <c r="BV42" s="298" t="n">
        <f aca="false">IF(COUNTIF(CAPA3_EXPANSION!$D$56:BV$56,"&gt;="&amp;35)=0,0,SUP_CONTROL!$C$8*IF($B42="V",1,IF($B42="D",(1+SUP_VOLUMEN!$C$26),(1+SUP_VOLUMEN!$C$27)))*INDEX(SUP_C3_EXPANSION!$C$6:$F$6,MIN(4,COUNTIF(CAPA3_EXPANSION!$D$56:BV$56,"&gt;="&amp;35)))*CAPA3_EXPANSION!BV$36)</f>
        <v>0</v>
      </c>
      <c r="BW42" s="298" t="n">
        <f aca="false">IF(COUNTIF(CAPA3_EXPANSION!$D$56:BW$56,"&gt;="&amp;35)=0,0,SUP_CONTROL!$C$8*IF($B42="V",1,IF($B42="D",(1+SUP_VOLUMEN!$C$26),(1+SUP_VOLUMEN!$C$27)))*INDEX(SUP_C3_EXPANSION!$C$6:$F$6,MIN(4,COUNTIF(CAPA3_EXPANSION!$D$56:BW$56,"&gt;="&amp;35)))*CAPA3_EXPANSION!BW$36)</f>
        <v>0</v>
      </c>
      <c r="BX42" s="298" t="n">
        <f aca="false">IF(COUNTIF(CAPA3_EXPANSION!$D$56:BX$56,"&gt;="&amp;35)=0,0,SUP_CONTROL!$C$8*IF($B42="V",1,IF($B42="D",(1+SUP_VOLUMEN!$C$26),(1+SUP_VOLUMEN!$C$27)))*INDEX(SUP_C3_EXPANSION!$C$6:$F$6,MIN(4,COUNTIF(CAPA3_EXPANSION!$D$56:BX$56,"&gt;="&amp;35)))*CAPA3_EXPANSION!BX$36)</f>
        <v>0</v>
      </c>
      <c r="BY42" s="298" t="n">
        <f aca="false">IF(COUNTIF(CAPA3_EXPANSION!$D$56:BY$56,"&gt;="&amp;35)=0,0,SUP_CONTROL!$C$8*IF($B42="V",1,IF($B42="D",(1+SUP_VOLUMEN!$C$26),(1+SUP_VOLUMEN!$C$27)))*INDEX(SUP_C3_EXPANSION!$C$6:$F$6,MIN(4,COUNTIF(CAPA3_EXPANSION!$D$56:BY$56,"&gt;="&amp;35)))*CAPA3_EXPANSION!BY$36)</f>
        <v>0</v>
      </c>
      <c r="BZ42" s="298" t="n">
        <f aca="false">IF(COUNTIF(CAPA3_EXPANSION!$D$56:BZ$56,"&gt;="&amp;35)=0,0,SUP_CONTROL!$C$8*IF($B42="V",1,IF($B42="D",(1+SUP_VOLUMEN!$C$26),(1+SUP_VOLUMEN!$C$27)))*INDEX(SUP_C3_EXPANSION!$C$6:$F$6,MIN(4,COUNTIF(CAPA3_EXPANSION!$D$56:BZ$56,"&gt;="&amp;35)))*CAPA3_EXPANSION!BZ$36)</f>
        <v>0</v>
      </c>
      <c r="CA42" s="298" t="n">
        <f aca="false">IF(COUNTIF(CAPA3_EXPANSION!$D$56:CA$56,"&gt;="&amp;35)=0,0,SUP_CONTROL!$C$8*IF($B42="V",1,IF($B42="D",(1+SUP_VOLUMEN!$C$26),(1+SUP_VOLUMEN!$C$27)))*INDEX(SUP_C3_EXPANSION!$C$6:$F$6,MIN(4,COUNTIF(CAPA3_EXPANSION!$D$56:CA$56,"&gt;="&amp;35)))*CAPA3_EXPANSION!CA$36)</f>
        <v>0</v>
      </c>
      <c r="CB42" s="298" t="n">
        <f aca="false">IF(COUNTIF(CAPA3_EXPANSION!$D$56:CB$56,"&gt;="&amp;35)=0,0,SUP_CONTROL!$C$8*IF($B42="V",1,IF($B42="D",(1+SUP_VOLUMEN!$C$26),(1+SUP_VOLUMEN!$C$27)))*INDEX(SUP_C3_EXPANSION!$C$6:$F$6,MIN(4,COUNTIF(CAPA3_EXPANSION!$D$56:CB$56,"&gt;="&amp;35)))*CAPA3_EXPANSION!CB$36)</f>
        <v>0</v>
      </c>
      <c r="CC42" s="298" t="n">
        <f aca="false">IF(COUNTIF(CAPA3_EXPANSION!$D$56:CC$56,"&gt;="&amp;35)=0,0,SUP_CONTROL!$C$8*IF($B42="V",1,IF($B42="D",(1+SUP_VOLUMEN!$C$26),(1+SUP_VOLUMEN!$C$27)))*INDEX(SUP_C3_EXPANSION!$C$6:$F$6,MIN(4,COUNTIF(CAPA3_EXPANSION!$D$56:CC$56,"&gt;="&amp;35)))*CAPA3_EXPANSION!CC$36)</f>
        <v>0</v>
      </c>
      <c r="CD42" s="298" t="n">
        <f aca="false">IF(COUNTIF(CAPA3_EXPANSION!$D$56:CD$56,"&gt;="&amp;35)=0,0,SUP_CONTROL!$C$8*IF($B42="V",1,IF($B42="D",(1+SUP_VOLUMEN!$C$26),(1+SUP_VOLUMEN!$C$27)))*INDEX(SUP_C3_EXPANSION!$C$6:$F$6,MIN(4,COUNTIF(CAPA3_EXPANSION!$D$56:CD$56,"&gt;="&amp;35)))*CAPA3_EXPANSION!CD$36)</f>
        <v>0</v>
      </c>
      <c r="CE42" s="298" t="n">
        <f aca="false">IF(COUNTIF(CAPA3_EXPANSION!$D$56:CE$56,"&gt;="&amp;35)=0,0,SUP_CONTROL!$C$8*IF($B42="V",1,IF($B42="D",(1+SUP_VOLUMEN!$C$26),(1+SUP_VOLUMEN!$C$27)))*INDEX(SUP_C3_EXPANSION!$C$6:$F$6,MIN(4,COUNTIF(CAPA3_EXPANSION!$D$56:CE$56,"&gt;="&amp;35)))*CAPA3_EXPANSION!CE$36)</f>
        <v>2320.5</v>
      </c>
      <c r="CF42" s="298" t="n">
        <f aca="false">IF(COUNTIF(CAPA3_EXPANSION!$D$56:CF$56,"&gt;="&amp;35)=0,0,SUP_CONTROL!$C$8*IF($B42="V",1,IF($B42="D",(1+SUP_VOLUMEN!$C$26),(1+SUP_VOLUMEN!$C$27)))*INDEX(SUP_C3_EXPANSION!$C$6:$F$6,MIN(4,COUNTIF(CAPA3_EXPANSION!$D$56:CF$56,"&gt;="&amp;35)))*CAPA3_EXPANSION!CF$36)</f>
        <v>2856</v>
      </c>
      <c r="CG42" s="298" t="n">
        <f aca="false">IF(COUNTIF(CAPA3_EXPANSION!$D$56:CG$56,"&gt;="&amp;35)=0,0,SUP_CONTROL!$C$8*IF($B42="V",1,IF($B42="D",(1+SUP_VOLUMEN!$C$26),(1+SUP_VOLUMEN!$C$27)))*INDEX(SUP_C3_EXPANSION!$C$6:$F$6,MIN(4,COUNTIF(CAPA3_EXPANSION!$D$56:CG$56,"&gt;="&amp;35)))*CAPA3_EXPANSION!CG$36)</f>
        <v>3175.2</v>
      </c>
      <c r="CH42" s="298" t="n">
        <f aca="false">IF(COUNTIF(CAPA3_EXPANSION!$D$56:CH$56,"&gt;="&amp;35)=0,0,SUP_CONTROL!$C$8*IF($B42="V",1,IF($B42="D",(1+SUP_VOLUMEN!$C$26),(1+SUP_VOLUMEN!$C$27)))*INDEX(SUP_C3_EXPANSION!$C$6:$F$6,MIN(4,COUNTIF(CAPA3_EXPANSION!$D$56:CH$56,"&gt;="&amp;35)))*CAPA3_EXPANSION!CH$36)</f>
        <v>3528</v>
      </c>
      <c r="CI42" s="298" t="n">
        <f aca="false">IF(COUNTIF(CAPA3_EXPANSION!$D$56:CI$56,"&gt;="&amp;35)=0,0,SUP_CONTROL!$C$8*IF($B42="V",1,IF($B42="D",(1+SUP_VOLUMEN!$C$26),(1+SUP_VOLUMEN!$C$27)))*INDEX(SUP_C3_EXPANSION!$C$6:$F$6,MIN(4,COUNTIF(CAPA3_EXPANSION!$D$56:CI$56,"&gt;="&amp;35)))*CAPA3_EXPANSION!CI$36)</f>
        <v>3528</v>
      </c>
      <c r="CJ42" s="298" t="n">
        <f aca="false">IF(COUNTIF(CAPA3_EXPANSION!$D$56:CJ$56,"&gt;="&amp;35)=0,0,SUP_CONTROL!$C$8*IF($B42="V",1,IF($B42="D",(1+SUP_VOLUMEN!$C$26),(1+SUP_VOLUMEN!$C$27)))*INDEX(SUP_C3_EXPANSION!$C$6:$F$6,MIN(4,COUNTIF(CAPA3_EXPANSION!$D$56:CJ$56,"&gt;="&amp;35)))*CAPA3_EXPANSION!CJ$36)</f>
        <v>3528</v>
      </c>
      <c r="CK42" s="298" t="n">
        <f aca="false">IF(COUNTIF(CAPA3_EXPANSION!$D$56:CK$56,"&gt;="&amp;35)=0,0,SUP_CONTROL!$C$8*IF($B42="V",1,IF($B42="D",(1+SUP_VOLUMEN!$C$26),(1+SUP_VOLUMEN!$C$27)))*INDEX(SUP_C3_EXPANSION!$C$6:$F$6,MIN(4,COUNTIF(CAPA3_EXPANSION!$D$56:CK$56,"&gt;="&amp;35)))*CAPA3_EXPANSION!CK$36)</f>
        <v>3528</v>
      </c>
      <c r="CL42" s="298" t="n">
        <f aca="false">IF(COUNTIF(CAPA3_EXPANSION!$D$56:CL$56,"&gt;="&amp;35)=0,0,SUP_CONTROL!$C$8*IF($B42="V",1,IF($B42="D",(1+SUP_VOLUMEN!$C$26),(1+SUP_VOLUMEN!$C$27)))*INDEX(SUP_C3_EXPANSION!$C$6:$F$6,MIN(4,COUNTIF(CAPA3_EXPANSION!$D$56:CL$56,"&gt;="&amp;35)))*CAPA3_EXPANSION!CL$36)</f>
        <v>3528</v>
      </c>
      <c r="CM42" s="298" t="n">
        <f aca="false">IF(COUNTIF(CAPA3_EXPANSION!$D$56:CM$56,"&gt;="&amp;35)=0,0,SUP_CONTROL!$C$8*IF($B42="V",1,IF($B42="D",(1+SUP_VOLUMEN!$C$26),(1+SUP_VOLUMEN!$C$27)))*INDEX(SUP_C3_EXPANSION!$C$6:$F$6,MIN(4,COUNTIF(CAPA3_EXPANSION!$D$56:CM$56,"&gt;="&amp;35)))*CAPA3_EXPANSION!CM$36)</f>
        <v>3528</v>
      </c>
      <c r="CN42" s="298" t="n">
        <f aca="false">IF(COUNTIF(CAPA3_EXPANSION!$D$56:CN$56,"&gt;="&amp;35)=0,0,SUP_CONTROL!$C$8*IF($B42="V",1,IF($B42="D",(1+SUP_VOLUMEN!$C$26),(1+SUP_VOLUMEN!$C$27)))*INDEX(SUP_C3_EXPANSION!$C$6:$F$6,MIN(4,COUNTIF(CAPA3_EXPANSION!$D$56:CN$56,"&gt;="&amp;35)))*CAPA3_EXPANSION!CN$36)</f>
        <v>3528</v>
      </c>
      <c r="CO42" s="298" t="n">
        <f aca="false">IF(COUNTIF(CAPA3_EXPANSION!$D$56:CO$56,"&gt;="&amp;35)=0,0,SUP_CONTROL!$C$8*IF($B42="V",1,IF($B42="D",(1+SUP_VOLUMEN!$C$26),(1+SUP_VOLUMEN!$C$27)))*INDEX(SUP_C3_EXPANSION!$C$6:$F$6,MIN(4,COUNTIF(CAPA3_EXPANSION!$D$56:CO$56,"&gt;="&amp;35)))*CAPA3_EXPANSION!CO$36)</f>
        <v>3528</v>
      </c>
      <c r="CP42" s="298" t="n">
        <f aca="false">IF(COUNTIF(CAPA3_EXPANSION!$D$56:CP$56,"&gt;="&amp;35)=0,0,SUP_CONTROL!$C$8*IF($B42="V",1,IF($B42="D",(1+SUP_VOLUMEN!$C$26),(1+SUP_VOLUMEN!$C$27)))*INDEX(SUP_C3_EXPANSION!$C$6:$F$6,MIN(4,COUNTIF(CAPA3_EXPANSION!$D$56:CP$56,"&gt;="&amp;35)))*CAPA3_EXPANSION!CP$36)</f>
        <v>3528</v>
      </c>
      <c r="CQ42" s="298" t="n">
        <f aca="false">IF(COUNTIF(CAPA3_EXPANSION!$D$56:CQ$56,"&gt;="&amp;35)=0,0,SUP_CONTROL!$C$8*IF($B42="V",1,IF($B42="D",(1+SUP_VOLUMEN!$C$26),(1+SUP_VOLUMEN!$C$27)))*INDEX(SUP_C3_EXPANSION!$C$6:$F$6,MIN(4,COUNTIF(CAPA3_EXPANSION!$D$56:CQ$56,"&gt;="&amp;35)))*CAPA3_EXPANSION!CQ$36)</f>
        <v>3528</v>
      </c>
      <c r="CR42" s="298" t="n">
        <f aca="false">IF(COUNTIF(CAPA3_EXPANSION!$D$56:CR$56,"&gt;="&amp;35)=0,0,SUP_CONTROL!$C$8*IF($B42="V",1,IF($B42="D",(1+SUP_VOLUMEN!$C$26),(1+SUP_VOLUMEN!$C$27)))*INDEX(SUP_C3_EXPANSION!$C$6:$F$6,MIN(4,COUNTIF(CAPA3_EXPANSION!$D$56:CR$56,"&gt;="&amp;35)))*CAPA3_EXPANSION!CR$36)</f>
        <v>3528</v>
      </c>
      <c r="CS42" s="298" t="n">
        <f aca="false">IF(COUNTIF(CAPA3_EXPANSION!$D$56:CS$56,"&gt;="&amp;35)=0,0,SUP_CONTROL!$C$8*IF($B42="V",1,IF($B42="D",(1+SUP_VOLUMEN!$C$26),(1+SUP_VOLUMEN!$C$27)))*INDEX(SUP_C3_EXPANSION!$C$6:$F$6,MIN(4,COUNTIF(CAPA3_EXPANSION!$D$56:CS$56,"&gt;="&amp;35)))*CAPA3_EXPANSION!CS$36)</f>
        <v>3528</v>
      </c>
      <c r="CT42" s="298" t="n">
        <f aca="false">IF(COUNTIF(CAPA3_EXPANSION!$D$56:CT$56,"&gt;="&amp;35)=0,0,SUP_CONTROL!$C$8*IF($B42="V",1,IF($B42="D",(1+SUP_VOLUMEN!$C$26),(1+SUP_VOLUMEN!$C$27)))*INDEX(SUP_C3_EXPANSION!$C$6:$F$6,MIN(4,COUNTIF(CAPA3_EXPANSION!$D$56:CT$56,"&gt;="&amp;35)))*CAPA3_EXPANSION!CT$36)</f>
        <v>3528</v>
      </c>
      <c r="CU42" s="298" t="n">
        <f aca="false">IF(COUNTIF(CAPA3_EXPANSION!$D$56:CU$56,"&gt;="&amp;35)=0,0,SUP_CONTROL!$C$8*IF($B42="V",1,IF($B42="D",(1+SUP_VOLUMEN!$C$26),(1+SUP_VOLUMEN!$C$27)))*INDEX(SUP_C3_EXPANSION!$C$6:$F$6,MIN(4,COUNTIF(CAPA3_EXPANSION!$D$56:CU$56,"&gt;="&amp;35)))*CAPA3_EXPANSION!CU$36)</f>
        <v>3528</v>
      </c>
      <c r="CV42" s="298" t="n">
        <f aca="false">IF(COUNTIF(CAPA3_EXPANSION!$D$56:CV$56,"&gt;="&amp;35)=0,0,SUP_CONTROL!$C$8*IF($B42="V",1,IF($B42="D",(1+SUP_VOLUMEN!$C$26),(1+SUP_VOLUMEN!$C$27)))*INDEX(SUP_C3_EXPANSION!$C$6:$F$6,MIN(4,COUNTIF(CAPA3_EXPANSION!$D$56:CV$56,"&gt;="&amp;35)))*CAPA3_EXPANSION!CV$36)</f>
        <v>3528</v>
      </c>
      <c r="CW42" s="298" t="n">
        <f aca="false">IF(COUNTIF(CAPA3_EXPANSION!$D$56:CW$56,"&gt;="&amp;35)=0,0,SUP_CONTROL!$C$8*IF($B42="V",1,IF($B42="D",(1+SUP_VOLUMEN!$C$26),(1+SUP_VOLUMEN!$C$27)))*INDEX(SUP_C3_EXPANSION!$C$6:$F$6,MIN(4,COUNTIF(CAPA3_EXPANSION!$D$56:CW$56,"&gt;="&amp;35)))*CAPA3_EXPANSION!CW$36)</f>
        <v>3528</v>
      </c>
      <c r="CX42" s="298" t="n">
        <f aca="false">IF(COUNTIF(CAPA3_EXPANSION!$D$56:CX$56,"&gt;="&amp;35)=0,0,SUP_CONTROL!$C$8*IF($B42="V",1,IF($B42="D",(1+SUP_VOLUMEN!$C$26),(1+SUP_VOLUMEN!$C$27)))*INDEX(SUP_C3_EXPANSION!$C$6:$F$6,MIN(4,COUNTIF(CAPA3_EXPANSION!$D$56:CX$56,"&gt;="&amp;35)))*CAPA3_EXPANSION!CX$36)</f>
        <v>3528</v>
      </c>
      <c r="CY42" s="298" t="n">
        <f aca="false">IF(COUNTIF(CAPA3_EXPANSION!$D$56:CY$56,"&gt;="&amp;35)=0,0,SUP_CONTROL!$C$8*IF($B42="V",1,IF($B42="D",(1+SUP_VOLUMEN!$C$26),(1+SUP_VOLUMEN!$C$27)))*INDEX(SUP_C3_EXPANSION!$C$6:$F$6,MIN(4,COUNTIF(CAPA3_EXPANSION!$D$56:CY$56,"&gt;="&amp;35)))*CAPA3_EXPANSION!CY$36)</f>
        <v>3528</v>
      </c>
      <c r="CZ42" s="298" t="n">
        <f aca="false">IF(COUNTIF(CAPA3_EXPANSION!$D$56:CZ$56,"&gt;="&amp;35)=0,0,SUP_CONTROL!$C$8*IF($B42="V",1,IF($B42="D",(1+SUP_VOLUMEN!$C$26),(1+SUP_VOLUMEN!$C$27)))*INDEX(SUP_C3_EXPANSION!$C$6:$F$6,MIN(4,COUNTIF(CAPA3_EXPANSION!$D$56:CZ$56,"&gt;="&amp;35)))*CAPA3_EXPANSION!CZ$36)</f>
        <v>3528</v>
      </c>
      <c r="DA42" s="298" t="n">
        <f aca="false">IF(COUNTIF(CAPA3_EXPANSION!$D$56:DA$56,"&gt;="&amp;35)=0,0,SUP_CONTROL!$C$8*IF($B42="V",1,IF($B42="D",(1+SUP_VOLUMEN!$C$26),(1+SUP_VOLUMEN!$C$27)))*INDEX(SUP_C3_EXPANSION!$C$6:$F$6,MIN(4,COUNTIF(CAPA3_EXPANSION!$D$56:DA$56,"&gt;="&amp;35)))*CAPA3_EXPANSION!DA$36)</f>
        <v>3528</v>
      </c>
      <c r="DB42" s="298" t="n">
        <f aca="false">IF(COUNTIF(CAPA3_EXPANSION!$D$56:DB$56,"&gt;="&amp;35)=0,0,SUP_CONTROL!$C$8*IF($B42="V",1,IF($B42="D",(1+SUP_VOLUMEN!$C$26),(1+SUP_VOLUMEN!$C$27)))*INDEX(SUP_C3_EXPANSION!$C$6:$F$6,MIN(4,COUNTIF(CAPA3_EXPANSION!$D$56:DB$56,"&gt;="&amp;35)))*CAPA3_EXPANSION!DB$36)</f>
        <v>3528</v>
      </c>
      <c r="DC42" s="298" t="n">
        <f aca="false">IF(COUNTIF(CAPA3_EXPANSION!$D$56:DC$56,"&gt;="&amp;35)=0,0,SUP_CONTROL!$C$8*IF($B42="V",1,IF($B42="D",(1+SUP_VOLUMEN!$C$26),(1+SUP_VOLUMEN!$C$27)))*INDEX(SUP_C3_EXPANSION!$C$6:$F$6,MIN(4,COUNTIF(CAPA3_EXPANSION!$D$56:DC$56,"&gt;="&amp;35)))*CAPA3_EXPANSION!DC$36)</f>
        <v>3528</v>
      </c>
      <c r="DD42" s="298" t="n">
        <f aca="false">IF(COUNTIF(CAPA3_EXPANSION!$D$56:DD$56,"&gt;="&amp;35)=0,0,SUP_CONTROL!$C$8*IF($B42="V",1,IF($B42="D",(1+SUP_VOLUMEN!$C$26),(1+SUP_VOLUMEN!$C$27)))*INDEX(SUP_C3_EXPANSION!$C$6:$F$6,MIN(4,COUNTIF(CAPA3_EXPANSION!$D$56:DD$56,"&gt;="&amp;35)))*CAPA3_EXPANSION!DD$36)</f>
        <v>3528</v>
      </c>
      <c r="DE42" s="298" t="n">
        <f aca="false">IF(COUNTIF(CAPA3_EXPANSION!$D$56:DE$56,"&gt;="&amp;35)=0,0,SUP_CONTROL!$C$8*IF($B42="V",1,IF($B42="D",(1+SUP_VOLUMEN!$C$26),(1+SUP_VOLUMEN!$C$27)))*INDEX(SUP_C3_EXPANSION!$C$6:$F$6,MIN(4,COUNTIF(CAPA3_EXPANSION!$D$56:DE$56,"&gt;="&amp;35)))*CAPA3_EXPANSION!DE$36)</f>
        <v>3528</v>
      </c>
      <c r="DF42" s="298" t="n">
        <f aca="false">IF(COUNTIF(CAPA3_EXPANSION!$D$56:DF$56,"&gt;="&amp;35)=0,0,SUP_CONTROL!$C$8*IF($B42="V",1,IF($B42="D",(1+SUP_VOLUMEN!$C$26),(1+SUP_VOLUMEN!$C$27)))*INDEX(SUP_C3_EXPANSION!$C$6:$F$6,MIN(4,COUNTIF(CAPA3_EXPANSION!$D$56:DF$56,"&gt;="&amp;35)))*CAPA3_EXPANSION!DF$36)</f>
        <v>3528</v>
      </c>
      <c r="DG42" s="298" t="n">
        <f aca="false">IF(COUNTIF(CAPA3_EXPANSION!$D$56:DG$56,"&gt;="&amp;35)=0,0,SUP_CONTROL!$C$8*IF($B42="V",1,IF($B42="D",(1+SUP_VOLUMEN!$C$26),(1+SUP_VOLUMEN!$C$27)))*INDEX(SUP_C3_EXPANSION!$C$6:$F$6,MIN(4,COUNTIF(CAPA3_EXPANSION!$D$56:DG$56,"&gt;="&amp;35)))*CAPA3_EXPANSION!DG$36)</f>
        <v>3528</v>
      </c>
      <c r="DH42" s="298" t="n">
        <f aca="false">IF(COUNTIF(CAPA3_EXPANSION!$D$56:DH$56,"&gt;="&amp;35)=0,0,SUP_CONTROL!$C$8*IF($B42="V",1,IF($B42="D",(1+SUP_VOLUMEN!$C$26),(1+SUP_VOLUMEN!$C$27)))*INDEX(SUP_C3_EXPANSION!$C$6:$F$6,MIN(4,COUNTIF(CAPA3_EXPANSION!$D$56:DH$56,"&gt;="&amp;35)))*CAPA3_EXPANSION!DH$36)</f>
        <v>3528</v>
      </c>
      <c r="DI42" s="298" t="n">
        <f aca="false">IF(COUNTIF(CAPA3_EXPANSION!$D$56:DI$56,"&gt;="&amp;35)=0,0,SUP_CONTROL!$C$8*IF($B42="V",1,IF($B42="D",(1+SUP_VOLUMEN!$C$26),(1+SUP_VOLUMEN!$C$27)))*INDEX(SUP_C3_EXPANSION!$C$6:$F$6,MIN(4,COUNTIF(CAPA3_EXPANSION!$D$56:DI$56,"&gt;="&amp;35)))*CAPA3_EXPANSION!DI$36)</f>
        <v>3528</v>
      </c>
      <c r="DJ42" s="298" t="n">
        <f aca="false">IF(COUNTIF(CAPA3_EXPANSION!$D$56:DJ$56,"&gt;="&amp;35)=0,0,SUP_CONTROL!$C$8*IF($B42="V",1,IF($B42="D",(1+SUP_VOLUMEN!$C$26),(1+SUP_VOLUMEN!$C$27)))*INDEX(SUP_C3_EXPANSION!$C$6:$F$6,MIN(4,COUNTIF(CAPA3_EXPANSION!$D$56:DJ$56,"&gt;="&amp;35)))*CAPA3_EXPANSION!DJ$36)</f>
        <v>3528</v>
      </c>
      <c r="DK42" s="298" t="n">
        <f aca="false">IF(COUNTIF(CAPA3_EXPANSION!$D$56:DK$56,"&gt;="&amp;35)=0,0,SUP_CONTROL!$C$8*IF($B42="V",1,IF($B42="D",(1+SUP_VOLUMEN!$C$26),(1+SUP_VOLUMEN!$C$27)))*INDEX(SUP_C3_EXPANSION!$C$6:$F$6,MIN(4,COUNTIF(CAPA3_EXPANSION!$D$56:DK$56,"&gt;="&amp;35)))*CAPA3_EXPANSION!DK$36)</f>
        <v>3528</v>
      </c>
      <c r="DL42" s="298" t="n">
        <f aca="false">IF(COUNTIF(CAPA3_EXPANSION!$D$56:DL$56,"&gt;="&amp;35)=0,0,SUP_CONTROL!$C$8*IF($B42="V",1,IF($B42="D",(1+SUP_VOLUMEN!$C$26),(1+SUP_VOLUMEN!$C$27)))*INDEX(SUP_C3_EXPANSION!$C$6:$F$6,MIN(4,COUNTIF(CAPA3_EXPANSION!$D$56:DL$56,"&gt;="&amp;35)))*CAPA3_EXPANSION!DL$36)</f>
        <v>3528</v>
      </c>
      <c r="DM42" s="298" t="n">
        <f aca="false">IF(COUNTIF(CAPA3_EXPANSION!$D$56:DM$56,"&gt;="&amp;35)=0,0,SUP_CONTROL!$C$8*IF($B42="V",1,IF($B42="D",(1+SUP_VOLUMEN!$C$26),(1+SUP_VOLUMEN!$C$27)))*INDEX(SUP_C3_EXPANSION!$C$6:$F$6,MIN(4,COUNTIF(CAPA3_EXPANSION!$D$56:DM$56,"&gt;="&amp;35)))*CAPA3_EXPANSION!DM$36)</f>
        <v>3528</v>
      </c>
      <c r="DN42" s="298" t="n">
        <f aca="false">IF(COUNTIF(CAPA3_EXPANSION!$D$56:DN$56,"&gt;="&amp;35)=0,0,SUP_CONTROL!$C$8*IF($B42="V",1,IF($B42="D",(1+SUP_VOLUMEN!$C$26),(1+SUP_VOLUMEN!$C$27)))*INDEX(SUP_C3_EXPANSION!$C$6:$F$6,MIN(4,COUNTIF(CAPA3_EXPANSION!$D$56:DN$56,"&gt;="&amp;35)))*CAPA3_EXPANSION!DN$36)</f>
        <v>3528</v>
      </c>
      <c r="DO42" s="298" t="n">
        <f aca="false">IF(COUNTIF(CAPA3_EXPANSION!$D$56:DO$56,"&gt;="&amp;35)=0,0,SUP_CONTROL!$C$8*IF($B42="V",1,IF($B42="D",(1+SUP_VOLUMEN!$C$26),(1+SUP_VOLUMEN!$C$27)))*INDEX(SUP_C3_EXPANSION!$C$6:$F$6,MIN(4,COUNTIF(CAPA3_EXPANSION!$D$56:DO$56,"&gt;="&amp;35)))*CAPA3_EXPANSION!DO$36)</f>
        <v>3528</v>
      </c>
      <c r="DP42" s="298" t="n">
        <f aca="false">IF(COUNTIF(CAPA3_EXPANSION!$D$56:DP$56,"&gt;="&amp;35)=0,0,SUP_CONTROL!$C$8*IF($B42="V",1,IF($B42="D",(1+SUP_VOLUMEN!$C$26),(1+SUP_VOLUMEN!$C$27)))*INDEX(SUP_C3_EXPANSION!$C$6:$F$6,MIN(4,COUNTIF(CAPA3_EXPANSION!$D$56:DP$56,"&gt;="&amp;35)))*CAPA3_EXPANSION!DP$36)</f>
        <v>3528</v>
      </c>
      <c r="DQ42" s="298" t="n">
        <f aca="false">IF(COUNTIF(CAPA3_EXPANSION!$D$56:DQ$56,"&gt;="&amp;35)=0,0,SUP_CONTROL!$C$8*IF($B42="V",1,IF($B42="D",(1+SUP_VOLUMEN!$C$26),(1+SUP_VOLUMEN!$C$27)))*INDEX(SUP_C3_EXPANSION!$C$6:$F$6,MIN(4,COUNTIF(CAPA3_EXPANSION!$D$56:DQ$56,"&gt;="&amp;35)))*CAPA3_EXPANSION!DQ$36)</f>
        <v>3528</v>
      </c>
      <c r="DR42" s="298" t="n">
        <f aca="false">IF(COUNTIF(CAPA3_EXPANSION!$D$56:DR$56,"&gt;="&amp;35)=0,0,SUP_CONTROL!$C$8*IF($B42="V",1,IF($B42="D",(1+SUP_VOLUMEN!$C$26),(1+SUP_VOLUMEN!$C$27)))*INDEX(SUP_C3_EXPANSION!$C$6:$F$6,MIN(4,COUNTIF(CAPA3_EXPANSION!$D$56:DR$56,"&gt;="&amp;35)))*CAPA3_EXPANSION!DR$36)</f>
        <v>3528</v>
      </c>
      <c r="DS42" s="298" t="n">
        <f aca="false">IF(COUNTIF(CAPA3_EXPANSION!$D$56:DS$56,"&gt;="&amp;35)=0,0,SUP_CONTROL!$C$8*IF($B42="V",1,IF($B42="D",(1+SUP_VOLUMEN!$C$26),(1+SUP_VOLUMEN!$C$27)))*INDEX(SUP_C3_EXPANSION!$C$6:$F$6,MIN(4,COUNTIF(CAPA3_EXPANSION!$D$56:DS$56,"&gt;="&amp;35)))*CAPA3_EXPANSION!DS$36)</f>
        <v>3528</v>
      </c>
    </row>
    <row r="43" customFormat="false" ht="15" hidden="false" customHeight="true" outlineLevel="0" collapsed="false">
      <c r="A43" s="298" t="n">
        <v>46</v>
      </c>
      <c r="B43" s="497" t="str">
        <f aca="false">SUP_C3_EXPANSION!B55</f>
        <v>V</v>
      </c>
      <c r="C43" s="267" t="n">
        <f aca="false">SUP_C3_EXPANSION!G55</f>
        <v>78</v>
      </c>
      <c r="D43" s="298" t="n">
        <f aca="false">IF(COUNTIF(CAPA3_EXPANSION!$D$56:D$56,"&gt;="&amp;36)=0,0,SUP_CONTROL!$C$8*IF($B43="V",1,IF($B43="D",(1+SUP_VOLUMEN!$C$26),(1+SUP_VOLUMEN!$C$27)))*INDEX(SUP_C3_EXPANSION!$C$6:$F$6,MIN(4,COUNTIF(CAPA3_EXPANSION!$D$56:D$56,"&gt;="&amp;36)))*CAPA3_EXPANSION!D$36)</f>
        <v>0</v>
      </c>
      <c r="E43" s="298" t="n">
        <f aca="false">IF(COUNTIF(CAPA3_EXPANSION!$D$56:E$56,"&gt;="&amp;36)=0,0,SUP_CONTROL!$C$8*IF($B43="V",1,IF($B43="D",(1+SUP_VOLUMEN!$C$26),(1+SUP_VOLUMEN!$C$27)))*INDEX(SUP_C3_EXPANSION!$C$6:$F$6,MIN(4,COUNTIF(CAPA3_EXPANSION!$D$56:E$56,"&gt;="&amp;36)))*CAPA3_EXPANSION!E$36)</f>
        <v>0</v>
      </c>
      <c r="F43" s="298" t="n">
        <f aca="false">IF(COUNTIF(CAPA3_EXPANSION!$D$56:F$56,"&gt;="&amp;36)=0,0,SUP_CONTROL!$C$8*IF($B43="V",1,IF($B43="D",(1+SUP_VOLUMEN!$C$26),(1+SUP_VOLUMEN!$C$27)))*INDEX(SUP_C3_EXPANSION!$C$6:$F$6,MIN(4,COUNTIF(CAPA3_EXPANSION!$D$56:F$56,"&gt;="&amp;36)))*CAPA3_EXPANSION!F$36)</f>
        <v>0</v>
      </c>
      <c r="G43" s="298" t="n">
        <f aca="false">IF(COUNTIF(CAPA3_EXPANSION!$D$56:G$56,"&gt;="&amp;36)=0,0,SUP_CONTROL!$C$8*IF($B43="V",1,IF($B43="D",(1+SUP_VOLUMEN!$C$26),(1+SUP_VOLUMEN!$C$27)))*INDEX(SUP_C3_EXPANSION!$C$6:$F$6,MIN(4,COUNTIF(CAPA3_EXPANSION!$D$56:G$56,"&gt;="&amp;36)))*CAPA3_EXPANSION!G$36)</f>
        <v>0</v>
      </c>
      <c r="H43" s="298" t="n">
        <f aca="false">IF(COUNTIF(CAPA3_EXPANSION!$D$56:H$56,"&gt;="&amp;36)=0,0,SUP_CONTROL!$C$8*IF($B43="V",1,IF($B43="D",(1+SUP_VOLUMEN!$C$26),(1+SUP_VOLUMEN!$C$27)))*INDEX(SUP_C3_EXPANSION!$C$6:$F$6,MIN(4,COUNTIF(CAPA3_EXPANSION!$D$56:H$56,"&gt;="&amp;36)))*CAPA3_EXPANSION!H$36)</f>
        <v>0</v>
      </c>
      <c r="I43" s="298" t="n">
        <f aca="false">IF(COUNTIF(CAPA3_EXPANSION!$D$56:I$56,"&gt;="&amp;36)=0,0,SUP_CONTROL!$C$8*IF($B43="V",1,IF($B43="D",(1+SUP_VOLUMEN!$C$26),(1+SUP_VOLUMEN!$C$27)))*INDEX(SUP_C3_EXPANSION!$C$6:$F$6,MIN(4,COUNTIF(CAPA3_EXPANSION!$D$56:I$56,"&gt;="&amp;36)))*CAPA3_EXPANSION!I$36)</f>
        <v>0</v>
      </c>
      <c r="J43" s="298" t="n">
        <f aca="false">IF(COUNTIF(CAPA3_EXPANSION!$D$56:J$56,"&gt;="&amp;36)=0,0,SUP_CONTROL!$C$8*IF($B43="V",1,IF($B43="D",(1+SUP_VOLUMEN!$C$26),(1+SUP_VOLUMEN!$C$27)))*INDEX(SUP_C3_EXPANSION!$C$6:$F$6,MIN(4,COUNTIF(CAPA3_EXPANSION!$D$56:J$56,"&gt;="&amp;36)))*CAPA3_EXPANSION!J$36)</f>
        <v>0</v>
      </c>
      <c r="K43" s="298" t="n">
        <f aca="false">IF(COUNTIF(CAPA3_EXPANSION!$D$56:K$56,"&gt;="&amp;36)=0,0,SUP_CONTROL!$C$8*IF($B43="V",1,IF($B43="D",(1+SUP_VOLUMEN!$C$26),(1+SUP_VOLUMEN!$C$27)))*INDEX(SUP_C3_EXPANSION!$C$6:$F$6,MIN(4,COUNTIF(CAPA3_EXPANSION!$D$56:K$56,"&gt;="&amp;36)))*CAPA3_EXPANSION!K$36)</f>
        <v>0</v>
      </c>
      <c r="L43" s="298" t="n">
        <f aca="false">IF(COUNTIF(CAPA3_EXPANSION!$D$56:L$56,"&gt;="&amp;36)=0,0,SUP_CONTROL!$C$8*IF($B43="V",1,IF($B43="D",(1+SUP_VOLUMEN!$C$26),(1+SUP_VOLUMEN!$C$27)))*INDEX(SUP_C3_EXPANSION!$C$6:$F$6,MIN(4,COUNTIF(CAPA3_EXPANSION!$D$56:L$56,"&gt;="&amp;36)))*CAPA3_EXPANSION!L$36)</f>
        <v>0</v>
      </c>
      <c r="M43" s="298" t="n">
        <f aca="false">IF(COUNTIF(CAPA3_EXPANSION!$D$56:M$56,"&gt;="&amp;36)=0,0,SUP_CONTROL!$C$8*IF($B43="V",1,IF($B43="D",(1+SUP_VOLUMEN!$C$26),(1+SUP_VOLUMEN!$C$27)))*INDEX(SUP_C3_EXPANSION!$C$6:$F$6,MIN(4,COUNTIF(CAPA3_EXPANSION!$D$56:M$56,"&gt;="&amp;36)))*CAPA3_EXPANSION!M$36)</f>
        <v>0</v>
      </c>
      <c r="N43" s="298" t="n">
        <f aca="false">IF(COUNTIF(CAPA3_EXPANSION!$D$56:N$56,"&gt;="&amp;36)=0,0,SUP_CONTROL!$C$8*IF($B43="V",1,IF($B43="D",(1+SUP_VOLUMEN!$C$26),(1+SUP_VOLUMEN!$C$27)))*INDEX(SUP_C3_EXPANSION!$C$6:$F$6,MIN(4,COUNTIF(CAPA3_EXPANSION!$D$56:N$56,"&gt;="&amp;36)))*CAPA3_EXPANSION!N$36)</f>
        <v>0</v>
      </c>
      <c r="O43" s="298" t="n">
        <f aca="false">IF(COUNTIF(CAPA3_EXPANSION!$D$56:O$56,"&gt;="&amp;36)=0,0,SUP_CONTROL!$C$8*IF($B43="V",1,IF($B43="D",(1+SUP_VOLUMEN!$C$26),(1+SUP_VOLUMEN!$C$27)))*INDEX(SUP_C3_EXPANSION!$C$6:$F$6,MIN(4,COUNTIF(CAPA3_EXPANSION!$D$56:O$56,"&gt;="&amp;36)))*CAPA3_EXPANSION!O$36)</f>
        <v>0</v>
      </c>
      <c r="P43" s="298" t="n">
        <f aca="false">IF(COUNTIF(CAPA3_EXPANSION!$D$56:P$56,"&gt;="&amp;36)=0,0,SUP_CONTROL!$C$8*IF($B43="V",1,IF($B43="D",(1+SUP_VOLUMEN!$C$26),(1+SUP_VOLUMEN!$C$27)))*INDEX(SUP_C3_EXPANSION!$C$6:$F$6,MIN(4,COUNTIF(CAPA3_EXPANSION!$D$56:P$56,"&gt;="&amp;36)))*CAPA3_EXPANSION!P$36)</f>
        <v>0</v>
      </c>
      <c r="Q43" s="298" t="n">
        <f aca="false">IF(COUNTIF(CAPA3_EXPANSION!$D$56:Q$56,"&gt;="&amp;36)=0,0,SUP_CONTROL!$C$8*IF($B43="V",1,IF($B43="D",(1+SUP_VOLUMEN!$C$26),(1+SUP_VOLUMEN!$C$27)))*INDEX(SUP_C3_EXPANSION!$C$6:$F$6,MIN(4,COUNTIF(CAPA3_EXPANSION!$D$56:Q$56,"&gt;="&amp;36)))*CAPA3_EXPANSION!Q$36)</f>
        <v>0</v>
      </c>
      <c r="R43" s="298" t="n">
        <f aca="false">IF(COUNTIF(CAPA3_EXPANSION!$D$56:R$56,"&gt;="&amp;36)=0,0,SUP_CONTROL!$C$8*IF($B43="V",1,IF($B43="D",(1+SUP_VOLUMEN!$C$26),(1+SUP_VOLUMEN!$C$27)))*INDEX(SUP_C3_EXPANSION!$C$6:$F$6,MIN(4,COUNTIF(CAPA3_EXPANSION!$D$56:R$56,"&gt;="&amp;36)))*CAPA3_EXPANSION!R$36)</f>
        <v>0</v>
      </c>
      <c r="S43" s="298" t="n">
        <f aca="false">IF(COUNTIF(CAPA3_EXPANSION!$D$56:S$56,"&gt;="&amp;36)=0,0,SUP_CONTROL!$C$8*IF($B43="V",1,IF($B43="D",(1+SUP_VOLUMEN!$C$26),(1+SUP_VOLUMEN!$C$27)))*INDEX(SUP_C3_EXPANSION!$C$6:$F$6,MIN(4,COUNTIF(CAPA3_EXPANSION!$D$56:S$56,"&gt;="&amp;36)))*CAPA3_EXPANSION!S$36)</f>
        <v>0</v>
      </c>
      <c r="T43" s="298" t="n">
        <f aca="false">IF(COUNTIF(CAPA3_EXPANSION!$D$56:T$56,"&gt;="&amp;36)=0,0,SUP_CONTROL!$C$8*IF($B43="V",1,IF($B43="D",(1+SUP_VOLUMEN!$C$26),(1+SUP_VOLUMEN!$C$27)))*INDEX(SUP_C3_EXPANSION!$C$6:$F$6,MIN(4,COUNTIF(CAPA3_EXPANSION!$D$56:T$56,"&gt;="&amp;36)))*CAPA3_EXPANSION!T$36)</f>
        <v>0</v>
      </c>
      <c r="U43" s="298" t="n">
        <f aca="false">IF(COUNTIF(CAPA3_EXPANSION!$D$56:U$56,"&gt;="&amp;36)=0,0,SUP_CONTROL!$C$8*IF($B43="V",1,IF($B43="D",(1+SUP_VOLUMEN!$C$26),(1+SUP_VOLUMEN!$C$27)))*INDEX(SUP_C3_EXPANSION!$C$6:$F$6,MIN(4,COUNTIF(CAPA3_EXPANSION!$D$56:U$56,"&gt;="&amp;36)))*CAPA3_EXPANSION!U$36)</f>
        <v>0</v>
      </c>
      <c r="V43" s="298" t="n">
        <f aca="false">IF(COUNTIF(CAPA3_EXPANSION!$D$56:V$56,"&gt;="&amp;36)=0,0,SUP_CONTROL!$C$8*IF($B43="V",1,IF($B43="D",(1+SUP_VOLUMEN!$C$26),(1+SUP_VOLUMEN!$C$27)))*INDEX(SUP_C3_EXPANSION!$C$6:$F$6,MIN(4,COUNTIF(CAPA3_EXPANSION!$D$56:V$56,"&gt;="&amp;36)))*CAPA3_EXPANSION!V$36)</f>
        <v>0</v>
      </c>
      <c r="W43" s="298" t="n">
        <f aca="false">IF(COUNTIF(CAPA3_EXPANSION!$D$56:W$56,"&gt;="&amp;36)=0,0,SUP_CONTROL!$C$8*IF($B43="V",1,IF($B43="D",(1+SUP_VOLUMEN!$C$26),(1+SUP_VOLUMEN!$C$27)))*INDEX(SUP_C3_EXPANSION!$C$6:$F$6,MIN(4,COUNTIF(CAPA3_EXPANSION!$D$56:W$56,"&gt;="&amp;36)))*CAPA3_EXPANSION!W$36)</f>
        <v>0</v>
      </c>
      <c r="X43" s="298" t="n">
        <f aca="false">IF(COUNTIF(CAPA3_EXPANSION!$D$56:X$56,"&gt;="&amp;36)=0,0,SUP_CONTROL!$C$8*IF($B43="V",1,IF($B43="D",(1+SUP_VOLUMEN!$C$26),(1+SUP_VOLUMEN!$C$27)))*INDEX(SUP_C3_EXPANSION!$C$6:$F$6,MIN(4,COUNTIF(CAPA3_EXPANSION!$D$56:X$56,"&gt;="&amp;36)))*CAPA3_EXPANSION!X$36)</f>
        <v>0</v>
      </c>
      <c r="Y43" s="298" t="n">
        <f aca="false">IF(COUNTIF(CAPA3_EXPANSION!$D$56:Y$56,"&gt;="&amp;36)=0,0,SUP_CONTROL!$C$8*IF($B43="V",1,IF($B43="D",(1+SUP_VOLUMEN!$C$26),(1+SUP_VOLUMEN!$C$27)))*INDEX(SUP_C3_EXPANSION!$C$6:$F$6,MIN(4,COUNTIF(CAPA3_EXPANSION!$D$56:Y$56,"&gt;="&amp;36)))*CAPA3_EXPANSION!Y$36)</f>
        <v>0</v>
      </c>
      <c r="Z43" s="298" t="n">
        <f aca="false">IF(COUNTIF(CAPA3_EXPANSION!$D$56:Z$56,"&gt;="&amp;36)=0,0,SUP_CONTROL!$C$8*IF($B43="V",1,IF($B43="D",(1+SUP_VOLUMEN!$C$26),(1+SUP_VOLUMEN!$C$27)))*INDEX(SUP_C3_EXPANSION!$C$6:$F$6,MIN(4,COUNTIF(CAPA3_EXPANSION!$D$56:Z$56,"&gt;="&amp;36)))*CAPA3_EXPANSION!Z$36)</f>
        <v>0</v>
      </c>
      <c r="AA43" s="298" t="n">
        <f aca="false">IF(COUNTIF(CAPA3_EXPANSION!$D$56:AA$56,"&gt;="&amp;36)=0,0,SUP_CONTROL!$C$8*IF($B43="V",1,IF($B43="D",(1+SUP_VOLUMEN!$C$26),(1+SUP_VOLUMEN!$C$27)))*INDEX(SUP_C3_EXPANSION!$C$6:$F$6,MIN(4,COUNTIF(CAPA3_EXPANSION!$D$56:AA$56,"&gt;="&amp;36)))*CAPA3_EXPANSION!AA$36)</f>
        <v>0</v>
      </c>
      <c r="AB43" s="298" t="n">
        <f aca="false">IF(COUNTIF(CAPA3_EXPANSION!$D$56:AB$56,"&gt;="&amp;36)=0,0,SUP_CONTROL!$C$8*IF($B43="V",1,IF($B43="D",(1+SUP_VOLUMEN!$C$26),(1+SUP_VOLUMEN!$C$27)))*INDEX(SUP_C3_EXPANSION!$C$6:$F$6,MIN(4,COUNTIF(CAPA3_EXPANSION!$D$56:AB$56,"&gt;="&amp;36)))*CAPA3_EXPANSION!AB$36)</f>
        <v>0</v>
      </c>
      <c r="AC43" s="298" t="n">
        <f aca="false">IF(COUNTIF(CAPA3_EXPANSION!$D$56:AC$56,"&gt;="&amp;36)=0,0,SUP_CONTROL!$C$8*IF($B43="V",1,IF($B43="D",(1+SUP_VOLUMEN!$C$26),(1+SUP_VOLUMEN!$C$27)))*INDEX(SUP_C3_EXPANSION!$C$6:$F$6,MIN(4,COUNTIF(CAPA3_EXPANSION!$D$56:AC$56,"&gt;="&amp;36)))*CAPA3_EXPANSION!AC$36)</f>
        <v>0</v>
      </c>
      <c r="AD43" s="298" t="n">
        <f aca="false">IF(COUNTIF(CAPA3_EXPANSION!$D$56:AD$56,"&gt;="&amp;36)=0,0,SUP_CONTROL!$C$8*IF($B43="V",1,IF($B43="D",(1+SUP_VOLUMEN!$C$26),(1+SUP_VOLUMEN!$C$27)))*INDEX(SUP_C3_EXPANSION!$C$6:$F$6,MIN(4,COUNTIF(CAPA3_EXPANSION!$D$56:AD$56,"&gt;="&amp;36)))*CAPA3_EXPANSION!AD$36)</f>
        <v>0</v>
      </c>
      <c r="AE43" s="298" t="n">
        <f aca="false">IF(COUNTIF(CAPA3_EXPANSION!$D$56:AE$56,"&gt;="&amp;36)=0,0,SUP_CONTROL!$C$8*IF($B43="V",1,IF($B43="D",(1+SUP_VOLUMEN!$C$26),(1+SUP_VOLUMEN!$C$27)))*INDEX(SUP_C3_EXPANSION!$C$6:$F$6,MIN(4,COUNTIF(CAPA3_EXPANSION!$D$56:AE$56,"&gt;="&amp;36)))*CAPA3_EXPANSION!AE$36)</f>
        <v>0</v>
      </c>
      <c r="AF43" s="298" t="n">
        <f aca="false">IF(COUNTIF(CAPA3_EXPANSION!$D$56:AF$56,"&gt;="&amp;36)=0,0,SUP_CONTROL!$C$8*IF($B43="V",1,IF($B43="D",(1+SUP_VOLUMEN!$C$26),(1+SUP_VOLUMEN!$C$27)))*INDEX(SUP_C3_EXPANSION!$C$6:$F$6,MIN(4,COUNTIF(CAPA3_EXPANSION!$D$56:AF$56,"&gt;="&amp;36)))*CAPA3_EXPANSION!AF$36)</f>
        <v>0</v>
      </c>
      <c r="AG43" s="298" t="n">
        <f aca="false">IF(COUNTIF(CAPA3_EXPANSION!$D$56:AG$56,"&gt;="&amp;36)=0,0,SUP_CONTROL!$C$8*IF($B43="V",1,IF($B43="D",(1+SUP_VOLUMEN!$C$26),(1+SUP_VOLUMEN!$C$27)))*INDEX(SUP_C3_EXPANSION!$C$6:$F$6,MIN(4,COUNTIF(CAPA3_EXPANSION!$D$56:AG$56,"&gt;="&amp;36)))*CAPA3_EXPANSION!AG$36)</f>
        <v>0</v>
      </c>
      <c r="AH43" s="298" t="n">
        <f aca="false">IF(COUNTIF(CAPA3_EXPANSION!$D$56:AH$56,"&gt;="&amp;36)=0,0,SUP_CONTROL!$C$8*IF($B43="V",1,IF($B43="D",(1+SUP_VOLUMEN!$C$26),(1+SUP_VOLUMEN!$C$27)))*INDEX(SUP_C3_EXPANSION!$C$6:$F$6,MIN(4,COUNTIF(CAPA3_EXPANSION!$D$56:AH$56,"&gt;="&amp;36)))*CAPA3_EXPANSION!AH$36)</f>
        <v>0</v>
      </c>
      <c r="AI43" s="298" t="n">
        <f aca="false">IF(COUNTIF(CAPA3_EXPANSION!$D$56:AI$56,"&gt;="&amp;36)=0,0,SUP_CONTROL!$C$8*IF($B43="V",1,IF($B43="D",(1+SUP_VOLUMEN!$C$26),(1+SUP_VOLUMEN!$C$27)))*INDEX(SUP_C3_EXPANSION!$C$6:$F$6,MIN(4,COUNTIF(CAPA3_EXPANSION!$D$56:AI$56,"&gt;="&amp;36)))*CAPA3_EXPANSION!AI$36)</f>
        <v>0</v>
      </c>
      <c r="AJ43" s="298" t="n">
        <f aca="false">IF(COUNTIF(CAPA3_EXPANSION!$D$56:AJ$56,"&gt;="&amp;36)=0,0,SUP_CONTROL!$C$8*IF($B43="V",1,IF($B43="D",(1+SUP_VOLUMEN!$C$26),(1+SUP_VOLUMEN!$C$27)))*INDEX(SUP_C3_EXPANSION!$C$6:$F$6,MIN(4,COUNTIF(CAPA3_EXPANSION!$D$56:AJ$56,"&gt;="&amp;36)))*CAPA3_EXPANSION!AJ$36)</f>
        <v>0</v>
      </c>
      <c r="AK43" s="298" t="n">
        <f aca="false">IF(COUNTIF(CAPA3_EXPANSION!$D$56:AK$56,"&gt;="&amp;36)=0,0,SUP_CONTROL!$C$8*IF($B43="V",1,IF($B43="D",(1+SUP_VOLUMEN!$C$26),(1+SUP_VOLUMEN!$C$27)))*INDEX(SUP_C3_EXPANSION!$C$6:$F$6,MIN(4,COUNTIF(CAPA3_EXPANSION!$D$56:AK$56,"&gt;="&amp;36)))*CAPA3_EXPANSION!AK$36)</f>
        <v>0</v>
      </c>
      <c r="AL43" s="298" t="n">
        <f aca="false">IF(COUNTIF(CAPA3_EXPANSION!$D$56:AL$56,"&gt;="&amp;36)=0,0,SUP_CONTROL!$C$8*IF($B43="V",1,IF($B43="D",(1+SUP_VOLUMEN!$C$26),(1+SUP_VOLUMEN!$C$27)))*INDEX(SUP_C3_EXPANSION!$C$6:$F$6,MIN(4,COUNTIF(CAPA3_EXPANSION!$D$56:AL$56,"&gt;="&amp;36)))*CAPA3_EXPANSION!AL$36)</f>
        <v>0</v>
      </c>
      <c r="AM43" s="298" t="n">
        <f aca="false">IF(COUNTIF(CAPA3_EXPANSION!$D$56:AM$56,"&gt;="&amp;36)=0,0,SUP_CONTROL!$C$8*IF($B43="V",1,IF($B43="D",(1+SUP_VOLUMEN!$C$26),(1+SUP_VOLUMEN!$C$27)))*INDEX(SUP_C3_EXPANSION!$C$6:$F$6,MIN(4,COUNTIF(CAPA3_EXPANSION!$D$56:AM$56,"&gt;="&amp;36)))*CAPA3_EXPANSION!AM$36)</f>
        <v>0</v>
      </c>
      <c r="AN43" s="298" t="n">
        <f aca="false">IF(COUNTIF(CAPA3_EXPANSION!$D$56:AN$56,"&gt;="&amp;36)=0,0,SUP_CONTROL!$C$8*IF($B43="V",1,IF($B43="D",(1+SUP_VOLUMEN!$C$26),(1+SUP_VOLUMEN!$C$27)))*INDEX(SUP_C3_EXPANSION!$C$6:$F$6,MIN(4,COUNTIF(CAPA3_EXPANSION!$D$56:AN$56,"&gt;="&amp;36)))*CAPA3_EXPANSION!AN$36)</f>
        <v>0</v>
      </c>
      <c r="AO43" s="298" t="n">
        <f aca="false">IF(COUNTIF(CAPA3_EXPANSION!$D$56:AO$56,"&gt;="&amp;36)=0,0,SUP_CONTROL!$C$8*IF($B43="V",1,IF($B43="D",(1+SUP_VOLUMEN!$C$26),(1+SUP_VOLUMEN!$C$27)))*INDEX(SUP_C3_EXPANSION!$C$6:$F$6,MIN(4,COUNTIF(CAPA3_EXPANSION!$D$56:AO$56,"&gt;="&amp;36)))*CAPA3_EXPANSION!AO$36)</f>
        <v>0</v>
      </c>
      <c r="AP43" s="298" t="n">
        <f aca="false">IF(COUNTIF(CAPA3_EXPANSION!$D$56:AP$56,"&gt;="&amp;36)=0,0,SUP_CONTROL!$C$8*IF($B43="V",1,IF($B43="D",(1+SUP_VOLUMEN!$C$26),(1+SUP_VOLUMEN!$C$27)))*INDEX(SUP_C3_EXPANSION!$C$6:$F$6,MIN(4,COUNTIF(CAPA3_EXPANSION!$D$56:AP$56,"&gt;="&amp;36)))*CAPA3_EXPANSION!AP$36)</f>
        <v>0</v>
      </c>
      <c r="AQ43" s="298" t="n">
        <f aca="false">IF(COUNTIF(CAPA3_EXPANSION!$D$56:AQ$56,"&gt;="&amp;36)=0,0,SUP_CONTROL!$C$8*IF($B43="V",1,IF($B43="D",(1+SUP_VOLUMEN!$C$26),(1+SUP_VOLUMEN!$C$27)))*INDEX(SUP_C3_EXPANSION!$C$6:$F$6,MIN(4,COUNTIF(CAPA3_EXPANSION!$D$56:AQ$56,"&gt;="&amp;36)))*CAPA3_EXPANSION!AQ$36)</f>
        <v>0</v>
      </c>
      <c r="AR43" s="298" t="n">
        <f aca="false">IF(COUNTIF(CAPA3_EXPANSION!$D$56:AR$56,"&gt;="&amp;36)=0,0,SUP_CONTROL!$C$8*IF($B43="V",1,IF($B43="D",(1+SUP_VOLUMEN!$C$26),(1+SUP_VOLUMEN!$C$27)))*INDEX(SUP_C3_EXPANSION!$C$6:$F$6,MIN(4,COUNTIF(CAPA3_EXPANSION!$D$56:AR$56,"&gt;="&amp;36)))*CAPA3_EXPANSION!AR$36)</f>
        <v>0</v>
      </c>
      <c r="AS43" s="298" t="n">
        <f aca="false">IF(COUNTIF(CAPA3_EXPANSION!$D$56:AS$56,"&gt;="&amp;36)=0,0,SUP_CONTROL!$C$8*IF($B43="V",1,IF($B43="D",(1+SUP_VOLUMEN!$C$26),(1+SUP_VOLUMEN!$C$27)))*INDEX(SUP_C3_EXPANSION!$C$6:$F$6,MIN(4,COUNTIF(CAPA3_EXPANSION!$D$56:AS$56,"&gt;="&amp;36)))*CAPA3_EXPANSION!AS$36)</f>
        <v>0</v>
      </c>
      <c r="AT43" s="298" t="n">
        <f aca="false">IF(COUNTIF(CAPA3_EXPANSION!$D$56:AT$56,"&gt;="&amp;36)=0,0,SUP_CONTROL!$C$8*IF($B43="V",1,IF($B43="D",(1+SUP_VOLUMEN!$C$26),(1+SUP_VOLUMEN!$C$27)))*INDEX(SUP_C3_EXPANSION!$C$6:$F$6,MIN(4,COUNTIF(CAPA3_EXPANSION!$D$56:AT$56,"&gt;="&amp;36)))*CAPA3_EXPANSION!AT$36)</f>
        <v>0</v>
      </c>
      <c r="AU43" s="298" t="n">
        <f aca="false">IF(COUNTIF(CAPA3_EXPANSION!$D$56:AU$56,"&gt;="&amp;36)=0,0,SUP_CONTROL!$C$8*IF($B43="V",1,IF($B43="D",(1+SUP_VOLUMEN!$C$26),(1+SUP_VOLUMEN!$C$27)))*INDEX(SUP_C3_EXPANSION!$C$6:$F$6,MIN(4,COUNTIF(CAPA3_EXPANSION!$D$56:AU$56,"&gt;="&amp;36)))*CAPA3_EXPANSION!AU$36)</f>
        <v>0</v>
      </c>
      <c r="AV43" s="298" t="n">
        <f aca="false">IF(COUNTIF(CAPA3_EXPANSION!$D$56:AV$56,"&gt;="&amp;36)=0,0,SUP_CONTROL!$C$8*IF($B43="V",1,IF($B43="D",(1+SUP_VOLUMEN!$C$26),(1+SUP_VOLUMEN!$C$27)))*INDEX(SUP_C3_EXPANSION!$C$6:$F$6,MIN(4,COUNTIF(CAPA3_EXPANSION!$D$56:AV$56,"&gt;="&amp;36)))*CAPA3_EXPANSION!AV$36)</f>
        <v>0</v>
      </c>
      <c r="AW43" s="298" t="n">
        <f aca="false">IF(COUNTIF(CAPA3_EXPANSION!$D$56:AW$56,"&gt;="&amp;36)=0,0,SUP_CONTROL!$C$8*IF($B43="V",1,IF($B43="D",(1+SUP_VOLUMEN!$C$26),(1+SUP_VOLUMEN!$C$27)))*INDEX(SUP_C3_EXPANSION!$C$6:$F$6,MIN(4,COUNTIF(CAPA3_EXPANSION!$D$56:AW$56,"&gt;="&amp;36)))*CAPA3_EXPANSION!AW$36)</f>
        <v>0</v>
      </c>
      <c r="AX43" s="298" t="n">
        <f aca="false">IF(COUNTIF(CAPA3_EXPANSION!$D$56:AX$56,"&gt;="&amp;36)=0,0,SUP_CONTROL!$C$8*IF($B43="V",1,IF($B43="D",(1+SUP_VOLUMEN!$C$26),(1+SUP_VOLUMEN!$C$27)))*INDEX(SUP_C3_EXPANSION!$C$6:$F$6,MIN(4,COUNTIF(CAPA3_EXPANSION!$D$56:AX$56,"&gt;="&amp;36)))*CAPA3_EXPANSION!AX$36)</f>
        <v>0</v>
      </c>
      <c r="AY43" s="298" t="n">
        <f aca="false">IF(COUNTIF(CAPA3_EXPANSION!$D$56:AY$56,"&gt;="&amp;36)=0,0,SUP_CONTROL!$C$8*IF($B43="V",1,IF($B43="D",(1+SUP_VOLUMEN!$C$26),(1+SUP_VOLUMEN!$C$27)))*INDEX(SUP_C3_EXPANSION!$C$6:$F$6,MIN(4,COUNTIF(CAPA3_EXPANSION!$D$56:AY$56,"&gt;="&amp;36)))*CAPA3_EXPANSION!AY$36)</f>
        <v>0</v>
      </c>
      <c r="AZ43" s="298" t="n">
        <f aca="false">IF(COUNTIF(CAPA3_EXPANSION!$D$56:AZ$56,"&gt;="&amp;36)=0,0,SUP_CONTROL!$C$8*IF($B43="V",1,IF($B43="D",(1+SUP_VOLUMEN!$C$26),(1+SUP_VOLUMEN!$C$27)))*INDEX(SUP_C3_EXPANSION!$C$6:$F$6,MIN(4,COUNTIF(CAPA3_EXPANSION!$D$56:AZ$56,"&gt;="&amp;36)))*CAPA3_EXPANSION!AZ$36)</f>
        <v>0</v>
      </c>
      <c r="BA43" s="298" t="n">
        <f aca="false">IF(COUNTIF(CAPA3_EXPANSION!$D$56:BA$56,"&gt;="&amp;36)=0,0,SUP_CONTROL!$C$8*IF($B43="V",1,IF($B43="D",(1+SUP_VOLUMEN!$C$26),(1+SUP_VOLUMEN!$C$27)))*INDEX(SUP_C3_EXPANSION!$C$6:$F$6,MIN(4,COUNTIF(CAPA3_EXPANSION!$D$56:BA$56,"&gt;="&amp;36)))*CAPA3_EXPANSION!BA$36)</f>
        <v>0</v>
      </c>
      <c r="BB43" s="298" t="n">
        <f aca="false">IF(COUNTIF(CAPA3_EXPANSION!$D$56:BB$56,"&gt;="&amp;36)=0,0,SUP_CONTROL!$C$8*IF($B43="V",1,IF($B43="D",(1+SUP_VOLUMEN!$C$26),(1+SUP_VOLUMEN!$C$27)))*INDEX(SUP_C3_EXPANSION!$C$6:$F$6,MIN(4,COUNTIF(CAPA3_EXPANSION!$D$56:BB$56,"&gt;="&amp;36)))*CAPA3_EXPANSION!BB$36)</f>
        <v>0</v>
      </c>
      <c r="BC43" s="298" t="n">
        <f aca="false">IF(COUNTIF(CAPA3_EXPANSION!$D$56:BC$56,"&gt;="&amp;36)=0,0,SUP_CONTROL!$C$8*IF($B43="V",1,IF($B43="D",(1+SUP_VOLUMEN!$C$26),(1+SUP_VOLUMEN!$C$27)))*INDEX(SUP_C3_EXPANSION!$C$6:$F$6,MIN(4,COUNTIF(CAPA3_EXPANSION!$D$56:BC$56,"&gt;="&amp;36)))*CAPA3_EXPANSION!BC$36)</f>
        <v>0</v>
      </c>
      <c r="BD43" s="298" t="n">
        <f aca="false">IF(COUNTIF(CAPA3_EXPANSION!$D$56:BD$56,"&gt;="&amp;36)=0,0,SUP_CONTROL!$C$8*IF($B43="V",1,IF($B43="D",(1+SUP_VOLUMEN!$C$26),(1+SUP_VOLUMEN!$C$27)))*INDEX(SUP_C3_EXPANSION!$C$6:$F$6,MIN(4,COUNTIF(CAPA3_EXPANSION!$D$56:BD$56,"&gt;="&amp;36)))*CAPA3_EXPANSION!BD$36)</f>
        <v>0</v>
      </c>
      <c r="BE43" s="298" t="n">
        <f aca="false">IF(COUNTIF(CAPA3_EXPANSION!$D$56:BE$56,"&gt;="&amp;36)=0,0,SUP_CONTROL!$C$8*IF($B43="V",1,IF($B43="D",(1+SUP_VOLUMEN!$C$26),(1+SUP_VOLUMEN!$C$27)))*INDEX(SUP_C3_EXPANSION!$C$6:$F$6,MIN(4,COUNTIF(CAPA3_EXPANSION!$D$56:BE$56,"&gt;="&amp;36)))*CAPA3_EXPANSION!BE$36)</f>
        <v>0</v>
      </c>
      <c r="BF43" s="298" t="n">
        <f aca="false">IF(COUNTIF(CAPA3_EXPANSION!$D$56:BF$56,"&gt;="&amp;36)=0,0,SUP_CONTROL!$C$8*IF($B43="V",1,IF($B43="D",(1+SUP_VOLUMEN!$C$26),(1+SUP_VOLUMEN!$C$27)))*INDEX(SUP_C3_EXPANSION!$C$6:$F$6,MIN(4,COUNTIF(CAPA3_EXPANSION!$D$56:BF$56,"&gt;="&amp;36)))*CAPA3_EXPANSION!BF$36)</f>
        <v>0</v>
      </c>
      <c r="BG43" s="298" t="n">
        <f aca="false">IF(COUNTIF(CAPA3_EXPANSION!$D$56:BG$56,"&gt;="&amp;36)=0,0,SUP_CONTROL!$C$8*IF($B43="V",1,IF($B43="D",(1+SUP_VOLUMEN!$C$26),(1+SUP_VOLUMEN!$C$27)))*INDEX(SUP_C3_EXPANSION!$C$6:$F$6,MIN(4,COUNTIF(CAPA3_EXPANSION!$D$56:BG$56,"&gt;="&amp;36)))*CAPA3_EXPANSION!BG$36)</f>
        <v>0</v>
      </c>
      <c r="BH43" s="298" t="n">
        <f aca="false">IF(COUNTIF(CAPA3_EXPANSION!$D$56:BH$56,"&gt;="&amp;36)=0,0,SUP_CONTROL!$C$8*IF($B43="V",1,IF($B43="D",(1+SUP_VOLUMEN!$C$26),(1+SUP_VOLUMEN!$C$27)))*INDEX(SUP_C3_EXPANSION!$C$6:$F$6,MIN(4,COUNTIF(CAPA3_EXPANSION!$D$56:BH$56,"&gt;="&amp;36)))*CAPA3_EXPANSION!BH$36)</f>
        <v>0</v>
      </c>
      <c r="BI43" s="298" t="n">
        <f aca="false">IF(COUNTIF(CAPA3_EXPANSION!$D$56:BI$56,"&gt;="&amp;36)=0,0,SUP_CONTROL!$C$8*IF($B43="V",1,IF($B43="D",(1+SUP_VOLUMEN!$C$26),(1+SUP_VOLUMEN!$C$27)))*INDEX(SUP_C3_EXPANSION!$C$6:$F$6,MIN(4,COUNTIF(CAPA3_EXPANSION!$D$56:BI$56,"&gt;="&amp;36)))*CAPA3_EXPANSION!BI$36)</f>
        <v>0</v>
      </c>
      <c r="BJ43" s="298" t="n">
        <f aca="false">IF(COUNTIF(CAPA3_EXPANSION!$D$56:BJ$56,"&gt;="&amp;36)=0,0,SUP_CONTROL!$C$8*IF($B43="V",1,IF($B43="D",(1+SUP_VOLUMEN!$C$26),(1+SUP_VOLUMEN!$C$27)))*INDEX(SUP_C3_EXPANSION!$C$6:$F$6,MIN(4,COUNTIF(CAPA3_EXPANSION!$D$56:BJ$56,"&gt;="&amp;36)))*CAPA3_EXPANSION!BJ$36)</f>
        <v>0</v>
      </c>
      <c r="BK43" s="298" t="n">
        <f aca="false">IF(COUNTIF(CAPA3_EXPANSION!$D$56:BK$56,"&gt;="&amp;36)=0,0,SUP_CONTROL!$C$8*IF($B43="V",1,IF($B43="D",(1+SUP_VOLUMEN!$C$26),(1+SUP_VOLUMEN!$C$27)))*INDEX(SUP_C3_EXPANSION!$C$6:$F$6,MIN(4,COUNTIF(CAPA3_EXPANSION!$D$56:BK$56,"&gt;="&amp;36)))*CAPA3_EXPANSION!BK$36)</f>
        <v>0</v>
      </c>
      <c r="BL43" s="298" t="n">
        <f aca="false">IF(COUNTIF(CAPA3_EXPANSION!$D$56:BL$56,"&gt;="&amp;36)=0,0,SUP_CONTROL!$C$8*IF($B43="V",1,IF($B43="D",(1+SUP_VOLUMEN!$C$26),(1+SUP_VOLUMEN!$C$27)))*INDEX(SUP_C3_EXPANSION!$C$6:$F$6,MIN(4,COUNTIF(CAPA3_EXPANSION!$D$56:BL$56,"&gt;="&amp;36)))*CAPA3_EXPANSION!BL$36)</f>
        <v>0</v>
      </c>
      <c r="BM43" s="298" t="n">
        <f aca="false">IF(COUNTIF(CAPA3_EXPANSION!$D$56:BM$56,"&gt;="&amp;36)=0,0,SUP_CONTROL!$C$8*IF($B43="V",1,IF($B43="D",(1+SUP_VOLUMEN!$C$26),(1+SUP_VOLUMEN!$C$27)))*INDEX(SUP_C3_EXPANSION!$C$6:$F$6,MIN(4,COUNTIF(CAPA3_EXPANSION!$D$56:BM$56,"&gt;="&amp;36)))*CAPA3_EXPANSION!BM$36)</f>
        <v>0</v>
      </c>
      <c r="BN43" s="298" t="n">
        <f aca="false">IF(COUNTIF(CAPA3_EXPANSION!$D$56:BN$56,"&gt;="&amp;36)=0,0,SUP_CONTROL!$C$8*IF($B43="V",1,IF($B43="D",(1+SUP_VOLUMEN!$C$26),(1+SUP_VOLUMEN!$C$27)))*INDEX(SUP_C3_EXPANSION!$C$6:$F$6,MIN(4,COUNTIF(CAPA3_EXPANSION!$D$56:BN$56,"&gt;="&amp;36)))*CAPA3_EXPANSION!BN$36)</f>
        <v>0</v>
      </c>
      <c r="BO43" s="298" t="n">
        <f aca="false">IF(COUNTIF(CAPA3_EXPANSION!$D$56:BO$56,"&gt;="&amp;36)=0,0,SUP_CONTROL!$C$8*IF($B43="V",1,IF($B43="D",(1+SUP_VOLUMEN!$C$26),(1+SUP_VOLUMEN!$C$27)))*INDEX(SUP_C3_EXPANSION!$C$6:$F$6,MIN(4,COUNTIF(CAPA3_EXPANSION!$D$56:BO$56,"&gt;="&amp;36)))*CAPA3_EXPANSION!BO$36)</f>
        <v>0</v>
      </c>
      <c r="BP43" s="298" t="n">
        <f aca="false">IF(COUNTIF(CAPA3_EXPANSION!$D$56:BP$56,"&gt;="&amp;36)=0,0,SUP_CONTROL!$C$8*IF($B43="V",1,IF($B43="D",(1+SUP_VOLUMEN!$C$26),(1+SUP_VOLUMEN!$C$27)))*INDEX(SUP_C3_EXPANSION!$C$6:$F$6,MIN(4,COUNTIF(CAPA3_EXPANSION!$D$56:BP$56,"&gt;="&amp;36)))*CAPA3_EXPANSION!BP$36)</f>
        <v>0</v>
      </c>
      <c r="BQ43" s="298" t="n">
        <f aca="false">IF(COUNTIF(CAPA3_EXPANSION!$D$56:BQ$56,"&gt;="&amp;36)=0,0,SUP_CONTROL!$C$8*IF($B43="V",1,IF($B43="D",(1+SUP_VOLUMEN!$C$26),(1+SUP_VOLUMEN!$C$27)))*INDEX(SUP_C3_EXPANSION!$C$6:$F$6,MIN(4,COUNTIF(CAPA3_EXPANSION!$D$56:BQ$56,"&gt;="&amp;36)))*CAPA3_EXPANSION!BQ$36)</f>
        <v>0</v>
      </c>
      <c r="BR43" s="298" t="n">
        <f aca="false">IF(COUNTIF(CAPA3_EXPANSION!$D$56:BR$56,"&gt;="&amp;36)=0,0,SUP_CONTROL!$C$8*IF($B43="V",1,IF($B43="D",(1+SUP_VOLUMEN!$C$26),(1+SUP_VOLUMEN!$C$27)))*INDEX(SUP_C3_EXPANSION!$C$6:$F$6,MIN(4,COUNTIF(CAPA3_EXPANSION!$D$56:BR$56,"&gt;="&amp;36)))*CAPA3_EXPANSION!BR$36)</f>
        <v>0</v>
      </c>
      <c r="BS43" s="298" t="n">
        <f aca="false">IF(COUNTIF(CAPA3_EXPANSION!$D$56:BS$56,"&gt;="&amp;36)=0,0,SUP_CONTROL!$C$8*IF($B43="V",1,IF($B43="D",(1+SUP_VOLUMEN!$C$26),(1+SUP_VOLUMEN!$C$27)))*INDEX(SUP_C3_EXPANSION!$C$6:$F$6,MIN(4,COUNTIF(CAPA3_EXPANSION!$D$56:BS$56,"&gt;="&amp;36)))*CAPA3_EXPANSION!BS$36)</f>
        <v>0</v>
      </c>
      <c r="BT43" s="298" t="n">
        <f aca="false">IF(COUNTIF(CAPA3_EXPANSION!$D$56:BT$56,"&gt;="&amp;36)=0,0,SUP_CONTROL!$C$8*IF($B43="V",1,IF($B43="D",(1+SUP_VOLUMEN!$C$26),(1+SUP_VOLUMEN!$C$27)))*INDEX(SUP_C3_EXPANSION!$C$6:$F$6,MIN(4,COUNTIF(CAPA3_EXPANSION!$D$56:BT$56,"&gt;="&amp;36)))*CAPA3_EXPANSION!BT$36)</f>
        <v>0</v>
      </c>
      <c r="BU43" s="298" t="n">
        <f aca="false">IF(COUNTIF(CAPA3_EXPANSION!$D$56:BU$56,"&gt;="&amp;36)=0,0,SUP_CONTROL!$C$8*IF($B43="V",1,IF($B43="D",(1+SUP_VOLUMEN!$C$26),(1+SUP_VOLUMEN!$C$27)))*INDEX(SUP_C3_EXPANSION!$C$6:$F$6,MIN(4,COUNTIF(CAPA3_EXPANSION!$D$56:BU$56,"&gt;="&amp;36)))*CAPA3_EXPANSION!BU$36)</f>
        <v>0</v>
      </c>
      <c r="BV43" s="298" t="n">
        <f aca="false">IF(COUNTIF(CAPA3_EXPANSION!$D$56:BV$56,"&gt;="&amp;36)=0,0,SUP_CONTROL!$C$8*IF($B43="V",1,IF($B43="D",(1+SUP_VOLUMEN!$C$26),(1+SUP_VOLUMEN!$C$27)))*INDEX(SUP_C3_EXPANSION!$C$6:$F$6,MIN(4,COUNTIF(CAPA3_EXPANSION!$D$56:BV$56,"&gt;="&amp;36)))*CAPA3_EXPANSION!BV$36)</f>
        <v>0</v>
      </c>
      <c r="BW43" s="298" t="n">
        <f aca="false">IF(COUNTIF(CAPA3_EXPANSION!$D$56:BW$56,"&gt;="&amp;36)=0,0,SUP_CONTROL!$C$8*IF($B43="V",1,IF($B43="D",(1+SUP_VOLUMEN!$C$26),(1+SUP_VOLUMEN!$C$27)))*INDEX(SUP_C3_EXPANSION!$C$6:$F$6,MIN(4,COUNTIF(CAPA3_EXPANSION!$D$56:BW$56,"&gt;="&amp;36)))*CAPA3_EXPANSION!BW$36)</f>
        <v>0</v>
      </c>
      <c r="BX43" s="298" t="n">
        <f aca="false">IF(COUNTIF(CAPA3_EXPANSION!$D$56:BX$56,"&gt;="&amp;36)=0,0,SUP_CONTROL!$C$8*IF($B43="V",1,IF($B43="D",(1+SUP_VOLUMEN!$C$26),(1+SUP_VOLUMEN!$C$27)))*INDEX(SUP_C3_EXPANSION!$C$6:$F$6,MIN(4,COUNTIF(CAPA3_EXPANSION!$D$56:BX$56,"&gt;="&amp;36)))*CAPA3_EXPANSION!BX$36)</f>
        <v>0</v>
      </c>
      <c r="BY43" s="298" t="n">
        <f aca="false">IF(COUNTIF(CAPA3_EXPANSION!$D$56:BY$56,"&gt;="&amp;36)=0,0,SUP_CONTROL!$C$8*IF($B43="V",1,IF($B43="D",(1+SUP_VOLUMEN!$C$26),(1+SUP_VOLUMEN!$C$27)))*INDEX(SUP_C3_EXPANSION!$C$6:$F$6,MIN(4,COUNTIF(CAPA3_EXPANSION!$D$56:BY$56,"&gt;="&amp;36)))*CAPA3_EXPANSION!BY$36)</f>
        <v>0</v>
      </c>
      <c r="BZ43" s="298" t="n">
        <f aca="false">IF(COUNTIF(CAPA3_EXPANSION!$D$56:BZ$56,"&gt;="&amp;36)=0,0,SUP_CONTROL!$C$8*IF($B43="V",1,IF($B43="D",(1+SUP_VOLUMEN!$C$26),(1+SUP_VOLUMEN!$C$27)))*INDEX(SUP_C3_EXPANSION!$C$6:$F$6,MIN(4,COUNTIF(CAPA3_EXPANSION!$D$56:BZ$56,"&gt;="&amp;36)))*CAPA3_EXPANSION!BZ$36)</f>
        <v>0</v>
      </c>
      <c r="CA43" s="298" t="n">
        <f aca="false">IF(COUNTIF(CAPA3_EXPANSION!$D$56:CA$56,"&gt;="&amp;36)=0,0,SUP_CONTROL!$C$8*IF($B43="V",1,IF($B43="D",(1+SUP_VOLUMEN!$C$26),(1+SUP_VOLUMEN!$C$27)))*INDEX(SUP_C3_EXPANSION!$C$6:$F$6,MIN(4,COUNTIF(CAPA3_EXPANSION!$D$56:CA$56,"&gt;="&amp;36)))*CAPA3_EXPANSION!CA$36)</f>
        <v>0</v>
      </c>
      <c r="CB43" s="298" t="n">
        <f aca="false">IF(COUNTIF(CAPA3_EXPANSION!$D$56:CB$56,"&gt;="&amp;36)=0,0,SUP_CONTROL!$C$8*IF($B43="V",1,IF($B43="D",(1+SUP_VOLUMEN!$C$26),(1+SUP_VOLUMEN!$C$27)))*INDEX(SUP_C3_EXPANSION!$C$6:$F$6,MIN(4,COUNTIF(CAPA3_EXPANSION!$D$56:CB$56,"&gt;="&amp;36)))*CAPA3_EXPANSION!CB$36)</f>
        <v>0</v>
      </c>
      <c r="CC43" s="298" t="n">
        <f aca="false">IF(COUNTIF(CAPA3_EXPANSION!$D$56:CC$56,"&gt;="&amp;36)=0,0,SUP_CONTROL!$C$8*IF($B43="V",1,IF($B43="D",(1+SUP_VOLUMEN!$C$26),(1+SUP_VOLUMEN!$C$27)))*INDEX(SUP_C3_EXPANSION!$C$6:$F$6,MIN(4,COUNTIF(CAPA3_EXPANSION!$D$56:CC$56,"&gt;="&amp;36)))*CAPA3_EXPANSION!CC$36)</f>
        <v>0</v>
      </c>
      <c r="CD43" s="298" t="n">
        <f aca="false">IF(COUNTIF(CAPA3_EXPANSION!$D$56:CD$56,"&gt;="&amp;36)=0,0,SUP_CONTROL!$C$8*IF($B43="V",1,IF($B43="D",(1+SUP_VOLUMEN!$C$26),(1+SUP_VOLUMEN!$C$27)))*INDEX(SUP_C3_EXPANSION!$C$6:$F$6,MIN(4,COUNTIF(CAPA3_EXPANSION!$D$56:CD$56,"&gt;="&amp;36)))*CAPA3_EXPANSION!CD$36)</f>
        <v>0</v>
      </c>
      <c r="CE43" s="298" t="n">
        <f aca="false">IF(COUNTIF(CAPA3_EXPANSION!$D$56:CE$56,"&gt;="&amp;36)=0,0,SUP_CONTROL!$C$8*IF($B43="V",1,IF($B43="D",(1+SUP_VOLUMEN!$C$26),(1+SUP_VOLUMEN!$C$27)))*INDEX(SUP_C3_EXPANSION!$C$6:$F$6,MIN(4,COUNTIF(CAPA3_EXPANSION!$D$56:CE$56,"&gt;="&amp;36)))*CAPA3_EXPANSION!CE$36)</f>
        <v>0</v>
      </c>
      <c r="CF43" s="298" t="n">
        <f aca="false">IF(COUNTIF(CAPA3_EXPANSION!$D$56:CF$56,"&gt;="&amp;36)=0,0,SUP_CONTROL!$C$8*IF($B43="V",1,IF($B43="D",(1+SUP_VOLUMEN!$C$26),(1+SUP_VOLUMEN!$C$27)))*INDEX(SUP_C3_EXPANSION!$C$6:$F$6,MIN(4,COUNTIF(CAPA3_EXPANSION!$D$56:CF$56,"&gt;="&amp;36)))*CAPA3_EXPANSION!CF$36)</f>
        <v>2320.5</v>
      </c>
      <c r="CG43" s="298" t="n">
        <f aca="false">IF(COUNTIF(CAPA3_EXPANSION!$D$56:CG$56,"&gt;="&amp;36)=0,0,SUP_CONTROL!$C$8*IF($B43="V",1,IF($B43="D",(1+SUP_VOLUMEN!$C$26),(1+SUP_VOLUMEN!$C$27)))*INDEX(SUP_C3_EXPANSION!$C$6:$F$6,MIN(4,COUNTIF(CAPA3_EXPANSION!$D$56:CG$56,"&gt;="&amp;36)))*CAPA3_EXPANSION!CG$36)</f>
        <v>2822.4</v>
      </c>
      <c r="CH43" s="298" t="n">
        <f aca="false">IF(COUNTIF(CAPA3_EXPANSION!$D$56:CH$56,"&gt;="&amp;36)=0,0,SUP_CONTROL!$C$8*IF($B43="V",1,IF($B43="D",(1+SUP_VOLUMEN!$C$26),(1+SUP_VOLUMEN!$C$27)))*INDEX(SUP_C3_EXPANSION!$C$6:$F$6,MIN(4,COUNTIF(CAPA3_EXPANSION!$D$56:CH$56,"&gt;="&amp;36)))*CAPA3_EXPANSION!CH$36)</f>
        <v>3175.2</v>
      </c>
      <c r="CI43" s="298" t="n">
        <f aca="false">IF(COUNTIF(CAPA3_EXPANSION!$D$56:CI$56,"&gt;="&amp;36)=0,0,SUP_CONTROL!$C$8*IF($B43="V",1,IF($B43="D",(1+SUP_VOLUMEN!$C$26),(1+SUP_VOLUMEN!$C$27)))*INDEX(SUP_C3_EXPANSION!$C$6:$F$6,MIN(4,COUNTIF(CAPA3_EXPANSION!$D$56:CI$56,"&gt;="&amp;36)))*CAPA3_EXPANSION!CI$36)</f>
        <v>3528</v>
      </c>
      <c r="CJ43" s="298" t="n">
        <f aca="false">IF(COUNTIF(CAPA3_EXPANSION!$D$56:CJ$56,"&gt;="&amp;36)=0,0,SUP_CONTROL!$C$8*IF($B43="V",1,IF($B43="D",(1+SUP_VOLUMEN!$C$26),(1+SUP_VOLUMEN!$C$27)))*INDEX(SUP_C3_EXPANSION!$C$6:$F$6,MIN(4,COUNTIF(CAPA3_EXPANSION!$D$56:CJ$56,"&gt;="&amp;36)))*CAPA3_EXPANSION!CJ$36)</f>
        <v>3528</v>
      </c>
      <c r="CK43" s="298" t="n">
        <f aca="false">IF(COUNTIF(CAPA3_EXPANSION!$D$56:CK$56,"&gt;="&amp;36)=0,0,SUP_CONTROL!$C$8*IF($B43="V",1,IF($B43="D",(1+SUP_VOLUMEN!$C$26),(1+SUP_VOLUMEN!$C$27)))*INDEX(SUP_C3_EXPANSION!$C$6:$F$6,MIN(4,COUNTIF(CAPA3_EXPANSION!$D$56:CK$56,"&gt;="&amp;36)))*CAPA3_EXPANSION!CK$36)</f>
        <v>3528</v>
      </c>
      <c r="CL43" s="298" t="n">
        <f aca="false">IF(COUNTIF(CAPA3_EXPANSION!$D$56:CL$56,"&gt;="&amp;36)=0,0,SUP_CONTROL!$C$8*IF($B43="V",1,IF($B43="D",(1+SUP_VOLUMEN!$C$26),(1+SUP_VOLUMEN!$C$27)))*INDEX(SUP_C3_EXPANSION!$C$6:$F$6,MIN(4,COUNTIF(CAPA3_EXPANSION!$D$56:CL$56,"&gt;="&amp;36)))*CAPA3_EXPANSION!CL$36)</f>
        <v>3528</v>
      </c>
      <c r="CM43" s="298" t="n">
        <f aca="false">IF(COUNTIF(CAPA3_EXPANSION!$D$56:CM$56,"&gt;="&amp;36)=0,0,SUP_CONTROL!$C$8*IF($B43="V",1,IF($B43="D",(1+SUP_VOLUMEN!$C$26),(1+SUP_VOLUMEN!$C$27)))*INDEX(SUP_C3_EXPANSION!$C$6:$F$6,MIN(4,COUNTIF(CAPA3_EXPANSION!$D$56:CM$56,"&gt;="&amp;36)))*CAPA3_EXPANSION!CM$36)</f>
        <v>3528</v>
      </c>
      <c r="CN43" s="298" t="n">
        <f aca="false">IF(COUNTIF(CAPA3_EXPANSION!$D$56:CN$56,"&gt;="&amp;36)=0,0,SUP_CONTROL!$C$8*IF($B43="V",1,IF($B43="D",(1+SUP_VOLUMEN!$C$26),(1+SUP_VOLUMEN!$C$27)))*INDEX(SUP_C3_EXPANSION!$C$6:$F$6,MIN(4,COUNTIF(CAPA3_EXPANSION!$D$56:CN$56,"&gt;="&amp;36)))*CAPA3_EXPANSION!CN$36)</f>
        <v>3528</v>
      </c>
      <c r="CO43" s="298" t="n">
        <f aca="false">IF(COUNTIF(CAPA3_EXPANSION!$D$56:CO$56,"&gt;="&amp;36)=0,0,SUP_CONTROL!$C$8*IF($B43="V",1,IF($B43="D",(1+SUP_VOLUMEN!$C$26),(1+SUP_VOLUMEN!$C$27)))*INDEX(SUP_C3_EXPANSION!$C$6:$F$6,MIN(4,COUNTIF(CAPA3_EXPANSION!$D$56:CO$56,"&gt;="&amp;36)))*CAPA3_EXPANSION!CO$36)</f>
        <v>3528</v>
      </c>
      <c r="CP43" s="298" t="n">
        <f aca="false">IF(COUNTIF(CAPA3_EXPANSION!$D$56:CP$56,"&gt;="&amp;36)=0,0,SUP_CONTROL!$C$8*IF($B43="V",1,IF($B43="D",(1+SUP_VOLUMEN!$C$26),(1+SUP_VOLUMEN!$C$27)))*INDEX(SUP_C3_EXPANSION!$C$6:$F$6,MIN(4,COUNTIF(CAPA3_EXPANSION!$D$56:CP$56,"&gt;="&amp;36)))*CAPA3_EXPANSION!CP$36)</f>
        <v>3528</v>
      </c>
      <c r="CQ43" s="298" t="n">
        <f aca="false">IF(COUNTIF(CAPA3_EXPANSION!$D$56:CQ$56,"&gt;="&amp;36)=0,0,SUP_CONTROL!$C$8*IF($B43="V",1,IF($B43="D",(1+SUP_VOLUMEN!$C$26),(1+SUP_VOLUMEN!$C$27)))*INDEX(SUP_C3_EXPANSION!$C$6:$F$6,MIN(4,COUNTIF(CAPA3_EXPANSION!$D$56:CQ$56,"&gt;="&amp;36)))*CAPA3_EXPANSION!CQ$36)</f>
        <v>3528</v>
      </c>
      <c r="CR43" s="298" t="n">
        <f aca="false">IF(COUNTIF(CAPA3_EXPANSION!$D$56:CR$56,"&gt;="&amp;36)=0,0,SUP_CONTROL!$C$8*IF($B43="V",1,IF($B43="D",(1+SUP_VOLUMEN!$C$26),(1+SUP_VOLUMEN!$C$27)))*INDEX(SUP_C3_EXPANSION!$C$6:$F$6,MIN(4,COUNTIF(CAPA3_EXPANSION!$D$56:CR$56,"&gt;="&amp;36)))*CAPA3_EXPANSION!CR$36)</f>
        <v>3528</v>
      </c>
      <c r="CS43" s="298" t="n">
        <f aca="false">IF(COUNTIF(CAPA3_EXPANSION!$D$56:CS$56,"&gt;="&amp;36)=0,0,SUP_CONTROL!$C$8*IF($B43="V",1,IF($B43="D",(1+SUP_VOLUMEN!$C$26),(1+SUP_VOLUMEN!$C$27)))*INDEX(SUP_C3_EXPANSION!$C$6:$F$6,MIN(4,COUNTIF(CAPA3_EXPANSION!$D$56:CS$56,"&gt;="&amp;36)))*CAPA3_EXPANSION!CS$36)</f>
        <v>3528</v>
      </c>
      <c r="CT43" s="298" t="n">
        <f aca="false">IF(COUNTIF(CAPA3_EXPANSION!$D$56:CT$56,"&gt;="&amp;36)=0,0,SUP_CONTROL!$C$8*IF($B43="V",1,IF($B43="D",(1+SUP_VOLUMEN!$C$26),(1+SUP_VOLUMEN!$C$27)))*INDEX(SUP_C3_EXPANSION!$C$6:$F$6,MIN(4,COUNTIF(CAPA3_EXPANSION!$D$56:CT$56,"&gt;="&amp;36)))*CAPA3_EXPANSION!CT$36)</f>
        <v>3528</v>
      </c>
      <c r="CU43" s="298" t="n">
        <f aca="false">IF(COUNTIF(CAPA3_EXPANSION!$D$56:CU$56,"&gt;="&amp;36)=0,0,SUP_CONTROL!$C$8*IF($B43="V",1,IF($B43="D",(1+SUP_VOLUMEN!$C$26),(1+SUP_VOLUMEN!$C$27)))*INDEX(SUP_C3_EXPANSION!$C$6:$F$6,MIN(4,COUNTIF(CAPA3_EXPANSION!$D$56:CU$56,"&gt;="&amp;36)))*CAPA3_EXPANSION!CU$36)</f>
        <v>3528</v>
      </c>
      <c r="CV43" s="298" t="n">
        <f aca="false">IF(COUNTIF(CAPA3_EXPANSION!$D$56:CV$56,"&gt;="&amp;36)=0,0,SUP_CONTROL!$C$8*IF($B43="V",1,IF($B43="D",(1+SUP_VOLUMEN!$C$26),(1+SUP_VOLUMEN!$C$27)))*INDEX(SUP_C3_EXPANSION!$C$6:$F$6,MIN(4,COUNTIF(CAPA3_EXPANSION!$D$56:CV$56,"&gt;="&amp;36)))*CAPA3_EXPANSION!CV$36)</f>
        <v>3528</v>
      </c>
      <c r="CW43" s="298" t="n">
        <f aca="false">IF(COUNTIF(CAPA3_EXPANSION!$D$56:CW$56,"&gt;="&amp;36)=0,0,SUP_CONTROL!$C$8*IF($B43="V",1,IF($B43="D",(1+SUP_VOLUMEN!$C$26),(1+SUP_VOLUMEN!$C$27)))*INDEX(SUP_C3_EXPANSION!$C$6:$F$6,MIN(4,COUNTIF(CAPA3_EXPANSION!$D$56:CW$56,"&gt;="&amp;36)))*CAPA3_EXPANSION!CW$36)</f>
        <v>3528</v>
      </c>
      <c r="CX43" s="298" t="n">
        <f aca="false">IF(COUNTIF(CAPA3_EXPANSION!$D$56:CX$56,"&gt;="&amp;36)=0,0,SUP_CONTROL!$C$8*IF($B43="V",1,IF($B43="D",(1+SUP_VOLUMEN!$C$26),(1+SUP_VOLUMEN!$C$27)))*INDEX(SUP_C3_EXPANSION!$C$6:$F$6,MIN(4,COUNTIF(CAPA3_EXPANSION!$D$56:CX$56,"&gt;="&amp;36)))*CAPA3_EXPANSION!CX$36)</f>
        <v>3528</v>
      </c>
      <c r="CY43" s="298" t="n">
        <f aca="false">IF(COUNTIF(CAPA3_EXPANSION!$D$56:CY$56,"&gt;="&amp;36)=0,0,SUP_CONTROL!$C$8*IF($B43="V",1,IF($B43="D",(1+SUP_VOLUMEN!$C$26),(1+SUP_VOLUMEN!$C$27)))*INDEX(SUP_C3_EXPANSION!$C$6:$F$6,MIN(4,COUNTIF(CAPA3_EXPANSION!$D$56:CY$56,"&gt;="&amp;36)))*CAPA3_EXPANSION!CY$36)</f>
        <v>3528</v>
      </c>
      <c r="CZ43" s="298" t="n">
        <f aca="false">IF(COUNTIF(CAPA3_EXPANSION!$D$56:CZ$56,"&gt;="&amp;36)=0,0,SUP_CONTROL!$C$8*IF($B43="V",1,IF($B43="D",(1+SUP_VOLUMEN!$C$26),(1+SUP_VOLUMEN!$C$27)))*INDEX(SUP_C3_EXPANSION!$C$6:$F$6,MIN(4,COUNTIF(CAPA3_EXPANSION!$D$56:CZ$56,"&gt;="&amp;36)))*CAPA3_EXPANSION!CZ$36)</f>
        <v>3528</v>
      </c>
      <c r="DA43" s="298" t="n">
        <f aca="false">IF(COUNTIF(CAPA3_EXPANSION!$D$56:DA$56,"&gt;="&amp;36)=0,0,SUP_CONTROL!$C$8*IF($B43="V",1,IF($B43="D",(1+SUP_VOLUMEN!$C$26),(1+SUP_VOLUMEN!$C$27)))*INDEX(SUP_C3_EXPANSION!$C$6:$F$6,MIN(4,COUNTIF(CAPA3_EXPANSION!$D$56:DA$56,"&gt;="&amp;36)))*CAPA3_EXPANSION!DA$36)</f>
        <v>3528</v>
      </c>
      <c r="DB43" s="298" t="n">
        <f aca="false">IF(COUNTIF(CAPA3_EXPANSION!$D$56:DB$56,"&gt;="&amp;36)=0,0,SUP_CONTROL!$C$8*IF($B43="V",1,IF($B43="D",(1+SUP_VOLUMEN!$C$26),(1+SUP_VOLUMEN!$C$27)))*INDEX(SUP_C3_EXPANSION!$C$6:$F$6,MIN(4,COUNTIF(CAPA3_EXPANSION!$D$56:DB$56,"&gt;="&amp;36)))*CAPA3_EXPANSION!DB$36)</f>
        <v>3528</v>
      </c>
      <c r="DC43" s="298" t="n">
        <f aca="false">IF(COUNTIF(CAPA3_EXPANSION!$D$56:DC$56,"&gt;="&amp;36)=0,0,SUP_CONTROL!$C$8*IF($B43="V",1,IF($B43="D",(1+SUP_VOLUMEN!$C$26),(1+SUP_VOLUMEN!$C$27)))*INDEX(SUP_C3_EXPANSION!$C$6:$F$6,MIN(4,COUNTIF(CAPA3_EXPANSION!$D$56:DC$56,"&gt;="&amp;36)))*CAPA3_EXPANSION!DC$36)</f>
        <v>3528</v>
      </c>
      <c r="DD43" s="298" t="n">
        <f aca="false">IF(COUNTIF(CAPA3_EXPANSION!$D$56:DD$56,"&gt;="&amp;36)=0,0,SUP_CONTROL!$C$8*IF($B43="V",1,IF($B43="D",(1+SUP_VOLUMEN!$C$26),(1+SUP_VOLUMEN!$C$27)))*INDEX(SUP_C3_EXPANSION!$C$6:$F$6,MIN(4,COUNTIF(CAPA3_EXPANSION!$D$56:DD$56,"&gt;="&amp;36)))*CAPA3_EXPANSION!DD$36)</f>
        <v>3528</v>
      </c>
      <c r="DE43" s="298" t="n">
        <f aca="false">IF(COUNTIF(CAPA3_EXPANSION!$D$56:DE$56,"&gt;="&amp;36)=0,0,SUP_CONTROL!$C$8*IF($B43="V",1,IF($B43="D",(1+SUP_VOLUMEN!$C$26),(1+SUP_VOLUMEN!$C$27)))*INDEX(SUP_C3_EXPANSION!$C$6:$F$6,MIN(4,COUNTIF(CAPA3_EXPANSION!$D$56:DE$56,"&gt;="&amp;36)))*CAPA3_EXPANSION!DE$36)</f>
        <v>3528</v>
      </c>
      <c r="DF43" s="298" t="n">
        <f aca="false">IF(COUNTIF(CAPA3_EXPANSION!$D$56:DF$56,"&gt;="&amp;36)=0,0,SUP_CONTROL!$C$8*IF($B43="V",1,IF($B43="D",(1+SUP_VOLUMEN!$C$26),(1+SUP_VOLUMEN!$C$27)))*INDEX(SUP_C3_EXPANSION!$C$6:$F$6,MIN(4,COUNTIF(CAPA3_EXPANSION!$D$56:DF$56,"&gt;="&amp;36)))*CAPA3_EXPANSION!DF$36)</f>
        <v>3528</v>
      </c>
      <c r="DG43" s="298" t="n">
        <f aca="false">IF(COUNTIF(CAPA3_EXPANSION!$D$56:DG$56,"&gt;="&amp;36)=0,0,SUP_CONTROL!$C$8*IF($B43="V",1,IF($B43="D",(1+SUP_VOLUMEN!$C$26),(1+SUP_VOLUMEN!$C$27)))*INDEX(SUP_C3_EXPANSION!$C$6:$F$6,MIN(4,COUNTIF(CAPA3_EXPANSION!$D$56:DG$56,"&gt;="&amp;36)))*CAPA3_EXPANSION!DG$36)</f>
        <v>3528</v>
      </c>
      <c r="DH43" s="298" t="n">
        <f aca="false">IF(COUNTIF(CAPA3_EXPANSION!$D$56:DH$56,"&gt;="&amp;36)=0,0,SUP_CONTROL!$C$8*IF($B43="V",1,IF($B43="D",(1+SUP_VOLUMEN!$C$26),(1+SUP_VOLUMEN!$C$27)))*INDEX(SUP_C3_EXPANSION!$C$6:$F$6,MIN(4,COUNTIF(CAPA3_EXPANSION!$D$56:DH$56,"&gt;="&amp;36)))*CAPA3_EXPANSION!DH$36)</f>
        <v>3528</v>
      </c>
      <c r="DI43" s="298" t="n">
        <f aca="false">IF(COUNTIF(CAPA3_EXPANSION!$D$56:DI$56,"&gt;="&amp;36)=0,0,SUP_CONTROL!$C$8*IF($B43="V",1,IF($B43="D",(1+SUP_VOLUMEN!$C$26),(1+SUP_VOLUMEN!$C$27)))*INDEX(SUP_C3_EXPANSION!$C$6:$F$6,MIN(4,COUNTIF(CAPA3_EXPANSION!$D$56:DI$56,"&gt;="&amp;36)))*CAPA3_EXPANSION!DI$36)</f>
        <v>3528</v>
      </c>
      <c r="DJ43" s="298" t="n">
        <f aca="false">IF(COUNTIF(CAPA3_EXPANSION!$D$56:DJ$56,"&gt;="&amp;36)=0,0,SUP_CONTROL!$C$8*IF($B43="V",1,IF($B43="D",(1+SUP_VOLUMEN!$C$26),(1+SUP_VOLUMEN!$C$27)))*INDEX(SUP_C3_EXPANSION!$C$6:$F$6,MIN(4,COUNTIF(CAPA3_EXPANSION!$D$56:DJ$56,"&gt;="&amp;36)))*CAPA3_EXPANSION!DJ$36)</f>
        <v>3528</v>
      </c>
      <c r="DK43" s="298" t="n">
        <f aca="false">IF(COUNTIF(CAPA3_EXPANSION!$D$56:DK$56,"&gt;="&amp;36)=0,0,SUP_CONTROL!$C$8*IF($B43="V",1,IF($B43="D",(1+SUP_VOLUMEN!$C$26),(1+SUP_VOLUMEN!$C$27)))*INDEX(SUP_C3_EXPANSION!$C$6:$F$6,MIN(4,COUNTIF(CAPA3_EXPANSION!$D$56:DK$56,"&gt;="&amp;36)))*CAPA3_EXPANSION!DK$36)</f>
        <v>3528</v>
      </c>
      <c r="DL43" s="298" t="n">
        <f aca="false">IF(COUNTIF(CAPA3_EXPANSION!$D$56:DL$56,"&gt;="&amp;36)=0,0,SUP_CONTROL!$C$8*IF($B43="V",1,IF($B43="D",(1+SUP_VOLUMEN!$C$26),(1+SUP_VOLUMEN!$C$27)))*INDEX(SUP_C3_EXPANSION!$C$6:$F$6,MIN(4,COUNTIF(CAPA3_EXPANSION!$D$56:DL$56,"&gt;="&amp;36)))*CAPA3_EXPANSION!DL$36)</f>
        <v>3528</v>
      </c>
      <c r="DM43" s="298" t="n">
        <f aca="false">IF(COUNTIF(CAPA3_EXPANSION!$D$56:DM$56,"&gt;="&amp;36)=0,0,SUP_CONTROL!$C$8*IF($B43="V",1,IF($B43="D",(1+SUP_VOLUMEN!$C$26),(1+SUP_VOLUMEN!$C$27)))*INDEX(SUP_C3_EXPANSION!$C$6:$F$6,MIN(4,COUNTIF(CAPA3_EXPANSION!$D$56:DM$56,"&gt;="&amp;36)))*CAPA3_EXPANSION!DM$36)</f>
        <v>3528</v>
      </c>
      <c r="DN43" s="298" t="n">
        <f aca="false">IF(COUNTIF(CAPA3_EXPANSION!$D$56:DN$56,"&gt;="&amp;36)=0,0,SUP_CONTROL!$C$8*IF($B43="V",1,IF($B43="D",(1+SUP_VOLUMEN!$C$26),(1+SUP_VOLUMEN!$C$27)))*INDEX(SUP_C3_EXPANSION!$C$6:$F$6,MIN(4,COUNTIF(CAPA3_EXPANSION!$D$56:DN$56,"&gt;="&amp;36)))*CAPA3_EXPANSION!DN$36)</f>
        <v>3528</v>
      </c>
      <c r="DO43" s="298" t="n">
        <f aca="false">IF(COUNTIF(CAPA3_EXPANSION!$D$56:DO$56,"&gt;="&amp;36)=0,0,SUP_CONTROL!$C$8*IF($B43="V",1,IF($B43="D",(1+SUP_VOLUMEN!$C$26),(1+SUP_VOLUMEN!$C$27)))*INDEX(SUP_C3_EXPANSION!$C$6:$F$6,MIN(4,COUNTIF(CAPA3_EXPANSION!$D$56:DO$56,"&gt;="&amp;36)))*CAPA3_EXPANSION!DO$36)</f>
        <v>3528</v>
      </c>
      <c r="DP43" s="298" t="n">
        <f aca="false">IF(COUNTIF(CAPA3_EXPANSION!$D$56:DP$56,"&gt;="&amp;36)=0,0,SUP_CONTROL!$C$8*IF($B43="V",1,IF($B43="D",(1+SUP_VOLUMEN!$C$26),(1+SUP_VOLUMEN!$C$27)))*INDEX(SUP_C3_EXPANSION!$C$6:$F$6,MIN(4,COUNTIF(CAPA3_EXPANSION!$D$56:DP$56,"&gt;="&amp;36)))*CAPA3_EXPANSION!DP$36)</f>
        <v>3528</v>
      </c>
      <c r="DQ43" s="298" t="n">
        <f aca="false">IF(COUNTIF(CAPA3_EXPANSION!$D$56:DQ$56,"&gt;="&amp;36)=0,0,SUP_CONTROL!$C$8*IF($B43="V",1,IF($B43="D",(1+SUP_VOLUMEN!$C$26),(1+SUP_VOLUMEN!$C$27)))*INDEX(SUP_C3_EXPANSION!$C$6:$F$6,MIN(4,COUNTIF(CAPA3_EXPANSION!$D$56:DQ$56,"&gt;="&amp;36)))*CAPA3_EXPANSION!DQ$36)</f>
        <v>3528</v>
      </c>
      <c r="DR43" s="298" t="n">
        <f aca="false">IF(COUNTIF(CAPA3_EXPANSION!$D$56:DR$56,"&gt;="&amp;36)=0,0,SUP_CONTROL!$C$8*IF($B43="V",1,IF($B43="D",(1+SUP_VOLUMEN!$C$26),(1+SUP_VOLUMEN!$C$27)))*INDEX(SUP_C3_EXPANSION!$C$6:$F$6,MIN(4,COUNTIF(CAPA3_EXPANSION!$D$56:DR$56,"&gt;="&amp;36)))*CAPA3_EXPANSION!DR$36)</f>
        <v>3528</v>
      </c>
      <c r="DS43" s="298" t="n">
        <f aca="false">IF(COUNTIF(CAPA3_EXPANSION!$D$56:DS$56,"&gt;="&amp;36)=0,0,SUP_CONTROL!$C$8*IF($B43="V",1,IF($B43="D",(1+SUP_VOLUMEN!$C$26),(1+SUP_VOLUMEN!$C$27)))*INDEX(SUP_C3_EXPANSION!$C$6:$F$6,MIN(4,COUNTIF(CAPA3_EXPANSION!$D$56:DS$56,"&gt;="&amp;36)))*CAPA3_EXPANSION!DS$36)</f>
        <v>3528</v>
      </c>
    </row>
    <row r="44" customFormat="false" ht="15" hidden="false" customHeight="true" outlineLevel="0" collapsed="false">
      <c r="A44" s="298" t="n">
        <v>47</v>
      </c>
      <c r="B44" s="497" t="str">
        <f aca="false">SUP_C3_EXPANSION!B56</f>
        <v>V</v>
      </c>
      <c r="C44" s="267" t="n">
        <f aca="false">SUP_C3_EXPANSION!G56</f>
        <v>79</v>
      </c>
      <c r="D44" s="298" t="n">
        <f aca="false">IF(COUNTIF(CAPA3_EXPANSION!$D$56:D$56,"&gt;="&amp;37)=0,0,SUP_CONTROL!$C$8*IF($B44="V",1,IF($B44="D",(1+SUP_VOLUMEN!$C$26),(1+SUP_VOLUMEN!$C$27)))*INDEX(SUP_C3_EXPANSION!$C$6:$F$6,MIN(4,COUNTIF(CAPA3_EXPANSION!$D$56:D$56,"&gt;="&amp;37)))*CAPA3_EXPANSION!D$36)</f>
        <v>0</v>
      </c>
      <c r="E44" s="298" t="n">
        <f aca="false">IF(COUNTIF(CAPA3_EXPANSION!$D$56:E$56,"&gt;="&amp;37)=0,0,SUP_CONTROL!$C$8*IF($B44="V",1,IF($B44="D",(1+SUP_VOLUMEN!$C$26),(1+SUP_VOLUMEN!$C$27)))*INDEX(SUP_C3_EXPANSION!$C$6:$F$6,MIN(4,COUNTIF(CAPA3_EXPANSION!$D$56:E$56,"&gt;="&amp;37)))*CAPA3_EXPANSION!E$36)</f>
        <v>0</v>
      </c>
      <c r="F44" s="298" t="n">
        <f aca="false">IF(COUNTIF(CAPA3_EXPANSION!$D$56:F$56,"&gt;="&amp;37)=0,0,SUP_CONTROL!$C$8*IF($B44="V",1,IF($B44="D",(1+SUP_VOLUMEN!$C$26),(1+SUP_VOLUMEN!$C$27)))*INDEX(SUP_C3_EXPANSION!$C$6:$F$6,MIN(4,COUNTIF(CAPA3_EXPANSION!$D$56:F$56,"&gt;="&amp;37)))*CAPA3_EXPANSION!F$36)</f>
        <v>0</v>
      </c>
      <c r="G44" s="298" t="n">
        <f aca="false">IF(COUNTIF(CAPA3_EXPANSION!$D$56:G$56,"&gt;="&amp;37)=0,0,SUP_CONTROL!$C$8*IF($B44="V",1,IF($B44="D",(1+SUP_VOLUMEN!$C$26),(1+SUP_VOLUMEN!$C$27)))*INDEX(SUP_C3_EXPANSION!$C$6:$F$6,MIN(4,COUNTIF(CAPA3_EXPANSION!$D$56:G$56,"&gt;="&amp;37)))*CAPA3_EXPANSION!G$36)</f>
        <v>0</v>
      </c>
      <c r="H44" s="298" t="n">
        <f aca="false">IF(COUNTIF(CAPA3_EXPANSION!$D$56:H$56,"&gt;="&amp;37)=0,0,SUP_CONTROL!$C$8*IF($B44="V",1,IF($B44="D",(1+SUP_VOLUMEN!$C$26),(1+SUP_VOLUMEN!$C$27)))*INDEX(SUP_C3_EXPANSION!$C$6:$F$6,MIN(4,COUNTIF(CAPA3_EXPANSION!$D$56:H$56,"&gt;="&amp;37)))*CAPA3_EXPANSION!H$36)</f>
        <v>0</v>
      </c>
      <c r="I44" s="298" t="n">
        <f aca="false">IF(COUNTIF(CAPA3_EXPANSION!$D$56:I$56,"&gt;="&amp;37)=0,0,SUP_CONTROL!$C$8*IF($B44="V",1,IF($B44="D",(1+SUP_VOLUMEN!$C$26),(1+SUP_VOLUMEN!$C$27)))*INDEX(SUP_C3_EXPANSION!$C$6:$F$6,MIN(4,COUNTIF(CAPA3_EXPANSION!$D$56:I$56,"&gt;="&amp;37)))*CAPA3_EXPANSION!I$36)</f>
        <v>0</v>
      </c>
      <c r="J44" s="298" t="n">
        <f aca="false">IF(COUNTIF(CAPA3_EXPANSION!$D$56:J$56,"&gt;="&amp;37)=0,0,SUP_CONTROL!$C$8*IF($B44="V",1,IF($B44="D",(1+SUP_VOLUMEN!$C$26),(1+SUP_VOLUMEN!$C$27)))*INDEX(SUP_C3_EXPANSION!$C$6:$F$6,MIN(4,COUNTIF(CAPA3_EXPANSION!$D$56:J$56,"&gt;="&amp;37)))*CAPA3_EXPANSION!J$36)</f>
        <v>0</v>
      </c>
      <c r="K44" s="298" t="n">
        <f aca="false">IF(COUNTIF(CAPA3_EXPANSION!$D$56:K$56,"&gt;="&amp;37)=0,0,SUP_CONTROL!$C$8*IF($B44="V",1,IF($B44="D",(1+SUP_VOLUMEN!$C$26),(1+SUP_VOLUMEN!$C$27)))*INDEX(SUP_C3_EXPANSION!$C$6:$F$6,MIN(4,COUNTIF(CAPA3_EXPANSION!$D$56:K$56,"&gt;="&amp;37)))*CAPA3_EXPANSION!K$36)</f>
        <v>0</v>
      </c>
      <c r="L44" s="298" t="n">
        <f aca="false">IF(COUNTIF(CAPA3_EXPANSION!$D$56:L$56,"&gt;="&amp;37)=0,0,SUP_CONTROL!$C$8*IF($B44="V",1,IF($B44="D",(1+SUP_VOLUMEN!$C$26),(1+SUP_VOLUMEN!$C$27)))*INDEX(SUP_C3_EXPANSION!$C$6:$F$6,MIN(4,COUNTIF(CAPA3_EXPANSION!$D$56:L$56,"&gt;="&amp;37)))*CAPA3_EXPANSION!L$36)</f>
        <v>0</v>
      </c>
      <c r="M44" s="298" t="n">
        <f aca="false">IF(COUNTIF(CAPA3_EXPANSION!$D$56:M$56,"&gt;="&amp;37)=0,0,SUP_CONTROL!$C$8*IF($B44="V",1,IF($B44="D",(1+SUP_VOLUMEN!$C$26),(1+SUP_VOLUMEN!$C$27)))*INDEX(SUP_C3_EXPANSION!$C$6:$F$6,MIN(4,COUNTIF(CAPA3_EXPANSION!$D$56:M$56,"&gt;="&amp;37)))*CAPA3_EXPANSION!M$36)</f>
        <v>0</v>
      </c>
      <c r="N44" s="298" t="n">
        <f aca="false">IF(COUNTIF(CAPA3_EXPANSION!$D$56:N$56,"&gt;="&amp;37)=0,0,SUP_CONTROL!$C$8*IF($B44="V",1,IF($B44="D",(1+SUP_VOLUMEN!$C$26),(1+SUP_VOLUMEN!$C$27)))*INDEX(SUP_C3_EXPANSION!$C$6:$F$6,MIN(4,COUNTIF(CAPA3_EXPANSION!$D$56:N$56,"&gt;="&amp;37)))*CAPA3_EXPANSION!N$36)</f>
        <v>0</v>
      </c>
      <c r="O44" s="298" t="n">
        <f aca="false">IF(COUNTIF(CAPA3_EXPANSION!$D$56:O$56,"&gt;="&amp;37)=0,0,SUP_CONTROL!$C$8*IF($B44="V",1,IF($B44="D",(1+SUP_VOLUMEN!$C$26),(1+SUP_VOLUMEN!$C$27)))*INDEX(SUP_C3_EXPANSION!$C$6:$F$6,MIN(4,COUNTIF(CAPA3_EXPANSION!$D$56:O$56,"&gt;="&amp;37)))*CAPA3_EXPANSION!O$36)</f>
        <v>0</v>
      </c>
      <c r="P44" s="298" t="n">
        <f aca="false">IF(COUNTIF(CAPA3_EXPANSION!$D$56:P$56,"&gt;="&amp;37)=0,0,SUP_CONTROL!$C$8*IF($B44="V",1,IF($B44="D",(1+SUP_VOLUMEN!$C$26),(1+SUP_VOLUMEN!$C$27)))*INDEX(SUP_C3_EXPANSION!$C$6:$F$6,MIN(4,COUNTIF(CAPA3_EXPANSION!$D$56:P$56,"&gt;="&amp;37)))*CAPA3_EXPANSION!P$36)</f>
        <v>0</v>
      </c>
      <c r="Q44" s="298" t="n">
        <f aca="false">IF(COUNTIF(CAPA3_EXPANSION!$D$56:Q$56,"&gt;="&amp;37)=0,0,SUP_CONTROL!$C$8*IF($B44="V",1,IF($B44="D",(1+SUP_VOLUMEN!$C$26),(1+SUP_VOLUMEN!$C$27)))*INDEX(SUP_C3_EXPANSION!$C$6:$F$6,MIN(4,COUNTIF(CAPA3_EXPANSION!$D$56:Q$56,"&gt;="&amp;37)))*CAPA3_EXPANSION!Q$36)</f>
        <v>0</v>
      </c>
      <c r="R44" s="298" t="n">
        <f aca="false">IF(COUNTIF(CAPA3_EXPANSION!$D$56:R$56,"&gt;="&amp;37)=0,0,SUP_CONTROL!$C$8*IF($B44="V",1,IF($B44="D",(1+SUP_VOLUMEN!$C$26),(1+SUP_VOLUMEN!$C$27)))*INDEX(SUP_C3_EXPANSION!$C$6:$F$6,MIN(4,COUNTIF(CAPA3_EXPANSION!$D$56:R$56,"&gt;="&amp;37)))*CAPA3_EXPANSION!R$36)</f>
        <v>0</v>
      </c>
      <c r="S44" s="298" t="n">
        <f aca="false">IF(COUNTIF(CAPA3_EXPANSION!$D$56:S$56,"&gt;="&amp;37)=0,0,SUP_CONTROL!$C$8*IF($B44="V",1,IF($B44="D",(1+SUP_VOLUMEN!$C$26),(1+SUP_VOLUMEN!$C$27)))*INDEX(SUP_C3_EXPANSION!$C$6:$F$6,MIN(4,COUNTIF(CAPA3_EXPANSION!$D$56:S$56,"&gt;="&amp;37)))*CAPA3_EXPANSION!S$36)</f>
        <v>0</v>
      </c>
      <c r="T44" s="298" t="n">
        <f aca="false">IF(COUNTIF(CAPA3_EXPANSION!$D$56:T$56,"&gt;="&amp;37)=0,0,SUP_CONTROL!$C$8*IF($B44="V",1,IF($B44="D",(1+SUP_VOLUMEN!$C$26),(1+SUP_VOLUMEN!$C$27)))*INDEX(SUP_C3_EXPANSION!$C$6:$F$6,MIN(4,COUNTIF(CAPA3_EXPANSION!$D$56:T$56,"&gt;="&amp;37)))*CAPA3_EXPANSION!T$36)</f>
        <v>0</v>
      </c>
      <c r="U44" s="298" t="n">
        <f aca="false">IF(COUNTIF(CAPA3_EXPANSION!$D$56:U$56,"&gt;="&amp;37)=0,0,SUP_CONTROL!$C$8*IF($B44="V",1,IF($B44="D",(1+SUP_VOLUMEN!$C$26),(1+SUP_VOLUMEN!$C$27)))*INDEX(SUP_C3_EXPANSION!$C$6:$F$6,MIN(4,COUNTIF(CAPA3_EXPANSION!$D$56:U$56,"&gt;="&amp;37)))*CAPA3_EXPANSION!U$36)</f>
        <v>0</v>
      </c>
      <c r="V44" s="298" t="n">
        <f aca="false">IF(COUNTIF(CAPA3_EXPANSION!$D$56:V$56,"&gt;="&amp;37)=0,0,SUP_CONTROL!$C$8*IF($B44="V",1,IF($B44="D",(1+SUP_VOLUMEN!$C$26),(1+SUP_VOLUMEN!$C$27)))*INDEX(SUP_C3_EXPANSION!$C$6:$F$6,MIN(4,COUNTIF(CAPA3_EXPANSION!$D$56:V$56,"&gt;="&amp;37)))*CAPA3_EXPANSION!V$36)</f>
        <v>0</v>
      </c>
      <c r="W44" s="298" t="n">
        <f aca="false">IF(COUNTIF(CAPA3_EXPANSION!$D$56:W$56,"&gt;="&amp;37)=0,0,SUP_CONTROL!$C$8*IF($B44="V",1,IF($B44="D",(1+SUP_VOLUMEN!$C$26),(1+SUP_VOLUMEN!$C$27)))*INDEX(SUP_C3_EXPANSION!$C$6:$F$6,MIN(4,COUNTIF(CAPA3_EXPANSION!$D$56:W$56,"&gt;="&amp;37)))*CAPA3_EXPANSION!W$36)</f>
        <v>0</v>
      </c>
      <c r="X44" s="298" t="n">
        <f aca="false">IF(COUNTIF(CAPA3_EXPANSION!$D$56:X$56,"&gt;="&amp;37)=0,0,SUP_CONTROL!$C$8*IF($B44="V",1,IF($B44="D",(1+SUP_VOLUMEN!$C$26),(1+SUP_VOLUMEN!$C$27)))*INDEX(SUP_C3_EXPANSION!$C$6:$F$6,MIN(4,COUNTIF(CAPA3_EXPANSION!$D$56:X$56,"&gt;="&amp;37)))*CAPA3_EXPANSION!X$36)</f>
        <v>0</v>
      </c>
      <c r="Y44" s="298" t="n">
        <f aca="false">IF(COUNTIF(CAPA3_EXPANSION!$D$56:Y$56,"&gt;="&amp;37)=0,0,SUP_CONTROL!$C$8*IF($B44="V",1,IF($B44="D",(1+SUP_VOLUMEN!$C$26),(1+SUP_VOLUMEN!$C$27)))*INDEX(SUP_C3_EXPANSION!$C$6:$F$6,MIN(4,COUNTIF(CAPA3_EXPANSION!$D$56:Y$56,"&gt;="&amp;37)))*CAPA3_EXPANSION!Y$36)</f>
        <v>0</v>
      </c>
      <c r="Z44" s="298" t="n">
        <f aca="false">IF(COUNTIF(CAPA3_EXPANSION!$D$56:Z$56,"&gt;="&amp;37)=0,0,SUP_CONTROL!$C$8*IF($B44="V",1,IF($B44="D",(1+SUP_VOLUMEN!$C$26),(1+SUP_VOLUMEN!$C$27)))*INDEX(SUP_C3_EXPANSION!$C$6:$F$6,MIN(4,COUNTIF(CAPA3_EXPANSION!$D$56:Z$56,"&gt;="&amp;37)))*CAPA3_EXPANSION!Z$36)</f>
        <v>0</v>
      </c>
      <c r="AA44" s="298" t="n">
        <f aca="false">IF(COUNTIF(CAPA3_EXPANSION!$D$56:AA$56,"&gt;="&amp;37)=0,0,SUP_CONTROL!$C$8*IF($B44="V",1,IF($B44="D",(1+SUP_VOLUMEN!$C$26),(1+SUP_VOLUMEN!$C$27)))*INDEX(SUP_C3_EXPANSION!$C$6:$F$6,MIN(4,COUNTIF(CAPA3_EXPANSION!$D$56:AA$56,"&gt;="&amp;37)))*CAPA3_EXPANSION!AA$36)</f>
        <v>0</v>
      </c>
      <c r="AB44" s="298" t="n">
        <f aca="false">IF(COUNTIF(CAPA3_EXPANSION!$D$56:AB$56,"&gt;="&amp;37)=0,0,SUP_CONTROL!$C$8*IF($B44="V",1,IF($B44="D",(1+SUP_VOLUMEN!$C$26),(1+SUP_VOLUMEN!$C$27)))*INDEX(SUP_C3_EXPANSION!$C$6:$F$6,MIN(4,COUNTIF(CAPA3_EXPANSION!$D$56:AB$56,"&gt;="&amp;37)))*CAPA3_EXPANSION!AB$36)</f>
        <v>0</v>
      </c>
      <c r="AC44" s="298" t="n">
        <f aca="false">IF(COUNTIF(CAPA3_EXPANSION!$D$56:AC$56,"&gt;="&amp;37)=0,0,SUP_CONTROL!$C$8*IF($B44="V",1,IF($B44="D",(1+SUP_VOLUMEN!$C$26),(1+SUP_VOLUMEN!$C$27)))*INDEX(SUP_C3_EXPANSION!$C$6:$F$6,MIN(4,COUNTIF(CAPA3_EXPANSION!$D$56:AC$56,"&gt;="&amp;37)))*CAPA3_EXPANSION!AC$36)</f>
        <v>0</v>
      </c>
      <c r="AD44" s="298" t="n">
        <f aca="false">IF(COUNTIF(CAPA3_EXPANSION!$D$56:AD$56,"&gt;="&amp;37)=0,0,SUP_CONTROL!$C$8*IF($B44="V",1,IF($B44="D",(1+SUP_VOLUMEN!$C$26),(1+SUP_VOLUMEN!$C$27)))*INDEX(SUP_C3_EXPANSION!$C$6:$F$6,MIN(4,COUNTIF(CAPA3_EXPANSION!$D$56:AD$56,"&gt;="&amp;37)))*CAPA3_EXPANSION!AD$36)</f>
        <v>0</v>
      </c>
      <c r="AE44" s="298" t="n">
        <f aca="false">IF(COUNTIF(CAPA3_EXPANSION!$D$56:AE$56,"&gt;="&amp;37)=0,0,SUP_CONTROL!$C$8*IF($B44="V",1,IF($B44="D",(1+SUP_VOLUMEN!$C$26),(1+SUP_VOLUMEN!$C$27)))*INDEX(SUP_C3_EXPANSION!$C$6:$F$6,MIN(4,COUNTIF(CAPA3_EXPANSION!$D$56:AE$56,"&gt;="&amp;37)))*CAPA3_EXPANSION!AE$36)</f>
        <v>0</v>
      </c>
      <c r="AF44" s="298" t="n">
        <f aca="false">IF(COUNTIF(CAPA3_EXPANSION!$D$56:AF$56,"&gt;="&amp;37)=0,0,SUP_CONTROL!$C$8*IF($B44="V",1,IF($B44="D",(1+SUP_VOLUMEN!$C$26),(1+SUP_VOLUMEN!$C$27)))*INDEX(SUP_C3_EXPANSION!$C$6:$F$6,MIN(4,COUNTIF(CAPA3_EXPANSION!$D$56:AF$56,"&gt;="&amp;37)))*CAPA3_EXPANSION!AF$36)</f>
        <v>0</v>
      </c>
      <c r="AG44" s="298" t="n">
        <f aca="false">IF(COUNTIF(CAPA3_EXPANSION!$D$56:AG$56,"&gt;="&amp;37)=0,0,SUP_CONTROL!$C$8*IF($B44="V",1,IF($B44="D",(1+SUP_VOLUMEN!$C$26),(1+SUP_VOLUMEN!$C$27)))*INDEX(SUP_C3_EXPANSION!$C$6:$F$6,MIN(4,COUNTIF(CAPA3_EXPANSION!$D$56:AG$56,"&gt;="&amp;37)))*CAPA3_EXPANSION!AG$36)</f>
        <v>0</v>
      </c>
      <c r="AH44" s="298" t="n">
        <f aca="false">IF(COUNTIF(CAPA3_EXPANSION!$D$56:AH$56,"&gt;="&amp;37)=0,0,SUP_CONTROL!$C$8*IF($B44="V",1,IF($B44="D",(1+SUP_VOLUMEN!$C$26),(1+SUP_VOLUMEN!$C$27)))*INDEX(SUP_C3_EXPANSION!$C$6:$F$6,MIN(4,COUNTIF(CAPA3_EXPANSION!$D$56:AH$56,"&gt;="&amp;37)))*CAPA3_EXPANSION!AH$36)</f>
        <v>0</v>
      </c>
      <c r="AI44" s="298" t="n">
        <f aca="false">IF(COUNTIF(CAPA3_EXPANSION!$D$56:AI$56,"&gt;="&amp;37)=0,0,SUP_CONTROL!$C$8*IF($B44="V",1,IF($B44="D",(1+SUP_VOLUMEN!$C$26),(1+SUP_VOLUMEN!$C$27)))*INDEX(SUP_C3_EXPANSION!$C$6:$F$6,MIN(4,COUNTIF(CAPA3_EXPANSION!$D$56:AI$56,"&gt;="&amp;37)))*CAPA3_EXPANSION!AI$36)</f>
        <v>0</v>
      </c>
      <c r="AJ44" s="298" t="n">
        <f aca="false">IF(COUNTIF(CAPA3_EXPANSION!$D$56:AJ$56,"&gt;="&amp;37)=0,0,SUP_CONTROL!$C$8*IF($B44="V",1,IF($B44="D",(1+SUP_VOLUMEN!$C$26),(1+SUP_VOLUMEN!$C$27)))*INDEX(SUP_C3_EXPANSION!$C$6:$F$6,MIN(4,COUNTIF(CAPA3_EXPANSION!$D$56:AJ$56,"&gt;="&amp;37)))*CAPA3_EXPANSION!AJ$36)</f>
        <v>0</v>
      </c>
      <c r="AK44" s="298" t="n">
        <f aca="false">IF(COUNTIF(CAPA3_EXPANSION!$D$56:AK$56,"&gt;="&amp;37)=0,0,SUP_CONTROL!$C$8*IF($B44="V",1,IF($B44="D",(1+SUP_VOLUMEN!$C$26),(1+SUP_VOLUMEN!$C$27)))*INDEX(SUP_C3_EXPANSION!$C$6:$F$6,MIN(4,COUNTIF(CAPA3_EXPANSION!$D$56:AK$56,"&gt;="&amp;37)))*CAPA3_EXPANSION!AK$36)</f>
        <v>0</v>
      </c>
      <c r="AL44" s="298" t="n">
        <f aca="false">IF(COUNTIF(CAPA3_EXPANSION!$D$56:AL$56,"&gt;="&amp;37)=0,0,SUP_CONTROL!$C$8*IF($B44="V",1,IF($B44="D",(1+SUP_VOLUMEN!$C$26),(1+SUP_VOLUMEN!$C$27)))*INDEX(SUP_C3_EXPANSION!$C$6:$F$6,MIN(4,COUNTIF(CAPA3_EXPANSION!$D$56:AL$56,"&gt;="&amp;37)))*CAPA3_EXPANSION!AL$36)</f>
        <v>0</v>
      </c>
      <c r="AM44" s="298" t="n">
        <f aca="false">IF(COUNTIF(CAPA3_EXPANSION!$D$56:AM$56,"&gt;="&amp;37)=0,0,SUP_CONTROL!$C$8*IF($B44="V",1,IF($B44="D",(1+SUP_VOLUMEN!$C$26),(1+SUP_VOLUMEN!$C$27)))*INDEX(SUP_C3_EXPANSION!$C$6:$F$6,MIN(4,COUNTIF(CAPA3_EXPANSION!$D$56:AM$56,"&gt;="&amp;37)))*CAPA3_EXPANSION!AM$36)</f>
        <v>0</v>
      </c>
      <c r="AN44" s="298" t="n">
        <f aca="false">IF(COUNTIF(CAPA3_EXPANSION!$D$56:AN$56,"&gt;="&amp;37)=0,0,SUP_CONTROL!$C$8*IF($B44="V",1,IF($B44="D",(1+SUP_VOLUMEN!$C$26),(1+SUP_VOLUMEN!$C$27)))*INDEX(SUP_C3_EXPANSION!$C$6:$F$6,MIN(4,COUNTIF(CAPA3_EXPANSION!$D$56:AN$56,"&gt;="&amp;37)))*CAPA3_EXPANSION!AN$36)</f>
        <v>0</v>
      </c>
      <c r="AO44" s="298" t="n">
        <f aca="false">IF(COUNTIF(CAPA3_EXPANSION!$D$56:AO$56,"&gt;="&amp;37)=0,0,SUP_CONTROL!$C$8*IF($B44="V",1,IF($B44="D",(1+SUP_VOLUMEN!$C$26),(1+SUP_VOLUMEN!$C$27)))*INDEX(SUP_C3_EXPANSION!$C$6:$F$6,MIN(4,COUNTIF(CAPA3_EXPANSION!$D$56:AO$56,"&gt;="&amp;37)))*CAPA3_EXPANSION!AO$36)</f>
        <v>0</v>
      </c>
      <c r="AP44" s="298" t="n">
        <f aca="false">IF(COUNTIF(CAPA3_EXPANSION!$D$56:AP$56,"&gt;="&amp;37)=0,0,SUP_CONTROL!$C$8*IF($B44="V",1,IF($B44="D",(1+SUP_VOLUMEN!$C$26),(1+SUP_VOLUMEN!$C$27)))*INDEX(SUP_C3_EXPANSION!$C$6:$F$6,MIN(4,COUNTIF(CAPA3_EXPANSION!$D$56:AP$56,"&gt;="&amp;37)))*CAPA3_EXPANSION!AP$36)</f>
        <v>0</v>
      </c>
      <c r="AQ44" s="298" t="n">
        <f aca="false">IF(COUNTIF(CAPA3_EXPANSION!$D$56:AQ$56,"&gt;="&amp;37)=0,0,SUP_CONTROL!$C$8*IF($B44="V",1,IF($B44="D",(1+SUP_VOLUMEN!$C$26),(1+SUP_VOLUMEN!$C$27)))*INDEX(SUP_C3_EXPANSION!$C$6:$F$6,MIN(4,COUNTIF(CAPA3_EXPANSION!$D$56:AQ$56,"&gt;="&amp;37)))*CAPA3_EXPANSION!AQ$36)</f>
        <v>0</v>
      </c>
      <c r="AR44" s="298" t="n">
        <f aca="false">IF(COUNTIF(CAPA3_EXPANSION!$D$56:AR$56,"&gt;="&amp;37)=0,0,SUP_CONTROL!$C$8*IF($B44="V",1,IF($B44="D",(1+SUP_VOLUMEN!$C$26),(1+SUP_VOLUMEN!$C$27)))*INDEX(SUP_C3_EXPANSION!$C$6:$F$6,MIN(4,COUNTIF(CAPA3_EXPANSION!$D$56:AR$56,"&gt;="&amp;37)))*CAPA3_EXPANSION!AR$36)</f>
        <v>0</v>
      </c>
      <c r="AS44" s="298" t="n">
        <f aca="false">IF(COUNTIF(CAPA3_EXPANSION!$D$56:AS$56,"&gt;="&amp;37)=0,0,SUP_CONTROL!$C$8*IF($B44="V",1,IF($B44="D",(1+SUP_VOLUMEN!$C$26),(1+SUP_VOLUMEN!$C$27)))*INDEX(SUP_C3_EXPANSION!$C$6:$F$6,MIN(4,COUNTIF(CAPA3_EXPANSION!$D$56:AS$56,"&gt;="&amp;37)))*CAPA3_EXPANSION!AS$36)</f>
        <v>0</v>
      </c>
      <c r="AT44" s="298" t="n">
        <f aca="false">IF(COUNTIF(CAPA3_EXPANSION!$D$56:AT$56,"&gt;="&amp;37)=0,0,SUP_CONTROL!$C$8*IF($B44="V",1,IF($B44="D",(1+SUP_VOLUMEN!$C$26),(1+SUP_VOLUMEN!$C$27)))*INDEX(SUP_C3_EXPANSION!$C$6:$F$6,MIN(4,COUNTIF(CAPA3_EXPANSION!$D$56:AT$56,"&gt;="&amp;37)))*CAPA3_EXPANSION!AT$36)</f>
        <v>0</v>
      </c>
      <c r="AU44" s="298" t="n">
        <f aca="false">IF(COUNTIF(CAPA3_EXPANSION!$D$56:AU$56,"&gt;="&amp;37)=0,0,SUP_CONTROL!$C$8*IF($B44="V",1,IF($B44="D",(1+SUP_VOLUMEN!$C$26),(1+SUP_VOLUMEN!$C$27)))*INDEX(SUP_C3_EXPANSION!$C$6:$F$6,MIN(4,COUNTIF(CAPA3_EXPANSION!$D$56:AU$56,"&gt;="&amp;37)))*CAPA3_EXPANSION!AU$36)</f>
        <v>0</v>
      </c>
      <c r="AV44" s="298" t="n">
        <f aca="false">IF(COUNTIF(CAPA3_EXPANSION!$D$56:AV$56,"&gt;="&amp;37)=0,0,SUP_CONTROL!$C$8*IF($B44="V",1,IF($B44="D",(1+SUP_VOLUMEN!$C$26),(1+SUP_VOLUMEN!$C$27)))*INDEX(SUP_C3_EXPANSION!$C$6:$F$6,MIN(4,COUNTIF(CAPA3_EXPANSION!$D$56:AV$56,"&gt;="&amp;37)))*CAPA3_EXPANSION!AV$36)</f>
        <v>0</v>
      </c>
      <c r="AW44" s="298" t="n">
        <f aca="false">IF(COUNTIF(CAPA3_EXPANSION!$D$56:AW$56,"&gt;="&amp;37)=0,0,SUP_CONTROL!$C$8*IF($B44="V",1,IF($B44="D",(1+SUP_VOLUMEN!$C$26),(1+SUP_VOLUMEN!$C$27)))*INDEX(SUP_C3_EXPANSION!$C$6:$F$6,MIN(4,COUNTIF(CAPA3_EXPANSION!$D$56:AW$56,"&gt;="&amp;37)))*CAPA3_EXPANSION!AW$36)</f>
        <v>0</v>
      </c>
      <c r="AX44" s="298" t="n">
        <f aca="false">IF(COUNTIF(CAPA3_EXPANSION!$D$56:AX$56,"&gt;="&amp;37)=0,0,SUP_CONTROL!$C$8*IF($B44="V",1,IF($B44="D",(1+SUP_VOLUMEN!$C$26),(1+SUP_VOLUMEN!$C$27)))*INDEX(SUP_C3_EXPANSION!$C$6:$F$6,MIN(4,COUNTIF(CAPA3_EXPANSION!$D$56:AX$56,"&gt;="&amp;37)))*CAPA3_EXPANSION!AX$36)</f>
        <v>0</v>
      </c>
      <c r="AY44" s="298" t="n">
        <f aca="false">IF(COUNTIF(CAPA3_EXPANSION!$D$56:AY$56,"&gt;="&amp;37)=0,0,SUP_CONTROL!$C$8*IF($B44="V",1,IF($B44="D",(1+SUP_VOLUMEN!$C$26),(1+SUP_VOLUMEN!$C$27)))*INDEX(SUP_C3_EXPANSION!$C$6:$F$6,MIN(4,COUNTIF(CAPA3_EXPANSION!$D$56:AY$56,"&gt;="&amp;37)))*CAPA3_EXPANSION!AY$36)</f>
        <v>0</v>
      </c>
      <c r="AZ44" s="298" t="n">
        <f aca="false">IF(COUNTIF(CAPA3_EXPANSION!$D$56:AZ$56,"&gt;="&amp;37)=0,0,SUP_CONTROL!$C$8*IF($B44="V",1,IF($B44="D",(1+SUP_VOLUMEN!$C$26),(1+SUP_VOLUMEN!$C$27)))*INDEX(SUP_C3_EXPANSION!$C$6:$F$6,MIN(4,COUNTIF(CAPA3_EXPANSION!$D$56:AZ$56,"&gt;="&amp;37)))*CAPA3_EXPANSION!AZ$36)</f>
        <v>0</v>
      </c>
      <c r="BA44" s="298" t="n">
        <f aca="false">IF(COUNTIF(CAPA3_EXPANSION!$D$56:BA$56,"&gt;="&amp;37)=0,0,SUP_CONTROL!$C$8*IF($B44="V",1,IF($B44="D",(1+SUP_VOLUMEN!$C$26),(1+SUP_VOLUMEN!$C$27)))*INDEX(SUP_C3_EXPANSION!$C$6:$F$6,MIN(4,COUNTIF(CAPA3_EXPANSION!$D$56:BA$56,"&gt;="&amp;37)))*CAPA3_EXPANSION!BA$36)</f>
        <v>0</v>
      </c>
      <c r="BB44" s="298" t="n">
        <f aca="false">IF(COUNTIF(CAPA3_EXPANSION!$D$56:BB$56,"&gt;="&amp;37)=0,0,SUP_CONTROL!$C$8*IF($B44="V",1,IF($B44="D",(1+SUP_VOLUMEN!$C$26),(1+SUP_VOLUMEN!$C$27)))*INDEX(SUP_C3_EXPANSION!$C$6:$F$6,MIN(4,COUNTIF(CAPA3_EXPANSION!$D$56:BB$56,"&gt;="&amp;37)))*CAPA3_EXPANSION!BB$36)</f>
        <v>0</v>
      </c>
      <c r="BC44" s="298" t="n">
        <f aca="false">IF(COUNTIF(CAPA3_EXPANSION!$D$56:BC$56,"&gt;="&amp;37)=0,0,SUP_CONTROL!$C$8*IF($B44="V",1,IF($B44="D",(1+SUP_VOLUMEN!$C$26),(1+SUP_VOLUMEN!$C$27)))*INDEX(SUP_C3_EXPANSION!$C$6:$F$6,MIN(4,COUNTIF(CAPA3_EXPANSION!$D$56:BC$56,"&gt;="&amp;37)))*CAPA3_EXPANSION!BC$36)</f>
        <v>0</v>
      </c>
      <c r="BD44" s="298" t="n">
        <f aca="false">IF(COUNTIF(CAPA3_EXPANSION!$D$56:BD$56,"&gt;="&amp;37)=0,0,SUP_CONTROL!$C$8*IF($B44="V",1,IF($B44="D",(1+SUP_VOLUMEN!$C$26),(1+SUP_VOLUMEN!$C$27)))*INDEX(SUP_C3_EXPANSION!$C$6:$F$6,MIN(4,COUNTIF(CAPA3_EXPANSION!$D$56:BD$56,"&gt;="&amp;37)))*CAPA3_EXPANSION!BD$36)</f>
        <v>0</v>
      </c>
      <c r="BE44" s="298" t="n">
        <f aca="false">IF(COUNTIF(CAPA3_EXPANSION!$D$56:BE$56,"&gt;="&amp;37)=0,0,SUP_CONTROL!$C$8*IF($B44="V",1,IF($B44="D",(1+SUP_VOLUMEN!$C$26),(1+SUP_VOLUMEN!$C$27)))*INDEX(SUP_C3_EXPANSION!$C$6:$F$6,MIN(4,COUNTIF(CAPA3_EXPANSION!$D$56:BE$56,"&gt;="&amp;37)))*CAPA3_EXPANSION!BE$36)</f>
        <v>0</v>
      </c>
      <c r="BF44" s="298" t="n">
        <f aca="false">IF(COUNTIF(CAPA3_EXPANSION!$D$56:BF$56,"&gt;="&amp;37)=0,0,SUP_CONTROL!$C$8*IF($B44="V",1,IF($B44="D",(1+SUP_VOLUMEN!$C$26),(1+SUP_VOLUMEN!$C$27)))*INDEX(SUP_C3_EXPANSION!$C$6:$F$6,MIN(4,COUNTIF(CAPA3_EXPANSION!$D$56:BF$56,"&gt;="&amp;37)))*CAPA3_EXPANSION!BF$36)</f>
        <v>0</v>
      </c>
      <c r="BG44" s="298" t="n">
        <f aca="false">IF(COUNTIF(CAPA3_EXPANSION!$D$56:BG$56,"&gt;="&amp;37)=0,0,SUP_CONTROL!$C$8*IF($B44="V",1,IF($B44="D",(1+SUP_VOLUMEN!$C$26),(1+SUP_VOLUMEN!$C$27)))*INDEX(SUP_C3_EXPANSION!$C$6:$F$6,MIN(4,COUNTIF(CAPA3_EXPANSION!$D$56:BG$56,"&gt;="&amp;37)))*CAPA3_EXPANSION!BG$36)</f>
        <v>0</v>
      </c>
      <c r="BH44" s="298" t="n">
        <f aca="false">IF(COUNTIF(CAPA3_EXPANSION!$D$56:BH$56,"&gt;="&amp;37)=0,0,SUP_CONTROL!$C$8*IF($B44="V",1,IF($B44="D",(1+SUP_VOLUMEN!$C$26),(1+SUP_VOLUMEN!$C$27)))*INDEX(SUP_C3_EXPANSION!$C$6:$F$6,MIN(4,COUNTIF(CAPA3_EXPANSION!$D$56:BH$56,"&gt;="&amp;37)))*CAPA3_EXPANSION!BH$36)</f>
        <v>0</v>
      </c>
      <c r="BI44" s="298" t="n">
        <f aca="false">IF(COUNTIF(CAPA3_EXPANSION!$D$56:BI$56,"&gt;="&amp;37)=0,0,SUP_CONTROL!$C$8*IF($B44="V",1,IF($B44="D",(1+SUP_VOLUMEN!$C$26),(1+SUP_VOLUMEN!$C$27)))*INDEX(SUP_C3_EXPANSION!$C$6:$F$6,MIN(4,COUNTIF(CAPA3_EXPANSION!$D$56:BI$56,"&gt;="&amp;37)))*CAPA3_EXPANSION!BI$36)</f>
        <v>0</v>
      </c>
      <c r="BJ44" s="298" t="n">
        <f aca="false">IF(COUNTIF(CAPA3_EXPANSION!$D$56:BJ$56,"&gt;="&amp;37)=0,0,SUP_CONTROL!$C$8*IF($B44="V",1,IF($B44="D",(1+SUP_VOLUMEN!$C$26),(1+SUP_VOLUMEN!$C$27)))*INDEX(SUP_C3_EXPANSION!$C$6:$F$6,MIN(4,COUNTIF(CAPA3_EXPANSION!$D$56:BJ$56,"&gt;="&amp;37)))*CAPA3_EXPANSION!BJ$36)</f>
        <v>0</v>
      </c>
      <c r="BK44" s="298" t="n">
        <f aca="false">IF(COUNTIF(CAPA3_EXPANSION!$D$56:BK$56,"&gt;="&amp;37)=0,0,SUP_CONTROL!$C$8*IF($B44="V",1,IF($B44="D",(1+SUP_VOLUMEN!$C$26),(1+SUP_VOLUMEN!$C$27)))*INDEX(SUP_C3_EXPANSION!$C$6:$F$6,MIN(4,COUNTIF(CAPA3_EXPANSION!$D$56:BK$56,"&gt;="&amp;37)))*CAPA3_EXPANSION!BK$36)</f>
        <v>0</v>
      </c>
      <c r="BL44" s="298" t="n">
        <f aca="false">IF(COUNTIF(CAPA3_EXPANSION!$D$56:BL$56,"&gt;="&amp;37)=0,0,SUP_CONTROL!$C$8*IF($B44="V",1,IF($B44="D",(1+SUP_VOLUMEN!$C$26),(1+SUP_VOLUMEN!$C$27)))*INDEX(SUP_C3_EXPANSION!$C$6:$F$6,MIN(4,COUNTIF(CAPA3_EXPANSION!$D$56:BL$56,"&gt;="&amp;37)))*CAPA3_EXPANSION!BL$36)</f>
        <v>0</v>
      </c>
      <c r="BM44" s="298" t="n">
        <f aca="false">IF(COUNTIF(CAPA3_EXPANSION!$D$56:BM$56,"&gt;="&amp;37)=0,0,SUP_CONTROL!$C$8*IF($B44="V",1,IF($B44="D",(1+SUP_VOLUMEN!$C$26),(1+SUP_VOLUMEN!$C$27)))*INDEX(SUP_C3_EXPANSION!$C$6:$F$6,MIN(4,COUNTIF(CAPA3_EXPANSION!$D$56:BM$56,"&gt;="&amp;37)))*CAPA3_EXPANSION!BM$36)</f>
        <v>0</v>
      </c>
      <c r="BN44" s="298" t="n">
        <f aca="false">IF(COUNTIF(CAPA3_EXPANSION!$D$56:BN$56,"&gt;="&amp;37)=0,0,SUP_CONTROL!$C$8*IF($B44="V",1,IF($B44="D",(1+SUP_VOLUMEN!$C$26),(1+SUP_VOLUMEN!$C$27)))*INDEX(SUP_C3_EXPANSION!$C$6:$F$6,MIN(4,COUNTIF(CAPA3_EXPANSION!$D$56:BN$56,"&gt;="&amp;37)))*CAPA3_EXPANSION!BN$36)</f>
        <v>0</v>
      </c>
      <c r="BO44" s="298" t="n">
        <f aca="false">IF(COUNTIF(CAPA3_EXPANSION!$D$56:BO$56,"&gt;="&amp;37)=0,0,SUP_CONTROL!$C$8*IF($B44="V",1,IF($B44="D",(1+SUP_VOLUMEN!$C$26),(1+SUP_VOLUMEN!$C$27)))*INDEX(SUP_C3_EXPANSION!$C$6:$F$6,MIN(4,COUNTIF(CAPA3_EXPANSION!$D$56:BO$56,"&gt;="&amp;37)))*CAPA3_EXPANSION!BO$36)</f>
        <v>0</v>
      </c>
      <c r="BP44" s="298" t="n">
        <f aca="false">IF(COUNTIF(CAPA3_EXPANSION!$D$56:BP$56,"&gt;="&amp;37)=0,0,SUP_CONTROL!$C$8*IF($B44="V",1,IF($B44="D",(1+SUP_VOLUMEN!$C$26),(1+SUP_VOLUMEN!$C$27)))*INDEX(SUP_C3_EXPANSION!$C$6:$F$6,MIN(4,COUNTIF(CAPA3_EXPANSION!$D$56:BP$56,"&gt;="&amp;37)))*CAPA3_EXPANSION!BP$36)</f>
        <v>0</v>
      </c>
      <c r="BQ44" s="298" t="n">
        <f aca="false">IF(COUNTIF(CAPA3_EXPANSION!$D$56:BQ$56,"&gt;="&amp;37)=0,0,SUP_CONTROL!$C$8*IF($B44="V",1,IF($B44="D",(1+SUP_VOLUMEN!$C$26),(1+SUP_VOLUMEN!$C$27)))*INDEX(SUP_C3_EXPANSION!$C$6:$F$6,MIN(4,COUNTIF(CAPA3_EXPANSION!$D$56:BQ$56,"&gt;="&amp;37)))*CAPA3_EXPANSION!BQ$36)</f>
        <v>0</v>
      </c>
      <c r="BR44" s="298" t="n">
        <f aca="false">IF(COUNTIF(CAPA3_EXPANSION!$D$56:BR$56,"&gt;="&amp;37)=0,0,SUP_CONTROL!$C$8*IF($B44="V",1,IF($B44="D",(1+SUP_VOLUMEN!$C$26),(1+SUP_VOLUMEN!$C$27)))*INDEX(SUP_C3_EXPANSION!$C$6:$F$6,MIN(4,COUNTIF(CAPA3_EXPANSION!$D$56:BR$56,"&gt;="&amp;37)))*CAPA3_EXPANSION!BR$36)</f>
        <v>0</v>
      </c>
      <c r="BS44" s="298" t="n">
        <f aca="false">IF(COUNTIF(CAPA3_EXPANSION!$D$56:BS$56,"&gt;="&amp;37)=0,0,SUP_CONTROL!$C$8*IF($B44="V",1,IF($B44="D",(1+SUP_VOLUMEN!$C$26),(1+SUP_VOLUMEN!$C$27)))*INDEX(SUP_C3_EXPANSION!$C$6:$F$6,MIN(4,COUNTIF(CAPA3_EXPANSION!$D$56:BS$56,"&gt;="&amp;37)))*CAPA3_EXPANSION!BS$36)</f>
        <v>0</v>
      </c>
      <c r="BT44" s="298" t="n">
        <f aca="false">IF(COUNTIF(CAPA3_EXPANSION!$D$56:BT$56,"&gt;="&amp;37)=0,0,SUP_CONTROL!$C$8*IF($B44="V",1,IF($B44="D",(1+SUP_VOLUMEN!$C$26),(1+SUP_VOLUMEN!$C$27)))*INDEX(SUP_C3_EXPANSION!$C$6:$F$6,MIN(4,COUNTIF(CAPA3_EXPANSION!$D$56:BT$56,"&gt;="&amp;37)))*CAPA3_EXPANSION!BT$36)</f>
        <v>0</v>
      </c>
      <c r="BU44" s="298" t="n">
        <f aca="false">IF(COUNTIF(CAPA3_EXPANSION!$D$56:BU$56,"&gt;="&amp;37)=0,0,SUP_CONTROL!$C$8*IF($B44="V",1,IF($B44="D",(1+SUP_VOLUMEN!$C$26),(1+SUP_VOLUMEN!$C$27)))*INDEX(SUP_C3_EXPANSION!$C$6:$F$6,MIN(4,COUNTIF(CAPA3_EXPANSION!$D$56:BU$56,"&gt;="&amp;37)))*CAPA3_EXPANSION!BU$36)</f>
        <v>0</v>
      </c>
      <c r="BV44" s="298" t="n">
        <f aca="false">IF(COUNTIF(CAPA3_EXPANSION!$D$56:BV$56,"&gt;="&amp;37)=0,0,SUP_CONTROL!$C$8*IF($B44="V",1,IF($B44="D",(1+SUP_VOLUMEN!$C$26),(1+SUP_VOLUMEN!$C$27)))*INDEX(SUP_C3_EXPANSION!$C$6:$F$6,MIN(4,COUNTIF(CAPA3_EXPANSION!$D$56:BV$56,"&gt;="&amp;37)))*CAPA3_EXPANSION!BV$36)</f>
        <v>0</v>
      </c>
      <c r="BW44" s="298" t="n">
        <f aca="false">IF(COUNTIF(CAPA3_EXPANSION!$D$56:BW$56,"&gt;="&amp;37)=0,0,SUP_CONTROL!$C$8*IF($B44="V",1,IF($B44="D",(1+SUP_VOLUMEN!$C$26),(1+SUP_VOLUMEN!$C$27)))*INDEX(SUP_C3_EXPANSION!$C$6:$F$6,MIN(4,COUNTIF(CAPA3_EXPANSION!$D$56:BW$56,"&gt;="&amp;37)))*CAPA3_EXPANSION!BW$36)</f>
        <v>0</v>
      </c>
      <c r="BX44" s="298" t="n">
        <f aca="false">IF(COUNTIF(CAPA3_EXPANSION!$D$56:BX$56,"&gt;="&amp;37)=0,0,SUP_CONTROL!$C$8*IF($B44="V",1,IF($B44="D",(1+SUP_VOLUMEN!$C$26),(1+SUP_VOLUMEN!$C$27)))*INDEX(SUP_C3_EXPANSION!$C$6:$F$6,MIN(4,COUNTIF(CAPA3_EXPANSION!$D$56:BX$56,"&gt;="&amp;37)))*CAPA3_EXPANSION!BX$36)</f>
        <v>0</v>
      </c>
      <c r="BY44" s="298" t="n">
        <f aca="false">IF(COUNTIF(CAPA3_EXPANSION!$D$56:BY$56,"&gt;="&amp;37)=0,0,SUP_CONTROL!$C$8*IF($B44="V",1,IF($B44="D",(1+SUP_VOLUMEN!$C$26),(1+SUP_VOLUMEN!$C$27)))*INDEX(SUP_C3_EXPANSION!$C$6:$F$6,MIN(4,COUNTIF(CAPA3_EXPANSION!$D$56:BY$56,"&gt;="&amp;37)))*CAPA3_EXPANSION!BY$36)</f>
        <v>0</v>
      </c>
      <c r="BZ44" s="298" t="n">
        <f aca="false">IF(COUNTIF(CAPA3_EXPANSION!$D$56:BZ$56,"&gt;="&amp;37)=0,0,SUP_CONTROL!$C$8*IF($B44="V",1,IF($B44="D",(1+SUP_VOLUMEN!$C$26),(1+SUP_VOLUMEN!$C$27)))*INDEX(SUP_C3_EXPANSION!$C$6:$F$6,MIN(4,COUNTIF(CAPA3_EXPANSION!$D$56:BZ$56,"&gt;="&amp;37)))*CAPA3_EXPANSION!BZ$36)</f>
        <v>0</v>
      </c>
      <c r="CA44" s="298" t="n">
        <f aca="false">IF(COUNTIF(CAPA3_EXPANSION!$D$56:CA$56,"&gt;="&amp;37)=0,0,SUP_CONTROL!$C$8*IF($B44="V",1,IF($B44="D",(1+SUP_VOLUMEN!$C$26),(1+SUP_VOLUMEN!$C$27)))*INDEX(SUP_C3_EXPANSION!$C$6:$F$6,MIN(4,COUNTIF(CAPA3_EXPANSION!$D$56:CA$56,"&gt;="&amp;37)))*CAPA3_EXPANSION!CA$36)</f>
        <v>0</v>
      </c>
      <c r="CB44" s="298" t="n">
        <f aca="false">IF(COUNTIF(CAPA3_EXPANSION!$D$56:CB$56,"&gt;="&amp;37)=0,0,SUP_CONTROL!$C$8*IF($B44="V",1,IF($B44="D",(1+SUP_VOLUMEN!$C$26),(1+SUP_VOLUMEN!$C$27)))*INDEX(SUP_C3_EXPANSION!$C$6:$F$6,MIN(4,COUNTIF(CAPA3_EXPANSION!$D$56:CB$56,"&gt;="&amp;37)))*CAPA3_EXPANSION!CB$36)</f>
        <v>0</v>
      </c>
      <c r="CC44" s="298" t="n">
        <f aca="false">IF(COUNTIF(CAPA3_EXPANSION!$D$56:CC$56,"&gt;="&amp;37)=0,0,SUP_CONTROL!$C$8*IF($B44="V",1,IF($B44="D",(1+SUP_VOLUMEN!$C$26),(1+SUP_VOLUMEN!$C$27)))*INDEX(SUP_C3_EXPANSION!$C$6:$F$6,MIN(4,COUNTIF(CAPA3_EXPANSION!$D$56:CC$56,"&gt;="&amp;37)))*CAPA3_EXPANSION!CC$36)</f>
        <v>0</v>
      </c>
      <c r="CD44" s="298" t="n">
        <f aca="false">IF(COUNTIF(CAPA3_EXPANSION!$D$56:CD$56,"&gt;="&amp;37)=0,0,SUP_CONTROL!$C$8*IF($B44="V",1,IF($B44="D",(1+SUP_VOLUMEN!$C$26),(1+SUP_VOLUMEN!$C$27)))*INDEX(SUP_C3_EXPANSION!$C$6:$F$6,MIN(4,COUNTIF(CAPA3_EXPANSION!$D$56:CD$56,"&gt;="&amp;37)))*CAPA3_EXPANSION!CD$36)</f>
        <v>0</v>
      </c>
      <c r="CE44" s="298" t="n">
        <f aca="false">IF(COUNTIF(CAPA3_EXPANSION!$D$56:CE$56,"&gt;="&amp;37)=0,0,SUP_CONTROL!$C$8*IF($B44="V",1,IF($B44="D",(1+SUP_VOLUMEN!$C$26),(1+SUP_VOLUMEN!$C$27)))*INDEX(SUP_C3_EXPANSION!$C$6:$F$6,MIN(4,COUNTIF(CAPA3_EXPANSION!$D$56:CE$56,"&gt;="&amp;37)))*CAPA3_EXPANSION!CE$36)</f>
        <v>0</v>
      </c>
      <c r="CF44" s="298" t="n">
        <f aca="false">IF(COUNTIF(CAPA3_EXPANSION!$D$56:CF$56,"&gt;="&amp;37)=0,0,SUP_CONTROL!$C$8*IF($B44="V",1,IF($B44="D",(1+SUP_VOLUMEN!$C$26),(1+SUP_VOLUMEN!$C$27)))*INDEX(SUP_C3_EXPANSION!$C$6:$F$6,MIN(4,COUNTIF(CAPA3_EXPANSION!$D$56:CF$56,"&gt;="&amp;37)))*CAPA3_EXPANSION!CF$36)</f>
        <v>0</v>
      </c>
      <c r="CG44" s="298" t="n">
        <f aca="false">IF(COUNTIF(CAPA3_EXPANSION!$D$56:CG$56,"&gt;="&amp;37)=0,0,SUP_CONTROL!$C$8*IF($B44="V",1,IF($B44="D",(1+SUP_VOLUMEN!$C$26),(1+SUP_VOLUMEN!$C$27)))*INDEX(SUP_C3_EXPANSION!$C$6:$F$6,MIN(4,COUNTIF(CAPA3_EXPANSION!$D$56:CG$56,"&gt;="&amp;37)))*CAPA3_EXPANSION!CG$36)</f>
        <v>2293.2</v>
      </c>
      <c r="CH44" s="298" t="n">
        <f aca="false">IF(COUNTIF(CAPA3_EXPANSION!$D$56:CH$56,"&gt;="&amp;37)=0,0,SUP_CONTROL!$C$8*IF($B44="V",1,IF($B44="D",(1+SUP_VOLUMEN!$C$26),(1+SUP_VOLUMEN!$C$27)))*INDEX(SUP_C3_EXPANSION!$C$6:$F$6,MIN(4,COUNTIF(CAPA3_EXPANSION!$D$56:CH$56,"&gt;="&amp;37)))*CAPA3_EXPANSION!CH$36)</f>
        <v>2822.4</v>
      </c>
      <c r="CI44" s="298" t="n">
        <f aca="false">IF(COUNTIF(CAPA3_EXPANSION!$D$56:CI$56,"&gt;="&amp;37)=0,0,SUP_CONTROL!$C$8*IF($B44="V",1,IF($B44="D",(1+SUP_VOLUMEN!$C$26),(1+SUP_VOLUMEN!$C$27)))*INDEX(SUP_C3_EXPANSION!$C$6:$F$6,MIN(4,COUNTIF(CAPA3_EXPANSION!$D$56:CI$56,"&gt;="&amp;37)))*CAPA3_EXPANSION!CI$36)</f>
        <v>3175.2</v>
      </c>
      <c r="CJ44" s="298" t="n">
        <f aca="false">IF(COUNTIF(CAPA3_EXPANSION!$D$56:CJ$56,"&gt;="&amp;37)=0,0,SUP_CONTROL!$C$8*IF($B44="V",1,IF($B44="D",(1+SUP_VOLUMEN!$C$26),(1+SUP_VOLUMEN!$C$27)))*INDEX(SUP_C3_EXPANSION!$C$6:$F$6,MIN(4,COUNTIF(CAPA3_EXPANSION!$D$56:CJ$56,"&gt;="&amp;37)))*CAPA3_EXPANSION!CJ$36)</f>
        <v>3528</v>
      </c>
      <c r="CK44" s="298" t="n">
        <f aca="false">IF(COUNTIF(CAPA3_EXPANSION!$D$56:CK$56,"&gt;="&amp;37)=0,0,SUP_CONTROL!$C$8*IF($B44="V",1,IF($B44="D",(1+SUP_VOLUMEN!$C$26),(1+SUP_VOLUMEN!$C$27)))*INDEX(SUP_C3_EXPANSION!$C$6:$F$6,MIN(4,COUNTIF(CAPA3_EXPANSION!$D$56:CK$56,"&gt;="&amp;37)))*CAPA3_EXPANSION!CK$36)</f>
        <v>3528</v>
      </c>
      <c r="CL44" s="298" t="n">
        <f aca="false">IF(COUNTIF(CAPA3_EXPANSION!$D$56:CL$56,"&gt;="&amp;37)=0,0,SUP_CONTROL!$C$8*IF($B44="V",1,IF($B44="D",(1+SUP_VOLUMEN!$C$26),(1+SUP_VOLUMEN!$C$27)))*INDEX(SUP_C3_EXPANSION!$C$6:$F$6,MIN(4,COUNTIF(CAPA3_EXPANSION!$D$56:CL$56,"&gt;="&amp;37)))*CAPA3_EXPANSION!CL$36)</f>
        <v>3528</v>
      </c>
      <c r="CM44" s="298" t="n">
        <f aca="false">IF(COUNTIF(CAPA3_EXPANSION!$D$56:CM$56,"&gt;="&amp;37)=0,0,SUP_CONTROL!$C$8*IF($B44="V",1,IF($B44="D",(1+SUP_VOLUMEN!$C$26),(1+SUP_VOLUMEN!$C$27)))*INDEX(SUP_C3_EXPANSION!$C$6:$F$6,MIN(4,COUNTIF(CAPA3_EXPANSION!$D$56:CM$56,"&gt;="&amp;37)))*CAPA3_EXPANSION!CM$36)</f>
        <v>3528</v>
      </c>
      <c r="CN44" s="298" t="n">
        <f aca="false">IF(COUNTIF(CAPA3_EXPANSION!$D$56:CN$56,"&gt;="&amp;37)=0,0,SUP_CONTROL!$C$8*IF($B44="V",1,IF($B44="D",(1+SUP_VOLUMEN!$C$26),(1+SUP_VOLUMEN!$C$27)))*INDEX(SUP_C3_EXPANSION!$C$6:$F$6,MIN(4,COUNTIF(CAPA3_EXPANSION!$D$56:CN$56,"&gt;="&amp;37)))*CAPA3_EXPANSION!CN$36)</f>
        <v>3528</v>
      </c>
      <c r="CO44" s="298" t="n">
        <f aca="false">IF(COUNTIF(CAPA3_EXPANSION!$D$56:CO$56,"&gt;="&amp;37)=0,0,SUP_CONTROL!$C$8*IF($B44="V",1,IF($B44="D",(1+SUP_VOLUMEN!$C$26),(1+SUP_VOLUMEN!$C$27)))*INDEX(SUP_C3_EXPANSION!$C$6:$F$6,MIN(4,COUNTIF(CAPA3_EXPANSION!$D$56:CO$56,"&gt;="&amp;37)))*CAPA3_EXPANSION!CO$36)</f>
        <v>3528</v>
      </c>
      <c r="CP44" s="298" t="n">
        <f aca="false">IF(COUNTIF(CAPA3_EXPANSION!$D$56:CP$56,"&gt;="&amp;37)=0,0,SUP_CONTROL!$C$8*IF($B44="V",1,IF($B44="D",(1+SUP_VOLUMEN!$C$26),(1+SUP_VOLUMEN!$C$27)))*INDEX(SUP_C3_EXPANSION!$C$6:$F$6,MIN(4,COUNTIF(CAPA3_EXPANSION!$D$56:CP$56,"&gt;="&amp;37)))*CAPA3_EXPANSION!CP$36)</f>
        <v>3528</v>
      </c>
      <c r="CQ44" s="298" t="n">
        <f aca="false">IF(COUNTIF(CAPA3_EXPANSION!$D$56:CQ$56,"&gt;="&amp;37)=0,0,SUP_CONTROL!$C$8*IF($B44="V",1,IF($B44="D",(1+SUP_VOLUMEN!$C$26),(1+SUP_VOLUMEN!$C$27)))*INDEX(SUP_C3_EXPANSION!$C$6:$F$6,MIN(4,COUNTIF(CAPA3_EXPANSION!$D$56:CQ$56,"&gt;="&amp;37)))*CAPA3_EXPANSION!CQ$36)</f>
        <v>3528</v>
      </c>
      <c r="CR44" s="298" t="n">
        <f aca="false">IF(COUNTIF(CAPA3_EXPANSION!$D$56:CR$56,"&gt;="&amp;37)=0,0,SUP_CONTROL!$C$8*IF($B44="V",1,IF($B44="D",(1+SUP_VOLUMEN!$C$26),(1+SUP_VOLUMEN!$C$27)))*INDEX(SUP_C3_EXPANSION!$C$6:$F$6,MIN(4,COUNTIF(CAPA3_EXPANSION!$D$56:CR$56,"&gt;="&amp;37)))*CAPA3_EXPANSION!CR$36)</f>
        <v>3528</v>
      </c>
      <c r="CS44" s="298" t="n">
        <f aca="false">IF(COUNTIF(CAPA3_EXPANSION!$D$56:CS$56,"&gt;="&amp;37)=0,0,SUP_CONTROL!$C$8*IF($B44="V",1,IF($B44="D",(1+SUP_VOLUMEN!$C$26),(1+SUP_VOLUMEN!$C$27)))*INDEX(SUP_C3_EXPANSION!$C$6:$F$6,MIN(4,COUNTIF(CAPA3_EXPANSION!$D$56:CS$56,"&gt;="&amp;37)))*CAPA3_EXPANSION!CS$36)</f>
        <v>3528</v>
      </c>
      <c r="CT44" s="298" t="n">
        <f aca="false">IF(COUNTIF(CAPA3_EXPANSION!$D$56:CT$56,"&gt;="&amp;37)=0,0,SUP_CONTROL!$C$8*IF($B44="V",1,IF($B44="D",(1+SUP_VOLUMEN!$C$26),(1+SUP_VOLUMEN!$C$27)))*INDEX(SUP_C3_EXPANSION!$C$6:$F$6,MIN(4,COUNTIF(CAPA3_EXPANSION!$D$56:CT$56,"&gt;="&amp;37)))*CAPA3_EXPANSION!CT$36)</f>
        <v>3528</v>
      </c>
      <c r="CU44" s="298" t="n">
        <f aca="false">IF(COUNTIF(CAPA3_EXPANSION!$D$56:CU$56,"&gt;="&amp;37)=0,0,SUP_CONTROL!$C$8*IF($B44="V",1,IF($B44="D",(1+SUP_VOLUMEN!$C$26),(1+SUP_VOLUMEN!$C$27)))*INDEX(SUP_C3_EXPANSION!$C$6:$F$6,MIN(4,COUNTIF(CAPA3_EXPANSION!$D$56:CU$56,"&gt;="&amp;37)))*CAPA3_EXPANSION!CU$36)</f>
        <v>3528</v>
      </c>
      <c r="CV44" s="298" t="n">
        <f aca="false">IF(COUNTIF(CAPA3_EXPANSION!$D$56:CV$56,"&gt;="&amp;37)=0,0,SUP_CONTROL!$C$8*IF($B44="V",1,IF($B44="D",(1+SUP_VOLUMEN!$C$26),(1+SUP_VOLUMEN!$C$27)))*INDEX(SUP_C3_EXPANSION!$C$6:$F$6,MIN(4,COUNTIF(CAPA3_EXPANSION!$D$56:CV$56,"&gt;="&amp;37)))*CAPA3_EXPANSION!CV$36)</f>
        <v>3528</v>
      </c>
      <c r="CW44" s="298" t="n">
        <f aca="false">IF(COUNTIF(CAPA3_EXPANSION!$D$56:CW$56,"&gt;="&amp;37)=0,0,SUP_CONTROL!$C$8*IF($B44="V",1,IF($B44="D",(1+SUP_VOLUMEN!$C$26),(1+SUP_VOLUMEN!$C$27)))*INDEX(SUP_C3_EXPANSION!$C$6:$F$6,MIN(4,COUNTIF(CAPA3_EXPANSION!$D$56:CW$56,"&gt;="&amp;37)))*CAPA3_EXPANSION!CW$36)</f>
        <v>3528</v>
      </c>
      <c r="CX44" s="298" t="n">
        <f aca="false">IF(COUNTIF(CAPA3_EXPANSION!$D$56:CX$56,"&gt;="&amp;37)=0,0,SUP_CONTROL!$C$8*IF($B44="V",1,IF($B44="D",(1+SUP_VOLUMEN!$C$26),(1+SUP_VOLUMEN!$C$27)))*INDEX(SUP_C3_EXPANSION!$C$6:$F$6,MIN(4,COUNTIF(CAPA3_EXPANSION!$D$56:CX$56,"&gt;="&amp;37)))*CAPA3_EXPANSION!CX$36)</f>
        <v>3528</v>
      </c>
      <c r="CY44" s="298" t="n">
        <f aca="false">IF(COUNTIF(CAPA3_EXPANSION!$D$56:CY$56,"&gt;="&amp;37)=0,0,SUP_CONTROL!$C$8*IF($B44="V",1,IF($B44="D",(1+SUP_VOLUMEN!$C$26),(1+SUP_VOLUMEN!$C$27)))*INDEX(SUP_C3_EXPANSION!$C$6:$F$6,MIN(4,COUNTIF(CAPA3_EXPANSION!$D$56:CY$56,"&gt;="&amp;37)))*CAPA3_EXPANSION!CY$36)</f>
        <v>3528</v>
      </c>
      <c r="CZ44" s="298" t="n">
        <f aca="false">IF(COUNTIF(CAPA3_EXPANSION!$D$56:CZ$56,"&gt;="&amp;37)=0,0,SUP_CONTROL!$C$8*IF($B44="V",1,IF($B44="D",(1+SUP_VOLUMEN!$C$26),(1+SUP_VOLUMEN!$C$27)))*INDEX(SUP_C3_EXPANSION!$C$6:$F$6,MIN(4,COUNTIF(CAPA3_EXPANSION!$D$56:CZ$56,"&gt;="&amp;37)))*CAPA3_EXPANSION!CZ$36)</f>
        <v>3528</v>
      </c>
      <c r="DA44" s="298" t="n">
        <f aca="false">IF(COUNTIF(CAPA3_EXPANSION!$D$56:DA$56,"&gt;="&amp;37)=0,0,SUP_CONTROL!$C$8*IF($B44="V",1,IF($B44="D",(1+SUP_VOLUMEN!$C$26),(1+SUP_VOLUMEN!$C$27)))*INDEX(SUP_C3_EXPANSION!$C$6:$F$6,MIN(4,COUNTIF(CAPA3_EXPANSION!$D$56:DA$56,"&gt;="&amp;37)))*CAPA3_EXPANSION!DA$36)</f>
        <v>3528</v>
      </c>
      <c r="DB44" s="298" t="n">
        <f aca="false">IF(COUNTIF(CAPA3_EXPANSION!$D$56:DB$56,"&gt;="&amp;37)=0,0,SUP_CONTROL!$C$8*IF($B44="V",1,IF($B44="D",(1+SUP_VOLUMEN!$C$26),(1+SUP_VOLUMEN!$C$27)))*INDEX(SUP_C3_EXPANSION!$C$6:$F$6,MIN(4,COUNTIF(CAPA3_EXPANSION!$D$56:DB$56,"&gt;="&amp;37)))*CAPA3_EXPANSION!DB$36)</f>
        <v>3528</v>
      </c>
      <c r="DC44" s="298" t="n">
        <f aca="false">IF(COUNTIF(CAPA3_EXPANSION!$D$56:DC$56,"&gt;="&amp;37)=0,0,SUP_CONTROL!$C$8*IF($B44="V",1,IF($B44="D",(1+SUP_VOLUMEN!$C$26),(1+SUP_VOLUMEN!$C$27)))*INDEX(SUP_C3_EXPANSION!$C$6:$F$6,MIN(4,COUNTIF(CAPA3_EXPANSION!$D$56:DC$56,"&gt;="&amp;37)))*CAPA3_EXPANSION!DC$36)</f>
        <v>3528</v>
      </c>
      <c r="DD44" s="298" t="n">
        <f aca="false">IF(COUNTIF(CAPA3_EXPANSION!$D$56:DD$56,"&gt;="&amp;37)=0,0,SUP_CONTROL!$C$8*IF($B44="V",1,IF($B44="D",(1+SUP_VOLUMEN!$C$26),(1+SUP_VOLUMEN!$C$27)))*INDEX(SUP_C3_EXPANSION!$C$6:$F$6,MIN(4,COUNTIF(CAPA3_EXPANSION!$D$56:DD$56,"&gt;="&amp;37)))*CAPA3_EXPANSION!DD$36)</f>
        <v>3528</v>
      </c>
      <c r="DE44" s="298" t="n">
        <f aca="false">IF(COUNTIF(CAPA3_EXPANSION!$D$56:DE$56,"&gt;="&amp;37)=0,0,SUP_CONTROL!$C$8*IF($B44="V",1,IF($B44="D",(1+SUP_VOLUMEN!$C$26),(1+SUP_VOLUMEN!$C$27)))*INDEX(SUP_C3_EXPANSION!$C$6:$F$6,MIN(4,COUNTIF(CAPA3_EXPANSION!$D$56:DE$56,"&gt;="&amp;37)))*CAPA3_EXPANSION!DE$36)</f>
        <v>3528</v>
      </c>
      <c r="DF44" s="298" t="n">
        <f aca="false">IF(COUNTIF(CAPA3_EXPANSION!$D$56:DF$56,"&gt;="&amp;37)=0,0,SUP_CONTROL!$C$8*IF($B44="V",1,IF($B44="D",(1+SUP_VOLUMEN!$C$26),(1+SUP_VOLUMEN!$C$27)))*INDEX(SUP_C3_EXPANSION!$C$6:$F$6,MIN(4,COUNTIF(CAPA3_EXPANSION!$D$56:DF$56,"&gt;="&amp;37)))*CAPA3_EXPANSION!DF$36)</f>
        <v>3528</v>
      </c>
      <c r="DG44" s="298" t="n">
        <f aca="false">IF(COUNTIF(CAPA3_EXPANSION!$D$56:DG$56,"&gt;="&amp;37)=0,0,SUP_CONTROL!$C$8*IF($B44="V",1,IF($B44="D",(1+SUP_VOLUMEN!$C$26),(1+SUP_VOLUMEN!$C$27)))*INDEX(SUP_C3_EXPANSION!$C$6:$F$6,MIN(4,COUNTIF(CAPA3_EXPANSION!$D$56:DG$56,"&gt;="&amp;37)))*CAPA3_EXPANSION!DG$36)</f>
        <v>3528</v>
      </c>
      <c r="DH44" s="298" t="n">
        <f aca="false">IF(COUNTIF(CAPA3_EXPANSION!$D$56:DH$56,"&gt;="&amp;37)=0,0,SUP_CONTROL!$C$8*IF($B44="V",1,IF($B44="D",(1+SUP_VOLUMEN!$C$26),(1+SUP_VOLUMEN!$C$27)))*INDEX(SUP_C3_EXPANSION!$C$6:$F$6,MIN(4,COUNTIF(CAPA3_EXPANSION!$D$56:DH$56,"&gt;="&amp;37)))*CAPA3_EXPANSION!DH$36)</f>
        <v>3528</v>
      </c>
      <c r="DI44" s="298" t="n">
        <f aca="false">IF(COUNTIF(CAPA3_EXPANSION!$D$56:DI$56,"&gt;="&amp;37)=0,0,SUP_CONTROL!$C$8*IF($B44="V",1,IF($B44="D",(1+SUP_VOLUMEN!$C$26),(1+SUP_VOLUMEN!$C$27)))*INDEX(SUP_C3_EXPANSION!$C$6:$F$6,MIN(4,COUNTIF(CAPA3_EXPANSION!$D$56:DI$56,"&gt;="&amp;37)))*CAPA3_EXPANSION!DI$36)</f>
        <v>3528</v>
      </c>
      <c r="DJ44" s="298" t="n">
        <f aca="false">IF(COUNTIF(CAPA3_EXPANSION!$D$56:DJ$56,"&gt;="&amp;37)=0,0,SUP_CONTROL!$C$8*IF($B44="V",1,IF($B44="D",(1+SUP_VOLUMEN!$C$26),(1+SUP_VOLUMEN!$C$27)))*INDEX(SUP_C3_EXPANSION!$C$6:$F$6,MIN(4,COUNTIF(CAPA3_EXPANSION!$D$56:DJ$56,"&gt;="&amp;37)))*CAPA3_EXPANSION!DJ$36)</f>
        <v>3528</v>
      </c>
      <c r="DK44" s="298" t="n">
        <f aca="false">IF(COUNTIF(CAPA3_EXPANSION!$D$56:DK$56,"&gt;="&amp;37)=0,0,SUP_CONTROL!$C$8*IF($B44="V",1,IF($B44="D",(1+SUP_VOLUMEN!$C$26),(1+SUP_VOLUMEN!$C$27)))*INDEX(SUP_C3_EXPANSION!$C$6:$F$6,MIN(4,COUNTIF(CAPA3_EXPANSION!$D$56:DK$56,"&gt;="&amp;37)))*CAPA3_EXPANSION!DK$36)</f>
        <v>3528</v>
      </c>
      <c r="DL44" s="298" t="n">
        <f aca="false">IF(COUNTIF(CAPA3_EXPANSION!$D$56:DL$56,"&gt;="&amp;37)=0,0,SUP_CONTROL!$C$8*IF($B44="V",1,IF($B44="D",(1+SUP_VOLUMEN!$C$26),(1+SUP_VOLUMEN!$C$27)))*INDEX(SUP_C3_EXPANSION!$C$6:$F$6,MIN(4,COUNTIF(CAPA3_EXPANSION!$D$56:DL$56,"&gt;="&amp;37)))*CAPA3_EXPANSION!DL$36)</f>
        <v>3528</v>
      </c>
      <c r="DM44" s="298" t="n">
        <f aca="false">IF(COUNTIF(CAPA3_EXPANSION!$D$56:DM$56,"&gt;="&amp;37)=0,0,SUP_CONTROL!$C$8*IF($B44="V",1,IF($B44="D",(1+SUP_VOLUMEN!$C$26),(1+SUP_VOLUMEN!$C$27)))*INDEX(SUP_C3_EXPANSION!$C$6:$F$6,MIN(4,COUNTIF(CAPA3_EXPANSION!$D$56:DM$56,"&gt;="&amp;37)))*CAPA3_EXPANSION!DM$36)</f>
        <v>3528</v>
      </c>
      <c r="DN44" s="298" t="n">
        <f aca="false">IF(COUNTIF(CAPA3_EXPANSION!$D$56:DN$56,"&gt;="&amp;37)=0,0,SUP_CONTROL!$C$8*IF($B44="V",1,IF($B44="D",(1+SUP_VOLUMEN!$C$26),(1+SUP_VOLUMEN!$C$27)))*INDEX(SUP_C3_EXPANSION!$C$6:$F$6,MIN(4,COUNTIF(CAPA3_EXPANSION!$D$56:DN$56,"&gt;="&amp;37)))*CAPA3_EXPANSION!DN$36)</f>
        <v>3528</v>
      </c>
      <c r="DO44" s="298" t="n">
        <f aca="false">IF(COUNTIF(CAPA3_EXPANSION!$D$56:DO$56,"&gt;="&amp;37)=0,0,SUP_CONTROL!$C$8*IF($B44="V",1,IF($B44="D",(1+SUP_VOLUMEN!$C$26),(1+SUP_VOLUMEN!$C$27)))*INDEX(SUP_C3_EXPANSION!$C$6:$F$6,MIN(4,COUNTIF(CAPA3_EXPANSION!$D$56:DO$56,"&gt;="&amp;37)))*CAPA3_EXPANSION!DO$36)</f>
        <v>3528</v>
      </c>
      <c r="DP44" s="298" t="n">
        <f aca="false">IF(COUNTIF(CAPA3_EXPANSION!$D$56:DP$56,"&gt;="&amp;37)=0,0,SUP_CONTROL!$C$8*IF($B44="V",1,IF($B44="D",(1+SUP_VOLUMEN!$C$26),(1+SUP_VOLUMEN!$C$27)))*INDEX(SUP_C3_EXPANSION!$C$6:$F$6,MIN(4,COUNTIF(CAPA3_EXPANSION!$D$56:DP$56,"&gt;="&amp;37)))*CAPA3_EXPANSION!DP$36)</f>
        <v>3528</v>
      </c>
      <c r="DQ44" s="298" t="n">
        <f aca="false">IF(COUNTIF(CAPA3_EXPANSION!$D$56:DQ$56,"&gt;="&amp;37)=0,0,SUP_CONTROL!$C$8*IF($B44="V",1,IF($B44="D",(1+SUP_VOLUMEN!$C$26),(1+SUP_VOLUMEN!$C$27)))*INDEX(SUP_C3_EXPANSION!$C$6:$F$6,MIN(4,COUNTIF(CAPA3_EXPANSION!$D$56:DQ$56,"&gt;="&amp;37)))*CAPA3_EXPANSION!DQ$36)</f>
        <v>3528</v>
      </c>
      <c r="DR44" s="298" t="n">
        <f aca="false">IF(COUNTIF(CAPA3_EXPANSION!$D$56:DR$56,"&gt;="&amp;37)=0,0,SUP_CONTROL!$C$8*IF($B44="V",1,IF($B44="D",(1+SUP_VOLUMEN!$C$26),(1+SUP_VOLUMEN!$C$27)))*INDEX(SUP_C3_EXPANSION!$C$6:$F$6,MIN(4,COUNTIF(CAPA3_EXPANSION!$D$56:DR$56,"&gt;="&amp;37)))*CAPA3_EXPANSION!DR$36)</f>
        <v>3528</v>
      </c>
      <c r="DS44" s="298" t="n">
        <f aca="false">IF(COUNTIF(CAPA3_EXPANSION!$D$56:DS$56,"&gt;="&amp;37)=0,0,SUP_CONTROL!$C$8*IF($B44="V",1,IF($B44="D",(1+SUP_VOLUMEN!$C$26),(1+SUP_VOLUMEN!$C$27)))*INDEX(SUP_C3_EXPANSION!$C$6:$F$6,MIN(4,COUNTIF(CAPA3_EXPANSION!$D$56:DS$56,"&gt;="&amp;37)))*CAPA3_EXPANSION!DS$36)</f>
        <v>3528</v>
      </c>
    </row>
    <row r="45" customFormat="false" ht="15" hidden="false" customHeight="true" outlineLevel="0" collapsed="false">
      <c r="A45" s="298" t="n">
        <v>48</v>
      </c>
      <c r="B45" s="497" t="str">
        <f aca="false">SUP_C3_EXPANSION!B57</f>
        <v>D</v>
      </c>
      <c r="C45" s="267" t="n">
        <f aca="false">SUP_C3_EXPANSION!G57</f>
        <v>80</v>
      </c>
      <c r="D45" s="298" t="n">
        <f aca="false">IF(COUNTIF(CAPA3_EXPANSION!$D$56:D$56,"&gt;="&amp;38)=0,0,SUP_CONTROL!$C$8*IF($B45="V",1,IF($B45="D",(1+SUP_VOLUMEN!$C$26),(1+SUP_VOLUMEN!$C$27)))*INDEX(SUP_C3_EXPANSION!$C$6:$F$6,MIN(4,COUNTIF(CAPA3_EXPANSION!$D$56:D$56,"&gt;="&amp;38)))*CAPA3_EXPANSION!D$36)</f>
        <v>0</v>
      </c>
      <c r="E45" s="298" t="n">
        <f aca="false">IF(COUNTIF(CAPA3_EXPANSION!$D$56:E$56,"&gt;="&amp;38)=0,0,SUP_CONTROL!$C$8*IF($B45="V",1,IF($B45="D",(1+SUP_VOLUMEN!$C$26),(1+SUP_VOLUMEN!$C$27)))*INDEX(SUP_C3_EXPANSION!$C$6:$F$6,MIN(4,COUNTIF(CAPA3_EXPANSION!$D$56:E$56,"&gt;="&amp;38)))*CAPA3_EXPANSION!E$36)</f>
        <v>0</v>
      </c>
      <c r="F45" s="298" t="n">
        <f aca="false">IF(COUNTIF(CAPA3_EXPANSION!$D$56:F$56,"&gt;="&amp;38)=0,0,SUP_CONTROL!$C$8*IF($B45="V",1,IF($B45="D",(1+SUP_VOLUMEN!$C$26),(1+SUP_VOLUMEN!$C$27)))*INDEX(SUP_C3_EXPANSION!$C$6:$F$6,MIN(4,COUNTIF(CAPA3_EXPANSION!$D$56:F$56,"&gt;="&amp;38)))*CAPA3_EXPANSION!F$36)</f>
        <v>0</v>
      </c>
      <c r="G45" s="298" t="n">
        <f aca="false">IF(COUNTIF(CAPA3_EXPANSION!$D$56:G$56,"&gt;="&amp;38)=0,0,SUP_CONTROL!$C$8*IF($B45="V",1,IF($B45="D",(1+SUP_VOLUMEN!$C$26),(1+SUP_VOLUMEN!$C$27)))*INDEX(SUP_C3_EXPANSION!$C$6:$F$6,MIN(4,COUNTIF(CAPA3_EXPANSION!$D$56:G$56,"&gt;="&amp;38)))*CAPA3_EXPANSION!G$36)</f>
        <v>0</v>
      </c>
      <c r="H45" s="298" t="n">
        <f aca="false">IF(COUNTIF(CAPA3_EXPANSION!$D$56:H$56,"&gt;="&amp;38)=0,0,SUP_CONTROL!$C$8*IF($B45="V",1,IF($B45="D",(1+SUP_VOLUMEN!$C$26),(1+SUP_VOLUMEN!$C$27)))*INDEX(SUP_C3_EXPANSION!$C$6:$F$6,MIN(4,COUNTIF(CAPA3_EXPANSION!$D$56:H$56,"&gt;="&amp;38)))*CAPA3_EXPANSION!H$36)</f>
        <v>0</v>
      </c>
      <c r="I45" s="298" t="n">
        <f aca="false">IF(COUNTIF(CAPA3_EXPANSION!$D$56:I$56,"&gt;="&amp;38)=0,0,SUP_CONTROL!$C$8*IF($B45="V",1,IF($B45="D",(1+SUP_VOLUMEN!$C$26),(1+SUP_VOLUMEN!$C$27)))*INDEX(SUP_C3_EXPANSION!$C$6:$F$6,MIN(4,COUNTIF(CAPA3_EXPANSION!$D$56:I$56,"&gt;="&amp;38)))*CAPA3_EXPANSION!I$36)</f>
        <v>0</v>
      </c>
      <c r="J45" s="298" t="n">
        <f aca="false">IF(COUNTIF(CAPA3_EXPANSION!$D$56:J$56,"&gt;="&amp;38)=0,0,SUP_CONTROL!$C$8*IF($B45="V",1,IF($B45="D",(1+SUP_VOLUMEN!$C$26),(1+SUP_VOLUMEN!$C$27)))*INDEX(SUP_C3_EXPANSION!$C$6:$F$6,MIN(4,COUNTIF(CAPA3_EXPANSION!$D$56:J$56,"&gt;="&amp;38)))*CAPA3_EXPANSION!J$36)</f>
        <v>0</v>
      </c>
      <c r="K45" s="298" t="n">
        <f aca="false">IF(COUNTIF(CAPA3_EXPANSION!$D$56:K$56,"&gt;="&amp;38)=0,0,SUP_CONTROL!$C$8*IF($B45="V",1,IF($B45="D",(1+SUP_VOLUMEN!$C$26),(1+SUP_VOLUMEN!$C$27)))*INDEX(SUP_C3_EXPANSION!$C$6:$F$6,MIN(4,COUNTIF(CAPA3_EXPANSION!$D$56:K$56,"&gt;="&amp;38)))*CAPA3_EXPANSION!K$36)</f>
        <v>0</v>
      </c>
      <c r="L45" s="298" t="n">
        <f aca="false">IF(COUNTIF(CAPA3_EXPANSION!$D$56:L$56,"&gt;="&amp;38)=0,0,SUP_CONTROL!$C$8*IF($B45="V",1,IF($B45="D",(1+SUP_VOLUMEN!$C$26),(1+SUP_VOLUMEN!$C$27)))*INDEX(SUP_C3_EXPANSION!$C$6:$F$6,MIN(4,COUNTIF(CAPA3_EXPANSION!$D$56:L$56,"&gt;="&amp;38)))*CAPA3_EXPANSION!L$36)</f>
        <v>0</v>
      </c>
      <c r="M45" s="298" t="n">
        <f aca="false">IF(COUNTIF(CAPA3_EXPANSION!$D$56:M$56,"&gt;="&amp;38)=0,0,SUP_CONTROL!$C$8*IF($B45="V",1,IF($B45="D",(1+SUP_VOLUMEN!$C$26),(1+SUP_VOLUMEN!$C$27)))*INDEX(SUP_C3_EXPANSION!$C$6:$F$6,MIN(4,COUNTIF(CAPA3_EXPANSION!$D$56:M$56,"&gt;="&amp;38)))*CAPA3_EXPANSION!M$36)</f>
        <v>0</v>
      </c>
      <c r="N45" s="298" t="n">
        <f aca="false">IF(COUNTIF(CAPA3_EXPANSION!$D$56:N$56,"&gt;="&amp;38)=0,0,SUP_CONTROL!$C$8*IF($B45="V",1,IF($B45="D",(1+SUP_VOLUMEN!$C$26),(1+SUP_VOLUMEN!$C$27)))*INDEX(SUP_C3_EXPANSION!$C$6:$F$6,MIN(4,COUNTIF(CAPA3_EXPANSION!$D$56:N$56,"&gt;="&amp;38)))*CAPA3_EXPANSION!N$36)</f>
        <v>0</v>
      </c>
      <c r="O45" s="298" t="n">
        <f aca="false">IF(COUNTIF(CAPA3_EXPANSION!$D$56:O$56,"&gt;="&amp;38)=0,0,SUP_CONTROL!$C$8*IF($B45="V",1,IF($B45="D",(1+SUP_VOLUMEN!$C$26),(1+SUP_VOLUMEN!$C$27)))*INDEX(SUP_C3_EXPANSION!$C$6:$F$6,MIN(4,COUNTIF(CAPA3_EXPANSION!$D$56:O$56,"&gt;="&amp;38)))*CAPA3_EXPANSION!O$36)</f>
        <v>0</v>
      </c>
      <c r="P45" s="298" t="n">
        <f aca="false">IF(COUNTIF(CAPA3_EXPANSION!$D$56:P$56,"&gt;="&amp;38)=0,0,SUP_CONTROL!$C$8*IF($B45="V",1,IF($B45="D",(1+SUP_VOLUMEN!$C$26),(1+SUP_VOLUMEN!$C$27)))*INDEX(SUP_C3_EXPANSION!$C$6:$F$6,MIN(4,COUNTIF(CAPA3_EXPANSION!$D$56:P$56,"&gt;="&amp;38)))*CAPA3_EXPANSION!P$36)</f>
        <v>0</v>
      </c>
      <c r="Q45" s="298" t="n">
        <f aca="false">IF(COUNTIF(CAPA3_EXPANSION!$D$56:Q$56,"&gt;="&amp;38)=0,0,SUP_CONTROL!$C$8*IF($B45="V",1,IF($B45="D",(1+SUP_VOLUMEN!$C$26),(1+SUP_VOLUMEN!$C$27)))*INDEX(SUP_C3_EXPANSION!$C$6:$F$6,MIN(4,COUNTIF(CAPA3_EXPANSION!$D$56:Q$56,"&gt;="&amp;38)))*CAPA3_EXPANSION!Q$36)</f>
        <v>0</v>
      </c>
      <c r="R45" s="298" t="n">
        <f aca="false">IF(COUNTIF(CAPA3_EXPANSION!$D$56:R$56,"&gt;="&amp;38)=0,0,SUP_CONTROL!$C$8*IF($B45="V",1,IF($B45="D",(1+SUP_VOLUMEN!$C$26),(1+SUP_VOLUMEN!$C$27)))*INDEX(SUP_C3_EXPANSION!$C$6:$F$6,MIN(4,COUNTIF(CAPA3_EXPANSION!$D$56:R$56,"&gt;="&amp;38)))*CAPA3_EXPANSION!R$36)</f>
        <v>0</v>
      </c>
      <c r="S45" s="298" t="n">
        <f aca="false">IF(COUNTIF(CAPA3_EXPANSION!$D$56:S$56,"&gt;="&amp;38)=0,0,SUP_CONTROL!$C$8*IF($B45="V",1,IF($B45="D",(1+SUP_VOLUMEN!$C$26),(1+SUP_VOLUMEN!$C$27)))*INDEX(SUP_C3_EXPANSION!$C$6:$F$6,MIN(4,COUNTIF(CAPA3_EXPANSION!$D$56:S$56,"&gt;="&amp;38)))*CAPA3_EXPANSION!S$36)</f>
        <v>0</v>
      </c>
      <c r="T45" s="298" t="n">
        <f aca="false">IF(COUNTIF(CAPA3_EXPANSION!$D$56:T$56,"&gt;="&amp;38)=0,0,SUP_CONTROL!$C$8*IF($B45="V",1,IF($B45="D",(1+SUP_VOLUMEN!$C$26),(1+SUP_VOLUMEN!$C$27)))*INDEX(SUP_C3_EXPANSION!$C$6:$F$6,MIN(4,COUNTIF(CAPA3_EXPANSION!$D$56:T$56,"&gt;="&amp;38)))*CAPA3_EXPANSION!T$36)</f>
        <v>0</v>
      </c>
      <c r="U45" s="298" t="n">
        <f aca="false">IF(COUNTIF(CAPA3_EXPANSION!$D$56:U$56,"&gt;="&amp;38)=0,0,SUP_CONTROL!$C$8*IF($B45="V",1,IF($B45="D",(1+SUP_VOLUMEN!$C$26),(1+SUP_VOLUMEN!$C$27)))*INDEX(SUP_C3_EXPANSION!$C$6:$F$6,MIN(4,COUNTIF(CAPA3_EXPANSION!$D$56:U$56,"&gt;="&amp;38)))*CAPA3_EXPANSION!U$36)</f>
        <v>0</v>
      </c>
      <c r="V45" s="298" t="n">
        <f aca="false">IF(COUNTIF(CAPA3_EXPANSION!$D$56:V$56,"&gt;="&amp;38)=0,0,SUP_CONTROL!$C$8*IF($B45="V",1,IF($B45="D",(1+SUP_VOLUMEN!$C$26),(1+SUP_VOLUMEN!$C$27)))*INDEX(SUP_C3_EXPANSION!$C$6:$F$6,MIN(4,COUNTIF(CAPA3_EXPANSION!$D$56:V$56,"&gt;="&amp;38)))*CAPA3_EXPANSION!V$36)</f>
        <v>0</v>
      </c>
      <c r="W45" s="298" t="n">
        <f aca="false">IF(COUNTIF(CAPA3_EXPANSION!$D$56:W$56,"&gt;="&amp;38)=0,0,SUP_CONTROL!$C$8*IF($B45="V",1,IF($B45="D",(1+SUP_VOLUMEN!$C$26),(1+SUP_VOLUMEN!$C$27)))*INDEX(SUP_C3_EXPANSION!$C$6:$F$6,MIN(4,COUNTIF(CAPA3_EXPANSION!$D$56:W$56,"&gt;="&amp;38)))*CAPA3_EXPANSION!W$36)</f>
        <v>0</v>
      </c>
      <c r="X45" s="298" t="n">
        <f aca="false">IF(COUNTIF(CAPA3_EXPANSION!$D$56:X$56,"&gt;="&amp;38)=0,0,SUP_CONTROL!$C$8*IF($B45="V",1,IF($B45="D",(1+SUP_VOLUMEN!$C$26),(1+SUP_VOLUMEN!$C$27)))*INDEX(SUP_C3_EXPANSION!$C$6:$F$6,MIN(4,COUNTIF(CAPA3_EXPANSION!$D$56:X$56,"&gt;="&amp;38)))*CAPA3_EXPANSION!X$36)</f>
        <v>0</v>
      </c>
      <c r="Y45" s="298" t="n">
        <f aca="false">IF(COUNTIF(CAPA3_EXPANSION!$D$56:Y$56,"&gt;="&amp;38)=0,0,SUP_CONTROL!$C$8*IF($B45="V",1,IF($B45="D",(1+SUP_VOLUMEN!$C$26),(1+SUP_VOLUMEN!$C$27)))*INDEX(SUP_C3_EXPANSION!$C$6:$F$6,MIN(4,COUNTIF(CAPA3_EXPANSION!$D$56:Y$56,"&gt;="&amp;38)))*CAPA3_EXPANSION!Y$36)</f>
        <v>0</v>
      </c>
      <c r="Z45" s="298" t="n">
        <f aca="false">IF(COUNTIF(CAPA3_EXPANSION!$D$56:Z$56,"&gt;="&amp;38)=0,0,SUP_CONTROL!$C$8*IF($B45="V",1,IF($B45="D",(1+SUP_VOLUMEN!$C$26),(1+SUP_VOLUMEN!$C$27)))*INDEX(SUP_C3_EXPANSION!$C$6:$F$6,MIN(4,COUNTIF(CAPA3_EXPANSION!$D$56:Z$56,"&gt;="&amp;38)))*CAPA3_EXPANSION!Z$36)</f>
        <v>0</v>
      </c>
      <c r="AA45" s="298" t="n">
        <f aca="false">IF(COUNTIF(CAPA3_EXPANSION!$D$56:AA$56,"&gt;="&amp;38)=0,0,SUP_CONTROL!$C$8*IF($B45="V",1,IF($B45="D",(1+SUP_VOLUMEN!$C$26),(1+SUP_VOLUMEN!$C$27)))*INDEX(SUP_C3_EXPANSION!$C$6:$F$6,MIN(4,COUNTIF(CAPA3_EXPANSION!$D$56:AA$56,"&gt;="&amp;38)))*CAPA3_EXPANSION!AA$36)</f>
        <v>0</v>
      </c>
      <c r="AB45" s="298" t="n">
        <f aca="false">IF(COUNTIF(CAPA3_EXPANSION!$D$56:AB$56,"&gt;="&amp;38)=0,0,SUP_CONTROL!$C$8*IF($B45="V",1,IF($B45="D",(1+SUP_VOLUMEN!$C$26),(1+SUP_VOLUMEN!$C$27)))*INDEX(SUP_C3_EXPANSION!$C$6:$F$6,MIN(4,COUNTIF(CAPA3_EXPANSION!$D$56:AB$56,"&gt;="&amp;38)))*CAPA3_EXPANSION!AB$36)</f>
        <v>0</v>
      </c>
      <c r="AC45" s="298" t="n">
        <f aca="false">IF(COUNTIF(CAPA3_EXPANSION!$D$56:AC$56,"&gt;="&amp;38)=0,0,SUP_CONTROL!$C$8*IF($B45="V",1,IF($B45="D",(1+SUP_VOLUMEN!$C$26),(1+SUP_VOLUMEN!$C$27)))*INDEX(SUP_C3_EXPANSION!$C$6:$F$6,MIN(4,COUNTIF(CAPA3_EXPANSION!$D$56:AC$56,"&gt;="&amp;38)))*CAPA3_EXPANSION!AC$36)</f>
        <v>0</v>
      </c>
      <c r="AD45" s="298" t="n">
        <f aca="false">IF(COUNTIF(CAPA3_EXPANSION!$D$56:AD$56,"&gt;="&amp;38)=0,0,SUP_CONTROL!$C$8*IF($B45="V",1,IF($B45="D",(1+SUP_VOLUMEN!$C$26),(1+SUP_VOLUMEN!$C$27)))*INDEX(SUP_C3_EXPANSION!$C$6:$F$6,MIN(4,COUNTIF(CAPA3_EXPANSION!$D$56:AD$56,"&gt;="&amp;38)))*CAPA3_EXPANSION!AD$36)</f>
        <v>0</v>
      </c>
      <c r="AE45" s="298" t="n">
        <f aca="false">IF(COUNTIF(CAPA3_EXPANSION!$D$56:AE$56,"&gt;="&amp;38)=0,0,SUP_CONTROL!$C$8*IF($B45="V",1,IF($B45="D",(1+SUP_VOLUMEN!$C$26),(1+SUP_VOLUMEN!$C$27)))*INDEX(SUP_C3_EXPANSION!$C$6:$F$6,MIN(4,COUNTIF(CAPA3_EXPANSION!$D$56:AE$56,"&gt;="&amp;38)))*CAPA3_EXPANSION!AE$36)</f>
        <v>0</v>
      </c>
      <c r="AF45" s="298" t="n">
        <f aca="false">IF(COUNTIF(CAPA3_EXPANSION!$D$56:AF$56,"&gt;="&amp;38)=0,0,SUP_CONTROL!$C$8*IF($B45="V",1,IF($B45="D",(1+SUP_VOLUMEN!$C$26),(1+SUP_VOLUMEN!$C$27)))*INDEX(SUP_C3_EXPANSION!$C$6:$F$6,MIN(4,COUNTIF(CAPA3_EXPANSION!$D$56:AF$56,"&gt;="&amp;38)))*CAPA3_EXPANSION!AF$36)</f>
        <v>0</v>
      </c>
      <c r="AG45" s="298" t="n">
        <f aca="false">IF(COUNTIF(CAPA3_EXPANSION!$D$56:AG$56,"&gt;="&amp;38)=0,0,SUP_CONTROL!$C$8*IF($B45="V",1,IF($B45="D",(1+SUP_VOLUMEN!$C$26),(1+SUP_VOLUMEN!$C$27)))*INDEX(SUP_C3_EXPANSION!$C$6:$F$6,MIN(4,COUNTIF(CAPA3_EXPANSION!$D$56:AG$56,"&gt;="&amp;38)))*CAPA3_EXPANSION!AG$36)</f>
        <v>0</v>
      </c>
      <c r="AH45" s="298" t="n">
        <f aca="false">IF(COUNTIF(CAPA3_EXPANSION!$D$56:AH$56,"&gt;="&amp;38)=0,0,SUP_CONTROL!$C$8*IF($B45="V",1,IF($B45="D",(1+SUP_VOLUMEN!$C$26),(1+SUP_VOLUMEN!$C$27)))*INDEX(SUP_C3_EXPANSION!$C$6:$F$6,MIN(4,COUNTIF(CAPA3_EXPANSION!$D$56:AH$56,"&gt;="&amp;38)))*CAPA3_EXPANSION!AH$36)</f>
        <v>0</v>
      </c>
      <c r="AI45" s="298" t="n">
        <f aca="false">IF(COUNTIF(CAPA3_EXPANSION!$D$56:AI$56,"&gt;="&amp;38)=0,0,SUP_CONTROL!$C$8*IF($B45="V",1,IF($B45="D",(1+SUP_VOLUMEN!$C$26),(1+SUP_VOLUMEN!$C$27)))*INDEX(SUP_C3_EXPANSION!$C$6:$F$6,MIN(4,COUNTIF(CAPA3_EXPANSION!$D$56:AI$56,"&gt;="&amp;38)))*CAPA3_EXPANSION!AI$36)</f>
        <v>0</v>
      </c>
      <c r="AJ45" s="298" t="n">
        <f aca="false">IF(COUNTIF(CAPA3_EXPANSION!$D$56:AJ$56,"&gt;="&amp;38)=0,0,SUP_CONTROL!$C$8*IF($B45="V",1,IF($B45="D",(1+SUP_VOLUMEN!$C$26),(1+SUP_VOLUMEN!$C$27)))*INDEX(SUP_C3_EXPANSION!$C$6:$F$6,MIN(4,COUNTIF(CAPA3_EXPANSION!$D$56:AJ$56,"&gt;="&amp;38)))*CAPA3_EXPANSION!AJ$36)</f>
        <v>0</v>
      </c>
      <c r="AK45" s="298" t="n">
        <f aca="false">IF(COUNTIF(CAPA3_EXPANSION!$D$56:AK$56,"&gt;="&amp;38)=0,0,SUP_CONTROL!$C$8*IF($B45="V",1,IF($B45="D",(1+SUP_VOLUMEN!$C$26),(1+SUP_VOLUMEN!$C$27)))*INDEX(SUP_C3_EXPANSION!$C$6:$F$6,MIN(4,COUNTIF(CAPA3_EXPANSION!$D$56:AK$56,"&gt;="&amp;38)))*CAPA3_EXPANSION!AK$36)</f>
        <v>0</v>
      </c>
      <c r="AL45" s="298" t="n">
        <f aca="false">IF(COUNTIF(CAPA3_EXPANSION!$D$56:AL$56,"&gt;="&amp;38)=0,0,SUP_CONTROL!$C$8*IF($B45="V",1,IF($B45="D",(1+SUP_VOLUMEN!$C$26),(1+SUP_VOLUMEN!$C$27)))*INDEX(SUP_C3_EXPANSION!$C$6:$F$6,MIN(4,COUNTIF(CAPA3_EXPANSION!$D$56:AL$56,"&gt;="&amp;38)))*CAPA3_EXPANSION!AL$36)</f>
        <v>0</v>
      </c>
      <c r="AM45" s="298" t="n">
        <f aca="false">IF(COUNTIF(CAPA3_EXPANSION!$D$56:AM$56,"&gt;="&amp;38)=0,0,SUP_CONTROL!$C$8*IF($B45="V",1,IF($B45="D",(1+SUP_VOLUMEN!$C$26),(1+SUP_VOLUMEN!$C$27)))*INDEX(SUP_C3_EXPANSION!$C$6:$F$6,MIN(4,COUNTIF(CAPA3_EXPANSION!$D$56:AM$56,"&gt;="&amp;38)))*CAPA3_EXPANSION!AM$36)</f>
        <v>0</v>
      </c>
      <c r="AN45" s="298" t="n">
        <f aca="false">IF(COUNTIF(CAPA3_EXPANSION!$D$56:AN$56,"&gt;="&amp;38)=0,0,SUP_CONTROL!$C$8*IF($B45="V",1,IF($B45="D",(1+SUP_VOLUMEN!$C$26),(1+SUP_VOLUMEN!$C$27)))*INDEX(SUP_C3_EXPANSION!$C$6:$F$6,MIN(4,COUNTIF(CAPA3_EXPANSION!$D$56:AN$56,"&gt;="&amp;38)))*CAPA3_EXPANSION!AN$36)</f>
        <v>0</v>
      </c>
      <c r="AO45" s="298" t="n">
        <f aca="false">IF(COUNTIF(CAPA3_EXPANSION!$D$56:AO$56,"&gt;="&amp;38)=0,0,SUP_CONTROL!$C$8*IF($B45="V",1,IF($B45="D",(1+SUP_VOLUMEN!$C$26),(1+SUP_VOLUMEN!$C$27)))*INDEX(SUP_C3_EXPANSION!$C$6:$F$6,MIN(4,COUNTIF(CAPA3_EXPANSION!$D$56:AO$56,"&gt;="&amp;38)))*CAPA3_EXPANSION!AO$36)</f>
        <v>0</v>
      </c>
      <c r="AP45" s="298" t="n">
        <f aca="false">IF(COUNTIF(CAPA3_EXPANSION!$D$56:AP$56,"&gt;="&amp;38)=0,0,SUP_CONTROL!$C$8*IF($B45="V",1,IF($B45="D",(1+SUP_VOLUMEN!$C$26),(1+SUP_VOLUMEN!$C$27)))*INDEX(SUP_C3_EXPANSION!$C$6:$F$6,MIN(4,COUNTIF(CAPA3_EXPANSION!$D$56:AP$56,"&gt;="&amp;38)))*CAPA3_EXPANSION!AP$36)</f>
        <v>0</v>
      </c>
      <c r="AQ45" s="298" t="n">
        <f aca="false">IF(COUNTIF(CAPA3_EXPANSION!$D$56:AQ$56,"&gt;="&amp;38)=0,0,SUP_CONTROL!$C$8*IF($B45="V",1,IF($B45="D",(1+SUP_VOLUMEN!$C$26),(1+SUP_VOLUMEN!$C$27)))*INDEX(SUP_C3_EXPANSION!$C$6:$F$6,MIN(4,COUNTIF(CAPA3_EXPANSION!$D$56:AQ$56,"&gt;="&amp;38)))*CAPA3_EXPANSION!AQ$36)</f>
        <v>0</v>
      </c>
      <c r="AR45" s="298" t="n">
        <f aca="false">IF(COUNTIF(CAPA3_EXPANSION!$D$56:AR$56,"&gt;="&amp;38)=0,0,SUP_CONTROL!$C$8*IF($B45="V",1,IF($B45="D",(1+SUP_VOLUMEN!$C$26),(1+SUP_VOLUMEN!$C$27)))*INDEX(SUP_C3_EXPANSION!$C$6:$F$6,MIN(4,COUNTIF(CAPA3_EXPANSION!$D$56:AR$56,"&gt;="&amp;38)))*CAPA3_EXPANSION!AR$36)</f>
        <v>0</v>
      </c>
      <c r="AS45" s="298" t="n">
        <f aca="false">IF(COUNTIF(CAPA3_EXPANSION!$D$56:AS$56,"&gt;="&amp;38)=0,0,SUP_CONTROL!$C$8*IF($B45="V",1,IF($B45="D",(1+SUP_VOLUMEN!$C$26),(1+SUP_VOLUMEN!$C$27)))*INDEX(SUP_C3_EXPANSION!$C$6:$F$6,MIN(4,COUNTIF(CAPA3_EXPANSION!$D$56:AS$56,"&gt;="&amp;38)))*CAPA3_EXPANSION!AS$36)</f>
        <v>0</v>
      </c>
      <c r="AT45" s="298" t="n">
        <f aca="false">IF(COUNTIF(CAPA3_EXPANSION!$D$56:AT$56,"&gt;="&amp;38)=0,0,SUP_CONTROL!$C$8*IF($B45="V",1,IF($B45="D",(1+SUP_VOLUMEN!$C$26),(1+SUP_VOLUMEN!$C$27)))*INDEX(SUP_C3_EXPANSION!$C$6:$F$6,MIN(4,COUNTIF(CAPA3_EXPANSION!$D$56:AT$56,"&gt;="&amp;38)))*CAPA3_EXPANSION!AT$36)</f>
        <v>0</v>
      </c>
      <c r="AU45" s="298" t="n">
        <f aca="false">IF(COUNTIF(CAPA3_EXPANSION!$D$56:AU$56,"&gt;="&amp;38)=0,0,SUP_CONTROL!$C$8*IF($B45="V",1,IF($B45="D",(1+SUP_VOLUMEN!$C$26),(1+SUP_VOLUMEN!$C$27)))*INDEX(SUP_C3_EXPANSION!$C$6:$F$6,MIN(4,COUNTIF(CAPA3_EXPANSION!$D$56:AU$56,"&gt;="&amp;38)))*CAPA3_EXPANSION!AU$36)</f>
        <v>0</v>
      </c>
      <c r="AV45" s="298" t="n">
        <f aca="false">IF(COUNTIF(CAPA3_EXPANSION!$D$56:AV$56,"&gt;="&amp;38)=0,0,SUP_CONTROL!$C$8*IF($B45="V",1,IF($B45="D",(1+SUP_VOLUMEN!$C$26),(1+SUP_VOLUMEN!$C$27)))*INDEX(SUP_C3_EXPANSION!$C$6:$F$6,MIN(4,COUNTIF(CAPA3_EXPANSION!$D$56:AV$56,"&gt;="&amp;38)))*CAPA3_EXPANSION!AV$36)</f>
        <v>0</v>
      </c>
      <c r="AW45" s="298" t="n">
        <f aca="false">IF(COUNTIF(CAPA3_EXPANSION!$D$56:AW$56,"&gt;="&amp;38)=0,0,SUP_CONTROL!$C$8*IF($B45="V",1,IF($B45="D",(1+SUP_VOLUMEN!$C$26),(1+SUP_VOLUMEN!$C$27)))*INDEX(SUP_C3_EXPANSION!$C$6:$F$6,MIN(4,COUNTIF(CAPA3_EXPANSION!$D$56:AW$56,"&gt;="&amp;38)))*CAPA3_EXPANSION!AW$36)</f>
        <v>0</v>
      </c>
      <c r="AX45" s="298" t="n">
        <f aca="false">IF(COUNTIF(CAPA3_EXPANSION!$D$56:AX$56,"&gt;="&amp;38)=0,0,SUP_CONTROL!$C$8*IF($B45="V",1,IF($B45="D",(1+SUP_VOLUMEN!$C$26),(1+SUP_VOLUMEN!$C$27)))*INDEX(SUP_C3_EXPANSION!$C$6:$F$6,MIN(4,COUNTIF(CAPA3_EXPANSION!$D$56:AX$56,"&gt;="&amp;38)))*CAPA3_EXPANSION!AX$36)</f>
        <v>0</v>
      </c>
      <c r="AY45" s="298" t="n">
        <f aca="false">IF(COUNTIF(CAPA3_EXPANSION!$D$56:AY$56,"&gt;="&amp;38)=0,0,SUP_CONTROL!$C$8*IF($B45="V",1,IF($B45="D",(1+SUP_VOLUMEN!$C$26),(1+SUP_VOLUMEN!$C$27)))*INDEX(SUP_C3_EXPANSION!$C$6:$F$6,MIN(4,COUNTIF(CAPA3_EXPANSION!$D$56:AY$56,"&gt;="&amp;38)))*CAPA3_EXPANSION!AY$36)</f>
        <v>0</v>
      </c>
      <c r="AZ45" s="298" t="n">
        <f aca="false">IF(COUNTIF(CAPA3_EXPANSION!$D$56:AZ$56,"&gt;="&amp;38)=0,0,SUP_CONTROL!$C$8*IF($B45="V",1,IF($B45="D",(1+SUP_VOLUMEN!$C$26),(1+SUP_VOLUMEN!$C$27)))*INDEX(SUP_C3_EXPANSION!$C$6:$F$6,MIN(4,COUNTIF(CAPA3_EXPANSION!$D$56:AZ$56,"&gt;="&amp;38)))*CAPA3_EXPANSION!AZ$36)</f>
        <v>0</v>
      </c>
      <c r="BA45" s="298" t="n">
        <f aca="false">IF(COUNTIF(CAPA3_EXPANSION!$D$56:BA$56,"&gt;="&amp;38)=0,0,SUP_CONTROL!$C$8*IF($B45="V",1,IF($B45="D",(1+SUP_VOLUMEN!$C$26),(1+SUP_VOLUMEN!$C$27)))*INDEX(SUP_C3_EXPANSION!$C$6:$F$6,MIN(4,COUNTIF(CAPA3_EXPANSION!$D$56:BA$56,"&gt;="&amp;38)))*CAPA3_EXPANSION!BA$36)</f>
        <v>0</v>
      </c>
      <c r="BB45" s="298" t="n">
        <f aca="false">IF(COUNTIF(CAPA3_EXPANSION!$D$56:BB$56,"&gt;="&amp;38)=0,0,SUP_CONTROL!$C$8*IF($B45="V",1,IF($B45="D",(1+SUP_VOLUMEN!$C$26),(1+SUP_VOLUMEN!$C$27)))*INDEX(SUP_C3_EXPANSION!$C$6:$F$6,MIN(4,COUNTIF(CAPA3_EXPANSION!$D$56:BB$56,"&gt;="&amp;38)))*CAPA3_EXPANSION!BB$36)</f>
        <v>0</v>
      </c>
      <c r="BC45" s="298" t="n">
        <f aca="false">IF(COUNTIF(CAPA3_EXPANSION!$D$56:BC$56,"&gt;="&amp;38)=0,0,SUP_CONTROL!$C$8*IF($B45="V",1,IF($B45="D",(1+SUP_VOLUMEN!$C$26),(1+SUP_VOLUMEN!$C$27)))*INDEX(SUP_C3_EXPANSION!$C$6:$F$6,MIN(4,COUNTIF(CAPA3_EXPANSION!$D$56:BC$56,"&gt;="&amp;38)))*CAPA3_EXPANSION!BC$36)</f>
        <v>0</v>
      </c>
      <c r="BD45" s="298" t="n">
        <f aca="false">IF(COUNTIF(CAPA3_EXPANSION!$D$56:BD$56,"&gt;="&amp;38)=0,0,SUP_CONTROL!$C$8*IF($B45="V",1,IF($B45="D",(1+SUP_VOLUMEN!$C$26),(1+SUP_VOLUMEN!$C$27)))*INDEX(SUP_C3_EXPANSION!$C$6:$F$6,MIN(4,COUNTIF(CAPA3_EXPANSION!$D$56:BD$56,"&gt;="&amp;38)))*CAPA3_EXPANSION!BD$36)</f>
        <v>0</v>
      </c>
      <c r="BE45" s="298" t="n">
        <f aca="false">IF(COUNTIF(CAPA3_EXPANSION!$D$56:BE$56,"&gt;="&amp;38)=0,0,SUP_CONTROL!$C$8*IF($B45="V",1,IF($B45="D",(1+SUP_VOLUMEN!$C$26),(1+SUP_VOLUMEN!$C$27)))*INDEX(SUP_C3_EXPANSION!$C$6:$F$6,MIN(4,COUNTIF(CAPA3_EXPANSION!$D$56:BE$56,"&gt;="&amp;38)))*CAPA3_EXPANSION!BE$36)</f>
        <v>0</v>
      </c>
      <c r="BF45" s="298" t="n">
        <f aca="false">IF(COUNTIF(CAPA3_EXPANSION!$D$56:BF$56,"&gt;="&amp;38)=0,0,SUP_CONTROL!$C$8*IF($B45="V",1,IF($B45="D",(1+SUP_VOLUMEN!$C$26),(1+SUP_VOLUMEN!$C$27)))*INDEX(SUP_C3_EXPANSION!$C$6:$F$6,MIN(4,COUNTIF(CAPA3_EXPANSION!$D$56:BF$56,"&gt;="&amp;38)))*CAPA3_EXPANSION!BF$36)</f>
        <v>0</v>
      </c>
      <c r="BG45" s="298" t="n">
        <f aca="false">IF(COUNTIF(CAPA3_EXPANSION!$D$56:BG$56,"&gt;="&amp;38)=0,0,SUP_CONTROL!$C$8*IF($B45="V",1,IF($B45="D",(1+SUP_VOLUMEN!$C$26),(1+SUP_VOLUMEN!$C$27)))*INDEX(SUP_C3_EXPANSION!$C$6:$F$6,MIN(4,COUNTIF(CAPA3_EXPANSION!$D$56:BG$56,"&gt;="&amp;38)))*CAPA3_EXPANSION!BG$36)</f>
        <v>0</v>
      </c>
      <c r="BH45" s="298" t="n">
        <f aca="false">IF(COUNTIF(CAPA3_EXPANSION!$D$56:BH$56,"&gt;="&amp;38)=0,0,SUP_CONTROL!$C$8*IF($B45="V",1,IF($B45="D",(1+SUP_VOLUMEN!$C$26),(1+SUP_VOLUMEN!$C$27)))*INDEX(SUP_C3_EXPANSION!$C$6:$F$6,MIN(4,COUNTIF(CAPA3_EXPANSION!$D$56:BH$56,"&gt;="&amp;38)))*CAPA3_EXPANSION!BH$36)</f>
        <v>0</v>
      </c>
      <c r="BI45" s="298" t="n">
        <f aca="false">IF(COUNTIF(CAPA3_EXPANSION!$D$56:BI$56,"&gt;="&amp;38)=0,0,SUP_CONTROL!$C$8*IF($B45="V",1,IF($B45="D",(1+SUP_VOLUMEN!$C$26),(1+SUP_VOLUMEN!$C$27)))*INDEX(SUP_C3_EXPANSION!$C$6:$F$6,MIN(4,COUNTIF(CAPA3_EXPANSION!$D$56:BI$56,"&gt;="&amp;38)))*CAPA3_EXPANSION!BI$36)</f>
        <v>0</v>
      </c>
      <c r="BJ45" s="298" t="n">
        <f aca="false">IF(COUNTIF(CAPA3_EXPANSION!$D$56:BJ$56,"&gt;="&amp;38)=0,0,SUP_CONTROL!$C$8*IF($B45="V",1,IF($B45="D",(1+SUP_VOLUMEN!$C$26),(1+SUP_VOLUMEN!$C$27)))*INDEX(SUP_C3_EXPANSION!$C$6:$F$6,MIN(4,COUNTIF(CAPA3_EXPANSION!$D$56:BJ$56,"&gt;="&amp;38)))*CAPA3_EXPANSION!BJ$36)</f>
        <v>0</v>
      </c>
      <c r="BK45" s="298" t="n">
        <f aca="false">IF(COUNTIF(CAPA3_EXPANSION!$D$56:BK$56,"&gt;="&amp;38)=0,0,SUP_CONTROL!$C$8*IF($B45="V",1,IF($B45="D",(1+SUP_VOLUMEN!$C$26),(1+SUP_VOLUMEN!$C$27)))*INDEX(SUP_C3_EXPANSION!$C$6:$F$6,MIN(4,COUNTIF(CAPA3_EXPANSION!$D$56:BK$56,"&gt;="&amp;38)))*CAPA3_EXPANSION!BK$36)</f>
        <v>0</v>
      </c>
      <c r="BL45" s="298" t="n">
        <f aca="false">IF(COUNTIF(CAPA3_EXPANSION!$D$56:BL$56,"&gt;="&amp;38)=0,0,SUP_CONTROL!$C$8*IF($B45="V",1,IF($B45="D",(1+SUP_VOLUMEN!$C$26),(1+SUP_VOLUMEN!$C$27)))*INDEX(SUP_C3_EXPANSION!$C$6:$F$6,MIN(4,COUNTIF(CAPA3_EXPANSION!$D$56:BL$56,"&gt;="&amp;38)))*CAPA3_EXPANSION!BL$36)</f>
        <v>0</v>
      </c>
      <c r="BM45" s="298" t="n">
        <f aca="false">IF(COUNTIF(CAPA3_EXPANSION!$D$56:BM$56,"&gt;="&amp;38)=0,0,SUP_CONTROL!$C$8*IF($B45="V",1,IF($B45="D",(1+SUP_VOLUMEN!$C$26),(1+SUP_VOLUMEN!$C$27)))*INDEX(SUP_C3_EXPANSION!$C$6:$F$6,MIN(4,COUNTIF(CAPA3_EXPANSION!$D$56:BM$56,"&gt;="&amp;38)))*CAPA3_EXPANSION!BM$36)</f>
        <v>0</v>
      </c>
      <c r="BN45" s="298" t="n">
        <f aca="false">IF(COUNTIF(CAPA3_EXPANSION!$D$56:BN$56,"&gt;="&amp;38)=0,0,SUP_CONTROL!$C$8*IF($B45="V",1,IF($B45="D",(1+SUP_VOLUMEN!$C$26),(1+SUP_VOLUMEN!$C$27)))*INDEX(SUP_C3_EXPANSION!$C$6:$F$6,MIN(4,COUNTIF(CAPA3_EXPANSION!$D$56:BN$56,"&gt;="&amp;38)))*CAPA3_EXPANSION!BN$36)</f>
        <v>0</v>
      </c>
      <c r="BO45" s="298" t="n">
        <f aca="false">IF(COUNTIF(CAPA3_EXPANSION!$D$56:BO$56,"&gt;="&amp;38)=0,0,SUP_CONTROL!$C$8*IF($B45="V",1,IF($B45="D",(1+SUP_VOLUMEN!$C$26),(1+SUP_VOLUMEN!$C$27)))*INDEX(SUP_C3_EXPANSION!$C$6:$F$6,MIN(4,COUNTIF(CAPA3_EXPANSION!$D$56:BO$56,"&gt;="&amp;38)))*CAPA3_EXPANSION!BO$36)</f>
        <v>0</v>
      </c>
      <c r="BP45" s="298" t="n">
        <f aca="false">IF(COUNTIF(CAPA3_EXPANSION!$D$56:BP$56,"&gt;="&amp;38)=0,0,SUP_CONTROL!$C$8*IF($B45="V",1,IF($B45="D",(1+SUP_VOLUMEN!$C$26),(1+SUP_VOLUMEN!$C$27)))*INDEX(SUP_C3_EXPANSION!$C$6:$F$6,MIN(4,COUNTIF(CAPA3_EXPANSION!$D$56:BP$56,"&gt;="&amp;38)))*CAPA3_EXPANSION!BP$36)</f>
        <v>0</v>
      </c>
      <c r="BQ45" s="298" t="n">
        <f aca="false">IF(COUNTIF(CAPA3_EXPANSION!$D$56:BQ$56,"&gt;="&amp;38)=0,0,SUP_CONTROL!$C$8*IF($B45="V",1,IF($B45="D",(1+SUP_VOLUMEN!$C$26),(1+SUP_VOLUMEN!$C$27)))*INDEX(SUP_C3_EXPANSION!$C$6:$F$6,MIN(4,COUNTIF(CAPA3_EXPANSION!$D$56:BQ$56,"&gt;="&amp;38)))*CAPA3_EXPANSION!BQ$36)</f>
        <v>0</v>
      </c>
      <c r="BR45" s="298" t="n">
        <f aca="false">IF(COUNTIF(CAPA3_EXPANSION!$D$56:BR$56,"&gt;="&amp;38)=0,0,SUP_CONTROL!$C$8*IF($B45="V",1,IF($B45="D",(1+SUP_VOLUMEN!$C$26),(1+SUP_VOLUMEN!$C$27)))*INDEX(SUP_C3_EXPANSION!$C$6:$F$6,MIN(4,COUNTIF(CAPA3_EXPANSION!$D$56:BR$56,"&gt;="&amp;38)))*CAPA3_EXPANSION!BR$36)</f>
        <v>0</v>
      </c>
      <c r="BS45" s="298" t="n">
        <f aca="false">IF(COUNTIF(CAPA3_EXPANSION!$D$56:BS$56,"&gt;="&amp;38)=0,0,SUP_CONTROL!$C$8*IF($B45="V",1,IF($B45="D",(1+SUP_VOLUMEN!$C$26),(1+SUP_VOLUMEN!$C$27)))*INDEX(SUP_C3_EXPANSION!$C$6:$F$6,MIN(4,COUNTIF(CAPA3_EXPANSION!$D$56:BS$56,"&gt;="&amp;38)))*CAPA3_EXPANSION!BS$36)</f>
        <v>0</v>
      </c>
      <c r="BT45" s="298" t="n">
        <f aca="false">IF(COUNTIF(CAPA3_EXPANSION!$D$56:BT$56,"&gt;="&amp;38)=0,0,SUP_CONTROL!$C$8*IF($B45="V",1,IF($B45="D",(1+SUP_VOLUMEN!$C$26),(1+SUP_VOLUMEN!$C$27)))*INDEX(SUP_C3_EXPANSION!$C$6:$F$6,MIN(4,COUNTIF(CAPA3_EXPANSION!$D$56:BT$56,"&gt;="&amp;38)))*CAPA3_EXPANSION!BT$36)</f>
        <v>0</v>
      </c>
      <c r="BU45" s="298" t="n">
        <f aca="false">IF(COUNTIF(CAPA3_EXPANSION!$D$56:BU$56,"&gt;="&amp;38)=0,0,SUP_CONTROL!$C$8*IF($B45="V",1,IF($B45="D",(1+SUP_VOLUMEN!$C$26),(1+SUP_VOLUMEN!$C$27)))*INDEX(SUP_C3_EXPANSION!$C$6:$F$6,MIN(4,COUNTIF(CAPA3_EXPANSION!$D$56:BU$56,"&gt;="&amp;38)))*CAPA3_EXPANSION!BU$36)</f>
        <v>0</v>
      </c>
      <c r="BV45" s="298" t="n">
        <f aca="false">IF(COUNTIF(CAPA3_EXPANSION!$D$56:BV$56,"&gt;="&amp;38)=0,0,SUP_CONTROL!$C$8*IF($B45="V",1,IF($B45="D",(1+SUP_VOLUMEN!$C$26),(1+SUP_VOLUMEN!$C$27)))*INDEX(SUP_C3_EXPANSION!$C$6:$F$6,MIN(4,COUNTIF(CAPA3_EXPANSION!$D$56:BV$56,"&gt;="&amp;38)))*CAPA3_EXPANSION!BV$36)</f>
        <v>0</v>
      </c>
      <c r="BW45" s="298" t="n">
        <f aca="false">IF(COUNTIF(CAPA3_EXPANSION!$D$56:BW$56,"&gt;="&amp;38)=0,0,SUP_CONTROL!$C$8*IF($B45="V",1,IF($B45="D",(1+SUP_VOLUMEN!$C$26),(1+SUP_VOLUMEN!$C$27)))*INDEX(SUP_C3_EXPANSION!$C$6:$F$6,MIN(4,COUNTIF(CAPA3_EXPANSION!$D$56:BW$56,"&gt;="&amp;38)))*CAPA3_EXPANSION!BW$36)</f>
        <v>0</v>
      </c>
      <c r="BX45" s="298" t="n">
        <f aca="false">IF(COUNTIF(CAPA3_EXPANSION!$D$56:BX$56,"&gt;="&amp;38)=0,0,SUP_CONTROL!$C$8*IF($B45="V",1,IF($B45="D",(1+SUP_VOLUMEN!$C$26),(1+SUP_VOLUMEN!$C$27)))*INDEX(SUP_C3_EXPANSION!$C$6:$F$6,MIN(4,COUNTIF(CAPA3_EXPANSION!$D$56:BX$56,"&gt;="&amp;38)))*CAPA3_EXPANSION!BX$36)</f>
        <v>0</v>
      </c>
      <c r="BY45" s="298" t="n">
        <f aca="false">IF(COUNTIF(CAPA3_EXPANSION!$D$56:BY$56,"&gt;="&amp;38)=0,0,SUP_CONTROL!$C$8*IF($B45="V",1,IF($B45="D",(1+SUP_VOLUMEN!$C$26),(1+SUP_VOLUMEN!$C$27)))*INDEX(SUP_C3_EXPANSION!$C$6:$F$6,MIN(4,COUNTIF(CAPA3_EXPANSION!$D$56:BY$56,"&gt;="&amp;38)))*CAPA3_EXPANSION!BY$36)</f>
        <v>0</v>
      </c>
      <c r="BZ45" s="298" t="n">
        <f aca="false">IF(COUNTIF(CAPA3_EXPANSION!$D$56:BZ$56,"&gt;="&amp;38)=0,0,SUP_CONTROL!$C$8*IF($B45="V",1,IF($B45="D",(1+SUP_VOLUMEN!$C$26),(1+SUP_VOLUMEN!$C$27)))*INDEX(SUP_C3_EXPANSION!$C$6:$F$6,MIN(4,COUNTIF(CAPA3_EXPANSION!$D$56:BZ$56,"&gt;="&amp;38)))*CAPA3_EXPANSION!BZ$36)</f>
        <v>0</v>
      </c>
      <c r="CA45" s="298" t="n">
        <f aca="false">IF(COUNTIF(CAPA3_EXPANSION!$D$56:CA$56,"&gt;="&amp;38)=0,0,SUP_CONTROL!$C$8*IF($B45="V",1,IF($B45="D",(1+SUP_VOLUMEN!$C$26),(1+SUP_VOLUMEN!$C$27)))*INDEX(SUP_C3_EXPANSION!$C$6:$F$6,MIN(4,COUNTIF(CAPA3_EXPANSION!$D$56:CA$56,"&gt;="&amp;38)))*CAPA3_EXPANSION!CA$36)</f>
        <v>0</v>
      </c>
      <c r="CB45" s="298" t="n">
        <f aca="false">IF(COUNTIF(CAPA3_EXPANSION!$D$56:CB$56,"&gt;="&amp;38)=0,0,SUP_CONTROL!$C$8*IF($B45="V",1,IF($B45="D",(1+SUP_VOLUMEN!$C$26),(1+SUP_VOLUMEN!$C$27)))*INDEX(SUP_C3_EXPANSION!$C$6:$F$6,MIN(4,COUNTIF(CAPA3_EXPANSION!$D$56:CB$56,"&gt;="&amp;38)))*CAPA3_EXPANSION!CB$36)</f>
        <v>0</v>
      </c>
      <c r="CC45" s="298" t="n">
        <f aca="false">IF(COUNTIF(CAPA3_EXPANSION!$D$56:CC$56,"&gt;="&amp;38)=0,0,SUP_CONTROL!$C$8*IF($B45="V",1,IF($B45="D",(1+SUP_VOLUMEN!$C$26),(1+SUP_VOLUMEN!$C$27)))*INDEX(SUP_C3_EXPANSION!$C$6:$F$6,MIN(4,COUNTIF(CAPA3_EXPANSION!$D$56:CC$56,"&gt;="&amp;38)))*CAPA3_EXPANSION!CC$36)</f>
        <v>0</v>
      </c>
      <c r="CD45" s="298" t="n">
        <f aca="false">IF(COUNTIF(CAPA3_EXPANSION!$D$56:CD$56,"&gt;="&amp;38)=0,0,SUP_CONTROL!$C$8*IF($B45="V",1,IF($B45="D",(1+SUP_VOLUMEN!$C$26),(1+SUP_VOLUMEN!$C$27)))*INDEX(SUP_C3_EXPANSION!$C$6:$F$6,MIN(4,COUNTIF(CAPA3_EXPANSION!$D$56:CD$56,"&gt;="&amp;38)))*CAPA3_EXPANSION!CD$36)</f>
        <v>0</v>
      </c>
      <c r="CE45" s="298" t="n">
        <f aca="false">IF(COUNTIF(CAPA3_EXPANSION!$D$56:CE$56,"&gt;="&amp;38)=0,0,SUP_CONTROL!$C$8*IF($B45="V",1,IF($B45="D",(1+SUP_VOLUMEN!$C$26),(1+SUP_VOLUMEN!$C$27)))*INDEX(SUP_C3_EXPANSION!$C$6:$F$6,MIN(4,COUNTIF(CAPA3_EXPANSION!$D$56:CE$56,"&gt;="&amp;38)))*CAPA3_EXPANSION!CE$36)</f>
        <v>0</v>
      </c>
      <c r="CF45" s="298" t="n">
        <f aca="false">IF(COUNTIF(CAPA3_EXPANSION!$D$56:CF$56,"&gt;="&amp;38)=0,0,SUP_CONTROL!$C$8*IF($B45="V",1,IF($B45="D",(1+SUP_VOLUMEN!$C$26),(1+SUP_VOLUMEN!$C$27)))*INDEX(SUP_C3_EXPANSION!$C$6:$F$6,MIN(4,COUNTIF(CAPA3_EXPANSION!$D$56:CF$56,"&gt;="&amp;38)))*CAPA3_EXPANSION!CF$36)</f>
        <v>0</v>
      </c>
      <c r="CG45" s="298" t="n">
        <f aca="false">IF(COUNTIF(CAPA3_EXPANSION!$D$56:CG$56,"&gt;="&amp;38)=0,0,SUP_CONTROL!$C$8*IF($B45="V",1,IF($B45="D",(1+SUP_VOLUMEN!$C$26),(1+SUP_VOLUMEN!$C$27)))*INDEX(SUP_C3_EXPANSION!$C$6:$F$6,MIN(4,COUNTIF(CAPA3_EXPANSION!$D$56:CG$56,"&gt;="&amp;38)))*CAPA3_EXPANSION!CG$36)</f>
        <v>0</v>
      </c>
      <c r="CH45" s="298" t="n">
        <f aca="false">IF(COUNTIF(CAPA3_EXPANSION!$D$56:CH$56,"&gt;="&amp;38)=0,0,SUP_CONTROL!$C$8*IF($B45="V",1,IF($B45="D",(1+SUP_VOLUMEN!$C$26),(1+SUP_VOLUMEN!$C$27)))*INDEX(SUP_C3_EXPANSION!$C$6:$F$6,MIN(4,COUNTIF(CAPA3_EXPANSION!$D$56:CH$56,"&gt;="&amp;38)))*CAPA3_EXPANSION!CH$36)</f>
        <v>2981.16</v>
      </c>
      <c r="CI45" s="298" t="n">
        <f aca="false">IF(COUNTIF(CAPA3_EXPANSION!$D$56:CI$56,"&gt;="&amp;38)=0,0,SUP_CONTROL!$C$8*IF($B45="V",1,IF($B45="D",(1+SUP_VOLUMEN!$C$26),(1+SUP_VOLUMEN!$C$27)))*INDEX(SUP_C3_EXPANSION!$C$6:$F$6,MIN(4,COUNTIF(CAPA3_EXPANSION!$D$56:CI$56,"&gt;="&amp;38)))*CAPA3_EXPANSION!CI$36)</f>
        <v>3669.12</v>
      </c>
      <c r="CJ45" s="298" t="n">
        <f aca="false">IF(COUNTIF(CAPA3_EXPANSION!$D$56:CJ$56,"&gt;="&amp;38)=0,0,SUP_CONTROL!$C$8*IF($B45="V",1,IF($B45="D",(1+SUP_VOLUMEN!$C$26),(1+SUP_VOLUMEN!$C$27)))*INDEX(SUP_C3_EXPANSION!$C$6:$F$6,MIN(4,COUNTIF(CAPA3_EXPANSION!$D$56:CJ$56,"&gt;="&amp;38)))*CAPA3_EXPANSION!CJ$36)</f>
        <v>4127.76</v>
      </c>
      <c r="CK45" s="298" t="n">
        <f aca="false">IF(COUNTIF(CAPA3_EXPANSION!$D$56:CK$56,"&gt;="&amp;38)=0,0,SUP_CONTROL!$C$8*IF($B45="V",1,IF($B45="D",(1+SUP_VOLUMEN!$C$26),(1+SUP_VOLUMEN!$C$27)))*INDEX(SUP_C3_EXPANSION!$C$6:$F$6,MIN(4,COUNTIF(CAPA3_EXPANSION!$D$56:CK$56,"&gt;="&amp;38)))*CAPA3_EXPANSION!CK$36)</f>
        <v>4586.4</v>
      </c>
      <c r="CL45" s="298" t="n">
        <f aca="false">IF(COUNTIF(CAPA3_EXPANSION!$D$56:CL$56,"&gt;="&amp;38)=0,0,SUP_CONTROL!$C$8*IF($B45="V",1,IF($B45="D",(1+SUP_VOLUMEN!$C$26),(1+SUP_VOLUMEN!$C$27)))*INDEX(SUP_C3_EXPANSION!$C$6:$F$6,MIN(4,COUNTIF(CAPA3_EXPANSION!$D$56:CL$56,"&gt;="&amp;38)))*CAPA3_EXPANSION!CL$36)</f>
        <v>4586.4</v>
      </c>
      <c r="CM45" s="298" t="n">
        <f aca="false">IF(COUNTIF(CAPA3_EXPANSION!$D$56:CM$56,"&gt;="&amp;38)=0,0,SUP_CONTROL!$C$8*IF($B45="V",1,IF($B45="D",(1+SUP_VOLUMEN!$C$26),(1+SUP_VOLUMEN!$C$27)))*INDEX(SUP_C3_EXPANSION!$C$6:$F$6,MIN(4,COUNTIF(CAPA3_EXPANSION!$D$56:CM$56,"&gt;="&amp;38)))*CAPA3_EXPANSION!CM$36)</f>
        <v>4586.4</v>
      </c>
      <c r="CN45" s="298" t="n">
        <f aca="false">IF(COUNTIF(CAPA3_EXPANSION!$D$56:CN$56,"&gt;="&amp;38)=0,0,SUP_CONTROL!$C$8*IF($B45="V",1,IF($B45="D",(1+SUP_VOLUMEN!$C$26),(1+SUP_VOLUMEN!$C$27)))*INDEX(SUP_C3_EXPANSION!$C$6:$F$6,MIN(4,COUNTIF(CAPA3_EXPANSION!$D$56:CN$56,"&gt;="&amp;38)))*CAPA3_EXPANSION!CN$36)</f>
        <v>4586.4</v>
      </c>
      <c r="CO45" s="298" t="n">
        <f aca="false">IF(COUNTIF(CAPA3_EXPANSION!$D$56:CO$56,"&gt;="&amp;38)=0,0,SUP_CONTROL!$C$8*IF($B45="V",1,IF($B45="D",(1+SUP_VOLUMEN!$C$26),(1+SUP_VOLUMEN!$C$27)))*INDEX(SUP_C3_EXPANSION!$C$6:$F$6,MIN(4,COUNTIF(CAPA3_EXPANSION!$D$56:CO$56,"&gt;="&amp;38)))*CAPA3_EXPANSION!CO$36)</f>
        <v>4586.4</v>
      </c>
      <c r="CP45" s="298" t="n">
        <f aca="false">IF(COUNTIF(CAPA3_EXPANSION!$D$56:CP$56,"&gt;="&amp;38)=0,0,SUP_CONTROL!$C$8*IF($B45="V",1,IF($B45="D",(1+SUP_VOLUMEN!$C$26),(1+SUP_VOLUMEN!$C$27)))*INDEX(SUP_C3_EXPANSION!$C$6:$F$6,MIN(4,COUNTIF(CAPA3_EXPANSION!$D$56:CP$56,"&gt;="&amp;38)))*CAPA3_EXPANSION!CP$36)</f>
        <v>4586.4</v>
      </c>
      <c r="CQ45" s="298" t="n">
        <f aca="false">IF(COUNTIF(CAPA3_EXPANSION!$D$56:CQ$56,"&gt;="&amp;38)=0,0,SUP_CONTROL!$C$8*IF($B45="V",1,IF($B45="D",(1+SUP_VOLUMEN!$C$26),(1+SUP_VOLUMEN!$C$27)))*INDEX(SUP_C3_EXPANSION!$C$6:$F$6,MIN(4,COUNTIF(CAPA3_EXPANSION!$D$56:CQ$56,"&gt;="&amp;38)))*CAPA3_EXPANSION!CQ$36)</f>
        <v>4586.4</v>
      </c>
      <c r="CR45" s="298" t="n">
        <f aca="false">IF(COUNTIF(CAPA3_EXPANSION!$D$56:CR$56,"&gt;="&amp;38)=0,0,SUP_CONTROL!$C$8*IF($B45="V",1,IF($B45="D",(1+SUP_VOLUMEN!$C$26),(1+SUP_VOLUMEN!$C$27)))*INDEX(SUP_C3_EXPANSION!$C$6:$F$6,MIN(4,COUNTIF(CAPA3_EXPANSION!$D$56:CR$56,"&gt;="&amp;38)))*CAPA3_EXPANSION!CR$36)</f>
        <v>4586.4</v>
      </c>
      <c r="CS45" s="298" t="n">
        <f aca="false">IF(COUNTIF(CAPA3_EXPANSION!$D$56:CS$56,"&gt;="&amp;38)=0,0,SUP_CONTROL!$C$8*IF($B45="V",1,IF($B45="D",(1+SUP_VOLUMEN!$C$26),(1+SUP_VOLUMEN!$C$27)))*INDEX(SUP_C3_EXPANSION!$C$6:$F$6,MIN(4,COUNTIF(CAPA3_EXPANSION!$D$56:CS$56,"&gt;="&amp;38)))*CAPA3_EXPANSION!CS$36)</f>
        <v>4586.4</v>
      </c>
      <c r="CT45" s="298" t="n">
        <f aca="false">IF(COUNTIF(CAPA3_EXPANSION!$D$56:CT$56,"&gt;="&amp;38)=0,0,SUP_CONTROL!$C$8*IF($B45="V",1,IF($B45="D",(1+SUP_VOLUMEN!$C$26),(1+SUP_VOLUMEN!$C$27)))*INDEX(SUP_C3_EXPANSION!$C$6:$F$6,MIN(4,COUNTIF(CAPA3_EXPANSION!$D$56:CT$56,"&gt;="&amp;38)))*CAPA3_EXPANSION!CT$36)</f>
        <v>4586.4</v>
      </c>
      <c r="CU45" s="298" t="n">
        <f aca="false">IF(COUNTIF(CAPA3_EXPANSION!$D$56:CU$56,"&gt;="&amp;38)=0,0,SUP_CONTROL!$C$8*IF($B45="V",1,IF($B45="D",(1+SUP_VOLUMEN!$C$26),(1+SUP_VOLUMEN!$C$27)))*INDEX(SUP_C3_EXPANSION!$C$6:$F$6,MIN(4,COUNTIF(CAPA3_EXPANSION!$D$56:CU$56,"&gt;="&amp;38)))*CAPA3_EXPANSION!CU$36)</f>
        <v>4586.4</v>
      </c>
      <c r="CV45" s="298" t="n">
        <f aca="false">IF(COUNTIF(CAPA3_EXPANSION!$D$56:CV$56,"&gt;="&amp;38)=0,0,SUP_CONTROL!$C$8*IF($B45="V",1,IF($B45="D",(1+SUP_VOLUMEN!$C$26),(1+SUP_VOLUMEN!$C$27)))*INDEX(SUP_C3_EXPANSION!$C$6:$F$6,MIN(4,COUNTIF(CAPA3_EXPANSION!$D$56:CV$56,"&gt;="&amp;38)))*CAPA3_EXPANSION!CV$36)</f>
        <v>4586.4</v>
      </c>
      <c r="CW45" s="298" t="n">
        <f aca="false">IF(COUNTIF(CAPA3_EXPANSION!$D$56:CW$56,"&gt;="&amp;38)=0,0,SUP_CONTROL!$C$8*IF($B45="V",1,IF($B45="D",(1+SUP_VOLUMEN!$C$26),(1+SUP_VOLUMEN!$C$27)))*INDEX(SUP_C3_EXPANSION!$C$6:$F$6,MIN(4,COUNTIF(CAPA3_EXPANSION!$D$56:CW$56,"&gt;="&amp;38)))*CAPA3_EXPANSION!CW$36)</f>
        <v>4586.4</v>
      </c>
      <c r="CX45" s="298" t="n">
        <f aca="false">IF(COUNTIF(CAPA3_EXPANSION!$D$56:CX$56,"&gt;="&amp;38)=0,0,SUP_CONTROL!$C$8*IF($B45="V",1,IF($B45="D",(1+SUP_VOLUMEN!$C$26),(1+SUP_VOLUMEN!$C$27)))*INDEX(SUP_C3_EXPANSION!$C$6:$F$6,MIN(4,COUNTIF(CAPA3_EXPANSION!$D$56:CX$56,"&gt;="&amp;38)))*CAPA3_EXPANSION!CX$36)</f>
        <v>4586.4</v>
      </c>
      <c r="CY45" s="298" t="n">
        <f aca="false">IF(COUNTIF(CAPA3_EXPANSION!$D$56:CY$56,"&gt;="&amp;38)=0,0,SUP_CONTROL!$C$8*IF($B45="V",1,IF($B45="D",(1+SUP_VOLUMEN!$C$26),(1+SUP_VOLUMEN!$C$27)))*INDEX(SUP_C3_EXPANSION!$C$6:$F$6,MIN(4,COUNTIF(CAPA3_EXPANSION!$D$56:CY$56,"&gt;="&amp;38)))*CAPA3_EXPANSION!CY$36)</f>
        <v>4586.4</v>
      </c>
      <c r="CZ45" s="298" t="n">
        <f aca="false">IF(COUNTIF(CAPA3_EXPANSION!$D$56:CZ$56,"&gt;="&amp;38)=0,0,SUP_CONTROL!$C$8*IF($B45="V",1,IF($B45="D",(1+SUP_VOLUMEN!$C$26),(1+SUP_VOLUMEN!$C$27)))*INDEX(SUP_C3_EXPANSION!$C$6:$F$6,MIN(4,COUNTIF(CAPA3_EXPANSION!$D$56:CZ$56,"&gt;="&amp;38)))*CAPA3_EXPANSION!CZ$36)</f>
        <v>4586.4</v>
      </c>
      <c r="DA45" s="298" t="n">
        <f aca="false">IF(COUNTIF(CAPA3_EXPANSION!$D$56:DA$56,"&gt;="&amp;38)=0,0,SUP_CONTROL!$C$8*IF($B45="V",1,IF($B45="D",(1+SUP_VOLUMEN!$C$26),(1+SUP_VOLUMEN!$C$27)))*INDEX(SUP_C3_EXPANSION!$C$6:$F$6,MIN(4,COUNTIF(CAPA3_EXPANSION!$D$56:DA$56,"&gt;="&amp;38)))*CAPA3_EXPANSION!DA$36)</f>
        <v>4586.4</v>
      </c>
      <c r="DB45" s="298" t="n">
        <f aca="false">IF(COUNTIF(CAPA3_EXPANSION!$D$56:DB$56,"&gt;="&amp;38)=0,0,SUP_CONTROL!$C$8*IF($B45="V",1,IF($B45="D",(1+SUP_VOLUMEN!$C$26),(1+SUP_VOLUMEN!$C$27)))*INDEX(SUP_C3_EXPANSION!$C$6:$F$6,MIN(4,COUNTIF(CAPA3_EXPANSION!$D$56:DB$56,"&gt;="&amp;38)))*CAPA3_EXPANSION!DB$36)</f>
        <v>4586.4</v>
      </c>
      <c r="DC45" s="298" t="n">
        <f aca="false">IF(COUNTIF(CAPA3_EXPANSION!$D$56:DC$56,"&gt;="&amp;38)=0,0,SUP_CONTROL!$C$8*IF($B45="V",1,IF($B45="D",(1+SUP_VOLUMEN!$C$26),(1+SUP_VOLUMEN!$C$27)))*INDEX(SUP_C3_EXPANSION!$C$6:$F$6,MIN(4,COUNTIF(CAPA3_EXPANSION!$D$56:DC$56,"&gt;="&amp;38)))*CAPA3_EXPANSION!DC$36)</f>
        <v>4586.4</v>
      </c>
      <c r="DD45" s="298" t="n">
        <f aca="false">IF(COUNTIF(CAPA3_EXPANSION!$D$56:DD$56,"&gt;="&amp;38)=0,0,SUP_CONTROL!$C$8*IF($B45="V",1,IF($B45="D",(1+SUP_VOLUMEN!$C$26),(1+SUP_VOLUMEN!$C$27)))*INDEX(SUP_C3_EXPANSION!$C$6:$F$6,MIN(4,COUNTIF(CAPA3_EXPANSION!$D$56:DD$56,"&gt;="&amp;38)))*CAPA3_EXPANSION!DD$36)</f>
        <v>4586.4</v>
      </c>
      <c r="DE45" s="298" t="n">
        <f aca="false">IF(COUNTIF(CAPA3_EXPANSION!$D$56:DE$56,"&gt;="&amp;38)=0,0,SUP_CONTROL!$C$8*IF($B45="V",1,IF($B45="D",(1+SUP_VOLUMEN!$C$26),(1+SUP_VOLUMEN!$C$27)))*INDEX(SUP_C3_EXPANSION!$C$6:$F$6,MIN(4,COUNTIF(CAPA3_EXPANSION!$D$56:DE$56,"&gt;="&amp;38)))*CAPA3_EXPANSION!DE$36)</f>
        <v>4586.4</v>
      </c>
      <c r="DF45" s="298" t="n">
        <f aca="false">IF(COUNTIF(CAPA3_EXPANSION!$D$56:DF$56,"&gt;="&amp;38)=0,0,SUP_CONTROL!$C$8*IF($B45="V",1,IF($B45="D",(1+SUP_VOLUMEN!$C$26),(1+SUP_VOLUMEN!$C$27)))*INDEX(SUP_C3_EXPANSION!$C$6:$F$6,MIN(4,COUNTIF(CAPA3_EXPANSION!$D$56:DF$56,"&gt;="&amp;38)))*CAPA3_EXPANSION!DF$36)</f>
        <v>4586.4</v>
      </c>
      <c r="DG45" s="298" t="n">
        <f aca="false">IF(COUNTIF(CAPA3_EXPANSION!$D$56:DG$56,"&gt;="&amp;38)=0,0,SUP_CONTROL!$C$8*IF($B45="V",1,IF($B45="D",(1+SUP_VOLUMEN!$C$26),(1+SUP_VOLUMEN!$C$27)))*INDEX(SUP_C3_EXPANSION!$C$6:$F$6,MIN(4,COUNTIF(CAPA3_EXPANSION!$D$56:DG$56,"&gt;="&amp;38)))*CAPA3_EXPANSION!DG$36)</f>
        <v>4586.4</v>
      </c>
      <c r="DH45" s="298" t="n">
        <f aca="false">IF(COUNTIF(CAPA3_EXPANSION!$D$56:DH$56,"&gt;="&amp;38)=0,0,SUP_CONTROL!$C$8*IF($B45="V",1,IF($B45="D",(1+SUP_VOLUMEN!$C$26),(1+SUP_VOLUMEN!$C$27)))*INDEX(SUP_C3_EXPANSION!$C$6:$F$6,MIN(4,COUNTIF(CAPA3_EXPANSION!$D$56:DH$56,"&gt;="&amp;38)))*CAPA3_EXPANSION!DH$36)</f>
        <v>4586.4</v>
      </c>
      <c r="DI45" s="298" t="n">
        <f aca="false">IF(COUNTIF(CAPA3_EXPANSION!$D$56:DI$56,"&gt;="&amp;38)=0,0,SUP_CONTROL!$C$8*IF($B45="V",1,IF($B45="D",(1+SUP_VOLUMEN!$C$26),(1+SUP_VOLUMEN!$C$27)))*INDEX(SUP_C3_EXPANSION!$C$6:$F$6,MIN(4,COUNTIF(CAPA3_EXPANSION!$D$56:DI$56,"&gt;="&amp;38)))*CAPA3_EXPANSION!DI$36)</f>
        <v>4586.4</v>
      </c>
      <c r="DJ45" s="298" t="n">
        <f aca="false">IF(COUNTIF(CAPA3_EXPANSION!$D$56:DJ$56,"&gt;="&amp;38)=0,0,SUP_CONTROL!$C$8*IF($B45="V",1,IF($B45="D",(1+SUP_VOLUMEN!$C$26),(1+SUP_VOLUMEN!$C$27)))*INDEX(SUP_C3_EXPANSION!$C$6:$F$6,MIN(4,COUNTIF(CAPA3_EXPANSION!$D$56:DJ$56,"&gt;="&amp;38)))*CAPA3_EXPANSION!DJ$36)</f>
        <v>4586.4</v>
      </c>
      <c r="DK45" s="298" t="n">
        <f aca="false">IF(COUNTIF(CAPA3_EXPANSION!$D$56:DK$56,"&gt;="&amp;38)=0,0,SUP_CONTROL!$C$8*IF($B45="V",1,IF($B45="D",(1+SUP_VOLUMEN!$C$26),(1+SUP_VOLUMEN!$C$27)))*INDEX(SUP_C3_EXPANSION!$C$6:$F$6,MIN(4,COUNTIF(CAPA3_EXPANSION!$D$56:DK$56,"&gt;="&amp;38)))*CAPA3_EXPANSION!DK$36)</f>
        <v>4586.4</v>
      </c>
      <c r="DL45" s="298" t="n">
        <f aca="false">IF(COUNTIF(CAPA3_EXPANSION!$D$56:DL$56,"&gt;="&amp;38)=0,0,SUP_CONTROL!$C$8*IF($B45="V",1,IF($B45="D",(1+SUP_VOLUMEN!$C$26),(1+SUP_VOLUMEN!$C$27)))*INDEX(SUP_C3_EXPANSION!$C$6:$F$6,MIN(4,COUNTIF(CAPA3_EXPANSION!$D$56:DL$56,"&gt;="&amp;38)))*CAPA3_EXPANSION!DL$36)</f>
        <v>4586.4</v>
      </c>
      <c r="DM45" s="298" t="n">
        <f aca="false">IF(COUNTIF(CAPA3_EXPANSION!$D$56:DM$56,"&gt;="&amp;38)=0,0,SUP_CONTROL!$C$8*IF($B45="V",1,IF($B45="D",(1+SUP_VOLUMEN!$C$26),(1+SUP_VOLUMEN!$C$27)))*INDEX(SUP_C3_EXPANSION!$C$6:$F$6,MIN(4,COUNTIF(CAPA3_EXPANSION!$D$56:DM$56,"&gt;="&amp;38)))*CAPA3_EXPANSION!DM$36)</f>
        <v>4586.4</v>
      </c>
      <c r="DN45" s="298" t="n">
        <f aca="false">IF(COUNTIF(CAPA3_EXPANSION!$D$56:DN$56,"&gt;="&amp;38)=0,0,SUP_CONTROL!$C$8*IF($B45="V",1,IF($B45="D",(1+SUP_VOLUMEN!$C$26),(1+SUP_VOLUMEN!$C$27)))*INDEX(SUP_C3_EXPANSION!$C$6:$F$6,MIN(4,COUNTIF(CAPA3_EXPANSION!$D$56:DN$56,"&gt;="&amp;38)))*CAPA3_EXPANSION!DN$36)</f>
        <v>4586.4</v>
      </c>
      <c r="DO45" s="298" t="n">
        <f aca="false">IF(COUNTIF(CAPA3_EXPANSION!$D$56:DO$56,"&gt;="&amp;38)=0,0,SUP_CONTROL!$C$8*IF($B45="V",1,IF($B45="D",(1+SUP_VOLUMEN!$C$26),(1+SUP_VOLUMEN!$C$27)))*INDEX(SUP_C3_EXPANSION!$C$6:$F$6,MIN(4,COUNTIF(CAPA3_EXPANSION!$D$56:DO$56,"&gt;="&amp;38)))*CAPA3_EXPANSION!DO$36)</f>
        <v>4586.4</v>
      </c>
      <c r="DP45" s="298" t="n">
        <f aca="false">IF(COUNTIF(CAPA3_EXPANSION!$D$56:DP$56,"&gt;="&amp;38)=0,0,SUP_CONTROL!$C$8*IF($B45="V",1,IF($B45="D",(1+SUP_VOLUMEN!$C$26),(1+SUP_VOLUMEN!$C$27)))*INDEX(SUP_C3_EXPANSION!$C$6:$F$6,MIN(4,COUNTIF(CAPA3_EXPANSION!$D$56:DP$56,"&gt;="&amp;38)))*CAPA3_EXPANSION!DP$36)</f>
        <v>4586.4</v>
      </c>
      <c r="DQ45" s="298" t="n">
        <f aca="false">IF(COUNTIF(CAPA3_EXPANSION!$D$56:DQ$56,"&gt;="&amp;38)=0,0,SUP_CONTROL!$C$8*IF($B45="V",1,IF($B45="D",(1+SUP_VOLUMEN!$C$26),(1+SUP_VOLUMEN!$C$27)))*INDEX(SUP_C3_EXPANSION!$C$6:$F$6,MIN(4,COUNTIF(CAPA3_EXPANSION!$D$56:DQ$56,"&gt;="&amp;38)))*CAPA3_EXPANSION!DQ$36)</f>
        <v>4586.4</v>
      </c>
      <c r="DR45" s="298" t="n">
        <f aca="false">IF(COUNTIF(CAPA3_EXPANSION!$D$56:DR$56,"&gt;="&amp;38)=0,0,SUP_CONTROL!$C$8*IF($B45="V",1,IF($B45="D",(1+SUP_VOLUMEN!$C$26),(1+SUP_VOLUMEN!$C$27)))*INDEX(SUP_C3_EXPANSION!$C$6:$F$6,MIN(4,COUNTIF(CAPA3_EXPANSION!$D$56:DR$56,"&gt;="&amp;38)))*CAPA3_EXPANSION!DR$36)</f>
        <v>4586.4</v>
      </c>
      <c r="DS45" s="298" t="n">
        <f aca="false">IF(COUNTIF(CAPA3_EXPANSION!$D$56:DS$56,"&gt;="&amp;38)=0,0,SUP_CONTROL!$C$8*IF($B45="V",1,IF($B45="D",(1+SUP_VOLUMEN!$C$26),(1+SUP_VOLUMEN!$C$27)))*INDEX(SUP_C3_EXPANSION!$C$6:$F$6,MIN(4,COUNTIF(CAPA3_EXPANSION!$D$56:DS$56,"&gt;="&amp;38)))*CAPA3_EXPANSION!DS$36)</f>
        <v>4586.4</v>
      </c>
    </row>
    <row r="46" customFormat="false" ht="15" hidden="false" customHeight="true" outlineLevel="0" collapsed="false">
      <c r="A46" s="298" t="n">
        <v>49</v>
      </c>
      <c r="B46" s="497" t="str">
        <f aca="false">SUP_C3_EXPANSION!B58</f>
        <v>V</v>
      </c>
      <c r="C46" s="267" t="n">
        <f aca="false">SUP_C3_EXPANSION!G58</f>
        <v>81</v>
      </c>
      <c r="D46" s="298" t="n">
        <f aca="false">IF(COUNTIF(CAPA3_EXPANSION!$D$56:D$56,"&gt;="&amp;39)=0,0,SUP_CONTROL!$C$8*IF($B46="V",1,IF($B46="D",(1+SUP_VOLUMEN!$C$26),(1+SUP_VOLUMEN!$C$27)))*INDEX(SUP_C3_EXPANSION!$C$6:$F$6,MIN(4,COUNTIF(CAPA3_EXPANSION!$D$56:D$56,"&gt;="&amp;39)))*CAPA3_EXPANSION!D$36)</f>
        <v>0</v>
      </c>
      <c r="E46" s="298" t="n">
        <f aca="false">IF(COUNTIF(CAPA3_EXPANSION!$D$56:E$56,"&gt;="&amp;39)=0,0,SUP_CONTROL!$C$8*IF($B46="V",1,IF($B46="D",(1+SUP_VOLUMEN!$C$26),(1+SUP_VOLUMEN!$C$27)))*INDEX(SUP_C3_EXPANSION!$C$6:$F$6,MIN(4,COUNTIF(CAPA3_EXPANSION!$D$56:E$56,"&gt;="&amp;39)))*CAPA3_EXPANSION!E$36)</f>
        <v>0</v>
      </c>
      <c r="F46" s="298" t="n">
        <f aca="false">IF(COUNTIF(CAPA3_EXPANSION!$D$56:F$56,"&gt;="&amp;39)=0,0,SUP_CONTROL!$C$8*IF($B46="V",1,IF($B46="D",(1+SUP_VOLUMEN!$C$26),(1+SUP_VOLUMEN!$C$27)))*INDEX(SUP_C3_EXPANSION!$C$6:$F$6,MIN(4,COUNTIF(CAPA3_EXPANSION!$D$56:F$56,"&gt;="&amp;39)))*CAPA3_EXPANSION!F$36)</f>
        <v>0</v>
      </c>
      <c r="G46" s="298" t="n">
        <f aca="false">IF(COUNTIF(CAPA3_EXPANSION!$D$56:G$56,"&gt;="&amp;39)=0,0,SUP_CONTROL!$C$8*IF($B46="V",1,IF($B46="D",(1+SUP_VOLUMEN!$C$26),(1+SUP_VOLUMEN!$C$27)))*INDEX(SUP_C3_EXPANSION!$C$6:$F$6,MIN(4,COUNTIF(CAPA3_EXPANSION!$D$56:G$56,"&gt;="&amp;39)))*CAPA3_EXPANSION!G$36)</f>
        <v>0</v>
      </c>
      <c r="H46" s="298" t="n">
        <f aca="false">IF(COUNTIF(CAPA3_EXPANSION!$D$56:H$56,"&gt;="&amp;39)=0,0,SUP_CONTROL!$C$8*IF($B46="V",1,IF($B46="D",(1+SUP_VOLUMEN!$C$26),(1+SUP_VOLUMEN!$C$27)))*INDEX(SUP_C3_EXPANSION!$C$6:$F$6,MIN(4,COUNTIF(CAPA3_EXPANSION!$D$56:H$56,"&gt;="&amp;39)))*CAPA3_EXPANSION!H$36)</f>
        <v>0</v>
      </c>
      <c r="I46" s="298" t="n">
        <f aca="false">IF(COUNTIF(CAPA3_EXPANSION!$D$56:I$56,"&gt;="&amp;39)=0,0,SUP_CONTROL!$C$8*IF($B46="V",1,IF($B46="D",(1+SUP_VOLUMEN!$C$26),(1+SUP_VOLUMEN!$C$27)))*INDEX(SUP_C3_EXPANSION!$C$6:$F$6,MIN(4,COUNTIF(CAPA3_EXPANSION!$D$56:I$56,"&gt;="&amp;39)))*CAPA3_EXPANSION!I$36)</f>
        <v>0</v>
      </c>
      <c r="J46" s="298" t="n">
        <f aca="false">IF(COUNTIF(CAPA3_EXPANSION!$D$56:J$56,"&gt;="&amp;39)=0,0,SUP_CONTROL!$C$8*IF($B46="V",1,IF($B46="D",(1+SUP_VOLUMEN!$C$26),(1+SUP_VOLUMEN!$C$27)))*INDEX(SUP_C3_EXPANSION!$C$6:$F$6,MIN(4,COUNTIF(CAPA3_EXPANSION!$D$56:J$56,"&gt;="&amp;39)))*CAPA3_EXPANSION!J$36)</f>
        <v>0</v>
      </c>
      <c r="K46" s="298" t="n">
        <f aca="false">IF(COUNTIF(CAPA3_EXPANSION!$D$56:K$56,"&gt;="&amp;39)=0,0,SUP_CONTROL!$C$8*IF($B46="V",1,IF($B46="D",(1+SUP_VOLUMEN!$C$26),(1+SUP_VOLUMEN!$C$27)))*INDEX(SUP_C3_EXPANSION!$C$6:$F$6,MIN(4,COUNTIF(CAPA3_EXPANSION!$D$56:K$56,"&gt;="&amp;39)))*CAPA3_EXPANSION!K$36)</f>
        <v>0</v>
      </c>
      <c r="L46" s="298" t="n">
        <f aca="false">IF(COUNTIF(CAPA3_EXPANSION!$D$56:L$56,"&gt;="&amp;39)=0,0,SUP_CONTROL!$C$8*IF($B46="V",1,IF($B46="D",(1+SUP_VOLUMEN!$C$26),(1+SUP_VOLUMEN!$C$27)))*INDEX(SUP_C3_EXPANSION!$C$6:$F$6,MIN(4,COUNTIF(CAPA3_EXPANSION!$D$56:L$56,"&gt;="&amp;39)))*CAPA3_EXPANSION!L$36)</f>
        <v>0</v>
      </c>
      <c r="M46" s="298" t="n">
        <f aca="false">IF(COUNTIF(CAPA3_EXPANSION!$D$56:M$56,"&gt;="&amp;39)=0,0,SUP_CONTROL!$C$8*IF($B46="V",1,IF($B46="D",(1+SUP_VOLUMEN!$C$26),(1+SUP_VOLUMEN!$C$27)))*INDEX(SUP_C3_EXPANSION!$C$6:$F$6,MIN(4,COUNTIF(CAPA3_EXPANSION!$D$56:M$56,"&gt;="&amp;39)))*CAPA3_EXPANSION!M$36)</f>
        <v>0</v>
      </c>
      <c r="N46" s="298" t="n">
        <f aca="false">IF(COUNTIF(CAPA3_EXPANSION!$D$56:N$56,"&gt;="&amp;39)=0,0,SUP_CONTROL!$C$8*IF($B46="V",1,IF($B46="D",(1+SUP_VOLUMEN!$C$26),(1+SUP_VOLUMEN!$C$27)))*INDEX(SUP_C3_EXPANSION!$C$6:$F$6,MIN(4,COUNTIF(CAPA3_EXPANSION!$D$56:N$56,"&gt;="&amp;39)))*CAPA3_EXPANSION!N$36)</f>
        <v>0</v>
      </c>
      <c r="O46" s="298" t="n">
        <f aca="false">IF(COUNTIF(CAPA3_EXPANSION!$D$56:O$56,"&gt;="&amp;39)=0,0,SUP_CONTROL!$C$8*IF($B46="V",1,IF($B46="D",(1+SUP_VOLUMEN!$C$26),(1+SUP_VOLUMEN!$C$27)))*INDEX(SUP_C3_EXPANSION!$C$6:$F$6,MIN(4,COUNTIF(CAPA3_EXPANSION!$D$56:O$56,"&gt;="&amp;39)))*CAPA3_EXPANSION!O$36)</f>
        <v>0</v>
      </c>
      <c r="P46" s="298" t="n">
        <f aca="false">IF(COUNTIF(CAPA3_EXPANSION!$D$56:P$56,"&gt;="&amp;39)=0,0,SUP_CONTROL!$C$8*IF($B46="V",1,IF($B46="D",(1+SUP_VOLUMEN!$C$26),(1+SUP_VOLUMEN!$C$27)))*INDEX(SUP_C3_EXPANSION!$C$6:$F$6,MIN(4,COUNTIF(CAPA3_EXPANSION!$D$56:P$56,"&gt;="&amp;39)))*CAPA3_EXPANSION!P$36)</f>
        <v>0</v>
      </c>
      <c r="Q46" s="298" t="n">
        <f aca="false">IF(COUNTIF(CAPA3_EXPANSION!$D$56:Q$56,"&gt;="&amp;39)=0,0,SUP_CONTROL!$C$8*IF($B46="V",1,IF($B46="D",(1+SUP_VOLUMEN!$C$26),(1+SUP_VOLUMEN!$C$27)))*INDEX(SUP_C3_EXPANSION!$C$6:$F$6,MIN(4,COUNTIF(CAPA3_EXPANSION!$D$56:Q$56,"&gt;="&amp;39)))*CAPA3_EXPANSION!Q$36)</f>
        <v>0</v>
      </c>
      <c r="R46" s="298" t="n">
        <f aca="false">IF(COUNTIF(CAPA3_EXPANSION!$D$56:R$56,"&gt;="&amp;39)=0,0,SUP_CONTROL!$C$8*IF($B46="V",1,IF($B46="D",(1+SUP_VOLUMEN!$C$26),(1+SUP_VOLUMEN!$C$27)))*INDEX(SUP_C3_EXPANSION!$C$6:$F$6,MIN(4,COUNTIF(CAPA3_EXPANSION!$D$56:R$56,"&gt;="&amp;39)))*CAPA3_EXPANSION!R$36)</f>
        <v>0</v>
      </c>
      <c r="S46" s="298" t="n">
        <f aca="false">IF(COUNTIF(CAPA3_EXPANSION!$D$56:S$56,"&gt;="&amp;39)=0,0,SUP_CONTROL!$C$8*IF($B46="V",1,IF($B46="D",(1+SUP_VOLUMEN!$C$26),(1+SUP_VOLUMEN!$C$27)))*INDEX(SUP_C3_EXPANSION!$C$6:$F$6,MIN(4,COUNTIF(CAPA3_EXPANSION!$D$56:S$56,"&gt;="&amp;39)))*CAPA3_EXPANSION!S$36)</f>
        <v>0</v>
      </c>
      <c r="T46" s="298" t="n">
        <f aca="false">IF(COUNTIF(CAPA3_EXPANSION!$D$56:T$56,"&gt;="&amp;39)=0,0,SUP_CONTROL!$C$8*IF($B46="V",1,IF($B46="D",(1+SUP_VOLUMEN!$C$26),(1+SUP_VOLUMEN!$C$27)))*INDEX(SUP_C3_EXPANSION!$C$6:$F$6,MIN(4,COUNTIF(CAPA3_EXPANSION!$D$56:T$56,"&gt;="&amp;39)))*CAPA3_EXPANSION!T$36)</f>
        <v>0</v>
      </c>
      <c r="U46" s="298" t="n">
        <f aca="false">IF(COUNTIF(CAPA3_EXPANSION!$D$56:U$56,"&gt;="&amp;39)=0,0,SUP_CONTROL!$C$8*IF($B46="V",1,IF($B46="D",(1+SUP_VOLUMEN!$C$26),(1+SUP_VOLUMEN!$C$27)))*INDEX(SUP_C3_EXPANSION!$C$6:$F$6,MIN(4,COUNTIF(CAPA3_EXPANSION!$D$56:U$56,"&gt;="&amp;39)))*CAPA3_EXPANSION!U$36)</f>
        <v>0</v>
      </c>
      <c r="V46" s="298" t="n">
        <f aca="false">IF(COUNTIF(CAPA3_EXPANSION!$D$56:V$56,"&gt;="&amp;39)=0,0,SUP_CONTROL!$C$8*IF($B46="V",1,IF($B46="D",(1+SUP_VOLUMEN!$C$26),(1+SUP_VOLUMEN!$C$27)))*INDEX(SUP_C3_EXPANSION!$C$6:$F$6,MIN(4,COUNTIF(CAPA3_EXPANSION!$D$56:V$56,"&gt;="&amp;39)))*CAPA3_EXPANSION!V$36)</f>
        <v>0</v>
      </c>
      <c r="W46" s="298" t="n">
        <f aca="false">IF(COUNTIF(CAPA3_EXPANSION!$D$56:W$56,"&gt;="&amp;39)=0,0,SUP_CONTROL!$C$8*IF($B46="V",1,IF($B46="D",(1+SUP_VOLUMEN!$C$26),(1+SUP_VOLUMEN!$C$27)))*INDEX(SUP_C3_EXPANSION!$C$6:$F$6,MIN(4,COUNTIF(CAPA3_EXPANSION!$D$56:W$56,"&gt;="&amp;39)))*CAPA3_EXPANSION!W$36)</f>
        <v>0</v>
      </c>
      <c r="X46" s="298" t="n">
        <f aca="false">IF(COUNTIF(CAPA3_EXPANSION!$D$56:X$56,"&gt;="&amp;39)=0,0,SUP_CONTROL!$C$8*IF($B46="V",1,IF($B46="D",(1+SUP_VOLUMEN!$C$26),(1+SUP_VOLUMEN!$C$27)))*INDEX(SUP_C3_EXPANSION!$C$6:$F$6,MIN(4,COUNTIF(CAPA3_EXPANSION!$D$56:X$56,"&gt;="&amp;39)))*CAPA3_EXPANSION!X$36)</f>
        <v>0</v>
      </c>
      <c r="Y46" s="298" t="n">
        <f aca="false">IF(COUNTIF(CAPA3_EXPANSION!$D$56:Y$56,"&gt;="&amp;39)=0,0,SUP_CONTROL!$C$8*IF($B46="V",1,IF($B46="D",(1+SUP_VOLUMEN!$C$26),(1+SUP_VOLUMEN!$C$27)))*INDEX(SUP_C3_EXPANSION!$C$6:$F$6,MIN(4,COUNTIF(CAPA3_EXPANSION!$D$56:Y$56,"&gt;="&amp;39)))*CAPA3_EXPANSION!Y$36)</f>
        <v>0</v>
      </c>
      <c r="Z46" s="298" t="n">
        <f aca="false">IF(COUNTIF(CAPA3_EXPANSION!$D$56:Z$56,"&gt;="&amp;39)=0,0,SUP_CONTROL!$C$8*IF($B46="V",1,IF($B46="D",(1+SUP_VOLUMEN!$C$26),(1+SUP_VOLUMEN!$C$27)))*INDEX(SUP_C3_EXPANSION!$C$6:$F$6,MIN(4,COUNTIF(CAPA3_EXPANSION!$D$56:Z$56,"&gt;="&amp;39)))*CAPA3_EXPANSION!Z$36)</f>
        <v>0</v>
      </c>
      <c r="AA46" s="298" t="n">
        <f aca="false">IF(COUNTIF(CAPA3_EXPANSION!$D$56:AA$56,"&gt;="&amp;39)=0,0,SUP_CONTROL!$C$8*IF($B46="V",1,IF($B46="D",(1+SUP_VOLUMEN!$C$26),(1+SUP_VOLUMEN!$C$27)))*INDEX(SUP_C3_EXPANSION!$C$6:$F$6,MIN(4,COUNTIF(CAPA3_EXPANSION!$D$56:AA$56,"&gt;="&amp;39)))*CAPA3_EXPANSION!AA$36)</f>
        <v>0</v>
      </c>
      <c r="AB46" s="298" t="n">
        <f aca="false">IF(COUNTIF(CAPA3_EXPANSION!$D$56:AB$56,"&gt;="&amp;39)=0,0,SUP_CONTROL!$C$8*IF($B46="V",1,IF($B46="D",(1+SUP_VOLUMEN!$C$26),(1+SUP_VOLUMEN!$C$27)))*INDEX(SUP_C3_EXPANSION!$C$6:$F$6,MIN(4,COUNTIF(CAPA3_EXPANSION!$D$56:AB$56,"&gt;="&amp;39)))*CAPA3_EXPANSION!AB$36)</f>
        <v>0</v>
      </c>
      <c r="AC46" s="298" t="n">
        <f aca="false">IF(COUNTIF(CAPA3_EXPANSION!$D$56:AC$56,"&gt;="&amp;39)=0,0,SUP_CONTROL!$C$8*IF($B46="V",1,IF($B46="D",(1+SUP_VOLUMEN!$C$26),(1+SUP_VOLUMEN!$C$27)))*INDEX(SUP_C3_EXPANSION!$C$6:$F$6,MIN(4,COUNTIF(CAPA3_EXPANSION!$D$56:AC$56,"&gt;="&amp;39)))*CAPA3_EXPANSION!AC$36)</f>
        <v>0</v>
      </c>
      <c r="AD46" s="298" t="n">
        <f aca="false">IF(COUNTIF(CAPA3_EXPANSION!$D$56:AD$56,"&gt;="&amp;39)=0,0,SUP_CONTROL!$C$8*IF($B46="V",1,IF($B46="D",(1+SUP_VOLUMEN!$C$26),(1+SUP_VOLUMEN!$C$27)))*INDEX(SUP_C3_EXPANSION!$C$6:$F$6,MIN(4,COUNTIF(CAPA3_EXPANSION!$D$56:AD$56,"&gt;="&amp;39)))*CAPA3_EXPANSION!AD$36)</f>
        <v>0</v>
      </c>
      <c r="AE46" s="298" t="n">
        <f aca="false">IF(COUNTIF(CAPA3_EXPANSION!$D$56:AE$56,"&gt;="&amp;39)=0,0,SUP_CONTROL!$C$8*IF($B46="V",1,IF($B46="D",(1+SUP_VOLUMEN!$C$26),(1+SUP_VOLUMEN!$C$27)))*INDEX(SUP_C3_EXPANSION!$C$6:$F$6,MIN(4,COUNTIF(CAPA3_EXPANSION!$D$56:AE$56,"&gt;="&amp;39)))*CAPA3_EXPANSION!AE$36)</f>
        <v>0</v>
      </c>
      <c r="AF46" s="298" t="n">
        <f aca="false">IF(COUNTIF(CAPA3_EXPANSION!$D$56:AF$56,"&gt;="&amp;39)=0,0,SUP_CONTROL!$C$8*IF($B46="V",1,IF($B46="D",(1+SUP_VOLUMEN!$C$26),(1+SUP_VOLUMEN!$C$27)))*INDEX(SUP_C3_EXPANSION!$C$6:$F$6,MIN(4,COUNTIF(CAPA3_EXPANSION!$D$56:AF$56,"&gt;="&amp;39)))*CAPA3_EXPANSION!AF$36)</f>
        <v>0</v>
      </c>
      <c r="AG46" s="298" t="n">
        <f aca="false">IF(COUNTIF(CAPA3_EXPANSION!$D$56:AG$56,"&gt;="&amp;39)=0,0,SUP_CONTROL!$C$8*IF($B46="V",1,IF($B46="D",(1+SUP_VOLUMEN!$C$26),(1+SUP_VOLUMEN!$C$27)))*INDEX(SUP_C3_EXPANSION!$C$6:$F$6,MIN(4,COUNTIF(CAPA3_EXPANSION!$D$56:AG$56,"&gt;="&amp;39)))*CAPA3_EXPANSION!AG$36)</f>
        <v>0</v>
      </c>
      <c r="AH46" s="298" t="n">
        <f aca="false">IF(COUNTIF(CAPA3_EXPANSION!$D$56:AH$56,"&gt;="&amp;39)=0,0,SUP_CONTROL!$C$8*IF($B46="V",1,IF($B46="D",(1+SUP_VOLUMEN!$C$26),(1+SUP_VOLUMEN!$C$27)))*INDEX(SUP_C3_EXPANSION!$C$6:$F$6,MIN(4,COUNTIF(CAPA3_EXPANSION!$D$56:AH$56,"&gt;="&amp;39)))*CAPA3_EXPANSION!AH$36)</f>
        <v>0</v>
      </c>
      <c r="AI46" s="298" t="n">
        <f aca="false">IF(COUNTIF(CAPA3_EXPANSION!$D$56:AI$56,"&gt;="&amp;39)=0,0,SUP_CONTROL!$C$8*IF($B46="V",1,IF($B46="D",(1+SUP_VOLUMEN!$C$26),(1+SUP_VOLUMEN!$C$27)))*INDEX(SUP_C3_EXPANSION!$C$6:$F$6,MIN(4,COUNTIF(CAPA3_EXPANSION!$D$56:AI$56,"&gt;="&amp;39)))*CAPA3_EXPANSION!AI$36)</f>
        <v>0</v>
      </c>
      <c r="AJ46" s="298" t="n">
        <f aca="false">IF(COUNTIF(CAPA3_EXPANSION!$D$56:AJ$56,"&gt;="&amp;39)=0,0,SUP_CONTROL!$C$8*IF($B46="V",1,IF($B46="D",(1+SUP_VOLUMEN!$C$26),(1+SUP_VOLUMEN!$C$27)))*INDEX(SUP_C3_EXPANSION!$C$6:$F$6,MIN(4,COUNTIF(CAPA3_EXPANSION!$D$56:AJ$56,"&gt;="&amp;39)))*CAPA3_EXPANSION!AJ$36)</f>
        <v>0</v>
      </c>
      <c r="AK46" s="298" t="n">
        <f aca="false">IF(COUNTIF(CAPA3_EXPANSION!$D$56:AK$56,"&gt;="&amp;39)=0,0,SUP_CONTROL!$C$8*IF($B46="V",1,IF($B46="D",(1+SUP_VOLUMEN!$C$26),(1+SUP_VOLUMEN!$C$27)))*INDEX(SUP_C3_EXPANSION!$C$6:$F$6,MIN(4,COUNTIF(CAPA3_EXPANSION!$D$56:AK$56,"&gt;="&amp;39)))*CAPA3_EXPANSION!AK$36)</f>
        <v>0</v>
      </c>
      <c r="AL46" s="298" t="n">
        <f aca="false">IF(COUNTIF(CAPA3_EXPANSION!$D$56:AL$56,"&gt;="&amp;39)=0,0,SUP_CONTROL!$C$8*IF($B46="V",1,IF($B46="D",(1+SUP_VOLUMEN!$C$26),(1+SUP_VOLUMEN!$C$27)))*INDEX(SUP_C3_EXPANSION!$C$6:$F$6,MIN(4,COUNTIF(CAPA3_EXPANSION!$D$56:AL$56,"&gt;="&amp;39)))*CAPA3_EXPANSION!AL$36)</f>
        <v>0</v>
      </c>
      <c r="AM46" s="298" t="n">
        <f aca="false">IF(COUNTIF(CAPA3_EXPANSION!$D$56:AM$56,"&gt;="&amp;39)=0,0,SUP_CONTROL!$C$8*IF($B46="V",1,IF($B46="D",(1+SUP_VOLUMEN!$C$26),(1+SUP_VOLUMEN!$C$27)))*INDEX(SUP_C3_EXPANSION!$C$6:$F$6,MIN(4,COUNTIF(CAPA3_EXPANSION!$D$56:AM$56,"&gt;="&amp;39)))*CAPA3_EXPANSION!AM$36)</f>
        <v>0</v>
      </c>
      <c r="AN46" s="298" t="n">
        <f aca="false">IF(COUNTIF(CAPA3_EXPANSION!$D$56:AN$56,"&gt;="&amp;39)=0,0,SUP_CONTROL!$C$8*IF($B46="V",1,IF($B46="D",(1+SUP_VOLUMEN!$C$26),(1+SUP_VOLUMEN!$C$27)))*INDEX(SUP_C3_EXPANSION!$C$6:$F$6,MIN(4,COUNTIF(CAPA3_EXPANSION!$D$56:AN$56,"&gt;="&amp;39)))*CAPA3_EXPANSION!AN$36)</f>
        <v>0</v>
      </c>
      <c r="AO46" s="298" t="n">
        <f aca="false">IF(COUNTIF(CAPA3_EXPANSION!$D$56:AO$56,"&gt;="&amp;39)=0,0,SUP_CONTROL!$C$8*IF($B46="V",1,IF($B46="D",(1+SUP_VOLUMEN!$C$26),(1+SUP_VOLUMEN!$C$27)))*INDEX(SUP_C3_EXPANSION!$C$6:$F$6,MIN(4,COUNTIF(CAPA3_EXPANSION!$D$56:AO$56,"&gt;="&amp;39)))*CAPA3_EXPANSION!AO$36)</f>
        <v>0</v>
      </c>
      <c r="AP46" s="298" t="n">
        <f aca="false">IF(COUNTIF(CAPA3_EXPANSION!$D$56:AP$56,"&gt;="&amp;39)=0,0,SUP_CONTROL!$C$8*IF($B46="V",1,IF($B46="D",(1+SUP_VOLUMEN!$C$26),(1+SUP_VOLUMEN!$C$27)))*INDEX(SUP_C3_EXPANSION!$C$6:$F$6,MIN(4,COUNTIF(CAPA3_EXPANSION!$D$56:AP$56,"&gt;="&amp;39)))*CAPA3_EXPANSION!AP$36)</f>
        <v>0</v>
      </c>
      <c r="AQ46" s="298" t="n">
        <f aca="false">IF(COUNTIF(CAPA3_EXPANSION!$D$56:AQ$56,"&gt;="&amp;39)=0,0,SUP_CONTROL!$C$8*IF($B46="V",1,IF($B46="D",(1+SUP_VOLUMEN!$C$26),(1+SUP_VOLUMEN!$C$27)))*INDEX(SUP_C3_EXPANSION!$C$6:$F$6,MIN(4,COUNTIF(CAPA3_EXPANSION!$D$56:AQ$56,"&gt;="&amp;39)))*CAPA3_EXPANSION!AQ$36)</f>
        <v>0</v>
      </c>
      <c r="AR46" s="298" t="n">
        <f aca="false">IF(COUNTIF(CAPA3_EXPANSION!$D$56:AR$56,"&gt;="&amp;39)=0,0,SUP_CONTROL!$C$8*IF($B46="V",1,IF($B46="D",(1+SUP_VOLUMEN!$C$26),(1+SUP_VOLUMEN!$C$27)))*INDEX(SUP_C3_EXPANSION!$C$6:$F$6,MIN(4,COUNTIF(CAPA3_EXPANSION!$D$56:AR$56,"&gt;="&amp;39)))*CAPA3_EXPANSION!AR$36)</f>
        <v>0</v>
      </c>
      <c r="AS46" s="298" t="n">
        <f aca="false">IF(COUNTIF(CAPA3_EXPANSION!$D$56:AS$56,"&gt;="&amp;39)=0,0,SUP_CONTROL!$C$8*IF($B46="V",1,IF($B46="D",(1+SUP_VOLUMEN!$C$26),(1+SUP_VOLUMEN!$C$27)))*INDEX(SUP_C3_EXPANSION!$C$6:$F$6,MIN(4,COUNTIF(CAPA3_EXPANSION!$D$56:AS$56,"&gt;="&amp;39)))*CAPA3_EXPANSION!AS$36)</f>
        <v>0</v>
      </c>
      <c r="AT46" s="298" t="n">
        <f aca="false">IF(COUNTIF(CAPA3_EXPANSION!$D$56:AT$56,"&gt;="&amp;39)=0,0,SUP_CONTROL!$C$8*IF($B46="V",1,IF($B46="D",(1+SUP_VOLUMEN!$C$26),(1+SUP_VOLUMEN!$C$27)))*INDEX(SUP_C3_EXPANSION!$C$6:$F$6,MIN(4,COUNTIF(CAPA3_EXPANSION!$D$56:AT$56,"&gt;="&amp;39)))*CAPA3_EXPANSION!AT$36)</f>
        <v>0</v>
      </c>
      <c r="AU46" s="298" t="n">
        <f aca="false">IF(COUNTIF(CAPA3_EXPANSION!$D$56:AU$56,"&gt;="&amp;39)=0,0,SUP_CONTROL!$C$8*IF($B46="V",1,IF($B46="D",(1+SUP_VOLUMEN!$C$26),(1+SUP_VOLUMEN!$C$27)))*INDEX(SUP_C3_EXPANSION!$C$6:$F$6,MIN(4,COUNTIF(CAPA3_EXPANSION!$D$56:AU$56,"&gt;="&amp;39)))*CAPA3_EXPANSION!AU$36)</f>
        <v>0</v>
      </c>
      <c r="AV46" s="298" t="n">
        <f aca="false">IF(COUNTIF(CAPA3_EXPANSION!$D$56:AV$56,"&gt;="&amp;39)=0,0,SUP_CONTROL!$C$8*IF($B46="V",1,IF($B46="D",(1+SUP_VOLUMEN!$C$26),(1+SUP_VOLUMEN!$C$27)))*INDEX(SUP_C3_EXPANSION!$C$6:$F$6,MIN(4,COUNTIF(CAPA3_EXPANSION!$D$56:AV$56,"&gt;="&amp;39)))*CAPA3_EXPANSION!AV$36)</f>
        <v>0</v>
      </c>
      <c r="AW46" s="298" t="n">
        <f aca="false">IF(COUNTIF(CAPA3_EXPANSION!$D$56:AW$56,"&gt;="&amp;39)=0,0,SUP_CONTROL!$C$8*IF($B46="V",1,IF($B46="D",(1+SUP_VOLUMEN!$C$26),(1+SUP_VOLUMEN!$C$27)))*INDEX(SUP_C3_EXPANSION!$C$6:$F$6,MIN(4,COUNTIF(CAPA3_EXPANSION!$D$56:AW$56,"&gt;="&amp;39)))*CAPA3_EXPANSION!AW$36)</f>
        <v>0</v>
      </c>
      <c r="AX46" s="298" t="n">
        <f aca="false">IF(COUNTIF(CAPA3_EXPANSION!$D$56:AX$56,"&gt;="&amp;39)=0,0,SUP_CONTROL!$C$8*IF($B46="V",1,IF($B46="D",(1+SUP_VOLUMEN!$C$26),(1+SUP_VOLUMEN!$C$27)))*INDEX(SUP_C3_EXPANSION!$C$6:$F$6,MIN(4,COUNTIF(CAPA3_EXPANSION!$D$56:AX$56,"&gt;="&amp;39)))*CAPA3_EXPANSION!AX$36)</f>
        <v>0</v>
      </c>
      <c r="AY46" s="298" t="n">
        <f aca="false">IF(COUNTIF(CAPA3_EXPANSION!$D$56:AY$56,"&gt;="&amp;39)=0,0,SUP_CONTROL!$C$8*IF($B46="V",1,IF($B46="D",(1+SUP_VOLUMEN!$C$26),(1+SUP_VOLUMEN!$C$27)))*INDEX(SUP_C3_EXPANSION!$C$6:$F$6,MIN(4,COUNTIF(CAPA3_EXPANSION!$D$56:AY$56,"&gt;="&amp;39)))*CAPA3_EXPANSION!AY$36)</f>
        <v>0</v>
      </c>
      <c r="AZ46" s="298" t="n">
        <f aca="false">IF(COUNTIF(CAPA3_EXPANSION!$D$56:AZ$56,"&gt;="&amp;39)=0,0,SUP_CONTROL!$C$8*IF($B46="V",1,IF($B46="D",(1+SUP_VOLUMEN!$C$26),(1+SUP_VOLUMEN!$C$27)))*INDEX(SUP_C3_EXPANSION!$C$6:$F$6,MIN(4,COUNTIF(CAPA3_EXPANSION!$D$56:AZ$56,"&gt;="&amp;39)))*CAPA3_EXPANSION!AZ$36)</f>
        <v>0</v>
      </c>
      <c r="BA46" s="298" t="n">
        <f aca="false">IF(COUNTIF(CAPA3_EXPANSION!$D$56:BA$56,"&gt;="&amp;39)=0,0,SUP_CONTROL!$C$8*IF($B46="V",1,IF($B46="D",(1+SUP_VOLUMEN!$C$26),(1+SUP_VOLUMEN!$C$27)))*INDEX(SUP_C3_EXPANSION!$C$6:$F$6,MIN(4,COUNTIF(CAPA3_EXPANSION!$D$56:BA$56,"&gt;="&amp;39)))*CAPA3_EXPANSION!BA$36)</f>
        <v>0</v>
      </c>
      <c r="BB46" s="298" t="n">
        <f aca="false">IF(COUNTIF(CAPA3_EXPANSION!$D$56:BB$56,"&gt;="&amp;39)=0,0,SUP_CONTROL!$C$8*IF($B46="V",1,IF($B46="D",(1+SUP_VOLUMEN!$C$26),(1+SUP_VOLUMEN!$C$27)))*INDEX(SUP_C3_EXPANSION!$C$6:$F$6,MIN(4,COUNTIF(CAPA3_EXPANSION!$D$56:BB$56,"&gt;="&amp;39)))*CAPA3_EXPANSION!BB$36)</f>
        <v>0</v>
      </c>
      <c r="BC46" s="298" t="n">
        <f aca="false">IF(COUNTIF(CAPA3_EXPANSION!$D$56:BC$56,"&gt;="&amp;39)=0,0,SUP_CONTROL!$C$8*IF($B46="V",1,IF($B46="D",(1+SUP_VOLUMEN!$C$26),(1+SUP_VOLUMEN!$C$27)))*INDEX(SUP_C3_EXPANSION!$C$6:$F$6,MIN(4,COUNTIF(CAPA3_EXPANSION!$D$56:BC$56,"&gt;="&amp;39)))*CAPA3_EXPANSION!BC$36)</f>
        <v>0</v>
      </c>
      <c r="BD46" s="298" t="n">
        <f aca="false">IF(COUNTIF(CAPA3_EXPANSION!$D$56:BD$56,"&gt;="&amp;39)=0,0,SUP_CONTROL!$C$8*IF($B46="V",1,IF($B46="D",(1+SUP_VOLUMEN!$C$26),(1+SUP_VOLUMEN!$C$27)))*INDEX(SUP_C3_EXPANSION!$C$6:$F$6,MIN(4,COUNTIF(CAPA3_EXPANSION!$D$56:BD$56,"&gt;="&amp;39)))*CAPA3_EXPANSION!BD$36)</f>
        <v>0</v>
      </c>
      <c r="BE46" s="298" t="n">
        <f aca="false">IF(COUNTIF(CAPA3_EXPANSION!$D$56:BE$56,"&gt;="&amp;39)=0,0,SUP_CONTROL!$C$8*IF($B46="V",1,IF($B46="D",(1+SUP_VOLUMEN!$C$26),(1+SUP_VOLUMEN!$C$27)))*INDEX(SUP_C3_EXPANSION!$C$6:$F$6,MIN(4,COUNTIF(CAPA3_EXPANSION!$D$56:BE$56,"&gt;="&amp;39)))*CAPA3_EXPANSION!BE$36)</f>
        <v>0</v>
      </c>
      <c r="BF46" s="298" t="n">
        <f aca="false">IF(COUNTIF(CAPA3_EXPANSION!$D$56:BF$56,"&gt;="&amp;39)=0,0,SUP_CONTROL!$C$8*IF($B46="V",1,IF($B46="D",(1+SUP_VOLUMEN!$C$26),(1+SUP_VOLUMEN!$C$27)))*INDEX(SUP_C3_EXPANSION!$C$6:$F$6,MIN(4,COUNTIF(CAPA3_EXPANSION!$D$56:BF$56,"&gt;="&amp;39)))*CAPA3_EXPANSION!BF$36)</f>
        <v>0</v>
      </c>
      <c r="BG46" s="298" t="n">
        <f aca="false">IF(COUNTIF(CAPA3_EXPANSION!$D$56:BG$56,"&gt;="&amp;39)=0,0,SUP_CONTROL!$C$8*IF($B46="V",1,IF($B46="D",(1+SUP_VOLUMEN!$C$26),(1+SUP_VOLUMEN!$C$27)))*INDEX(SUP_C3_EXPANSION!$C$6:$F$6,MIN(4,COUNTIF(CAPA3_EXPANSION!$D$56:BG$56,"&gt;="&amp;39)))*CAPA3_EXPANSION!BG$36)</f>
        <v>0</v>
      </c>
      <c r="BH46" s="298" t="n">
        <f aca="false">IF(COUNTIF(CAPA3_EXPANSION!$D$56:BH$56,"&gt;="&amp;39)=0,0,SUP_CONTROL!$C$8*IF($B46="V",1,IF($B46="D",(1+SUP_VOLUMEN!$C$26),(1+SUP_VOLUMEN!$C$27)))*INDEX(SUP_C3_EXPANSION!$C$6:$F$6,MIN(4,COUNTIF(CAPA3_EXPANSION!$D$56:BH$56,"&gt;="&amp;39)))*CAPA3_EXPANSION!BH$36)</f>
        <v>0</v>
      </c>
      <c r="BI46" s="298" t="n">
        <f aca="false">IF(COUNTIF(CAPA3_EXPANSION!$D$56:BI$56,"&gt;="&amp;39)=0,0,SUP_CONTROL!$C$8*IF($B46="V",1,IF($B46="D",(1+SUP_VOLUMEN!$C$26),(1+SUP_VOLUMEN!$C$27)))*INDEX(SUP_C3_EXPANSION!$C$6:$F$6,MIN(4,COUNTIF(CAPA3_EXPANSION!$D$56:BI$56,"&gt;="&amp;39)))*CAPA3_EXPANSION!BI$36)</f>
        <v>0</v>
      </c>
      <c r="BJ46" s="298" t="n">
        <f aca="false">IF(COUNTIF(CAPA3_EXPANSION!$D$56:BJ$56,"&gt;="&amp;39)=0,0,SUP_CONTROL!$C$8*IF($B46="V",1,IF($B46="D",(1+SUP_VOLUMEN!$C$26),(1+SUP_VOLUMEN!$C$27)))*INDEX(SUP_C3_EXPANSION!$C$6:$F$6,MIN(4,COUNTIF(CAPA3_EXPANSION!$D$56:BJ$56,"&gt;="&amp;39)))*CAPA3_EXPANSION!BJ$36)</f>
        <v>0</v>
      </c>
      <c r="BK46" s="298" t="n">
        <f aca="false">IF(COUNTIF(CAPA3_EXPANSION!$D$56:BK$56,"&gt;="&amp;39)=0,0,SUP_CONTROL!$C$8*IF($B46="V",1,IF($B46="D",(1+SUP_VOLUMEN!$C$26),(1+SUP_VOLUMEN!$C$27)))*INDEX(SUP_C3_EXPANSION!$C$6:$F$6,MIN(4,COUNTIF(CAPA3_EXPANSION!$D$56:BK$56,"&gt;="&amp;39)))*CAPA3_EXPANSION!BK$36)</f>
        <v>0</v>
      </c>
      <c r="BL46" s="298" t="n">
        <f aca="false">IF(COUNTIF(CAPA3_EXPANSION!$D$56:BL$56,"&gt;="&amp;39)=0,0,SUP_CONTROL!$C$8*IF($B46="V",1,IF($B46="D",(1+SUP_VOLUMEN!$C$26),(1+SUP_VOLUMEN!$C$27)))*INDEX(SUP_C3_EXPANSION!$C$6:$F$6,MIN(4,COUNTIF(CAPA3_EXPANSION!$D$56:BL$56,"&gt;="&amp;39)))*CAPA3_EXPANSION!BL$36)</f>
        <v>0</v>
      </c>
      <c r="BM46" s="298" t="n">
        <f aca="false">IF(COUNTIF(CAPA3_EXPANSION!$D$56:BM$56,"&gt;="&amp;39)=0,0,SUP_CONTROL!$C$8*IF($B46="V",1,IF($B46="D",(1+SUP_VOLUMEN!$C$26),(1+SUP_VOLUMEN!$C$27)))*INDEX(SUP_C3_EXPANSION!$C$6:$F$6,MIN(4,COUNTIF(CAPA3_EXPANSION!$D$56:BM$56,"&gt;="&amp;39)))*CAPA3_EXPANSION!BM$36)</f>
        <v>0</v>
      </c>
      <c r="BN46" s="298" t="n">
        <f aca="false">IF(COUNTIF(CAPA3_EXPANSION!$D$56:BN$56,"&gt;="&amp;39)=0,0,SUP_CONTROL!$C$8*IF($B46="V",1,IF($B46="D",(1+SUP_VOLUMEN!$C$26),(1+SUP_VOLUMEN!$C$27)))*INDEX(SUP_C3_EXPANSION!$C$6:$F$6,MIN(4,COUNTIF(CAPA3_EXPANSION!$D$56:BN$56,"&gt;="&amp;39)))*CAPA3_EXPANSION!BN$36)</f>
        <v>0</v>
      </c>
      <c r="BO46" s="298" t="n">
        <f aca="false">IF(COUNTIF(CAPA3_EXPANSION!$D$56:BO$56,"&gt;="&amp;39)=0,0,SUP_CONTROL!$C$8*IF($B46="V",1,IF($B46="D",(1+SUP_VOLUMEN!$C$26),(1+SUP_VOLUMEN!$C$27)))*INDEX(SUP_C3_EXPANSION!$C$6:$F$6,MIN(4,COUNTIF(CAPA3_EXPANSION!$D$56:BO$56,"&gt;="&amp;39)))*CAPA3_EXPANSION!BO$36)</f>
        <v>0</v>
      </c>
      <c r="BP46" s="298" t="n">
        <f aca="false">IF(COUNTIF(CAPA3_EXPANSION!$D$56:BP$56,"&gt;="&amp;39)=0,0,SUP_CONTROL!$C$8*IF($B46="V",1,IF($B46="D",(1+SUP_VOLUMEN!$C$26),(1+SUP_VOLUMEN!$C$27)))*INDEX(SUP_C3_EXPANSION!$C$6:$F$6,MIN(4,COUNTIF(CAPA3_EXPANSION!$D$56:BP$56,"&gt;="&amp;39)))*CAPA3_EXPANSION!BP$36)</f>
        <v>0</v>
      </c>
      <c r="BQ46" s="298" t="n">
        <f aca="false">IF(COUNTIF(CAPA3_EXPANSION!$D$56:BQ$56,"&gt;="&amp;39)=0,0,SUP_CONTROL!$C$8*IF($B46="V",1,IF($B46="D",(1+SUP_VOLUMEN!$C$26),(1+SUP_VOLUMEN!$C$27)))*INDEX(SUP_C3_EXPANSION!$C$6:$F$6,MIN(4,COUNTIF(CAPA3_EXPANSION!$D$56:BQ$56,"&gt;="&amp;39)))*CAPA3_EXPANSION!BQ$36)</f>
        <v>0</v>
      </c>
      <c r="BR46" s="298" t="n">
        <f aca="false">IF(COUNTIF(CAPA3_EXPANSION!$D$56:BR$56,"&gt;="&amp;39)=0,0,SUP_CONTROL!$C$8*IF($B46="V",1,IF($B46="D",(1+SUP_VOLUMEN!$C$26),(1+SUP_VOLUMEN!$C$27)))*INDEX(SUP_C3_EXPANSION!$C$6:$F$6,MIN(4,COUNTIF(CAPA3_EXPANSION!$D$56:BR$56,"&gt;="&amp;39)))*CAPA3_EXPANSION!BR$36)</f>
        <v>0</v>
      </c>
      <c r="BS46" s="298" t="n">
        <f aca="false">IF(COUNTIF(CAPA3_EXPANSION!$D$56:BS$56,"&gt;="&amp;39)=0,0,SUP_CONTROL!$C$8*IF($B46="V",1,IF($B46="D",(1+SUP_VOLUMEN!$C$26),(1+SUP_VOLUMEN!$C$27)))*INDEX(SUP_C3_EXPANSION!$C$6:$F$6,MIN(4,COUNTIF(CAPA3_EXPANSION!$D$56:BS$56,"&gt;="&amp;39)))*CAPA3_EXPANSION!BS$36)</f>
        <v>0</v>
      </c>
      <c r="BT46" s="298" t="n">
        <f aca="false">IF(COUNTIF(CAPA3_EXPANSION!$D$56:BT$56,"&gt;="&amp;39)=0,0,SUP_CONTROL!$C$8*IF($B46="V",1,IF($B46="D",(1+SUP_VOLUMEN!$C$26),(1+SUP_VOLUMEN!$C$27)))*INDEX(SUP_C3_EXPANSION!$C$6:$F$6,MIN(4,COUNTIF(CAPA3_EXPANSION!$D$56:BT$56,"&gt;="&amp;39)))*CAPA3_EXPANSION!BT$36)</f>
        <v>0</v>
      </c>
      <c r="BU46" s="298" t="n">
        <f aca="false">IF(COUNTIF(CAPA3_EXPANSION!$D$56:BU$56,"&gt;="&amp;39)=0,0,SUP_CONTROL!$C$8*IF($B46="V",1,IF($B46="D",(1+SUP_VOLUMEN!$C$26),(1+SUP_VOLUMEN!$C$27)))*INDEX(SUP_C3_EXPANSION!$C$6:$F$6,MIN(4,COUNTIF(CAPA3_EXPANSION!$D$56:BU$56,"&gt;="&amp;39)))*CAPA3_EXPANSION!BU$36)</f>
        <v>0</v>
      </c>
      <c r="BV46" s="298" t="n">
        <f aca="false">IF(COUNTIF(CAPA3_EXPANSION!$D$56:BV$56,"&gt;="&amp;39)=0,0,SUP_CONTROL!$C$8*IF($B46="V",1,IF($B46="D",(1+SUP_VOLUMEN!$C$26),(1+SUP_VOLUMEN!$C$27)))*INDEX(SUP_C3_EXPANSION!$C$6:$F$6,MIN(4,COUNTIF(CAPA3_EXPANSION!$D$56:BV$56,"&gt;="&amp;39)))*CAPA3_EXPANSION!BV$36)</f>
        <v>0</v>
      </c>
      <c r="BW46" s="298" t="n">
        <f aca="false">IF(COUNTIF(CAPA3_EXPANSION!$D$56:BW$56,"&gt;="&amp;39)=0,0,SUP_CONTROL!$C$8*IF($B46="V",1,IF($B46="D",(1+SUP_VOLUMEN!$C$26),(1+SUP_VOLUMEN!$C$27)))*INDEX(SUP_C3_EXPANSION!$C$6:$F$6,MIN(4,COUNTIF(CAPA3_EXPANSION!$D$56:BW$56,"&gt;="&amp;39)))*CAPA3_EXPANSION!BW$36)</f>
        <v>0</v>
      </c>
      <c r="BX46" s="298" t="n">
        <f aca="false">IF(COUNTIF(CAPA3_EXPANSION!$D$56:BX$56,"&gt;="&amp;39)=0,0,SUP_CONTROL!$C$8*IF($B46="V",1,IF($B46="D",(1+SUP_VOLUMEN!$C$26),(1+SUP_VOLUMEN!$C$27)))*INDEX(SUP_C3_EXPANSION!$C$6:$F$6,MIN(4,COUNTIF(CAPA3_EXPANSION!$D$56:BX$56,"&gt;="&amp;39)))*CAPA3_EXPANSION!BX$36)</f>
        <v>0</v>
      </c>
      <c r="BY46" s="298" t="n">
        <f aca="false">IF(COUNTIF(CAPA3_EXPANSION!$D$56:BY$56,"&gt;="&amp;39)=0,0,SUP_CONTROL!$C$8*IF($B46="V",1,IF($B46="D",(1+SUP_VOLUMEN!$C$26),(1+SUP_VOLUMEN!$C$27)))*INDEX(SUP_C3_EXPANSION!$C$6:$F$6,MIN(4,COUNTIF(CAPA3_EXPANSION!$D$56:BY$56,"&gt;="&amp;39)))*CAPA3_EXPANSION!BY$36)</f>
        <v>0</v>
      </c>
      <c r="BZ46" s="298" t="n">
        <f aca="false">IF(COUNTIF(CAPA3_EXPANSION!$D$56:BZ$56,"&gt;="&amp;39)=0,0,SUP_CONTROL!$C$8*IF($B46="V",1,IF($B46="D",(1+SUP_VOLUMEN!$C$26),(1+SUP_VOLUMEN!$C$27)))*INDEX(SUP_C3_EXPANSION!$C$6:$F$6,MIN(4,COUNTIF(CAPA3_EXPANSION!$D$56:BZ$56,"&gt;="&amp;39)))*CAPA3_EXPANSION!BZ$36)</f>
        <v>0</v>
      </c>
      <c r="CA46" s="298" t="n">
        <f aca="false">IF(COUNTIF(CAPA3_EXPANSION!$D$56:CA$56,"&gt;="&amp;39)=0,0,SUP_CONTROL!$C$8*IF($B46="V",1,IF($B46="D",(1+SUP_VOLUMEN!$C$26),(1+SUP_VOLUMEN!$C$27)))*INDEX(SUP_C3_EXPANSION!$C$6:$F$6,MIN(4,COUNTIF(CAPA3_EXPANSION!$D$56:CA$56,"&gt;="&amp;39)))*CAPA3_EXPANSION!CA$36)</f>
        <v>0</v>
      </c>
      <c r="CB46" s="298" t="n">
        <f aca="false">IF(COUNTIF(CAPA3_EXPANSION!$D$56:CB$56,"&gt;="&amp;39)=0,0,SUP_CONTROL!$C$8*IF($B46="V",1,IF($B46="D",(1+SUP_VOLUMEN!$C$26),(1+SUP_VOLUMEN!$C$27)))*INDEX(SUP_C3_EXPANSION!$C$6:$F$6,MIN(4,COUNTIF(CAPA3_EXPANSION!$D$56:CB$56,"&gt;="&amp;39)))*CAPA3_EXPANSION!CB$36)</f>
        <v>0</v>
      </c>
      <c r="CC46" s="298" t="n">
        <f aca="false">IF(COUNTIF(CAPA3_EXPANSION!$D$56:CC$56,"&gt;="&amp;39)=0,0,SUP_CONTROL!$C$8*IF($B46="V",1,IF($B46="D",(1+SUP_VOLUMEN!$C$26),(1+SUP_VOLUMEN!$C$27)))*INDEX(SUP_C3_EXPANSION!$C$6:$F$6,MIN(4,COUNTIF(CAPA3_EXPANSION!$D$56:CC$56,"&gt;="&amp;39)))*CAPA3_EXPANSION!CC$36)</f>
        <v>0</v>
      </c>
      <c r="CD46" s="298" t="n">
        <f aca="false">IF(COUNTIF(CAPA3_EXPANSION!$D$56:CD$56,"&gt;="&amp;39)=0,0,SUP_CONTROL!$C$8*IF($B46="V",1,IF($B46="D",(1+SUP_VOLUMEN!$C$26),(1+SUP_VOLUMEN!$C$27)))*INDEX(SUP_C3_EXPANSION!$C$6:$F$6,MIN(4,COUNTIF(CAPA3_EXPANSION!$D$56:CD$56,"&gt;="&amp;39)))*CAPA3_EXPANSION!CD$36)</f>
        <v>0</v>
      </c>
      <c r="CE46" s="298" t="n">
        <f aca="false">IF(COUNTIF(CAPA3_EXPANSION!$D$56:CE$56,"&gt;="&amp;39)=0,0,SUP_CONTROL!$C$8*IF($B46="V",1,IF($B46="D",(1+SUP_VOLUMEN!$C$26),(1+SUP_VOLUMEN!$C$27)))*INDEX(SUP_C3_EXPANSION!$C$6:$F$6,MIN(4,COUNTIF(CAPA3_EXPANSION!$D$56:CE$56,"&gt;="&amp;39)))*CAPA3_EXPANSION!CE$36)</f>
        <v>0</v>
      </c>
      <c r="CF46" s="298" t="n">
        <f aca="false">IF(COUNTIF(CAPA3_EXPANSION!$D$56:CF$56,"&gt;="&amp;39)=0,0,SUP_CONTROL!$C$8*IF($B46="V",1,IF($B46="D",(1+SUP_VOLUMEN!$C$26),(1+SUP_VOLUMEN!$C$27)))*INDEX(SUP_C3_EXPANSION!$C$6:$F$6,MIN(4,COUNTIF(CAPA3_EXPANSION!$D$56:CF$56,"&gt;="&amp;39)))*CAPA3_EXPANSION!CF$36)</f>
        <v>0</v>
      </c>
      <c r="CG46" s="298" t="n">
        <f aca="false">IF(COUNTIF(CAPA3_EXPANSION!$D$56:CG$56,"&gt;="&amp;39)=0,0,SUP_CONTROL!$C$8*IF($B46="V",1,IF($B46="D",(1+SUP_VOLUMEN!$C$26),(1+SUP_VOLUMEN!$C$27)))*INDEX(SUP_C3_EXPANSION!$C$6:$F$6,MIN(4,COUNTIF(CAPA3_EXPANSION!$D$56:CG$56,"&gt;="&amp;39)))*CAPA3_EXPANSION!CG$36)</f>
        <v>0</v>
      </c>
      <c r="CH46" s="298" t="n">
        <f aca="false">IF(COUNTIF(CAPA3_EXPANSION!$D$56:CH$56,"&gt;="&amp;39)=0,0,SUP_CONTROL!$C$8*IF($B46="V",1,IF($B46="D",(1+SUP_VOLUMEN!$C$26),(1+SUP_VOLUMEN!$C$27)))*INDEX(SUP_C3_EXPANSION!$C$6:$F$6,MIN(4,COUNTIF(CAPA3_EXPANSION!$D$56:CH$56,"&gt;="&amp;39)))*CAPA3_EXPANSION!CH$36)</f>
        <v>0</v>
      </c>
      <c r="CI46" s="298" t="n">
        <f aca="false">IF(COUNTIF(CAPA3_EXPANSION!$D$56:CI$56,"&gt;="&amp;39)=0,0,SUP_CONTROL!$C$8*IF($B46="V",1,IF($B46="D",(1+SUP_VOLUMEN!$C$26),(1+SUP_VOLUMEN!$C$27)))*INDEX(SUP_C3_EXPANSION!$C$6:$F$6,MIN(4,COUNTIF(CAPA3_EXPANSION!$D$56:CI$56,"&gt;="&amp;39)))*CAPA3_EXPANSION!CI$36)</f>
        <v>2293.2</v>
      </c>
      <c r="CJ46" s="298" t="n">
        <f aca="false">IF(COUNTIF(CAPA3_EXPANSION!$D$56:CJ$56,"&gt;="&amp;39)=0,0,SUP_CONTROL!$C$8*IF($B46="V",1,IF($B46="D",(1+SUP_VOLUMEN!$C$26),(1+SUP_VOLUMEN!$C$27)))*INDEX(SUP_C3_EXPANSION!$C$6:$F$6,MIN(4,COUNTIF(CAPA3_EXPANSION!$D$56:CJ$56,"&gt;="&amp;39)))*CAPA3_EXPANSION!CJ$36)</f>
        <v>2822.4</v>
      </c>
      <c r="CK46" s="298" t="n">
        <f aca="false">IF(COUNTIF(CAPA3_EXPANSION!$D$56:CK$56,"&gt;="&amp;39)=0,0,SUP_CONTROL!$C$8*IF($B46="V",1,IF($B46="D",(1+SUP_VOLUMEN!$C$26),(1+SUP_VOLUMEN!$C$27)))*INDEX(SUP_C3_EXPANSION!$C$6:$F$6,MIN(4,COUNTIF(CAPA3_EXPANSION!$D$56:CK$56,"&gt;="&amp;39)))*CAPA3_EXPANSION!CK$36)</f>
        <v>3175.2</v>
      </c>
      <c r="CL46" s="298" t="n">
        <f aca="false">IF(COUNTIF(CAPA3_EXPANSION!$D$56:CL$56,"&gt;="&amp;39)=0,0,SUP_CONTROL!$C$8*IF($B46="V",1,IF($B46="D",(1+SUP_VOLUMEN!$C$26),(1+SUP_VOLUMEN!$C$27)))*INDEX(SUP_C3_EXPANSION!$C$6:$F$6,MIN(4,COUNTIF(CAPA3_EXPANSION!$D$56:CL$56,"&gt;="&amp;39)))*CAPA3_EXPANSION!CL$36)</f>
        <v>3528</v>
      </c>
      <c r="CM46" s="298" t="n">
        <f aca="false">IF(COUNTIF(CAPA3_EXPANSION!$D$56:CM$56,"&gt;="&amp;39)=0,0,SUP_CONTROL!$C$8*IF($B46="V",1,IF($B46="D",(1+SUP_VOLUMEN!$C$26),(1+SUP_VOLUMEN!$C$27)))*INDEX(SUP_C3_EXPANSION!$C$6:$F$6,MIN(4,COUNTIF(CAPA3_EXPANSION!$D$56:CM$56,"&gt;="&amp;39)))*CAPA3_EXPANSION!CM$36)</f>
        <v>3528</v>
      </c>
      <c r="CN46" s="298" t="n">
        <f aca="false">IF(COUNTIF(CAPA3_EXPANSION!$D$56:CN$56,"&gt;="&amp;39)=0,0,SUP_CONTROL!$C$8*IF($B46="V",1,IF($B46="D",(1+SUP_VOLUMEN!$C$26),(1+SUP_VOLUMEN!$C$27)))*INDEX(SUP_C3_EXPANSION!$C$6:$F$6,MIN(4,COUNTIF(CAPA3_EXPANSION!$D$56:CN$56,"&gt;="&amp;39)))*CAPA3_EXPANSION!CN$36)</f>
        <v>3528</v>
      </c>
      <c r="CO46" s="298" t="n">
        <f aca="false">IF(COUNTIF(CAPA3_EXPANSION!$D$56:CO$56,"&gt;="&amp;39)=0,0,SUP_CONTROL!$C$8*IF($B46="V",1,IF($B46="D",(1+SUP_VOLUMEN!$C$26),(1+SUP_VOLUMEN!$C$27)))*INDEX(SUP_C3_EXPANSION!$C$6:$F$6,MIN(4,COUNTIF(CAPA3_EXPANSION!$D$56:CO$56,"&gt;="&amp;39)))*CAPA3_EXPANSION!CO$36)</f>
        <v>3528</v>
      </c>
      <c r="CP46" s="298" t="n">
        <f aca="false">IF(COUNTIF(CAPA3_EXPANSION!$D$56:CP$56,"&gt;="&amp;39)=0,0,SUP_CONTROL!$C$8*IF($B46="V",1,IF($B46="D",(1+SUP_VOLUMEN!$C$26),(1+SUP_VOLUMEN!$C$27)))*INDEX(SUP_C3_EXPANSION!$C$6:$F$6,MIN(4,COUNTIF(CAPA3_EXPANSION!$D$56:CP$56,"&gt;="&amp;39)))*CAPA3_EXPANSION!CP$36)</f>
        <v>3528</v>
      </c>
      <c r="CQ46" s="298" t="n">
        <f aca="false">IF(COUNTIF(CAPA3_EXPANSION!$D$56:CQ$56,"&gt;="&amp;39)=0,0,SUP_CONTROL!$C$8*IF($B46="V",1,IF($B46="D",(1+SUP_VOLUMEN!$C$26),(1+SUP_VOLUMEN!$C$27)))*INDEX(SUP_C3_EXPANSION!$C$6:$F$6,MIN(4,COUNTIF(CAPA3_EXPANSION!$D$56:CQ$56,"&gt;="&amp;39)))*CAPA3_EXPANSION!CQ$36)</f>
        <v>3528</v>
      </c>
      <c r="CR46" s="298" t="n">
        <f aca="false">IF(COUNTIF(CAPA3_EXPANSION!$D$56:CR$56,"&gt;="&amp;39)=0,0,SUP_CONTROL!$C$8*IF($B46="V",1,IF($B46="D",(1+SUP_VOLUMEN!$C$26),(1+SUP_VOLUMEN!$C$27)))*INDEX(SUP_C3_EXPANSION!$C$6:$F$6,MIN(4,COUNTIF(CAPA3_EXPANSION!$D$56:CR$56,"&gt;="&amp;39)))*CAPA3_EXPANSION!CR$36)</f>
        <v>3528</v>
      </c>
      <c r="CS46" s="298" t="n">
        <f aca="false">IF(COUNTIF(CAPA3_EXPANSION!$D$56:CS$56,"&gt;="&amp;39)=0,0,SUP_CONTROL!$C$8*IF($B46="V",1,IF($B46="D",(1+SUP_VOLUMEN!$C$26),(1+SUP_VOLUMEN!$C$27)))*INDEX(SUP_C3_EXPANSION!$C$6:$F$6,MIN(4,COUNTIF(CAPA3_EXPANSION!$D$56:CS$56,"&gt;="&amp;39)))*CAPA3_EXPANSION!CS$36)</f>
        <v>3528</v>
      </c>
      <c r="CT46" s="298" t="n">
        <f aca="false">IF(COUNTIF(CAPA3_EXPANSION!$D$56:CT$56,"&gt;="&amp;39)=0,0,SUP_CONTROL!$C$8*IF($B46="V",1,IF($B46="D",(1+SUP_VOLUMEN!$C$26),(1+SUP_VOLUMEN!$C$27)))*INDEX(SUP_C3_EXPANSION!$C$6:$F$6,MIN(4,COUNTIF(CAPA3_EXPANSION!$D$56:CT$56,"&gt;="&amp;39)))*CAPA3_EXPANSION!CT$36)</f>
        <v>3528</v>
      </c>
      <c r="CU46" s="298" t="n">
        <f aca="false">IF(COUNTIF(CAPA3_EXPANSION!$D$56:CU$56,"&gt;="&amp;39)=0,0,SUP_CONTROL!$C$8*IF($B46="V",1,IF($B46="D",(1+SUP_VOLUMEN!$C$26),(1+SUP_VOLUMEN!$C$27)))*INDEX(SUP_C3_EXPANSION!$C$6:$F$6,MIN(4,COUNTIF(CAPA3_EXPANSION!$D$56:CU$56,"&gt;="&amp;39)))*CAPA3_EXPANSION!CU$36)</f>
        <v>3528</v>
      </c>
      <c r="CV46" s="298" t="n">
        <f aca="false">IF(COUNTIF(CAPA3_EXPANSION!$D$56:CV$56,"&gt;="&amp;39)=0,0,SUP_CONTROL!$C$8*IF($B46="V",1,IF($B46="D",(1+SUP_VOLUMEN!$C$26),(1+SUP_VOLUMEN!$C$27)))*INDEX(SUP_C3_EXPANSION!$C$6:$F$6,MIN(4,COUNTIF(CAPA3_EXPANSION!$D$56:CV$56,"&gt;="&amp;39)))*CAPA3_EXPANSION!CV$36)</f>
        <v>3528</v>
      </c>
      <c r="CW46" s="298" t="n">
        <f aca="false">IF(COUNTIF(CAPA3_EXPANSION!$D$56:CW$56,"&gt;="&amp;39)=0,0,SUP_CONTROL!$C$8*IF($B46="V",1,IF($B46="D",(1+SUP_VOLUMEN!$C$26),(1+SUP_VOLUMEN!$C$27)))*INDEX(SUP_C3_EXPANSION!$C$6:$F$6,MIN(4,COUNTIF(CAPA3_EXPANSION!$D$56:CW$56,"&gt;="&amp;39)))*CAPA3_EXPANSION!CW$36)</f>
        <v>3528</v>
      </c>
      <c r="CX46" s="298" t="n">
        <f aca="false">IF(COUNTIF(CAPA3_EXPANSION!$D$56:CX$56,"&gt;="&amp;39)=0,0,SUP_CONTROL!$C$8*IF($B46="V",1,IF($B46="D",(1+SUP_VOLUMEN!$C$26),(1+SUP_VOLUMEN!$C$27)))*INDEX(SUP_C3_EXPANSION!$C$6:$F$6,MIN(4,COUNTIF(CAPA3_EXPANSION!$D$56:CX$56,"&gt;="&amp;39)))*CAPA3_EXPANSION!CX$36)</f>
        <v>3528</v>
      </c>
      <c r="CY46" s="298" t="n">
        <f aca="false">IF(COUNTIF(CAPA3_EXPANSION!$D$56:CY$56,"&gt;="&amp;39)=0,0,SUP_CONTROL!$C$8*IF($B46="V",1,IF($B46="D",(1+SUP_VOLUMEN!$C$26),(1+SUP_VOLUMEN!$C$27)))*INDEX(SUP_C3_EXPANSION!$C$6:$F$6,MIN(4,COUNTIF(CAPA3_EXPANSION!$D$56:CY$56,"&gt;="&amp;39)))*CAPA3_EXPANSION!CY$36)</f>
        <v>3528</v>
      </c>
      <c r="CZ46" s="298" t="n">
        <f aca="false">IF(COUNTIF(CAPA3_EXPANSION!$D$56:CZ$56,"&gt;="&amp;39)=0,0,SUP_CONTROL!$C$8*IF($B46="V",1,IF($B46="D",(1+SUP_VOLUMEN!$C$26),(1+SUP_VOLUMEN!$C$27)))*INDEX(SUP_C3_EXPANSION!$C$6:$F$6,MIN(4,COUNTIF(CAPA3_EXPANSION!$D$56:CZ$56,"&gt;="&amp;39)))*CAPA3_EXPANSION!CZ$36)</f>
        <v>3528</v>
      </c>
      <c r="DA46" s="298" t="n">
        <f aca="false">IF(COUNTIF(CAPA3_EXPANSION!$D$56:DA$56,"&gt;="&amp;39)=0,0,SUP_CONTROL!$C$8*IF($B46="V",1,IF($B46="D",(1+SUP_VOLUMEN!$C$26),(1+SUP_VOLUMEN!$C$27)))*INDEX(SUP_C3_EXPANSION!$C$6:$F$6,MIN(4,COUNTIF(CAPA3_EXPANSION!$D$56:DA$56,"&gt;="&amp;39)))*CAPA3_EXPANSION!DA$36)</f>
        <v>3528</v>
      </c>
      <c r="DB46" s="298" t="n">
        <f aca="false">IF(COUNTIF(CAPA3_EXPANSION!$D$56:DB$56,"&gt;="&amp;39)=0,0,SUP_CONTROL!$C$8*IF($B46="V",1,IF($B46="D",(1+SUP_VOLUMEN!$C$26),(1+SUP_VOLUMEN!$C$27)))*INDEX(SUP_C3_EXPANSION!$C$6:$F$6,MIN(4,COUNTIF(CAPA3_EXPANSION!$D$56:DB$56,"&gt;="&amp;39)))*CAPA3_EXPANSION!DB$36)</f>
        <v>3528</v>
      </c>
      <c r="DC46" s="298" t="n">
        <f aca="false">IF(COUNTIF(CAPA3_EXPANSION!$D$56:DC$56,"&gt;="&amp;39)=0,0,SUP_CONTROL!$C$8*IF($B46="V",1,IF($B46="D",(1+SUP_VOLUMEN!$C$26),(1+SUP_VOLUMEN!$C$27)))*INDEX(SUP_C3_EXPANSION!$C$6:$F$6,MIN(4,COUNTIF(CAPA3_EXPANSION!$D$56:DC$56,"&gt;="&amp;39)))*CAPA3_EXPANSION!DC$36)</f>
        <v>3528</v>
      </c>
      <c r="DD46" s="298" t="n">
        <f aca="false">IF(COUNTIF(CAPA3_EXPANSION!$D$56:DD$56,"&gt;="&amp;39)=0,0,SUP_CONTROL!$C$8*IF($B46="V",1,IF($B46="D",(1+SUP_VOLUMEN!$C$26),(1+SUP_VOLUMEN!$C$27)))*INDEX(SUP_C3_EXPANSION!$C$6:$F$6,MIN(4,COUNTIF(CAPA3_EXPANSION!$D$56:DD$56,"&gt;="&amp;39)))*CAPA3_EXPANSION!DD$36)</f>
        <v>3528</v>
      </c>
      <c r="DE46" s="298" t="n">
        <f aca="false">IF(COUNTIF(CAPA3_EXPANSION!$D$56:DE$56,"&gt;="&amp;39)=0,0,SUP_CONTROL!$C$8*IF($B46="V",1,IF($B46="D",(1+SUP_VOLUMEN!$C$26),(1+SUP_VOLUMEN!$C$27)))*INDEX(SUP_C3_EXPANSION!$C$6:$F$6,MIN(4,COUNTIF(CAPA3_EXPANSION!$D$56:DE$56,"&gt;="&amp;39)))*CAPA3_EXPANSION!DE$36)</f>
        <v>3528</v>
      </c>
      <c r="DF46" s="298" t="n">
        <f aca="false">IF(COUNTIF(CAPA3_EXPANSION!$D$56:DF$56,"&gt;="&amp;39)=0,0,SUP_CONTROL!$C$8*IF($B46="V",1,IF($B46="D",(1+SUP_VOLUMEN!$C$26),(1+SUP_VOLUMEN!$C$27)))*INDEX(SUP_C3_EXPANSION!$C$6:$F$6,MIN(4,COUNTIF(CAPA3_EXPANSION!$D$56:DF$56,"&gt;="&amp;39)))*CAPA3_EXPANSION!DF$36)</f>
        <v>3528</v>
      </c>
      <c r="DG46" s="298" t="n">
        <f aca="false">IF(COUNTIF(CAPA3_EXPANSION!$D$56:DG$56,"&gt;="&amp;39)=0,0,SUP_CONTROL!$C$8*IF($B46="V",1,IF($B46="D",(1+SUP_VOLUMEN!$C$26),(1+SUP_VOLUMEN!$C$27)))*INDEX(SUP_C3_EXPANSION!$C$6:$F$6,MIN(4,COUNTIF(CAPA3_EXPANSION!$D$56:DG$56,"&gt;="&amp;39)))*CAPA3_EXPANSION!DG$36)</f>
        <v>3528</v>
      </c>
      <c r="DH46" s="298" t="n">
        <f aca="false">IF(COUNTIF(CAPA3_EXPANSION!$D$56:DH$56,"&gt;="&amp;39)=0,0,SUP_CONTROL!$C$8*IF($B46="V",1,IF($B46="D",(1+SUP_VOLUMEN!$C$26),(1+SUP_VOLUMEN!$C$27)))*INDEX(SUP_C3_EXPANSION!$C$6:$F$6,MIN(4,COUNTIF(CAPA3_EXPANSION!$D$56:DH$56,"&gt;="&amp;39)))*CAPA3_EXPANSION!DH$36)</f>
        <v>3528</v>
      </c>
      <c r="DI46" s="298" t="n">
        <f aca="false">IF(COUNTIF(CAPA3_EXPANSION!$D$56:DI$56,"&gt;="&amp;39)=0,0,SUP_CONTROL!$C$8*IF($B46="V",1,IF($B46="D",(1+SUP_VOLUMEN!$C$26),(1+SUP_VOLUMEN!$C$27)))*INDEX(SUP_C3_EXPANSION!$C$6:$F$6,MIN(4,COUNTIF(CAPA3_EXPANSION!$D$56:DI$56,"&gt;="&amp;39)))*CAPA3_EXPANSION!DI$36)</f>
        <v>3528</v>
      </c>
      <c r="DJ46" s="298" t="n">
        <f aca="false">IF(COUNTIF(CAPA3_EXPANSION!$D$56:DJ$56,"&gt;="&amp;39)=0,0,SUP_CONTROL!$C$8*IF($B46="V",1,IF($B46="D",(1+SUP_VOLUMEN!$C$26),(1+SUP_VOLUMEN!$C$27)))*INDEX(SUP_C3_EXPANSION!$C$6:$F$6,MIN(4,COUNTIF(CAPA3_EXPANSION!$D$56:DJ$56,"&gt;="&amp;39)))*CAPA3_EXPANSION!DJ$36)</f>
        <v>3528</v>
      </c>
      <c r="DK46" s="298" t="n">
        <f aca="false">IF(COUNTIF(CAPA3_EXPANSION!$D$56:DK$56,"&gt;="&amp;39)=0,0,SUP_CONTROL!$C$8*IF($B46="V",1,IF($B46="D",(1+SUP_VOLUMEN!$C$26),(1+SUP_VOLUMEN!$C$27)))*INDEX(SUP_C3_EXPANSION!$C$6:$F$6,MIN(4,COUNTIF(CAPA3_EXPANSION!$D$56:DK$56,"&gt;="&amp;39)))*CAPA3_EXPANSION!DK$36)</f>
        <v>3528</v>
      </c>
      <c r="DL46" s="298" t="n">
        <f aca="false">IF(COUNTIF(CAPA3_EXPANSION!$D$56:DL$56,"&gt;="&amp;39)=0,0,SUP_CONTROL!$C$8*IF($B46="V",1,IF($B46="D",(1+SUP_VOLUMEN!$C$26),(1+SUP_VOLUMEN!$C$27)))*INDEX(SUP_C3_EXPANSION!$C$6:$F$6,MIN(4,COUNTIF(CAPA3_EXPANSION!$D$56:DL$56,"&gt;="&amp;39)))*CAPA3_EXPANSION!DL$36)</f>
        <v>3528</v>
      </c>
      <c r="DM46" s="298" t="n">
        <f aca="false">IF(COUNTIF(CAPA3_EXPANSION!$D$56:DM$56,"&gt;="&amp;39)=0,0,SUP_CONTROL!$C$8*IF($B46="V",1,IF($B46="D",(1+SUP_VOLUMEN!$C$26),(1+SUP_VOLUMEN!$C$27)))*INDEX(SUP_C3_EXPANSION!$C$6:$F$6,MIN(4,COUNTIF(CAPA3_EXPANSION!$D$56:DM$56,"&gt;="&amp;39)))*CAPA3_EXPANSION!DM$36)</f>
        <v>3528</v>
      </c>
      <c r="DN46" s="298" t="n">
        <f aca="false">IF(COUNTIF(CAPA3_EXPANSION!$D$56:DN$56,"&gt;="&amp;39)=0,0,SUP_CONTROL!$C$8*IF($B46="V",1,IF($B46="D",(1+SUP_VOLUMEN!$C$26),(1+SUP_VOLUMEN!$C$27)))*INDEX(SUP_C3_EXPANSION!$C$6:$F$6,MIN(4,COUNTIF(CAPA3_EXPANSION!$D$56:DN$56,"&gt;="&amp;39)))*CAPA3_EXPANSION!DN$36)</f>
        <v>3528</v>
      </c>
      <c r="DO46" s="298" t="n">
        <f aca="false">IF(COUNTIF(CAPA3_EXPANSION!$D$56:DO$56,"&gt;="&amp;39)=0,0,SUP_CONTROL!$C$8*IF($B46="V",1,IF($B46="D",(1+SUP_VOLUMEN!$C$26),(1+SUP_VOLUMEN!$C$27)))*INDEX(SUP_C3_EXPANSION!$C$6:$F$6,MIN(4,COUNTIF(CAPA3_EXPANSION!$D$56:DO$56,"&gt;="&amp;39)))*CAPA3_EXPANSION!DO$36)</f>
        <v>3528</v>
      </c>
      <c r="DP46" s="298" t="n">
        <f aca="false">IF(COUNTIF(CAPA3_EXPANSION!$D$56:DP$56,"&gt;="&amp;39)=0,0,SUP_CONTROL!$C$8*IF($B46="V",1,IF($B46="D",(1+SUP_VOLUMEN!$C$26),(1+SUP_VOLUMEN!$C$27)))*INDEX(SUP_C3_EXPANSION!$C$6:$F$6,MIN(4,COUNTIF(CAPA3_EXPANSION!$D$56:DP$56,"&gt;="&amp;39)))*CAPA3_EXPANSION!DP$36)</f>
        <v>3528</v>
      </c>
      <c r="DQ46" s="298" t="n">
        <f aca="false">IF(COUNTIF(CAPA3_EXPANSION!$D$56:DQ$56,"&gt;="&amp;39)=0,0,SUP_CONTROL!$C$8*IF($B46="V",1,IF($B46="D",(1+SUP_VOLUMEN!$C$26),(1+SUP_VOLUMEN!$C$27)))*INDEX(SUP_C3_EXPANSION!$C$6:$F$6,MIN(4,COUNTIF(CAPA3_EXPANSION!$D$56:DQ$56,"&gt;="&amp;39)))*CAPA3_EXPANSION!DQ$36)</f>
        <v>3528</v>
      </c>
      <c r="DR46" s="298" t="n">
        <f aca="false">IF(COUNTIF(CAPA3_EXPANSION!$D$56:DR$56,"&gt;="&amp;39)=0,0,SUP_CONTROL!$C$8*IF($B46="V",1,IF($B46="D",(1+SUP_VOLUMEN!$C$26),(1+SUP_VOLUMEN!$C$27)))*INDEX(SUP_C3_EXPANSION!$C$6:$F$6,MIN(4,COUNTIF(CAPA3_EXPANSION!$D$56:DR$56,"&gt;="&amp;39)))*CAPA3_EXPANSION!DR$36)</f>
        <v>3528</v>
      </c>
      <c r="DS46" s="298" t="n">
        <f aca="false">IF(COUNTIF(CAPA3_EXPANSION!$D$56:DS$56,"&gt;="&amp;39)=0,0,SUP_CONTROL!$C$8*IF($B46="V",1,IF($B46="D",(1+SUP_VOLUMEN!$C$26),(1+SUP_VOLUMEN!$C$27)))*INDEX(SUP_C3_EXPANSION!$C$6:$F$6,MIN(4,COUNTIF(CAPA3_EXPANSION!$D$56:DS$56,"&gt;="&amp;39)))*CAPA3_EXPANSION!DS$36)</f>
        <v>3528</v>
      </c>
    </row>
    <row r="47" customFormat="false" ht="15" hidden="false" customHeight="true" outlineLevel="0" collapsed="false">
      <c r="A47" s="298" t="n">
        <v>50</v>
      </c>
      <c r="B47" s="497" t="str">
        <f aca="false">SUP_C3_EXPANSION!B59</f>
        <v>V</v>
      </c>
      <c r="C47" s="267" t="n">
        <f aca="false">SUP_C3_EXPANSION!G59</f>
        <v>82</v>
      </c>
      <c r="D47" s="298" t="n">
        <f aca="false">IF(COUNTIF(CAPA3_EXPANSION!$D$25:D$25,"&gt;="&amp;40)=0,0,SUP_CONTROL!$C$8*IF($B47="V",1,IF($B47="D",(1+SUP_VOLUMEN!$C$26),(1+SUP_VOLUMEN!$C$27)))*INDEX(SUP_C3_EXPANSION!$C$6:$F$6,MIN(4,COUNTIF(CAPA3_EXPANSION!$D$25:D$25,"&gt;="&amp;40)))*CAPA3_EXPANSION!D$36)</f>
        <v>0</v>
      </c>
      <c r="E47" s="298" t="n">
        <f aca="false">IF(COUNTIF(CAPA3_EXPANSION!$D$25:E$25,"&gt;="&amp;40)=0,0,SUP_CONTROL!$C$8*IF($B47="V",1,IF($B47="D",(1+SUP_VOLUMEN!$C$26),(1+SUP_VOLUMEN!$C$27)))*INDEX(SUP_C3_EXPANSION!$C$6:$F$6,MIN(4,COUNTIF(CAPA3_EXPANSION!$D$25:E$25,"&gt;="&amp;40)))*CAPA3_EXPANSION!E$36)</f>
        <v>0</v>
      </c>
      <c r="F47" s="298" t="n">
        <f aca="false">IF(COUNTIF(CAPA3_EXPANSION!$D$25:F$25,"&gt;="&amp;40)=0,0,SUP_CONTROL!$C$8*IF($B47="V",1,IF($B47="D",(1+SUP_VOLUMEN!$C$26),(1+SUP_VOLUMEN!$C$27)))*INDEX(SUP_C3_EXPANSION!$C$6:$F$6,MIN(4,COUNTIF(CAPA3_EXPANSION!$D$25:F$25,"&gt;="&amp;40)))*CAPA3_EXPANSION!F$36)</f>
        <v>0</v>
      </c>
      <c r="G47" s="298" t="n">
        <f aca="false">IF(COUNTIF(CAPA3_EXPANSION!$D$25:G$25,"&gt;="&amp;40)=0,0,SUP_CONTROL!$C$8*IF($B47="V",1,IF($B47="D",(1+SUP_VOLUMEN!$C$26),(1+SUP_VOLUMEN!$C$27)))*INDEX(SUP_C3_EXPANSION!$C$6:$F$6,MIN(4,COUNTIF(CAPA3_EXPANSION!$D$25:G$25,"&gt;="&amp;40)))*CAPA3_EXPANSION!G$36)</f>
        <v>0</v>
      </c>
      <c r="H47" s="298" t="n">
        <f aca="false">IF(COUNTIF(CAPA3_EXPANSION!$D$25:H$25,"&gt;="&amp;40)=0,0,SUP_CONTROL!$C$8*IF($B47="V",1,IF($B47="D",(1+SUP_VOLUMEN!$C$26),(1+SUP_VOLUMEN!$C$27)))*INDEX(SUP_C3_EXPANSION!$C$6:$F$6,MIN(4,COUNTIF(CAPA3_EXPANSION!$D$25:H$25,"&gt;="&amp;40)))*CAPA3_EXPANSION!H$36)</f>
        <v>0</v>
      </c>
      <c r="I47" s="298" t="n">
        <f aca="false">IF(COUNTIF(CAPA3_EXPANSION!$D$25:I$25,"&gt;="&amp;40)=0,0,SUP_CONTROL!$C$8*IF($B47="V",1,IF($B47="D",(1+SUP_VOLUMEN!$C$26),(1+SUP_VOLUMEN!$C$27)))*INDEX(SUP_C3_EXPANSION!$C$6:$F$6,MIN(4,COUNTIF(CAPA3_EXPANSION!$D$25:I$25,"&gt;="&amp;40)))*CAPA3_EXPANSION!I$36)</f>
        <v>0</v>
      </c>
      <c r="J47" s="298" t="n">
        <f aca="false">IF(COUNTIF(CAPA3_EXPANSION!$D$25:J$25,"&gt;="&amp;40)=0,0,SUP_CONTROL!$C$8*IF($B47="V",1,IF($B47="D",(1+SUP_VOLUMEN!$C$26),(1+SUP_VOLUMEN!$C$27)))*INDEX(SUP_C3_EXPANSION!$C$6:$F$6,MIN(4,COUNTIF(CAPA3_EXPANSION!$D$25:J$25,"&gt;="&amp;40)))*CAPA3_EXPANSION!J$36)</f>
        <v>0</v>
      </c>
      <c r="K47" s="298" t="n">
        <f aca="false">IF(COUNTIF(CAPA3_EXPANSION!$D$25:K$25,"&gt;="&amp;40)=0,0,SUP_CONTROL!$C$8*IF($B47="V",1,IF($B47="D",(1+SUP_VOLUMEN!$C$26),(1+SUP_VOLUMEN!$C$27)))*INDEX(SUP_C3_EXPANSION!$C$6:$F$6,MIN(4,COUNTIF(CAPA3_EXPANSION!$D$25:K$25,"&gt;="&amp;40)))*CAPA3_EXPANSION!K$36)</f>
        <v>0</v>
      </c>
      <c r="L47" s="298" t="n">
        <f aca="false">IF(COUNTIF(CAPA3_EXPANSION!$D$25:L$25,"&gt;="&amp;40)=0,0,SUP_CONTROL!$C$8*IF($B47="V",1,IF($B47="D",(1+SUP_VOLUMEN!$C$26),(1+SUP_VOLUMEN!$C$27)))*INDEX(SUP_C3_EXPANSION!$C$6:$F$6,MIN(4,COUNTIF(CAPA3_EXPANSION!$D$25:L$25,"&gt;="&amp;40)))*CAPA3_EXPANSION!L$36)</f>
        <v>0</v>
      </c>
      <c r="M47" s="298" t="n">
        <f aca="false">IF(COUNTIF(CAPA3_EXPANSION!$D$25:M$25,"&gt;="&amp;40)=0,0,SUP_CONTROL!$C$8*IF($B47="V",1,IF($B47="D",(1+SUP_VOLUMEN!$C$26),(1+SUP_VOLUMEN!$C$27)))*INDEX(SUP_C3_EXPANSION!$C$6:$F$6,MIN(4,COUNTIF(CAPA3_EXPANSION!$D$25:M$25,"&gt;="&amp;40)))*CAPA3_EXPANSION!M$36)</f>
        <v>0</v>
      </c>
      <c r="N47" s="298" t="n">
        <f aca="false">IF(COUNTIF(CAPA3_EXPANSION!$D$25:N$25,"&gt;="&amp;40)=0,0,SUP_CONTROL!$C$8*IF($B47="V",1,IF($B47="D",(1+SUP_VOLUMEN!$C$26),(1+SUP_VOLUMEN!$C$27)))*INDEX(SUP_C3_EXPANSION!$C$6:$F$6,MIN(4,COUNTIF(CAPA3_EXPANSION!$D$25:N$25,"&gt;="&amp;40)))*CAPA3_EXPANSION!N$36)</f>
        <v>0</v>
      </c>
      <c r="O47" s="298" t="n">
        <f aca="false">IF(COUNTIF(CAPA3_EXPANSION!$D$25:O$25,"&gt;="&amp;40)=0,0,SUP_CONTROL!$C$8*IF($B47="V",1,IF($B47="D",(1+SUP_VOLUMEN!$C$26),(1+SUP_VOLUMEN!$C$27)))*INDEX(SUP_C3_EXPANSION!$C$6:$F$6,MIN(4,COUNTIF(CAPA3_EXPANSION!$D$25:O$25,"&gt;="&amp;40)))*CAPA3_EXPANSION!O$36)</f>
        <v>0</v>
      </c>
      <c r="P47" s="298" t="n">
        <f aca="false">IF(COUNTIF(CAPA3_EXPANSION!$D$25:P$25,"&gt;="&amp;40)=0,0,SUP_CONTROL!$C$8*IF($B47="V",1,IF($B47="D",(1+SUP_VOLUMEN!$C$26),(1+SUP_VOLUMEN!$C$27)))*INDEX(SUP_C3_EXPANSION!$C$6:$F$6,MIN(4,COUNTIF(CAPA3_EXPANSION!$D$25:P$25,"&gt;="&amp;40)))*CAPA3_EXPANSION!P$36)</f>
        <v>0</v>
      </c>
      <c r="Q47" s="298" t="n">
        <f aca="false">IF(COUNTIF(CAPA3_EXPANSION!$D$25:Q$25,"&gt;="&amp;40)=0,0,SUP_CONTROL!$C$8*IF($B47="V",1,IF($B47="D",(1+SUP_VOLUMEN!$C$26),(1+SUP_VOLUMEN!$C$27)))*INDEX(SUP_C3_EXPANSION!$C$6:$F$6,MIN(4,COUNTIF(CAPA3_EXPANSION!$D$25:Q$25,"&gt;="&amp;40)))*CAPA3_EXPANSION!Q$36)</f>
        <v>0</v>
      </c>
      <c r="R47" s="298" t="n">
        <f aca="false">IF(COUNTIF(CAPA3_EXPANSION!$D$25:R$25,"&gt;="&amp;40)=0,0,SUP_CONTROL!$C$8*IF($B47="V",1,IF($B47="D",(1+SUP_VOLUMEN!$C$26),(1+SUP_VOLUMEN!$C$27)))*INDEX(SUP_C3_EXPANSION!$C$6:$F$6,MIN(4,COUNTIF(CAPA3_EXPANSION!$D$25:R$25,"&gt;="&amp;40)))*CAPA3_EXPANSION!R$36)</f>
        <v>0</v>
      </c>
      <c r="S47" s="298" t="n">
        <f aca="false">IF(COUNTIF(CAPA3_EXPANSION!$D$25:S$25,"&gt;="&amp;40)=0,0,SUP_CONTROL!$C$8*IF($B47="V",1,IF($B47="D",(1+SUP_VOLUMEN!$C$26),(1+SUP_VOLUMEN!$C$27)))*INDEX(SUP_C3_EXPANSION!$C$6:$F$6,MIN(4,COUNTIF(CAPA3_EXPANSION!$D$25:S$25,"&gt;="&amp;40)))*CAPA3_EXPANSION!S$36)</f>
        <v>0</v>
      </c>
      <c r="T47" s="298" t="n">
        <f aca="false">IF(COUNTIF(CAPA3_EXPANSION!$D$25:T$25,"&gt;="&amp;40)=0,0,SUP_CONTROL!$C$8*IF($B47="V",1,IF($B47="D",(1+SUP_VOLUMEN!$C$26),(1+SUP_VOLUMEN!$C$27)))*INDEX(SUP_C3_EXPANSION!$C$6:$F$6,MIN(4,COUNTIF(CAPA3_EXPANSION!$D$25:T$25,"&gt;="&amp;40)))*CAPA3_EXPANSION!T$36)</f>
        <v>0</v>
      </c>
      <c r="U47" s="298" t="n">
        <f aca="false">IF(COUNTIF(CAPA3_EXPANSION!$D$25:U$25,"&gt;="&amp;40)=0,0,SUP_CONTROL!$C$8*IF($B47="V",1,IF($B47="D",(1+SUP_VOLUMEN!$C$26),(1+SUP_VOLUMEN!$C$27)))*INDEX(SUP_C3_EXPANSION!$C$6:$F$6,MIN(4,COUNTIF(CAPA3_EXPANSION!$D$25:U$25,"&gt;="&amp;40)))*CAPA3_EXPANSION!U$36)</f>
        <v>0</v>
      </c>
      <c r="V47" s="298" t="n">
        <f aca="false">IF(COUNTIF(CAPA3_EXPANSION!$D$25:V$25,"&gt;="&amp;40)=0,0,SUP_CONTROL!$C$8*IF($B47="V",1,IF($B47="D",(1+SUP_VOLUMEN!$C$26),(1+SUP_VOLUMEN!$C$27)))*INDEX(SUP_C3_EXPANSION!$C$6:$F$6,MIN(4,COUNTIF(CAPA3_EXPANSION!$D$25:V$25,"&gt;="&amp;40)))*CAPA3_EXPANSION!V$36)</f>
        <v>0</v>
      </c>
      <c r="W47" s="298" t="n">
        <f aca="false">IF(COUNTIF(CAPA3_EXPANSION!$D$25:W$25,"&gt;="&amp;40)=0,0,SUP_CONTROL!$C$8*IF($B47="V",1,IF($B47="D",(1+SUP_VOLUMEN!$C$26),(1+SUP_VOLUMEN!$C$27)))*INDEX(SUP_C3_EXPANSION!$C$6:$F$6,MIN(4,COUNTIF(CAPA3_EXPANSION!$D$25:W$25,"&gt;="&amp;40)))*CAPA3_EXPANSION!W$36)</f>
        <v>0</v>
      </c>
      <c r="X47" s="298" t="n">
        <f aca="false">IF(COUNTIF(CAPA3_EXPANSION!$D$25:X$25,"&gt;="&amp;40)=0,0,SUP_CONTROL!$C$8*IF($B47="V",1,IF($B47="D",(1+SUP_VOLUMEN!$C$26),(1+SUP_VOLUMEN!$C$27)))*INDEX(SUP_C3_EXPANSION!$C$6:$F$6,MIN(4,COUNTIF(CAPA3_EXPANSION!$D$25:X$25,"&gt;="&amp;40)))*CAPA3_EXPANSION!X$36)</f>
        <v>0</v>
      </c>
      <c r="Y47" s="298" t="n">
        <f aca="false">IF(COUNTIF(CAPA3_EXPANSION!$D$25:Y$25,"&gt;="&amp;40)=0,0,SUP_CONTROL!$C$8*IF($B47="V",1,IF($B47="D",(1+SUP_VOLUMEN!$C$26),(1+SUP_VOLUMEN!$C$27)))*INDEX(SUP_C3_EXPANSION!$C$6:$F$6,MIN(4,COUNTIF(CAPA3_EXPANSION!$D$25:Y$25,"&gt;="&amp;40)))*CAPA3_EXPANSION!Y$36)</f>
        <v>0</v>
      </c>
      <c r="Z47" s="298" t="n">
        <f aca="false">IF(COUNTIF(CAPA3_EXPANSION!$D$25:Z$25,"&gt;="&amp;40)=0,0,SUP_CONTROL!$C$8*IF($B47="V",1,IF($B47="D",(1+SUP_VOLUMEN!$C$26),(1+SUP_VOLUMEN!$C$27)))*INDEX(SUP_C3_EXPANSION!$C$6:$F$6,MIN(4,COUNTIF(CAPA3_EXPANSION!$D$25:Z$25,"&gt;="&amp;40)))*CAPA3_EXPANSION!Z$36)</f>
        <v>0</v>
      </c>
      <c r="AA47" s="298" t="n">
        <f aca="false">IF(COUNTIF(CAPA3_EXPANSION!$D$25:AA$25,"&gt;="&amp;40)=0,0,SUP_CONTROL!$C$8*IF($B47="V",1,IF($B47="D",(1+SUP_VOLUMEN!$C$26),(1+SUP_VOLUMEN!$C$27)))*INDEX(SUP_C3_EXPANSION!$C$6:$F$6,MIN(4,COUNTIF(CAPA3_EXPANSION!$D$25:AA$25,"&gt;="&amp;40)))*CAPA3_EXPANSION!AA$36)</f>
        <v>0</v>
      </c>
      <c r="AB47" s="298" t="n">
        <f aca="false">IF(COUNTIF(CAPA3_EXPANSION!$D$25:AB$25,"&gt;="&amp;40)=0,0,SUP_CONTROL!$C$8*IF($B47="V",1,IF($B47="D",(1+SUP_VOLUMEN!$C$26),(1+SUP_VOLUMEN!$C$27)))*INDEX(SUP_C3_EXPANSION!$C$6:$F$6,MIN(4,COUNTIF(CAPA3_EXPANSION!$D$25:AB$25,"&gt;="&amp;40)))*CAPA3_EXPANSION!AB$36)</f>
        <v>0</v>
      </c>
      <c r="AC47" s="298" t="n">
        <f aca="false">IF(COUNTIF(CAPA3_EXPANSION!$D$25:AC$25,"&gt;="&amp;40)=0,0,SUP_CONTROL!$C$8*IF($B47="V",1,IF($B47="D",(1+SUP_VOLUMEN!$C$26),(1+SUP_VOLUMEN!$C$27)))*INDEX(SUP_C3_EXPANSION!$C$6:$F$6,MIN(4,COUNTIF(CAPA3_EXPANSION!$D$25:AC$25,"&gt;="&amp;40)))*CAPA3_EXPANSION!AC$36)</f>
        <v>0</v>
      </c>
      <c r="AD47" s="298" t="n">
        <f aca="false">IF(COUNTIF(CAPA3_EXPANSION!$D$25:AD$25,"&gt;="&amp;40)=0,0,SUP_CONTROL!$C$8*IF($B47="V",1,IF($B47="D",(1+SUP_VOLUMEN!$C$26),(1+SUP_VOLUMEN!$C$27)))*INDEX(SUP_C3_EXPANSION!$C$6:$F$6,MIN(4,COUNTIF(CAPA3_EXPANSION!$D$25:AD$25,"&gt;="&amp;40)))*CAPA3_EXPANSION!AD$36)</f>
        <v>0</v>
      </c>
      <c r="AE47" s="298" t="n">
        <f aca="false">IF(COUNTIF(CAPA3_EXPANSION!$D$25:AE$25,"&gt;="&amp;40)=0,0,SUP_CONTROL!$C$8*IF($B47="V",1,IF($B47="D",(1+SUP_VOLUMEN!$C$26),(1+SUP_VOLUMEN!$C$27)))*INDEX(SUP_C3_EXPANSION!$C$6:$F$6,MIN(4,COUNTIF(CAPA3_EXPANSION!$D$25:AE$25,"&gt;="&amp;40)))*CAPA3_EXPANSION!AE$36)</f>
        <v>0</v>
      </c>
      <c r="AF47" s="298" t="n">
        <f aca="false">IF(COUNTIF(CAPA3_EXPANSION!$D$25:AF$25,"&gt;="&amp;40)=0,0,SUP_CONTROL!$C$8*IF($B47="V",1,IF($B47="D",(1+SUP_VOLUMEN!$C$26),(1+SUP_VOLUMEN!$C$27)))*INDEX(SUP_C3_EXPANSION!$C$6:$F$6,MIN(4,COUNTIF(CAPA3_EXPANSION!$D$25:AF$25,"&gt;="&amp;40)))*CAPA3_EXPANSION!AF$36)</f>
        <v>0</v>
      </c>
      <c r="AG47" s="298" t="n">
        <f aca="false">IF(COUNTIF(CAPA3_EXPANSION!$D$25:AG$25,"&gt;="&amp;40)=0,0,SUP_CONTROL!$C$8*IF($B47="V",1,IF($B47="D",(1+SUP_VOLUMEN!$C$26),(1+SUP_VOLUMEN!$C$27)))*INDEX(SUP_C3_EXPANSION!$C$6:$F$6,MIN(4,COUNTIF(CAPA3_EXPANSION!$D$25:AG$25,"&gt;="&amp;40)))*CAPA3_EXPANSION!AG$36)</f>
        <v>0</v>
      </c>
      <c r="AH47" s="298" t="n">
        <f aca="false">IF(COUNTIF(CAPA3_EXPANSION!$D$25:AH$25,"&gt;="&amp;40)=0,0,SUP_CONTROL!$C$8*IF($B47="V",1,IF($B47="D",(1+SUP_VOLUMEN!$C$26),(1+SUP_VOLUMEN!$C$27)))*INDEX(SUP_C3_EXPANSION!$C$6:$F$6,MIN(4,COUNTIF(CAPA3_EXPANSION!$D$25:AH$25,"&gt;="&amp;40)))*CAPA3_EXPANSION!AH$36)</f>
        <v>0</v>
      </c>
      <c r="AI47" s="298" t="n">
        <f aca="false">IF(COUNTIF(CAPA3_EXPANSION!$D$25:AI$25,"&gt;="&amp;40)=0,0,SUP_CONTROL!$C$8*IF($B47="V",1,IF($B47="D",(1+SUP_VOLUMEN!$C$26),(1+SUP_VOLUMEN!$C$27)))*INDEX(SUP_C3_EXPANSION!$C$6:$F$6,MIN(4,COUNTIF(CAPA3_EXPANSION!$D$25:AI$25,"&gt;="&amp;40)))*CAPA3_EXPANSION!AI$36)</f>
        <v>0</v>
      </c>
      <c r="AJ47" s="298" t="n">
        <f aca="false">IF(COUNTIF(CAPA3_EXPANSION!$D$25:AJ$25,"&gt;="&amp;40)=0,0,SUP_CONTROL!$C$8*IF($B47="V",1,IF($B47="D",(1+SUP_VOLUMEN!$C$26),(1+SUP_VOLUMEN!$C$27)))*INDEX(SUP_C3_EXPANSION!$C$6:$F$6,MIN(4,COUNTIF(CAPA3_EXPANSION!$D$25:AJ$25,"&gt;="&amp;40)))*CAPA3_EXPANSION!AJ$36)</f>
        <v>0</v>
      </c>
      <c r="AK47" s="298" t="n">
        <f aca="false">IF(COUNTIF(CAPA3_EXPANSION!$D$25:AK$25,"&gt;="&amp;40)=0,0,SUP_CONTROL!$C$8*IF($B47="V",1,IF($B47="D",(1+SUP_VOLUMEN!$C$26),(1+SUP_VOLUMEN!$C$27)))*INDEX(SUP_C3_EXPANSION!$C$6:$F$6,MIN(4,COUNTIF(CAPA3_EXPANSION!$D$25:AK$25,"&gt;="&amp;40)))*CAPA3_EXPANSION!AK$36)</f>
        <v>0</v>
      </c>
      <c r="AL47" s="298" t="n">
        <f aca="false">IF(COUNTIF(CAPA3_EXPANSION!$D$25:AL$25,"&gt;="&amp;40)=0,0,SUP_CONTROL!$C$8*IF($B47="V",1,IF($B47="D",(1+SUP_VOLUMEN!$C$26),(1+SUP_VOLUMEN!$C$27)))*INDEX(SUP_C3_EXPANSION!$C$6:$F$6,MIN(4,COUNTIF(CAPA3_EXPANSION!$D$25:AL$25,"&gt;="&amp;40)))*CAPA3_EXPANSION!AL$36)</f>
        <v>0</v>
      </c>
      <c r="AM47" s="298" t="n">
        <f aca="false">IF(COUNTIF(CAPA3_EXPANSION!$D$25:AM$25,"&gt;="&amp;40)=0,0,SUP_CONTROL!$C$8*IF($B47="V",1,IF($B47="D",(1+SUP_VOLUMEN!$C$26),(1+SUP_VOLUMEN!$C$27)))*INDEX(SUP_C3_EXPANSION!$C$6:$F$6,MIN(4,COUNTIF(CAPA3_EXPANSION!$D$25:AM$25,"&gt;="&amp;40)))*CAPA3_EXPANSION!AM$36)</f>
        <v>0</v>
      </c>
      <c r="AN47" s="298" t="n">
        <f aca="false">IF(COUNTIF(CAPA3_EXPANSION!$D$25:AN$25,"&gt;="&amp;40)=0,0,SUP_CONTROL!$C$8*IF($B47="V",1,IF($B47="D",(1+SUP_VOLUMEN!$C$26),(1+SUP_VOLUMEN!$C$27)))*INDEX(SUP_C3_EXPANSION!$C$6:$F$6,MIN(4,COUNTIF(CAPA3_EXPANSION!$D$25:AN$25,"&gt;="&amp;40)))*CAPA3_EXPANSION!AN$36)</f>
        <v>0</v>
      </c>
      <c r="AO47" s="298" t="n">
        <f aca="false">IF(COUNTIF(CAPA3_EXPANSION!$D$25:AO$25,"&gt;="&amp;40)=0,0,SUP_CONTROL!$C$8*IF($B47="V",1,IF($B47="D",(1+SUP_VOLUMEN!$C$26),(1+SUP_VOLUMEN!$C$27)))*INDEX(SUP_C3_EXPANSION!$C$6:$F$6,MIN(4,COUNTIF(CAPA3_EXPANSION!$D$25:AO$25,"&gt;="&amp;40)))*CAPA3_EXPANSION!AO$36)</f>
        <v>0</v>
      </c>
      <c r="AP47" s="298" t="n">
        <f aca="false">IF(COUNTIF(CAPA3_EXPANSION!$D$25:AP$25,"&gt;="&amp;40)=0,0,SUP_CONTROL!$C$8*IF($B47="V",1,IF($B47="D",(1+SUP_VOLUMEN!$C$26),(1+SUP_VOLUMEN!$C$27)))*INDEX(SUP_C3_EXPANSION!$C$6:$F$6,MIN(4,COUNTIF(CAPA3_EXPANSION!$D$25:AP$25,"&gt;="&amp;40)))*CAPA3_EXPANSION!AP$36)</f>
        <v>0</v>
      </c>
      <c r="AQ47" s="298" t="n">
        <f aca="false">IF(COUNTIF(CAPA3_EXPANSION!$D$25:AQ$25,"&gt;="&amp;40)=0,0,SUP_CONTROL!$C$8*IF($B47="V",1,IF($B47="D",(1+SUP_VOLUMEN!$C$26),(1+SUP_VOLUMEN!$C$27)))*INDEX(SUP_C3_EXPANSION!$C$6:$F$6,MIN(4,COUNTIF(CAPA3_EXPANSION!$D$25:AQ$25,"&gt;="&amp;40)))*CAPA3_EXPANSION!AQ$36)</f>
        <v>0</v>
      </c>
      <c r="AR47" s="298" t="n">
        <f aca="false">IF(COUNTIF(CAPA3_EXPANSION!$D$25:AR$25,"&gt;="&amp;40)=0,0,SUP_CONTROL!$C$8*IF($B47="V",1,IF($B47="D",(1+SUP_VOLUMEN!$C$26),(1+SUP_VOLUMEN!$C$27)))*INDEX(SUP_C3_EXPANSION!$C$6:$F$6,MIN(4,COUNTIF(CAPA3_EXPANSION!$D$25:AR$25,"&gt;="&amp;40)))*CAPA3_EXPANSION!AR$36)</f>
        <v>0</v>
      </c>
      <c r="AS47" s="298" t="n">
        <f aca="false">IF(COUNTIF(CAPA3_EXPANSION!$D$25:AS$25,"&gt;="&amp;40)=0,0,SUP_CONTROL!$C$8*IF($B47="V",1,IF($B47="D",(1+SUP_VOLUMEN!$C$26),(1+SUP_VOLUMEN!$C$27)))*INDEX(SUP_C3_EXPANSION!$C$6:$F$6,MIN(4,COUNTIF(CAPA3_EXPANSION!$D$25:AS$25,"&gt;="&amp;40)))*CAPA3_EXPANSION!AS$36)</f>
        <v>0</v>
      </c>
      <c r="AT47" s="298" t="n">
        <f aca="false">IF(COUNTIF(CAPA3_EXPANSION!$D$25:AT$25,"&gt;="&amp;40)=0,0,SUP_CONTROL!$C$8*IF($B47="V",1,IF($B47="D",(1+SUP_VOLUMEN!$C$26),(1+SUP_VOLUMEN!$C$27)))*INDEX(SUP_C3_EXPANSION!$C$6:$F$6,MIN(4,COUNTIF(CAPA3_EXPANSION!$D$25:AT$25,"&gt;="&amp;40)))*CAPA3_EXPANSION!AT$36)</f>
        <v>0</v>
      </c>
      <c r="AU47" s="298" t="n">
        <f aca="false">IF(COUNTIF(CAPA3_EXPANSION!$D$25:AU$25,"&gt;="&amp;40)=0,0,SUP_CONTROL!$C$8*IF($B47="V",1,IF($B47="D",(1+SUP_VOLUMEN!$C$26),(1+SUP_VOLUMEN!$C$27)))*INDEX(SUP_C3_EXPANSION!$C$6:$F$6,MIN(4,COUNTIF(CAPA3_EXPANSION!$D$25:AU$25,"&gt;="&amp;40)))*CAPA3_EXPANSION!AU$36)</f>
        <v>0</v>
      </c>
      <c r="AV47" s="298" t="n">
        <f aca="false">IF(COUNTIF(CAPA3_EXPANSION!$D$25:AV$25,"&gt;="&amp;40)=0,0,SUP_CONTROL!$C$8*IF($B47="V",1,IF($B47="D",(1+SUP_VOLUMEN!$C$26),(1+SUP_VOLUMEN!$C$27)))*INDEX(SUP_C3_EXPANSION!$C$6:$F$6,MIN(4,COUNTIF(CAPA3_EXPANSION!$D$25:AV$25,"&gt;="&amp;40)))*CAPA3_EXPANSION!AV$36)</f>
        <v>0</v>
      </c>
      <c r="AW47" s="298" t="n">
        <f aca="false">IF(COUNTIF(CAPA3_EXPANSION!$D$25:AW$25,"&gt;="&amp;40)=0,0,SUP_CONTROL!$C$8*IF($B47="V",1,IF($B47="D",(1+SUP_VOLUMEN!$C$26),(1+SUP_VOLUMEN!$C$27)))*INDEX(SUP_C3_EXPANSION!$C$6:$F$6,MIN(4,COUNTIF(CAPA3_EXPANSION!$D$25:AW$25,"&gt;="&amp;40)))*CAPA3_EXPANSION!AW$36)</f>
        <v>0</v>
      </c>
      <c r="AX47" s="298" t="n">
        <f aca="false">IF(COUNTIF(CAPA3_EXPANSION!$D$25:AX$25,"&gt;="&amp;40)=0,0,SUP_CONTROL!$C$8*IF($B47="V",1,IF($B47="D",(1+SUP_VOLUMEN!$C$26),(1+SUP_VOLUMEN!$C$27)))*INDEX(SUP_C3_EXPANSION!$C$6:$F$6,MIN(4,COUNTIF(CAPA3_EXPANSION!$D$25:AX$25,"&gt;="&amp;40)))*CAPA3_EXPANSION!AX$36)</f>
        <v>0</v>
      </c>
      <c r="AY47" s="298" t="n">
        <f aca="false">IF(COUNTIF(CAPA3_EXPANSION!$D$25:AY$25,"&gt;="&amp;40)=0,0,SUP_CONTROL!$C$8*IF($B47="V",1,IF($B47="D",(1+SUP_VOLUMEN!$C$26),(1+SUP_VOLUMEN!$C$27)))*INDEX(SUP_C3_EXPANSION!$C$6:$F$6,MIN(4,COUNTIF(CAPA3_EXPANSION!$D$25:AY$25,"&gt;="&amp;40)))*CAPA3_EXPANSION!AY$36)</f>
        <v>0</v>
      </c>
      <c r="AZ47" s="298" t="n">
        <f aca="false">IF(COUNTIF(CAPA3_EXPANSION!$D$25:AZ$25,"&gt;="&amp;40)=0,0,SUP_CONTROL!$C$8*IF($B47="V",1,IF($B47="D",(1+SUP_VOLUMEN!$C$26),(1+SUP_VOLUMEN!$C$27)))*INDEX(SUP_C3_EXPANSION!$C$6:$F$6,MIN(4,COUNTIF(CAPA3_EXPANSION!$D$25:AZ$25,"&gt;="&amp;40)))*CAPA3_EXPANSION!AZ$36)</f>
        <v>0</v>
      </c>
      <c r="BA47" s="298" t="n">
        <f aca="false">IF(COUNTIF(CAPA3_EXPANSION!$D$25:BA$25,"&gt;="&amp;40)=0,0,SUP_CONTROL!$C$8*IF($B47="V",1,IF($B47="D",(1+SUP_VOLUMEN!$C$26),(1+SUP_VOLUMEN!$C$27)))*INDEX(SUP_C3_EXPANSION!$C$6:$F$6,MIN(4,COUNTIF(CAPA3_EXPANSION!$D$25:BA$25,"&gt;="&amp;40)))*CAPA3_EXPANSION!BA$36)</f>
        <v>0</v>
      </c>
      <c r="BB47" s="298" t="n">
        <f aca="false">IF(COUNTIF(CAPA3_EXPANSION!$D$25:BB$25,"&gt;="&amp;40)=0,0,SUP_CONTROL!$C$8*IF($B47="V",1,IF($B47="D",(1+SUP_VOLUMEN!$C$26),(1+SUP_VOLUMEN!$C$27)))*INDEX(SUP_C3_EXPANSION!$C$6:$F$6,MIN(4,COUNTIF(CAPA3_EXPANSION!$D$25:BB$25,"&gt;="&amp;40)))*CAPA3_EXPANSION!BB$36)</f>
        <v>0</v>
      </c>
      <c r="BC47" s="298" t="n">
        <f aca="false">IF(COUNTIF(CAPA3_EXPANSION!$D$25:BC$25,"&gt;="&amp;40)=0,0,SUP_CONTROL!$C$8*IF($B47="V",1,IF($B47="D",(1+SUP_VOLUMEN!$C$26),(1+SUP_VOLUMEN!$C$27)))*INDEX(SUP_C3_EXPANSION!$C$6:$F$6,MIN(4,COUNTIF(CAPA3_EXPANSION!$D$25:BC$25,"&gt;="&amp;40)))*CAPA3_EXPANSION!BC$36)</f>
        <v>0</v>
      </c>
      <c r="BD47" s="298" t="n">
        <f aca="false">IF(COUNTIF(CAPA3_EXPANSION!$D$25:BD$25,"&gt;="&amp;40)=0,0,SUP_CONTROL!$C$8*IF($B47="V",1,IF($B47="D",(1+SUP_VOLUMEN!$C$26),(1+SUP_VOLUMEN!$C$27)))*INDEX(SUP_C3_EXPANSION!$C$6:$F$6,MIN(4,COUNTIF(CAPA3_EXPANSION!$D$25:BD$25,"&gt;="&amp;40)))*CAPA3_EXPANSION!BD$36)</f>
        <v>0</v>
      </c>
      <c r="BE47" s="298" t="n">
        <f aca="false">IF(COUNTIF(CAPA3_EXPANSION!$D$25:BE$25,"&gt;="&amp;40)=0,0,SUP_CONTROL!$C$8*IF($B47="V",1,IF($B47="D",(1+SUP_VOLUMEN!$C$26),(1+SUP_VOLUMEN!$C$27)))*INDEX(SUP_C3_EXPANSION!$C$6:$F$6,MIN(4,COUNTIF(CAPA3_EXPANSION!$D$25:BE$25,"&gt;="&amp;40)))*CAPA3_EXPANSION!BE$36)</f>
        <v>0</v>
      </c>
      <c r="BF47" s="298" t="n">
        <f aca="false">IF(COUNTIF(CAPA3_EXPANSION!$D$25:BF$25,"&gt;="&amp;40)=0,0,SUP_CONTROL!$C$8*IF($B47="V",1,IF($B47="D",(1+SUP_VOLUMEN!$C$26),(1+SUP_VOLUMEN!$C$27)))*INDEX(SUP_C3_EXPANSION!$C$6:$F$6,MIN(4,COUNTIF(CAPA3_EXPANSION!$D$25:BF$25,"&gt;="&amp;40)))*CAPA3_EXPANSION!BF$36)</f>
        <v>0</v>
      </c>
      <c r="BG47" s="298" t="n">
        <f aca="false">IF(COUNTIF(CAPA3_EXPANSION!$D$25:BG$25,"&gt;="&amp;40)=0,0,SUP_CONTROL!$C$8*IF($B47="V",1,IF($B47="D",(1+SUP_VOLUMEN!$C$26),(1+SUP_VOLUMEN!$C$27)))*INDEX(SUP_C3_EXPANSION!$C$6:$F$6,MIN(4,COUNTIF(CAPA3_EXPANSION!$D$25:BG$25,"&gt;="&amp;40)))*CAPA3_EXPANSION!BG$36)</f>
        <v>0</v>
      </c>
      <c r="BH47" s="298" t="n">
        <f aca="false">IF(COUNTIF(CAPA3_EXPANSION!$D$25:BH$25,"&gt;="&amp;40)=0,0,SUP_CONTROL!$C$8*IF($B47="V",1,IF($B47="D",(1+SUP_VOLUMEN!$C$26),(1+SUP_VOLUMEN!$C$27)))*INDEX(SUP_C3_EXPANSION!$C$6:$F$6,MIN(4,COUNTIF(CAPA3_EXPANSION!$D$25:BH$25,"&gt;="&amp;40)))*CAPA3_EXPANSION!BH$36)</f>
        <v>0</v>
      </c>
      <c r="BI47" s="298" t="n">
        <f aca="false">IF(COUNTIF(CAPA3_EXPANSION!$D$25:BI$25,"&gt;="&amp;40)=0,0,SUP_CONTROL!$C$8*IF($B47="V",1,IF($B47="D",(1+SUP_VOLUMEN!$C$26),(1+SUP_VOLUMEN!$C$27)))*INDEX(SUP_C3_EXPANSION!$C$6:$F$6,MIN(4,COUNTIF(CAPA3_EXPANSION!$D$25:BI$25,"&gt;="&amp;40)))*CAPA3_EXPANSION!BI$36)</f>
        <v>0</v>
      </c>
      <c r="BJ47" s="298" t="n">
        <f aca="false">IF(COUNTIF(CAPA3_EXPANSION!$D$25:BJ$25,"&gt;="&amp;40)=0,0,SUP_CONTROL!$C$8*IF($B47="V",1,IF($B47="D",(1+SUP_VOLUMEN!$C$26),(1+SUP_VOLUMEN!$C$27)))*INDEX(SUP_C3_EXPANSION!$C$6:$F$6,MIN(4,COUNTIF(CAPA3_EXPANSION!$D$25:BJ$25,"&gt;="&amp;40)))*CAPA3_EXPANSION!BJ$36)</f>
        <v>0</v>
      </c>
      <c r="BK47" s="298" t="n">
        <f aca="false">IF(COUNTIF(CAPA3_EXPANSION!$D$25:BK$25,"&gt;="&amp;40)=0,0,SUP_CONTROL!$C$8*IF($B47="V",1,IF($B47="D",(1+SUP_VOLUMEN!$C$26),(1+SUP_VOLUMEN!$C$27)))*INDEX(SUP_C3_EXPANSION!$C$6:$F$6,MIN(4,COUNTIF(CAPA3_EXPANSION!$D$25:BK$25,"&gt;="&amp;40)))*CAPA3_EXPANSION!BK$36)</f>
        <v>0</v>
      </c>
      <c r="BL47" s="298" t="n">
        <f aca="false">IF(COUNTIF(CAPA3_EXPANSION!$D$25:BL$25,"&gt;="&amp;40)=0,0,SUP_CONTROL!$C$8*IF($B47="V",1,IF($B47="D",(1+SUP_VOLUMEN!$C$26),(1+SUP_VOLUMEN!$C$27)))*INDEX(SUP_C3_EXPANSION!$C$6:$F$6,MIN(4,COUNTIF(CAPA3_EXPANSION!$D$25:BL$25,"&gt;="&amp;40)))*CAPA3_EXPANSION!BL$36)</f>
        <v>0</v>
      </c>
      <c r="BM47" s="298" t="n">
        <f aca="false">IF(COUNTIF(CAPA3_EXPANSION!$D$25:BM$25,"&gt;="&amp;40)=0,0,SUP_CONTROL!$C$8*IF($B47="V",1,IF($B47="D",(1+SUP_VOLUMEN!$C$26),(1+SUP_VOLUMEN!$C$27)))*INDEX(SUP_C3_EXPANSION!$C$6:$F$6,MIN(4,COUNTIF(CAPA3_EXPANSION!$D$25:BM$25,"&gt;="&amp;40)))*CAPA3_EXPANSION!BM$36)</f>
        <v>0</v>
      </c>
      <c r="BN47" s="298" t="n">
        <f aca="false">IF(COUNTIF(CAPA3_EXPANSION!$D$25:BN$25,"&gt;="&amp;40)=0,0,SUP_CONTROL!$C$8*IF($B47="V",1,IF($B47="D",(1+SUP_VOLUMEN!$C$26),(1+SUP_VOLUMEN!$C$27)))*INDEX(SUP_C3_EXPANSION!$C$6:$F$6,MIN(4,COUNTIF(CAPA3_EXPANSION!$D$25:BN$25,"&gt;="&amp;40)))*CAPA3_EXPANSION!BN$36)</f>
        <v>0</v>
      </c>
      <c r="BO47" s="298" t="n">
        <f aca="false">IF(COUNTIF(CAPA3_EXPANSION!$D$25:BO$25,"&gt;="&amp;40)=0,0,SUP_CONTROL!$C$8*IF($B47="V",1,IF($B47="D",(1+SUP_VOLUMEN!$C$26),(1+SUP_VOLUMEN!$C$27)))*INDEX(SUP_C3_EXPANSION!$C$6:$F$6,MIN(4,COUNTIF(CAPA3_EXPANSION!$D$25:BO$25,"&gt;="&amp;40)))*CAPA3_EXPANSION!BO$36)</f>
        <v>0</v>
      </c>
      <c r="BP47" s="298" t="n">
        <f aca="false">IF(COUNTIF(CAPA3_EXPANSION!$D$25:BP$25,"&gt;="&amp;40)=0,0,SUP_CONTROL!$C$8*IF($B47="V",1,IF($B47="D",(1+SUP_VOLUMEN!$C$26),(1+SUP_VOLUMEN!$C$27)))*INDEX(SUP_C3_EXPANSION!$C$6:$F$6,MIN(4,COUNTIF(CAPA3_EXPANSION!$D$25:BP$25,"&gt;="&amp;40)))*CAPA3_EXPANSION!BP$36)</f>
        <v>0</v>
      </c>
      <c r="BQ47" s="298" t="n">
        <f aca="false">IF(COUNTIF(CAPA3_EXPANSION!$D$25:BQ$25,"&gt;="&amp;40)=0,0,SUP_CONTROL!$C$8*IF($B47="V",1,IF($B47="D",(1+SUP_VOLUMEN!$C$26),(1+SUP_VOLUMEN!$C$27)))*INDEX(SUP_C3_EXPANSION!$C$6:$F$6,MIN(4,COUNTIF(CAPA3_EXPANSION!$D$25:BQ$25,"&gt;="&amp;40)))*CAPA3_EXPANSION!BQ$36)</f>
        <v>0</v>
      </c>
      <c r="BR47" s="298" t="n">
        <f aca="false">IF(COUNTIF(CAPA3_EXPANSION!$D$25:BR$25,"&gt;="&amp;40)=0,0,SUP_CONTROL!$C$8*IF($B47="V",1,IF($B47="D",(1+SUP_VOLUMEN!$C$26),(1+SUP_VOLUMEN!$C$27)))*INDEX(SUP_C3_EXPANSION!$C$6:$F$6,MIN(4,COUNTIF(CAPA3_EXPANSION!$D$25:BR$25,"&gt;="&amp;40)))*CAPA3_EXPANSION!BR$36)</f>
        <v>0</v>
      </c>
      <c r="BS47" s="298" t="n">
        <f aca="false">IF(COUNTIF(CAPA3_EXPANSION!$D$25:BS$25,"&gt;="&amp;40)=0,0,SUP_CONTROL!$C$8*IF($B47="V",1,IF($B47="D",(1+SUP_VOLUMEN!$C$26),(1+SUP_VOLUMEN!$C$27)))*INDEX(SUP_C3_EXPANSION!$C$6:$F$6,MIN(4,COUNTIF(CAPA3_EXPANSION!$D$25:BS$25,"&gt;="&amp;40)))*CAPA3_EXPANSION!BS$36)</f>
        <v>0</v>
      </c>
      <c r="BT47" s="298" t="n">
        <f aca="false">IF(COUNTIF(CAPA3_EXPANSION!$D$25:BT$25,"&gt;="&amp;40)=0,0,SUP_CONTROL!$C$8*IF($B47="V",1,IF($B47="D",(1+SUP_VOLUMEN!$C$26),(1+SUP_VOLUMEN!$C$27)))*INDEX(SUP_C3_EXPANSION!$C$6:$F$6,MIN(4,COUNTIF(CAPA3_EXPANSION!$D$25:BT$25,"&gt;="&amp;40)))*CAPA3_EXPANSION!BT$36)</f>
        <v>0</v>
      </c>
      <c r="BU47" s="298" t="n">
        <f aca="false">IF(COUNTIF(CAPA3_EXPANSION!$D$25:BU$25,"&gt;="&amp;40)=0,0,SUP_CONTROL!$C$8*IF($B47="V",1,IF($B47="D",(1+SUP_VOLUMEN!$C$26),(1+SUP_VOLUMEN!$C$27)))*INDEX(SUP_C3_EXPANSION!$C$6:$F$6,MIN(4,COUNTIF(CAPA3_EXPANSION!$D$25:BU$25,"&gt;="&amp;40)))*CAPA3_EXPANSION!BU$36)</f>
        <v>0</v>
      </c>
      <c r="BV47" s="298" t="n">
        <f aca="false">IF(COUNTIF(CAPA3_EXPANSION!$D$25:BV$25,"&gt;="&amp;40)=0,0,SUP_CONTROL!$C$8*IF($B47="V",1,IF($B47="D",(1+SUP_VOLUMEN!$C$26),(1+SUP_VOLUMEN!$C$27)))*INDEX(SUP_C3_EXPANSION!$C$6:$F$6,MIN(4,COUNTIF(CAPA3_EXPANSION!$D$25:BV$25,"&gt;="&amp;40)))*CAPA3_EXPANSION!BV$36)</f>
        <v>0</v>
      </c>
      <c r="BW47" s="298" t="n">
        <f aca="false">IF(COUNTIF(CAPA3_EXPANSION!$D$25:BW$25,"&gt;="&amp;40)=0,0,SUP_CONTROL!$C$8*IF($B47="V",1,IF($B47="D",(1+SUP_VOLUMEN!$C$26),(1+SUP_VOLUMEN!$C$27)))*INDEX(SUP_C3_EXPANSION!$C$6:$F$6,MIN(4,COUNTIF(CAPA3_EXPANSION!$D$25:BW$25,"&gt;="&amp;40)))*CAPA3_EXPANSION!BW$36)</f>
        <v>0</v>
      </c>
      <c r="BX47" s="298" t="n">
        <f aca="false">IF(COUNTIF(CAPA3_EXPANSION!$D$25:BX$25,"&gt;="&amp;40)=0,0,SUP_CONTROL!$C$8*IF($B47="V",1,IF($B47="D",(1+SUP_VOLUMEN!$C$26),(1+SUP_VOLUMEN!$C$27)))*INDEX(SUP_C3_EXPANSION!$C$6:$F$6,MIN(4,COUNTIF(CAPA3_EXPANSION!$D$25:BX$25,"&gt;="&amp;40)))*CAPA3_EXPANSION!BX$36)</f>
        <v>0</v>
      </c>
      <c r="BY47" s="298" t="n">
        <f aca="false">IF(COUNTIF(CAPA3_EXPANSION!$D$25:BY$25,"&gt;="&amp;40)=0,0,SUP_CONTROL!$C$8*IF($B47="V",1,IF($B47="D",(1+SUP_VOLUMEN!$C$26),(1+SUP_VOLUMEN!$C$27)))*INDEX(SUP_C3_EXPANSION!$C$6:$F$6,MIN(4,COUNTIF(CAPA3_EXPANSION!$D$25:BY$25,"&gt;="&amp;40)))*CAPA3_EXPANSION!BY$36)</f>
        <v>0</v>
      </c>
      <c r="BZ47" s="298" t="n">
        <f aca="false">IF(COUNTIF(CAPA3_EXPANSION!$D$25:BZ$25,"&gt;="&amp;40)=0,0,SUP_CONTROL!$C$8*IF($B47="V",1,IF($B47="D",(1+SUP_VOLUMEN!$C$26),(1+SUP_VOLUMEN!$C$27)))*INDEX(SUP_C3_EXPANSION!$C$6:$F$6,MIN(4,COUNTIF(CAPA3_EXPANSION!$D$25:BZ$25,"&gt;="&amp;40)))*CAPA3_EXPANSION!BZ$36)</f>
        <v>0</v>
      </c>
      <c r="CA47" s="298" t="n">
        <f aca="false">IF(COUNTIF(CAPA3_EXPANSION!$D$25:CA$25,"&gt;="&amp;40)=0,0,SUP_CONTROL!$C$8*IF($B47="V",1,IF($B47="D",(1+SUP_VOLUMEN!$C$26),(1+SUP_VOLUMEN!$C$27)))*INDEX(SUP_C3_EXPANSION!$C$6:$F$6,MIN(4,COUNTIF(CAPA3_EXPANSION!$D$25:CA$25,"&gt;="&amp;40)))*CAPA3_EXPANSION!CA$36)</f>
        <v>0</v>
      </c>
      <c r="CB47" s="298" t="n">
        <f aca="false">IF(COUNTIF(CAPA3_EXPANSION!$D$25:CB$25,"&gt;="&amp;40)=0,0,SUP_CONTROL!$C$8*IF($B47="V",1,IF($B47="D",(1+SUP_VOLUMEN!$C$26),(1+SUP_VOLUMEN!$C$27)))*INDEX(SUP_C3_EXPANSION!$C$6:$F$6,MIN(4,COUNTIF(CAPA3_EXPANSION!$D$25:CB$25,"&gt;="&amp;40)))*CAPA3_EXPANSION!CB$36)</f>
        <v>0</v>
      </c>
      <c r="CC47" s="298" t="n">
        <f aca="false">IF(COUNTIF(CAPA3_EXPANSION!$D$25:CC$25,"&gt;="&amp;40)=0,0,SUP_CONTROL!$C$8*IF($B47="V",1,IF($B47="D",(1+SUP_VOLUMEN!$C$26),(1+SUP_VOLUMEN!$C$27)))*INDEX(SUP_C3_EXPANSION!$C$6:$F$6,MIN(4,COUNTIF(CAPA3_EXPANSION!$D$25:CC$25,"&gt;="&amp;40)))*CAPA3_EXPANSION!CC$36)</f>
        <v>0</v>
      </c>
      <c r="CD47" s="298" t="n">
        <f aca="false">IF(COUNTIF(CAPA3_EXPANSION!$D$25:CD$25,"&gt;="&amp;40)=0,0,SUP_CONTROL!$C$8*IF($B47="V",1,IF($B47="D",(1+SUP_VOLUMEN!$C$26),(1+SUP_VOLUMEN!$C$27)))*INDEX(SUP_C3_EXPANSION!$C$6:$F$6,MIN(4,COUNTIF(CAPA3_EXPANSION!$D$25:CD$25,"&gt;="&amp;40)))*CAPA3_EXPANSION!CD$36)</f>
        <v>0</v>
      </c>
      <c r="CE47" s="298" t="n">
        <f aca="false">IF(COUNTIF(CAPA3_EXPANSION!$D$25:CE$25,"&gt;="&amp;40)=0,0,SUP_CONTROL!$C$8*IF($B47="V",1,IF($B47="D",(1+SUP_VOLUMEN!$C$26),(1+SUP_VOLUMEN!$C$27)))*INDEX(SUP_C3_EXPANSION!$C$6:$F$6,MIN(4,COUNTIF(CAPA3_EXPANSION!$D$25:CE$25,"&gt;="&amp;40)))*CAPA3_EXPANSION!CE$36)</f>
        <v>0</v>
      </c>
      <c r="CF47" s="298" t="n">
        <f aca="false">IF(COUNTIF(CAPA3_EXPANSION!$D$25:CF$25,"&gt;="&amp;40)=0,0,SUP_CONTROL!$C$8*IF($B47="V",1,IF($B47="D",(1+SUP_VOLUMEN!$C$26),(1+SUP_VOLUMEN!$C$27)))*INDEX(SUP_C3_EXPANSION!$C$6:$F$6,MIN(4,COUNTIF(CAPA3_EXPANSION!$D$25:CF$25,"&gt;="&amp;40)))*CAPA3_EXPANSION!CF$36)</f>
        <v>0</v>
      </c>
      <c r="CG47" s="298" t="n">
        <f aca="false">IF(COUNTIF(CAPA3_EXPANSION!$D$25:CG$25,"&gt;="&amp;40)=0,0,SUP_CONTROL!$C$8*IF($B47="V",1,IF($B47="D",(1+SUP_VOLUMEN!$C$26),(1+SUP_VOLUMEN!$C$27)))*INDEX(SUP_C3_EXPANSION!$C$6:$F$6,MIN(4,COUNTIF(CAPA3_EXPANSION!$D$25:CG$25,"&gt;="&amp;40)))*CAPA3_EXPANSION!CG$36)</f>
        <v>2293.2</v>
      </c>
      <c r="CH47" s="298" t="n">
        <f aca="false">IF(COUNTIF(CAPA3_EXPANSION!$D$25:CH$25,"&gt;="&amp;40)=0,0,SUP_CONTROL!$C$8*IF($B47="V",1,IF($B47="D",(1+SUP_VOLUMEN!$C$26),(1+SUP_VOLUMEN!$C$27)))*INDEX(SUP_C3_EXPANSION!$C$6:$F$6,MIN(4,COUNTIF(CAPA3_EXPANSION!$D$25:CH$25,"&gt;="&amp;40)))*CAPA3_EXPANSION!CH$36)</f>
        <v>2822.4</v>
      </c>
      <c r="CI47" s="298" t="n">
        <f aca="false">IF(COUNTIF(CAPA3_EXPANSION!$D$25:CI$25,"&gt;="&amp;40)=0,0,SUP_CONTROL!$C$8*IF($B47="V",1,IF($B47="D",(1+SUP_VOLUMEN!$C$26),(1+SUP_VOLUMEN!$C$27)))*INDEX(SUP_C3_EXPANSION!$C$6:$F$6,MIN(4,COUNTIF(CAPA3_EXPANSION!$D$25:CI$25,"&gt;="&amp;40)))*CAPA3_EXPANSION!CI$36)</f>
        <v>3175.2</v>
      </c>
      <c r="CJ47" s="298" t="n">
        <f aca="false">IF(COUNTIF(CAPA3_EXPANSION!$D$25:CJ$25,"&gt;="&amp;40)=0,0,SUP_CONTROL!$C$8*IF($B47="V",1,IF($B47="D",(1+SUP_VOLUMEN!$C$26),(1+SUP_VOLUMEN!$C$27)))*INDEX(SUP_C3_EXPANSION!$C$6:$F$6,MIN(4,COUNTIF(CAPA3_EXPANSION!$D$25:CJ$25,"&gt;="&amp;40)))*CAPA3_EXPANSION!CJ$36)</f>
        <v>3528</v>
      </c>
      <c r="CK47" s="298" t="n">
        <f aca="false">IF(COUNTIF(CAPA3_EXPANSION!$D$25:CK$25,"&gt;="&amp;40)=0,0,SUP_CONTROL!$C$8*IF($B47="V",1,IF($B47="D",(1+SUP_VOLUMEN!$C$26),(1+SUP_VOLUMEN!$C$27)))*INDEX(SUP_C3_EXPANSION!$C$6:$F$6,MIN(4,COUNTIF(CAPA3_EXPANSION!$D$25:CK$25,"&gt;="&amp;40)))*CAPA3_EXPANSION!CK$36)</f>
        <v>3528</v>
      </c>
      <c r="CL47" s="298" t="n">
        <f aca="false">IF(COUNTIF(CAPA3_EXPANSION!$D$25:CL$25,"&gt;="&amp;40)=0,0,SUP_CONTROL!$C$8*IF($B47="V",1,IF($B47="D",(1+SUP_VOLUMEN!$C$26),(1+SUP_VOLUMEN!$C$27)))*INDEX(SUP_C3_EXPANSION!$C$6:$F$6,MIN(4,COUNTIF(CAPA3_EXPANSION!$D$25:CL$25,"&gt;="&amp;40)))*CAPA3_EXPANSION!CL$36)</f>
        <v>3528</v>
      </c>
      <c r="CM47" s="298" t="n">
        <f aca="false">IF(COUNTIF(CAPA3_EXPANSION!$D$25:CM$25,"&gt;="&amp;40)=0,0,SUP_CONTROL!$C$8*IF($B47="V",1,IF($B47="D",(1+SUP_VOLUMEN!$C$26),(1+SUP_VOLUMEN!$C$27)))*INDEX(SUP_C3_EXPANSION!$C$6:$F$6,MIN(4,COUNTIF(CAPA3_EXPANSION!$D$25:CM$25,"&gt;="&amp;40)))*CAPA3_EXPANSION!CM$36)</f>
        <v>3528</v>
      </c>
      <c r="CN47" s="298" t="n">
        <f aca="false">IF(COUNTIF(CAPA3_EXPANSION!$D$25:CN$25,"&gt;="&amp;40)=0,0,SUP_CONTROL!$C$8*IF($B47="V",1,IF($B47="D",(1+SUP_VOLUMEN!$C$26),(1+SUP_VOLUMEN!$C$27)))*INDEX(SUP_C3_EXPANSION!$C$6:$F$6,MIN(4,COUNTIF(CAPA3_EXPANSION!$D$25:CN$25,"&gt;="&amp;40)))*CAPA3_EXPANSION!CN$36)</f>
        <v>3528</v>
      </c>
      <c r="CO47" s="298" t="n">
        <f aca="false">IF(COUNTIF(CAPA3_EXPANSION!$D$25:CO$25,"&gt;="&amp;40)=0,0,SUP_CONTROL!$C$8*IF($B47="V",1,IF($B47="D",(1+SUP_VOLUMEN!$C$26),(1+SUP_VOLUMEN!$C$27)))*INDEX(SUP_C3_EXPANSION!$C$6:$F$6,MIN(4,COUNTIF(CAPA3_EXPANSION!$D$25:CO$25,"&gt;="&amp;40)))*CAPA3_EXPANSION!CO$36)</f>
        <v>3528</v>
      </c>
      <c r="CP47" s="298" t="n">
        <f aca="false">IF(COUNTIF(CAPA3_EXPANSION!$D$25:CP$25,"&gt;="&amp;40)=0,0,SUP_CONTROL!$C$8*IF($B47="V",1,IF($B47="D",(1+SUP_VOLUMEN!$C$26),(1+SUP_VOLUMEN!$C$27)))*INDEX(SUP_C3_EXPANSION!$C$6:$F$6,MIN(4,COUNTIF(CAPA3_EXPANSION!$D$25:CP$25,"&gt;="&amp;40)))*CAPA3_EXPANSION!CP$36)</f>
        <v>3528</v>
      </c>
      <c r="CQ47" s="298" t="n">
        <f aca="false">IF(COUNTIF(CAPA3_EXPANSION!$D$25:CQ$25,"&gt;="&amp;40)=0,0,SUP_CONTROL!$C$8*IF($B47="V",1,IF($B47="D",(1+SUP_VOLUMEN!$C$26),(1+SUP_VOLUMEN!$C$27)))*INDEX(SUP_C3_EXPANSION!$C$6:$F$6,MIN(4,COUNTIF(CAPA3_EXPANSION!$D$25:CQ$25,"&gt;="&amp;40)))*CAPA3_EXPANSION!CQ$36)</f>
        <v>3528</v>
      </c>
      <c r="CR47" s="298" t="n">
        <f aca="false">IF(COUNTIF(CAPA3_EXPANSION!$D$25:CR$25,"&gt;="&amp;40)=0,0,SUP_CONTROL!$C$8*IF($B47="V",1,IF($B47="D",(1+SUP_VOLUMEN!$C$26),(1+SUP_VOLUMEN!$C$27)))*INDEX(SUP_C3_EXPANSION!$C$6:$F$6,MIN(4,COUNTIF(CAPA3_EXPANSION!$D$25:CR$25,"&gt;="&amp;40)))*CAPA3_EXPANSION!CR$36)</f>
        <v>3528</v>
      </c>
      <c r="CS47" s="298" t="n">
        <f aca="false">IF(COUNTIF(CAPA3_EXPANSION!$D$25:CS$25,"&gt;="&amp;40)=0,0,SUP_CONTROL!$C$8*IF($B47="V",1,IF($B47="D",(1+SUP_VOLUMEN!$C$26),(1+SUP_VOLUMEN!$C$27)))*INDEX(SUP_C3_EXPANSION!$C$6:$F$6,MIN(4,COUNTIF(CAPA3_EXPANSION!$D$25:CS$25,"&gt;="&amp;40)))*CAPA3_EXPANSION!CS$36)</f>
        <v>3528</v>
      </c>
      <c r="CT47" s="298" t="n">
        <f aca="false">IF(COUNTIF(CAPA3_EXPANSION!$D$25:CT$25,"&gt;="&amp;40)=0,0,SUP_CONTROL!$C$8*IF($B47="V",1,IF($B47="D",(1+SUP_VOLUMEN!$C$26),(1+SUP_VOLUMEN!$C$27)))*INDEX(SUP_C3_EXPANSION!$C$6:$F$6,MIN(4,COUNTIF(CAPA3_EXPANSION!$D$25:CT$25,"&gt;="&amp;40)))*CAPA3_EXPANSION!CT$36)</f>
        <v>3528</v>
      </c>
      <c r="CU47" s="298" t="n">
        <f aca="false">IF(COUNTIF(CAPA3_EXPANSION!$D$25:CU$25,"&gt;="&amp;40)=0,0,SUP_CONTROL!$C$8*IF($B47="V",1,IF($B47="D",(1+SUP_VOLUMEN!$C$26),(1+SUP_VOLUMEN!$C$27)))*INDEX(SUP_C3_EXPANSION!$C$6:$F$6,MIN(4,COUNTIF(CAPA3_EXPANSION!$D$25:CU$25,"&gt;="&amp;40)))*CAPA3_EXPANSION!CU$36)</f>
        <v>3528</v>
      </c>
      <c r="CV47" s="298" t="n">
        <f aca="false">IF(COUNTIF(CAPA3_EXPANSION!$D$25:CV$25,"&gt;="&amp;40)=0,0,SUP_CONTROL!$C$8*IF($B47="V",1,IF($B47="D",(1+SUP_VOLUMEN!$C$26),(1+SUP_VOLUMEN!$C$27)))*INDEX(SUP_C3_EXPANSION!$C$6:$F$6,MIN(4,COUNTIF(CAPA3_EXPANSION!$D$25:CV$25,"&gt;="&amp;40)))*CAPA3_EXPANSION!CV$36)</f>
        <v>3528</v>
      </c>
      <c r="CW47" s="298" t="n">
        <f aca="false">IF(COUNTIF(CAPA3_EXPANSION!$D$25:CW$25,"&gt;="&amp;40)=0,0,SUP_CONTROL!$C$8*IF($B47="V",1,IF($B47="D",(1+SUP_VOLUMEN!$C$26),(1+SUP_VOLUMEN!$C$27)))*INDEX(SUP_C3_EXPANSION!$C$6:$F$6,MIN(4,COUNTIF(CAPA3_EXPANSION!$D$25:CW$25,"&gt;="&amp;40)))*CAPA3_EXPANSION!CW$36)</f>
        <v>3528</v>
      </c>
      <c r="CX47" s="298" t="n">
        <f aca="false">IF(COUNTIF(CAPA3_EXPANSION!$D$25:CX$25,"&gt;="&amp;40)=0,0,SUP_CONTROL!$C$8*IF($B47="V",1,IF($B47="D",(1+SUP_VOLUMEN!$C$26),(1+SUP_VOLUMEN!$C$27)))*INDEX(SUP_C3_EXPANSION!$C$6:$F$6,MIN(4,COUNTIF(CAPA3_EXPANSION!$D$25:CX$25,"&gt;="&amp;40)))*CAPA3_EXPANSION!CX$36)</f>
        <v>3528</v>
      </c>
      <c r="CY47" s="298" t="n">
        <f aca="false">IF(COUNTIF(CAPA3_EXPANSION!$D$25:CY$25,"&gt;="&amp;40)=0,0,SUP_CONTROL!$C$8*IF($B47="V",1,IF($B47="D",(1+SUP_VOLUMEN!$C$26),(1+SUP_VOLUMEN!$C$27)))*INDEX(SUP_C3_EXPANSION!$C$6:$F$6,MIN(4,COUNTIF(CAPA3_EXPANSION!$D$25:CY$25,"&gt;="&amp;40)))*CAPA3_EXPANSION!CY$36)</f>
        <v>3528</v>
      </c>
      <c r="CZ47" s="298" t="n">
        <f aca="false">IF(COUNTIF(CAPA3_EXPANSION!$D$25:CZ$25,"&gt;="&amp;40)=0,0,SUP_CONTROL!$C$8*IF($B47="V",1,IF($B47="D",(1+SUP_VOLUMEN!$C$26),(1+SUP_VOLUMEN!$C$27)))*INDEX(SUP_C3_EXPANSION!$C$6:$F$6,MIN(4,COUNTIF(CAPA3_EXPANSION!$D$25:CZ$25,"&gt;="&amp;40)))*CAPA3_EXPANSION!CZ$36)</f>
        <v>3528</v>
      </c>
      <c r="DA47" s="298" t="n">
        <f aca="false">IF(COUNTIF(CAPA3_EXPANSION!$D$25:DA$25,"&gt;="&amp;40)=0,0,SUP_CONTROL!$C$8*IF($B47="V",1,IF($B47="D",(1+SUP_VOLUMEN!$C$26),(1+SUP_VOLUMEN!$C$27)))*INDEX(SUP_C3_EXPANSION!$C$6:$F$6,MIN(4,COUNTIF(CAPA3_EXPANSION!$D$25:DA$25,"&gt;="&amp;40)))*CAPA3_EXPANSION!DA$36)</f>
        <v>3528</v>
      </c>
      <c r="DB47" s="298" t="n">
        <f aca="false">IF(COUNTIF(CAPA3_EXPANSION!$D$25:DB$25,"&gt;="&amp;40)=0,0,SUP_CONTROL!$C$8*IF($B47="V",1,IF($B47="D",(1+SUP_VOLUMEN!$C$26),(1+SUP_VOLUMEN!$C$27)))*INDEX(SUP_C3_EXPANSION!$C$6:$F$6,MIN(4,COUNTIF(CAPA3_EXPANSION!$D$25:DB$25,"&gt;="&amp;40)))*CAPA3_EXPANSION!DB$36)</f>
        <v>3528</v>
      </c>
      <c r="DC47" s="298" t="n">
        <f aca="false">IF(COUNTIF(CAPA3_EXPANSION!$D$25:DC$25,"&gt;="&amp;40)=0,0,SUP_CONTROL!$C$8*IF($B47="V",1,IF($B47="D",(1+SUP_VOLUMEN!$C$26),(1+SUP_VOLUMEN!$C$27)))*INDEX(SUP_C3_EXPANSION!$C$6:$F$6,MIN(4,COUNTIF(CAPA3_EXPANSION!$D$25:DC$25,"&gt;="&amp;40)))*CAPA3_EXPANSION!DC$36)</f>
        <v>3528</v>
      </c>
      <c r="DD47" s="298" t="n">
        <f aca="false">IF(COUNTIF(CAPA3_EXPANSION!$D$25:DD$25,"&gt;="&amp;40)=0,0,SUP_CONTROL!$C$8*IF($B47="V",1,IF($B47="D",(1+SUP_VOLUMEN!$C$26),(1+SUP_VOLUMEN!$C$27)))*INDEX(SUP_C3_EXPANSION!$C$6:$F$6,MIN(4,COUNTIF(CAPA3_EXPANSION!$D$25:DD$25,"&gt;="&amp;40)))*CAPA3_EXPANSION!DD$36)</f>
        <v>3528</v>
      </c>
      <c r="DE47" s="298" t="n">
        <f aca="false">IF(COUNTIF(CAPA3_EXPANSION!$D$25:DE$25,"&gt;="&amp;40)=0,0,SUP_CONTROL!$C$8*IF($B47="V",1,IF($B47="D",(1+SUP_VOLUMEN!$C$26),(1+SUP_VOLUMEN!$C$27)))*INDEX(SUP_C3_EXPANSION!$C$6:$F$6,MIN(4,COUNTIF(CAPA3_EXPANSION!$D$25:DE$25,"&gt;="&amp;40)))*CAPA3_EXPANSION!DE$36)</f>
        <v>3528</v>
      </c>
      <c r="DF47" s="298" t="n">
        <f aca="false">IF(COUNTIF(CAPA3_EXPANSION!$D$25:DF$25,"&gt;="&amp;40)=0,0,SUP_CONTROL!$C$8*IF($B47="V",1,IF($B47="D",(1+SUP_VOLUMEN!$C$26),(1+SUP_VOLUMEN!$C$27)))*INDEX(SUP_C3_EXPANSION!$C$6:$F$6,MIN(4,COUNTIF(CAPA3_EXPANSION!$D$25:DF$25,"&gt;="&amp;40)))*CAPA3_EXPANSION!DF$36)</f>
        <v>3528</v>
      </c>
      <c r="DG47" s="298" t="n">
        <f aca="false">IF(COUNTIF(CAPA3_EXPANSION!$D$25:DG$25,"&gt;="&amp;40)=0,0,SUP_CONTROL!$C$8*IF($B47="V",1,IF($B47="D",(1+SUP_VOLUMEN!$C$26),(1+SUP_VOLUMEN!$C$27)))*INDEX(SUP_C3_EXPANSION!$C$6:$F$6,MIN(4,COUNTIF(CAPA3_EXPANSION!$D$25:DG$25,"&gt;="&amp;40)))*CAPA3_EXPANSION!DG$36)</f>
        <v>3528</v>
      </c>
      <c r="DH47" s="298" t="n">
        <f aca="false">IF(COUNTIF(CAPA3_EXPANSION!$D$25:DH$25,"&gt;="&amp;40)=0,0,SUP_CONTROL!$C$8*IF($B47="V",1,IF($B47="D",(1+SUP_VOLUMEN!$C$26),(1+SUP_VOLUMEN!$C$27)))*INDEX(SUP_C3_EXPANSION!$C$6:$F$6,MIN(4,COUNTIF(CAPA3_EXPANSION!$D$25:DH$25,"&gt;="&amp;40)))*CAPA3_EXPANSION!DH$36)</f>
        <v>3528</v>
      </c>
      <c r="DI47" s="298" t="n">
        <f aca="false">IF(COUNTIF(CAPA3_EXPANSION!$D$25:DI$25,"&gt;="&amp;40)=0,0,SUP_CONTROL!$C$8*IF($B47="V",1,IF($B47="D",(1+SUP_VOLUMEN!$C$26),(1+SUP_VOLUMEN!$C$27)))*INDEX(SUP_C3_EXPANSION!$C$6:$F$6,MIN(4,COUNTIF(CAPA3_EXPANSION!$D$25:DI$25,"&gt;="&amp;40)))*CAPA3_EXPANSION!DI$36)</f>
        <v>3528</v>
      </c>
      <c r="DJ47" s="298" t="n">
        <f aca="false">IF(COUNTIF(CAPA3_EXPANSION!$D$25:DJ$25,"&gt;="&amp;40)=0,0,SUP_CONTROL!$C$8*IF($B47="V",1,IF($B47="D",(1+SUP_VOLUMEN!$C$26),(1+SUP_VOLUMEN!$C$27)))*INDEX(SUP_C3_EXPANSION!$C$6:$F$6,MIN(4,COUNTIF(CAPA3_EXPANSION!$D$25:DJ$25,"&gt;="&amp;40)))*CAPA3_EXPANSION!DJ$36)</f>
        <v>3528</v>
      </c>
      <c r="DK47" s="298" t="n">
        <f aca="false">IF(COUNTIF(CAPA3_EXPANSION!$D$25:DK$25,"&gt;="&amp;40)=0,0,SUP_CONTROL!$C$8*IF($B47="V",1,IF($B47="D",(1+SUP_VOLUMEN!$C$26),(1+SUP_VOLUMEN!$C$27)))*INDEX(SUP_C3_EXPANSION!$C$6:$F$6,MIN(4,COUNTIF(CAPA3_EXPANSION!$D$25:DK$25,"&gt;="&amp;40)))*CAPA3_EXPANSION!DK$36)</f>
        <v>3528</v>
      </c>
      <c r="DL47" s="298" t="n">
        <f aca="false">IF(COUNTIF(CAPA3_EXPANSION!$D$25:DL$25,"&gt;="&amp;40)=0,0,SUP_CONTROL!$C$8*IF($B47="V",1,IF($B47="D",(1+SUP_VOLUMEN!$C$26),(1+SUP_VOLUMEN!$C$27)))*INDEX(SUP_C3_EXPANSION!$C$6:$F$6,MIN(4,COUNTIF(CAPA3_EXPANSION!$D$25:DL$25,"&gt;="&amp;40)))*CAPA3_EXPANSION!DL$36)</f>
        <v>3528</v>
      </c>
      <c r="DM47" s="298" t="n">
        <f aca="false">IF(COUNTIF(CAPA3_EXPANSION!$D$25:DM$25,"&gt;="&amp;40)=0,0,SUP_CONTROL!$C$8*IF($B47="V",1,IF($B47="D",(1+SUP_VOLUMEN!$C$26),(1+SUP_VOLUMEN!$C$27)))*INDEX(SUP_C3_EXPANSION!$C$6:$F$6,MIN(4,COUNTIF(CAPA3_EXPANSION!$D$25:DM$25,"&gt;="&amp;40)))*CAPA3_EXPANSION!DM$36)</f>
        <v>3528</v>
      </c>
      <c r="DN47" s="298" t="n">
        <f aca="false">IF(COUNTIF(CAPA3_EXPANSION!$D$25:DN$25,"&gt;="&amp;40)=0,0,SUP_CONTROL!$C$8*IF($B47="V",1,IF($B47="D",(1+SUP_VOLUMEN!$C$26),(1+SUP_VOLUMEN!$C$27)))*INDEX(SUP_C3_EXPANSION!$C$6:$F$6,MIN(4,COUNTIF(CAPA3_EXPANSION!$D$25:DN$25,"&gt;="&amp;40)))*CAPA3_EXPANSION!DN$36)</f>
        <v>3528</v>
      </c>
      <c r="DO47" s="298" t="n">
        <f aca="false">IF(COUNTIF(CAPA3_EXPANSION!$D$25:DO$25,"&gt;="&amp;40)=0,0,SUP_CONTROL!$C$8*IF($B47="V",1,IF($B47="D",(1+SUP_VOLUMEN!$C$26),(1+SUP_VOLUMEN!$C$27)))*INDEX(SUP_C3_EXPANSION!$C$6:$F$6,MIN(4,COUNTIF(CAPA3_EXPANSION!$D$25:DO$25,"&gt;="&amp;40)))*CAPA3_EXPANSION!DO$36)</f>
        <v>3528</v>
      </c>
      <c r="DP47" s="298" t="n">
        <f aca="false">IF(COUNTIF(CAPA3_EXPANSION!$D$25:DP$25,"&gt;="&amp;40)=0,0,SUP_CONTROL!$C$8*IF($B47="V",1,IF($B47="D",(1+SUP_VOLUMEN!$C$26),(1+SUP_VOLUMEN!$C$27)))*INDEX(SUP_C3_EXPANSION!$C$6:$F$6,MIN(4,COUNTIF(CAPA3_EXPANSION!$D$25:DP$25,"&gt;="&amp;40)))*CAPA3_EXPANSION!DP$36)</f>
        <v>3528</v>
      </c>
      <c r="DQ47" s="298" t="n">
        <f aca="false">IF(COUNTIF(CAPA3_EXPANSION!$D$25:DQ$25,"&gt;="&amp;40)=0,0,SUP_CONTROL!$C$8*IF($B47="V",1,IF($B47="D",(1+SUP_VOLUMEN!$C$26),(1+SUP_VOLUMEN!$C$27)))*INDEX(SUP_C3_EXPANSION!$C$6:$F$6,MIN(4,COUNTIF(CAPA3_EXPANSION!$D$25:DQ$25,"&gt;="&amp;40)))*CAPA3_EXPANSION!DQ$36)</f>
        <v>3528</v>
      </c>
      <c r="DR47" s="298" t="n">
        <f aca="false">IF(COUNTIF(CAPA3_EXPANSION!$D$25:DR$25,"&gt;="&amp;40)=0,0,SUP_CONTROL!$C$8*IF($B47="V",1,IF($B47="D",(1+SUP_VOLUMEN!$C$26),(1+SUP_VOLUMEN!$C$27)))*INDEX(SUP_C3_EXPANSION!$C$6:$F$6,MIN(4,COUNTIF(CAPA3_EXPANSION!$D$25:DR$25,"&gt;="&amp;40)))*CAPA3_EXPANSION!DR$36)</f>
        <v>3528</v>
      </c>
      <c r="DS47" s="298" t="n">
        <f aca="false">IF(COUNTIF(CAPA3_EXPANSION!$D$25:DS$25,"&gt;="&amp;40)=0,0,SUP_CONTROL!$C$8*IF($B47="V",1,IF($B47="D",(1+SUP_VOLUMEN!$C$26),(1+SUP_VOLUMEN!$C$27)))*INDEX(SUP_C3_EXPANSION!$C$6:$F$6,MIN(4,COUNTIF(CAPA3_EXPANSION!$D$25:DS$25,"&gt;="&amp;40)))*CAPA3_EXPANSION!DS$36)</f>
        <v>3528</v>
      </c>
    </row>
    <row r="48" customFormat="false" ht="15" hidden="false" customHeight="true" outlineLevel="0" collapsed="false">
      <c r="B48" s="178" t="s">
        <v>3566</v>
      </c>
      <c r="D48" s="275" t="n">
        <f aca="false">SUM(D8:D47)</f>
        <v>0</v>
      </c>
      <c r="E48" s="275" t="n">
        <f aca="false">SUM(E8:E47)</f>
        <v>0</v>
      </c>
      <c r="F48" s="275" t="n">
        <f aca="false">SUM(F8:F47)</f>
        <v>0</v>
      </c>
      <c r="G48" s="275" t="n">
        <f aca="false">SUM(G8:G47)</f>
        <v>0</v>
      </c>
      <c r="H48" s="275" t="n">
        <f aca="false">SUM(H8:H47)</f>
        <v>0</v>
      </c>
      <c r="I48" s="275" t="n">
        <f aca="false">SUM(I8:I47)</f>
        <v>0</v>
      </c>
      <c r="J48" s="275" t="n">
        <f aca="false">SUM(J8:J47)</f>
        <v>0</v>
      </c>
      <c r="K48" s="275" t="n">
        <f aca="false">SUM(K8:K47)</f>
        <v>0</v>
      </c>
      <c r="L48" s="275" t="n">
        <f aca="false">SUM(L8:L47)</f>
        <v>0</v>
      </c>
      <c r="M48" s="275" t="n">
        <f aca="false">SUM(M8:M47)</f>
        <v>0</v>
      </c>
      <c r="N48" s="275" t="n">
        <f aca="false">SUM(N8:N47)</f>
        <v>0</v>
      </c>
      <c r="O48" s="275" t="n">
        <f aca="false">SUM(O8:O47)</f>
        <v>0</v>
      </c>
      <c r="P48" s="275" t="n">
        <f aca="false">SUM(P8:P47)</f>
        <v>0</v>
      </c>
      <c r="Q48" s="275" t="n">
        <f aca="false">SUM(Q8:Q47)</f>
        <v>0</v>
      </c>
      <c r="R48" s="275" t="n">
        <f aca="false">SUM(R8:R47)</f>
        <v>0</v>
      </c>
      <c r="S48" s="275" t="n">
        <f aca="false">SUM(S8:S47)</f>
        <v>0</v>
      </c>
      <c r="T48" s="275" t="n">
        <f aca="false">SUM(T8:T47)</f>
        <v>0</v>
      </c>
      <c r="U48" s="275" t="n">
        <f aca="false">SUM(U8:U47)</f>
        <v>0</v>
      </c>
      <c r="V48" s="275" t="n">
        <f aca="false">SUM(V8:V47)</f>
        <v>2730</v>
      </c>
      <c r="W48" s="275" t="n">
        <f aca="false">SUM(W8:W47)</f>
        <v>6090</v>
      </c>
      <c r="X48" s="275" t="n">
        <f aca="false">SUM(X8:X47)</f>
        <v>7140</v>
      </c>
      <c r="Y48" s="275" t="n">
        <f aca="false">SUM(Y8:Y47)</f>
        <v>10710</v>
      </c>
      <c r="Z48" s="275" t="n">
        <f aca="false">SUM(Z8:Z47)</f>
        <v>11760</v>
      </c>
      <c r="AA48" s="275" t="n">
        <f aca="false">SUM(AA8:AA47)</f>
        <v>12180</v>
      </c>
      <c r="AB48" s="275" t="n">
        <f aca="false">SUM(AB8:AB47)</f>
        <v>12600</v>
      </c>
      <c r="AC48" s="275" t="n">
        <f aca="false">SUM(AC8:AC47)</f>
        <v>12600</v>
      </c>
      <c r="AD48" s="275" t="n">
        <f aca="false">SUM(AD8:AD47)</f>
        <v>12600</v>
      </c>
      <c r="AE48" s="275" t="n">
        <f aca="false">SUM(AE8:AE47)</f>
        <v>12600</v>
      </c>
      <c r="AF48" s="275" t="n">
        <f aca="false">SUM(AF8:AF47)</f>
        <v>12600</v>
      </c>
      <c r="AG48" s="275" t="n">
        <f aca="false">SUM(AG8:AG47)</f>
        <v>12222</v>
      </c>
      <c r="AH48" s="275" t="n">
        <f aca="false">SUM(AH8:AH47)</f>
        <v>12222</v>
      </c>
      <c r="AI48" s="275" t="n">
        <f aca="false">SUM(AI8:AI47)</f>
        <v>15664.53</v>
      </c>
      <c r="AJ48" s="275" t="n">
        <f aca="false">SUM(AJ8:AJ47)</f>
        <v>19107.06</v>
      </c>
      <c r="AK48" s="275" t="n">
        <f aca="false">SUM(AK8:AK47)</f>
        <v>20247.78</v>
      </c>
      <c r="AL48" s="275" t="n">
        <f aca="false">SUM(AL8:AL47)</f>
        <v>23832.9</v>
      </c>
      <c r="AM48" s="275" t="n">
        <f aca="false">SUM(AM8:AM47)</f>
        <v>24851.4</v>
      </c>
      <c r="AN48" s="275" t="n">
        <f aca="false">SUM(AN8:AN47)</f>
        <v>27906.9</v>
      </c>
      <c r="AO48" s="275" t="n">
        <f aca="false">SUM(AO8:AO47)</f>
        <v>28925.4</v>
      </c>
      <c r="AP48" s="275" t="n">
        <f aca="false">SUM(AP8:AP47)</f>
        <v>28576.8</v>
      </c>
      <c r="AQ48" s="275" t="n">
        <f aca="false">SUM(AQ8:AQ47)</f>
        <v>32327.505</v>
      </c>
      <c r="AR48" s="275" t="n">
        <f aca="false">SUM(AR8:AR47)</f>
        <v>35681.31</v>
      </c>
      <c r="AS48" s="275" t="n">
        <f aca="false">SUM(AS8:AS47)</f>
        <v>39372.48</v>
      </c>
      <c r="AT48" s="275" t="n">
        <f aca="false">SUM(AT8:AT47)</f>
        <v>43460.55</v>
      </c>
      <c r="AU48" s="275" t="n">
        <f aca="false">SUM(AU8:AU47)</f>
        <v>44849.7</v>
      </c>
      <c r="AV48" s="275" t="n">
        <f aca="false">SUM(AV8:AV47)</f>
        <v>45643.5</v>
      </c>
      <c r="AW48" s="275" t="n">
        <f aca="false">SUM(AW8:AW47)</f>
        <v>49394.205</v>
      </c>
      <c r="AX48" s="275" t="n">
        <f aca="false">SUM(AX8:AX47)</f>
        <v>50168.16</v>
      </c>
      <c r="AY48" s="275" t="n">
        <f aca="false">SUM(AY8:AY47)</f>
        <v>53263.98</v>
      </c>
      <c r="AZ48" s="275" t="n">
        <f aca="false">SUM(AZ8:AZ47)</f>
        <v>56955.15</v>
      </c>
      <c r="BA48" s="275" t="n">
        <f aca="false">SUM(BA8:BA47)</f>
        <v>57947.4</v>
      </c>
      <c r="BB48" s="275" t="n">
        <f aca="false">SUM(BB8:BB47)</f>
        <v>58741.2</v>
      </c>
      <c r="BC48" s="275" t="n">
        <f aca="false">SUM(BC8:BC47)</f>
        <v>59138.1</v>
      </c>
      <c r="BD48" s="275" t="n">
        <f aca="false">SUM(BD8:BD47)</f>
        <v>59138.1</v>
      </c>
      <c r="BE48" s="275" t="n">
        <f aca="false">SUM(BE8:BE47)</f>
        <v>59138.1</v>
      </c>
      <c r="BF48" s="275" t="n">
        <f aca="false">SUM(BF8:BF47)</f>
        <v>57573.6</v>
      </c>
      <c r="BG48" s="275" t="n">
        <f aca="false">SUM(BG8:BG47)</f>
        <v>57573.6</v>
      </c>
      <c r="BH48" s="275" t="n">
        <f aca="false">SUM(BH8:BH47)</f>
        <v>57573.6</v>
      </c>
      <c r="BI48" s="275" t="n">
        <f aca="false">SUM(BI8:BI47)</f>
        <v>62596.8</v>
      </c>
      <c r="BJ48" s="275" t="n">
        <f aca="false">SUM(BJ8:BJ47)</f>
        <v>66267.6</v>
      </c>
      <c r="BK48" s="275" t="n">
        <f aca="false">SUM(BK8:BK47)</f>
        <v>69344.1</v>
      </c>
      <c r="BL48" s="275" t="n">
        <f aca="false">SUM(BL8:BL47)</f>
        <v>73672.2</v>
      </c>
      <c r="BM48" s="275" t="n">
        <f aca="false">SUM(BM8:BM47)</f>
        <v>77565.6</v>
      </c>
      <c r="BN48" s="275" t="n">
        <f aca="false">SUM(BN8:BN47)</f>
        <v>81459</v>
      </c>
      <c r="BO48" s="275" t="n">
        <f aca="false">SUM(BO8:BO47)</f>
        <v>82782</v>
      </c>
      <c r="BP48" s="275" t="n">
        <f aca="false">SUM(BP8:BP47)</f>
        <v>86732.1</v>
      </c>
      <c r="BQ48" s="275" t="n">
        <f aca="false">SUM(BQ8:BQ47)</f>
        <v>88297.44</v>
      </c>
      <c r="BR48" s="275" t="n">
        <f aca="false">SUM(BR8:BR47)</f>
        <v>91734.72</v>
      </c>
      <c r="BS48" s="275" t="n">
        <f aca="false">SUM(BS8:BS47)</f>
        <v>95541.6</v>
      </c>
      <c r="BT48" s="275" t="n">
        <f aca="false">SUM(BT8:BT47)</f>
        <v>99958.32</v>
      </c>
      <c r="BU48" s="275" t="n">
        <f aca="false">SUM(BU8:BU47)</f>
        <v>103820.64</v>
      </c>
      <c r="BV48" s="275" t="n">
        <f aca="false">SUM(BV8:BV47)</f>
        <v>107627.52</v>
      </c>
      <c r="BW48" s="275" t="n">
        <f aca="false">SUM(BW8:BW47)</f>
        <v>109534.95</v>
      </c>
      <c r="BX48" s="275" t="n">
        <f aca="false">SUM(BX8:BX47)</f>
        <v>113876.385</v>
      </c>
      <c r="BY48" s="275" t="n">
        <f aca="false">SUM(BY8:BY47)</f>
        <v>115311.42</v>
      </c>
      <c r="BZ48" s="275" t="n">
        <f aca="false">SUM(BZ8:BZ47)</f>
        <v>120869.91</v>
      </c>
      <c r="CA48" s="275" t="n">
        <f aca="false">SUM(CA8:CA47)</f>
        <v>124793.55</v>
      </c>
      <c r="CB48" s="275" t="n">
        <f aca="false">SUM(CB8:CB47)</f>
        <v>126199.5</v>
      </c>
      <c r="CC48" s="275" t="n">
        <f aca="false">SUM(CC8:CC47)</f>
        <v>130126.5</v>
      </c>
      <c r="CD48" s="275" t="n">
        <f aca="false">SUM(CD8:CD47)</f>
        <v>134392.65</v>
      </c>
      <c r="CE48" s="275" t="n">
        <f aca="false">SUM(CE8:CE47)</f>
        <v>138123.3</v>
      </c>
      <c r="CF48" s="275" t="n">
        <f aca="false">SUM(CF8:CF47)</f>
        <v>141800.4</v>
      </c>
      <c r="CG48" s="275" t="n">
        <f aca="false">SUM(CG8:CG47)</f>
        <v>146059.2</v>
      </c>
      <c r="CH48" s="275" t="n">
        <f aca="false">SUM(CH8:CH47)</f>
        <v>150804.36</v>
      </c>
      <c r="CI48" s="275" t="n">
        <f aca="false">SUM(CI8:CI47)</f>
        <v>154843.92</v>
      </c>
      <c r="CJ48" s="275" t="n">
        <f aca="false">SUM(CJ8:CJ47)</f>
        <v>156537.36</v>
      </c>
      <c r="CK48" s="275" t="n">
        <f aca="false">SUM(CK8:CK47)</f>
        <v>157348.8</v>
      </c>
      <c r="CL48" s="275" t="n">
        <f aca="false">SUM(CL8:CL47)</f>
        <v>157701.6</v>
      </c>
      <c r="CM48" s="275" t="n">
        <f aca="false">SUM(CM8:CM47)</f>
        <v>157701.6</v>
      </c>
      <c r="CN48" s="275" t="n">
        <f aca="false">SUM(CN8:CN47)</f>
        <v>157701.6</v>
      </c>
      <c r="CO48" s="275" t="n">
        <f aca="false">SUM(CO8:CO47)</f>
        <v>157701.6</v>
      </c>
      <c r="CP48" s="275" t="n">
        <f aca="false">SUM(CP8:CP47)</f>
        <v>157701.6</v>
      </c>
      <c r="CQ48" s="275" t="n">
        <f aca="false">SUM(CQ8:CQ47)</f>
        <v>157701.6</v>
      </c>
      <c r="CR48" s="275" t="n">
        <f aca="false">SUM(CR8:CR47)</f>
        <v>157701.6</v>
      </c>
      <c r="CS48" s="275" t="n">
        <f aca="false">SUM(CS8:CS47)</f>
        <v>157701.6</v>
      </c>
      <c r="CT48" s="275" t="n">
        <f aca="false">SUM(CT8:CT47)</f>
        <v>157701.6</v>
      </c>
      <c r="CU48" s="275" t="n">
        <f aca="false">SUM(CU8:CU47)</f>
        <v>157701.6</v>
      </c>
      <c r="CV48" s="275" t="n">
        <f aca="false">SUM(CV8:CV47)</f>
        <v>157701.6</v>
      </c>
      <c r="CW48" s="275" t="n">
        <f aca="false">SUM(CW8:CW47)</f>
        <v>157701.6</v>
      </c>
      <c r="CX48" s="275" t="n">
        <f aca="false">SUM(CX8:CX47)</f>
        <v>157701.6</v>
      </c>
      <c r="CY48" s="275" t="n">
        <f aca="false">SUM(CY8:CY47)</f>
        <v>157701.6</v>
      </c>
      <c r="CZ48" s="275" t="n">
        <f aca="false">SUM(CZ8:CZ47)</f>
        <v>157701.6</v>
      </c>
      <c r="DA48" s="275" t="n">
        <f aca="false">SUM(DA8:DA47)</f>
        <v>157701.6</v>
      </c>
      <c r="DB48" s="275" t="n">
        <f aca="false">SUM(DB8:DB47)</f>
        <v>157701.6</v>
      </c>
      <c r="DC48" s="275" t="n">
        <f aca="false">SUM(DC8:DC47)</f>
        <v>157701.6</v>
      </c>
      <c r="DD48" s="275" t="n">
        <f aca="false">SUM(DD8:DD47)</f>
        <v>157701.6</v>
      </c>
      <c r="DE48" s="275" t="n">
        <f aca="false">SUM(DE8:DE47)</f>
        <v>157701.6</v>
      </c>
      <c r="DF48" s="275" t="n">
        <f aca="false">SUM(DF8:DF47)</f>
        <v>157701.6</v>
      </c>
      <c r="DG48" s="275" t="n">
        <f aca="false">SUM(DG8:DG47)</f>
        <v>157701.6</v>
      </c>
      <c r="DH48" s="275" t="n">
        <f aca="false">SUM(DH8:DH47)</f>
        <v>157701.6</v>
      </c>
      <c r="DI48" s="275" t="n">
        <f aca="false">SUM(DI8:DI47)</f>
        <v>157701.6</v>
      </c>
      <c r="DJ48" s="275" t="n">
        <f aca="false">SUM(DJ8:DJ47)</f>
        <v>157701.6</v>
      </c>
      <c r="DK48" s="275" t="n">
        <f aca="false">SUM(DK8:DK47)</f>
        <v>157701.6</v>
      </c>
      <c r="DL48" s="275" t="n">
        <f aca="false">SUM(DL8:DL47)</f>
        <v>157701.6</v>
      </c>
      <c r="DM48" s="275" t="n">
        <f aca="false">SUM(DM8:DM47)</f>
        <v>157701.6</v>
      </c>
      <c r="DN48" s="275" t="n">
        <f aca="false">SUM(DN8:DN47)</f>
        <v>157701.6</v>
      </c>
      <c r="DO48" s="275" t="n">
        <f aca="false">SUM(DO8:DO47)</f>
        <v>157701.6</v>
      </c>
      <c r="DP48" s="275" t="n">
        <f aca="false">SUM(DP8:DP47)</f>
        <v>157701.6</v>
      </c>
      <c r="DQ48" s="275" t="n">
        <f aca="false">SUM(DQ8:DQ47)</f>
        <v>157701.6</v>
      </c>
      <c r="DR48" s="275" t="n">
        <f aca="false">SUM(DR8:DR47)</f>
        <v>157701.6</v>
      </c>
      <c r="DS48" s="275" t="n">
        <f aca="false">SUM(DS8:DS47)</f>
        <v>157701.6</v>
      </c>
    </row>
    <row r="51" customFormat="false" ht="15" hidden="false" customHeight="true" outlineLevel="0" collapsed="false">
      <c r="A51" s="186" t="s">
        <v>3567</v>
      </c>
      <c r="B51" s="25"/>
      <c r="C51" s="25"/>
      <c r="D51" s="25"/>
      <c r="E51" s="25"/>
      <c r="F51" s="25"/>
      <c r="G51" s="25"/>
      <c r="H51" s="25"/>
      <c r="I51" s="25"/>
      <c r="J51" s="25"/>
      <c r="K51" s="25"/>
      <c r="L51" s="25"/>
      <c r="M51" s="25"/>
      <c r="N51" s="25"/>
    </row>
    <row r="52" customFormat="false" ht="15" hidden="false" customHeight="true" outlineLevel="0" collapsed="false">
      <c r="A52" s="178" t="s">
        <v>849</v>
      </c>
      <c r="B52" s="178" t="s">
        <v>3489</v>
      </c>
      <c r="D52" s="178" t="s">
        <v>1877</v>
      </c>
      <c r="E52" s="178" t="s">
        <v>1878</v>
      </c>
      <c r="F52" s="178" t="s">
        <v>1879</v>
      </c>
      <c r="G52" s="178" t="s">
        <v>1880</v>
      </c>
      <c r="H52" s="178" t="s">
        <v>1881</v>
      </c>
      <c r="I52" s="178" t="s">
        <v>1882</v>
      </c>
      <c r="J52" s="178" t="s">
        <v>1883</v>
      </c>
      <c r="K52" s="178" t="s">
        <v>1884</v>
      </c>
      <c r="L52" s="178" t="s">
        <v>1885</v>
      </c>
      <c r="M52" s="178" t="s">
        <v>1886</v>
      </c>
      <c r="N52" s="178" t="s">
        <v>240</v>
      </c>
    </row>
    <row r="53" customFormat="false" ht="15" hidden="false" customHeight="true" outlineLevel="0" collapsed="false">
      <c r="A53" s="298" t="n">
        <v>11</v>
      </c>
      <c r="B53" s="297" t="str">
        <f aca="false">B8</f>
        <v>V</v>
      </c>
      <c r="D53" s="273" t="n">
        <f aca="false">SUM(D8:O8)*SUP_CONTROL!$C$26</f>
        <v>0</v>
      </c>
      <c r="E53" s="273" t="n">
        <f aca="false">SUM(P8:AA8)*SUP_CONTROL!$C$26</f>
        <v>290404.363366506</v>
      </c>
      <c r="F53" s="273" t="n">
        <f aca="false">SUM(AB8:AM8)*SUP_CONTROL!$C$26</f>
        <v>639975.2231946</v>
      </c>
      <c r="G53" s="273" t="n">
        <f aca="false">SUM(AN8:AY8)*SUP_CONTROL!$C$26</f>
        <v>618262.747428879</v>
      </c>
      <c r="H53" s="273" t="n">
        <f aca="false">SUM(AZ8:BK8)*SUP_CONTROL!$C$26</f>
        <v>606320.885757733</v>
      </c>
      <c r="I53" s="273" t="n">
        <f aca="false">SUM(BL8:BW8)*SUP_CONTROL!$C$26</f>
        <v>577823.261315226</v>
      </c>
      <c r="J53" s="273" t="n">
        <f aca="false">SUM(BX8:CI8)*SUP_CONTROL!$C$26</f>
        <v>555296.567708291</v>
      </c>
      <c r="K53" s="273" t="n">
        <f aca="false">SUM(CJ8:CU8)*SUP_CONTROL!$C$26</f>
        <v>547154.389296146</v>
      </c>
      <c r="L53" s="273" t="n">
        <f aca="false">SUM(CV8:DG8)*SUP_CONTROL!$C$26</f>
        <v>547154.389296146</v>
      </c>
      <c r="M53" s="273" t="n">
        <f aca="false">SUM(DH8:DS8)*SUP_CONTROL!$C$26</f>
        <v>547154.389296146</v>
      </c>
      <c r="N53" s="268" t="n">
        <f aca="false">SUM(D53:M53)</f>
        <v>4929546.21665967</v>
      </c>
    </row>
    <row r="54" customFormat="false" ht="15" hidden="false" customHeight="true" outlineLevel="0" collapsed="false">
      <c r="A54" s="298" t="n">
        <v>12</v>
      </c>
      <c r="B54" s="297" t="str">
        <f aca="false">B9</f>
        <v>V</v>
      </c>
      <c r="D54" s="273" t="n">
        <f aca="false">SUM(D9:O9)*SUP_CONTROL!$C$26</f>
        <v>0</v>
      </c>
      <c r="E54" s="273" t="n">
        <f aca="false">SUM(P9:AA9)*SUP_CONTROL!$C$26</f>
        <v>236123.173952206</v>
      </c>
      <c r="F54" s="273" t="n">
        <f aca="false">SUM(AB9:AM9)*SUP_CONTROL!$C$26</f>
        <v>639975.2231946</v>
      </c>
      <c r="G54" s="273" t="n">
        <f aca="false">SUM(AN9:AY9)*SUP_CONTROL!$C$26</f>
        <v>618262.747428879</v>
      </c>
      <c r="H54" s="273" t="n">
        <f aca="false">SUM(AZ9:BK9)*SUP_CONTROL!$C$26</f>
        <v>606320.885757733</v>
      </c>
      <c r="I54" s="273" t="n">
        <f aca="false">SUM(BL9:BW9)*SUP_CONTROL!$C$26</f>
        <v>577823.261315226</v>
      </c>
      <c r="J54" s="273" t="n">
        <f aca="false">SUM(BX9:CI9)*SUP_CONTROL!$C$26</f>
        <v>555296.567708291</v>
      </c>
      <c r="K54" s="273" t="n">
        <f aca="false">SUM(CJ9:CU9)*SUP_CONTROL!$C$26</f>
        <v>547154.389296146</v>
      </c>
      <c r="L54" s="273" t="n">
        <f aca="false">SUM(CV9:DG9)*SUP_CONTROL!$C$26</f>
        <v>547154.389296146</v>
      </c>
      <c r="M54" s="273" t="n">
        <f aca="false">SUM(DH9:DS9)*SUP_CONTROL!$C$26</f>
        <v>547154.389296146</v>
      </c>
      <c r="N54" s="268" t="n">
        <f aca="false">SUM(D54:M54)</f>
        <v>4875265.02724537</v>
      </c>
    </row>
    <row r="55" customFormat="false" ht="15" hidden="false" customHeight="true" outlineLevel="0" collapsed="false">
      <c r="A55" s="298" t="n">
        <v>13</v>
      </c>
      <c r="B55" s="297" t="str">
        <f aca="false">B10</f>
        <v>V</v>
      </c>
      <c r="D55" s="273" t="n">
        <f aca="false">SUM(D10:O10)*SUP_CONTROL!$C$26</f>
        <v>0</v>
      </c>
      <c r="E55" s="273" t="n">
        <f aca="false">SUM(P10:AA10)*SUP_CONTROL!$C$26</f>
        <v>127560.795123606</v>
      </c>
      <c r="F55" s="273" t="n">
        <f aca="false">SUM(AB10:AM10)*SUP_CONTROL!$C$26</f>
        <v>639975.2231946</v>
      </c>
      <c r="G55" s="273" t="n">
        <f aca="false">SUM(AN10:AY10)*SUP_CONTROL!$C$26</f>
        <v>618262.747428879</v>
      </c>
      <c r="H55" s="273" t="n">
        <f aca="false">SUM(AZ10:BK10)*SUP_CONTROL!$C$26</f>
        <v>606320.885757733</v>
      </c>
      <c r="I55" s="273" t="n">
        <f aca="false">SUM(BL10:BW10)*SUP_CONTROL!$C$26</f>
        <v>577823.261315226</v>
      </c>
      <c r="J55" s="273" t="n">
        <f aca="false">SUM(BX10:CI10)*SUP_CONTROL!$C$26</f>
        <v>555296.567708291</v>
      </c>
      <c r="K55" s="273" t="n">
        <f aca="false">SUM(CJ10:CU10)*SUP_CONTROL!$C$26</f>
        <v>547154.389296146</v>
      </c>
      <c r="L55" s="273" t="n">
        <f aca="false">SUM(CV10:DG10)*SUP_CONTROL!$C$26</f>
        <v>547154.389296146</v>
      </c>
      <c r="M55" s="273" t="n">
        <f aca="false">SUM(DH10:DS10)*SUP_CONTROL!$C$26</f>
        <v>547154.389296146</v>
      </c>
      <c r="N55" s="268" t="n">
        <f aca="false">SUM(D55:M55)</f>
        <v>4766702.64841677</v>
      </c>
    </row>
    <row r="56" customFormat="false" ht="15" hidden="false" customHeight="true" outlineLevel="0" collapsed="false">
      <c r="A56" s="298" t="n">
        <v>14</v>
      </c>
      <c r="B56" s="297" t="str">
        <f aca="false">B11</f>
        <v>D</v>
      </c>
      <c r="D56" s="273" t="n">
        <f aca="false">SUM(D11:O11)*SUP_CONTROL!$C$26</f>
        <v>0</v>
      </c>
      <c r="E56" s="273" t="n">
        <f aca="false">SUM(P11:AA11)*SUP_CONTROL!$C$26</f>
        <v>0</v>
      </c>
      <c r="F56" s="273" t="n">
        <f aca="false">SUM(AB11:AM11)*SUP_CONTROL!$C$26</f>
        <v>297751.322353732</v>
      </c>
      <c r="G56" s="273" t="n">
        <f aca="false">SUM(AN11:AY11)*SUP_CONTROL!$C$26</f>
        <v>803741.571657543</v>
      </c>
      <c r="H56" s="273" t="n">
        <f aca="false">SUM(AZ11:BK11)*SUP_CONTROL!$C$26</f>
        <v>788217.151485053</v>
      </c>
      <c r="I56" s="273" t="n">
        <f aca="false">SUM(BL11:BW11)*SUP_CONTROL!$C$26</f>
        <v>751170.239709794</v>
      </c>
      <c r="J56" s="273" t="n">
        <f aca="false">SUM(BX11:CI11)*SUP_CONTROL!$C$26</f>
        <v>721885.538020778</v>
      </c>
      <c r="K56" s="273" t="n">
        <f aca="false">SUM(CJ11:CU11)*SUP_CONTROL!$C$26</f>
        <v>711300.70608499</v>
      </c>
      <c r="L56" s="273" t="n">
        <f aca="false">SUM(CV11:DG11)*SUP_CONTROL!$C$26</f>
        <v>711300.70608499</v>
      </c>
      <c r="M56" s="273" t="n">
        <f aca="false">SUM(DH11:DS11)*SUP_CONTROL!$C$26</f>
        <v>711300.70608499</v>
      </c>
      <c r="N56" s="268" t="n">
        <f aca="false">SUM(D56:M56)</f>
        <v>5496667.94148187</v>
      </c>
    </row>
    <row r="57" customFormat="false" ht="15" hidden="false" customHeight="true" outlineLevel="0" collapsed="false">
      <c r="A57" s="298" t="n">
        <v>15</v>
      </c>
      <c r="B57" s="297" t="str">
        <f aca="false">B12</f>
        <v>V</v>
      </c>
      <c r="D57" s="273" t="n">
        <f aca="false">SUM(D12:O12)*SUP_CONTROL!$C$26</f>
        <v>0</v>
      </c>
      <c r="E57" s="273" t="n">
        <f aca="false">SUM(P12:AA12)*SUP_CONTROL!$C$26</f>
        <v>0</v>
      </c>
      <c r="F57" s="273" t="n">
        <f aca="false">SUM(AB12:AM12)*SUP_CONTROL!$C$26</f>
        <v>176386.725001769</v>
      </c>
      <c r="G57" s="273" t="n">
        <f aca="false">SUM(AN12:AY12)*SUP_CONTROL!$C$26</f>
        <v>618262.747428879</v>
      </c>
      <c r="H57" s="273" t="n">
        <f aca="false">SUM(AZ12:BK12)*SUP_CONTROL!$C$26</f>
        <v>606320.885757733</v>
      </c>
      <c r="I57" s="273" t="n">
        <f aca="false">SUM(BL12:BW12)*SUP_CONTROL!$C$26</f>
        <v>577823.261315226</v>
      </c>
      <c r="J57" s="273" t="n">
        <f aca="false">SUM(BX12:CI12)*SUP_CONTROL!$C$26</f>
        <v>555296.567708291</v>
      </c>
      <c r="K57" s="273" t="n">
        <f aca="false">SUM(CJ12:CU12)*SUP_CONTROL!$C$26</f>
        <v>547154.389296146</v>
      </c>
      <c r="L57" s="273" t="n">
        <f aca="false">SUM(CV12:DG12)*SUP_CONTROL!$C$26</f>
        <v>547154.389296146</v>
      </c>
      <c r="M57" s="273" t="n">
        <f aca="false">SUM(DH12:DS12)*SUP_CONTROL!$C$26</f>
        <v>547154.389296146</v>
      </c>
      <c r="N57" s="268" t="n">
        <f aca="false">SUM(D57:M57)</f>
        <v>4175553.35510034</v>
      </c>
    </row>
    <row r="58" customFormat="false" ht="15" hidden="false" customHeight="true" outlineLevel="0" collapsed="false">
      <c r="A58" s="298" t="n">
        <v>16</v>
      </c>
      <c r="B58" s="297" t="str">
        <f aca="false">B13</f>
        <v>V</v>
      </c>
      <c r="D58" s="273" t="n">
        <f aca="false">SUM(D13:O13)*SUP_CONTROL!$C$26</f>
        <v>0</v>
      </c>
      <c r="E58" s="273" t="n">
        <f aca="false">SUM(P13:AA13)*SUP_CONTROL!$C$26</f>
        <v>0</v>
      </c>
      <c r="F58" s="273" t="n">
        <f aca="false">SUM(AB13:AM13)*SUP_CONTROL!$C$26</f>
        <v>76346.4929112132</v>
      </c>
      <c r="G58" s="273" t="n">
        <f aca="false">SUM(AN13:AY13)*SUP_CONTROL!$C$26</f>
        <v>612997.472055692</v>
      </c>
      <c r="H58" s="273" t="n">
        <f aca="false">SUM(AZ13:BK13)*SUP_CONTROL!$C$26</f>
        <v>606320.885757733</v>
      </c>
      <c r="I58" s="273" t="n">
        <f aca="false">SUM(BL13:BW13)*SUP_CONTROL!$C$26</f>
        <v>577823.261315226</v>
      </c>
      <c r="J58" s="273" t="n">
        <f aca="false">SUM(BX13:CI13)*SUP_CONTROL!$C$26</f>
        <v>555296.567708291</v>
      </c>
      <c r="K58" s="273" t="n">
        <f aca="false">SUM(CJ13:CU13)*SUP_CONTROL!$C$26</f>
        <v>547154.389296146</v>
      </c>
      <c r="L58" s="273" t="n">
        <f aca="false">SUM(CV13:DG13)*SUP_CONTROL!$C$26</f>
        <v>547154.389296146</v>
      </c>
      <c r="M58" s="273" t="n">
        <f aca="false">SUM(DH13:DS13)*SUP_CONTROL!$C$26</f>
        <v>547154.389296146</v>
      </c>
      <c r="N58" s="268" t="n">
        <f aca="false">SUM(D58:M58)</f>
        <v>4070247.84763659</v>
      </c>
    </row>
    <row r="59" customFormat="false" ht="15" hidden="false" customHeight="true" outlineLevel="0" collapsed="false">
      <c r="A59" s="298" t="n">
        <v>17</v>
      </c>
      <c r="B59" s="297" t="str">
        <f aca="false">B14</f>
        <v>V</v>
      </c>
      <c r="D59" s="273" t="n">
        <f aca="false">SUM(D14:O14)*SUP_CONTROL!$C$26</f>
        <v>0</v>
      </c>
      <c r="E59" s="273" t="n">
        <f aca="false">SUM(P14:AA14)*SUP_CONTROL!$C$26</f>
        <v>0</v>
      </c>
      <c r="F59" s="273" t="n">
        <f aca="false">SUM(AB14:AM14)*SUP_CONTROL!$C$26</f>
        <v>0</v>
      </c>
      <c r="G59" s="273" t="n">
        <f aca="false">SUM(AN14:AY14)*SUP_CONTROL!$C$26</f>
        <v>584174.160476699</v>
      </c>
      <c r="H59" s="273" t="n">
        <f aca="false">SUM(AZ14:BK14)*SUP_CONTROL!$C$26</f>
        <v>606320.885757733</v>
      </c>
      <c r="I59" s="273" t="n">
        <f aca="false">SUM(BL14:BW14)*SUP_CONTROL!$C$26</f>
        <v>577823.261315226</v>
      </c>
      <c r="J59" s="273" t="n">
        <f aca="false">SUM(BX14:CI14)*SUP_CONTROL!$C$26</f>
        <v>555296.567708291</v>
      </c>
      <c r="K59" s="273" t="n">
        <f aca="false">SUM(CJ14:CU14)*SUP_CONTROL!$C$26</f>
        <v>547154.389296146</v>
      </c>
      <c r="L59" s="273" t="n">
        <f aca="false">SUM(CV14:DG14)*SUP_CONTROL!$C$26</f>
        <v>547154.389296146</v>
      </c>
      <c r="M59" s="273" t="n">
        <f aca="false">SUM(DH14:DS14)*SUP_CONTROL!$C$26</f>
        <v>547154.389296146</v>
      </c>
      <c r="N59" s="268" t="n">
        <f aca="false">SUM(D59:M59)</f>
        <v>3965078.04314639</v>
      </c>
    </row>
    <row r="60" customFormat="false" ht="15" hidden="false" customHeight="true" outlineLevel="0" collapsed="false">
      <c r="A60" s="298" t="n">
        <v>18</v>
      </c>
      <c r="B60" s="297" t="str">
        <f aca="false">B15</f>
        <v>D</v>
      </c>
      <c r="D60" s="273" t="n">
        <f aca="false">SUM(D15:O15)*SUP_CONTROL!$C$26</f>
        <v>0</v>
      </c>
      <c r="E60" s="273" t="n">
        <f aca="false">SUM(P15:AA15)*SUP_CONTROL!$C$26</f>
        <v>0</v>
      </c>
      <c r="F60" s="273" t="n">
        <f aca="false">SUM(AB15:AM15)*SUP_CONTROL!$C$26</f>
        <v>0</v>
      </c>
      <c r="G60" s="273" t="n">
        <f aca="false">SUM(AN15:AY15)*SUP_CONTROL!$C$26</f>
        <v>556815.083982156</v>
      </c>
      <c r="H60" s="273" t="n">
        <f aca="false">SUM(AZ15:BK15)*SUP_CONTROL!$C$26</f>
        <v>788217.151485053</v>
      </c>
      <c r="I60" s="273" t="n">
        <f aca="false">SUM(BL15:BW15)*SUP_CONTROL!$C$26</f>
        <v>751170.239709794</v>
      </c>
      <c r="J60" s="273" t="n">
        <f aca="false">SUM(BX15:CI15)*SUP_CONTROL!$C$26</f>
        <v>721885.538020778</v>
      </c>
      <c r="K60" s="273" t="n">
        <f aca="false">SUM(CJ15:CU15)*SUP_CONTROL!$C$26</f>
        <v>711300.70608499</v>
      </c>
      <c r="L60" s="273" t="n">
        <f aca="false">SUM(CV15:DG15)*SUP_CONTROL!$C$26</f>
        <v>711300.70608499</v>
      </c>
      <c r="M60" s="273" t="n">
        <f aca="false">SUM(DH15:DS15)*SUP_CONTROL!$C$26</f>
        <v>711300.70608499</v>
      </c>
      <c r="N60" s="268" t="n">
        <f aca="false">SUM(D60:M60)</f>
        <v>4951990.13145275</v>
      </c>
    </row>
    <row r="61" customFormat="false" ht="15" hidden="false" customHeight="true" outlineLevel="0" collapsed="false">
      <c r="A61" s="298" t="n">
        <v>19</v>
      </c>
      <c r="B61" s="297" t="str">
        <f aca="false">B16</f>
        <v>V</v>
      </c>
      <c r="D61" s="273" t="n">
        <f aca="false">SUM(D16:O16)*SUP_CONTROL!$C$26</f>
        <v>0</v>
      </c>
      <c r="E61" s="273" t="n">
        <f aca="false">SUM(P16:AA16)*SUP_CONTROL!$C$26</f>
        <v>0</v>
      </c>
      <c r="F61" s="273" t="n">
        <f aca="false">SUM(AB16:AM16)*SUP_CONTROL!$C$26</f>
        <v>0</v>
      </c>
      <c r="G61" s="273" t="n">
        <f aca="false">SUM(AN16:AY16)*SUP_CONTROL!$C$26</f>
        <v>377023.571374376</v>
      </c>
      <c r="H61" s="273" t="n">
        <f aca="false">SUM(AZ16:BK16)*SUP_CONTROL!$C$26</f>
        <v>606320.885757733</v>
      </c>
      <c r="I61" s="273" t="n">
        <f aca="false">SUM(BL16:BW16)*SUP_CONTROL!$C$26</f>
        <v>577823.261315226</v>
      </c>
      <c r="J61" s="273" t="n">
        <f aca="false">SUM(BX16:CI16)*SUP_CONTROL!$C$26</f>
        <v>555296.567708291</v>
      </c>
      <c r="K61" s="273" t="n">
        <f aca="false">SUM(CJ16:CU16)*SUP_CONTROL!$C$26</f>
        <v>547154.389296146</v>
      </c>
      <c r="L61" s="273" t="n">
        <f aca="false">SUM(CV16:DG16)*SUP_CONTROL!$C$26</f>
        <v>547154.389296146</v>
      </c>
      <c r="M61" s="273" t="n">
        <f aca="false">SUM(DH16:DS16)*SUP_CONTROL!$C$26</f>
        <v>547154.389296146</v>
      </c>
      <c r="N61" s="268" t="n">
        <f aca="false">SUM(D61:M61)</f>
        <v>3757927.45404406</v>
      </c>
    </row>
    <row r="62" customFormat="false" ht="15" hidden="false" customHeight="true" outlineLevel="0" collapsed="false">
      <c r="A62" s="298" t="n">
        <v>20</v>
      </c>
      <c r="B62" s="297" t="str">
        <f aca="false">B17</f>
        <v>V</v>
      </c>
      <c r="D62" s="273" t="n">
        <f aca="false">SUM(D17:O17)*SUP_CONTROL!$C$26</f>
        <v>0</v>
      </c>
      <c r="E62" s="273" t="n">
        <f aca="false">SUM(P17:AA17)*SUP_CONTROL!$C$26</f>
        <v>0</v>
      </c>
      <c r="F62" s="273" t="n">
        <f aca="false">SUM(AB17:AM17)*SUP_CONTROL!$C$26</f>
        <v>0</v>
      </c>
      <c r="G62" s="273" t="n">
        <f aca="false">SUM(AN17:AY17)*SUP_CONTROL!$C$26</f>
        <v>325727.847377862</v>
      </c>
      <c r="H62" s="273" t="n">
        <f aca="false">SUM(AZ17:BK17)*SUP_CONTROL!$C$26</f>
        <v>606320.885757733</v>
      </c>
      <c r="I62" s="273" t="n">
        <f aca="false">SUM(BL17:BW17)*SUP_CONTROL!$C$26</f>
        <v>577823.261315226</v>
      </c>
      <c r="J62" s="273" t="n">
        <f aca="false">SUM(BX17:CI17)*SUP_CONTROL!$C$26</f>
        <v>555296.567708291</v>
      </c>
      <c r="K62" s="273" t="n">
        <f aca="false">SUM(CJ17:CU17)*SUP_CONTROL!$C$26</f>
        <v>547154.389296146</v>
      </c>
      <c r="L62" s="273" t="n">
        <f aca="false">SUM(CV17:DG17)*SUP_CONTROL!$C$26</f>
        <v>547154.389296146</v>
      </c>
      <c r="M62" s="273" t="n">
        <f aca="false">SUM(DH17:DS17)*SUP_CONTROL!$C$26</f>
        <v>547154.389296146</v>
      </c>
      <c r="N62" s="268" t="n">
        <f aca="false">SUM(D62:M62)</f>
        <v>3706631.73004755</v>
      </c>
    </row>
    <row r="63" customFormat="false" ht="15" hidden="false" customHeight="true" outlineLevel="0" collapsed="false">
      <c r="A63" s="298" t="n">
        <v>21</v>
      </c>
      <c r="B63" s="297" t="str">
        <f aca="false">B18</f>
        <v>V</v>
      </c>
      <c r="D63" s="273" t="n">
        <f aca="false">SUM(D18:O18)*SUP_CONTROL!$C$26</f>
        <v>0</v>
      </c>
      <c r="E63" s="273" t="n">
        <f aca="false">SUM(P18:AA18)*SUP_CONTROL!$C$26</f>
        <v>0</v>
      </c>
      <c r="F63" s="273" t="n">
        <f aca="false">SUM(AB18:AM18)*SUP_CONTROL!$C$26</f>
        <v>0</v>
      </c>
      <c r="G63" s="273" t="n">
        <f aca="false">SUM(AN18:AY18)*SUP_CONTROL!$C$26</f>
        <v>274432.123381348</v>
      </c>
      <c r="H63" s="273" t="n">
        <f aca="false">SUM(AZ18:BK18)*SUP_CONTROL!$C$26</f>
        <v>606320.885757733</v>
      </c>
      <c r="I63" s="273" t="n">
        <f aca="false">SUM(BL18:BW18)*SUP_CONTROL!$C$26</f>
        <v>577823.261315226</v>
      </c>
      <c r="J63" s="273" t="n">
        <f aca="false">SUM(BX18:CI18)*SUP_CONTROL!$C$26</f>
        <v>555296.567708291</v>
      </c>
      <c r="K63" s="273" t="n">
        <f aca="false">SUM(CJ18:CU18)*SUP_CONTROL!$C$26</f>
        <v>547154.389296146</v>
      </c>
      <c r="L63" s="273" t="n">
        <f aca="false">SUM(CV18:DG18)*SUP_CONTROL!$C$26</f>
        <v>547154.389296146</v>
      </c>
      <c r="M63" s="273" t="n">
        <f aca="false">SUM(DH18:DS18)*SUP_CONTROL!$C$26</f>
        <v>547154.389296146</v>
      </c>
      <c r="N63" s="268" t="n">
        <f aca="false">SUM(D63:M63)</f>
        <v>3655336.00605104</v>
      </c>
    </row>
    <row r="64" customFormat="false" ht="15" hidden="false" customHeight="true" outlineLevel="0" collapsed="false">
      <c r="A64" s="298" t="n">
        <v>22</v>
      </c>
      <c r="B64" s="297" t="str">
        <f aca="false">B19</f>
        <v>D</v>
      </c>
      <c r="D64" s="273" t="n">
        <f aca="false">SUM(D19:O19)*SUP_CONTROL!$C$26</f>
        <v>0</v>
      </c>
      <c r="E64" s="273" t="n">
        <f aca="false">SUM(P19:AA19)*SUP_CONTROL!$C$26</f>
        <v>0</v>
      </c>
      <c r="F64" s="273" t="n">
        <f aca="false">SUM(AB19:AM19)*SUP_CONTROL!$C$26</f>
        <v>0</v>
      </c>
      <c r="G64" s="273" t="n">
        <f aca="false">SUM(AN19:AY19)*SUP_CONTROL!$C$26</f>
        <v>156708.436809349</v>
      </c>
      <c r="H64" s="273" t="n">
        <f aca="false">SUM(AZ19:BK19)*SUP_CONTROL!$C$26</f>
        <v>788217.151485053</v>
      </c>
      <c r="I64" s="273" t="n">
        <f aca="false">SUM(BL19:BW19)*SUP_CONTROL!$C$26</f>
        <v>751170.239709794</v>
      </c>
      <c r="J64" s="273" t="n">
        <f aca="false">SUM(BX19:CI19)*SUP_CONTROL!$C$26</f>
        <v>721885.538020778</v>
      </c>
      <c r="K64" s="273" t="n">
        <f aca="false">SUM(CJ19:CU19)*SUP_CONTROL!$C$26</f>
        <v>711300.70608499</v>
      </c>
      <c r="L64" s="273" t="n">
        <f aca="false">SUM(CV19:DG19)*SUP_CONTROL!$C$26</f>
        <v>711300.70608499</v>
      </c>
      <c r="M64" s="273" t="n">
        <f aca="false">SUM(DH19:DS19)*SUP_CONTROL!$C$26</f>
        <v>711300.70608499</v>
      </c>
      <c r="N64" s="268" t="n">
        <f aca="false">SUM(D64:M64)</f>
        <v>4551883.48427994</v>
      </c>
    </row>
    <row r="65" customFormat="false" ht="15" hidden="false" customHeight="true" outlineLevel="0" collapsed="false">
      <c r="A65" s="298" t="n">
        <v>23</v>
      </c>
      <c r="B65" s="297" t="str">
        <f aca="false">B20</f>
        <v>V</v>
      </c>
      <c r="D65" s="273" t="n">
        <f aca="false">SUM(D20:O20)*SUP_CONTROL!$C$26</f>
        <v>0</v>
      </c>
      <c r="E65" s="273" t="n">
        <f aca="false">SUM(P20:AA20)*SUP_CONTROL!$C$26</f>
        <v>0</v>
      </c>
      <c r="F65" s="273" t="n">
        <f aca="false">SUM(AB20:AM20)*SUP_CONTROL!$C$26</f>
        <v>0</v>
      </c>
      <c r="G65" s="273" t="n">
        <f aca="false">SUM(AN20:AY20)*SUP_CONTROL!$C$26</f>
        <v>33342.2205977339</v>
      </c>
      <c r="H65" s="273" t="n">
        <f aca="false">SUM(AZ20:BK20)*SUP_CONTROL!$C$26</f>
        <v>590932.168558779</v>
      </c>
      <c r="I65" s="273" t="n">
        <f aca="false">SUM(BL20:BW20)*SUP_CONTROL!$C$26</f>
        <v>577823.261315226</v>
      </c>
      <c r="J65" s="273" t="n">
        <f aca="false">SUM(BX20:CI20)*SUP_CONTROL!$C$26</f>
        <v>555296.567708291</v>
      </c>
      <c r="K65" s="273" t="n">
        <f aca="false">SUM(CJ20:CU20)*SUP_CONTROL!$C$26</f>
        <v>547154.389296146</v>
      </c>
      <c r="L65" s="273" t="n">
        <f aca="false">SUM(CV20:DG20)*SUP_CONTROL!$C$26</f>
        <v>547154.389296146</v>
      </c>
      <c r="M65" s="273" t="n">
        <f aca="false">SUM(DH20:DS20)*SUP_CONTROL!$C$26</f>
        <v>547154.389296146</v>
      </c>
      <c r="N65" s="268" t="n">
        <f aca="false">SUM(D65:M65)</f>
        <v>3398857.38606847</v>
      </c>
    </row>
    <row r="66" customFormat="false" ht="15" hidden="false" customHeight="true" outlineLevel="0" collapsed="false">
      <c r="A66" s="298" t="n">
        <v>24</v>
      </c>
      <c r="B66" s="297" t="str">
        <f aca="false">B21</f>
        <v>V</v>
      </c>
      <c r="D66" s="273" t="n">
        <f aca="false">SUM(D21:O21)*SUP_CONTROL!$C$26</f>
        <v>0</v>
      </c>
      <c r="E66" s="273" t="n">
        <f aca="false">SUM(P21:AA21)*SUP_CONTROL!$C$26</f>
        <v>0</v>
      </c>
      <c r="F66" s="273" t="n">
        <f aca="false">SUM(AB21:AM21)*SUP_CONTROL!$C$26</f>
        <v>0</v>
      </c>
      <c r="G66" s="273" t="n">
        <f aca="false">SUM(AN21:AY21)*SUP_CONTROL!$C$26</f>
        <v>0</v>
      </c>
      <c r="H66" s="273" t="n">
        <f aca="false">SUM(AZ21:BK21)*SUP_CONTROL!$C$26</f>
        <v>572978.665159999</v>
      </c>
      <c r="I66" s="273" t="n">
        <f aca="false">SUM(BL21:BW21)*SUP_CONTROL!$C$26</f>
        <v>577823.261315226</v>
      </c>
      <c r="J66" s="273" t="n">
        <f aca="false">SUM(BX21:CI21)*SUP_CONTROL!$C$26</f>
        <v>555296.567708291</v>
      </c>
      <c r="K66" s="273" t="n">
        <f aca="false">SUM(CJ21:CU21)*SUP_CONTROL!$C$26</f>
        <v>547154.389296146</v>
      </c>
      <c r="L66" s="273" t="n">
        <f aca="false">SUM(CV21:DG21)*SUP_CONTROL!$C$26</f>
        <v>547154.389296146</v>
      </c>
      <c r="M66" s="273" t="n">
        <f aca="false">SUM(DH21:DS21)*SUP_CONTROL!$C$26</f>
        <v>547154.389296146</v>
      </c>
      <c r="N66" s="268" t="n">
        <f aca="false">SUM(D66:M66)</f>
        <v>3347561.66207195</v>
      </c>
    </row>
    <row r="67" customFormat="false" ht="15" hidden="false" customHeight="true" outlineLevel="0" collapsed="false">
      <c r="A67" s="298" t="n">
        <v>25</v>
      </c>
      <c r="B67" s="297" t="str">
        <f aca="false">B22</f>
        <v>F</v>
      </c>
      <c r="D67" s="273" t="n">
        <f aca="false">SUM(D22:O22)*SUP_CONTROL!$C$26</f>
        <v>0</v>
      </c>
      <c r="E67" s="273" t="n">
        <f aca="false">SUM(P22:AA22)*SUP_CONTROL!$C$26</f>
        <v>0</v>
      </c>
      <c r="F67" s="273" t="n">
        <f aca="false">SUM(AB22:AM22)*SUP_CONTROL!$C$26</f>
        <v>0</v>
      </c>
      <c r="G67" s="273" t="n">
        <f aca="false">SUM(AN22:AY22)*SUP_CONTROL!$C$26</f>
        <v>0</v>
      </c>
      <c r="H67" s="273" t="n">
        <f aca="false">SUM(AZ22:BK22)*SUP_CONTROL!$C$26</f>
        <v>232757.740208519</v>
      </c>
      <c r="I67" s="273" t="n">
        <f aca="false">SUM(BL22:BW22)*SUP_CONTROL!$C$26</f>
        <v>1155646.52263045</v>
      </c>
      <c r="J67" s="273" t="n">
        <f aca="false">SUM(BX22:CI22)*SUP_CONTROL!$C$26</f>
        <v>1110593.13541658</v>
      </c>
      <c r="K67" s="273" t="n">
        <f aca="false">SUM(CJ22:CU22)*SUP_CONTROL!$C$26</f>
        <v>1094308.77859229</v>
      </c>
      <c r="L67" s="273" t="n">
        <f aca="false">SUM(CV22:DG22)*SUP_CONTROL!$C$26</f>
        <v>1094308.77859229</v>
      </c>
      <c r="M67" s="273" t="n">
        <f aca="false">SUM(DH22:DS22)*SUP_CONTROL!$C$26</f>
        <v>1094308.77859229</v>
      </c>
      <c r="N67" s="268" t="n">
        <f aca="false">SUM(D67:M67)</f>
        <v>5781923.73403243</v>
      </c>
    </row>
    <row r="68" customFormat="false" ht="15" hidden="false" customHeight="true" outlineLevel="0" collapsed="false">
      <c r="A68" s="298" t="n">
        <v>26</v>
      </c>
      <c r="B68" s="297" t="str">
        <f aca="false">B23</f>
        <v>V</v>
      </c>
      <c r="D68" s="273" t="n">
        <f aca="false">SUM(D23:O23)*SUP_CONTROL!$C$26</f>
        <v>0</v>
      </c>
      <c r="E68" s="273" t="n">
        <f aca="false">SUM(P23:AA23)*SUP_CONTROL!$C$26</f>
        <v>0</v>
      </c>
      <c r="F68" s="273" t="n">
        <f aca="false">SUM(AB23:AM23)*SUP_CONTROL!$C$26</f>
        <v>0</v>
      </c>
      <c r="G68" s="273" t="n">
        <f aca="false">SUM(AN23:AY23)*SUP_CONTROL!$C$26</f>
        <v>0</v>
      </c>
      <c r="H68" s="273" t="n">
        <f aca="false">SUM(AZ23:BK23)*SUP_CONTROL!$C$26</f>
        <v>71542.6076480477</v>
      </c>
      <c r="I68" s="273" t="n">
        <f aca="false">SUM(BL23:BW23)*SUP_CONTROL!$C$26</f>
        <v>572937.954267939</v>
      </c>
      <c r="J68" s="273" t="n">
        <f aca="false">SUM(BX23:CI23)*SUP_CONTROL!$C$26</f>
        <v>555296.567708291</v>
      </c>
      <c r="K68" s="273" t="n">
        <f aca="false">SUM(CJ23:CU23)*SUP_CONTROL!$C$26</f>
        <v>547154.389296146</v>
      </c>
      <c r="L68" s="273" t="n">
        <f aca="false">SUM(CV23:DG23)*SUP_CONTROL!$C$26</f>
        <v>547154.389296146</v>
      </c>
      <c r="M68" s="273" t="n">
        <f aca="false">SUM(DH23:DS23)*SUP_CONTROL!$C$26</f>
        <v>547154.389296146</v>
      </c>
      <c r="N68" s="268" t="n">
        <f aca="false">SUM(D68:M68)</f>
        <v>2841240.29751272</v>
      </c>
    </row>
    <row r="69" customFormat="false" ht="15" hidden="false" customHeight="true" outlineLevel="0" collapsed="false">
      <c r="A69" s="298" t="n">
        <v>27</v>
      </c>
      <c r="B69" s="297" t="str">
        <f aca="false">B24</f>
        <v>D</v>
      </c>
      <c r="D69" s="273" t="n">
        <f aca="false">SUM(D24:O24)*SUP_CONTROL!$C$26</f>
        <v>0</v>
      </c>
      <c r="E69" s="273" t="n">
        <f aca="false">SUM(P24:AA24)*SUP_CONTROL!$C$26</f>
        <v>0</v>
      </c>
      <c r="F69" s="273" t="n">
        <f aca="false">SUM(AB24:AM24)*SUP_CONTROL!$C$26</f>
        <v>0</v>
      </c>
      <c r="G69" s="273" t="n">
        <f aca="false">SUM(AN24:AY24)*SUP_CONTROL!$C$26</f>
        <v>0</v>
      </c>
      <c r="H69" s="273" t="n">
        <f aca="false">SUM(AZ24:BK24)*SUP_CONTROL!$C$26</f>
        <v>41280.8445495753</v>
      </c>
      <c r="I69" s="273" t="n">
        <f aca="false">SUM(BL24:BW24)*SUP_CONTROL!$C$26</f>
        <v>732117.542225374</v>
      </c>
      <c r="J69" s="273" t="n">
        <f aca="false">SUM(BX24:CI24)*SUP_CONTROL!$C$26</f>
        <v>721885.538020778</v>
      </c>
      <c r="K69" s="273" t="n">
        <f aca="false">SUM(CJ24:CU24)*SUP_CONTROL!$C$26</f>
        <v>711300.70608499</v>
      </c>
      <c r="L69" s="273" t="n">
        <f aca="false">SUM(CV24:DG24)*SUP_CONTROL!$C$26</f>
        <v>711300.70608499</v>
      </c>
      <c r="M69" s="273" t="n">
        <f aca="false">SUM(DH24:DS24)*SUP_CONTROL!$C$26</f>
        <v>711300.70608499</v>
      </c>
      <c r="N69" s="268" t="n">
        <f aca="false">SUM(D69:M69)</f>
        <v>3629186.0430507</v>
      </c>
    </row>
    <row r="70" customFormat="false" ht="15" hidden="false" customHeight="true" outlineLevel="0" collapsed="false">
      <c r="A70" s="298" t="n">
        <v>28</v>
      </c>
      <c r="B70" s="297" t="str">
        <f aca="false">B25</f>
        <v>V</v>
      </c>
      <c r="D70" s="273" t="n">
        <f aca="false">SUM(D25:O25)*SUP_CONTROL!$C$26</f>
        <v>0</v>
      </c>
      <c r="E70" s="273" t="n">
        <f aca="false">SUM(P25:AA25)*SUP_CONTROL!$C$26</f>
        <v>0</v>
      </c>
      <c r="F70" s="273" t="n">
        <f aca="false">SUM(AB25:AM25)*SUP_CONTROL!$C$26</f>
        <v>0</v>
      </c>
      <c r="G70" s="273" t="n">
        <f aca="false">SUM(AN25:AY25)*SUP_CONTROL!$C$26</f>
        <v>0</v>
      </c>
      <c r="H70" s="273" t="n">
        <f aca="false">SUM(AZ25:BK25)*SUP_CONTROL!$C$26</f>
        <v>0</v>
      </c>
      <c r="I70" s="273" t="n">
        <f aca="false">SUM(BL25:BW25)*SUP_CONTROL!$C$26</f>
        <v>546068.76550786</v>
      </c>
      <c r="J70" s="273" t="n">
        <f aca="false">SUM(BX25:CI25)*SUP_CONTROL!$C$26</f>
        <v>555296.567708291</v>
      </c>
      <c r="K70" s="273" t="n">
        <f aca="false">SUM(CJ25:CU25)*SUP_CONTROL!$C$26</f>
        <v>547154.389296146</v>
      </c>
      <c r="L70" s="273" t="n">
        <f aca="false">SUM(CV25:DG25)*SUP_CONTROL!$C$26</f>
        <v>547154.389296146</v>
      </c>
      <c r="M70" s="273" t="n">
        <f aca="false">SUM(DH25:DS25)*SUP_CONTROL!$C$26</f>
        <v>547154.389296146</v>
      </c>
      <c r="N70" s="268" t="n">
        <f aca="false">SUM(D70:M70)</f>
        <v>2742828.50110459</v>
      </c>
    </row>
    <row r="71" customFormat="false" ht="15" hidden="false" customHeight="true" outlineLevel="0" collapsed="false">
      <c r="A71" s="298" t="n">
        <v>29</v>
      </c>
      <c r="B71" s="297" t="str">
        <f aca="false">B26</f>
        <v>V</v>
      </c>
      <c r="D71" s="273" t="n">
        <f aca="false">SUM(D26:O26)*SUP_CONTROL!$C$26</f>
        <v>0</v>
      </c>
      <c r="E71" s="273" t="n">
        <f aca="false">SUM(P26:AA26)*SUP_CONTROL!$C$26</f>
        <v>0</v>
      </c>
      <c r="F71" s="273" t="n">
        <f aca="false">SUM(AB26:AM26)*SUP_CONTROL!$C$26</f>
        <v>0</v>
      </c>
      <c r="G71" s="273" t="n">
        <f aca="false">SUM(AN26:AY26)*SUP_CONTROL!$C$26</f>
        <v>0</v>
      </c>
      <c r="H71" s="273" t="n">
        <f aca="false">SUM(AZ26:BK26)*SUP_CONTROL!$C$26</f>
        <v>0</v>
      </c>
      <c r="I71" s="273" t="n">
        <f aca="false">SUM(BL26:BW26)*SUP_CONTROL!$C$26</f>
        <v>497215.69503499</v>
      </c>
      <c r="J71" s="273" t="n">
        <f aca="false">SUM(BX26:CI26)*SUP_CONTROL!$C$26</f>
        <v>555296.567708291</v>
      </c>
      <c r="K71" s="273" t="n">
        <f aca="false">SUM(CJ26:CU26)*SUP_CONTROL!$C$26</f>
        <v>547154.389296146</v>
      </c>
      <c r="L71" s="273" t="n">
        <f aca="false">SUM(CV26:DG26)*SUP_CONTROL!$C$26</f>
        <v>547154.389296146</v>
      </c>
      <c r="M71" s="273" t="n">
        <f aca="false">SUM(DH26:DS26)*SUP_CONTROL!$C$26</f>
        <v>547154.389296146</v>
      </c>
      <c r="N71" s="268" t="n">
        <f aca="false">SUM(D71:M71)</f>
        <v>2693975.43063172</v>
      </c>
    </row>
    <row r="72" customFormat="false" ht="15" hidden="false" customHeight="true" outlineLevel="0" collapsed="false">
      <c r="A72" s="298" t="n">
        <v>30</v>
      </c>
      <c r="B72" s="297" t="str">
        <f aca="false">B27</f>
        <v>V</v>
      </c>
      <c r="D72" s="273" t="n">
        <f aca="false">SUM(D27:O27)*SUP_CONTROL!$C$26</f>
        <v>0</v>
      </c>
      <c r="E72" s="273" t="n">
        <f aca="false">SUM(P27:AA27)*SUP_CONTROL!$C$26</f>
        <v>0</v>
      </c>
      <c r="F72" s="273" t="n">
        <f aca="false">SUM(AB27:AM27)*SUP_CONTROL!$C$26</f>
        <v>0</v>
      </c>
      <c r="G72" s="273" t="n">
        <f aca="false">SUM(AN27:AY27)*SUP_CONTROL!$C$26</f>
        <v>0</v>
      </c>
      <c r="H72" s="273" t="n">
        <f aca="false">SUM(AZ27:BK27)*SUP_CONTROL!$C$26</f>
        <v>0</v>
      </c>
      <c r="I72" s="273" t="n">
        <f aca="false">SUM(BL27:BW27)*SUP_CONTROL!$C$26</f>
        <v>448362.62456212</v>
      </c>
      <c r="J72" s="273" t="n">
        <f aca="false">SUM(BX27:CI27)*SUP_CONTROL!$C$26</f>
        <v>555296.567708291</v>
      </c>
      <c r="K72" s="273" t="n">
        <f aca="false">SUM(CJ27:CU27)*SUP_CONTROL!$C$26</f>
        <v>547154.389296146</v>
      </c>
      <c r="L72" s="273" t="n">
        <f aca="false">SUM(CV27:DG27)*SUP_CONTROL!$C$26</f>
        <v>547154.389296146</v>
      </c>
      <c r="M72" s="273" t="n">
        <f aca="false">SUM(DH27:DS27)*SUP_CONTROL!$C$26</f>
        <v>547154.389296146</v>
      </c>
      <c r="N72" s="268" t="n">
        <f aca="false">SUM(D72:M72)</f>
        <v>2645122.36015885</v>
      </c>
    </row>
    <row r="73" customFormat="false" ht="15" hidden="false" customHeight="true" outlineLevel="0" collapsed="false">
      <c r="A73" s="298" t="n">
        <v>31</v>
      </c>
      <c r="B73" s="297" t="str">
        <f aca="false">B28</f>
        <v>D</v>
      </c>
      <c r="D73" s="273" t="n">
        <f aca="false">SUM(D28:O28)*SUP_CONTROL!$C$26</f>
        <v>0</v>
      </c>
      <c r="E73" s="273" t="n">
        <f aca="false">SUM(P28:AA28)*SUP_CONTROL!$C$26</f>
        <v>0</v>
      </c>
      <c r="F73" s="273" t="n">
        <f aca="false">SUM(AB28:AM28)*SUP_CONTROL!$C$26</f>
        <v>0</v>
      </c>
      <c r="G73" s="273" t="n">
        <f aca="false">SUM(AN28:AY28)*SUP_CONTROL!$C$26</f>
        <v>0</v>
      </c>
      <c r="H73" s="273" t="n">
        <f aca="false">SUM(AZ28:BK28)*SUP_CONTROL!$C$26</f>
        <v>0</v>
      </c>
      <c r="I73" s="273" t="n">
        <f aca="false">SUM(BL28:BW28)*SUP_CONTROL!$C$26</f>
        <v>456276.821978725</v>
      </c>
      <c r="J73" s="273" t="n">
        <f aca="false">SUM(BX28:CI28)*SUP_CONTROL!$C$26</f>
        <v>721885.538020778</v>
      </c>
      <c r="K73" s="273" t="n">
        <f aca="false">SUM(CJ28:CU28)*SUP_CONTROL!$C$26</f>
        <v>711300.70608499</v>
      </c>
      <c r="L73" s="273" t="n">
        <f aca="false">SUM(CV28:DG28)*SUP_CONTROL!$C$26</f>
        <v>711300.70608499</v>
      </c>
      <c r="M73" s="273" t="n">
        <f aca="false">SUM(DH28:DS28)*SUP_CONTROL!$C$26</f>
        <v>711300.70608499</v>
      </c>
      <c r="N73" s="268" t="n">
        <f aca="false">SUM(D73:M73)</f>
        <v>3312064.47825447</v>
      </c>
    </row>
    <row r="74" customFormat="false" ht="15" hidden="false" customHeight="true" outlineLevel="0" collapsed="false">
      <c r="A74" s="298" t="n">
        <v>32</v>
      </c>
      <c r="B74" s="297" t="str">
        <f aca="false">B29</f>
        <v>V</v>
      </c>
      <c r="D74" s="273" t="n">
        <f aca="false">SUM(D29:O29)*SUP_CONTROL!$C$26</f>
        <v>0</v>
      </c>
      <c r="E74" s="273" t="n">
        <f aca="false">SUM(P29:AA29)*SUP_CONTROL!$C$26</f>
        <v>0</v>
      </c>
      <c r="F74" s="273" t="n">
        <f aca="false">SUM(AB29:AM29)*SUP_CONTROL!$C$26</f>
        <v>0</v>
      </c>
      <c r="G74" s="273" t="n">
        <f aca="false">SUM(AN29:AY29)*SUP_CONTROL!$C$26</f>
        <v>0</v>
      </c>
      <c r="H74" s="273" t="n">
        <f aca="false">SUM(AZ29:BK29)*SUP_CONTROL!$C$26</f>
        <v>0</v>
      </c>
      <c r="I74" s="273" t="n">
        <f aca="false">SUM(BL29:BW29)*SUP_CONTROL!$C$26</f>
        <v>302509.068605895</v>
      </c>
      <c r="J74" s="273" t="n">
        <f aca="false">SUM(BX29:CI29)*SUP_CONTROL!$C$26</f>
        <v>555296.567708291</v>
      </c>
      <c r="K74" s="273" t="n">
        <f aca="false">SUM(CJ29:CU29)*SUP_CONTROL!$C$26</f>
        <v>547154.389296146</v>
      </c>
      <c r="L74" s="273" t="n">
        <f aca="false">SUM(CV29:DG29)*SUP_CONTROL!$C$26</f>
        <v>547154.389296146</v>
      </c>
      <c r="M74" s="273" t="n">
        <f aca="false">SUM(DH29:DS29)*SUP_CONTROL!$C$26</f>
        <v>547154.389296146</v>
      </c>
      <c r="N74" s="268" t="n">
        <f aca="false">SUM(D74:M74)</f>
        <v>2499268.80420262</v>
      </c>
    </row>
    <row r="75" customFormat="false" ht="15" hidden="false" customHeight="true" outlineLevel="0" collapsed="false">
      <c r="A75" s="298" t="n">
        <v>33</v>
      </c>
      <c r="B75" s="297" t="str">
        <f aca="false">B30</f>
        <v>V</v>
      </c>
      <c r="D75" s="273" t="n">
        <f aca="false">SUM(D30:O30)*SUP_CONTROL!$C$26</f>
        <v>0</v>
      </c>
      <c r="E75" s="273" t="n">
        <f aca="false">SUM(P30:AA30)*SUP_CONTROL!$C$26</f>
        <v>0</v>
      </c>
      <c r="F75" s="273" t="n">
        <f aca="false">SUM(AB30:AM30)*SUP_CONTROL!$C$26</f>
        <v>0</v>
      </c>
      <c r="G75" s="273" t="n">
        <f aca="false">SUM(AN30:AY30)*SUP_CONTROL!$C$26</f>
        <v>0</v>
      </c>
      <c r="H75" s="273" t="n">
        <f aca="false">SUM(AZ30:BK30)*SUP_CONTROL!$C$26</f>
        <v>0</v>
      </c>
      <c r="I75" s="273" t="n">
        <f aca="false">SUM(BL30:BW30)*SUP_CONTROL!$C$26</f>
        <v>254741.621921311</v>
      </c>
      <c r="J75" s="273" t="n">
        <f aca="false">SUM(BX30:CI30)*SUP_CONTROL!$C$26</f>
        <v>555296.567708291</v>
      </c>
      <c r="K75" s="273" t="n">
        <f aca="false">SUM(CJ30:CU30)*SUP_CONTROL!$C$26</f>
        <v>547154.389296146</v>
      </c>
      <c r="L75" s="273" t="n">
        <f aca="false">SUM(CV30:DG30)*SUP_CONTROL!$C$26</f>
        <v>547154.389296146</v>
      </c>
      <c r="M75" s="273" t="n">
        <f aca="false">SUM(DH30:DS30)*SUP_CONTROL!$C$26</f>
        <v>547154.389296146</v>
      </c>
      <c r="N75" s="268" t="n">
        <f aca="false">SUM(D75:M75)</f>
        <v>2451501.35751804</v>
      </c>
    </row>
    <row r="76" customFormat="false" ht="15" hidden="false" customHeight="true" outlineLevel="0" collapsed="false">
      <c r="A76" s="298" t="n">
        <v>34</v>
      </c>
      <c r="B76" s="297" t="str">
        <f aca="false">B31</f>
        <v>V</v>
      </c>
      <c r="D76" s="273" t="n">
        <f aca="false">SUM(D31:O31)*SUP_CONTROL!$C$26</f>
        <v>0</v>
      </c>
      <c r="E76" s="273" t="n">
        <f aca="false">SUM(P31:AA31)*SUP_CONTROL!$C$26</f>
        <v>0</v>
      </c>
      <c r="F76" s="273" t="n">
        <f aca="false">SUM(AB31:AM31)*SUP_CONTROL!$C$26</f>
        <v>0</v>
      </c>
      <c r="G76" s="273" t="n">
        <f aca="false">SUM(AN31:AY31)*SUP_CONTROL!$C$26</f>
        <v>0</v>
      </c>
      <c r="H76" s="273" t="n">
        <f aca="false">SUM(AZ31:BK31)*SUP_CONTROL!$C$26</f>
        <v>0</v>
      </c>
      <c r="I76" s="273" t="n">
        <f aca="false">SUM(BL31:BW31)*SUP_CONTROL!$C$26</f>
        <v>206974.175236727</v>
      </c>
      <c r="J76" s="273" t="n">
        <f aca="false">SUM(BX31:CI31)*SUP_CONTROL!$C$26</f>
        <v>555296.567708291</v>
      </c>
      <c r="K76" s="273" t="n">
        <f aca="false">SUM(CJ31:CU31)*SUP_CONTROL!$C$26</f>
        <v>547154.389296146</v>
      </c>
      <c r="L76" s="273" t="n">
        <f aca="false">SUM(CV31:DG31)*SUP_CONTROL!$C$26</f>
        <v>547154.389296146</v>
      </c>
      <c r="M76" s="273" t="n">
        <f aca="false">SUM(DH31:DS31)*SUP_CONTROL!$C$26</f>
        <v>547154.389296146</v>
      </c>
      <c r="N76" s="268" t="n">
        <f aca="false">SUM(D76:M76)</f>
        <v>2403733.91083346</v>
      </c>
    </row>
    <row r="77" customFormat="false" ht="15" hidden="false" customHeight="true" outlineLevel="0" collapsed="false">
      <c r="A77" s="298" t="n">
        <v>35</v>
      </c>
      <c r="B77" s="297" t="str">
        <f aca="false">B32</f>
        <v>D</v>
      </c>
      <c r="D77" s="273" t="n">
        <f aca="false">SUM(D32:O32)*SUP_CONTROL!$C$26</f>
        <v>0</v>
      </c>
      <c r="E77" s="273" t="n">
        <f aca="false">SUM(P32:AA32)*SUP_CONTROL!$C$26</f>
        <v>0</v>
      </c>
      <c r="F77" s="273" t="n">
        <f aca="false">SUM(AB32:AM32)*SUP_CONTROL!$C$26</f>
        <v>0</v>
      </c>
      <c r="G77" s="273" t="n">
        <f aca="false">SUM(AN32:AY32)*SUP_CONTROL!$C$26</f>
        <v>0</v>
      </c>
      <c r="H77" s="273" t="n">
        <f aca="false">SUM(AZ32:BK32)*SUP_CONTROL!$C$26</f>
        <v>0</v>
      </c>
      <c r="I77" s="273" t="n">
        <f aca="false">SUM(BL32:BW32)*SUP_CONTROL!$C$26</f>
        <v>206968.747117785</v>
      </c>
      <c r="J77" s="273" t="n">
        <f aca="false">SUM(BX32:CI32)*SUP_CONTROL!$C$26</f>
        <v>721885.538020778</v>
      </c>
      <c r="K77" s="273" t="n">
        <f aca="false">SUM(CJ32:CU32)*SUP_CONTROL!$C$26</f>
        <v>711300.70608499</v>
      </c>
      <c r="L77" s="273" t="n">
        <f aca="false">SUM(CV32:DG32)*SUP_CONTROL!$C$26</f>
        <v>711300.70608499</v>
      </c>
      <c r="M77" s="273" t="n">
        <f aca="false">SUM(DH32:DS32)*SUP_CONTROL!$C$26</f>
        <v>711300.70608499</v>
      </c>
      <c r="N77" s="268" t="n">
        <f aca="false">SUM(D77:M77)</f>
        <v>3062756.40339353</v>
      </c>
    </row>
    <row r="78" customFormat="false" ht="15" hidden="false" customHeight="true" outlineLevel="0" collapsed="false">
      <c r="A78" s="298" t="n">
        <v>36</v>
      </c>
      <c r="B78" s="297" t="str">
        <f aca="false">B33</f>
        <v>V</v>
      </c>
      <c r="D78" s="273" t="n">
        <f aca="false">SUM(D33:O33)*SUP_CONTROL!$C$26</f>
        <v>0</v>
      </c>
      <c r="E78" s="273" t="n">
        <f aca="false">SUM(P33:AA33)*SUP_CONTROL!$C$26</f>
        <v>0</v>
      </c>
      <c r="F78" s="273" t="n">
        <f aca="false">SUM(AB33:AM33)*SUP_CONTROL!$C$26</f>
        <v>0</v>
      </c>
      <c r="G78" s="273" t="n">
        <f aca="false">SUM(AN33:AY33)*SUP_CONTROL!$C$26</f>
        <v>0</v>
      </c>
      <c r="H78" s="273" t="n">
        <f aca="false">SUM(AZ33:BK33)*SUP_CONTROL!$C$26</f>
        <v>0</v>
      </c>
      <c r="I78" s="273" t="n">
        <f aca="false">SUM(BL33:BW33)*SUP_CONTROL!$C$26</f>
        <v>111520.70365168</v>
      </c>
      <c r="J78" s="273" t="n">
        <f aca="false">SUM(BX33:CI33)*SUP_CONTROL!$C$26</f>
        <v>555296.567708291</v>
      </c>
      <c r="K78" s="273" t="n">
        <f aca="false">SUM(CJ33:CU33)*SUP_CONTROL!$C$26</f>
        <v>547154.389296146</v>
      </c>
      <c r="L78" s="273" t="n">
        <f aca="false">SUM(CV33:DG33)*SUP_CONTROL!$C$26</f>
        <v>547154.389296146</v>
      </c>
      <c r="M78" s="273" t="n">
        <f aca="false">SUM(DH33:DS33)*SUP_CONTROL!$C$26</f>
        <v>547154.389296146</v>
      </c>
      <c r="N78" s="268" t="n">
        <f aca="false">SUM(D78:M78)</f>
        <v>2308280.43924841</v>
      </c>
    </row>
    <row r="79" customFormat="false" ht="15" hidden="false" customHeight="true" outlineLevel="0" collapsed="false">
      <c r="A79" s="298" t="n">
        <v>37</v>
      </c>
      <c r="B79" s="297" t="str">
        <f aca="false">B34</f>
        <v>V</v>
      </c>
      <c r="D79" s="273" t="n">
        <f aca="false">SUM(D34:O34)*SUP_CONTROL!$C$26</f>
        <v>0</v>
      </c>
      <c r="E79" s="273" t="n">
        <f aca="false">SUM(P34:AA34)*SUP_CONTROL!$C$26</f>
        <v>0</v>
      </c>
      <c r="F79" s="273" t="n">
        <f aca="false">SUM(AB34:AM34)*SUP_CONTROL!$C$26</f>
        <v>0</v>
      </c>
      <c r="G79" s="273" t="n">
        <f aca="false">SUM(AN34:AY34)*SUP_CONTROL!$C$26</f>
        <v>0</v>
      </c>
      <c r="H79" s="273" t="n">
        <f aca="false">SUM(AZ34:BK34)*SUP_CONTROL!$C$26</f>
        <v>0</v>
      </c>
      <c r="I79" s="273" t="n">
        <f aca="false">SUM(BL34:BW34)*SUP_CONTROL!$C$26</f>
        <v>68611.4234196755</v>
      </c>
      <c r="J79" s="273" t="n">
        <f aca="false">SUM(BX34:CI34)*SUP_CONTROL!$C$26</f>
        <v>550601.244823954</v>
      </c>
      <c r="K79" s="273" t="n">
        <f aca="false">SUM(CJ34:CU34)*SUP_CONTROL!$C$26</f>
        <v>547154.389296146</v>
      </c>
      <c r="L79" s="273" t="n">
        <f aca="false">SUM(CV34:DG34)*SUP_CONTROL!$C$26</f>
        <v>547154.389296146</v>
      </c>
      <c r="M79" s="273" t="n">
        <f aca="false">SUM(DH34:DS34)*SUP_CONTROL!$C$26</f>
        <v>547154.389296146</v>
      </c>
      <c r="N79" s="268" t="n">
        <f aca="false">SUM(D79:M79)</f>
        <v>2260675.83613207</v>
      </c>
    </row>
    <row r="80" customFormat="false" ht="15" hidden="false" customHeight="true" outlineLevel="0" collapsed="false">
      <c r="A80" s="298" t="n">
        <v>38</v>
      </c>
      <c r="B80" s="297" t="str">
        <f aca="false">B35</f>
        <v>V</v>
      </c>
      <c r="D80" s="273" t="n">
        <f aca="false">SUM(D35:O35)*SUP_CONTROL!$C$26</f>
        <v>0</v>
      </c>
      <c r="E80" s="273" t="n">
        <f aca="false">SUM(P35:AA35)*SUP_CONTROL!$C$26</f>
        <v>0</v>
      </c>
      <c r="F80" s="273" t="n">
        <f aca="false">SUM(AB35:AM35)*SUP_CONTROL!$C$26</f>
        <v>0</v>
      </c>
      <c r="G80" s="273" t="n">
        <f aca="false">SUM(AN35:AY35)*SUP_CONTROL!$C$26</f>
        <v>0</v>
      </c>
      <c r="H80" s="273" t="n">
        <f aca="false">SUM(AZ35:BK35)*SUP_CONTROL!$C$26</f>
        <v>0</v>
      </c>
      <c r="I80" s="273" t="n">
        <f aca="false">SUM(BL35:BW35)*SUP_CONTROL!$C$26</f>
        <v>30519.5987481903</v>
      </c>
      <c r="J80" s="273" t="n">
        <f aca="false">SUM(BX35:CI35)*SUP_CONTROL!$C$26</f>
        <v>541210.59905528</v>
      </c>
      <c r="K80" s="273" t="n">
        <f aca="false">SUM(CJ35:CU35)*SUP_CONTROL!$C$26</f>
        <v>547154.389296146</v>
      </c>
      <c r="L80" s="273" t="n">
        <f aca="false">SUM(CV35:DG35)*SUP_CONTROL!$C$26</f>
        <v>547154.389296146</v>
      </c>
      <c r="M80" s="273" t="n">
        <f aca="false">SUM(DH35:DS35)*SUP_CONTROL!$C$26</f>
        <v>547154.389296146</v>
      </c>
      <c r="N80" s="268" t="n">
        <f aca="false">SUM(D80:M80)</f>
        <v>2213193.36569191</v>
      </c>
    </row>
    <row r="81" customFormat="false" ht="15" hidden="false" customHeight="true" outlineLevel="0" collapsed="false">
      <c r="A81" s="298" t="n">
        <v>39</v>
      </c>
      <c r="B81" s="297" t="str">
        <f aca="false">B36</f>
        <v>D</v>
      </c>
      <c r="D81" s="273" t="n">
        <f aca="false">SUM(D36:O36)*SUP_CONTROL!$C$26</f>
        <v>0</v>
      </c>
      <c r="E81" s="273" t="n">
        <f aca="false">SUM(P36:AA36)*SUP_CONTROL!$C$26</f>
        <v>0</v>
      </c>
      <c r="F81" s="273" t="n">
        <f aca="false">SUM(AB36:AM36)*SUP_CONTROL!$C$26</f>
        <v>0</v>
      </c>
      <c r="G81" s="273" t="n">
        <f aca="false">SUM(AN36:AY36)*SUP_CONTROL!$C$26</f>
        <v>0</v>
      </c>
      <c r="H81" s="273" t="n">
        <f aca="false">SUM(AZ36:BK36)*SUP_CONTROL!$C$26</f>
        <v>0</v>
      </c>
      <c r="I81" s="273" t="n">
        <f aca="false">SUM(BL36:BW36)*SUP_CONTROL!$C$26</f>
        <v>0</v>
      </c>
      <c r="J81" s="273" t="n">
        <f aca="false">SUM(BX36:CI36)*SUP_CONTROL!$C$26</f>
        <v>682210.059648131</v>
      </c>
      <c r="K81" s="273" t="n">
        <f aca="false">SUM(CJ36:CU36)*SUP_CONTROL!$C$26</f>
        <v>711300.70608499</v>
      </c>
      <c r="L81" s="273" t="n">
        <f aca="false">SUM(CV36:DG36)*SUP_CONTROL!$C$26</f>
        <v>711300.70608499</v>
      </c>
      <c r="M81" s="273" t="n">
        <f aca="false">SUM(DH36:DS36)*SUP_CONTROL!$C$26</f>
        <v>711300.70608499</v>
      </c>
      <c r="N81" s="268" t="n">
        <f aca="false">SUM(D81:M81)</f>
        <v>2816112.1779031</v>
      </c>
    </row>
    <row r="82" customFormat="false" ht="15" hidden="false" customHeight="true" outlineLevel="0" collapsed="false">
      <c r="A82" s="298" t="n">
        <v>40</v>
      </c>
      <c r="B82" s="297" t="str">
        <f aca="false">B37</f>
        <v>F</v>
      </c>
      <c r="D82" s="273" t="n">
        <f aca="false">SUM(D37:O37)*SUP_CONTROL!$C$26</f>
        <v>0</v>
      </c>
      <c r="E82" s="273" t="n">
        <f aca="false">SUM(P37:AA37)*SUP_CONTROL!$C$26</f>
        <v>0</v>
      </c>
      <c r="F82" s="273" t="n">
        <f aca="false">SUM(AB37:AM37)*SUP_CONTROL!$C$26</f>
        <v>0</v>
      </c>
      <c r="G82" s="273" t="n">
        <f aca="false">SUM(AN37:AY37)*SUP_CONTROL!$C$26</f>
        <v>0</v>
      </c>
      <c r="H82" s="273" t="n">
        <f aca="false">SUM(AZ37:BK37)*SUP_CONTROL!$C$26</f>
        <v>0</v>
      </c>
      <c r="I82" s="273" t="n">
        <f aca="false">SUM(BL37:BW37)*SUP_CONTROL!$C$26</f>
        <v>0</v>
      </c>
      <c r="J82" s="273" t="n">
        <f aca="false">SUM(BX37:CI37)*SUP_CONTROL!$C$26</f>
        <v>861903.866114966</v>
      </c>
      <c r="K82" s="273" t="n">
        <f aca="false">SUM(CJ37:CU37)*SUP_CONTROL!$C$26</f>
        <v>1094308.77859229</v>
      </c>
      <c r="L82" s="273" t="n">
        <f aca="false">SUM(CV37:DG37)*SUP_CONTROL!$C$26</f>
        <v>1094308.77859229</v>
      </c>
      <c r="M82" s="273" t="n">
        <f aca="false">SUM(DH37:DS37)*SUP_CONTROL!$C$26</f>
        <v>1094308.77859229</v>
      </c>
      <c r="N82" s="268" t="n">
        <f aca="false">SUM(D82:M82)</f>
        <v>4144830.20189184</v>
      </c>
    </row>
    <row r="83" customFormat="false" ht="15" hidden="false" customHeight="true" outlineLevel="0" collapsed="false">
      <c r="A83" s="298" t="n">
        <v>41</v>
      </c>
      <c r="B83" s="297" t="str">
        <f aca="false">B38</f>
        <v>V</v>
      </c>
      <c r="D83" s="273" t="n">
        <f aca="false">SUM(D38:O38)*SUP_CONTROL!$C$26</f>
        <v>0</v>
      </c>
      <c r="E83" s="273" t="n">
        <f aca="false">SUM(P38:AA38)*SUP_CONTROL!$C$26</f>
        <v>0</v>
      </c>
      <c r="F83" s="273" t="n">
        <f aca="false">SUM(AB38:AM38)*SUP_CONTROL!$C$26</f>
        <v>0</v>
      </c>
      <c r="G83" s="273" t="n">
        <f aca="false">SUM(AN38:AY38)*SUP_CONTROL!$C$26</f>
        <v>0</v>
      </c>
      <c r="H83" s="273" t="n">
        <f aca="false">SUM(AZ38:BK38)*SUP_CONTROL!$C$26</f>
        <v>0</v>
      </c>
      <c r="I83" s="273" t="n">
        <f aca="false">SUM(BL38:BW38)*SUP_CONTROL!$C$26</f>
        <v>0</v>
      </c>
      <c r="J83" s="273" t="n">
        <f aca="false">SUM(BX38:CI38)*SUP_CONTROL!$C$26</f>
        <v>384161.547782356</v>
      </c>
      <c r="K83" s="273" t="n">
        <f aca="false">SUM(CJ38:CU38)*SUP_CONTROL!$C$26</f>
        <v>547154.389296146</v>
      </c>
      <c r="L83" s="273" t="n">
        <f aca="false">SUM(CV38:DG38)*SUP_CONTROL!$C$26</f>
        <v>547154.389296146</v>
      </c>
      <c r="M83" s="273" t="n">
        <f aca="false">SUM(DH38:DS38)*SUP_CONTROL!$C$26</f>
        <v>547154.389296146</v>
      </c>
      <c r="N83" s="268" t="n">
        <f aca="false">SUM(D83:M83)</f>
        <v>2025624.71567079</v>
      </c>
    </row>
    <row r="84" customFormat="false" ht="15" hidden="false" customHeight="true" outlineLevel="0" collapsed="false">
      <c r="A84" s="298" t="n">
        <v>42</v>
      </c>
      <c r="B84" s="297" t="str">
        <f aca="false">B39</f>
        <v>V</v>
      </c>
      <c r="D84" s="273" t="n">
        <f aca="false">SUM(D39:O39)*SUP_CONTROL!$C$26</f>
        <v>0</v>
      </c>
      <c r="E84" s="273" t="n">
        <f aca="false">SUM(P39:AA39)*SUP_CONTROL!$C$26</f>
        <v>0</v>
      </c>
      <c r="F84" s="273" t="n">
        <f aca="false">SUM(AB39:AM39)*SUP_CONTROL!$C$26</f>
        <v>0</v>
      </c>
      <c r="G84" s="273" t="n">
        <f aca="false">SUM(AN39:AY39)*SUP_CONTROL!$C$26</f>
        <v>0</v>
      </c>
      <c r="H84" s="273" t="n">
        <f aca="false">SUM(AZ39:BK39)*SUP_CONTROL!$C$26</f>
        <v>0</v>
      </c>
      <c r="I84" s="273" t="n">
        <f aca="false">SUM(BL39:BW39)*SUP_CONTROL!$C$26</f>
        <v>0</v>
      </c>
      <c r="J84" s="273" t="n">
        <f aca="false">SUM(BX39:CI39)*SUP_CONTROL!$C$26</f>
        <v>337493.295183412</v>
      </c>
      <c r="K84" s="273" t="n">
        <f aca="false">SUM(CJ39:CU39)*SUP_CONTROL!$C$26</f>
        <v>547154.389296146</v>
      </c>
      <c r="L84" s="273" t="n">
        <f aca="false">SUM(CV39:DG39)*SUP_CONTROL!$C$26</f>
        <v>547154.389296146</v>
      </c>
      <c r="M84" s="273" t="n">
        <f aca="false">SUM(DH39:DS39)*SUP_CONTROL!$C$26</f>
        <v>547154.389296146</v>
      </c>
      <c r="N84" s="268" t="n">
        <f aca="false">SUM(D84:M84)</f>
        <v>1978956.46307185</v>
      </c>
    </row>
    <row r="85" customFormat="false" ht="15" hidden="false" customHeight="true" outlineLevel="0" collapsed="false">
      <c r="A85" s="298" t="n">
        <v>43</v>
      </c>
      <c r="B85" s="297" t="str">
        <f aca="false">B40</f>
        <v>V</v>
      </c>
      <c r="D85" s="273" t="n">
        <f aca="false">SUM(D40:O40)*SUP_CONTROL!$C$26</f>
        <v>0</v>
      </c>
      <c r="E85" s="273" t="n">
        <f aca="false">SUM(P40:AA40)*SUP_CONTROL!$C$26</f>
        <v>0</v>
      </c>
      <c r="F85" s="273" t="n">
        <f aca="false">SUM(AB40:AM40)*SUP_CONTROL!$C$26</f>
        <v>0</v>
      </c>
      <c r="G85" s="273" t="n">
        <f aca="false">SUM(AN40:AY40)*SUP_CONTROL!$C$26</f>
        <v>0</v>
      </c>
      <c r="H85" s="273" t="n">
        <f aca="false">SUM(AZ40:BK40)*SUP_CONTROL!$C$26</f>
        <v>0</v>
      </c>
      <c r="I85" s="273" t="n">
        <f aca="false">SUM(BL40:BW40)*SUP_CONTROL!$C$26</f>
        <v>0</v>
      </c>
      <c r="J85" s="273" t="n">
        <f aca="false">SUM(BX40:CI40)*SUP_CONTROL!$C$26</f>
        <v>291354.284181256</v>
      </c>
      <c r="K85" s="273" t="n">
        <f aca="false">SUM(CJ40:CU40)*SUP_CONTROL!$C$26</f>
        <v>547154.389296146</v>
      </c>
      <c r="L85" s="273" t="n">
        <f aca="false">SUM(CV40:DG40)*SUP_CONTROL!$C$26</f>
        <v>547154.389296146</v>
      </c>
      <c r="M85" s="273" t="n">
        <f aca="false">SUM(DH40:DS40)*SUP_CONTROL!$C$26</f>
        <v>547154.389296146</v>
      </c>
      <c r="N85" s="268" t="n">
        <f aca="false">SUM(D85:M85)</f>
        <v>1932817.45206969</v>
      </c>
    </row>
    <row r="86" customFormat="false" ht="15" hidden="false" customHeight="true" outlineLevel="0" collapsed="false">
      <c r="A86" s="298" t="n">
        <v>44</v>
      </c>
      <c r="B86" s="297" t="str">
        <f aca="false">B41</f>
        <v>D</v>
      </c>
      <c r="D86" s="273" t="n">
        <f aca="false">SUM(D41:O41)*SUP_CONTROL!$C$26</f>
        <v>0</v>
      </c>
      <c r="E86" s="273" t="n">
        <f aca="false">SUM(P41:AA41)*SUP_CONTROL!$C$26</f>
        <v>0</v>
      </c>
      <c r="F86" s="273" t="n">
        <f aca="false">SUM(AB41:AM41)*SUP_CONTROL!$C$26</f>
        <v>0</v>
      </c>
      <c r="G86" s="273" t="n">
        <f aca="false">SUM(AN41:AY41)*SUP_CONTROL!$C$26</f>
        <v>0</v>
      </c>
      <c r="H86" s="273" t="n">
        <f aca="false">SUM(AZ41:BK41)*SUP_CONTROL!$C$26</f>
        <v>0</v>
      </c>
      <c r="I86" s="273" t="n">
        <f aca="false">SUM(BL41:BW41)*SUP_CONTROL!$C$26</f>
        <v>0</v>
      </c>
      <c r="J86" s="273" t="n">
        <f aca="false">SUM(BX41:CI41)*SUP_CONTROL!$C$26</f>
        <v>318779.855132832</v>
      </c>
      <c r="K86" s="273" t="n">
        <f aca="false">SUM(CJ41:CU41)*SUP_CONTROL!$C$26</f>
        <v>711300.70608499</v>
      </c>
      <c r="L86" s="273" t="n">
        <f aca="false">SUM(CV41:DG41)*SUP_CONTROL!$C$26</f>
        <v>711300.70608499</v>
      </c>
      <c r="M86" s="273" t="n">
        <f aca="false">SUM(DH41:DS41)*SUP_CONTROL!$C$26</f>
        <v>711300.70608499</v>
      </c>
      <c r="N86" s="268" t="n">
        <f aca="false">SUM(D86:M86)</f>
        <v>2452681.9733878</v>
      </c>
    </row>
    <row r="87" customFormat="false" ht="15" hidden="false" customHeight="true" outlineLevel="0" collapsed="false">
      <c r="A87" s="298" t="n">
        <v>45</v>
      </c>
      <c r="B87" s="297" t="str">
        <f aca="false">B42</f>
        <v>V</v>
      </c>
      <c r="D87" s="273" t="n">
        <f aca="false">SUM(D42:O42)*SUP_CONTROL!$C$26</f>
        <v>0</v>
      </c>
      <c r="E87" s="273" t="n">
        <f aca="false">SUM(P42:AA42)*SUP_CONTROL!$C$26</f>
        <v>0</v>
      </c>
      <c r="F87" s="273" t="n">
        <f aca="false">SUM(AB42:AM42)*SUP_CONTROL!$C$26</f>
        <v>0</v>
      </c>
      <c r="G87" s="273" t="n">
        <f aca="false">SUM(AN42:AY42)*SUP_CONTROL!$C$26</f>
        <v>0</v>
      </c>
      <c r="H87" s="273" t="n">
        <f aca="false">SUM(AZ42:BK42)*SUP_CONTROL!$C$26</f>
        <v>0</v>
      </c>
      <c r="I87" s="273" t="n">
        <f aca="false">SUM(BL42:BW42)*SUP_CONTROL!$C$26</f>
        <v>0</v>
      </c>
      <c r="J87" s="273" t="n">
        <f aca="false">SUM(BX42:CI42)*SUP_CONTROL!$C$26</f>
        <v>199130.54336636</v>
      </c>
      <c r="K87" s="273" t="n">
        <f aca="false">SUM(CJ42:CU42)*SUP_CONTROL!$C$26</f>
        <v>547154.389296146</v>
      </c>
      <c r="L87" s="273" t="n">
        <f aca="false">SUM(CV42:DG42)*SUP_CONTROL!$C$26</f>
        <v>547154.389296146</v>
      </c>
      <c r="M87" s="273" t="n">
        <f aca="false">SUM(DH42:DS42)*SUP_CONTROL!$C$26</f>
        <v>547154.389296146</v>
      </c>
      <c r="N87" s="268" t="n">
        <f aca="false">SUM(D87:M87)</f>
        <v>1840593.7112548</v>
      </c>
    </row>
    <row r="88" customFormat="false" ht="15" hidden="false" customHeight="true" outlineLevel="0" collapsed="false">
      <c r="A88" s="298" t="n">
        <v>46</v>
      </c>
      <c r="B88" s="297" t="str">
        <f aca="false">B43</f>
        <v>V</v>
      </c>
      <c r="D88" s="273" t="n">
        <f aca="false">SUM(D43:O43)*SUP_CONTROL!$C$26</f>
        <v>0</v>
      </c>
      <c r="E88" s="273" t="n">
        <f aca="false">SUM(P43:AA43)*SUP_CONTROL!$C$26</f>
        <v>0</v>
      </c>
      <c r="F88" s="273" t="n">
        <f aca="false">SUM(AB43:AM43)*SUP_CONTROL!$C$26</f>
        <v>0</v>
      </c>
      <c r="G88" s="273" t="n">
        <f aca="false">SUM(AN43:AY43)*SUP_CONTROL!$C$26</f>
        <v>0</v>
      </c>
      <c r="H88" s="273" t="n">
        <f aca="false">SUM(AZ43:BK43)*SUP_CONTROL!$C$26</f>
        <v>0</v>
      </c>
      <c r="I88" s="273" t="n">
        <f aca="false">SUM(BL43:BW43)*SUP_CONTROL!$C$26</f>
        <v>0</v>
      </c>
      <c r="J88" s="273" t="n">
        <f aca="false">SUM(BX43:CI43)*SUP_CONTROL!$C$26</f>
        <v>153100.094743034</v>
      </c>
      <c r="K88" s="273" t="n">
        <f aca="false">SUM(CJ43:CU43)*SUP_CONTROL!$C$26</f>
        <v>547154.389296146</v>
      </c>
      <c r="L88" s="273" t="n">
        <f aca="false">SUM(CV43:DG43)*SUP_CONTROL!$C$26</f>
        <v>547154.389296146</v>
      </c>
      <c r="M88" s="273" t="n">
        <f aca="false">SUM(DH43:DS43)*SUP_CONTROL!$C$26</f>
        <v>547154.389296146</v>
      </c>
      <c r="N88" s="268" t="n">
        <f aca="false">SUM(D88:M88)</f>
        <v>1794563.26263147</v>
      </c>
    </row>
    <row r="89" customFormat="false" ht="15" hidden="false" customHeight="true" outlineLevel="0" collapsed="false">
      <c r="A89" s="298" t="n">
        <v>47</v>
      </c>
      <c r="B89" s="297" t="str">
        <f aca="false">B44</f>
        <v>V</v>
      </c>
      <c r="D89" s="273" t="n">
        <f aca="false">SUM(D44:O44)*SUP_CONTROL!$C$26</f>
        <v>0</v>
      </c>
      <c r="E89" s="273" t="n">
        <f aca="false">SUM(P44:AA44)*SUP_CONTROL!$C$26</f>
        <v>0</v>
      </c>
      <c r="F89" s="273" t="n">
        <f aca="false">SUM(AB44:AM44)*SUP_CONTROL!$C$26</f>
        <v>0</v>
      </c>
      <c r="G89" s="273" t="n">
        <f aca="false">SUM(AN44:AY44)*SUP_CONTROL!$C$26</f>
        <v>0</v>
      </c>
      <c r="H89" s="273" t="n">
        <f aca="false">SUM(AZ44:BK44)*SUP_CONTROL!$C$26</f>
        <v>0</v>
      </c>
      <c r="I89" s="273" t="n">
        <f aca="false">SUM(BL44:BW44)*SUP_CONTROL!$C$26</f>
        <v>0</v>
      </c>
      <c r="J89" s="273" t="n">
        <f aca="false">SUM(BX44:CI44)*SUP_CONTROL!$C$26</f>
        <v>107151.067903829</v>
      </c>
      <c r="K89" s="273" t="n">
        <f aca="false">SUM(CJ44:CU44)*SUP_CONTROL!$C$26</f>
        <v>547154.389296146</v>
      </c>
      <c r="L89" s="273" t="n">
        <f aca="false">SUM(CV44:DG44)*SUP_CONTROL!$C$26</f>
        <v>547154.389296146</v>
      </c>
      <c r="M89" s="273" t="n">
        <f aca="false">SUM(DH44:DS44)*SUP_CONTROL!$C$26</f>
        <v>547154.389296146</v>
      </c>
      <c r="N89" s="268" t="n">
        <f aca="false">SUM(D89:M89)</f>
        <v>1748614.23579227</v>
      </c>
    </row>
    <row r="90" customFormat="false" ht="15" hidden="false" customHeight="true" outlineLevel="0" collapsed="false">
      <c r="A90" s="298" t="n">
        <v>48</v>
      </c>
      <c r="B90" s="297" t="str">
        <f aca="false">B45</f>
        <v>D</v>
      </c>
      <c r="D90" s="273" t="n">
        <f aca="false">SUM(D45:O45)*SUP_CONTROL!$C$26</f>
        <v>0</v>
      </c>
      <c r="E90" s="273" t="n">
        <f aca="false">SUM(P45:AA45)*SUP_CONTROL!$C$26</f>
        <v>0</v>
      </c>
      <c r="F90" s="273" t="n">
        <f aca="false">SUM(AB45:AM45)*SUP_CONTROL!$C$26</f>
        <v>0</v>
      </c>
      <c r="G90" s="273" t="n">
        <f aca="false">SUM(AN45:AY45)*SUP_CONTROL!$C$26</f>
        <v>0</v>
      </c>
      <c r="H90" s="273" t="n">
        <f aca="false">SUM(AZ45:BK45)*SUP_CONTROL!$C$26</f>
        <v>0</v>
      </c>
      <c r="I90" s="273" t="n">
        <f aca="false">SUM(BL45:BW45)*SUP_CONTROL!$C$26</f>
        <v>0</v>
      </c>
      <c r="J90" s="273" t="n">
        <f aca="false">SUM(BX45:CI45)*SUP_CONTROL!$C$26</f>
        <v>85948.8353186029</v>
      </c>
      <c r="K90" s="273" t="n">
        <f aca="false">SUM(CJ45:CU45)*SUP_CONTROL!$C$26</f>
        <v>705373.200200948</v>
      </c>
      <c r="L90" s="273" t="n">
        <f aca="false">SUM(CV45:DG45)*SUP_CONTROL!$C$26</f>
        <v>711300.70608499</v>
      </c>
      <c r="M90" s="273" t="n">
        <f aca="false">SUM(DH45:DS45)*SUP_CONTROL!$C$26</f>
        <v>711300.70608499</v>
      </c>
      <c r="N90" s="268" t="n">
        <f aca="false">SUM(D90:M90)</f>
        <v>2213923.44768953</v>
      </c>
    </row>
    <row r="91" customFormat="false" ht="15" hidden="false" customHeight="true" outlineLevel="0" collapsed="false">
      <c r="A91" s="298" t="n">
        <v>49</v>
      </c>
      <c r="B91" s="297" t="str">
        <f aca="false">B46</f>
        <v>V</v>
      </c>
      <c r="D91" s="273" t="n">
        <f aca="false">SUM(D46:O46)*SUP_CONTROL!$C$26</f>
        <v>0</v>
      </c>
      <c r="E91" s="273" t="n">
        <f aca="false">SUM(P46:AA46)*SUP_CONTROL!$C$26</f>
        <v>0</v>
      </c>
      <c r="F91" s="273" t="n">
        <f aca="false">SUM(AB46:AM46)*SUP_CONTROL!$C$26</f>
        <v>0</v>
      </c>
      <c r="G91" s="273" t="n">
        <f aca="false">SUM(AN46:AY46)*SUP_CONTROL!$C$26</f>
        <v>0</v>
      </c>
      <c r="H91" s="273" t="n">
        <f aca="false">SUM(AZ46:BK46)*SUP_CONTROL!$C$26</f>
        <v>0</v>
      </c>
      <c r="I91" s="273" t="n">
        <f aca="false">SUM(BL46:BW46)*SUP_CONTROL!$C$26</f>
        <v>0</v>
      </c>
      <c r="J91" s="273" t="n">
        <f aca="false">SUM(BX46:CI46)*SUP_CONTROL!$C$26</f>
        <v>29637.5294202079</v>
      </c>
      <c r="K91" s="273" t="n">
        <f aca="false">SUM(CJ46:CU46)*SUP_CONTROL!$C$26</f>
        <v>533475.529563743</v>
      </c>
      <c r="L91" s="273" t="n">
        <f aca="false">SUM(CV46:DG46)*SUP_CONTROL!$C$26</f>
        <v>547154.389296146</v>
      </c>
      <c r="M91" s="273" t="n">
        <f aca="false">SUM(DH46:DS46)*SUP_CONTROL!$C$26</f>
        <v>547154.389296146</v>
      </c>
      <c r="N91" s="268" t="n">
        <f aca="false">SUM(D91:M91)</f>
        <v>1657421.83757624</v>
      </c>
    </row>
    <row r="92" customFormat="false" ht="15" hidden="false" customHeight="true" outlineLevel="0" collapsed="false">
      <c r="A92" s="298" t="n">
        <v>50</v>
      </c>
      <c r="B92" s="297" t="str">
        <f aca="false">B47</f>
        <v>V</v>
      </c>
      <c r="D92" s="273" t="n">
        <f aca="false">SUM(D47:O47)*SUP_CONTROL!$C$26</f>
        <v>0</v>
      </c>
      <c r="E92" s="273" t="n">
        <f aca="false">SUM(P47:AA47)*SUP_CONTROL!$C$26</f>
        <v>0</v>
      </c>
      <c r="F92" s="273" t="n">
        <f aca="false">SUM(AB47:AM47)*SUP_CONTROL!$C$26</f>
        <v>0</v>
      </c>
      <c r="G92" s="273" t="n">
        <f aca="false">SUM(AN47:AY47)*SUP_CONTROL!$C$26</f>
        <v>0</v>
      </c>
      <c r="H92" s="273" t="n">
        <f aca="false">SUM(AZ47:BK47)*SUP_CONTROL!$C$26</f>
        <v>0</v>
      </c>
      <c r="I92" s="273" t="n">
        <f aca="false">SUM(BL47:BW47)*SUP_CONTROL!$C$26</f>
        <v>0</v>
      </c>
      <c r="J92" s="273" t="n">
        <f aca="false">SUM(BX47:CI47)*SUP_CONTROL!$C$26</f>
        <v>107151.067903829</v>
      </c>
      <c r="K92" s="273" t="n">
        <f aca="false">SUM(CJ47:CU47)*SUP_CONTROL!$C$26</f>
        <v>547154.389296146</v>
      </c>
      <c r="L92" s="273" t="n">
        <f aca="false">SUM(CV47:DG47)*SUP_CONTROL!$C$26</f>
        <v>547154.389296146</v>
      </c>
      <c r="M92" s="273" t="n">
        <f aca="false">SUM(DH47:DS47)*SUP_CONTROL!$C$26</f>
        <v>547154.389296146</v>
      </c>
      <c r="N92" s="268" t="n">
        <f aca="false">SUM(D92:M92)</f>
        <v>1748614.23579227</v>
      </c>
    </row>
    <row r="93" customFormat="false" ht="15" hidden="false" customHeight="true" outlineLevel="0" collapsed="false">
      <c r="B93" s="178" t="s">
        <v>240</v>
      </c>
      <c r="D93" s="268" t="n">
        <f aca="false">SUM(D53:D92)</f>
        <v>0</v>
      </c>
      <c r="E93" s="268" t="n">
        <f aca="false">SUM(E53:E92)</f>
        <v>654088.332442318</v>
      </c>
      <c r="F93" s="268" t="n">
        <f aca="false">SUM(F53:F92)</f>
        <v>2470410.20985051</v>
      </c>
      <c r="G93" s="268" t="n">
        <f aca="false">SUM(G53:G92)</f>
        <v>6198013.47742828</v>
      </c>
      <c r="H93" s="268" t="n">
        <f aca="false">SUM(H53:H92)</f>
        <v>9331031.45239968</v>
      </c>
      <c r="I93" s="268" t="n">
        <f aca="false">SUM(I53:I92)</f>
        <v>14200037.8585056</v>
      </c>
      <c r="J93" s="268" t="n">
        <f aca="false">SUM(J53:J92)</f>
        <v>20642375.0405768</v>
      </c>
      <c r="K93" s="268" t="n">
        <f aca="false">SUM(K53:K92)</f>
        <v>24438194.8359213</v>
      </c>
      <c r="L93" s="268" t="n">
        <f aca="false">SUM(L53:L92)</f>
        <v>24457801.2015377</v>
      </c>
      <c r="M93" s="268" t="n">
        <f aca="false">SUM(M53:M92)</f>
        <v>24457801.2015377</v>
      </c>
      <c r="N93" s="268" t="n">
        <f aca="false">SUM(N53:N92)</f>
        <v>126849753.6102</v>
      </c>
    </row>
    <row r="96" customFormat="false" ht="15" hidden="false" customHeight="true" outlineLevel="0" collapsed="false">
      <c r="A96" s="186" t="s">
        <v>3568</v>
      </c>
      <c r="B96" s="25"/>
      <c r="C96" s="25"/>
      <c r="D96" s="25"/>
      <c r="E96" s="25"/>
      <c r="F96" s="25"/>
      <c r="G96" s="25"/>
      <c r="H96" s="25"/>
      <c r="I96" s="25"/>
      <c r="J96" s="25"/>
      <c r="K96" s="25"/>
      <c r="L96" s="25"/>
      <c r="M96" s="25"/>
      <c r="N96" s="25"/>
    </row>
    <row r="97" customFormat="false" ht="15" hidden="false" customHeight="true" outlineLevel="0" collapsed="false">
      <c r="A97" s="178" t="s">
        <v>849</v>
      </c>
      <c r="B97" s="178" t="s">
        <v>3489</v>
      </c>
      <c r="D97" s="178" t="s">
        <v>1877</v>
      </c>
      <c r="E97" s="178" t="s">
        <v>1878</v>
      </c>
      <c r="F97" s="178" t="s">
        <v>1879</v>
      </c>
      <c r="G97" s="178" t="s">
        <v>1880</v>
      </c>
      <c r="H97" s="178" t="s">
        <v>1881</v>
      </c>
      <c r="I97" s="178" t="s">
        <v>1882</v>
      </c>
      <c r="J97" s="178" t="s">
        <v>1883</v>
      </c>
      <c r="K97" s="178" t="s">
        <v>1884</v>
      </c>
      <c r="L97" s="178" t="s">
        <v>1885</v>
      </c>
      <c r="M97" s="178" t="s">
        <v>1886</v>
      </c>
      <c r="N97" s="178" t="s">
        <v>240</v>
      </c>
    </row>
    <row r="98" customFormat="false" ht="15" hidden="false" customHeight="true" outlineLevel="0" collapsed="false">
      <c r="A98" s="298" t="n">
        <v>11</v>
      </c>
      <c r="B98" s="297" t="str">
        <f aca="false">B8</f>
        <v>V</v>
      </c>
      <c r="D98" s="273" t="n">
        <f aca="false">SUM(D8:O8)*SUP_CONTROL!$C$27</f>
        <v>0</v>
      </c>
      <c r="E98" s="273" t="n">
        <f aca="false">SUM(P8:AA8)*SUP_CONTROL!$C$27</f>
        <v>127720.305184474</v>
      </c>
      <c r="F98" s="273" t="n">
        <f aca="false">SUM(AB8:AM8)*SUP_CONTROL!$C$27</f>
        <v>281462.130490644</v>
      </c>
      <c r="G98" s="273" t="n">
        <f aca="false">SUM(AN8:AY8)*SUP_CONTROL!$C$27</f>
        <v>271912.948794608</v>
      </c>
      <c r="H98" s="273" t="n">
        <f aca="false">SUM(AZ8:BK8)*SUP_CONTROL!$C$27</f>
        <v>266660.898861789</v>
      </c>
      <c r="I98" s="273" t="n">
        <f aca="false">SUM(BL8:BW8)*SUP_CONTROL!$C$27</f>
        <v>254127.597885742</v>
      </c>
      <c r="J98" s="273" t="n">
        <f aca="false">SUM(BX8:CI8)*SUP_CONTROL!$C$27</f>
        <v>244220.321876106</v>
      </c>
      <c r="K98" s="273" t="n">
        <f aca="false">SUM(CJ8:CU8)*SUP_CONTROL!$C$27</f>
        <v>240639.378740092</v>
      </c>
      <c r="L98" s="273" t="n">
        <f aca="false">SUM(CV8:DG8)*SUP_CONTROL!$C$27</f>
        <v>240639.378740092</v>
      </c>
      <c r="M98" s="273" t="n">
        <f aca="false">SUM(DH8:DS8)*SUP_CONTROL!$C$27</f>
        <v>240639.378740092</v>
      </c>
      <c r="N98" s="268" t="n">
        <f aca="false">SUM(D98:M98)</f>
        <v>2168022.33931364</v>
      </c>
    </row>
    <row r="99" customFormat="false" ht="15" hidden="false" customHeight="true" outlineLevel="0" collapsed="false">
      <c r="A99" s="298" t="n">
        <v>12</v>
      </c>
      <c r="B99" s="297" t="str">
        <f aca="false">B9</f>
        <v>V</v>
      </c>
      <c r="D99" s="273" t="n">
        <f aca="false">SUM(D9:O9)*SUP_CONTROL!$C$27</f>
        <v>0</v>
      </c>
      <c r="E99" s="273" t="n">
        <f aca="false">SUM(P9:AA9)*SUP_CONTROL!$C$27</f>
        <v>103847.350944385</v>
      </c>
      <c r="F99" s="273" t="n">
        <f aca="false">SUM(AB9:AM9)*SUP_CONTROL!$C$27</f>
        <v>281462.130490644</v>
      </c>
      <c r="G99" s="273" t="n">
        <f aca="false">SUM(AN9:AY9)*SUP_CONTROL!$C$27</f>
        <v>271912.948794608</v>
      </c>
      <c r="H99" s="273" t="n">
        <f aca="false">SUM(AZ9:BK9)*SUP_CONTROL!$C$27</f>
        <v>266660.898861789</v>
      </c>
      <c r="I99" s="273" t="n">
        <f aca="false">SUM(BL9:BW9)*SUP_CONTROL!$C$27</f>
        <v>254127.597885742</v>
      </c>
      <c r="J99" s="273" t="n">
        <f aca="false">SUM(BX9:CI9)*SUP_CONTROL!$C$27</f>
        <v>244220.321876106</v>
      </c>
      <c r="K99" s="273" t="n">
        <f aca="false">SUM(CJ9:CU9)*SUP_CONTROL!$C$27</f>
        <v>240639.378740092</v>
      </c>
      <c r="L99" s="273" t="n">
        <f aca="false">SUM(CV9:DG9)*SUP_CONTROL!$C$27</f>
        <v>240639.378740092</v>
      </c>
      <c r="M99" s="273" t="n">
        <f aca="false">SUM(DH9:DS9)*SUP_CONTROL!$C$27</f>
        <v>240639.378740092</v>
      </c>
      <c r="N99" s="268" t="n">
        <f aca="false">SUM(D99:M99)</f>
        <v>2144149.38507355</v>
      </c>
    </row>
    <row r="100" customFormat="false" ht="15" hidden="false" customHeight="true" outlineLevel="0" collapsed="false">
      <c r="A100" s="298" t="n">
        <v>13</v>
      </c>
      <c r="B100" s="297" t="str">
        <f aca="false">B10</f>
        <v>V</v>
      </c>
      <c r="D100" s="273" t="n">
        <f aca="false">SUM(D10:O10)*SUP_CONTROL!$C$27</f>
        <v>0</v>
      </c>
      <c r="E100" s="273" t="n">
        <f aca="false">SUM(P10:AA10)*SUP_CONTROL!$C$27</f>
        <v>56101.442464208</v>
      </c>
      <c r="F100" s="273" t="n">
        <f aca="false">SUM(AB10:AM10)*SUP_CONTROL!$C$27</f>
        <v>281462.130490644</v>
      </c>
      <c r="G100" s="273" t="n">
        <f aca="false">SUM(AN10:AY10)*SUP_CONTROL!$C$27</f>
        <v>271912.948794608</v>
      </c>
      <c r="H100" s="273" t="n">
        <f aca="false">SUM(AZ10:BK10)*SUP_CONTROL!$C$27</f>
        <v>266660.898861789</v>
      </c>
      <c r="I100" s="273" t="n">
        <f aca="false">SUM(BL10:BW10)*SUP_CONTROL!$C$27</f>
        <v>254127.597885742</v>
      </c>
      <c r="J100" s="273" t="n">
        <f aca="false">SUM(BX10:CI10)*SUP_CONTROL!$C$27</f>
        <v>244220.321876106</v>
      </c>
      <c r="K100" s="273" t="n">
        <f aca="false">SUM(CJ10:CU10)*SUP_CONTROL!$C$27</f>
        <v>240639.378740092</v>
      </c>
      <c r="L100" s="273" t="n">
        <f aca="false">SUM(CV10:DG10)*SUP_CONTROL!$C$27</f>
        <v>240639.378740092</v>
      </c>
      <c r="M100" s="273" t="n">
        <f aca="false">SUM(DH10:DS10)*SUP_CONTROL!$C$27</f>
        <v>240639.378740092</v>
      </c>
      <c r="N100" s="268" t="n">
        <f aca="false">SUM(D100:M100)</f>
        <v>2096403.47659337</v>
      </c>
    </row>
    <row r="101" customFormat="false" ht="15" hidden="false" customHeight="true" outlineLevel="0" collapsed="false">
      <c r="A101" s="298" t="n">
        <v>14</v>
      </c>
      <c r="B101" s="297" t="str">
        <f aca="false">B11</f>
        <v>D</v>
      </c>
      <c r="D101" s="273" t="n">
        <f aca="false">SUM(D11:O11)*SUP_CONTROL!$C$27</f>
        <v>0</v>
      </c>
      <c r="E101" s="273" t="n">
        <f aca="false">SUM(P11:AA11)*SUP_CONTROL!$C$27</f>
        <v>0</v>
      </c>
      <c r="F101" s="273" t="n">
        <f aca="false">SUM(AB11:AM11)*SUP_CONTROL!$C$27</f>
        <v>130951.50954087</v>
      </c>
      <c r="G101" s="273" t="n">
        <f aca="false">SUM(AN11:AY11)*SUP_CONTROL!$C$27</f>
        <v>353486.833432991</v>
      </c>
      <c r="H101" s="273" t="n">
        <f aca="false">SUM(AZ11:BK11)*SUP_CONTROL!$C$27</f>
        <v>346659.168520325</v>
      </c>
      <c r="I101" s="273" t="n">
        <f aca="false">SUM(BL11:BW11)*SUP_CONTROL!$C$27</f>
        <v>330365.877251465</v>
      </c>
      <c r="J101" s="273" t="n">
        <f aca="false">SUM(BX11:CI11)*SUP_CONTROL!$C$27</f>
        <v>317486.418438937</v>
      </c>
      <c r="K101" s="273" t="n">
        <f aca="false">SUM(CJ11:CU11)*SUP_CONTROL!$C$27</f>
        <v>312831.19236212</v>
      </c>
      <c r="L101" s="273" t="n">
        <f aca="false">SUM(CV11:DG11)*SUP_CONTROL!$C$27</f>
        <v>312831.19236212</v>
      </c>
      <c r="M101" s="273" t="n">
        <f aca="false">SUM(DH11:DS11)*SUP_CONTROL!$C$27</f>
        <v>312831.19236212</v>
      </c>
      <c r="N101" s="268" t="n">
        <f aca="false">SUM(D101:M101)</f>
        <v>2417443.38427095</v>
      </c>
    </row>
    <row r="102" customFormat="false" ht="15" hidden="false" customHeight="true" outlineLevel="0" collapsed="false">
      <c r="A102" s="298" t="n">
        <v>15</v>
      </c>
      <c r="B102" s="297" t="str">
        <f aca="false">B12</f>
        <v>V</v>
      </c>
      <c r="D102" s="273" t="n">
        <f aca="false">SUM(D12:O12)*SUP_CONTROL!$C$27</f>
        <v>0</v>
      </c>
      <c r="E102" s="273" t="n">
        <f aca="false">SUM(P12:AA12)*SUP_CONTROL!$C$27</f>
        <v>0</v>
      </c>
      <c r="F102" s="273" t="n">
        <f aca="false">SUM(AB12:AM12)*SUP_CONTROL!$C$27</f>
        <v>77575.1648031676</v>
      </c>
      <c r="G102" s="273" t="n">
        <f aca="false">SUM(AN12:AY12)*SUP_CONTROL!$C$27</f>
        <v>271912.948794608</v>
      </c>
      <c r="H102" s="273" t="n">
        <f aca="false">SUM(AZ12:BK12)*SUP_CONTROL!$C$27</f>
        <v>266660.898861789</v>
      </c>
      <c r="I102" s="273" t="n">
        <f aca="false">SUM(BL12:BW12)*SUP_CONTROL!$C$27</f>
        <v>254127.597885742</v>
      </c>
      <c r="J102" s="273" t="n">
        <f aca="false">SUM(BX12:CI12)*SUP_CONTROL!$C$27</f>
        <v>244220.321876106</v>
      </c>
      <c r="K102" s="273" t="n">
        <f aca="false">SUM(CJ12:CU12)*SUP_CONTROL!$C$27</f>
        <v>240639.378740092</v>
      </c>
      <c r="L102" s="273" t="n">
        <f aca="false">SUM(CV12:DG12)*SUP_CONTROL!$C$27</f>
        <v>240639.378740092</v>
      </c>
      <c r="M102" s="273" t="n">
        <f aca="false">SUM(DH12:DS12)*SUP_CONTROL!$C$27</f>
        <v>240639.378740092</v>
      </c>
      <c r="N102" s="268" t="n">
        <f aca="false">SUM(D102:M102)</f>
        <v>1836415.06844169</v>
      </c>
    </row>
    <row r="103" customFormat="false" ht="15" hidden="false" customHeight="true" outlineLevel="0" collapsed="false">
      <c r="A103" s="298" t="n">
        <v>16</v>
      </c>
      <c r="B103" s="297" t="str">
        <f aca="false">B13</f>
        <v>V</v>
      </c>
      <c r="D103" s="273" t="n">
        <f aca="false">SUM(D13:O13)*SUP_CONTROL!$C$27</f>
        <v>0</v>
      </c>
      <c r="E103" s="273" t="n">
        <f aca="false">SUM(P13:AA13)*SUP_CONTROL!$C$27</f>
        <v>0</v>
      </c>
      <c r="F103" s="273" t="n">
        <f aca="false">SUM(AB13:AM13)*SUP_CONTROL!$C$27</f>
        <v>33577.3101386845</v>
      </c>
      <c r="G103" s="273" t="n">
        <f aca="false">SUM(AN13:AY13)*SUP_CONTROL!$C$27</f>
        <v>269597.27223332</v>
      </c>
      <c r="H103" s="273" t="n">
        <f aca="false">SUM(AZ13:BK13)*SUP_CONTROL!$C$27</f>
        <v>266660.898861789</v>
      </c>
      <c r="I103" s="273" t="n">
        <f aca="false">SUM(BL13:BW13)*SUP_CONTROL!$C$27</f>
        <v>254127.597885742</v>
      </c>
      <c r="J103" s="273" t="n">
        <f aca="false">SUM(BX13:CI13)*SUP_CONTROL!$C$27</f>
        <v>244220.321876106</v>
      </c>
      <c r="K103" s="273" t="n">
        <f aca="false">SUM(CJ13:CU13)*SUP_CONTROL!$C$27</f>
        <v>240639.378740092</v>
      </c>
      <c r="L103" s="273" t="n">
        <f aca="false">SUM(CV13:DG13)*SUP_CONTROL!$C$27</f>
        <v>240639.378740092</v>
      </c>
      <c r="M103" s="273" t="n">
        <f aca="false">SUM(DH13:DS13)*SUP_CONTROL!$C$27</f>
        <v>240639.378740092</v>
      </c>
      <c r="N103" s="268" t="n">
        <f aca="false">SUM(D103:M103)</f>
        <v>1790101.53721592</v>
      </c>
    </row>
    <row r="104" customFormat="false" ht="15" hidden="false" customHeight="true" outlineLevel="0" collapsed="false">
      <c r="A104" s="298" t="n">
        <v>17</v>
      </c>
      <c r="B104" s="297" t="str">
        <f aca="false">B14</f>
        <v>V</v>
      </c>
      <c r="D104" s="273" t="n">
        <f aca="false">SUM(D14:O14)*SUP_CONTROL!$C$27</f>
        <v>0</v>
      </c>
      <c r="E104" s="273" t="n">
        <f aca="false">SUM(P14:AA14)*SUP_CONTROL!$C$27</f>
        <v>0</v>
      </c>
      <c r="F104" s="273" t="n">
        <f aca="false">SUM(AB14:AM14)*SUP_CONTROL!$C$27</f>
        <v>0</v>
      </c>
      <c r="G104" s="273" t="n">
        <f aca="false">SUM(AN14:AY14)*SUP_CONTROL!$C$27</f>
        <v>256920.733531833</v>
      </c>
      <c r="H104" s="273" t="n">
        <f aca="false">SUM(AZ14:BK14)*SUP_CONTROL!$C$27</f>
        <v>266660.898861789</v>
      </c>
      <c r="I104" s="273" t="n">
        <f aca="false">SUM(BL14:BW14)*SUP_CONTROL!$C$27</f>
        <v>254127.597885742</v>
      </c>
      <c r="J104" s="273" t="n">
        <f aca="false">SUM(BX14:CI14)*SUP_CONTROL!$C$27</f>
        <v>244220.321876106</v>
      </c>
      <c r="K104" s="273" t="n">
        <f aca="false">SUM(CJ14:CU14)*SUP_CONTROL!$C$27</f>
        <v>240639.378740092</v>
      </c>
      <c r="L104" s="273" t="n">
        <f aca="false">SUM(CV14:DG14)*SUP_CONTROL!$C$27</f>
        <v>240639.378740092</v>
      </c>
      <c r="M104" s="273" t="n">
        <f aca="false">SUM(DH14:DS14)*SUP_CONTROL!$C$27</f>
        <v>240639.378740092</v>
      </c>
      <c r="N104" s="268" t="n">
        <f aca="false">SUM(D104:M104)</f>
        <v>1743847.68837575</v>
      </c>
    </row>
    <row r="105" customFormat="false" ht="15" hidden="false" customHeight="true" outlineLevel="0" collapsed="false">
      <c r="A105" s="298" t="n">
        <v>18</v>
      </c>
      <c r="B105" s="297" t="str">
        <f aca="false">B15</f>
        <v>D</v>
      </c>
      <c r="D105" s="273" t="n">
        <f aca="false">SUM(D15:O15)*SUP_CONTROL!$C$27</f>
        <v>0</v>
      </c>
      <c r="E105" s="273" t="n">
        <f aca="false">SUM(P15:AA15)*SUP_CONTROL!$C$27</f>
        <v>0</v>
      </c>
      <c r="F105" s="273" t="n">
        <f aca="false">SUM(AB15:AM15)*SUP_CONTROL!$C$27</f>
        <v>0</v>
      </c>
      <c r="G105" s="273" t="n">
        <f aca="false">SUM(AN15:AY15)*SUP_CONTROL!$C$27</f>
        <v>244888.167770972</v>
      </c>
      <c r="H105" s="273" t="n">
        <f aca="false">SUM(AZ15:BK15)*SUP_CONTROL!$C$27</f>
        <v>346659.168520325</v>
      </c>
      <c r="I105" s="273" t="n">
        <f aca="false">SUM(BL15:BW15)*SUP_CONTROL!$C$27</f>
        <v>330365.877251465</v>
      </c>
      <c r="J105" s="273" t="n">
        <f aca="false">SUM(BX15:CI15)*SUP_CONTROL!$C$27</f>
        <v>317486.418438937</v>
      </c>
      <c r="K105" s="273" t="n">
        <f aca="false">SUM(CJ15:CU15)*SUP_CONTROL!$C$27</f>
        <v>312831.19236212</v>
      </c>
      <c r="L105" s="273" t="n">
        <f aca="false">SUM(CV15:DG15)*SUP_CONTROL!$C$27</f>
        <v>312831.19236212</v>
      </c>
      <c r="M105" s="273" t="n">
        <f aca="false">SUM(DH15:DS15)*SUP_CONTROL!$C$27</f>
        <v>312831.19236212</v>
      </c>
      <c r="N105" s="268" t="n">
        <f aca="false">SUM(D105:M105)</f>
        <v>2177893.20906806</v>
      </c>
    </row>
    <row r="106" customFormat="false" ht="15" hidden="false" customHeight="true" outlineLevel="0" collapsed="false">
      <c r="A106" s="298" t="n">
        <v>19</v>
      </c>
      <c r="B106" s="297" t="str">
        <f aca="false">B16</f>
        <v>V</v>
      </c>
      <c r="D106" s="273" t="n">
        <f aca="false">SUM(D16:O16)*SUP_CONTROL!$C$27</f>
        <v>0</v>
      </c>
      <c r="E106" s="273" t="n">
        <f aca="false">SUM(P16:AA16)*SUP_CONTROL!$C$27</f>
        <v>0</v>
      </c>
      <c r="F106" s="273" t="n">
        <f aca="false">SUM(AB16:AM16)*SUP_CONTROL!$C$27</f>
        <v>0</v>
      </c>
      <c r="G106" s="273" t="n">
        <f aca="false">SUM(AN16:AY16)*SUP_CONTROL!$C$27</f>
        <v>165815.571913095</v>
      </c>
      <c r="H106" s="273" t="n">
        <f aca="false">SUM(AZ16:BK16)*SUP_CONTROL!$C$27</f>
        <v>266660.898861789</v>
      </c>
      <c r="I106" s="273" t="n">
        <f aca="false">SUM(BL16:BW16)*SUP_CONTROL!$C$27</f>
        <v>254127.597885742</v>
      </c>
      <c r="J106" s="273" t="n">
        <f aca="false">SUM(BX16:CI16)*SUP_CONTROL!$C$27</f>
        <v>244220.321876106</v>
      </c>
      <c r="K106" s="273" t="n">
        <f aca="false">SUM(CJ16:CU16)*SUP_CONTROL!$C$27</f>
        <v>240639.378740092</v>
      </c>
      <c r="L106" s="273" t="n">
        <f aca="false">SUM(CV16:DG16)*SUP_CONTROL!$C$27</f>
        <v>240639.378740092</v>
      </c>
      <c r="M106" s="273" t="n">
        <f aca="false">SUM(DH16:DS16)*SUP_CONTROL!$C$27</f>
        <v>240639.378740092</v>
      </c>
      <c r="N106" s="268" t="n">
        <f aca="false">SUM(D106:M106)</f>
        <v>1652742.52675701</v>
      </c>
    </row>
    <row r="107" customFormat="false" ht="15" hidden="false" customHeight="true" outlineLevel="0" collapsed="false">
      <c r="A107" s="298" t="n">
        <v>20</v>
      </c>
      <c r="B107" s="297" t="str">
        <f aca="false">B17</f>
        <v>V</v>
      </c>
      <c r="D107" s="273" t="n">
        <f aca="false">SUM(D17:O17)*SUP_CONTROL!$C$27</f>
        <v>0</v>
      </c>
      <c r="E107" s="273" t="n">
        <f aca="false">SUM(P17:AA17)*SUP_CONTROL!$C$27</f>
        <v>0</v>
      </c>
      <c r="F107" s="273" t="n">
        <f aca="false">SUM(AB17:AM17)*SUP_CONTROL!$C$27</f>
        <v>0</v>
      </c>
      <c r="G107" s="273" t="n">
        <f aca="false">SUM(AN17:AY17)*SUP_CONTROL!$C$27</f>
        <v>143255.630156211</v>
      </c>
      <c r="H107" s="273" t="n">
        <f aca="false">SUM(AZ17:BK17)*SUP_CONTROL!$C$27</f>
        <v>266660.898861789</v>
      </c>
      <c r="I107" s="273" t="n">
        <f aca="false">SUM(BL17:BW17)*SUP_CONTROL!$C$27</f>
        <v>254127.597885742</v>
      </c>
      <c r="J107" s="273" t="n">
        <f aca="false">SUM(BX17:CI17)*SUP_CONTROL!$C$27</f>
        <v>244220.321876106</v>
      </c>
      <c r="K107" s="273" t="n">
        <f aca="false">SUM(CJ17:CU17)*SUP_CONTROL!$C$27</f>
        <v>240639.378740092</v>
      </c>
      <c r="L107" s="273" t="n">
        <f aca="false">SUM(CV17:DG17)*SUP_CONTROL!$C$27</f>
        <v>240639.378740092</v>
      </c>
      <c r="M107" s="273" t="n">
        <f aca="false">SUM(DH17:DS17)*SUP_CONTROL!$C$27</f>
        <v>240639.378740092</v>
      </c>
      <c r="N107" s="268" t="n">
        <f aca="false">SUM(D107:M107)</f>
        <v>1630182.58500012</v>
      </c>
    </row>
    <row r="108" customFormat="false" ht="15" hidden="false" customHeight="true" outlineLevel="0" collapsed="false">
      <c r="A108" s="298" t="n">
        <v>21</v>
      </c>
      <c r="B108" s="297" t="str">
        <f aca="false">B18</f>
        <v>V</v>
      </c>
      <c r="D108" s="273" t="n">
        <f aca="false">SUM(D18:O18)*SUP_CONTROL!$C$27</f>
        <v>0</v>
      </c>
      <c r="E108" s="273" t="n">
        <f aca="false">SUM(P18:AA18)*SUP_CONTROL!$C$27</f>
        <v>0</v>
      </c>
      <c r="F108" s="273" t="n">
        <f aca="false">SUM(AB18:AM18)*SUP_CONTROL!$C$27</f>
        <v>0</v>
      </c>
      <c r="G108" s="273" t="n">
        <f aca="false">SUM(AN18:AY18)*SUP_CONTROL!$C$27</f>
        <v>120695.688399328</v>
      </c>
      <c r="H108" s="273" t="n">
        <f aca="false">SUM(AZ18:BK18)*SUP_CONTROL!$C$27</f>
        <v>266660.898861789</v>
      </c>
      <c r="I108" s="273" t="n">
        <f aca="false">SUM(BL18:BW18)*SUP_CONTROL!$C$27</f>
        <v>254127.597885742</v>
      </c>
      <c r="J108" s="273" t="n">
        <f aca="false">SUM(BX18:CI18)*SUP_CONTROL!$C$27</f>
        <v>244220.321876106</v>
      </c>
      <c r="K108" s="273" t="n">
        <f aca="false">SUM(CJ18:CU18)*SUP_CONTROL!$C$27</f>
        <v>240639.378740092</v>
      </c>
      <c r="L108" s="273" t="n">
        <f aca="false">SUM(CV18:DG18)*SUP_CONTROL!$C$27</f>
        <v>240639.378740092</v>
      </c>
      <c r="M108" s="273" t="n">
        <f aca="false">SUM(DH18:DS18)*SUP_CONTROL!$C$27</f>
        <v>240639.378740092</v>
      </c>
      <c r="N108" s="268" t="n">
        <f aca="false">SUM(D108:M108)</f>
        <v>1607622.64324324</v>
      </c>
    </row>
    <row r="109" customFormat="false" ht="15" hidden="false" customHeight="true" outlineLevel="0" collapsed="false">
      <c r="A109" s="298" t="n">
        <v>22</v>
      </c>
      <c r="B109" s="297" t="str">
        <f aca="false">B19</f>
        <v>D</v>
      </c>
      <c r="D109" s="273" t="n">
        <f aca="false">SUM(D19:O19)*SUP_CONTROL!$C$27</f>
        <v>0</v>
      </c>
      <c r="E109" s="273" t="n">
        <f aca="false">SUM(P19:AA19)*SUP_CONTROL!$C$27</f>
        <v>0</v>
      </c>
      <c r="F109" s="273" t="n">
        <f aca="false">SUM(AB19:AM19)*SUP_CONTROL!$C$27</f>
        <v>0</v>
      </c>
      <c r="G109" s="273" t="n">
        <f aca="false">SUM(AN19:AY19)*SUP_CONTROL!$C$27</f>
        <v>68920.6220672796</v>
      </c>
      <c r="H109" s="273" t="n">
        <f aca="false">SUM(AZ19:BK19)*SUP_CONTROL!$C$27</f>
        <v>346659.168520325</v>
      </c>
      <c r="I109" s="273" t="n">
        <f aca="false">SUM(BL19:BW19)*SUP_CONTROL!$C$27</f>
        <v>330365.877251465</v>
      </c>
      <c r="J109" s="273" t="n">
        <f aca="false">SUM(BX19:CI19)*SUP_CONTROL!$C$27</f>
        <v>317486.418438937</v>
      </c>
      <c r="K109" s="273" t="n">
        <f aca="false">SUM(CJ19:CU19)*SUP_CONTROL!$C$27</f>
        <v>312831.19236212</v>
      </c>
      <c r="L109" s="273" t="n">
        <f aca="false">SUM(CV19:DG19)*SUP_CONTROL!$C$27</f>
        <v>312831.19236212</v>
      </c>
      <c r="M109" s="273" t="n">
        <f aca="false">SUM(DH19:DS19)*SUP_CONTROL!$C$27</f>
        <v>312831.19236212</v>
      </c>
      <c r="N109" s="268" t="n">
        <f aca="false">SUM(D109:M109)</f>
        <v>2001925.66336437</v>
      </c>
    </row>
    <row r="110" customFormat="false" ht="15" hidden="false" customHeight="true" outlineLevel="0" collapsed="false">
      <c r="A110" s="298" t="n">
        <v>23</v>
      </c>
      <c r="B110" s="297" t="str">
        <f aca="false">B20</f>
        <v>V</v>
      </c>
      <c r="D110" s="273" t="n">
        <f aca="false">SUM(D20:O20)*SUP_CONTROL!$C$27</f>
        <v>0</v>
      </c>
      <c r="E110" s="273" t="n">
        <f aca="false">SUM(P20:AA20)*SUP_CONTROL!$C$27</f>
        <v>0</v>
      </c>
      <c r="F110" s="273" t="n">
        <f aca="false">SUM(AB20:AM20)*SUP_CONTROL!$C$27</f>
        <v>0</v>
      </c>
      <c r="G110" s="273" t="n">
        <f aca="false">SUM(AN20:AY20)*SUP_CONTROL!$C$27</f>
        <v>14663.9621419744</v>
      </c>
      <c r="H110" s="273" t="n">
        <f aca="false">SUM(AZ20:BK20)*SUP_CONTROL!$C$27</f>
        <v>259892.916334724</v>
      </c>
      <c r="I110" s="273" t="n">
        <f aca="false">SUM(BL20:BW20)*SUP_CONTROL!$C$27</f>
        <v>254127.597885742</v>
      </c>
      <c r="J110" s="273" t="n">
        <f aca="false">SUM(BX20:CI20)*SUP_CONTROL!$C$27</f>
        <v>244220.321876106</v>
      </c>
      <c r="K110" s="273" t="n">
        <f aca="false">SUM(CJ20:CU20)*SUP_CONTROL!$C$27</f>
        <v>240639.378740092</v>
      </c>
      <c r="L110" s="273" t="n">
        <f aca="false">SUM(CV20:DG20)*SUP_CONTROL!$C$27</f>
        <v>240639.378740092</v>
      </c>
      <c r="M110" s="273" t="n">
        <f aca="false">SUM(DH20:DS20)*SUP_CONTROL!$C$27</f>
        <v>240639.378740092</v>
      </c>
      <c r="N110" s="268" t="n">
        <f aca="false">SUM(D110:M110)</f>
        <v>1494822.93445882</v>
      </c>
    </row>
    <row r="111" customFormat="false" ht="15" hidden="false" customHeight="true" outlineLevel="0" collapsed="false">
      <c r="A111" s="298" t="n">
        <v>24</v>
      </c>
      <c r="B111" s="297" t="str">
        <f aca="false">B21</f>
        <v>V</v>
      </c>
      <c r="D111" s="273" t="n">
        <f aca="false">SUM(D21:O21)*SUP_CONTROL!$C$27</f>
        <v>0</v>
      </c>
      <c r="E111" s="273" t="n">
        <f aca="false">SUM(P21:AA21)*SUP_CONTROL!$C$27</f>
        <v>0</v>
      </c>
      <c r="F111" s="273" t="n">
        <f aca="false">SUM(AB21:AM21)*SUP_CONTROL!$C$27</f>
        <v>0</v>
      </c>
      <c r="G111" s="273" t="n">
        <f aca="false">SUM(AN21:AY21)*SUP_CONTROL!$C$27</f>
        <v>0</v>
      </c>
      <c r="H111" s="273" t="n">
        <f aca="false">SUM(AZ21:BK21)*SUP_CONTROL!$C$27</f>
        <v>251996.936719814</v>
      </c>
      <c r="I111" s="273" t="n">
        <f aca="false">SUM(BL21:BW21)*SUP_CONTROL!$C$27</f>
        <v>254127.597885742</v>
      </c>
      <c r="J111" s="273" t="n">
        <f aca="false">SUM(BX21:CI21)*SUP_CONTROL!$C$27</f>
        <v>244220.321876106</v>
      </c>
      <c r="K111" s="273" t="n">
        <f aca="false">SUM(CJ21:CU21)*SUP_CONTROL!$C$27</f>
        <v>240639.378740092</v>
      </c>
      <c r="L111" s="273" t="n">
        <f aca="false">SUM(CV21:DG21)*SUP_CONTROL!$C$27</f>
        <v>240639.378740092</v>
      </c>
      <c r="M111" s="273" t="n">
        <f aca="false">SUM(DH21:DS21)*SUP_CONTROL!$C$27</f>
        <v>240639.378740092</v>
      </c>
      <c r="N111" s="268" t="n">
        <f aca="false">SUM(D111:M111)</f>
        <v>1472262.99270194</v>
      </c>
    </row>
    <row r="112" customFormat="false" ht="15" hidden="false" customHeight="true" outlineLevel="0" collapsed="false">
      <c r="A112" s="298" t="n">
        <v>25</v>
      </c>
      <c r="B112" s="297" t="str">
        <f aca="false">B22</f>
        <v>F</v>
      </c>
      <c r="D112" s="273" t="n">
        <f aca="false">SUM(D22:O22)*SUP_CONTROL!$C$27</f>
        <v>0</v>
      </c>
      <c r="E112" s="273" t="n">
        <f aca="false">SUM(P22:AA22)*SUP_CONTROL!$C$27</f>
        <v>0</v>
      </c>
      <c r="F112" s="273" t="n">
        <f aca="false">SUM(AB22:AM22)*SUP_CONTROL!$C$27</f>
        <v>0</v>
      </c>
      <c r="G112" s="273" t="n">
        <f aca="false">SUM(AN22:AY22)*SUP_CONTROL!$C$27</f>
        <v>0</v>
      </c>
      <c r="H112" s="273" t="n">
        <f aca="false">SUM(AZ22:BK22)*SUP_CONTROL!$C$27</f>
        <v>102367.2277815</v>
      </c>
      <c r="I112" s="273" t="n">
        <f aca="false">SUM(BL22:BW22)*SUP_CONTROL!$C$27</f>
        <v>508255.195771485</v>
      </c>
      <c r="J112" s="273" t="n">
        <f aca="false">SUM(BX22:CI22)*SUP_CONTROL!$C$27</f>
        <v>488440.643752211</v>
      </c>
      <c r="K112" s="273" t="n">
        <f aca="false">SUM(CJ22:CU22)*SUP_CONTROL!$C$27</f>
        <v>481278.757480185</v>
      </c>
      <c r="L112" s="273" t="n">
        <f aca="false">SUM(CV22:DG22)*SUP_CONTROL!$C$27</f>
        <v>481278.757480185</v>
      </c>
      <c r="M112" s="273" t="n">
        <f aca="false">SUM(DH22:DS22)*SUP_CONTROL!$C$27</f>
        <v>481278.757480185</v>
      </c>
      <c r="N112" s="268" t="n">
        <f aca="false">SUM(D112:M112)</f>
        <v>2542899.33974575</v>
      </c>
    </row>
    <row r="113" customFormat="false" ht="15" hidden="false" customHeight="true" outlineLevel="0" collapsed="false">
      <c r="A113" s="298" t="n">
        <v>26</v>
      </c>
      <c r="B113" s="297" t="str">
        <f aca="false">B23</f>
        <v>V</v>
      </c>
      <c r="D113" s="273" t="n">
        <f aca="false">SUM(D23:O23)*SUP_CONTROL!$C$27</f>
        <v>0</v>
      </c>
      <c r="E113" s="273" t="n">
        <f aca="false">SUM(P23:AA23)*SUP_CONTROL!$C$27</f>
        <v>0</v>
      </c>
      <c r="F113" s="273" t="n">
        <f aca="false">SUM(AB23:AM23)*SUP_CONTROL!$C$27</f>
        <v>0</v>
      </c>
      <c r="G113" s="273" t="n">
        <f aca="false">SUM(AN23:AY23)*SUP_CONTROL!$C$27</f>
        <v>0</v>
      </c>
      <c r="H113" s="273" t="n">
        <f aca="false">SUM(AZ23:BK23)*SUP_CONTROL!$C$27</f>
        <v>31464.5536884367</v>
      </c>
      <c r="I113" s="273" t="n">
        <f aca="false">SUM(BL23:BW23)*SUP_CONTROL!$C$27</f>
        <v>251979.032004134</v>
      </c>
      <c r="J113" s="273" t="n">
        <f aca="false">SUM(BX23:CI23)*SUP_CONTROL!$C$27</f>
        <v>244220.321876106</v>
      </c>
      <c r="K113" s="273" t="n">
        <f aca="false">SUM(CJ23:CU23)*SUP_CONTROL!$C$27</f>
        <v>240639.378740092</v>
      </c>
      <c r="L113" s="273" t="n">
        <f aca="false">SUM(CV23:DG23)*SUP_CONTROL!$C$27</f>
        <v>240639.378740092</v>
      </c>
      <c r="M113" s="273" t="n">
        <f aca="false">SUM(DH23:DS23)*SUP_CONTROL!$C$27</f>
        <v>240639.378740092</v>
      </c>
      <c r="N113" s="268" t="n">
        <f aca="false">SUM(D113:M113)</f>
        <v>1249582.04378895</v>
      </c>
    </row>
    <row r="114" customFormat="false" ht="15" hidden="false" customHeight="true" outlineLevel="0" collapsed="false">
      <c r="A114" s="298" t="n">
        <v>27</v>
      </c>
      <c r="B114" s="297" t="str">
        <f aca="false">B24</f>
        <v>D</v>
      </c>
      <c r="D114" s="273" t="n">
        <f aca="false">SUM(D24:O24)*SUP_CONTROL!$C$27</f>
        <v>0</v>
      </c>
      <c r="E114" s="273" t="n">
        <f aca="false">SUM(P24:AA24)*SUP_CONTROL!$C$27</f>
        <v>0</v>
      </c>
      <c r="F114" s="273" t="n">
        <f aca="false">SUM(AB24:AM24)*SUP_CONTROL!$C$27</f>
        <v>0</v>
      </c>
      <c r="G114" s="273" t="n">
        <f aca="false">SUM(AN24:AY24)*SUP_CONTROL!$C$27</f>
        <v>0</v>
      </c>
      <c r="H114" s="273" t="n">
        <f aca="false">SUM(AZ24:BK24)*SUP_CONTROL!$C$27</f>
        <v>18155.3816995873</v>
      </c>
      <c r="I114" s="273" t="n">
        <f aca="false">SUM(BL24:BW24)*SUP_CONTROL!$C$27</f>
        <v>321986.470313194</v>
      </c>
      <c r="J114" s="273" t="n">
        <f aca="false">SUM(BX24:CI24)*SUP_CONTROL!$C$27</f>
        <v>317486.418438937</v>
      </c>
      <c r="K114" s="273" t="n">
        <f aca="false">SUM(CJ24:CU24)*SUP_CONTROL!$C$27</f>
        <v>312831.19236212</v>
      </c>
      <c r="L114" s="273" t="n">
        <f aca="false">SUM(CV24:DG24)*SUP_CONTROL!$C$27</f>
        <v>312831.19236212</v>
      </c>
      <c r="M114" s="273" t="n">
        <f aca="false">SUM(DH24:DS24)*SUP_CONTROL!$C$27</f>
        <v>312831.19236212</v>
      </c>
      <c r="N114" s="268" t="n">
        <f aca="false">SUM(D114:M114)</f>
        <v>1596121.84753808</v>
      </c>
    </row>
    <row r="115" customFormat="false" ht="15" hidden="false" customHeight="true" outlineLevel="0" collapsed="false">
      <c r="A115" s="298" t="n">
        <v>28</v>
      </c>
      <c r="B115" s="297" t="str">
        <f aca="false">B25</f>
        <v>V</v>
      </c>
      <c r="D115" s="273" t="n">
        <f aca="false">SUM(D25:O25)*SUP_CONTROL!$C$27</f>
        <v>0</v>
      </c>
      <c r="E115" s="273" t="n">
        <f aca="false">SUM(P25:AA25)*SUP_CONTROL!$C$27</f>
        <v>0</v>
      </c>
      <c r="F115" s="273" t="n">
        <f aca="false">SUM(AB25:AM25)*SUP_CONTROL!$C$27</f>
        <v>0</v>
      </c>
      <c r="G115" s="273" t="n">
        <f aca="false">SUM(AN25:AY25)*SUP_CONTROL!$C$27</f>
        <v>0</v>
      </c>
      <c r="H115" s="273" t="n">
        <f aca="false">SUM(AZ25:BK25)*SUP_CONTROL!$C$27</f>
        <v>0</v>
      </c>
      <c r="I115" s="273" t="n">
        <f aca="false">SUM(BL25:BW25)*SUP_CONTROL!$C$27</f>
        <v>240161.91965529</v>
      </c>
      <c r="J115" s="273" t="n">
        <f aca="false">SUM(BX25:CI25)*SUP_CONTROL!$C$27</f>
        <v>244220.321876106</v>
      </c>
      <c r="K115" s="273" t="n">
        <f aca="false">SUM(CJ25:CU25)*SUP_CONTROL!$C$27</f>
        <v>240639.378740092</v>
      </c>
      <c r="L115" s="273" t="n">
        <f aca="false">SUM(CV25:DG25)*SUP_CONTROL!$C$27</f>
        <v>240639.378740092</v>
      </c>
      <c r="M115" s="273" t="n">
        <f aca="false">SUM(DH25:DS25)*SUP_CONTROL!$C$27</f>
        <v>240639.378740092</v>
      </c>
      <c r="N115" s="268" t="n">
        <f aca="false">SUM(D115:M115)</f>
        <v>1206300.37775167</v>
      </c>
    </row>
    <row r="116" customFormat="false" ht="15" hidden="false" customHeight="true" outlineLevel="0" collapsed="false">
      <c r="A116" s="298" t="n">
        <v>29</v>
      </c>
      <c r="B116" s="297" t="str">
        <f aca="false">B26</f>
        <v>V</v>
      </c>
      <c r="D116" s="273" t="n">
        <f aca="false">SUM(D26:O26)*SUP_CONTROL!$C$27</f>
        <v>0</v>
      </c>
      <c r="E116" s="273" t="n">
        <f aca="false">SUM(P26:AA26)*SUP_CONTROL!$C$27</f>
        <v>0</v>
      </c>
      <c r="F116" s="273" t="n">
        <f aca="false">SUM(AB26:AM26)*SUP_CONTROL!$C$27</f>
        <v>0</v>
      </c>
      <c r="G116" s="273" t="n">
        <f aca="false">SUM(AN26:AY26)*SUP_CONTROL!$C$27</f>
        <v>0</v>
      </c>
      <c r="H116" s="273" t="n">
        <f aca="false">SUM(AZ26:BK26)*SUP_CONTROL!$C$27</f>
        <v>0</v>
      </c>
      <c r="I116" s="273" t="n">
        <f aca="false">SUM(BL26:BW26)*SUP_CONTROL!$C$27</f>
        <v>218676.260839211</v>
      </c>
      <c r="J116" s="273" t="n">
        <f aca="false">SUM(BX26:CI26)*SUP_CONTROL!$C$27</f>
        <v>244220.321876106</v>
      </c>
      <c r="K116" s="273" t="n">
        <f aca="false">SUM(CJ26:CU26)*SUP_CONTROL!$C$27</f>
        <v>240639.378740092</v>
      </c>
      <c r="L116" s="273" t="n">
        <f aca="false">SUM(CV26:DG26)*SUP_CONTROL!$C$27</f>
        <v>240639.378740092</v>
      </c>
      <c r="M116" s="273" t="n">
        <f aca="false">SUM(DH26:DS26)*SUP_CONTROL!$C$27</f>
        <v>240639.378740092</v>
      </c>
      <c r="N116" s="268" t="n">
        <f aca="false">SUM(D116:M116)</f>
        <v>1184814.71893559</v>
      </c>
    </row>
    <row r="117" customFormat="false" ht="15" hidden="false" customHeight="true" outlineLevel="0" collapsed="false">
      <c r="A117" s="298" t="n">
        <v>30</v>
      </c>
      <c r="B117" s="297" t="str">
        <f aca="false">B27</f>
        <v>V</v>
      </c>
      <c r="D117" s="273" t="n">
        <f aca="false">SUM(D27:O27)*SUP_CONTROL!$C$27</f>
        <v>0</v>
      </c>
      <c r="E117" s="273" t="n">
        <f aca="false">SUM(P27:AA27)*SUP_CONTROL!$C$27</f>
        <v>0</v>
      </c>
      <c r="F117" s="273" t="n">
        <f aca="false">SUM(AB27:AM27)*SUP_CONTROL!$C$27</f>
        <v>0</v>
      </c>
      <c r="G117" s="273" t="n">
        <f aca="false">SUM(AN27:AY27)*SUP_CONTROL!$C$27</f>
        <v>0</v>
      </c>
      <c r="H117" s="273" t="n">
        <f aca="false">SUM(AZ27:BK27)*SUP_CONTROL!$C$27</f>
        <v>0</v>
      </c>
      <c r="I117" s="273" t="n">
        <f aca="false">SUM(BL27:BW27)*SUP_CONTROL!$C$27</f>
        <v>197190.602023131</v>
      </c>
      <c r="J117" s="273" t="n">
        <f aca="false">SUM(BX27:CI27)*SUP_CONTROL!$C$27</f>
        <v>244220.321876106</v>
      </c>
      <c r="K117" s="273" t="n">
        <f aca="false">SUM(CJ27:CU27)*SUP_CONTROL!$C$27</f>
        <v>240639.378740092</v>
      </c>
      <c r="L117" s="273" t="n">
        <f aca="false">SUM(CV27:DG27)*SUP_CONTROL!$C$27</f>
        <v>240639.378740092</v>
      </c>
      <c r="M117" s="273" t="n">
        <f aca="false">SUM(DH27:DS27)*SUP_CONTROL!$C$27</f>
        <v>240639.378740092</v>
      </c>
      <c r="N117" s="268" t="n">
        <f aca="false">SUM(D117:M117)</f>
        <v>1163329.06011951</v>
      </c>
    </row>
    <row r="118" customFormat="false" ht="15" hidden="false" customHeight="true" outlineLevel="0" collapsed="false">
      <c r="A118" s="298" t="n">
        <v>31</v>
      </c>
      <c r="B118" s="297" t="str">
        <f aca="false">B28</f>
        <v>D</v>
      </c>
      <c r="D118" s="273" t="n">
        <f aca="false">SUM(D28:O28)*SUP_CONTROL!$C$27</f>
        <v>0</v>
      </c>
      <c r="E118" s="273" t="n">
        <f aca="false">SUM(P28:AA28)*SUP_CONTROL!$C$27</f>
        <v>0</v>
      </c>
      <c r="F118" s="273" t="n">
        <f aca="false">SUM(AB28:AM28)*SUP_CONTROL!$C$27</f>
        <v>0</v>
      </c>
      <c r="G118" s="273" t="n">
        <f aca="false">SUM(AN28:AY28)*SUP_CONTROL!$C$27</f>
        <v>0</v>
      </c>
      <c r="H118" s="273" t="n">
        <f aca="false">SUM(AZ28:BK28)*SUP_CONTROL!$C$27</f>
        <v>0</v>
      </c>
      <c r="I118" s="273" t="n">
        <f aca="false">SUM(BL28:BW28)*SUP_CONTROL!$C$27</f>
        <v>200671.278751336</v>
      </c>
      <c r="J118" s="273" t="n">
        <f aca="false">SUM(BX28:CI28)*SUP_CONTROL!$C$27</f>
        <v>317486.418438937</v>
      </c>
      <c r="K118" s="273" t="n">
        <f aca="false">SUM(CJ28:CU28)*SUP_CONTROL!$C$27</f>
        <v>312831.19236212</v>
      </c>
      <c r="L118" s="273" t="n">
        <f aca="false">SUM(CV28:DG28)*SUP_CONTROL!$C$27</f>
        <v>312831.19236212</v>
      </c>
      <c r="M118" s="273" t="n">
        <f aca="false">SUM(DH28:DS28)*SUP_CONTROL!$C$27</f>
        <v>312831.19236212</v>
      </c>
      <c r="N118" s="268" t="n">
        <f aca="false">SUM(D118:M118)</f>
        <v>1456651.27427663</v>
      </c>
    </row>
    <row r="119" customFormat="false" ht="15" hidden="false" customHeight="true" outlineLevel="0" collapsed="false">
      <c r="A119" s="298" t="n">
        <v>32</v>
      </c>
      <c r="B119" s="297" t="str">
        <f aca="false">B29</f>
        <v>V</v>
      </c>
      <c r="D119" s="273" t="n">
        <f aca="false">SUM(D29:O29)*SUP_CONTROL!$C$27</f>
        <v>0</v>
      </c>
      <c r="E119" s="273" t="n">
        <f aca="false">SUM(P29:AA29)*SUP_CONTROL!$C$27</f>
        <v>0</v>
      </c>
      <c r="F119" s="273" t="n">
        <f aca="false">SUM(AB29:AM29)*SUP_CONTROL!$C$27</f>
        <v>0</v>
      </c>
      <c r="G119" s="273" t="n">
        <f aca="false">SUM(AN29:AY29)*SUP_CONTROL!$C$27</f>
        <v>0</v>
      </c>
      <c r="H119" s="273" t="n">
        <f aca="false">SUM(AZ29:BK29)*SUP_CONTROL!$C$27</f>
        <v>0</v>
      </c>
      <c r="I119" s="273" t="n">
        <f aca="false">SUM(BL29:BW29)*SUP_CONTROL!$C$27</f>
        <v>133043.973980013</v>
      </c>
      <c r="J119" s="273" t="n">
        <f aca="false">SUM(BX29:CI29)*SUP_CONTROL!$C$27</f>
        <v>244220.321876106</v>
      </c>
      <c r="K119" s="273" t="n">
        <f aca="false">SUM(CJ29:CU29)*SUP_CONTROL!$C$27</f>
        <v>240639.378740092</v>
      </c>
      <c r="L119" s="273" t="n">
        <f aca="false">SUM(CV29:DG29)*SUP_CONTROL!$C$27</f>
        <v>240639.378740092</v>
      </c>
      <c r="M119" s="273" t="n">
        <f aca="false">SUM(DH29:DS29)*SUP_CONTROL!$C$27</f>
        <v>240639.378740092</v>
      </c>
      <c r="N119" s="268" t="n">
        <f aca="false">SUM(D119:M119)</f>
        <v>1099182.4320764</v>
      </c>
    </row>
    <row r="120" customFormat="false" ht="15" hidden="false" customHeight="true" outlineLevel="0" collapsed="false">
      <c r="A120" s="298" t="n">
        <v>33</v>
      </c>
      <c r="B120" s="297" t="str">
        <f aca="false">B30</f>
        <v>V</v>
      </c>
      <c r="D120" s="273" t="n">
        <f aca="false">SUM(D30:O30)*SUP_CONTROL!$C$27</f>
        <v>0</v>
      </c>
      <c r="E120" s="273" t="n">
        <f aca="false">SUM(P30:AA30)*SUP_CONTROL!$C$27</f>
        <v>0</v>
      </c>
      <c r="F120" s="273" t="n">
        <f aca="false">SUM(AB30:AM30)*SUP_CONTROL!$C$27</f>
        <v>0</v>
      </c>
      <c r="G120" s="273" t="n">
        <f aca="false">SUM(AN30:AY30)*SUP_CONTROL!$C$27</f>
        <v>0</v>
      </c>
      <c r="H120" s="273" t="n">
        <f aca="false">SUM(AZ30:BK30)*SUP_CONTROL!$C$27</f>
        <v>0</v>
      </c>
      <c r="I120" s="273" t="n">
        <f aca="false">SUM(BL30:BW30)*SUP_CONTROL!$C$27</f>
        <v>112035.774248735</v>
      </c>
      <c r="J120" s="273" t="n">
        <f aca="false">SUM(BX30:CI30)*SUP_CONTROL!$C$27</f>
        <v>244220.321876106</v>
      </c>
      <c r="K120" s="273" t="n">
        <f aca="false">SUM(CJ30:CU30)*SUP_CONTROL!$C$27</f>
        <v>240639.378740092</v>
      </c>
      <c r="L120" s="273" t="n">
        <f aca="false">SUM(CV30:DG30)*SUP_CONTROL!$C$27</f>
        <v>240639.378740092</v>
      </c>
      <c r="M120" s="273" t="n">
        <f aca="false">SUM(DH30:DS30)*SUP_CONTROL!$C$27</f>
        <v>240639.378740092</v>
      </c>
      <c r="N120" s="268" t="n">
        <f aca="false">SUM(D120:M120)</f>
        <v>1078174.23234512</v>
      </c>
    </row>
    <row r="121" customFormat="false" ht="15" hidden="false" customHeight="true" outlineLevel="0" collapsed="false">
      <c r="A121" s="298" t="n">
        <v>34</v>
      </c>
      <c r="B121" s="297" t="str">
        <f aca="false">B31</f>
        <v>V</v>
      </c>
      <c r="D121" s="273" t="n">
        <f aca="false">SUM(D31:O31)*SUP_CONTROL!$C$27</f>
        <v>0</v>
      </c>
      <c r="E121" s="273" t="n">
        <f aca="false">SUM(P31:AA31)*SUP_CONTROL!$C$27</f>
        <v>0</v>
      </c>
      <c r="F121" s="273" t="n">
        <f aca="false">SUM(AB31:AM31)*SUP_CONTROL!$C$27</f>
        <v>0</v>
      </c>
      <c r="G121" s="273" t="n">
        <f aca="false">SUM(AN31:AY31)*SUP_CONTROL!$C$27</f>
        <v>0</v>
      </c>
      <c r="H121" s="273" t="n">
        <f aca="false">SUM(AZ31:BK31)*SUP_CONTROL!$C$27</f>
        <v>0</v>
      </c>
      <c r="I121" s="273" t="n">
        <f aca="false">SUM(BL31:BW31)*SUP_CONTROL!$C$27</f>
        <v>91027.5745174575</v>
      </c>
      <c r="J121" s="273" t="n">
        <f aca="false">SUM(BX31:CI31)*SUP_CONTROL!$C$27</f>
        <v>244220.321876106</v>
      </c>
      <c r="K121" s="273" t="n">
        <f aca="false">SUM(CJ31:CU31)*SUP_CONTROL!$C$27</f>
        <v>240639.378740092</v>
      </c>
      <c r="L121" s="273" t="n">
        <f aca="false">SUM(CV31:DG31)*SUP_CONTROL!$C$27</f>
        <v>240639.378740092</v>
      </c>
      <c r="M121" s="273" t="n">
        <f aca="false">SUM(DH31:DS31)*SUP_CONTROL!$C$27</f>
        <v>240639.378740092</v>
      </c>
      <c r="N121" s="268" t="n">
        <f aca="false">SUM(D121:M121)</f>
        <v>1057166.03261384</v>
      </c>
    </row>
    <row r="122" customFormat="false" ht="15" hidden="false" customHeight="true" outlineLevel="0" collapsed="false">
      <c r="A122" s="298" t="n">
        <v>35</v>
      </c>
      <c r="B122" s="297" t="str">
        <f aca="false">B32</f>
        <v>D</v>
      </c>
      <c r="D122" s="273" t="n">
        <f aca="false">SUM(D32:O32)*SUP_CONTROL!$C$27</f>
        <v>0</v>
      </c>
      <c r="E122" s="273" t="n">
        <f aca="false">SUM(P32:AA32)*SUP_CONTROL!$C$27</f>
        <v>0</v>
      </c>
      <c r="F122" s="273" t="n">
        <f aca="false">SUM(AB32:AM32)*SUP_CONTROL!$C$27</f>
        <v>0</v>
      </c>
      <c r="G122" s="273" t="n">
        <f aca="false">SUM(AN32:AY32)*SUP_CONTROL!$C$27</f>
        <v>0</v>
      </c>
      <c r="H122" s="273" t="n">
        <f aca="false">SUM(AZ32:BK32)*SUP_CONTROL!$C$27</f>
        <v>0</v>
      </c>
      <c r="I122" s="273" t="n">
        <f aca="false">SUM(BL32:BW32)*SUP_CONTROL!$C$27</f>
        <v>91025.1872220335</v>
      </c>
      <c r="J122" s="273" t="n">
        <f aca="false">SUM(BX32:CI32)*SUP_CONTROL!$C$27</f>
        <v>317486.418438937</v>
      </c>
      <c r="K122" s="273" t="n">
        <f aca="false">SUM(CJ32:CU32)*SUP_CONTROL!$C$27</f>
        <v>312831.19236212</v>
      </c>
      <c r="L122" s="273" t="n">
        <f aca="false">SUM(CV32:DG32)*SUP_CONTROL!$C$27</f>
        <v>312831.19236212</v>
      </c>
      <c r="M122" s="273" t="n">
        <f aca="false">SUM(DH32:DS32)*SUP_CONTROL!$C$27</f>
        <v>312831.19236212</v>
      </c>
      <c r="N122" s="268" t="n">
        <f aca="false">SUM(D122:M122)</f>
        <v>1347005.18274733</v>
      </c>
    </row>
    <row r="123" customFormat="false" ht="15" hidden="false" customHeight="true" outlineLevel="0" collapsed="false">
      <c r="A123" s="298" t="n">
        <v>36</v>
      </c>
      <c r="B123" s="297" t="str">
        <f aca="false">B33</f>
        <v>V</v>
      </c>
      <c r="D123" s="273" t="n">
        <f aca="false">SUM(D33:O33)*SUP_CONTROL!$C$27</f>
        <v>0</v>
      </c>
      <c r="E123" s="273" t="n">
        <f aca="false">SUM(P33:AA33)*SUP_CONTROL!$C$27</f>
        <v>0</v>
      </c>
      <c r="F123" s="273" t="n">
        <f aca="false">SUM(AB33:AM33)*SUP_CONTROL!$C$27</f>
        <v>0</v>
      </c>
      <c r="G123" s="273" t="n">
        <f aca="false">SUM(AN33:AY33)*SUP_CONTROL!$C$27</f>
        <v>0</v>
      </c>
      <c r="H123" s="273" t="n">
        <f aca="false">SUM(AZ33:BK33)*SUP_CONTROL!$C$27</f>
        <v>0</v>
      </c>
      <c r="I123" s="273" t="n">
        <f aca="false">SUM(BL33:BW33)*SUP_CONTROL!$C$27</f>
        <v>49046.9844862619</v>
      </c>
      <c r="J123" s="273" t="n">
        <f aca="false">SUM(BX33:CI33)*SUP_CONTROL!$C$27</f>
        <v>244220.321876106</v>
      </c>
      <c r="K123" s="273" t="n">
        <f aca="false">SUM(CJ33:CU33)*SUP_CONTROL!$C$27</f>
        <v>240639.378740092</v>
      </c>
      <c r="L123" s="273" t="n">
        <f aca="false">SUM(CV33:DG33)*SUP_CONTROL!$C$27</f>
        <v>240639.378740092</v>
      </c>
      <c r="M123" s="273" t="n">
        <f aca="false">SUM(DH33:DS33)*SUP_CONTROL!$C$27</f>
        <v>240639.378740092</v>
      </c>
      <c r="N123" s="268" t="n">
        <f aca="false">SUM(D123:M123)</f>
        <v>1015185.44258264</v>
      </c>
    </row>
    <row r="124" customFormat="false" ht="15" hidden="false" customHeight="true" outlineLevel="0" collapsed="false">
      <c r="A124" s="298" t="n">
        <v>37</v>
      </c>
      <c r="B124" s="297" t="str">
        <f aca="false">B34</f>
        <v>V</v>
      </c>
      <c r="D124" s="273" t="n">
        <f aca="false">SUM(D34:O34)*SUP_CONTROL!$C$27</f>
        <v>0</v>
      </c>
      <c r="E124" s="273" t="n">
        <f aca="false">SUM(P34:AA34)*SUP_CONTROL!$C$27</f>
        <v>0</v>
      </c>
      <c r="F124" s="273" t="n">
        <f aca="false">SUM(AB34:AM34)*SUP_CONTROL!$C$27</f>
        <v>0</v>
      </c>
      <c r="G124" s="273" t="n">
        <f aca="false">SUM(AN34:AY34)*SUP_CONTROL!$C$27</f>
        <v>0</v>
      </c>
      <c r="H124" s="273" t="n">
        <f aca="false">SUM(AZ34:BK34)*SUP_CONTROL!$C$27</f>
        <v>0</v>
      </c>
      <c r="I124" s="273" t="n">
        <f aca="false">SUM(BL34:BW34)*SUP_CONTROL!$C$27</f>
        <v>30175.4141594719</v>
      </c>
      <c r="J124" s="273" t="n">
        <f aca="false">SUM(BX34:CI34)*SUP_CONTROL!$C$27</f>
        <v>242155.311334338</v>
      </c>
      <c r="K124" s="273" t="n">
        <f aca="false">SUM(CJ34:CU34)*SUP_CONTROL!$C$27</f>
        <v>240639.378740092</v>
      </c>
      <c r="L124" s="273" t="n">
        <f aca="false">SUM(CV34:DG34)*SUP_CONTROL!$C$27</f>
        <v>240639.378740092</v>
      </c>
      <c r="M124" s="273" t="n">
        <f aca="false">SUM(DH34:DS34)*SUP_CONTROL!$C$27</f>
        <v>240639.378740092</v>
      </c>
      <c r="N124" s="268" t="n">
        <f aca="false">SUM(D124:M124)</f>
        <v>994248.861714087</v>
      </c>
    </row>
    <row r="125" customFormat="false" ht="15" hidden="false" customHeight="true" outlineLevel="0" collapsed="false">
      <c r="A125" s="298" t="n">
        <v>38</v>
      </c>
      <c r="B125" s="297" t="str">
        <f aca="false">B35</f>
        <v>V</v>
      </c>
      <c r="D125" s="273" t="n">
        <f aca="false">SUM(D35:O35)*SUP_CONTROL!$C$27</f>
        <v>0</v>
      </c>
      <c r="E125" s="273" t="n">
        <f aca="false">SUM(P35:AA35)*SUP_CONTROL!$C$27</f>
        <v>0</v>
      </c>
      <c r="F125" s="273" t="n">
        <f aca="false">SUM(AB35:AM35)*SUP_CONTROL!$C$27</f>
        <v>0</v>
      </c>
      <c r="G125" s="273" t="n">
        <f aca="false">SUM(AN35:AY35)*SUP_CONTROL!$C$27</f>
        <v>0</v>
      </c>
      <c r="H125" s="273" t="n">
        <f aca="false">SUM(AZ35:BK35)*SUP_CONTROL!$C$27</f>
        <v>0</v>
      </c>
      <c r="I125" s="273" t="n">
        <f aca="false">SUM(BL35:BW35)*SUP_CONTROL!$C$27</f>
        <v>13422.5685214898</v>
      </c>
      <c r="J125" s="273" t="n">
        <f aca="false">SUM(BX35:CI35)*SUP_CONTROL!$C$27</f>
        <v>238025.290250803</v>
      </c>
      <c r="K125" s="273" t="n">
        <f aca="false">SUM(CJ35:CU35)*SUP_CONTROL!$C$27</f>
        <v>240639.378740092</v>
      </c>
      <c r="L125" s="273" t="n">
        <f aca="false">SUM(CV35:DG35)*SUP_CONTROL!$C$27</f>
        <v>240639.378740092</v>
      </c>
      <c r="M125" s="273" t="n">
        <f aca="false">SUM(DH35:DS35)*SUP_CONTROL!$C$27</f>
        <v>240639.378740092</v>
      </c>
      <c r="N125" s="268" t="n">
        <f aca="false">SUM(D125:M125)</f>
        <v>973365.994992569</v>
      </c>
    </row>
    <row r="126" customFormat="false" ht="15" hidden="false" customHeight="true" outlineLevel="0" collapsed="false">
      <c r="A126" s="298" t="n">
        <v>39</v>
      </c>
      <c r="B126" s="297" t="str">
        <f aca="false">B36</f>
        <v>D</v>
      </c>
      <c r="D126" s="273" t="n">
        <f aca="false">SUM(D36:O36)*SUP_CONTROL!$C$27</f>
        <v>0</v>
      </c>
      <c r="E126" s="273" t="n">
        <f aca="false">SUM(P36:AA36)*SUP_CONTROL!$C$27</f>
        <v>0</v>
      </c>
      <c r="F126" s="273" t="n">
        <f aca="false">SUM(AB36:AM36)*SUP_CONTROL!$C$27</f>
        <v>0</v>
      </c>
      <c r="G126" s="273" t="n">
        <f aca="false">SUM(AN36:AY36)*SUP_CONTROL!$C$27</f>
        <v>0</v>
      </c>
      <c r="H126" s="273" t="n">
        <f aca="false">SUM(AZ36:BK36)*SUP_CONTROL!$C$27</f>
        <v>0</v>
      </c>
      <c r="I126" s="273" t="n">
        <f aca="false">SUM(BL36:BW36)*SUP_CONTROL!$C$27</f>
        <v>0</v>
      </c>
      <c r="J126" s="273" t="n">
        <f aca="false">SUM(BX36:CI36)*SUP_CONTROL!$C$27</f>
        <v>300037.079361</v>
      </c>
      <c r="K126" s="273" t="n">
        <f aca="false">SUM(CJ36:CU36)*SUP_CONTROL!$C$27</f>
        <v>312831.19236212</v>
      </c>
      <c r="L126" s="273" t="n">
        <f aca="false">SUM(CV36:DG36)*SUP_CONTROL!$C$27</f>
        <v>312831.19236212</v>
      </c>
      <c r="M126" s="273" t="n">
        <f aca="false">SUM(DH36:DS36)*SUP_CONTROL!$C$27</f>
        <v>312831.19236212</v>
      </c>
      <c r="N126" s="268" t="n">
        <f aca="false">SUM(D126:M126)</f>
        <v>1238530.65644736</v>
      </c>
    </row>
    <row r="127" customFormat="false" ht="15" hidden="false" customHeight="true" outlineLevel="0" collapsed="false">
      <c r="A127" s="298" t="n">
        <v>40</v>
      </c>
      <c r="B127" s="297" t="str">
        <f aca="false">B37</f>
        <v>F</v>
      </c>
      <c r="D127" s="273" t="n">
        <f aca="false">SUM(D37:O37)*SUP_CONTROL!$C$27</f>
        <v>0</v>
      </c>
      <c r="E127" s="273" t="n">
        <f aca="false">SUM(P37:AA37)*SUP_CONTROL!$C$27</f>
        <v>0</v>
      </c>
      <c r="F127" s="273" t="n">
        <f aca="false">SUM(AB37:AM37)*SUP_CONTROL!$C$27</f>
        <v>0</v>
      </c>
      <c r="G127" s="273" t="n">
        <f aca="false">SUM(AN37:AY37)*SUP_CONTROL!$C$27</f>
        <v>0</v>
      </c>
      <c r="H127" s="273" t="n">
        <f aca="false">SUM(AZ37:BK37)*SUP_CONTROL!$C$27</f>
        <v>0</v>
      </c>
      <c r="I127" s="273" t="n">
        <f aca="false">SUM(BL37:BW37)*SUP_CONTROL!$C$27</f>
        <v>0</v>
      </c>
      <c r="J127" s="273" t="n">
        <f aca="false">SUM(BX37:CI37)*SUP_CONTROL!$C$27</f>
        <v>379066.703901246</v>
      </c>
      <c r="K127" s="273" t="n">
        <f aca="false">SUM(CJ37:CU37)*SUP_CONTROL!$C$27</f>
        <v>481278.757480185</v>
      </c>
      <c r="L127" s="273" t="n">
        <f aca="false">SUM(CV37:DG37)*SUP_CONTROL!$C$27</f>
        <v>481278.757480185</v>
      </c>
      <c r="M127" s="273" t="n">
        <f aca="false">SUM(DH37:DS37)*SUP_CONTROL!$C$27</f>
        <v>481278.757480185</v>
      </c>
      <c r="N127" s="268" t="n">
        <f aca="false">SUM(D127:M127)</f>
        <v>1822902.9763418</v>
      </c>
    </row>
    <row r="128" customFormat="false" ht="15" hidden="false" customHeight="true" outlineLevel="0" collapsed="false">
      <c r="A128" s="298" t="n">
        <v>41</v>
      </c>
      <c r="B128" s="297" t="str">
        <f aca="false">B38</f>
        <v>V</v>
      </c>
      <c r="D128" s="273" t="n">
        <f aca="false">SUM(D38:O38)*SUP_CONTROL!$C$27</f>
        <v>0</v>
      </c>
      <c r="E128" s="273" t="n">
        <f aca="false">SUM(P38:AA38)*SUP_CONTROL!$C$27</f>
        <v>0</v>
      </c>
      <c r="F128" s="273" t="n">
        <f aca="false">SUM(AB38:AM38)*SUP_CONTROL!$C$27</f>
        <v>0</v>
      </c>
      <c r="G128" s="273" t="n">
        <f aca="false">SUM(AN38:AY38)*SUP_CONTROL!$C$27</f>
        <v>0</v>
      </c>
      <c r="H128" s="273" t="n">
        <f aca="false">SUM(AZ38:BK38)*SUP_CONTROL!$C$27</f>
        <v>0</v>
      </c>
      <c r="I128" s="273" t="n">
        <f aca="false">SUM(BL38:BW38)*SUP_CONTROL!$C$27</f>
        <v>0</v>
      </c>
      <c r="J128" s="273" t="n">
        <f aca="false">SUM(BX38:CI38)*SUP_CONTROL!$C$27</f>
        <v>168954.865395666</v>
      </c>
      <c r="K128" s="273" t="n">
        <f aca="false">SUM(CJ38:CU38)*SUP_CONTROL!$C$27</f>
        <v>240639.378740092</v>
      </c>
      <c r="L128" s="273" t="n">
        <f aca="false">SUM(CV38:DG38)*SUP_CONTROL!$C$27</f>
        <v>240639.378740092</v>
      </c>
      <c r="M128" s="273" t="n">
        <f aca="false">SUM(DH38:DS38)*SUP_CONTROL!$C$27</f>
        <v>240639.378740092</v>
      </c>
      <c r="N128" s="268" t="n">
        <f aca="false">SUM(D128:M128)</f>
        <v>890873.001615943</v>
      </c>
    </row>
    <row r="129" customFormat="false" ht="15" hidden="false" customHeight="true" outlineLevel="0" collapsed="false">
      <c r="A129" s="298" t="n">
        <v>42</v>
      </c>
      <c r="B129" s="297" t="str">
        <f aca="false">B39</f>
        <v>V</v>
      </c>
      <c r="D129" s="273" t="n">
        <f aca="false">SUM(D39:O39)*SUP_CONTROL!$C$27</f>
        <v>0</v>
      </c>
      <c r="E129" s="273" t="n">
        <f aca="false">SUM(P39:AA39)*SUP_CONTROL!$C$27</f>
        <v>0</v>
      </c>
      <c r="F129" s="273" t="n">
        <f aca="false">SUM(AB39:AM39)*SUP_CONTROL!$C$27</f>
        <v>0</v>
      </c>
      <c r="G129" s="273" t="n">
        <f aca="false">SUM(AN39:AY39)*SUP_CONTROL!$C$27</f>
        <v>0</v>
      </c>
      <c r="H129" s="273" t="n">
        <f aca="false">SUM(AZ39:BK39)*SUP_CONTROL!$C$27</f>
        <v>0</v>
      </c>
      <c r="I129" s="273" t="n">
        <f aca="false">SUM(BL39:BW39)*SUP_CONTROL!$C$27</f>
        <v>0</v>
      </c>
      <c r="J129" s="273" t="n">
        <f aca="false">SUM(BX39:CI39)*SUP_CONTROL!$C$27</f>
        <v>148430.09298775</v>
      </c>
      <c r="K129" s="273" t="n">
        <f aca="false">SUM(CJ39:CU39)*SUP_CONTROL!$C$27</f>
        <v>240639.378740092</v>
      </c>
      <c r="L129" s="273" t="n">
        <f aca="false">SUM(CV39:DG39)*SUP_CONTROL!$C$27</f>
        <v>240639.378740092</v>
      </c>
      <c r="M129" s="273" t="n">
        <f aca="false">SUM(DH39:DS39)*SUP_CONTROL!$C$27</f>
        <v>240639.378740092</v>
      </c>
      <c r="N129" s="268" t="n">
        <f aca="false">SUM(D129:M129)</f>
        <v>870348.229208027</v>
      </c>
    </row>
    <row r="130" customFormat="false" ht="15" hidden="false" customHeight="true" outlineLevel="0" collapsed="false">
      <c r="A130" s="298" t="n">
        <v>43</v>
      </c>
      <c r="B130" s="297" t="str">
        <f aca="false">B40</f>
        <v>V</v>
      </c>
      <c r="D130" s="273" t="n">
        <f aca="false">SUM(D40:O40)*SUP_CONTROL!$C$27</f>
        <v>0</v>
      </c>
      <c r="E130" s="273" t="n">
        <f aca="false">SUM(P40:AA40)*SUP_CONTROL!$C$27</f>
        <v>0</v>
      </c>
      <c r="F130" s="273" t="n">
        <f aca="false">SUM(AB40:AM40)*SUP_CONTROL!$C$27</f>
        <v>0</v>
      </c>
      <c r="G130" s="273" t="n">
        <f aca="false">SUM(AN40:AY40)*SUP_CONTROL!$C$27</f>
        <v>0</v>
      </c>
      <c r="H130" s="273" t="n">
        <f aca="false">SUM(AZ40:BK40)*SUP_CONTROL!$C$27</f>
        <v>0</v>
      </c>
      <c r="I130" s="273" t="n">
        <f aca="false">SUM(BL40:BW40)*SUP_CONTROL!$C$27</f>
        <v>0</v>
      </c>
      <c r="J130" s="273" t="n">
        <f aca="false">SUM(BX40:CI40)*SUP_CONTROL!$C$27</f>
        <v>128138.081883675</v>
      </c>
      <c r="K130" s="273" t="n">
        <f aca="false">SUM(CJ40:CU40)*SUP_CONTROL!$C$27</f>
        <v>240639.378740092</v>
      </c>
      <c r="L130" s="273" t="n">
        <f aca="false">SUM(CV40:DG40)*SUP_CONTROL!$C$27</f>
        <v>240639.378740092</v>
      </c>
      <c r="M130" s="273" t="n">
        <f aca="false">SUM(DH40:DS40)*SUP_CONTROL!$C$27</f>
        <v>240639.378740092</v>
      </c>
      <c r="N130" s="268" t="n">
        <f aca="false">SUM(D130:M130)</f>
        <v>850056.218103952</v>
      </c>
    </row>
    <row r="131" customFormat="false" ht="15" hidden="false" customHeight="true" outlineLevel="0" collapsed="false">
      <c r="A131" s="298" t="n">
        <v>44</v>
      </c>
      <c r="B131" s="297" t="str">
        <f aca="false">B41</f>
        <v>D</v>
      </c>
      <c r="D131" s="273" t="n">
        <f aca="false">SUM(D41:O41)*SUP_CONTROL!$C$27</f>
        <v>0</v>
      </c>
      <c r="E131" s="273" t="n">
        <f aca="false">SUM(P41:AA41)*SUP_CONTROL!$C$27</f>
        <v>0</v>
      </c>
      <c r="F131" s="273" t="n">
        <f aca="false">SUM(AB41:AM41)*SUP_CONTROL!$C$27</f>
        <v>0</v>
      </c>
      <c r="G131" s="273" t="n">
        <f aca="false">SUM(AN41:AY41)*SUP_CONTROL!$C$27</f>
        <v>0</v>
      </c>
      <c r="H131" s="273" t="n">
        <f aca="false">SUM(AZ41:BK41)*SUP_CONTROL!$C$27</f>
        <v>0</v>
      </c>
      <c r="I131" s="273" t="n">
        <f aca="false">SUM(BL41:BW41)*SUP_CONTROL!$C$27</f>
        <v>0</v>
      </c>
      <c r="J131" s="273" t="n">
        <f aca="false">SUM(BX41:CI41)*SUP_CONTROL!$C$27</f>
        <v>140199.89201348</v>
      </c>
      <c r="K131" s="273" t="n">
        <f aca="false">SUM(CJ41:CU41)*SUP_CONTROL!$C$27</f>
        <v>312831.19236212</v>
      </c>
      <c r="L131" s="273" t="n">
        <f aca="false">SUM(CV41:DG41)*SUP_CONTROL!$C$27</f>
        <v>312831.19236212</v>
      </c>
      <c r="M131" s="273" t="n">
        <f aca="false">SUM(DH41:DS41)*SUP_CONTROL!$C$27</f>
        <v>312831.19236212</v>
      </c>
      <c r="N131" s="268" t="n">
        <f aca="false">SUM(D131:M131)</f>
        <v>1078693.46909984</v>
      </c>
    </row>
    <row r="132" customFormat="false" ht="15" hidden="false" customHeight="true" outlineLevel="0" collapsed="false">
      <c r="A132" s="298" t="n">
        <v>45</v>
      </c>
      <c r="B132" s="297" t="str">
        <f aca="false">B42</f>
        <v>V</v>
      </c>
      <c r="D132" s="273" t="n">
        <f aca="false">SUM(D42:O42)*SUP_CONTROL!$C$27</f>
        <v>0</v>
      </c>
      <c r="E132" s="273" t="n">
        <f aca="false">SUM(P42:AA42)*SUP_CONTROL!$C$27</f>
        <v>0</v>
      </c>
      <c r="F132" s="273" t="n">
        <f aca="false">SUM(AB42:AM42)*SUP_CONTROL!$C$27</f>
        <v>0</v>
      </c>
      <c r="G132" s="273" t="n">
        <f aca="false">SUM(AN42:AY42)*SUP_CONTROL!$C$27</f>
        <v>0</v>
      </c>
      <c r="H132" s="273" t="n">
        <f aca="false">SUM(AZ42:BK42)*SUP_CONTROL!$C$27</f>
        <v>0</v>
      </c>
      <c r="I132" s="273" t="n">
        <f aca="false">SUM(BL42:BW42)*SUP_CONTROL!$C$27</f>
        <v>0</v>
      </c>
      <c r="J132" s="273" t="n">
        <f aca="false">SUM(BX42:CI42)*SUP_CONTROL!$C$27</f>
        <v>87577.9326297647</v>
      </c>
      <c r="K132" s="273" t="n">
        <f aca="false">SUM(CJ42:CU42)*SUP_CONTROL!$C$27</f>
        <v>240639.378740092</v>
      </c>
      <c r="L132" s="273" t="n">
        <f aca="false">SUM(CV42:DG42)*SUP_CONTROL!$C$27</f>
        <v>240639.378740092</v>
      </c>
      <c r="M132" s="273" t="n">
        <f aca="false">SUM(DH42:DS42)*SUP_CONTROL!$C$27</f>
        <v>240639.378740092</v>
      </c>
      <c r="N132" s="268" t="n">
        <f aca="false">SUM(D132:M132)</f>
        <v>809496.068850042</v>
      </c>
    </row>
    <row r="133" customFormat="false" ht="15" hidden="false" customHeight="true" outlineLevel="0" collapsed="false">
      <c r="A133" s="298" t="n">
        <v>46</v>
      </c>
      <c r="B133" s="297" t="str">
        <f aca="false">B43</f>
        <v>V</v>
      </c>
      <c r="D133" s="273" t="n">
        <f aca="false">SUM(D43:O43)*SUP_CONTROL!$C$27</f>
        <v>0</v>
      </c>
      <c r="E133" s="273" t="n">
        <f aca="false">SUM(P43:AA43)*SUP_CONTROL!$C$27</f>
        <v>0</v>
      </c>
      <c r="F133" s="273" t="n">
        <f aca="false">SUM(AB43:AM43)*SUP_CONTROL!$C$27</f>
        <v>0</v>
      </c>
      <c r="G133" s="273" t="n">
        <f aca="false">SUM(AN43:AY43)*SUP_CONTROL!$C$27</f>
        <v>0</v>
      </c>
      <c r="H133" s="273" t="n">
        <f aca="false">SUM(AZ43:BK43)*SUP_CONTROL!$C$27</f>
        <v>0</v>
      </c>
      <c r="I133" s="273" t="n">
        <f aca="false">SUM(BL43:BW43)*SUP_CONTROL!$C$27</f>
        <v>0</v>
      </c>
      <c r="J133" s="273" t="n">
        <f aca="false">SUM(BX43:CI43)*SUP_CONTROL!$C$27</f>
        <v>67333.6674341697</v>
      </c>
      <c r="K133" s="273" t="n">
        <f aca="false">SUM(CJ43:CU43)*SUP_CONTROL!$C$27</f>
        <v>240639.378740092</v>
      </c>
      <c r="L133" s="273" t="n">
        <f aca="false">SUM(CV43:DG43)*SUP_CONTROL!$C$27</f>
        <v>240639.378740092</v>
      </c>
      <c r="M133" s="273" t="n">
        <f aca="false">SUM(DH43:DS43)*SUP_CONTROL!$C$27</f>
        <v>240639.378740092</v>
      </c>
      <c r="N133" s="268" t="n">
        <f aca="false">SUM(D133:M133)</f>
        <v>789251.803654446</v>
      </c>
    </row>
    <row r="134" customFormat="false" ht="15" hidden="false" customHeight="true" outlineLevel="0" collapsed="false">
      <c r="A134" s="298" t="n">
        <v>47</v>
      </c>
      <c r="B134" s="297" t="str">
        <f aca="false">B44</f>
        <v>V</v>
      </c>
      <c r="D134" s="273" t="n">
        <f aca="false">SUM(D44:O44)*SUP_CONTROL!$C$27</f>
        <v>0</v>
      </c>
      <c r="E134" s="273" t="n">
        <f aca="false">SUM(P44:AA44)*SUP_CONTROL!$C$27</f>
        <v>0</v>
      </c>
      <c r="F134" s="273" t="n">
        <f aca="false">SUM(AB44:AM44)*SUP_CONTROL!$C$27</f>
        <v>0</v>
      </c>
      <c r="G134" s="273" t="n">
        <f aca="false">SUM(AN44:AY44)*SUP_CONTROL!$C$27</f>
        <v>0</v>
      </c>
      <c r="H134" s="273" t="n">
        <f aca="false">SUM(AZ44:BK44)*SUP_CONTROL!$C$27</f>
        <v>0</v>
      </c>
      <c r="I134" s="273" t="n">
        <f aca="false">SUM(BL44:BW44)*SUP_CONTROL!$C$27</f>
        <v>0</v>
      </c>
      <c r="J134" s="273" t="n">
        <f aca="false">SUM(BX44:CI44)*SUP_CONTROL!$C$27</f>
        <v>47125.2116699347</v>
      </c>
      <c r="K134" s="273" t="n">
        <f aca="false">SUM(CJ44:CU44)*SUP_CONTROL!$C$27</f>
        <v>240639.378740092</v>
      </c>
      <c r="L134" s="273" t="n">
        <f aca="false">SUM(CV44:DG44)*SUP_CONTROL!$C$27</f>
        <v>240639.378740092</v>
      </c>
      <c r="M134" s="273" t="n">
        <f aca="false">SUM(DH44:DS44)*SUP_CONTROL!$C$27</f>
        <v>240639.378740092</v>
      </c>
      <c r="N134" s="268" t="n">
        <f aca="false">SUM(D134:M134)</f>
        <v>769043.347890212</v>
      </c>
    </row>
    <row r="135" customFormat="false" ht="15" hidden="false" customHeight="true" outlineLevel="0" collapsed="false">
      <c r="A135" s="298" t="n">
        <v>48</v>
      </c>
      <c r="B135" s="297" t="str">
        <f aca="false">B45</f>
        <v>D</v>
      </c>
      <c r="D135" s="273" t="n">
        <f aca="false">SUM(D45:O45)*SUP_CONTROL!$C$27</f>
        <v>0</v>
      </c>
      <c r="E135" s="273" t="n">
        <f aca="false">SUM(P45:AA45)*SUP_CONTROL!$C$27</f>
        <v>0</v>
      </c>
      <c r="F135" s="273" t="n">
        <f aca="false">SUM(AB45:AM45)*SUP_CONTROL!$C$27</f>
        <v>0</v>
      </c>
      <c r="G135" s="273" t="n">
        <f aca="false">SUM(AN45:AY45)*SUP_CONTROL!$C$27</f>
        <v>0</v>
      </c>
      <c r="H135" s="273" t="n">
        <f aca="false">SUM(AZ45:BK45)*SUP_CONTROL!$C$27</f>
        <v>0</v>
      </c>
      <c r="I135" s="273" t="n">
        <f aca="false">SUM(BL45:BW45)*SUP_CONTROL!$C$27</f>
        <v>0</v>
      </c>
      <c r="J135" s="273" t="n">
        <f aca="false">SUM(BX45:CI45)*SUP_CONTROL!$C$27</f>
        <v>37800.4357437562</v>
      </c>
      <c r="K135" s="273" t="n">
        <f aca="false">SUM(CJ45:CU45)*SUP_CONTROL!$C$27</f>
        <v>310224.265759102</v>
      </c>
      <c r="L135" s="273" t="n">
        <f aca="false">SUM(CV45:DG45)*SUP_CONTROL!$C$27</f>
        <v>312831.19236212</v>
      </c>
      <c r="M135" s="273" t="n">
        <f aca="false">SUM(DH45:DS45)*SUP_CONTROL!$C$27</f>
        <v>312831.19236212</v>
      </c>
      <c r="N135" s="268" t="n">
        <f aca="false">SUM(D135:M135)</f>
        <v>973687.086227098</v>
      </c>
    </row>
    <row r="136" customFormat="false" ht="15" hidden="false" customHeight="true" outlineLevel="0" collapsed="false">
      <c r="A136" s="298" t="n">
        <v>49</v>
      </c>
      <c r="B136" s="297" t="str">
        <f aca="false">B46</f>
        <v>V</v>
      </c>
      <c r="D136" s="273" t="n">
        <f aca="false">SUM(D46:O46)*SUP_CONTROL!$C$27</f>
        <v>0</v>
      </c>
      <c r="E136" s="273" t="n">
        <f aca="false">SUM(P46:AA46)*SUP_CONTROL!$C$27</f>
        <v>0</v>
      </c>
      <c r="F136" s="273" t="n">
        <f aca="false">SUM(AB46:AM46)*SUP_CONTROL!$C$27</f>
        <v>0</v>
      </c>
      <c r="G136" s="273" t="n">
        <f aca="false">SUM(AN46:AY46)*SUP_CONTROL!$C$27</f>
        <v>0</v>
      </c>
      <c r="H136" s="273" t="n">
        <f aca="false">SUM(AZ46:BK46)*SUP_CONTROL!$C$27</f>
        <v>0</v>
      </c>
      <c r="I136" s="273" t="n">
        <f aca="false">SUM(BL46:BW46)*SUP_CONTROL!$C$27</f>
        <v>0</v>
      </c>
      <c r="J136" s="273" t="n">
        <f aca="false">SUM(BX46:CI46)*SUP_CONTROL!$C$27</f>
        <v>13034.6330150883</v>
      </c>
      <c r="K136" s="273" t="n">
        <f aca="false">SUM(CJ46:CU46)*SUP_CONTROL!$C$27</f>
        <v>234623.39427159</v>
      </c>
      <c r="L136" s="273" t="n">
        <f aca="false">SUM(CV46:DG46)*SUP_CONTROL!$C$27</f>
        <v>240639.378740092</v>
      </c>
      <c r="M136" s="273" t="n">
        <f aca="false">SUM(DH46:DS46)*SUP_CONTROL!$C$27</f>
        <v>240639.378740092</v>
      </c>
      <c r="N136" s="268" t="n">
        <f aca="false">SUM(D136:M136)</f>
        <v>728936.784766863</v>
      </c>
    </row>
    <row r="137" customFormat="false" ht="15" hidden="false" customHeight="true" outlineLevel="0" collapsed="false">
      <c r="A137" s="298" t="n">
        <v>50</v>
      </c>
      <c r="B137" s="297" t="str">
        <f aca="false">B47</f>
        <v>V</v>
      </c>
      <c r="D137" s="273" t="n">
        <f aca="false">SUM(D47:O47)*SUP_CONTROL!$C$27</f>
        <v>0</v>
      </c>
      <c r="E137" s="273" t="n">
        <f aca="false">SUM(P47:AA47)*SUP_CONTROL!$C$27</f>
        <v>0</v>
      </c>
      <c r="F137" s="273" t="n">
        <f aca="false">SUM(AB47:AM47)*SUP_CONTROL!$C$27</f>
        <v>0</v>
      </c>
      <c r="G137" s="273" t="n">
        <f aca="false">SUM(AN47:AY47)*SUP_CONTROL!$C$27</f>
        <v>0</v>
      </c>
      <c r="H137" s="273" t="n">
        <f aca="false">SUM(AZ47:BK47)*SUP_CONTROL!$C$27</f>
        <v>0</v>
      </c>
      <c r="I137" s="273" t="n">
        <f aca="false">SUM(BL47:BW47)*SUP_CONTROL!$C$27</f>
        <v>0</v>
      </c>
      <c r="J137" s="273" t="n">
        <f aca="false">SUM(BX47:CI47)*SUP_CONTROL!$C$27</f>
        <v>47125.2116699347</v>
      </c>
      <c r="K137" s="273" t="n">
        <f aca="false">SUM(CJ47:CU47)*SUP_CONTROL!$C$27</f>
        <v>240639.378740092</v>
      </c>
      <c r="L137" s="273" t="n">
        <f aca="false">SUM(CV47:DG47)*SUP_CONTROL!$C$27</f>
        <v>240639.378740092</v>
      </c>
      <c r="M137" s="273" t="n">
        <f aca="false">SUM(DH47:DS47)*SUP_CONTROL!$C$27</f>
        <v>240639.378740092</v>
      </c>
      <c r="N137" s="268" t="n">
        <f aca="false">SUM(D137:M137)</f>
        <v>769043.347890212</v>
      </c>
    </row>
    <row r="138" customFormat="false" ht="15" hidden="false" customHeight="true" outlineLevel="0" collapsed="false">
      <c r="B138" s="178" t="s">
        <v>240</v>
      </c>
      <c r="D138" s="268" t="n">
        <f aca="false">SUM(D98:D137)</f>
        <v>0</v>
      </c>
      <c r="E138" s="268" t="n">
        <f aca="false">SUM(E98:E137)</f>
        <v>287669.098593067</v>
      </c>
      <c r="F138" s="268" t="n">
        <f aca="false">SUM(F98:F137)</f>
        <v>1086490.37595465</v>
      </c>
      <c r="G138" s="268" t="n">
        <f aca="false">SUM(G98:G137)</f>
        <v>2725896.27682544</v>
      </c>
      <c r="H138" s="268" t="n">
        <f aca="false">SUM(H98:H137)</f>
        <v>4103802.61154114</v>
      </c>
      <c r="I138" s="268" t="n">
        <f aca="false">SUM(I98:I137)</f>
        <v>6245199.4449908</v>
      </c>
      <c r="J138" s="268" t="n">
        <f aca="false">SUM(J98:J137)</f>
        <v>9078549.67932245</v>
      </c>
      <c r="K138" s="268" t="n">
        <f aca="false">SUM(K98:K137)</f>
        <v>10747957.3186106</v>
      </c>
      <c r="L138" s="268" t="n">
        <f aca="false">SUM(L98:L137)</f>
        <v>10756580.2296821</v>
      </c>
      <c r="M138" s="268" t="n">
        <f aca="false">SUM(M98:M137)</f>
        <v>10756580.2296821</v>
      </c>
      <c r="N138" s="268" t="n">
        <f aca="false">SUM(N98:N137)</f>
        <v>55788725.2652024</v>
      </c>
    </row>
    <row r="141" customFormat="false" ht="15" hidden="false" customHeight="true" outlineLevel="0" collapsed="false">
      <c r="A141" s="186" t="s">
        <v>3569</v>
      </c>
      <c r="B141" s="25"/>
      <c r="C141" s="25"/>
      <c r="D141" s="25"/>
      <c r="E141" s="25"/>
      <c r="F141" s="25"/>
      <c r="G141" s="25"/>
      <c r="H141" s="25"/>
      <c r="I141" s="25"/>
      <c r="J141" s="25"/>
      <c r="K141" s="25"/>
      <c r="L141" s="25"/>
      <c r="M141" s="25"/>
      <c r="N141" s="25"/>
    </row>
    <row r="142" customFormat="false" ht="15" hidden="false" customHeight="true" outlineLevel="0" collapsed="false">
      <c r="A142" s="178" t="s">
        <v>849</v>
      </c>
      <c r="B142" s="178" t="s">
        <v>3489</v>
      </c>
      <c r="D142" s="178" t="s">
        <v>1877</v>
      </c>
      <c r="E142" s="178" t="s">
        <v>1878</v>
      </c>
      <c r="F142" s="178" t="s">
        <v>1879</v>
      </c>
      <c r="G142" s="178" t="s">
        <v>1880</v>
      </c>
      <c r="H142" s="178" t="s">
        <v>1881</v>
      </c>
      <c r="I142" s="178" t="s">
        <v>1882</v>
      </c>
      <c r="J142" s="178" t="s">
        <v>1883</v>
      </c>
      <c r="K142" s="178" t="s">
        <v>1884</v>
      </c>
      <c r="L142" s="178" t="s">
        <v>1885</v>
      </c>
      <c r="M142" s="178" t="s">
        <v>1886</v>
      </c>
      <c r="N142" s="178" t="s">
        <v>240</v>
      </c>
    </row>
    <row r="143" customFormat="false" ht="15" hidden="false" customHeight="true" outlineLevel="0" collapsed="false">
      <c r="A143" s="298" t="n">
        <v>11</v>
      </c>
      <c r="B143" s="297" t="str">
        <f aca="false">B8</f>
        <v>V</v>
      </c>
      <c r="D143" s="298" t="n">
        <f aca="false">SUM(D8:O8)*SUP_CONTROL!$C$28</f>
        <v>0</v>
      </c>
      <c r="E143" s="298" t="n">
        <f aca="false">SUM(P8:AA8)*SUP_CONTROL!$C$28</f>
        <v>37075.5</v>
      </c>
      <c r="F143" s="298" t="n">
        <f aca="false">SUM(AB8:AM8)*SUP_CONTROL!$C$28</f>
        <v>81704.7</v>
      </c>
      <c r="G143" s="298" t="n">
        <f aca="false">SUM(AN8:AY8)*SUP_CONTROL!$C$28</f>
        <v>78932.7</v>
      </c>
      <c r="H143" s="298" t="n">
        <f aca="false">SUM(AZ8:BK8)*SUP_CONTROL!$C$28</f>
        <v>77408.1</v>
      </c>
      <c r="I143" s="298" t="n">
        <f aca="false">SUM(BL8:BW8)*SUP_CONTROL!$C$28</f>
        <v>73769.85</v>
      </c>
      <c r="J143" s="298" t="n">
        <f aca="false">SUM(BX8:CI8)*SUP_CONTROL!$C$28</f>
        <v>70893.9</v>
      </c>
      <c r="K143" s="298" t="n">
        <f aca="false">SUM(CJ8:CU8)*SUP_CONTROL!$C$28</f>
        <v>69854.4</v>
      </c>
      <c r="L143" s="298" t="n">
        <f aca="false">SUM(CV8:DG8)*SUP_CONTROL!$C$28</f>
        <v>69854.4</v>
      </c>
      <c r="M143" s="298" t="n">
        <f aca="false">SUM(DH8:DS8)*SUP_CONTROL!$C$28</f>
        <v>69854.4</v>
      </c>
      <c r="N143" s="275" t="n">
        <f aca="false">SUM(D143:M143)</f>
        <v>629347.95</v>
      </c>
    </row>
    <row r="144" customFormat="false" ht="15" hidden="false" customHeight="true" outlineLevel="0" collapsed="false">
      <c r="A144" s="298" t="n">
        <v>12</v>
      </c>
      <c r="B144" s="297" t="str">
        <f aca="false">B9</f>
        <v>V</v>
      </c>
      <c r="D144" s="298" t="n">
        <f aca="false">SUM(D9:O9)*SUP_CONTROL!$C$28</f>
        <v>0</v>
      </c>
      <c r="E144" s="298" t="n">
        <f aca="false">SUM(P9:AA9)*SUP_CONTROL!$C$28</f>
        <v>30145.5</v>
      </c>
      <c r="F144" s="298" t="n">
        <f aca="false">SUM(AB9:AM9)*SUP_CONTROL!$C$28</f>
        <v>81704.7</v>
      </c>
      <c r="G144" s="298" t="n">
        <f aca="false">SUM(AN9:AY9)*SUP_CONTROL!$C$28</f>
        <v>78932.7</v>
      </c>
      <c r="H144" s="298" t="n">
        <f aca="false">SUM(AZ9:BK9)*SUP_CONTROL!$C$28</f>
        <v>77408.1</v>
      </c>
      <c r="I144" s="298" t="n">
        <f aca="false">SUM(BL9:BW9)*SUP_CONTROL!$C$28</f>
        <v>73769.85</v>
      </c>
      <c r="J144" s="298" t="n">
        <f aca="false">SUM(BX9:CI9)*SUP_CONTROL!$C$28</f>
        <v>70893.9</v>
      </c>
      <c r="K144" s="298" t="n">
        <f aca="false">SUM(CJ9:CU9)*SUP_CONTROL!$C$28</f>
        <v>69854.4</v>
      </c>
      <c r="L144" s="298" t="n">
        <f aca="false">SUM(CV9:DG9)*SUP_CONTROL!$C$28</f>
        <v>69854.4</v>
      </c>
      <c r="M144" s="298" t="n">
        <f aca="false">SUM(DH9:DS9)*SUP_CONTROL!$C$28</f>
        <v>69854.4</v>
      </c>
      <c r="N144" s="275" t="n">
        <f aca="false">SUM(D144:M144)</f>
        <v>622417.95</v>
      </c>
    </row>
    <row r="145" customFormat="false" ht="15" hidden="false" customHeight="true" outlineLevel="0" collapsed="false">
      <c r="A145" s="298" t="n">
        <v>13</v>
      </c>
      <c r="B145" s="297" t="str">
        <f aca="false">B10</f>
        <v>V</v>
      </c>
      <c r="D145" s="298" t="n">
        <f aca="false">SUM(D10:O10)*SUP_CONTROL!$C$28</f>
        <v>0</v>
      </c>
      <c r="E145" s="298" t="n">
        <f aca="false">SUM(P10:AA10)*SUP_CONTROL!$C$28</f>
        <v>16285.5</v>
      </c>
      <c r="F145" s="298" t="n">
        <f aca="false">SUM(AB10:AM10)*SUP_CONTROL!$C$28</f>
        <v>81704.7</v>
      </c>
      <c r="G145" s="298" t="n">
        <f aca="false">SUM(AN10:AY10)*SUP_CONTROL!$C$28</f>
        <v>78932.7</v>
      </c>
      <c r="H145" s="298" t="n">
        <f aca="false">SUM(AZ10:BK10)*SUP_CONTROL!$C$28</f>
        <v>77408.1</v>
      </c>
      <c r="I145" s="298" t="n">
        <f aca="false">SUM(BL10:BW10)*SUP_CONTROL!$C$28</f>
        <v>73769.85</v>
      </c>
      <c r="J145" s="298" t="n">
        <f aca="false">SUM(BX10:CI10)*SUP_CONTROL!$C$28</f>
        <v>70893.9</v>
      </c>
      <c r="K145" s="298" t="n">
        <f aca="false">SUM(CJ10:CU10)*SUP_CONTROL!$C$28</f>
        <v>69854.4</v>
      </c>
      <c r="L145" s="298" t="n">
        <f aca="false">SUM(CV10:DG10)*SUP_CONTROL!$C$28</f>
        <v>69854.4</v>
      </c>
      <c r="M145" s="298" t="n">
        <f aca="false">SUM(DH10:DS10)*SUP_CONTROL!$C$28</f>
        <v>69854.4</v>
      </c>
      <c r="N145" s="275" t="n">
        <f aca="false">SUM(D145:M145)</f>
        <v>608557.95</v>
      </c>
    </row>
    <row r="146" customFormat="false" ht="15" hidden="false" customHeight="true" outlineLevel="0" collapsed="false">
      <c r="A146" s="298" t="n">
        <v>14</v>
      </c>
      <c r="B146" s="297" t="str">
        <f aca="false">B11</f>
        <v>D</v>
      </c>
      <c r="D146" s="298" t="n">
        <f aca="false">SUM(D11:O11)*SUP_CONTROL!$C$28</f>
        <v>0</v>
      </c>
      <c r="E146" s="298" t="n">
        <f aca="false">SUM(P11:AA11)*SUP_CONTROL!$C$28</f>
        <v>0</v>
      </c>
      <c r="F146" s="298" t="n">
        <f aca="false">SUM(AB11:AM11)*SUP_CONTROL!$C$28</f>
        <v>38013.4755</v>
      </c>
      <c r="G146" s="298" t="n">
        <f aca="false">SUM(AN11:AY11)*SUP_CONTROL!$C$28</f>
        <v>102612.51</v>
      </c>
      <c r="H146" s="298" t="n">
        <f aca="false">SUM(AZ11:BK11)*SUP_CONTROL!$C$28</f>
        <v>100630.53</v>
      </c>
      <c r="I146" s="298" t="n">
        <f aca="false">SUM(BL11:BW11)*SUP_CONTROL!$C$28</f>
        <v>95900.805</v>
      </c>
      <c r="J146" s="298" t="n">
        <f aca="false">SUM(BX11:CI11)*SUP_CONTROL!$C$28</f>
        <v>92162.07</v>
      </c>
      <c r="K146" s="298" t="n">
        <f aca="false">SUM(CJ11:CU11)*SUP_CONTROL!$C$28</f>
        <v>90810.72</v>
      </c>
      <c r="L146" s="298" t="n">
        <f aca="false">SUM(CV11:DG11)*SUP_CONTROL!$C$28</f>
        <v>90810.72</v>
      </c>
      <c r="M146" s="298" t="n">
        <f aca="false">SUM(DH11:DS11)*SUP_CONTROL!$C$28</f>
        <v>90810.72</v>
      </c>
      <c r="N146" s="275" t="n">
        <f aca="false">SUM(D146:M146)</f>
        <v>701751.5505</v>
      </c>
    </row>
    <row r="147" customFormat="false" ht="15" hidden="false" customHeight="true" outlineLevel="0" collapsed="false">
      <c r="A147" s="298" t="n">
        <v>15</v>
      </c>
      <c r="B147" s="297" t="str">
        <f aca="false">B12</f>
        <v>V</v>
      </c>
      <c r="D147" s="298" t="n">
        <f aca="false">SUM(D12:O12)*SUP_CONTROL!$C$28</f>
        <v>0</v>
      </c>
      <c r="E147" s="298" t="n">
        <f aca="false">SUM(P12:AA12)*SUP_CONTROL!$C$28</f>
        <v>0</v>
      </c>
      <c r="F147" s="298" t="n">
        <f aca="false">SUM(AB12:AM12)*SUP_CONTROL!$C$28</f>
        <v>22519.035</v>
      </c>
      <c r="G147" s="298" t="n">
        <f aca="false">SUM(AN12:AY12)*SUP_CONTROL!$C$28</f>
        <v>78932.7</v>
      </c>
      <c r="H147" s="298" t="n">
        <f aca="false">SUM(AZ12:BK12)*SUP_CONTROL!$C$28</f>
        <v>77408.1</v>
      </c>
      <c r="I147" s="298" t="n">
        <f aca="false">SUM(BL12:BW12)*SUP_CONTROL!$C$28</f>
        <v>73769.85</v>
      </c>
      <c r="J147" s="298" t="n">
        <f aca="false">SUM(BX12:CI12)*SUP_CONTROL!$C$28</f>
        <v>70893.9</v>
      </c>
      <c r="K147" s="298" t="n">
        <f aca="false">SUM(CJ12:CU12)*SUP_CONTROL!$C$28</f>
        <v>69854.4</v>
      </c>
      <c r="L147" s="298" t="n">
        <f aca="false">SUM(CV12:DG12)*SUP_CONTROL!$C$28</f>
        <v>69854.4</v>
      </c>
      <c r="M147" s="298" t="n">
        <f aca="false">SUM(DH12:DS12)*SUP_CONTROL!$C$28</f>
        <v>69854.4</v>
      </c>
      <c r="N147" s="275" t="n">
        <f aca="false">SUM(D147:M147)</f>
        <v>533086.785</v>
      </c>
    </row>
    <row r="148" customFormat="false" ht="15" hidden="false" customHeight="true" outlineLevel="0" collapsed="false">
      <c r="A148" s="298" t="n">
        <v>16</v>
      </c>
      <c r="B148" s="297" t="str">
        <f aca="false">B13</f>
        <v>V</v>
      </c>
      <c r="D148" s="298" t="n">
        <f aca="false">SUM(D13:O13)*SUP_CONTROL!$C$28</f>
        <v>0</v>
      </c>
      <c r="E148" s="298" t="n">
        <f aca="false">SUM(P13:AA13)*SUP_CONTROL!$C$28</f>
        <v>0</v>
      </c>
      <c r="F148" s="298" t="n">
        <f aca="false">SUM(AB13:AM13)*SUP_CONTROL!$C$28</f>
        <v>9747.045</v>
      </c>
      <c r="G148" s="298" t="n">
        <f aca="false">SUM(AN13:AY13)*SUP_CONTROL!$C$28</f>
        <v>78260.49</v>
      </c>
      <c r="H148" s="298" t="n">
        <f aca="false">SUM(AZ13:BK13)*SUP_CONTROL!$C$28</f>
        <v>77408.1</v>
      </c>
      <c r="I148" s="298" t="n">
        <f aca="false">SUM(BL13:BW13)*SUP_CONTROL!$C$28</f>
        <v>73769.85</v>
      </c>
      <c r="J148" s="298" t="n">
        <f aca="false">SUM(BX13:CI13)*SUP_CONTROL!$C$28</f>
        <v>70893.9</v>
      </c>
      <c r="K148" s="298" t="n">
        <f aca="false">SUM(CJ13:CU13)*SUP_CONTROL!$C$28</f>
        <v>69854.4</v>
      </c>
      <c r="L148" s="298" t="n">
        <f aca="false">SUM(CV13:DG13)*SUP_CONTROL!$C$28</f>
        <v>69854.4</v>
      </c>
      <c r="M148" s="298" t="n">
        <f aca="false">SUM(DH13:DS13)*SUP_CONTROL!$C$28</f>
        <v>69854.4</v>
      </c>
      <c r="N148" s="275" t="n">
        <f aca="false">SUM(D148:M148)</f>
        <v>519642.585</v>
      </c>
    </row>
    <row r="149" customFormat="false" ht="15" hidden="false" customHeight="true" outlineLevel="0" collapsed="false">
      <c r="A149" s="298" t="n">
        <v>17</v>
      </c>
      <c r="B149" s="297" t="str">
        <f aca="false">B14</f>
        <v>V</v>
      </c>
      <c r="D149" s="298" t="n">
        <f aca="false">SUM(D14:O14)*SUP_CONTROL!$C$28</f>
        <v>0</v>
      </c>
      <c r="E149" s="298" t="n">
        <f aca="false">SUM(P14:AA14)*SUP_CONTROL!$C$28</f>
        <v>0</v>
      </c>
      <c r="F149" s="298" t="n">
        <f aca="false">SUM(AB14:AM14)*SUP_CONTROL!$C$28</f>
        <v>0</v>
      </c>
      <c r="G149" s="298" t="n">
        <f aca="false">SUM(AN14:AY14)*SUP_CONTROL!$C$28</f>
        <v>74580.66</v>
      </c>
      <c r="H149" s="298" t="n">
        <f aca="false">SUM(AZ14:BK14)*SUP_CONTROL!$C$28</f>
        <v>77408.1</v>
      </c>
      <c r="I149" s="298" t="n">
        <f aca="false">SUM(BL14:BW14)*SUP_CONTROL!$C$28</f>
        <v>73769.85</v>
      </c>
      <c r="J149" s="298" t="n">
        <f aca="false">SUM(BX14:CI14)*SUP_CONTROL!$C$28</f>
        <v>70893.9</v>
      </c>
      <c r="K149" s="298" t="n">
        <f aca="false">SUM(CJ14:CU14)*SUP_CONTROL!$C$28</f>
        <v>69854.4</v>
      </c>
      <c r="L149" s="298" t="n">
        <f aca="false">SUM(CV14:DG14)*SUP_CONTROL!$C$28</f>
        <v>69854.4</v>
      </c>
      <c r="M149" s="298" t="n">
        <f aca="false">SUM(DH14:DS14)*SUP_CONTROL!$C$28</f>
        <v>69854.4</v>
      </c>
      <c r="N149" s="275" t="n">
        <f aca="false">SUM(D149:M149)</f>
        <v>506215.71</v>
      </c>
    </row>
    <row r="150" customFormat="false" ht="15" hidden="false" customHeight="true" outlineLevel="0" collapsed="false">
      <c r="A150" s="298" t="n">
        <v>18</v>
      </c>
      <c r="B150" s="297" t="str">
        <f aca="false">B15</f>
        <v>D</v>
      </c>
      <c r="D150" s="298" t="n">
        <f aca="false">SUM(D15:O15)*SUP_CONTROL!$C$28</f>
        <v>0</v>
      </c>
      <c r="E150" s="298" t="n">
        <f aca="false">SUM(P15:AA15)*SUP_CONTROL!$C$28</f>
        <v>0</v>
      </c>
      <c r="F150" s="298" t="n">
        <f aca="false">SUM(AB15:AM15)*SUP_CONTROL!$C$28</f>
        <v>0</v>
      </c>
      <c r="G150" s="298" t="n">
        <f aca="false">SUM(AN15:AY15)*SUP_CONTROL!$C$28</f>
        <v>71087.76675</v>
      </c>
      <c r="H150" s="298" t="n">
        <f aca="false">SUM(AZ15:BK15)*SUP_CONTROL!$C$28</f>
        <v>100630.53</v>
      </c>
      <c r="I150" s="298" t="n">
        <f aca="false">SUM(BL15:BW15)*SUP_CONTROL!$C$28</f>
        <v>95900.805</v>
      </c>
      <c r="J150" s="298" t="n">
        <f aca="false">SUM(BX15:CI15)*SUP_CONTROL!$C$28</f>
        <v>92162.07</v>
      </c>
      <c r="K150" s="298" t="n">
        <f aca="false">SUM(CJ15:CU15)*SUP_CONTROL!$C$28</f>
        <v>90810.72</v>
      </c>
      <c r="L150" s="298" t="n">
        <f aca="false">SUM(CV15:DG15)*SUP_CONTROL!$C$28</f>
        <v>90810.72</v>
      </c>
      <c r="M150" s="298" t="n">
        <f aca="false">SUM(DH15:DS15)*SUP_CONTROL!$C$28</f>
        <v>90810.72</v>
      </c>
      <c r="N150" s="275" t="n">
        <f aca="false">SUM(D150:M150)</f>
        <v>632213.33175</v>
      </c>
    </row>
    <row r="151" customFormat="false" ht="15" hidden="false" customHeight="true" outlineLevel="0" collapsed="false">
      <c r="A151" s="298" t="n">
        <v>19</v>
      </c>
      <c r="B151" s="297" t="str">
        <f aca="false">B16</f>
        <v>V</v>
      </c>
      <c r="D151" s="298" t="n">
        <f aca="false">SUM(D16:O16)*SUP_CONTROL!$C$28</f>
        <v>0</v>
      </c>
      <c r="E151" s="298" t="n">
        <f aca="false">SUM(P16:AA16)*SUP_CONTROL!$C$28</f>
        <v>0</v>
      </c>
      <c r="F151" s="298" t="n">
        <f aca="false">SUM(AB16:AM16)*SUP_CONTROL!$C$28</f>
        <v>0</v>
      </c>
      <c r="G151" s="298" t="n">
        <f aca="false">SUM(AN16:AY16)*SUP_CONTROL!$C$28</f>
        <v>48134.0475</v>
      </c>
      <c r="H151" s="298" t="n">
        <f aca="false">SUM(AZ16:BK16)*SUP_CONTROL!$C$28</f>
        <v>77408.1</v>
      </c>
      <c r="I151" s="298" t="n">
        <f aca="false">SUM(BL16:BW16)*SUP_CONTROL!$C$28</f>
        <v>73769.85</v>
      </c>
      <c r="J151" s="298" t="n">
        <f aca="false">SUM(BX16:CI16)*SUP_CONTROL!$C$28</f>
        <v>70893.9</v>
      </c>
      <c r="K151" s="298" t="n">
        <f aca="false">SUM(CJ16:CU16)*SUP_CONTROL!$C$28</f>
        <v>69854.4</v>
      </c>
      <c r="L151" s="298" t="n">
        <f aca="false">SUM(CV16:DG16)*SUP_CONTROL!$C$28</f>
        <v>69854.4</v>
      </c>
      <c r="M151" s="298" t="n">
        <f aca="false">SUM(DH16:DS16)*SUP_CONTROL!$C$28</f>
        <v>69854.4</v>
      </c>
      <c r="N151" s="275" t="n">
        <f aca="false">SUM(D151:M151)</f>
        <v>479769.0975</v>
      </c>
    </row>
    <row r="152" customFormat="false" ht="15" hidden="false" customHeight="true" outlineLevel="0" collapsed="false">
      <c r="A152" s="298" t="n">
        <v>20</v>
      </c>
      <c r="B152" s="297" t="str">
        <f aca="false">B17</f>
        <v>V</v>
      </c>
      <c r="D152" s="298" t="n">
        <f aca="false">SUM(D17:O17)*SUP_CONTROL!$C$28</f>
        <v>0</v>
      </c>
      <c r="E152" s="298" t="n">
        <f aca="false">SUM(P17:AA17)*SUP_CONTROL!$C$28</f>
        <v>0</v>
      </c>
      <c r="F152" s="298" t="n">
        <f aca="false">SUM(AB17:AM17)*SUP_CONTROL!$C$28</f>
        <v>0</v>
      </c>
      <c r="G152" s="298" t="n">
        <f aca="false">SUM(AN17:AY17)*SUP_CONTROL!$C$28</f>
        <v>41585.1975</v>
      </c>
      <c r="H152" s="298" t="n">
        <f aca="false">SUM(AZ17:BK17)*SUP_CONTROL!$C$28</f>
        <v>77408.1</v>
      </c>
      <c r="I152" s="298" t="n">
        <f aca="false">SUM(BL17:BW17)*SUP_CONTROL!$C$28</f>
        <v>73769.85</v>
      </c>
      <c r="J152" s="298" t="n">
        <f aca="false">SUM(BX17:CI17)*SUP_CONTROL!$C$28</f>
        <v>70893.9</v>
      </c>
      <c r="K152" s="298" t="n">
        <f aca="false">SUM(CJ17:CU17)*SUP_CONTROL!$C$28</f>
        <v>69854.4</v>
      </c>
      <c r="L152" s="298" t="n">
        <f aca="false">SUM(CV17:DG17)*SUP_CONTROL!$C$28</f>
        <v>69854.4</v>
      </c>
      <c r="M152" s="298" t="n">
        <f aca="false">SUM(DH17:DS17)*SUP_CONTROL!$C$28</f>
        <v>69854.4</v>
      </c>
      <c r="N152" s="275" t="n">
        <f aca="false">SUM(D152:M152)</f>
        <v>473220.2475</v>
      </c>
    </row>
    <row r="153" customFormat="false" ht="15" hidden="false" customHeight="true" outlineLevel="0" collapsed="false">
      <c r="A153" s="298" t="n">
        <v>21</v>
      </c>
      <c r="B153" s="297" t="str">
        <f aca="false">B18</f>
        <v>V</v>
      </c>
      <c r="D153" s="298" t="n">
        <f aca="false">SUM(D18:O18)*SUP_CONTROL!$C$28</f>
        <v>0</v>
      </c>
      <c r="E153" s="298" t="n">
        <f aca="false">SUM(P18:AA18)*SUP_CONTROL!$C$28</f>
        <v>0</v>
      </c>
      <c r="F153" s="298" t="n">
        <f aca="false">SUM(AB18:AM18)*SUP_CONTROL!$C$28</f>
        <v>0</v>
      </c>
      <c r="G153" s="298" t="n">
        <f aca="false">SUM(AN18:AY18)*SUP_CONTROL!$C$28</f>
        <v>35036.3475</v>
      </c>
      <c r="H153" s="298" t="n">
        <f aca="false">SUM(AZ18:BK18)*SUP_CONTROL!$C$28</f>
        <v>77408.1</v>
      </c>
      <c r="I153" s="298" t="n">
        <f aca="false">SUM(BL18:BW18)*SUP_CONTROL!$C$28</f>
        <v>73769.85</v>
      </c>
      <c r="J153" s="298" t="n">
        <f aca="false">SUM(BX18:CI18)*SUP_CONTROL!$C$28</f>
        <v>70893.9</v>
      </c>
      <c r="K153" s="298" t="n">
        <f aca="false">SUM(CJ18:CU18)*SUP_CONTROL!$C$28</f>
        <v>69854.4</v>
      </c>
      <c r="L153" s="298" t="n">
        <f aca="false">SUM(CV18:DG18)*SUP_CONTROL!$C$28</f>
        <v>69854.4</v>
      </c>
      <c r="M153" s="298" t="n">
        <f aca="false">SUM(DH18:DS18)*SUP_CONTROL!$C$28</f>
        <v>69854.4</v>
      </c>
      <c r="N153" s="275" t="n">
        <f aca="false">SUM(D153:M153)</f>
        <v>466671.3975</v>
      </c>
    </row>
    <row r="154" customFormat="false" ht="15" hidden="false" customHeight="true" outlineLevel="0" collapsed="false">
      <c r="A154" s="298" t="n">
        <v>22</v>
      </c>
      <c r="B154" s="297" t="str">
        <f aca="false">B19</f>
        <v>D</v>
      </c>
      <c r="D154" s="298" t="n">
        <f aca="false">SUM(D19:O19)*SUP_CONTROL!$C$28</f>
        <v>0</v>
      </c>
      <c r="E154" s="298" t="n">
        <f aca="false">SUM(P19:AA19)*SUP_CONTROL!$C$28</f>
        <v>0</v>
      </c>
      <c r="F154" s="298" t="n">
        <f aca="false">SUM(AB19:AM19)*SUP_CONTROL!$C$28</f>
        <v>0</v>
      </c>
      <c r="G154" s="298" t="n">
        <f aca="false">SUM(AN19:AY19)*SUP_CONTROL!$C$28</f>
        <v>20006.73675</v>
      </c>
      <c r="H154" s="298" t="n">
        <f aca="false">SUM(AZ19:BK19)*SUP_CONTROL!$C$28</f>
        <v>100630.53</v>
      </c>
      <c r="I154" s="298" t="n">
        <f aca="false">SUM(BL19:BW19)*SUP_CONTROL!$C$28</f>
        <v>95900.805</v>
      </c>
      <c r="J154" s="298" t="n">
        <f aca="false">SUM(BX19:CI19)*SUP_CONTROL!$C$28</f>
        <v>92162.07</v>
      </c>
      <c r="K154" s="298" t="n">
        <f aca="false">SUM(CJ19:CU19)*SUP_CONTROL!$C$28</f>
        <v>90810.72</v>
      </c>
      <c r="L154" s="298" t="n">
        <f aca="false">SUM(CV19:DG19)*SUP_CONTROL!$C$28</f>
        <v>90810.72</v>
      </c>
      <c r="M154" s="298" t="n">
        <f aca="false">SUM(DH19:DS19)*SUP_CONTROL!$C$28</f>
        <v>90810.72</v>
      </c>
      <c r="N154" s="275" t="n">
        <f aca="false">SUM(D154:M154)</f>
        <v>581132.30175</v>
      </c>
    </row>
    <row r="155" customFormat="false" ht="15" hidden="false" customHeight="true" outlineLevel="0" collapsed="false">
      <c r="A155" s="298" t="n">
        <v>23</v>
      </c>
      <c r="B155" s="297" t="str">
        <f aca="false">B20</f>
        <v>V</v>
      </c>
      <c r="D155" s="298" t="n">
        <f aca="false">SUM(D20:O20)*SUP_CONTROL!$C$28</f>
        <v>0</v>
      </c>
      <c r="E155" s="298" t="n">
        <f aca="false">SUM(P20:AA20)*SUP_CONTROL!$C$28</f>
        <v>0</v>
      </c>
      <c r="F155" s="298" t="n">
        <f aca="false">SUM(AB20:AM20)*SUP_CONTROL!$C$28</f>
        <v>0</v>
      </c>
      <c r="G155" s="298" t="n">
        <f aca="false">SUM(AN20:AY20)*SUP_CONTROL!$C$28</f>
        <v>4256.7525</v>
      </c>
      <c r="H155" s="298" t="n">
        <f aca="false">SUM(AZ20:BK20)*SUP_CONTROL!$C$28</f>
        <v>75443.445</v>
      </c>
      <c r="I155" s="298" t="n">
        <f aca="false">SUM(BL20:BW20)*SUP_CONTROL!$C$28</f>
        <v>73769.85</v>
      </c>
      <c r="J155" s="298" t="n">
        <f aca="false">SUM(BX20:CI20)*SUP_CONTROL!$C$28</f>
        <v>70893.9</v>
      </c>
      <c r="K155" s="298" t="n">
        <f aca="false">SUM(CJ20:CU20)*SUP_CONTROL!$C$28</f>
        <v>69854.4</v>
      </c>
      <c r="L155" s="298" t="n">
        <f aca="false">SUM(CV20:DG20)*SUP_CONTROL!$C$28</f>
        <v>69854.4</v>
      </c>
      <c r="M155" s="298" t="n">
        <f aca="false">SUM(DH20:DS20)*SUP_CONTROL!$C$28</f>
        <v>69854.4</v>
      </c>
      <c r="N155" s="275" t="n">
        <f aca="false">SUM(D155:M155)</f>
        <v>433927.1475</v>
      </c>
    </row>
    <row r="156" customFormat="false" ht="15" hidden="false" customHeight="true" outlineLevel="0" collapsed="false">
      <c r="A156" s="298" t="n">
        <v>24</v>
      </c>
      <c r="B156" s="297" t="str">
        <f aca="false">B21</f>
        <v>V</v>
      </c>
      <c r="D156" s="298" t="n">
        <f aca="false">SUM(D21:O21)*SUP_CONTROL!$C$28</f>
        <v>0</v>
      </c>
      <c r="E156" s="298" t="n">
        <f aca="false">SUM(P21:AA21)*SUP_CONTROL!$C$28</f>
        <v>0</v>
      </c>
      <c r="F156" s="298" t="n">
        <f aca="false">SUM(AB21:AM21)*SUP_CONTROL!$C$28</f>
        <v>0</v>
      </c>
      <c r="G156" s="298" t="n">
        <f aca="false">SUM(AN21:AY21)*SUP_CONTROL!$C$28</f>
        <v>0</v>
      </c>
      <c r="H156" s="298" t="n">
        <f aca="false">SUM(AZ21:BK21)*SUP_CONTROL!$C$28</f>
        <v>73151.3475</v>
      </c>
      <c r="I156" s="298" t="n">
        <f aca="false">SUM(BL21:BW21)*SUP_CONTROL!$C$28</f>
        <v>73769.85</v>
      </c>
      <c r="J156" s="298" t="n">
        <f aca="false">SUM(BX21:CI21)*SUP_CONTROL!$C$28</f>
        <v>70893.9</v>
      </c>
      <c r="K156" s="298" t="n">
        <f aca="false">SUM(CJ21:CU21)*SUP_CONTROL!$C$28</f>
        <v>69854.4</v>
      </c>
      <c r="L156" s="298" t="n">
        <f aca="false">SUM(CV21:DG21)*SUP_CONTROL!$C$28</f>
        <v>69854.4</v>
      </c>
      <c r="M156" s="298" t="n">
        <f aca="false">SUM(DH21:DS21)*SUP_CONTROL!$C$28</f>
        <v>69854.4</v>
      </c>
      <c r="N156" s="275" t="n">
        <f aca="false">SUM(D156:M156)</f>
        <v>427378.2975</v>
      </c>
    </row>
    <row r="157" customFormat="false" ht="15" hidden="false" customHeight="true" outlineLevel="0" collapsed="false">
      <c r="A157" s="298" t="n">
        <v>25</v>
      </c>
      <c r="B157" s="297" t="str">
        <f aca="false">B22</f>
        <v>F</v>
      </c>
      <c r="D157" s="298" t="n">
        <f aca="false">SUM(D22:O22)*SUP_CONTROL!$C$28</f>
        <v>0</v>
      </c>
      <c r="E157" s="298" t="n">
        <f aca="false">SUM(P22:AA22)*SUP_CONTROL!$C$28</f>
        <v>0</v>
      </c>
      <c r="F157" s="298" t="n">
        <f aca="false">SUM(AB22:AM22)*SUP_CONTROL!$C$28</f>
        <v>0</v>
      </c>
      <c r="G157" s="298" t="n">
        <f aca="false">SUM(AN22:AY22)*SUP_CONTROL!$C$28</f>
        <v>0</v>
      </c>
      <c r="H157" s="298" t="n">
        <f aca="false">SUM(AZ22:BK22)*SUP_CONTROL!$C$28</f>
        <v>29715.84</v>
      </c>
      <c r="I157" s="298" t="n">
        <f aca="false">SUM(BL22:BW22)*SUP_CONTROL!$C$28</f>
        <v>147539.7</v>
      </c>
      <c r="J157" s="298" t="n">
        <f aca="false">SUM(BX22:CI22)*SUP_CONTROL!$C$28</f>
        <v>141787.8</v>
      </c>
      <c r="K157" s="298" t="n">
        <f aca="false">SUM(CJ22:CU22)*SUP_CONTROL!$C$28</f>
        <v>139708.8</v>
      </c>
      <c r="L157" s="298" t="n">
        <f aca="false">SUM(CV22:DG22)*SUP_CONTROL!$C$28</f>
        <v>139708.8</v>
      </c>
      <c r="M157" s="298" t="n">
        <f aca="false">SUM(DH22:DS22)*SUP_CONTROL!$C$28</f>
        <v>139708.8</v>
      </c>
      <c r="N157" s="275" t="n">
        <f aca="false">SUM(D157:M157)</f>
        <v>738169.74</v>
      </c>
    </row>
    <row r="158" customFormat="false" ht="15" hidden="false" customHeight="true" outlineLevel="0" collapsed="false">
      <c r="A158" s="298" t="n">
        <v>26</v>
      </c>
      <c r="B158" s="297" t="str">
        <f aca="false">B23</f>
        <v>V</v>
      </c>
      <c r="D158" s="298" t="n">
        <f aca="false">SUM(D23:O23)*SUP_CONTROL!$C$28</f>
        <v>0</v>
      </c>
      <c r="E158" s="298" t="n">
        <f aca="false">SUM(P23:AA23)*SUP_CONTROL!$C$28</f>
        <v>0</v>
      </c>
      <c r="F158" s="298" t="n">
        <f aca="false">SUM(AB23:AM23)*SUP_CONTROL!$C$28</f>
        <v>0</v>
      </c>
      <c r="G158" s="298" t="n">
        <f aca="false">SUM(AN23:AY23)*SUP_CONTROL!$C$28</f>
        <v>0</v>
      </c>
      <c r="H158" s="298" t="n">
        <f aca="false">SUM(AZ23:BK23)*SUP_CONTROL!$C$28</f>
        <v>9133.74</v>
      </c>
      <c r="I158" s="298" t="n">
        <f aca="false">SUM(BL23:BW23)*SUP_CONTROL!$C$28</f>
        <v>73146.15</v>
      </c>
      <c r="J158" s="298" t="n">
        <f aca="false">SUM(BX23:CI23)*SUP_CONTROL!$C$28</f>
        <v>70893.9</v>
      </c>
      <c r="K158" s="298" t="n">
        <f aca="false">SUM(CJ23:CU23)*SUP_CONTROL!$C$28</f>
        <v>69854.4</v>
      </c>
      <c r="L158" s="298" t="n">
        <f aca="false">SUM(CV23:DG23)*SUP_CONTROL!$C$28</f>
        <v>69854.4</v>
      </c>
      <c r="M158" s="298" t="n">
        <f aca="false">SUM(DH23:DS23)*SUP_CONTROL!$C$28</f>
        <v>69854.4</v>
      </c>
      <c r="N158" s="275" t="n">
        <f aca="false">SUM(D158:M158)</f>
        <v>362736.99</v>
      </c>
    </row>
    <row r="159" customFormat="false" ht="15" hidden="false" customHeight="true" outlineLevel="0" collapsed="false">
      <c r="A159" s="298" t="n">
        <v>27</v>
      </c>
      <c r="B159" s="297" t="str">
        <f aca="false">B24</f>
        <v>D</v>
      </c>
      <c r="D159" s="298" t="n">
        <f aca="false">SUM(D24:O24)*SUP_CONTROL!$C$28</f>
        <v>0</v>
      </c>
      <c r="E159" s="298" t="n">
        <f aca="false">SUM(P24:AA24)*SUP_CONTROL!$C$28</f>
        <v>0</v>
      </c>
      <c r="F159" s="298" t="n">
        <f aca="false">SUM(AB24:AM24)*SUP_CONTROL!$C$28</f>
        <v>0</v>
      </c>
      <c r="G159" s="298" t="n">
        <f aca="false">SUM(AN24:AY24)*SUP_CONTROL!$C$28</f>
        <v>0</v>
      </c>
      <c r="H159" s="298" t="n">
        <f aca="false">SUM(AZ24:BK24)*SUP_CONTROL!$C$28</f>
        <v>5270.265</v>
      </c>
      <c r="I159" s="298" t="n">
        <f aca="false">SUM(BL24:BW24)*SUP_CONTROL!$C$28</f>
        <v>93468.375</v>
      </c>
      <c r="J159" s="298" t="n">
        <f aca="false">SUM(BX24:CI24)*SUP_CONTROL!$C$28</f>
        <v>92162.07</v>
      </c>
      <c r="K159" s="298" t="n">
        <f aca="false">SUM(CJ24:CU24)*SUP_CONTROL!$C$28</f>
        <v>90810.72</v>
      </c>
      <c r="L159" s="298" t="n">
        <f aca="false">SUM(CV24:DG24)*SUP_CONTROL!$C$28</f>
        <v>90810.72</v>
      </c>
      <c r="M159" s="298" t="n">
        <f aca="false">SUM(DH24:DS24)*SUP_CONTROL!$C$28</f>
        <v>90810.72</v>
      </c>
      <c r="N159" s="275" t="n">
        <f aca="false">SUM(D159:M159)</f>
        <v>463332.87</v>
      </c>
    </row>
    <row r="160" customFormat="false" ht="15" hidden="false" customHeight="true" outlineLevel="0" collapsed="false">
      <c r="A160" s="298" t="n">
        <v>28</v>
      </c>
      <c r="B160" s="297" t="str">
        <f aca="false">B25</f>
        <v>V</v>
      </c>
      <c r="D160" s="298" t="n">
        <f aca="false">SUM(D25:O25)*SUP_CONTROL!$C$28</f>
        <v>0</v>
      </c>
      <c r="E160" s="298" t="n">
        <f aca="false">SUM(P25:AA25)*SUP_CONTROL!$C$28</f>
        <v>0</v>
      </c>
      <c r="F160" s="298" t="n">
        <f aca="false">SUM(AB25:AM25)*SUP_CONTROL!$C$28</f>
        <v>0</v>
      </c>
      <c r="G160" s="298" t="n">
        <f aca="false">SUM(AN25:AY25)*SUP_CONTROL!$C$28</f>
        <v>0</v>
      </c>
      <c r="H160" s="298" t="n">
        <f aca="false">SUM(AZ25:BK25)*SUP_CONTROL!$C$28</f>
        <v>0</v>
      </c>
      <c r="I160" s="298" t="n">
        <f aca="false">SUM(BL25:BW25)*SUP_CONTROL!$C$28</f>
        <v>69715.8</v>
      </c>
      <c r="J160" s="298" t="n">
        <f aca="false">SUM(BX25:CI25)*SUP_CONTROL!$C$28</f>
        <v>70893.9</v>
      </c>
      <c r="K160" s="298" t="n">
        <f aca="false">SUM(CJ25:CU25)*SUP_CONTROL!$C$28</f>
        <v>69854.4</v>
      </c>
      <c r="L160" s="298" t="n">
        <f aca="false">SUM(CV25:DG25)*SUP_CONTROL!$C$28</f>
        <v>69854.4</v>
      </c>
      <c r="M160" s="298" t="n">
        <f aca="false">SUM(DH25:DS25)*SUP_CONTROL!$C$28</f>
        <v>69854.4</v>
      </c>
      <c r="N160" s="275" t="n">
        <f aca="false">SUM(D160:M160)</f>
        <v>350172.9</v>
      </c>
    </row>
    <row r="161" customFormat="false" ht="15" hidden="false" customHeight="true" outlineLevel="0" collapsed="false">
      <c r="A161" s="298" t="n">
        <v>29</v>
      </c>
      <c r="B161" s="297" t="str">
        <f aca="false">B26</f>
        <v>V</v>
      </c>
      <c r="D161" s="298" t="n">
        <f aca="false">SUM(D26:O26)*SUP_CONTROL!$C$28</f>
        <v>0</v>
      </c>
      <c r="E161" s="298" t="n">
        <f aca="false">SUM(P26:AA26)*SUP_CONTROL!$C$28</f>
        <v>0</v>
      </c>
      <c r="F161" s="298" t="n">
        <f aca="false">SUM(AB26:AM26)*SUP_CONTROL!$C$28</f>
        <v>0</v>
      </c>
      <c r="G161" s="298" t="n">
        <f aca="false">SUM(AN26:AY26)*SUP_CONTROL!$C$28</f>
        <v>0</v>
      </c>
      <c r="H161" s="298" t="n">
        <f aca="false">SUM(AZ26:BK26)*SUP_CONTROL!$C$28</f>
        <v>0</v>
      </c>
      <c r="I161" s="298" t="n">
        <f aca="false">SUM(BL26:BW26)*SUP_CONTROL!$C$28</f>
        <v>63478.8</v>
      </c>
      <c r="J161" s="298" t="n">
        <f aca="false">SUM(BX26:CI26)*SUP_CONTROL!$C$28</f>
        <v>70893.9</v>
      </c>
      <c r="K161" s="298" t="n">
        <f aca="false">SUM(CJ26:CU26)*SUP_CONTROL!$C$28</f>
        <v>69854.4</v>
      </c>
      <c r="L161" s="298" t="n">
        <f aca="false">SUM(CV26:DG26)*SUP_CONTROL!$C$28</f>
        <v>69854.4</v>
      </c>
      <c r="M161" s="298" t="n">
        <f aca="false">SUM(DH26:DS26)*SUP_CONTROL!$C$28</f>
        <v>69854.4</v>
      </c>
      <c r="N161" s="275" t="n">
        <f aca="false">SUM(D161:M161)</f>
        <v>343935.9</v>
      </c>
    </row>
    <row r="162" customFormat="false" ht="15" hidden="false" customHeight="true" outlineLevel="0" collapsed="false">
      <c r="A162" s="298" t="n">
        <v>30</v>
      </c>
      <c r="B162" s="297" t="str">
        <f aca="false">B27</f>
        <v>V</v>
      </c>
      <c r="D162" s="298" t="n">
        <f aca="false">SUM(D27:O27)*SUP_CONTROL!$C$28</f>
        <v>0</v>
      </c>
      <c r="E162" s="298" t="n">
        <f aca="false">SUM(P27:AA27)*SUP_CONTROL!$C$28</f>
        <v>0</v>
      </c>
      <c r="F162" s="298" t="n">
        <f aca="false">SUM(AB27:AM27)*SUP_CONTROL!$C$28</f>
        <v>0</v>
      </c>
      <c r="G162" s="298" t="n">
        <f aca="false">SUM(AN27:AY27)*SUP_CONTROL!$C$28</f>
        <v>0</v>
      </c>
      <c r="H162" s="298" t="n">
        <f aca="false">SUM(AZ27:BK27)*SUP_CONTROL!$C$28</f>
        <v>0</v>
      </c>
      <c r="I162" s="298" t="n">
        <f aca="false">SUM(BL27:BW27)*SUP_CONTROL!$C$28</f>
        <v>57241.8</v>
      </c>
      <c r="J162" s="298" t="n">
        <f aca="false">SUM(BX27:CI27)*SUP_CONTROL!$C$28</f>
        <v>70893.9</v>
      </c>
      <c r="K162" s="298" t="n">
        <f aca="false">SUM(CJ27:CU27)*SUP_CONTROL!$C$28</f>
        <v>69854.4</v>
      </c>
      <c r="L162" s="298" t="n">
        <f aca="false">SUM(CV27:DG27)*SUP_CONTROL!$C$28</f>
        <v>69854.4</v>
      </c>
      <c r="M162" s="298" t="n">
        <f aca="false">SUM(DH27:DS27)*SUP_CONTROL!$C$28</f>
        <v>69854.4</v>
      </c>
      <c r="N162" s="275" t="n">
        <f aca="false">SUM(D162:M162)</f>
        <v>337698.9</v>
      </c>
    </row>
    <row r="163" customFormat="false" ht="15" hidden="false" customHeight="true" outlineLevel="0" collapsed="false">
      <c r="A163" s="298" t="n">
        <v>31</v>
      </c>
      <c r="B163" s="297" t="str">
        <f aca="false">B28</f>
        <v>D</v>
      </c>
      <c r="D163" s="298" t="n">
        <f aca="false">SUM(D28:O28)*SUP_CONTROL!$C$28</f>
        <v>0</v>
      </c>
      <c r="E163" s="298" t="n">
        <f aca="false">SUM(P28:AA28)*SUP_CONTROL!$C$28</f>
        <v>0</v>
      </c>
      <c r="F163" s="298" t="n">
        <f aca="false">SUM(AB28:AM28)*SUP_CONTROL!$C$28</f>
        <v>0</v>
      </c>
      <c r="G163" s="298" t="n">
        <f aca="false">SUM(AN28:AY28)*SUP_CONTROL!$C$28</f>
        <v>0</v>
      </c>
      <c r="H163" s="298" t="n">
        <f aca="false">SUM(AZ28:BK28)*SUP_CONTROL!$C$28</f>
        <v>0</v>
      </c>
      <c r="I163" s="298" t="n">
        <f aca="false">SUM(BL28:BW28)*SUP_CONTROL!$C$28</f>
        <v>58252.194</v>
      </c>
      <c r="J163" s="298" t="n">
        <f aca="false">SUM(BX28:CI28)*SUP_CONTROL!$C$28</f>
        <v>92162.07</v>
      </c>
      <c r="K163" s="298" t="n">
        <f aca="false">SUM(CJ28:CU28)*SUP_CONTROL!$C$28</f>
        <v>90810.72</v>
      </c>
      <c r="L163" s="298" t="n">
        <f aca="false">SUM(CV28:DG28)*SUP_CONTROL!$C$28</f>
        <v>90810.72</v>
      </c>
      <c r="M163" s="298" t="n">
        <f aca="false">SUM(DH28:DS28)*SUP_CONTROL!$C$28</f>
        <v>90810.72</v>
      </c>
      <c r="N163" s="275" t="n">
        <f aca="false">SUM(D163:M163)</f>
        <v>422846.424</v>
      </c>
    </row>
    <row r="164" customFormat="false" ht="15" hidden="false" customHeight="true" outlineLevel="0" collapsed="false">
      <c r="A164" s="298" t="n">
        <v>32</v>
      </c>
      <c r="B164" s="297" t="str">
        <f aca="false">B29</f>
        <v>V</v>
      </c>
      <c r="D164" s="298" t="n">
        <f aca="false">SUM(D29:O29)*SUP_CONTROL!$C$28</f>
        <v>0</v>
      </c>
      <c r="E164" s="298" t="n">
        <f aca="false">SUM(P29:AA29)*SUP_CONTROL!$C$28</f>
        <v>0</v>
      </c>
      <c r="F164" s="298" t="n">
        <f aca="false">SUM(AB29:AM29)*SUP_CONTROL!$C$28</f>
        <v>0</v>
      </c>
      <c r="G164" s="298" t="n">
        <f aca="false">SUM(AN29:AY29)*SUP_CONTROL!$C$28</f>
        <v>0</v>
      </c>
      <c r="H164" s="298" t="n">
        <f aca="false">SUM(AZ29:BK29)*SUP_CONTROL!$C$28</f>
        <v>0</v>
      </c>
      <c r="I164" s="298" t="n">
        <f aca="false">SUM(BL29:BW29)*SUP_CONTROL!$C$28</f>
        <v>38620.89</v>
      </c>
      <c r="J164" s="298" t="n">
        <f aca="false">SUM(BX29:CI29)*SUP_CONTROL!$C$28</f>
        <v>70893.9</v>
      </c>
      <c r="K164" s="298" t="n">
        <f aca="false">SUM(CJ29:CU29)*SUP_CONTROL!$C$28</f>
        <v>69854.4</v>
      </c>
      <c r="L164" s="298" t="n">
        <f aca="false">SUM(CV29:DG29)*SUP_CONTROL!$C$28</f>
        <v>69854.4</v>
      </c>
      <c r="M164" s="298" t="n">
        <f aca="false">SUM(DH29:DS29)*SUP_CONTROL!$C$28</f>
        <v>69854.4</v>
      </c>
      <c r="N164" s="275" t="n">
        <f aca="false">SUM(D164:M164)</f>
        <v>319077.99</v>
      </c>
    </row>
    <row r="165" customFormat="false" ht="15" hidden="false" customHeight="true" outlineLevel="0" collapsed="false">
      <c r="A165" s="298" t="n">
        <v>33</v>
      </c>
      <c r="B165" s="297" t="str">
        <f aca="false">B30</f>
        <v>V</v>
      </c>
      <c r="D165" s="298" t="n">
        <f aca="false">SUM(D30:O30)*SUP_CONTROL!$C$28</f>
        <v>0</v>
      </c>
      <c r="E165" s="298" t="n">
        <f aca="false">SUM(P30:AA30)*SUP_CONTROL!$C$28</f>
        <v>0</v>
      </c>
      <c r="F165" s="298" t="n">
        <f aca="false">SUM(AB30:AM30)*SUP_CONTROL!$C$28</f>
        <v>0</v>
      </c>
      <c r="G165" s="298" t="n">
        <f aca="false">SUM(AN30:AY30)*SUP_CONTROL!$C$28</f>
        <v>0</v>
      </c>
      <c r="H165" s="298" t="n">
        <f aca="false">SUM(AZ30:BK30)*SUP_CONTROL!$C$28</f>
        <v>0</v>
      </c>
      <c r="I165" s="298" t="n">
        <f aca="false">SUM(BL30:BW30)*SUP_CONTROL!$C$28</f>
        <v>32522.49</v>
      </c>
      <c r="J165" s="298" t="n">
        <f aca="false">SUM(BX30:CI30)*SUP_CONTROL!$C$28</f>
        <v>70893.9</v>
      </c>
      <c r="K165" s="298" t="n">
        <f aca="false">SUM(CJ30:CU30)*SUP_CONTROL!$C$28</f>
        <v>69854.4</v>
      </c>
      <c r="L165" s="298" t="n">
        <f aca="false">SUM(CV30:DG30)*SUP_CONTROL!$C$28</f>
        <v>69854.4</v>
      </c>
      <c r="M165" s="298" t="n">
        <f aca="false">SUM(DH30:DS30)*SUP_CONTROL!$C$28</f>
        <v>69854.4</v>
      </c>
      <c r="N165" s="275" t="n">
        <f aca="false">SUM(D165:M165)</f>
        <v>312979.59</v>
      </c>
    </row>
    <row r="166" customFormat="false" ht="15" hidden="false" customHeight="true" outlineLevel="0" collapsed="false">
      <c r="A166" s="298" t="n">
        <v>34</v>
      </c>
      <c r="B166" s="297" t="str">
        <f aca="false">B31</f>
        <v>V</v>
      </c>
      <c r="D166" s="298" t="n">
        <f aca="false">SUM(D31:O31)*SUP_CONTROL!$C$28</f>
        <v>0</v>
      </c>
      <c r="E166" s="298" t="n">
        <f aca="false">SUM(P31:AA31)*SUP_CONTROL!$C$28</f>
        <v>0</v>
      </c>
      <c r="F166" s="298" t="n">
        <f aca="false">SUM(AB31:AM31)*SUP_CONTROL!$C$28</f>
        <v>0</v>
      </c>
      <c r="G166" s="298" t="n">
        <f aca="false">SUM(AN31:AY31)*SUP_CONTROL!$C$28</f>
        <v>0</v>
      </c>
      <c r="H166" s="298" t="n">
        <f aca="false">SUM(AZ31:BK31)*SUP_CONTROL!$C$28</f>
        <v>0</v>
      </c>
      <c r="I166" s="298" t="n">
        <f aca="false">SUM(BL31:BW31)*SUP_CONTROL!$C$28</f>
        <v>26424.09</v>
      </c>
      <c r="J166" s="298" t="n">
        <f aca="false">SUM(BX31:CI31)*SUP_CONTROL!$C$28</f>
        <v>70893.9</v>
      </c>
      <c r="K166" s="298" t="n">
        <f aca="false">SUM(CJ31:CU31)*SUP_CONTROL!$C$28</f>
        <v>69854.4</v>
      </c>
      <c r="L166" s="298" t="n">
        <f aca="false">SUM(CV31:DG31)*SUP_CONTROL!$C$28</f>
        <v>69854.4</v>
      </c>
      <c r="M166" s="298" t="n">
        <f aca="false">SUM(DH31:DS31)*SUP_CONTROL!$C$28</f>
        <v>69854.4</v>
      </c>
      <c r="N166" s="275" t="n">
        <f aca="false">SUM(D166:M166)</f>
        <v>306881.19</v>
      </c>
    </row>
    <row r="167" customFormat="false" ht="15" hidden="false" customHeight="true" outlineLevel="0" collapsed="false">
      <c r="A167" s="298" t="n">
        <v>35</v>
      </c>
      <c r="B167" s="297" t="str">
        <f aca="false">B32</f>
        <v>D</v>
      </c>
      <c r="D167" s="298" t="n">
        <f aca="false">SUM(D32:O32)*SUP_CONTROL!$C$28</f>
        <v>0</v>
      </c>
      <c r="E167" s="298" t="n">
        <f aca="false">SUM(P32:AA32)*SUP_CONTROL!$C$28</f>
        <v>0</v>
      </c>
      <c r="F167" s="298" t="n">
        <f aca="false">SUM(AB32:AM32)*SUP_CONTROL!$C$28</f>
        <v>0</v>
      </c>
      <c r="G167" s="298" t="n">
        <f aca="false">SUM(AN32:AY32)*SUP_CONTROL!$C$28</f>
        <v>0</v>
      </c>
      <c r="H167" s="298" t="n">
        <f aca="false">SUM(AZ32:BK32)*SUP_CONTROL!$C$28</f>
        <v>0</v>
      </c>
      <c r="I167" s="298" t="n">
        <f aca="false">SUM(BL32:BW32)*SUP_CONTROL!$C$28</f>
        <v>26423.397</v>
      </c>
      <c r="J167" s="298" t="n">
        <f aca="false">SUM(BX32:CI32)*SUP_CONTROL!$C$28</f>
        <v>92162.07</v>
      </c>
      <c r="K167" s="298" t="n">
        <f aca="false">SUM(CJ32:CU32)*SUP_CONTROL!$C$28</f>
        <v>90810.72</v>
      </c>
      <c r="L167" s="298" t="n">
        <f aca="false">SUM(CV32:DG32)*SUP_CONTROL!$C$28</f>
        <v>90810.72</v>
      </c>
      <c r="M167" s="298" t="n">
        <f aca="false">SUM(DH32:DS32)*SUP_CONTROL!$C$28</f>
        <v>90810.72</v>
      </c>
      <c r="N167" s="275" t="n">
        <f aca="false">SUM(D167:M167)</f>
        <v>391017.627</v>
      </c>
    </row>
    <row r="168" customFormat="false" ht="15" hidden="false" customHeight="true" outlineLevel="0" collapsed="false">
      <c r="A168" s="298" t="n">
        <v>36</v>
      </c>
      <c r="B168" s="297" t="str">
        <f aca="false">B33</f>
        <v>V</v>
      </c>
      <c r="D168" s="298" t="n">
        <f aca="false">SUM(D33:O33)*SUP_CONTROL!$C$28</f>
        <v>0</v>
      </c>
      <c r="E168" s="298" t="n">
        <f aca="false">SUM(P33:AA33)*SUP_CONTROL!$C$28</f>
        <v>0</v>
      </c>
      <c r="F168" s="298" t="n">
        <f aca="false">SUM(AB33:AM33)*SUP_CONTROL!$C$28</f>
        <v>0</v>
      </c>
      <c r="G168" s="298" t="n">
        <f aca="false">SUM(AN33:AY33)*SUP_CONTROL!$C$28</f>
        <v>0</v>
      </c>
      <c r="H168" s="298" t="n">
        <f aca="false">SUM(AZ33:BK33)*SUP_CONTROL!$C$28</f>
        <v>0</v>
      </c>
      <c r="I168" s="298" t="n">
        <f aca="false">SUM(BL33:BW33)*SUP_CONTROL!$C$28</f>
        <v>14237.685</v>
      </c>
      <c r="J168" s="298" t="n">
        <f aca="false">SUM(BX33:CI33)*SUP_CONTROL!$C$28</f>
        <v>70893.9</v>
      </c>
      <c r="K168" s="298" t="n">
        <f aca="false">SUM(CJ33:CU33)*SUP_CONTROL!$C$28</f>
        <v>69854.4</v>
      </c>
      <c r="L168" s="298" t="n">
        <f aca="false">SUM(CV33:DG33)*SUP_CONTROL!$C$28</f>
        <v>69854.4</v>
      </c>
      <c r="M168" s="298" t="n">
        <f aca="false">SUM(DH33:DS33)*SUP_CONTROL!$C$28</f>
        <v>69854.4</v>
      </c>
      <c r="N168" s="275" t="n">
        <f aca="false">SUM(D168:M168)</f>
        <v>294694.785</v>
      </c>
    </row>
    <row r="169" customFormat="false" ht="15" hidden="false" customHeight="true" outlineLevel="0" collapsed="false">
      <c r="A169" s="298" t="n">
        <v>37</v>
      </c>
      <c r="B169" s="297" t="str">
        <f aca="false">B34</f>
        <v>V</v>
      </c>
      <c r="D169" s="298" t="n">
        <f aca="false">SUM(D34:O34)*SUP_CONTROL!$C$28</f>
        <v>0</v>
      </c>
      <c r="E169" s="298" t="n">
        <f aca="false">SUM(P34:AA34)*SUP_CONTROL!$C$28</f>
        <v>0</v>
      </c>
      <c r="F169" s="298" t="n">
        <f aca="false">SUM(AB34:AM34)*SUP_CONTROL!$C$28</f>
        <v>0</v>
      </c>
      <c r="G169" s="298" t="n">
        <f aca="false">SUM(AN34:AY34)*SUP_CONTROL!$C$28</f>
        <v>0</v>
      </c>
      <c r="H169" s="298" t="n">
        <f aca="false">SUM(AZ34:BK34)*SUP_CONTROL!$C$28</f>
        <v>0</v>
      </c>
      <c r="I169" s="298" t="n">
        <f aca="false">SUM(BL34:BW34)*SUP_CONTROL!$C$28</f>
        <v>8759.52</v>
      </c>
      <c r="J169" s="298" t="n">
        <f aca="false">SUM(BX34:CI34)*SUP_CONTROL!$C$28</f>
        <v>70294.455</v>
      </c>
      <c r="K169" s="298" t="n">
        <f aca="false">SUM(CJ34:CU34)*SUP_CONTROL!$C$28</f>
        <v>69854.4</v>
      </c>
      <c r="L169" s="298" t="n">
        <f aca="false">SUM(CV34:DG34)*SUP_CONTROL!$C$28</f>
        <v>69854.4</v>
      </c>
      <c r="M169" s="298" t="n">
        <f aca="false">SUM(DH34:DS34)*SUP_CONTROL!$C$28</f>
        <v>69854.4</v>
      </c>
      <c r="N169" s="275" t="n">
        <f aca="false">SUM(D169:M169)</f>
        <v>288617.175</v>
      </c>
    </row>
    <row r="170" customFormat="false" ht="15" hidden="false" customHeight="true" outlineLevel="0" collapsed="false">
      <c r="A170" s="298" t="n">
        <v>38</v>
      </c>
      <c r="B170" s="297" t="str">
        <f aca="false">B35</f>
        <v>V</v>
      </c>
      <c r="D170" s="298" t="n">
        <f aca="false">SUM(D35:O35)*SUP_CONTROL!$C$28</f>
        <v>0</v>
      </c>
      <c r="E170" s="298" t="n">
        <f aca="false">SUM(P35:AA35)*SUP_CONTROL!$C$28</f>
        <v>0</v>
      </c>
      <c r="F170" s="298" t="n">
        <f aca="false">SUM(AB35:AM35)*SUP_CONTROL!$C$28</f>
        <v>0</v>
      </c>
      <c r="G170" s="298" t="n">
        <f aca="false">SUM(AN35:AY35)*SUP_CONTROL!$C$28</f>
        <v>0</v>
      </c>
      <c r="H170" s="298" t="n">
        <f aca="false">SUM(AZ35:BK35)*SUP_CONTROL!$C$28</f>
        <v>0</v>
      </c>
      <c r="I170" s="298" t="n">
        <f aca="false">SUM(BL35:BW35)*SUP_CONTROL!$C$28</f>
        <v>3896.3925</v>
      </c>
      <c r="J170" s="298" t="n">
        <f aca="false">SUM(BX35:CI35)*SUP_CONTROL!$C$28</f>
        <v>69095.565</v>
      </c>
      <c r="K170" s="298" t="n">
        <f aca="false">SUM(CJ35:CU35)*SUP_CONTROL!$C$28</f>
        <v>69854.4</v>
      </c>
      <c r="L170" s="298" t="n">
        <f aca="false">SUM(CV35:DG35)*SUP_CONTROL!$C$28</f>
        <v>69854.4</v>
      </c>
      <c r="M170" s="298" t="n">
        <f aca="false">SUM(DH35:DS35)*SUP_CONTROL!$C$28</f>
        <v>69854.4</v>
      </c>
      <c r="N170" s="275" t="n">
        <f aca="false">SUM(D170:M170)</f>
        <v>282555.1575</v>
      </c>
    </row>
    <row r="171" customFormat="false" ht="15" hidden="false" customHeight="true" outlineLevel="0" collapsed="false">
      <c r="A171" s="298" t="n">
        <v>39</v>
      </c>
      <c r="B171" s="297" t="str">
        <f aca="false">B36</f>
        <v>D</v>
      </c>
      <c r="D171" s="298" t="n">
        <f aca="false">SUM(D36:O36)*SUP_CONTROL!$C$28</f>
        <v>0</v>
      </c>
      <c r="E171" s="298" t="n">
        <f aca="false">SUM(P36:AA36)*SUP_CONTROL!$C$28</f>
        <v>0</v>
      </c>
      <c r="F171" s="298" t="n">
        <f aca="false">SUM(AB36:AM36)*SUP_CONTROL!$C$28</f>
        <v>0</v>
      </c>
      <c r="G171" s="298" t="n">
        <f aca="false">SUM(AN36:AY36)*SUP_CONTROL!$C$28</f>
        <v>0</v>
      </c>
      <c r="H171" s="298" t="n">
        <f aca="false">SUM(AZ36:BK36)*SUP_CONTROL!$C$28</f>
        <v>0</v>
      </c>
      <c r="I171" s="298" t="n">
        <f aca="false">SUM(BL36:BW36)*SUP_CONTROL!$C$28</f>
        <v>0</v>
      </c>
      <c r="J171" s="298" t="n">
        <f aca="false">SUM(BX36:CI36)*SUP_CONTROL!$C$28</f>
        <v>87096.75975</v>
      </c>
      <c r="K171" s="298" t="n">
        <f aca="false">SUM(CJ36:CU36)*SUP_CONTROL!$C$28</f>
        <v>90810.72</v>
      </c>
      <c r="L171" s="298" t="n">
        <f aca="false">SUM(CV36:DG36)*SUP_CONTROL!$C$28</f>
        <v>90810.72</v>
      </c>
      <c r="M171" s="298" t="n">
        <f aca="false">SUM(DH36:DS36)*SUP_CONTROL!$C$28</f>
        <v>90810.72</v>
      </c>
      <c r="N171" s="275" t="n">
        <f aca="false">SUM(D171:M171)</f>
        <v>359528.91975</v>
      </c>
    </row>
    <row r="172" customFormat="false" ht="15" hidden="false" customHeight="true" outlineLevel="0" collapsed="false">
      <c r="A172" s="298" t="n">
        <v>40</v>
      </c>
      <c r="B172" s="297" t="str">
        <f aca="false">B37</f>
        <v>F</v>
      </c>
      <c r="D172" s="298" t="n">
        <f aca="false">SUM(D37:O37)*SUP_CONTROL!$C$28</f>
        <v>0</v>
      </c>
      <c r="E172" s="298" t="n">
        <f aca="false">SUM(P37:AA37)*SUP_CONTROL!$C$28</f>
        <v>0</v>
      </c>
      <c r="F172" s="298" t="n">
        <f aca="false">SUM(AB37:AM37)*SUP_CONTROL!$C$28</f>
        <v>0</v>
      </c>
      <c r="G172" s="298" t="n">
        <f aca="false">SUM(AN37:AY37)*SUP_CONTROL!$C$28</f>
        <v>0</v>
      </c>
      <c r="H172" s="298" t="n">
        <f aca="false">SUM(AZ37:BK37)*SUP_CONTROL!$C$28</f>
        <v>0</v>
      </c>
      <c r="I172" s="298" t="n">
        <f aca="false">SUM(BL37:BW37)*SUP_CONTROL!$C$28</f>
        <v>0</v>
      </c>
      <c r="J172" s="298" t="n">
        <f aca="false">SUM(BX37:CI37)*SUP_CONTROL!$C$28</f>
        <v>110038.005</v>
      </c>
      <c r="K172" s="298" t="n">
        <f aca="false">SUM(CJ37:CU37)*SUP_CONTROL!$C$28</f>
        <v>139708.8</v>
      </c>
      <c r="L172" s="298" t="n">
        <f aca="false">SUM(CV37:DG37)*SUP_CONTROL!$C$28</f>
        <v>139708.8</v>
      </c>
      <c r="M172" s="298" t="n">
        <f aca="false">SUM(DH37:DS37)*SUP_CONTROL!$C$28</f>
        <v>139708.8</v>
      </c>
      <c r="N172" s="275" t="n">
        <f aca="false">SUM(D172:M172)</f>
        <v>529164.405</v>
      </c>
    </row>
    <row r="173" customFormat="false" ht="15" hidden="false" customHeight="true" outlineLevel="0" collapsed="false">
      <c r="A173" s="298" t="n">
        <v>41</v>
      </c>
      <c r="B173" s="297" t="str">
        <f aca="false">B38</f>
        <v>V</v>
      </c>
      <c r="D173" s="298" t="n">
        <f aca="false">SUM(D38:O38)*SUP_CONTROL!$C$28</f>
        <v>0</v>
      </c>
      <c r="E173" s="298" t="n">
        <f aca="false">SUM(P38:AA38)*SUP_CONTROL!$C$28</f>
        <v>0</v>
      </c>
      <c r="F173" s="298" t="n">
        <f aca="false">SUM(AB38:AM38)*SUP_CONTROL!$C$28</f>
        <v>0</v>
      </c>
      <c r="G173" s="298" t="n">
        <f aca="false">SUM(AN38:AY38)*SUP_CONTROL!$C$28</f>
        <v>0</v>
      </c>
      <c r="H173" s="298" t="n">
        <f aca="false">SUM(AZ38:BK38)*SUP_CONTROL!$C$28</f>
        <v>0</v>
      </c>
      <c r="I173" s="298" t="n">
        <f aca="false">SUM(BL38:BW38)*SUP_CONTROL!$C$28</f>
        <v>0</v>
      </c>
      <c r="J173" s="298" t="n">
        <f aca="false">SUM(BX38:CI38)*SUP_CONTROL!$C$28</f>
        <v>49045.3425</v>
      </c>
      <c r="K173" s="298" t="n">
        <f aca="false">SUM(CJ38:CU38)*SUP_CONTROL!$C$28</f>
        <v>69854.4</v>
      </c>
      <c r="L173" s="298" t="n">
        <f aca="false">SUM(CV38:DG38)*SUP_CONTROL!$C$28</f>
        <v>69854.4</v>
      </c>
      <c r="M173" s="298" t="n">
        <f aca="false">SUM(DH38:DS38)*SUP_CONTROL!$C$28</f>
        <v>69854.4</v>
      </c>
      <c r="N173" s="275" t="n">
        <f aca="false">SUM(D173:M173)</f>
        <v>258608.5425</v>
      </c>
    </row>
    <row r="174" customFormat="false" ht="15" hidden="false" customHeight="true" outlineLevel="0" collapsed="false">
      <c r="A174" s="298" t="n">
        <v>42</v>
      </c>
      <c r="B174" s="297" t="str">
        <f aca="false">B39</f>
        <v>V</v>
      </c>
      <c r="D174" s="298" t="n">
        <f aca="false">SUM(D39:O39)*SUP_CONTROL!$C$28</f>
        <v>0</v>
      </c>
      <c r="E174" s="298" t="n">
        <f aca="false">SUM(P39:AA39)*SUP_CONTROL!$C$28</f>
        <v>0</v>
      </c>
      <c r="F174" s="298" t="n">
        <f aca="false">SUM(AB39:AM39)*SUP_CONTROL!$C$28</f>
        <v>0</v>
      </c>
      <c r="G174" s="298" t="n">
        <f aca="false">SUM(AN39:AY39)*SUP_CONTROL!$C$28</f>
        <v>0</v>
      </c>
      <c r="H174" s="298" t="n">
        <f aca="false">SUM(AZ39:BK39)*SUP_CONTROL!$C$28</f>
        <v>0</v>
      </c>
      <c r="I174" s="298" t="n">
        <f aca="false">SUM(BL39:BW39)*SUP_CONTROL!$C$28</f>
        <v>0</v>
      </c>
      <c r="J174" s="298" t="n">
        <f aca="false">SUM(BX39:CI39)*SUP_CONTROL!$C$28</f>
        <v>43087.275</v>
      </c>
      <c r="K174" s="298" t="n">
        <f aca="false">SUM(CJ39:CU39)*SUP_CONTROL!$C$28</f>
        <v>69854.4</v>
      </c>
      <c r="L174" s="298" t="n">
        <f aca="false">SUM(CV39:DG39)*SUP_CONTROL!$C$28</f>
        <v>69854.4</v>
      </c>
      <c r="M174" s="298" t="n">
        <f aca="false">SUM(DH39:DS39)*SUP_CONTROL!$C$28</f>
        <v>69854.4</v>
      </c>
      <c r="N174" s="275" t="n">
        <f aca="false">SUM(D174:M174)</f>
        <v>252650.475</v>
      </c>
    </row>
    <row r="175" customFormat="false" ht="15" hidden="false" customHeight="true" outlineLevel="0" collapsed="false">
      <c r="A175" s="298" t="n">
        <v>43</v>
      </c>
      <c r="B175" s="297" t="str">
        <f aca="false">B40</f>
        <v>V</v>
      </c>
      <c r="D175" s="298" t="n">
        <f aca="false">SUM(D40:O40)*SUP_CONTROL!$C$28</f>
        <v>0</v>
      </c>
      <c r="E175" s="298" t="n">
        <f aca="false">SUM(P40:AA40)*SUP_CONTROL!$C$28</f>
        <v>0</v>
      </c>
      <c r="F175" s="298" t="n">
        <f aca="false">SUM(AB40:AM40)*SUP_CONTROL!$C$28</f>
        <v>0</v>
      </c>
      <c r="G175" s="298" t="n">
        <f aca="false">SUM(AN40:AY40)*SUP_CONTROL!$C$28</f>
        <v>0</v>
      </c>
      <c r="H175" s="298" t="n">
        <f aca="false">SUM(AZ40:BK40)*SUP_CONTROL!$C$28</f>
        <v>0</v>
      </c>
      <c r="I175" s="298" t="n">
        <f aca="false">SUM(BL40:BW40)*SUP_CONTROL!$C$28</f>
        <v>0</v>
      </c>
      <c r="J175" s="298" t="n">
        <f aca="false">SUM(BX40:CI40)*SUP_CONTROL!$C$28</f>
        <v>37196.775</v>
      </c>
      <c r="K175" s="298" t="n">
        <f aca="false">SUM(CJ40:CU40)*SUP_CONTROL!$C$28</f>
        <v>69854.4</v>
      </c>
      <c r="L175" s="298" t="n">
        <f aca="false">SUM(CV40:DG40)*SUP_CONTROL!$C$28</f>
        <v>69854.4</v>
      </c>
      <c r="M175" s="298" t="n">
        <f aca="false">SUM(DH40:DS40)*SUP_CONTROL!$C$28</f>
        <v>69854.4</v>
      </c>
      <c r="N175" s="275" t="n">
        <f aca="false">SUM(D175:M175)</f>
        <v>246759.975</v>
      </c>
    </row>
    <row r="176" customFormat="false" ht="15" hidden="false" customHeight="true" outlineLevel="0" collapsed="false">
      <c r="A176" s="298" t="n">
        <v>44</v>
      </c>
      <c r="B176" s="297" t="str">
        <f aca="false">B41</f>
        <v>D</v>
      </c>
      <c r="D176" s="298" t="n">
        <f aca="false">SUM(D41:O41)*SUP_CONTROL!$C$28</f>
        <v>0</v>
      </c>
      <c r="E176" s="298" t="n">
        <f aca="false">SUM(P41:AA41)*SUP_CONTROL!$C$28</f>
        <v>0</v>
      </c>
      <c r="F176" s="298" t="n">
        <f aca="false">SUM(AB41:AM41)*SUP_CONTROL!$C$28</f>
        <v>0</v>
      </c>
      <c r="G176" s="298" t="n">
        <f aca="false">SUM(AN41:AY41)*SUP_CONTROL!$C$28</f>
        <v>0</v>
      </c>
      <c r="H176" s="298" t="n">
        <f aca="false">SUM(AZ41:BK41)*SUP_CONTROL!$C$28</f>
        <v>0</v>
      </c>
      <c r="I176" s="298" t="n">
        <f aca="false">SUM(BL41:BW41)*SUP_CONTROL!$C$28</f>
        <v>0</v>
      </c>
      <c r="J176" s="298" t="n">
        <f aca="false">SUM(BX41:CI41)*SUP_CONTROL!$C$28</f>
        <v>40698.1575</v>
      </c>
      <c r="K176" s="298" t="n">
        <f aca="false">SUM(CJ41:CU41)*SUP_CONTROL!$C$28</f>
        <v>90810.72</v>
      </c>
      <c r="L176" s="298" t="n">
        <f aca="false">SUM(CV41:DG41)*SUP_CONTROL!$C$28</f>
        <v>90810.72</v>
      </c>
      <c r="M176" s="298" t="n">
        <f aca="false">SUM(DH41:DS41)*SUP_CONTROL!$C$28</f>
        <v>90810.72</v>
      </c>
      <c r="N176" s="275" t="n">
        <f aca="false">SUM(D176:M176)</f>
        <v>313130.3175</v>
      </c>
    </row>
    <row r="177" customFormat="false" ht="15" hidden="false" customHeight="true" outlineLevel="0" collapsed="false">
      <c r="A177" s="298" t="n">
        <v>45</v>
      </c>
      <c r="B177" s="297" t="str">
        <f aca="false">B42</f>
        <v>V</v>
      </c>
      <c r="D177" s="298" t="n">
        <f aca="false">SUM(D42:O42)*SUP_CONTROL!$C$28</f>
        <v>0</v>
      </c>
      <c r="E177" s="298" t="n">
        <f aca="false">SUM(P42:AA42)*SUP_CONTROL!$C$28</f>
        <v>0</v>
      </c>
      <c r="F177" s="298" t="n">
        <f aca="false">SUM(AB42:AM42)*SUP_CONTROL!$C$28</f>
        <v>0</v>
      </c>
      <c r="G177" s="298" t="n">
        <f aca="false">SUM(AN42:AY42)*SUP_CONTROL!$C$28</f>
        <v>0</v>
      </c>
      <c r="H177" s="298" t="n">
        <f aca="false">SUM(AZ42:BK42)*SUP_CONTROL!$C$28</f>
        <v>0</v>
      </c>
      <c r="I177" s="298" t="n">
        <f aca="false">SUM(BL42:BW42)*SUP_CONTROL!$C$28</f>
        <v>0</v>
      </c>
      <c r="J177" s="298" t="n">
        <f aca="false">SUM(BX42:CI42)*SUP_CONTROL!$C$28</f>
        <v>25422.705</v>
      </c>
      <c r="K177" s="298" t="n">
        <f aca="false">SUM(CJ42:CU42)*SUP_CONTROL!$C$28</f>
        <v>69854.4</v>
      </c>
      <c r="L177" s="298" t="n">
        <f aca="false">SUM(CV42:DG42)*SUP_CONTROL!$C$28</f>
        <v>69854.4</v>
      </c>
      <c r="M177" s="298" t="n">
        <f aca="false">SUM(DH42:DS42)*SUP_CONTROL!$C$28</f>
        <v>69854.4</v>
      </c>
      <c r="N177" s="275" t="n">
        <f aca="false">SUM(D177:M177)</f>
        <v>234985.905</v>
      </c>
    </row>
    <row r="178" customFormat="false" ht="15" hidden="false" customHeight="true" outlineLevel="0" collapsed="false">
      <c r="A178" s="298" t="n">
        <v>46</v>
      </c>
      <c r="B178" s="297" t="str">
        <f aca="false">B43</f>
        <v>V</v>
      </c>
      <c r="D178" s="298" t="n">
        <f aca="false">SUM(D43:O43)*SUP_CONTROL!$C$28</f>
        <v>0</v>
      </c>
      <c r="E178" s="298" t="n">
        <f aca="false">SUM(P43:AA43)*SUP_CONTROL!$C$28</f>
        <v>0</v>
      </c>
      <c r="F178" s="298" t="n">
        <f aca="false">SUM(AB43:AM43)*SUP_CONTROL!$C$28</f>
        <v>0</v>
      </c>
      <c r="G178" s="298" t="n">
        <f aca="false">SUM(AN43:AY43)*SUP_CONTROL!$C$28</f>
        <v>0</v>
      </c>
      <c r="H178" s="298" t="n">
        <f aca="false">SUM(AZ43:BK43)*SUP_CONTROL!$C$28</f>
        <v>0</v>
      </c>
      <c r="I178" s="298" t="n">
        <f aca="false">SUM(BL43:BW43)*SUP_CONTROL!$C$28</f>
        <v>0</v>
      </c>
      <c r="J178" s="298" t="n">
        <f aca="false">SUM(BX43:CI43)*SUP_CONTROL!$C$28</f>
        <v>19546.065</v>
      </c>
      <c r="K178" s="298" t="n">
        <f aca="false">SUM(CJ43:CU43)*SUP_CONTROL!$C$28</f>
        <v>69854.4</v>
      </c>
      <c r="L178" s="298" t="n">
        <f aca="false">SUM(CV43:DG43)*SUP_CONTROL!$C$28</f>
        <v>69854.4</v>
      </c>
      <c r="M178" s="298" t="n">
        <f aca="false">SUM(DH43:DS43)*SUP_CONTROL!$C$28</f>
        <v>69854.4</v>
      </c>
      <c r="N178" s="275" t="n">
        <f aca="false">SUM(D178:M178)</f>
        <v>229109.265</v>
      </c>
    </row>
    <row r="179" customFormat="false" ht="15" hidden="false" customHeight="true" outlineLevel="0" collapsed="false">
      <c r="A179" s="298" t="n">
        <v>47</v>
      </c>
      <c r="B179" s="297" t="str">
        <f aca="false">B44</f>
        <v>V</v>
      </c>
      <c r="D179" s="298" t="n">
        <f aca="false">SUM(D44:O44)*SUP_CONTROL!$C$28</f>
        <v>0</v>
      </c>
      <c r="E179" s="298" t="n">
        <f aca="false">SUM(P44:AA44)*SUP_CONTROL!$C$28</f>
        <v>0</v>
      </c>
      <c r="F179" s="298" t="n">
        <f aca="false">SUM(AB44:AM44)*SUP_CONTROL!$C$28</f>
        <v>0</v>
      </c>
      <c r="G179" s="298" t="n">
        <f aca="false">SUM(AN44:AY44)*SUP_CONTROL!$C$28</f>
        <v>0</v>
      </c>
      <c r="H179" s="298" t="n">
        <f aca="false">SUM(AZ44:BK44)*SUP_CONTROL!$C$28</f>
        <v>0</v>
      </c>
      <c r="I179" s="298" t="n">
        <f aca="false">SUM(BL44:BW44)*SUP_CONTROL!$C$28</f>
        <v>0</v>
      </c>
      <c r="J179" s="298" t="n">
        <f aca="false">SUM(BX44:CI44)*SUP_CONTROL!$C$28</f>
        <v>13679.82</v>
      </c>
      <c r="K179" s="298" t="n">
        <f aca="false">SUM(CJ44:CU44)*SUP_CONTROL!$C$28</f>
        <v>69854.4</v>
      </c>
      <c r="L179" s="298" t="n">
        <f aca="false">SUM(CV44:DG44)*SUP_CONTROL!$C$28</f>
        <v>69854.4</v>
      </c>
      <c r="M179" s="298" t="n">
        <f aca="false">SUM(DH44:DS44)*SUP_CONTROL!$C$28</f>
        <v>69854.4</v>
      </c>
      <c r="N179" s="275" t="n">
        <f aca="false">SUM(D179:M179)</f>
        <v>223243.02</v>
      </c>
    </row>
    <row r="180" customFormat="false" ht="15" hidden="false" customHeight="true" outlineLevel="0" collapsed="false">
      <c r="A180" s="298" t="n">
        <v>48</v>
      </c>
      <c r="B180" s="297" t="str">
        <f aca="false">B45</f>
        <v>D</v>
      </c>
      <c r="D180" s="298" t="n">
        <f aca="false">SUM(D45:O45)*SUP_CONTROL!$C$28</f>
        <v>0</v>
      </c>
      <c r="E180" s="298" t="n">
        <f aca="false">SUM(P45:AA45)*SUP_CONTROL!$C$28</f>
        <v>0</v>
      </c>
      <c r="F180" s="298" t="n">
        <f aca="false">SUM(AB45:AM45)*SUP_CONTROL!$C$28</f>
        <v>0</v>
      </c>
      <c r="G180" s="298" t="n">
        <f aca="false">SUM(AN45:AY45)*SUP_CONTROL!$C$28</f>
        <v>0</v>
      </c>
      <c r="H180" s="298" t="n">
        <f aca="false">SUM(AZ45:BK45)*SUP_CONTROL!$C$28</f>
        <v>0</v>
      </c>
      <c r="I180" s="298" t="n">
        <f aca="false">SUM(BL45:BW45)*SUP_CONTROL!$C$28</f>
        <v>0</v>
      </c>
      <c r="J180" s="298" t="n">
        <f aca="false">SUM(BX45:CI45)*SUP_CONTROL!$C$28</f>
        <v>10972.962</v>
      </c>
      <c r="K180" s="298" t="n">
        <f aca="false">SUM(CJ45:CU45)*SUP_CONTROL!$C$28</f>
        <v>90053.964</v>
      </c>
      <c r="L180" s="298" t="n">
        <f aca="false">SUM(CV45:DG45)*SUP_CONTROL!$C$28</f>
        <v>90810.72</v>
      </c>
      <c r="M180" s="298" t="n">
        <f aca="false">SUM(DH45:DS45)*SUP_CONTROL!$C$28</f>
        <v>90810.72</v>
      </c>
      <c r="N180" s="275" t="n">
        <f aca="false">SUM(D180:M180)</f>
        <v>282648.366</v>
      </c>
    </row>
    <row r="181" customFormat="false" ht="15" hidden="false" customHeight="true" outlineLevel="0" collapsed="false">
      <c r="A181" s="298" t="n">
        <v>49</v>
      </c>
      <c r="B181" s="297" t="str">
        <f aca="false">B46</f>
        <v>V</v>
      </c>
      <c r="D181" s="298" t="n">
        <f aca="false">SUM(D46:O46)*SUP_CONTROL!$C$28</f>
        <v>0</v>
      </c>
      <c r="E181" s="298" t="n">
        <f aca="false">SUM(P46:AA46)*SUP_CONTROL!$C$28</f>
        <v>0</v>
      </c>
      <c r="F181" s="298" t="n">
        <f aca="false">SUM(AB46:AM46)*SUP_CONTROL!$C$28</f>
        <v>0</v>
      </c>
      <c r="G181" s="298" t="n">
        <f aca="false">SUM(AN46:AY46)*SUP_CONTROL!$C$28</f>
        <v>0</v>
      </c>
      <c r="H181" s="298" t="n">
        <f aca="false">SUM(AZ46:BK46)*SUP_CONTROL!$C$28</f>
        <v>0</v>
      </c>
      <c r="I181" s="298" t="n">
        <f aca="false">SUM(BL46:BW46)*SUP_CONTROL!$C$28</f>
        <v>0</v>
      </c>
      <c r="J181" s="298" t="n">
        <f aca="false">SUM(BX46:CI46)*SUP_CONTROL!$C$28</f>
        <v>3783.78</v>
      </c>
      <c r="K181" s="298" t="n">
        <f aca="false">SUM(CJ46:CU46)*SUP_CONTROL!$C$28</f>
        <v>68108.04</v>
      </c>
      <c r="L181" s="298" t="n">
        <f aca="false">SUM(CV46:DG46)*SUP_CONTROL!$C$28</f>
        <v>69854.4</v>
      </c>
      <c r="M181" s="298" t="n">
        <f aca="false">SUM(DH46:DS46)*SUP_CONTROL!$C$28</f>
        <v>69854.4</v>
      </c>
      <c r="N181" s="275" t="n">
        <f aca="false">SUM(D181:M181)</f>
        <v>211600.62</v>
      </c>
    </row>
    <row r="182" customFormat="false" ht="15" hidden="false" customHeight="true" outlineLevel="0" collapsed="false">
      <c r="A182" s="298" t="n">
        <v>50</v>
      </c>
      <c r="B182" s="297" t="str">
        <f aca="false">B47</f>
        <v>V</v>
      </c>
      <c r="D182" s="298" t="n">
        <f aca="false">SUM(D47:O47)*SUP_CONTROL!$C$28</f>
        <v>0</v>
      </c>
      <c r="E182" s="298" t="n">
        <f aca="false">SUM(P47:AA47)*SUP_CONTROL!$C$28</f>
        <v>0</v>
      </c>
      <c r="F182" s="298" t="n">
        <f aca="false">SUM(AB47:AM47)*SUP_CONTROL!$C$28</f>
        <v>0</v>
      </c>
      <c r="G182" s="298" t="n">
        <f aca="false">SUM(AN47:AY47)*SUP_CONTROL!$C$28</f>
        <v>0</v>
      </c>
      <c r="H182" s="298" t="n">
        <f aca="false">SUM(AZ47:BK47)*SUP_CONTROL!$C$28</f>
        <v>0</v>
      </c>
      <c r="I182" s="298" t="n">
        <f aca="false">SUM(BL47:BW47)*SUP_CONTROL!$C$28</f>
        <v>0</v>
      </c>
      <c r="J182" s="298" t="n">
        <f aca="false">SUM(BX47:CI47)*SUP_CONTROL!$C$28</f>
        <v>13679.82</v>
      </c>
      <c r="K182" s="298" t="n">
        <f aca="false">SUM(CJ47:CU47)*SUP_CONTROL!$C$28</f>
        <v>69854.4</v>
      </c>
      <c r="L182" s="298" t="n">
        <f aca="false">SUM(CV47:DG47)*SUP_CONTROL!$C$28</f>
        <v>69854.4</v>
      </c>
      <c r="M182" s="298" t="n">
        <f aca="false">SUM(DH47:DS47)*SUP_CONTROL!$C$28</f>
        <v>69854.4</v>
      </c>
      <c r="N182" s="275" t="n">
        <f aca="false">SUM(D182:M182)</f>
        <v>223243.02</v>
      </c>
    </row>
    <row r="183" customFormat="false" ht="15" hidden="false" customHeight="true" outlineLevel="0" collapsed="false">
      <c r="B183" s="178" t="s">
        <v>240</v>
      </c>
      <c r="D183" s="275" t="n">
        <f aca="false">SUM(D143:D182)</f>
        <v>0</v>
      </c>
      <c r="E183" s="275" t="n">
        <f aca="false">SUM(E143:E182)</f>
        <v>83506.5</v>
      </c>
      <c r="F183" s="275" t="n">
        <f aca="false">SUM(F143:F182)</f>
        <v>315393.6555</v>
      </c>
      <c r="G183" s="275" t="n">
        <f aca="false">SUM(G143:G182)</f>
        <v>791291.3085</v>
      </c>
      <c r="H183" s="275" t="n">
        <f aca="false">SUM(H143:H182)</f>
        <v>1191279.1275</v>
      </c>
      <c r="I183" s="275" t="n">
        <f aca="false">SUM(I143:I182)</f>
        <v>1812898.0485</v>
      </c>
      <c r="J183" s="275" t="n">
        <f aca="false">SUM(J143:J182)</f>
        <v>2635381.80675</v>
      </c>
      <c r="K183" s="275" t="n">
        <f aca="false">SUM(K143:K182)</f>
        <v>3119988.564</v>
      </c>
      <c r="L183" s="275" t="n">
        <f aca="false">SUM(L143:L182)</f>
        <v>3122491.68</v>
      </c>
      <c r="M183" s="275" t="n">
        <f aca="false">SUM(M143:M182)</f>
        <v>3122491.68</v>
      </c>
      <c r="N183" s="275" t="n">
        <f aca="false">SUM(N143:N182)</f>
        <v>16194722.37075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43C0C"/>
    <pageSetUpPr fitToPage="false"/>
  </sheetPr>
  <dimension ref="A1:I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6" activeCellId="0" sqref="C16"/>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2"/>
    <col collapsed="false" customWidth="true" hidden="false" outlineLevel="0" max="4" min="3" style="1" width="13"/>
    <col collapsed="false" customWidth="true" hidden="false" outlineLevel="0" max="7" min="7" style="1" width="100"/>
  </cols>
  <sheetData>
    <row r="1" customFormat="false" ht="15" hidden="false" customHeight="true" outlineLevel="0" collapsed="false">
      <c r="A1" s="185" t="s">
        <v>3570</v>
      </c>
      <c r="B1" s="126"/>
      <c r="C1" s="126"/>
      <c r="D1" s="126"/>
      <c r="E1" s="126"/>
      <c r="F1" s="126"/>
      <c r="G1" s="126"/>
      <c r="H1" s="126"/>
      <c r="I1" s="126"/>
    </row>
    <row r="2" customFormat="false" ht="15" hidden="false" customHeight="true" outlineLevel="0" collapsed="false">
      <c r="A2" s="23" t="s">
        <v>3571</v>
      </c>
    </row>
    <row r="3" customFormat="false" ht="15" hidden="false" customHeight="true" outlineLevel="0" collapsed="false">
      <c r="A3" s="23" t="s">
        <v>495</v>
      </c>
    </row>
    <row r="5" customFormat="false" ht="15" hidden="false" customHeight="true" outlineLevel="0" collapsed="false">
      <c r="A5" s="186" t="s">
        <v>3572</v>
      </c>
      <c r="B5" s="25"/>
      <c r="C5" s="25"/>
      <c r="D5" s="25"/>
      <c r="E5" s="25"/>
      <c r="F5" s="25"/>
      <c r="G5" s="25"/>
      <c r="H5" s="25"/>
      <c r="I5" s="25"/>
    </row>
    <row r="6" customFormat="false" ht="15" hidden="false" customHeight="true" outlineLevel="0" collapsed="false">
      <c r="B6" s="178" t="s">
        <v>1570</v>
      </c>
      <c r="C6" s="178" t="s">
        <v>1487</v>
      </c>
      <c r="D6" s="178" t="s">
        <v>1489</v>
      </c>
    </row>
    <row r="7" customFormat="false" ht="15" hidden="false" customHeight="true" outlineLevel="0" collapsed="false">
      <c r="B7" s="1" t="s">
        <v>3573</v>
      </c>
      <c r="C7" s="266" t="n">
        <v>45000</v>
      </c>
      <c r="D7" s="273" t="n">
        <f aca="false">C7*SUP_CAPEX_PLANTA!$C$8</f>
        <v>73732.5</v>
      </c>
      <c r="G7" s="23" t="s">
        <v>3574</v>
      </c>
    </row>
    <row r="8" customFormat="false" ht="15" hidden="false" customHeight="true" outlineLevel="0" collapsed="false">
      <c r="B8" s="1" t="s">
        <v>3575</v>
      </c>
      <c r="C8" s="266" t="n">
        <v>30000</v>
      </c>
      <c r="D8" s="273" t="n">
        <f aca="false">C8*SUP_CAPEX_PLANTA!$C$8</f>
        <v>49155</v>
      </c>
      <c r="G8" s="23" t="s">
        <v>3576</v>
      </c>
    </row>
    <row r="9" customFormat="false" ht="15" hidden="false" customHeight="true" outlineLevel="0" collapsed="false">
      <c r="B9" s="1" t="s">
        <v>3577</v>
      </c>
      <c r="C9" s="266" t="n">
        <v>12000</v>
      </c>
      <c r="D9" s="273" t="n">
        <f aca="false">C9*SUP_CAPEX_PLANTA!$C$8</f>
        <v>19662</v>
      </c>
      <c r="G9" s="23" t="s">
        <v>3578</v>
      </c>
    </row>
    <row r="10" customFormat="false" ht="15" hidden="false" customHeight="true" outlineLevel="0" collapsed="false">
      <c r="B10" s="1" t="s">
        <v>3579</v>
      </c>
      <c r="C10" s="266" t="n">
        <v>20000</v>
      </c>
      <c r="D10" s="273" t="n">
        <f aca="false">C10*SUP_CAPEX_PLANTA!$C$8</f>
        <v>32770</v>
      </c>
      <c r="G10" s="23" t="s">
        <v>3580</v>
      </c>
    </row>
    <row r="11" customFormat="false" ht="15" hidden="false" customHeight="true" outlineLevel="0" collapsed="false">
      <c r="B11" s="1" t="s">
        <v>3581</v>
      </c>
      <c r="D11" s="266" t="n">
        <v>8000</v>
      </c>
      <c r="G11" s="23" t="s">
        <v>1517</v>
      </c>
    </row>
    <row r="12" customFormat="false" ht="15" hidden="false" customHeight="true" outlineLevel="0" collapsed="false">
      <c r="B12" s="1" t="s">
        <v>3582</v>
      </c>
      <c r="C12" s="290" t="n">
        <f aca="false">SUM(D7:D11)*(1+SUP_CAPEX_PLANTA!$C$10)*(1+SUP_CAPEX_PLANTA!$C$11)</f>
        <v>225849.624</v>
      </c>
      <c r="G12" s="23" t="s">
        <v>3583</v>
      </c>
    </row>
    <row r="14" customFormat="false" ht="15" hidden="false" customHeight="true" outlineLevel="0" collapsed="false">
      <c r="A14" s="186" t="s">
        <v>3584</v>
      </c>
      <c r="B14" s="25"/>
      <c r="C14" s="25"/>
      <c r="D14" s="25"/>
      <c r="E14" s="25"/>
      <c r="F14" s="25"/>
      <c r="G14" s="25"/>
      <c r="H14" s="25"/>
      <c r="I14" s="25"/>
    </row>
    <row r="15" customFormat="false" ht="15" hidden="false" customHeight="true" outlineLevel="0" collapsed="false">
      <c r="B15" s="1" t="s">
        <v>3585</v>
      </c>
      <c r="C15" s="190" t="n">
        <v>25</v>
      </c>
      <c r="G15" s="23" t="s">
        <v>3586</v>
      </c>
    </row>
    <row r="16" customFormat="false" ht="15" hidden="false" customHeight="true" outlineLevel="0" collapsed="false">
      <c r="B16" s="1" t="s">
        <v>3587</v>
      </c>
      <c r="C16" s="190" t="n">
        <v>5</v>
      </c>
    </row>
    <row r="17" customFormat="false" ht="15" hidden="false" customHeight="true" outlineLevel="0" collapsed="false">
      <c r="B17" s="1" t="s">
        <v>3588</v>
      </c>
      <c r="C17" s="315" t="n">
        <v>0.5</v>
      </c>
      <c r="G17" s="23" t="s">
        <v>3589</v>
      </c>
    </row>
    <row r="18" customFormat="false" ht="15" hidden="false" customHeight="true" outlineLevel="0" collapsed="false">
      <c r="B18" s="1" t="s">
        <v>3590</v>
      </c>
      <c r="C18" s="190" t="n">
        <v>30</v>
      </c>
      <c r="G18" s="23" t="s">
        <v>3591</v>
      </c>
    </row>
    <row r="19" customFormat="false" ht="15" hidden="false" customHeight="true" outlineLevel="0" collapsed="false">
      <c r="B19" s="1" t="s">
        <v>3592</v>
      </c>
      <c r="C19" s="573" t="n">
        <v>4.2</v>
      </c>
      <c r="G19" s="23" t="s">
        <v>3593</v>
      </c>
    </row>
    <row r="20" customFormat="false" ht="15" hidden="false" customHeight="true" outlineLevel="0" collapsed="false">
      <c r="B20" s="1" t="s">
        <v>3594</v>
      </c>
      <c r="C20" s="199" t="n">
        <v>0.65</v>
      </c>
      <c r="G20" s="23" t="s">
        <v>3595</v>
      </c>
    </row>
    <row r="21" customFormat="false" ht="15" hidden="false" customHeight="true" outlineLevel="0" collapsed="false">
      <c r="B21" s="1" t="s">
        <v>3596</v>
      </c>
      <c r="C21" s="199" t="n">
        <v>0.12</v>
      </c>
      <c r="G21" s="23" t="s">
        <v>3597</v>
      </c>
    </row>
    <row r="22" customFormat="false" ht="15" hidden="false" customHeight="true" outlineLevel="0" collapsed="false">
      <c r="B22" s="1" t="s">
        <v>3598</v>
      </c>
      <c r="C22" s="266" t="n">
        <v>3000</v>
      </c>
      <c r="G22" s="23" t="s">
        <v>3599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43C0C"/>
    <pageSetUpPr fitToPage="false"/>
  </sheetPr>
  <dimension ref="A1:DS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6"/>
    <col collapsed="false" customWidth="true" hidden="false" outlineLevel="0" max="123" min="4" style="1" width="10"/>
  </cols>
  <sheetData>
    <row r="1" customFormat="false" ht="15" hidden="false" customHeight="true" outlineLevel="0" collapsed="false">
      <c r="A1" s="185" t="s">
        <v>3600</v>
      </c>
      <c r="B1" s="126"/>
      <c r="C1" s="126"/>
      <c r="D1" s="126"/>
      <c r="E1" s="126"/>
      <c r="F1" s="126"/>
      <c r="G1" s="126"/>
      <c r="H1" s="126"/>
      <c r="I1" s="126"/>
    </row>
    <row r="2" customFormat="false" ht="15" hidden="false" customHeight="true" outlineLevel="0" collapsed="false">
      <c r="A2" s="23" t="s">
        <v>3601</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5" customFormat="false" ht="15" hidden="false" customHeight="true" outlineLevel="0" collapsed="false">
      <c r="A5" s="186" t="s">
        <v>3413</v>
      </c>
      <c r="B5" s="25"/>
      <c r="C5" s="25"/>
    </row>
    <row r="6" customFormat="false" ht="15" hidden="false" customHeight="true" outlineLevel="0" collapsed="false">
      <c r="B6" s="297" t="s">
        <v>3602</v>
      </c>
      <c r="D6" s="298" t="n">
        <f aca="false">IF(D4&gt;=SUP_C4_RETAIL!$C$15,1,0)</f>
        <v>0</v>
      </c>
      <c r="E6" s="298" t="n">
        <f aca="false">IF(E4&gt;=SUP_C4_RETAIL!$C$15,1,0)</f>
        <v>0</v>
      </c>
      <c r="F6" s="298" t="n">
        <f aca="false">IF(F4&gt;=SUP_C4_RETAIL!$C$15,1,0)</f>
        <v>0</v>
      </c>
      <c r="G6" s="298" t="n">
        <f aca="false">IF(G4&gt;=SUP_C4_RETAIL!$C$15,1,0)</f>
        <v>0</v>
      </c>
      <c r="H6" s="298" t="n">
        <f aca="false">IF(H4&gt;=SUP_C4_RETAIL!$C$15,1,0)</f>
        <v>0</v>
      </c>
      <c r="I6" s="298" t="n">
        <f aca="false">IF(I4&gt;=SUP_C4_RETAIL!$C$15,1,0)</f>
        <v>0</v>
      </c>
      <c r="J6" s="298" t="n">
        <f aca="false">IF(J4&gt;=SUP_C4_RETAIL!$C$15,1,0)</f>
        <v>0</v>
      </c>
      <c r="K6" s="298" t="n">
        <f aca="false">IF(K4&gt;=SUP_C4_RETAIL!$C$15,1,0)</f>
        <v>0</v>
      </c>
      <c r="L6" s="298" t="n">
        <f aca="false">IF(L4&gt;=SUP_C4_RETAIL!$C$15,1,0)</f>
        <v>0</v>
      </c>
      <c r="M6" s="298" t="n">
        <f aca="false">IF(M4&gt;=SUP_C4_RETAIL!$C$15,1,0)</f>
        <v>0</v>
      </c>
      <c r="N6" s="298" t="n">
        <f aca="false">IF(N4&gt;=SUP_C4_RETAIL!$C$15,1,0)</f>
        <v>0</v>
      </c>
      <c r="O6" s="298" t="n">
        <f aca="false">IF(O4&gt;=SUP_C4_RETAIL!$C$15,1,0)</f>
        <v>0</v>
      </c>
      <c r="P6" s="298" t="n">
        <f aca="false">IF(P4&gt;=SUP_C4_RETAIL!$C$15,1,0)</f>
        <v>0</v>
      </c>
      <c r="Q6" s="298" t="n">
        <f aca="false">IF(Q4&gt;=SUP_C4_RETAIL!$C$15,1,0)</f>
        <v>0</v>
      </c>
      <c r="R6" s="298" t="n">
        <f aca="false">IF(R4&gt;=SUP_C4_RETAIL!$C$15,1,0)</f>
        <v>0</v>
      </c>
      <c r="S6" s="298" t="n">
        <f aca="false">IF(S4&gt;=SUP_C4_RETAIL!$C$15,1,0)</f>
        <v>0</v>
      </c>
      <c r="T6" s="298" t="n">
        <f aca="false">IF(T4&gt;=SUP_C4_RETAIL!$C$15,1,0)</f>
        <v>0</v>
      </c>
      <c r="U6" s="298" t="n">
        <f aca="false">IF(U4&gt;=SUP_C4_RETAIL!$C$15,1,0)</f>
        <v>0</v>
      </c>
      <c r="V6" s="298" t="n">
        <f aca="false">IF(V4&gt;=SUP_C4_RETAIL!$C$15,1,0)</f>
        <v>0</v>
      </c>
      <c r="W6" s="298" t="n">
        <f aca="false">IF(W4&gt;=SUP_C4_RETAIL!$C$15,1,0)</f>
        <v>0</v>
      </c>
      <c r="X6" s="298" t="n">
        <f aca="false">IF(X4&gt;=SUP_C4_RETAIL!$C$15,1,0)</f>
        <v>0</v>
      </c>
      <c r="Y6" s="298" t="n">
        <f aca="false">IF(Y4&gt;=SUP_C4_RETAIL!$C$15,1,0)</f>
        <v>0</v>
      </c>
      <c r="Z6" s="298" t="n">
        <f aca="false">IF(Z4&gt;=SUP_C4_RETAIL!$C$15,1,0)</f>
        <v>0</v>
      </c>
      <c r="AA6" s="298" t="n">
        <f aca="false">IF(AA4&gt;=SUP_C4_RETAIL!$C$15,1,0)</f>
        <v>0</v>
      </c>
      <c r="AB6" s="298" t="n">
        <f aca="false">IF(AB4&gt;=SUP_C4_RETAIL!$C$15,1,0)</f>
        <v>1</v>
      </c>
      <c r="AC6" s="298" t="n">
        <f aca="false">IF(AC4&gt;=SUP_C4_RETAIL!$C$15,1,0)</f>
        <v>1</v>
      </c>
      <c r="AD6" s="298" t="n">
        <f aca="false">IF(AD4&gt;=SUP_C4_RETAIL!$C$15,1,0)</f>
        <v>1</v>
      </c>
      <c r="AE6" s="298" t="n">
        <f aca="false">IF(AE4&gt;=SUP_C4_RETAIL!$C$15,1,0)</f>
        <v>1</v>
      </c>
      <c r="AF6" s="298" t="n">
        <f aca="false">IF(AF4&gt;=SUP_C4_RETAIL!$C$15,1,0)</f>
        <v>1</v>
      </c>
      <c r="AG6" s="298" t="n">
        <f aca="false">IF(AG4&gt;=SUP_C4_RETAIL!$C$15,1,0)</f>
        <v>1</v>
      </c>
      <c r="AH6" s="298" t="n">
        <f aca="false">IF(AH4&gt;=SUP_C4_RETAIL!$C$15,1,0)</f>
        <v>1</v>
      </c>
      <c r="AI6" s="298" t="n">
        <f aca="false">IF(AI4&gt;=SUP_C4_RETAIL!$C$15,1,0)</f>
        <v>1</v>
      </c>
      <c r="AJ6" s="298" t="n">
        <f aca="false">IF(AJ4&gt;=SUP_C4_RETAIL!$C$15,1,0)</f>
        <v>1</v>
      </c>
      <c r="AK6" s="298" t="n">
        <f aca="false">IF(AK4&gt;=SUP_C4_RETAIL!$C$15,1,0)</f>
        <v>1</v>
      </c>
      <c r="AL6" s="298" t="n">
        <f aca="false">IF(AL4&gt;=SUP_C4_RETAIL!$C$15,1,0)</f>
        <v>1</v>
      </c>
      <c r="AM6" s="298" t="n">
        <f aca="false">IF(AM4&gt;=SUP_C4_RETAIL!$C$15,1,0)</f>
        <v>1</v>
      </c>
      <c r="AN6" s="298" t="n">
        <f aca="false">IF(AN4&gt;=SUP_C4_RETAIL!$C$15,1,0)</f>
        <v>1</v>
      </c>
      <c r="AO6" s="298" t="n">
        <f aca="false">IF(AO4&gt;=SUP_C4_RETAIL!$C$15,1,0)</f>
        <v>1</v>
      </c>
      <c r="AP6" s="298" t="n">
        <f aca="false">IF(AP4&gt;=SUP_C4_RETAIL!$C$15,1,0)</f>
        <v>1</v>
      </c>
      <c r="AQ6" s="298" t="n">
        <f aca="false">IF(AQ4&gt;=SUP_C4_RETAIL!$C$15,1,0)</f>
        <v>1</v>
      </c>
      <c r="AR6" s="298" t="n">
        <f aca="false">IF(AR4&gt;=SUP_C4_RETAIL!$C$15,1,0)</f>
        <v>1</v>
      </c>
      <c r="AS6" s="298" t="n">
        <f aca="false">IF(AS4&gt;=SUP_C4_RETAIL!$C$15,1,0)</f>
        <v>1</v>
      </c>
      <c r="AT6" s="298" t="n">
        <f aca="false">IF(AT4&gt;=SUP_C4_RETAIL!$C$15,1,0)</f>
        <v>1</v>
      </c>
      <c r="AU6" s="298" t="n">
        <f aca="false">IF(AU4&gt;=SUP_C4_RETAIL!$C$15,1,0)</f>
        <v>1</v>
      </c>
      <c r="AV6" s="298" t="n">
        <f aca="false">IF(AV4&gt;=SUP_C4_RETAIL!$C$15,1,0)</f>
        <v>1</v>
      </c>
      <c r="AW6" s="298" t="n">
        <f aca="false">IF(AW4&gt;=SUP_C4_RETAIL!$C$15,1,0)</f>
        <v>1</v>
      </c>
      <c r="AX6" s="298" t="n">
        <f aca="false">IF(AX4&gt;=SUP_C4_RETAIL!$C$15,1,0)</f>
        <v>1</v>
      </c>
      <c r="AY6" s="298" t="n">
        <f aca="false">IF(AY4&gt;=SUP_C4_RETAIL!$C$15,1,0)</f>
        <v>1</v>
      </c>
      <c r="AZ6" s="298" t="n">
        <f aca="false">IF(AZ4&gt;=SUP_C4_RETAIL!$C$15,1,0)</f>
        <v>1</v>
      </c>
      <c r="BA6" s="298" t="n">
        <f aca="false">IF(BA4&gt;=SUP_C4_RETAIL!$C$15,1,0)</f>
        <v>1</v>
      </c>
      <c r="BB6" s="298" t="n">
        <f aca="false">IF(BB4&gt;=SUP_C4_RETAIL!$C$15,1,0)</f>
        <v>1</v>
      </c>
      <c r="BC6" s="298" t="n">
        <f aca="false">IF(BC4&gt;=SUP_C4_RETAIL!$C$15,1,0)</f>
        <v>1</v>
      </c>
      <c r="BD6" s="298" t="n">
        <f aca="false">IF(BD4&gt;=SUP_C4_RETAIL!$C$15,1,0)</f>
        <v>1</v>
      </c>
      <c r="BE6" s="298" t="n">
        <f aca="false">IF(BE4&gt;=SUP_C4_RETAIL!$C$15,1,0)</f>
        <v>1</v>
      </c>
      <c r="BF6" s="298" t="n">
        <f aca="false">IF(BF4&gt;=SUP_C4_RETAIL!$C$15,1,0)</f>
        <v>1</v>
      </c>
      <c r="BG6" s="298" t="n">
        <f aca="false">IF(BG4&gt;=SUP_C4_RETAIL!$C$15,1,0)</f>
        <v>1</v>
      </c>
      <c r="BH6" s="298" t="n">
        <f aca="false">IF(BH4&gt;=SUP_C4_RETAIL!$C$15,1,0)</f>
        <v>1</v>
      </c>
      <c r="BI6" s="298" t="n">
        <f aca="false">IF(BI4&gt;=SUP_C4_RETAIL!$C$15,1,0)</f>
        <v>1</v>
      </c>
      <c r="BJ6" s="298" t="n">
        <f aca="false">IF(BJ4&gt;=SUP_C4_RETAIL!$C$15,1,0)</f>
        <v>1</v>
      </c>
      <c r="BK6" s="298" t="n">
        <f aca="false">IF(BK4&gt;=SUP_C4_RETAIL!$C$15,1,0)</f>
        <v>1</v>
      </c>
      <c r="BL6" s="298" t="n">
        <f aca="false">IF(BL4&gt;=SUP_C4_RETAIL!$C$15,1,0)</f>
        <v>1</v>
      </c>
      <c r="BM6" s="298" t="n">
        <f aca="false">IF(BM4&gt;=SUP_C4_RETAIL!$C$15,1,0)</f>
        <v>1</v>
      </c>
      <c r="BN6" s="298" t="n">
        <f aca="false">IF(BN4&gt;=SUP_C4_RETAIL!$C$15,1,0)</f>
        <v>1</v>
      </c>
      <c r="BO6" s="298" t="n">
        <f aca="false">IF(BO4&gt;=SUP_C4_RETAIL!$C$15,1,0)</f>
        <v>1</v>
      </c>
      <c r="BP6" s="298" t="n">
        <f aca="false">IF(BP4&gt;=SUP_C4_RETAIL!$C$15,1,0)</f>
        <v>1</v>
      </c>
      <c r="BQ6" s="298" t="n">
        <f aca="false">IF(BQ4&gt;=SUP_C4_RETAIL!$C$15,1,0)</f>
        <v>1</v>
      </c>
      <c r="BR6" s="298" t="n">
        <f aca="false">IF(BR4&gt;=SUP_C4_RETAIL!$C$15,1,0)</f>
        <v>1</v>
      </c>
      <c r="BS6" s="298" t="n">
        <f aca="false">IF(BS4&gt;=SUP_C4_RETAIL!$C$15,1,0)</f>
        <v>1</v>
      </c>
      <c r="BT6" s="298" t="n">
        <f aca="false">IF(BT4&gt;=SUP_C4_RETAIL!$C$15,1,0)</f>
        <v>1</v>
      </c>
      <c r="BU6" s="298" t="n">
        <f aca="false">IF(BU4&gt;=SUP_C4_RETAIL!$C$15,1,0)</f>
        <v>1</v>
      </c>
      <c r="BV6" s="298" t="n">
        <f aca="false">IF(BV4&gt;=SUP_C4_RETAIL!$C$15,1,0)</f>
        <v>1</v>
      </c>
      <c r="BW6" s="298" t="n">
        <f aca="false">IF(BW4&gt;=SUP_C4_RETAIL!$C$15,1,0)</f>
        <v>1</v>
      </c>
      <c r="BX6" s="298" t="n">
        <f aca="false">IF(BX4&gt;=SUP_C4_RETAIL!$C$15,1,0)</f>
        <v>1</v>
      </c>
      <c r="BY6" s="298" t="n">
        <f aca="false">IF(BY4&gt;=SUP_C4_RETAIL!$C$15,1,0)</f>
        <v>1</v>
      </c>
      <c r="BZ6" s="298" t="n">
        <f aca="false">IF(BZ4&gt;=SUP_C4_RETAIL!$C$15,1,0)</f>
        <v>1</v>
      </c>
      <c r="CA6" s="298" t="n">
        <f aca="false">IF(CA4&gt;=SUP_C4_RETAIL!$C$15,1,0)</f>
        <v>1</v>
      </c>
      <c r="CB6" s="298" t="n">
        <f aca="false">IF(CB4&gt;=SUP_C4_RETAIL!$C$15,1,0)</f>
        <v>1</v>
      </c>
      <c r="CC6" s="298" t="n">
        <f aca="false">IF(CC4&gt;=SUP_C4_RETAIL!$C$15,1,0)</f>
        <v>1</v>
      </c>
      <c r="CD6" s="298" t="n">
        <f aca="false">IF(CD4&gt;=SUP_C4_RETAIL!$C$15,1,0)</f>
        <v>1</v>
      </c>
      <c r="CE6" s="298" t="n">
        <f aca="false">IF(CE4&gt;=SUP_C4_RETAIL!$C$15,1,0)</f>
        <v>1</v>
      </c>
      <c r="CF6" s="298" t="n">
        <f aca="false">IF(CF4&gt;=SUP_C4_RETAIL!$C$15,1,0)</f>
        <v>1</v>
      </c>
      <c r="CG6" s="298" t="n">
        <f aca="false">IF(CG4&gt;=SUP_C4_RETAIL!$C$15,1,0)</f>
        <v>1</v>
      </c>
      <c r="CH6" s="298" t="n">
        <f aca="false">IF(CH4&gt;=SUP_C4_RETAIL!$C$15,1,0)</f>
        <v>1</v>
      </c>
      <c r="CI6" s="298" t="n">
        <f aca="false">IF(CI4&gt;=SUP_C4_RETAIL!$C$15,1,0)</f>
        <v>1</v>
      </c>
      <c r="CJ6" s="298" t="n">
        <f aca="false">IF(CJ4&gt;=SUP_C4_RETAIL!$C$15,1,0)</f>
        <v>1</v>
      </c>
      <c r="CK6" s="298" t="n">
        <f aca="false">IF(CK4&gt;=SUP_C4_RETAIL!$C$15,1,0)</f>
        <v>1</v>
      </c>
      <c r="CL6" s="298" t="n">
        <f aca="false">IF(CL4&gt;=SUP_C4_RETAIL!$C$15,1,0)</f>
        <v>1</v>
      </c>
      <c r="CM6" s="298" t="n">
        <f aca="false">IF(CM4&gt;=SUP_C4_RETAIL!$C$15,1,0)</f>
        <v>1</v>
      </c>
      <c r="CN6" s="298" t="n">
        <f aca="false">IF(CN4&gt;=SUP_C4_RETAIL!$C$15,1,0)</f>
        <v>1</v>
      </c>
      <c r="CO6" s="298" t="n">
        <f aca="false">IF(CO4&gt;=SUP_C4_RETAIL!$C$15,1,0)</f>
        <v>1</v>
      </c>
      <c r="CP6" s="298" t="n">
        <f aca="false">IF(CP4&gt;=SUP_C4_RETAIL!$C$15,1,0)</f>
        <v>1</v>
      </c>
      <c r="CQ6" s="298" t="n">
        <f aca="false">IF(CQ4&gt;=SUP_C4_RETAIL!$C$15,1,0)</f>
        <v>1</v>
      </c>
      <c r="CR6" s="298" t="n">
        <f aca="false">IF(CR4&gt;=SUP_C4_RETAIL!$C$15,1,0)</f>
        <v>1</v>
      </c>
      <c r="CS6" s="298" t="n">
        <f aca="false">IF(CS4&gt;=SUP_C4_RETAIL!$C$15,1,0)</f>
        <v>1</v>
      </c>
      <c r="CT6" s="298" t="n">
        <f aca="false">IF(CT4&gt;=SUP_C4_RETAIL!$C$15,1,0)</f>
        <v>1</v>
      </c>
      <c r="CU6" s="298" t="n">
        <f aca="false">IF(CU4&gt;=SUP_C4_RETAIL!$C$15,1,0)</f>
        <v>1</v>
      </c>
      <c r="CV6" s="298" t="n">
        <f aca="false">IF(CV4&gt;=SUP_C4_RETAIL!$C$15,1,0)</f>
        <v>1</v>
      </c>
      <c r="CW6" s="298" t="n">
        <f aca="false">IF(CW4&gt;=SUP_C4_RETAIL!$C$15,1,0)</f>
        <v>1</v>
      </c>
      <c r="CX6" s="298" t="n">
        <f aca="false">IF(CX4&gt;=SUP_C4_RETAIL!$C$15,1,0)</f>
        <v>1</v>
      </c>
      <c r="CY6" s="298" t="n">
        <f aca="false">IF(CY4&gt;=SUP_C4_RETAIL!$C$15,1,0)</f>
        <v>1</v>
      </c>
      <c r="CZ6" s="298" t="n">
        <f aca="false">IF(CZ4&gt;=SUP_C4_RETAIL!$C$15,1,0)</f>
        <v>1</v>
      </c>
      <c r="DA6" s="298" t="n">
        <f aca="false">IF(DA4&gt;=SUP_C4_RETAIL!$C$15,1,0)</f>
        <v>1</v>
      </c>
      <c r="DB6" s="298" t="n">
        <f aca="false">IF(DB4&gt;=SUP_C4_RETAIL!$C$15,1,0)</f>
        <v>1</v>
      </c>
      <c r="DC6" s="298" t="n">
        <f aca="false">IF(DC4&gt;=SUP_C4_RETAIL!$C$15,1,0)</f>
        <v>1</v>
      </c>
      <c r="DD6" s="298" t="n">
        <f aca="false">IF(DD4&gt;=SUP_C4_RETAIL!$C$15,1,0)</f>
        <v>1</v>
      </c>
      <c r="DE6" s="298" t="n">
        <f aca="false">IF(DE4&gt;=SUP_C4_RETAIL!$C$15,1,0)</f>
        <v>1</v>
      </c>
      <c r="DF6" s="298" t="n">
        <f aca="false">IF(DF4&gt;=SUP_C4_RETAIL!$C$15,1,0)</f>
        <v>1</v>
      </c>
      <c r="DG6" s="298" t="n">
        <f aca="false">IF(DG4&gt;=SUP_C4_RETAIL!$C$15,1,0)</f>
        <v>1</v>
      </c>
      <c r="DH6" s="298" t="n">
        <f aca="false">IF(DH4&gt;=SUP_C4_RETAIL!$C$15,1,0)</f>
        <v>1</v>
      </c>
      <c r="DI6" s="298" t="n">
        <f aca="false">IF(DI4&gt;=SUP_C4_RETAIL!$C$15,1,0)</f>
        <v>1</v>
      </c>
      <c r="DJ6" s="298" t="n">
        <f aca="false">IF(DJ4&gt;=SUP_C4_RETAIL!$C$15,1,0)</f>
        <v>1</v>
      </c>
      <c r="DK6" s="298" t="n">
        <f aca="false">IF(DK4&gt;=SUP_C4_RETAIL!$C$15,1,0)</f>
        <v>1</v>
      </c>
      <c r="DL6" s="298" t="n">
        <f aca="false">IF(DL4&gt;=SUP_C4_RETAIL!$C$15,1,0)</f>
        <v>1</v>
      </c>
      <c r="DM6" s="298" t="n">
        <f aca="false">IF(DM4&gt;=SUP_C4_RETAIL!$C$15,1,0)</f>
        <v>1</v>
      </c>
      <c r="DN6" s="298" t="n">
        <f aca="false">IF(DN4&gt;=SUP_C4_RETAIL!$C$15,1,0)</f>
        <v>1</v>
      </c>
      <c r="DO6" s="298" t="n">
        <f aca="false">IF(DO4&gt;=SUP_C4_RETAIL!$C$15,1,0)</f>
        <v>1</v>
      </c>
      <c r="DP6" s="298" t="n">
        <f aca="false">IF(DP4&gt;=SUP_C4_RETAIL!$C$15,1,0)</f>
        <v>1</v>
      </c>
      <c r="DQ6" s="298" t="n">
        <f aca="false">IF(DQ4&gt;=SUP_C4_RETAIL!$C$15,1,0)</f>
        <v>1</v>
      </c>
      <c r="DR6" s="298" t="n">
        <f aca="false">IF(DR4&gt;=SUP_C4_RETAIL!$C$15,1,0)</f>
        <v>1</v>
      </c>
      <c r="DS6" s="298" t="n">
        <f aca="false">IF(DS4&gt;=SUP_C4_RETAIL!$C$15,1,0)</f>
        <v>1</v>
      </c>
    </row>
    <row r="7" customFormat="false" ht="15" hidden="false" customHeight="true" outlineLevel="0" collapsed="false">
      <c r="B7" s="297" t="s">
        <v>3603</v>
      </c>
      <c r="D7" s="316" t="n">
        <f aca="false">IF(D6=0,0,MIN(SUP_C4_RETAIL!$C$18,SUP_C4_RETAIL!$C$16+SUP_C4_RETAIL!$C$17*(D4-SUP_C4_RETAIL!$C$15)))</f>
        <v>0</v>
      </c>
      <c r="E7" s="316" t="n">
        <f aca="false">IF(E6=0,0,MIN(SUP_C4_RETAIL!$C$18,SUP_C4_RETAIL!$C$16+SUP_C4_RETAIL!$C$17*(E4-SUP_C4_RETAIL!$C$15)))</f>
        <v>0</v>
      </c>
      <c r="F7" s="316" t="n">
        <f aca="false">IF(F6=0,0,MIN(SUP_C4_RETAIL!$C$18,SUP_C4_RETAIL!$C$16+SUP_C4_RETAIL!$C$17*(F4-SUP_C4_RETAIL!$C$15)))</f>
        <v>0</v>
      </c>
      <c r="G7" s="316" t="n">
        <f aca="false">IF(G6=0,0,MIN(SUP_C4_RETAIL!$C$18,SUP_C4_RETAIL!$C$16+SUP_C4_RETAIL!$C$17*(G4-SUP_C4_RETAIL!$C$15)))</f>
        <v>0</v>
      </c>
      <c r="H7" s="316" t="n">
        <f aca="false">IF(H6=0,0,MIN(SUP_C4_RETAIL!$C$18,SUP_C4_RETAIL!$C$16+SUP_C4_RETAIL!$C$17*(H4-SUP_C4_RETAIL!$C$15)))</f>
        <v>0</v>
      </c>
      <c r="I7" s="316" t="n">
        <f aca="false">IF(I6=0,0,MIN(SUP_C4_RETAIL!$C$18,SUP_C4_RETAIL!$C$16+SUP_C4_RETAIL!$C$17*(I4-SUP_C4_RETAIL!$C$15)))</f>
        <v>0</v>
      </c>
      <c r="J7" s="316" t="n">
        <f aca="false">IF(J6=0,0,MIN(SUP_C4_RETAIL!$C$18,SUP_C4_RETAIL!$C$16+SUP_C4_RETAIL!$C$17*(J4-SUP_C4_RETAIL!$C$15)))</f>
        <v>0</v>
      </c>
      <c r="K7" s="316" t="n">
        <f aca="false">IF(K6=0,0,MIN(SUP_C4_RETAIL!$C$18,SUP_C4_RETAIL!$C$16+SUP_C4_RETAIL!$C$17*(K4-SUP_C4_RETAIL!$C$15)))</f>
        <v>0</v>
      </c>
      <c r="L7" s="316" t="n">
        <f aca="false">IF(L6=0,0,MIN(SUP_C4_RETAIL!$C$18,SUP_C4_RETAIL!$C$16+SUP_C4_RETAIL!$C$17*(L4-SUP_C4_RETAIL!$C$15)))</f>
        <v>0</v>
      </c>
      <c r="M7" s="316" t="n">
        <f aca="false">IF(M6=0,0,MIN(SUP_C4_RETAIL!$C$18,SUP_C4_RETAIL!$C$16+SUP_C4_RETAIL!$C$17*(M4-SUP_C4_RETAIL!$C$15)))</f>
        <v>0</v>
      </c>
      <c r="N7" s="316" t="n">
        <f aca="false">IF(N6=0,0,MIN(SUP_C4_RETAIL!$C$18,SUP_C4_RETAIL!$C$16+SUP_C4_RETAIL!$C$17*(N4-SUP_C4_RETAIL!$C$15)))</f>
        <v>0</v>
      </c>
      <c r="O7" s="316" t="n">
        <f aca="false">IF(O6=0,0,MIN(SUP_C4_RETAIL!$C$18,SUP_C4_RETAIL!$C$16+SUP_C4_RETAIL!$C$17*(O4-SUP_C4_RETAIL!$C$15)))</f>
        <v>0</v>
      </c>
      <c r="P7" s="316" t="n">
        <f aca="false">IF(P6=0,0,MIN(SUP_C4_RETAIL!$C$18,SUP_C4_RETAIL!$C$16+SUP_C4_RETAIL!$C$17*(P4-SUP_C4_RETAIL!$C$15)))</f>
        <v>0</v>
      </c>
      <c r="Q7" s="316" t="n">
        <f aca="false">IF(Q6=0,0,MIN(SUP_C4_RETAIL!$C$18,SUP_C4_RETAIL!$C$16+SUP_C4_RETAIL!$C$17*(Q4-SUP_C4_RETAIL!$C$15)))</f>
        <v>0</v>
      </c>
      <c r="R7" s="316" t="n">
        <f aca="false">IF(R6=0,0,MIN(SUP_C4_RETAIL!$C$18,SUP_C4_RETAIL!$C$16+SUP_C4_RETAIL!$C$17*(R4-SUP_C4_RETAIL!$C$15)))</f>
        <v>0</v>
      </c>
      <c r="S7" s="316" t="n">
        <f aca="false">IF(S6=0,0,MIN(SUP_C4_RETAIL!$C$18,SUP_C4_RETAIL!$C$16+SUP_C4_RETAIL!$C$17*(S4-SUP_C4_RETAIL!$C$15)))</f>
        <v>0</v>
      </c>
      <c r="T7" s="316" t="n">
        <f aca="false">IF(T6=0,0,MIN(SUP_C4_RETAIL!$C$18,SUP_C4_RETAIL!$C$16+SUP_C4_RETAIL!$C$17*(T4-SUP_C4_RETAIL!$C$15)))</f>
        <v>0</v>
      </c>
      <c r="U7" s="316" t="n">
        <f aca="false">IF(U6=0,0,MIN(SUP_C4_RETAIL!$C$18,SUP_C4_RETAIL!$C$16+SUP_C4_RETAIL!$C$17*(U4-SUP_C4_RETAIL!$C$15)))</f>
        <v>0</v>
      </c>
      <c r="V7" s="316" t="n">
        <f aca="false">IF(V6=0,0,MIN(SUP_C4_RETAIL!$C$18,SUP_C4_RETAIL!$C$16+SUP_C4_RETAIL!$C$17*(V4-SUP_C4_RETAIL!$C$15)))</f>
        <v>0</v>
      </c>
      <c r="W7" s="316" t="n">
        <f aca="false">IF(W6=0,0,MIN(SUP_C4_RETAIL!$C$18,SUP_C4_RETAIL!$C$16+SUP_C4_RETAIL!$C$17*(W4-SUP_C4_RETAIL!$C$15)))</f>
        <v>0</v>
      </c>
      <c r="X7" s="316" t="n">
        <f aca="false">IF(X6=0,0,MIN(SUP_C4_RETAIL!$C$18,SUP_C4_RETAIL!$C$16+SUP_C4_RETAIL!$C$17*(X4-SUP_C4_RETAIL!$C$15)))</f>
        <v>0</v>
      </c>
      <c r="Y7" s="316" t="n">
        <f aca="false">IF(Y6=0,0,MIN(SUP_C4_RETAIL!$C$18,SUP_C4_RETAIL!$C$16+SUP_C4_RETAIL!$C$17*(Y4-SUP_C4_RETAIL!$C$15)))</f>
        <v>0</v>
      </c>
      <c r="Z7" s="316" t="n">
        <f aca="false">IF(Z6=0,0,MIN(SUP_C4_RETAIL!$C$18,SUP_C4_RETAIL!$C$16+SUP_C4_RETAIL!$C$17*(Z4-SUP_C4_RETAIL!$C$15)))</f>
        <v>0</v>
      </c>
      <c r="AA7" s="316" t="n">
        <f aca="false">IF(AA6=0,0,MIN(SUP_C4_RETAIL!$C$18,SUP_C4_RETAIL!$C$16+SUP_C4_RETAIL!$C$17*(AA4-SUP_C4_RETAIL!$C$15)))</f>
        <v>0</v>
      </c>
      <c r="AB7" s="316" t="n">
        <f aca="false">IF(AB6=0,0,MIN(SUP_C4_RETAIL!$C$18,SUP_C4_RETAIL!$C$16+SUP_C4_RETAIL!$C$17*(AB4-SUP_C4_RETAIL!$C$15)))</f>
        <v>5</v>
      </c>
      <c r="AC7" s="316" t="n">
        <f aca="false">IF(AC6=0,0,MIN(SUP_C4_RETAIL!$C$18,SUP_C4_RETAIL!$C$16+SUP_C4_RETAIL!$C$17*(AC4-SUP_C4_RETAIL!$C$15)))</f>
        <v>5.5</v>
      </c>
      <c r="AD7" s="316" t="n">
        <f aca="false">IF(AD6=0,0,MIN(SUP_C4_RETAIL!$C$18,SUP_C4_RETAIL!$C$16+SUP_C4_RETAIL!$C$17*(AD4-SUP_C4_RETAIL!$C$15)))</f>
        <v>6</v>
      </c>
      <c r="AE7" s="316" t="n">
        <f aca="false">IF(AE6=0,0,MIN(SUP_C4_RETAIL!$C$18,SUP_C4_RETAIL!$C$16+SUP_C4_RETAIL!$C$17*(AE4-SUP_C4_RETAIL!$C$15)))</f>
        <v>6.5</v>
      </c>
      <c r="AF7" s="316" t="n">
        <f aca="false">IF(AF6=0,0,MIN(SUP_C4_RETAIL!$C$18,SUP_C4_RETAIL!$C$16+SUP_C4_RETAIL!$C$17*(AF4-SUP_C4_RETAIL!$C$15)))</f>
        <v>7</v>
      </c>
      <c r="AG7" s="316" t="n">
        <f aca="false">IF(AG6=0,0,MIN(SUP_C4_RETAIL!$C$18,SUP_C4_RETAIL!$C$16+SUP_C4_RETAIL!$C$17*(AG4-SUP_C4_RETAIL!$C$15)))</f>
        <v>7.5</v>
      </c>
      <c r="AH7" s="316" t="n">
        <f aca="false">IF(AH6=0,0,MIN(SUP_C4_RETAIL!$C$18,SUP_C4_RETAIL!$C$16+SUP_C4_RETAIL!$C$17*(AH4-SUP_C4_RETAIL!$C$15)))</f>
        <v>8</v>
      </c>
      <c r="AI7" s="316" t="n">
        <f aca="false">IF(AI6=0,0,MIN(SUP_C4_RETAIL!$C$18,SUP_C4_RETAIL!$C$16+SUP_C4_RETAIL!$C$17*(AI4-SUP_C4_RETAIL!$C$15)))</f>
        <v>8.5</v>
      </c>
      <c r="AJ7" s="316" t="n">
        <f aca="false">IF(AJ6=0,0,MIN(SUP_C4_RETAIL!$C$18,SUP_C4_RETAIL!$C$16+SUP_C4_RETAIL!$C$17*(AJ4-SUP_C4_RETAIL!$C$15)))</f>
        <v>9</v>
      </c>
      <c r="AK7" s="316" t="n">
        <f aca="false">IF(AK6=0,0,MIN(SUP_C4_RETAIL!$C$18,SUP_C4_RETAIL!$C$16+SUP_C4_RETAIL!$C$17*(AK4-SUP_C4_RETAIL!$C$15)))</f>
        <v>9.5</v>
      </c>
      <c r="AL7" s="316" t="n">
        <f aca="false">IF(AL6=0,0,MIN(SUP_C4_RETAIL!$C$18,SUP_C4_RETAIL!$C$16+SUP_C4_RETAIL!$C$17*(AL4-SUP_C4_RETAIL!$C$15)))</f>
        <v>10</v>
      </c>
      <c r="AM7" s="316" t="n">
        <f aca="false">IF(AM6=0,0,MIN(SUP_C4_RETAIL!$C$18,SUP_C4_RETAIL!$C$16+SUP_C4_RETAIL!$C$17*(AM4-SUP_C4_RETAIL!$C$15)))</f>
        <v>10.5</v>
      </c>
      <c r="AN7" s="316" t="n">
        <f aca="false">IF(AN6=0,0,MIN(SUP_C4_RETAIL!$C$18,SUP_C4_RETAIL!$C$16+SUP_C4_RETAIL!$C$17*(AN4-SUP_C4_RETAIL!$C$15)))</f>
        <v>11</v>
      </c>
      <c r="AO7" s="316" t="n">
        <f aca="false">IF(AO6=0,0,MIN(SUP_C4_RETAIL!$C$18,SUP_C4_RETAIL!$C$16+SUP_C4_RETAIL!$C$17*(AO4-SUP_C4_RETAIL!$C$15)))</f>
        <v>11.5</v>
      </c>
      <c r="AP7" s="316" t="n">
        <f aca="false">IF(AP6=0,0,MIN(SUP_C4_RETAIL!$C$18,SUP_C4_RETAIL!$C$16+SUP_C4_RETAIL!$C$17*(AP4-SUP_C4_RETAIL!$C$15)))</f>
        <v>12</v>
      </c>
      <c r="AQ7" s="316" t="n">
        <f aca="false">IF(AQ6=0,0,MIN(SUP_C4_RETAIL!$C$18,SUP_C4_RETAIL!$C$16+SUP_C4_RETAIL!$C$17*(AQ4-SUP_C4_RETAIL!$C$15)))</f>
        <v>12.5</v>
      </c>
      <c r="AR7" s="316" t="n">
        <f aca="false">IF(AR6=0,0,MIN(SUP_C4_RETAIL!$C$18,SUP_C4_RETAIL!$C$16+SUP_C4_RETAIL!$C$17*(AR4-SUP_C4_RETAIL!$C$15)))</f>
        <v>13</v>
      </c>
      <c r="AS7" s="316" t="n">
        <f aca="false">IF(AS6=0,0,MIN(SUP_C4_RETAIL!$C$18,SUP_C4_RETAIL!$C$16+SUP_C4_RETAIL!$C$17*(AS4-SUP_C4_RETAIL!$C$15)))</f>
        <v>13.5</v>
      </c>
      <c r="AT7" s="316" t="n">
        <f aca="false">IF(AT6=0,0,MIN(SUP_C4_RETAIL!$C$18,SUP_C4_RETAIL!$C$16+SUP_C4_RETAIL!$C$17*(AT4-SUP_C4_RETAIL!$C$15)))</f>
        <v>14</v>
      </c>
      <c r="AU7" s="316" t="n">
        <f aca="false">IF(AU6=0,0,MIN(SUP_C4_RETAIL!$C$18,SUP_C4_RETAIL!$C$16+SUP_C4_RETAIL!$C$17*(AU4-SUP_C4_RETAIL!$C$15)))</f>
        <v>14.5</v>
      </c>
      <c r="AV7" s="316" t="n">
        <f aca="false">IF(AV6=0,0,MIN(SUP_C4_RETAIL!$C$18,SUP_C4_RETAIL!$C$16+SUP_C4_RETAIL!$C$17*(AV4-SUP_C4_RETAIL!$C$15)))</f>
        <v>15</v>
      </c>
      <c r="AW7" s="316" t="n">
        <f aca="false">IF(AW6=0,0,MIN(SUP_C4_RETAIL!$C$18,SUP_C4_RETAIL!$C$16+SUP_C4_RETAIL!$C$17*(AW4-SUP_C4_RETAIL!$C$15)))</f>
        <v>15.5</v>
      </c>
      <c r="AX7" s="316" t="n">
        <f aca="false">IF(AX6=0,0,MIN(SUP_C4_RETAIL!$C$18,SUP_C4_RETAIL!$C$16+SUP_C4_RETAIL!$C$17*(AX4-SUP_C4_RETAIL!$C$15)))</f>
        <v>16</v>
      </c>
      <c r="AY7" s="316" t="n">
        <f aca="false">IF(AY6=0,0,MIN(SUP_C4_RETAIL!$C$18,SUP_C4_RETAIL!$C$16+SUP_C4_RETAIL!$C$17*(AY4-SUP_C4_RETAIL!$C$15)))</f>
        <v>16.5</v>
      </c>
      <c r="AZ7" s="316" t="n">
        <f aca="false">IF(AZ6=0,0,MIN(SUP_C4_RETAIL!$C$18,SUP_C4_RETAIL!$C$16+SUP_C4_RETAIL!$C$17*(AZ4-SUP_C4_RETAIL!$C$15)))</f>
        <v>17</v>
      </c>
      <c r="BA7" s="316" t="n">
        <f aca="false">IF(BA6=0,0,MIN(SUP_C4_RETAIL!$C$18,SUP_C4_RETAIL!$C$16+SUP_C4_RETAIL!$C$17*(BA4-SUP_C4_RETAIL!$C$15)))</f>
        <v>17.5</v>
      </c>
      <c r="BB7" s="316" t="n">
        <f aca="false">IF(BB6=0,0,MIN(SUP_C4_RETAIL!$C$18,SUP_C4_RETAIL!$C$16+SUP_C4_RETAIL!$C$17*(BB4-SUP_C4_RETAIL!$C$15)))</f>
        <v>18</v>
      </c>
      <c r="BC7" s="316" t="n">
        <f aca="false">IF(BC6=0,0,MIN(SUP_C4_RETAIL!$C$18,SUP_C4_RETAIL!$C$16+SUP_C4_RETAIL!$C$17*(BC4-SUP_C4_RETAIL!$C$15)))</f>
        <v>18.5</v>
      </c>
      <c r="BD7" s="316" t="n">
        <f aca="false">IF(BD6=0,0,MIN(SUP_C4_RETAIL!$C$18,SUP_C4_RETAIL!$C$16+SUP_C4_RETAIL!$C$17*(BD4-SUP_C4_RETAIL!$C$15)))</f>
        <v>19</v>
      </c>
      <c r="BE7" s="316" t="n">
        <f aca="false">IF(BE6=0,0,MIN(SUP_C4_RETAIL!$C$18,SUP_C4_RETAIL!$C$16+SUP_C4_RETAIL!$C$17*(BE4-SUP_C4_RETAIL!$C$15)))</f>
        <v>19.5</v>
      </c>
      <c r="BF7" s="316" t="n">
        <f aca="false">IF(BF6=0,0,MIN(SUP_C4_RETAIL!$C$18,SUP_C4_RETAIL!$C$16+SUP_C4_RETAIL!$C$17*(BF4-SUP_C4_RETAIL!$C$15)))</f>
        <v>20</v>
      </c>
      <c r="BG7" s="316" t="n">
        <f aca="false">IF(BG6=0,0,MIN(SUP_C4_RETAIL!$C$18,SUP_C4_RETAIL!$C$16+SUP_C4_RETAIL!$C$17*(BG4-SUP_C4_RETAIL!$C$15)))</f>
        <v>20.5</v>
      </c>
      <c r="BH7" s="316" t="n">
        <f aca="false">IF(BH6=0,0,MIN(SUP_C4_RETAIL!$C$18,SUP_C4_RETAIL!$C$16+SUP_C4_RETAIL!$C$17*(BH4-SUP_C4_RETAIL!$C$15)))</f>
        <v>21</v>
      </c>
      <c r="BI7" s="316" t="n">
        <f aca="false">IF(BI6=0,0,MIN(SUP_C4_RETAIL!$C$18,SUP_C4_RETAIL!$C$16+SUP_C4_RETAIL!$C$17*(BI4-SUP_C4_RETAIL!$C$15)))</f>
        <v>21.5</v>
      </c>
      <c r="BJ7" s="316" t="n">
        <f aca="false">IF(BJ6=0,0,MIN(SUP_C4_RETAIL!$C$18,SUP_C4_RETAIL!$C$16+SUP_C4_RETAIL!$C$17*(BJ4-SUP_C4_RETAIL!$C$15)))</f>
        <v>22</v>
      </c>
      <c r="BK7" s="316" t="n">
        <f aca="false">IF(BK6=0,0,MIN(SUP_C4_RETAIL!$C$18,SUP_C4_RETAIL!$C$16+SUP_C4_RETAIL!$C$17*(BK4-SUP_C4_RETAIL!$C$15)))</f>
        <v>22.5</v>
      </c>
      <c r="BL7" s="316" t="n">
        <f aca="false">IF(BL6=0,0,MIN(SUP_C4_RETAIL!$C$18,SUP_C4_RETAIL!$C$16+SUP_C4_RETAIL!$C$17*(BL4-SUP_C4_RETAIL!$C$15)))</f>
        <v>23</v>
      </c>
      <c r="BM7" s="316" t="n">
        <f aca="false">IF(BM6=0,0,MIN(SUP_C4_RETAIL!$C$18,SUP_C4_RETAIL!$C$16+SUP_C4_RETAIL!$C$17*(BM4-SUP_C4_RETAIL!$C$15)))</f>
        <v>23.5</v>
      </c>
      <c r="BN7" s="316" t="n">
        <f aca="false">IF(BN6=0,0,MIN(SUP_C4_RETAIL!$C$18,SUP_C4_RETAIL!$C$16+SUP_C4_RETAIL!$C$17*(BN4-SUP_C4_RETAIL!$C$15)))</f>
        <v>24</v>
      </c>
      <c r="BO7" s="316" t="n">
        <f aca="false">IF(BO6=0,0,MIN(SUP_C4_RETAIL!$C$18,SUP_C4_RETAIL!$C$16+SUP_C4_RETAIL!$C$17*(BO4-SUP_C4_RETAIL!$C$15)))</f>
        <v>24.5</v>
      </c>
      <c r="BP7" s="316" t="n">
        <f aca="false">IF(BP6=0,0,MIN(SUP_C4_RETAIL!$C$18,SUP_C4_RETAIL!$C$16+SUP_C4_RETAIL!$C$17*(BP4-SUP_C4_RETAIL!$C$15)))</f>
        <v>25</v>
      </c>
      <c r="BQ7" s="316" t="n">
        <f aca="false">IF(BQ6=0,0,MIN(SUP_C4_RETAIL!$C$18,SUP_C4_RETAIL!$C$16+SUP_C4_RETAIL!$C$17*(BQ4-SUP_C4_RETAIL!$C$15)))</f>
        <v>25.5</v>
      </c>
      <c r="BR7" s="316" t="n">
        <f aca="false">IF(BR6=0,0,MIN(SUP_C4_RETAIL!$C$18,SUP_C4_RETAIL!$C$16+SUP_C4_RETAIL!$C$17*(BR4-SUP_C4_RETAIL!$C$15)))</f>
        <v>26</v>
      </c>
      <c r="BS7" s="316" t="n">
        <f aca="false">IF(BS6=0,0,MIN(SUP_C4_RETAIL!$C$18,SUP_C4_RETAIL!$C$16+SUP_C4_RETAIL!$C$17*(BS4-SUP_C4_RETAIL!$C$15)))</f>
        <v>26.5</v>
      </c>
      <c r="BT7" s="316" t="n">
        <f aca="false">IF(BT6=0,0,MIN(SUP_C4_RETAIL!$C$18,SUP_C4_RETAIL!$C$16+SUP_C4_RETAIL!$C$17*(BT4-SUP_C4_RETAIL!$C$15)))</f>
        <v>27</v>
      </c>
      <c r="BU7" s="316" t="n">
        <f aca="false">IF(BU6=0,0,MIN(SUP_C4_RETAIL!$C$18,SUP_C4_RETAIL!$C$16+SUP_C4_RETAIL!$C$17*(BU4-SUP_C4_RETAIL!$C$15)))</f>
        <v>27.5</v>
      </c>
      <c r="BV7" s="316" t="n">
        <f aca="false">IF(BV6=0,0,MIN(SUP_C4_RETAIL!$C$18,SUP_C4_RETAIL!$C$16+SUP_C4_RETAIL!$C$17*(BV4-SUP_C4_RETAIL!$C$15)))</f>
        <v>28</v>
      </c>
      <c r="BW7" s="316" t="n">
        <f aca="false">IF(BW6=0,0,MIN(SUP_C4_RETAIL!$C$18,SUP_C4_RETAIL!$C$16+SUP_C4_RETAIL!$C$17*(BW4-SUP_C4_RETAIL!$C$15)))</f>
        <v>28.5</v>
      </c>
      <c r="BX7" s="316" t="n">
        <f aca="false">IF(BX6=0,0,MIN(SUP_C4_RETAIL!$C$18,SUP_C4_RETAIL!$C$16+SUP_C4_RETAIL!$C$17*(BX4-SUP_C4_RETAIL!$C$15)))</f>
        <v>29</v>
      </c>
      <c r="BY7" s="316" t="n">
        <f aca="false">IF(BY6=0,0,MIN(SUP_C4_RETAIL!$C$18,SUP_C4_RETAIL!$C$16+SUP_C4_RETAIL!$C$17*(BY4-SUP_C4_RETAIL!$C$15)))</f>
        <v>29.5</v>
      </c>
      <c r="BZ7" s="316" t="n">
        <f aca="false">IF(BZ6=0,0,MIN(SUP_C4_RETAIL!$C$18,SUP_C4_RETAIL!$C$16+SUP_C4_RETAIL!$C$17*(BZ4-SUP_C4_RETAIL!$C$15)))</f>
        <v>30</v>
      </c>
      <c r="CA7" s="316" t="n">
        <f aca="false">IF(CA6=0,0,MIN(SUP_C4_RETAIL!$C$18,SUP_C4_RETAIL!$C$16+SUP_C4_RETAIL!$C$17*(CA4-SUP_C4_RETAIL!$C$15)))</f>
        <v>30</v>
      </c>
      <c r="CB7" s="316" t="n">
        <f aca="false">IF(CB6=0,0,MIN(SUP_C4_RETAIL!$C$18,SUP_C4_RETAIL!$C$16+SUP_C4_RETAIL!$C$17*(CB4-SUP_C4_RETAIL!$C$15)))</f>
        <v>30</v>
      </c>
      <c r="CC7" s="316" t="n">
        <f aca="false">IF(CC6=0,0,MIN(SUP_C4_RETAIL!$C$18,SUP_C4_RETAIL!$C$16+SUP_C4_RETAIL!$C$17*(CC4-SUP_C4_RETAIL!$C$15)))</f>
        <v>30</v>
      </c>
      <c r="CD7" s="316" t="n">
        <f aca="false">IF(CD6=0,0,MIN(SUP_C4_RETAIL!$C$18,SUP_C4_RETAIL!$C$16+SUP_C4_RETAIL!$C$17*(CD4-SUP_C4_RETAIL!$C$15)))</f>
        <v>30</v>
      </c>
      <c r="CE7" s="316" t="n">
        <f aca="false">IF(CE6=0,0,MIN(SUP_C4_RETAIL!$C$18,SUP_C4_RETAIL!$C$16+SUP_C4_RETAIL!$C$17*(CE4-SUP_C4_RETAIL!$C$15)))</f>
        <v>30</v>
      </c>
      <c r="CF7" s="316" t="n">
        <f aca="false">IF(CF6=0,0,MIN(SUP_C4_RETAIL!$C$18,SUP_C4_RETAIL!$C$16+SUP_C4_RETAIL!$C$17*(CF4-SUP_C4_RETAIL!$C$15)))</f>
        <v>30</v>
      </c>
      <c r="CG7" s="316" t="n">
        <f aca="false">IF(CG6=0,0,MIN(SUP_C4_RETAIL!$C$18,SUP_C4_RETAIL!$C$16+SUP_C4_RETAIL!$C$17*(CG4-SUP_C4_RETAIL!$C$15)))</f>
        <v>30</v>
      </c>
      <c r="CH7" s="316" t="n">
        <f aca="false">IF(CH6=0,0,MIN(SUP_C4_RETAIL!$C$18,SUP_C4_RETAIL!$C$16+SUP_C4_RETAIL!$C$17*(CH4-SUP_C4_RETAIL!$C$15)))</f>
        <v>30</v>
      </c>
      <c r="CI7" s="316" t="n">
        <f aca="false">IF(CI6=0,0,MIN(SUP_C4_RETAIL!$C$18,SUP_C4_RETAIL!$C$16+SUP_C4_RETAIL!$C$17*(CI4-SUP_C4_RETAIL!$C$15)))</f>
        <v>30</v>
      </c>
      <c r="CJ7" s="316" t="n">
        <f aca="false">IF(CJ6=0,0,MIN(SUP_C4_RETAIL!$C$18,SUP_C4_RETAIL!$C$16+SUP_C4_RETAIL!$C$17*(CJ4-SUP_C4_RETAIL!$C$15)))</f>
        <v>30</v>
      </c>
      <c r="CK7" s="316" t="n">
        <f aca="false">IF(CK6=0,0,MIN(SUP_C4_RETAIL!$C$18,SUP_C4_RETAIL!$C$16+SUP_C4_RETAIL!$C$17*(CK4-SUP_C4_RETAIL!$C$15)))</f>
        <v>30</v>
      </c>
      <c r="CL7" s="316" t="n">
        <f aca="false">IF(CL6=0,0,MIN(SUP_C4_RETAIL!$C$18,SUP_C4_RETAIL!$C$16+SUP_C4_RETAIL!$C$17*(CL4-SUP_C4_RETAIL!$C$15)))</f>
        <v>30</v>
      </c>
      <c r="CM7" s="316" t="n">
        <f aca="false">IF(CM6=0,0,MIN(SUP_C4_RETAIL!$C$18,SUP_C4_RETAIL!$C$16+SUP_C4_RETAIL!$C$17*(CM4-SUP_C4_RETAIL!$C$15)))</f>
        <v>30</v>
      </c>
      <c r="CN7" s="316" t="n">
        <f aca="false">IF(CN6=0,0,MIN(SUP_C4_RETAIL!$C$18,SUP_C4_RETAIL!$C$16+SUP_C4_RETAIL!$C$17*(CN4-SUP_C4_RETAIL!$C$15)))</f>
        <v>30</v>
      </c>
      <c r="CO7" s="316" t="n">
        <f aca="false">IF(CO6=0,0,MIN(SUP_C4_RETAIL!$C$18,SUP_C4_RETAIL!$C$16+SUP_C4_RETAIL!$C$17*(CO4-SUP_C4_RETAIL!$C$15)))</f>
        <v>30</v>
      </c>
      <c r="CP7" s="316" t="n">
        <f aca="false">IF(CP6=0,0,MIN(SUP_C4_RETAIL!$C$18,SUP_C4_RETAIL!$C$16+SUP_C4_RETAIL!$C$17*(CP4-SUP_C4_RETAIL!$C$15)))</f>
        <v>30</v>
      </c>
      <c r="CQ7" s="316" t="n">
        <f aca="false">IF(CQ6=0,0,MIN(SUP_C4_RETAIL!$C$18,SUP_C4_RETAIL!$C$16+SUP_C4_RETAIL!$C$17*(CQ4-SUP_C4_RETAIL!$C$15)))</f>
        <v>30</v>
      </c>
      <c r="CR7" s="316" t="n">
        <f aca="false">IF(CR6=0,0,MIN(SUP_C4_RETAIL!$C$18,SUP_C4_RETAIL!$C$16+SUP_C4_RETAIL!$C$17*(CR4-SUP_C4_RETAIL!$C$15)))</f>
        <v>30</v>
      </c>
      <c r="CS7" s="316" t="n">
        <f aca="false">IF(CS6=0,0,MIN(SUP_C4_RETAIL!$C$18,SUP_C4_RETAIL!$C$16+SUP_C4_RETAIL!$C$17*(CS4-SUP_C4_RETAIL!$C$15)))</f>
        <v>30</v>
      </c>
      <c r="CT7" s="316" t="n">
        <f aca="false">IF(CT6=0,0,MIN(SUP_C4_RETAIL!$C$18,SUP_C4_RETAIL!$C$16+SUP_C4_RETAIL!$C$17*(CT4-SUP_C4_RETAIL!$C$15)))</f>
        <v>30</v>
      </c>
      <c r="CU7" s="316" t="n">
        <f aca="false">IF(CU6=0,0,MIN(SUP_C4_RETAIL!$C$18,SUP_C4_RETAIL!$C$16+SUP_C4_RETAIL!$C$17*(CU4-SUP_C4_RETAIL!$C$15)))</f>
        <v>30</v>
      </c>
      <c r="CV7" s="316" t="n">
        <f aca="false">IF(CV6=0,0,MIN(SUP_C4_RETAIL!$C$18,SUP_C4_RETAIL!$C$16+SUP_C4_RETAIL!$C$17*(CV4-SUP_C4_RETAIL!$C$15)))</f>
        <v>30</v>
      </c>
      <c r="CW7" s="316" t="n">
        <f aca="false">IF(CW6=0,0,MIN(SUP_C4_RETAIL!$C$18,SUP_C4_RETAIL!$C$16+SUP_C4_RETAIL!$C$17*(CW4-SUP_C4_RETAIL!$C$15)))</f>
        <v>30</v>
      </c>
      <c r="CX7" s="316" t="n">
        <f aca="false">IF(CX6=0,0,MIN(SUP_C4_RETAIL!$C$18,SUP_C4_RETAIL!$C$16+SUP_C4_RETAIL!$C$17*(CX4-SUP_C4_RETAIL!$C$15)))</f>
        <v>30</v>
      </c>
      <c r="CY7" s="316" t="n">
        <f aca="false">IF(CY6=0,0,MIN(SUP_C4_RETAIL!$C$18,SUP_C4_RETAIL!$C$16+SUP_C4_RETAIL!$C$17*(CY4-SUP_C4_RETAIL!$C$15)))</f>
        <v>30</v>
      </c>
      <c r="CZ7" s="316" t="n">
        <f aca="false">IF(CZ6=0,0,MIN(SUP_C4_RETAIL!$C$18,SUP_C4_RETAIL!$C$16+SUP_C4_RETAIL!$C$17*(CZ4-SUP_C4_RETAIL!$C$15)))</f>
        <v>30</v>
      </c>
      <c r="DA7" s="316" t="n">
        <f aca="false">IF(DA6=0,0,MIN(SUP_C4_RETAIL!$C$18,SUP_C4_RETAIL!$C$16+SUP_C4_RETAIL!$C$17*(DA4-SUP_C4_RETAIL!$C$15)))</f>
        <v>30</v>
      </c>
      <c r="DB7" s="316" t="n">
        <f aca="false">IF(DB6=0,0,MIN(SUP_C4_RETAIL!$C$18,SUP_C4_RETAIL!$C$16+SUP_C4_RETAIL!$C$17*(DB4-SUP_C4_RETAIL!$C$15)))</f>
        <v>30</v>
      </c>
      <c r="DC7" s="316" t="n">
        <f aca="false">IF(DC6=0,0,MIN(SUP_C4_RETAIL!$C$18,SUP_C4_RETAIL!$C$16+SUP_C4_RETAIL!$C$17*(DC4-SUP_C4_RETAIL!$C$15)))</f>
        <v>30</v>
      </c>
      <c r="DD7" s="316" t="n">
        <f aca="false">IF(DD6=0,0,MIN(SUP_C4_RETAIL!$C$18,SUP_C4_RETAIL!$C$16+SUP_C4_RETAIL!$C$17*(DD4-SUP_C4_RETAIL!$C$15)))</f>
        <v>30</v>
      </c>
      <c r="DE7" s="316" t="n">
        <f aca="false">IF(DE6=0,0,MIN(SUP_C4_RETAIL!$C$18,SUP_C4_RETAIL!$C$16+SUP_C4_RETAIL!$C$17*(DE4-SUP_C4_RETAIL!$C$15)))</f>
        <v>30</v>
      </c>
      <c r="DF7" s="316" t="n">
        <f aca="false">IF(DF6=0,0,MIN(SUP_C4_RETAIL!$C$18,SUP_C4_RETAIL!$C$16+SUP_C4_RETAIL!$C$17*(DF4-SUP_C4_RETAIL!$C$15)))</f>
        <v>30</v>
      </c>
      <c r="DG7" s="316" t="n">
        <f aca="false">IF(DG6=0,0,MIN(SUP_C4_RETAIL!$C$18,SUP_C4_RETAIL!$C$16+SUP_C4_RETAIL!$C$17*(DG4-SUP_C4_RETAIL!$C$15)))</f>
        <v>30</v>
      </c>
      <c r="DH7" s="316" t="n">
        <f aca="false">IF(DH6=0,0,MIN(SUP_C4_RETAIL!$C$18,SUP_C4_RETAIL!$C$16+SUP_C4_RETAIL!$C$17*(DH4-SUP_C4_RETAIL!$C$15)))</f>
        <v>30</v>
      </c>
      <c r="DI7" s="316" t="n">
        <f aca="false">IF(DI6=0,0,MIN(SUP_C4_RETAIL!$C$18,SUP_C4_RETAIL!$C$16+SUP_C4_RETAIL!$C$17*(DI4-SUP_C4_RETAIL!$C$15)))</f>
        <v>30</v>
      </c>
      <c r="DJ7" s="316" t="n">
        <f aca="false">IF(DJ6=0,0,MIN(SUP_C4_RETAIL!$C$18,SUP_C4_RETAIL!$C$16+SUP_C4_RETAIL!$C$17*(DJ4-SUP_C4_RETAIL!$C$15)))</f>
        <v>30</v>
      </c>
      <c r="DK7" s="316" t="n">
        <f aca="false">IF(DK6=0,0,MIN(SUP_C4_RETAIL!$C$18,SUP_C4_RETAIL!$C$16+SUP_C4_RETAIL!$C$17*(DK4-SUP_C4_RETAIL!$C$15)))</f>
        <v>30</v>
      </c>
      <c r="DL7" s="316" t="n">
        <f aca="false">IF(DL6=0,0,MIN(SUP_C4_RETAIL!$C$18,SUP_C4_RETAIL!$C$16+SUP_C4_RETAIL!$C$17*(DL4-SUP_C4_RETAIL!$C$15)))</f>
        <v>30</v>
      </c>
      <c r="DM7" s="316" t="n">
        <f aca="false">IF(DM6=0,0,MIN(SUP_C4_RETAIL!$C$18,SUP_C4_RETAIL!$C$16+SUP_C4_RETAIL!$C$17*(DM4-SUP_C4_RETAIL!$C$15)))</f>
        <v>30</v>
      </c>
      <c r="DN7" s="316" t="n">
        <f aca="false">IF(DN6=0,0,MIN(SUP_C4_RETAIL!$C$18,SUP_C4_RETAIL!$C$16+SUP_C4_RETAIL!$C$17*(DN4-SUP_C4_RETAIL!$C$15)))</f>
        <v>30</v>
      </c>
      <c r="DO7" s="316" t="n">
        <f aca="false">IF(DO6=0,0,MIN(SUP_C4_RETAIL!$C$18,SUP_C4_RETAIL!$C$16+SUP_C4_RETAIL!$C$17*(DO4-SUP_C4_RETAIL!$C$15)))</f>
        <v>30</v>
      </c>
      <c r="DP7" s="316" t="n">
        <f aca="false">IF(DP6=0,0,MIN(SUP_C4_RETAIL!$C$18,SUP_C4_RETAIL!$C$16+SUP_C4_RETAIL!$C$17*(DP4-SUP_C4_RETAIL!$C$15)))</f>
        <v>30</v>
      </c>
      <c r="DQ7" s="316" t="n">
        <f aca="false">IF(DQ6=0,0,MIN(SUP_C4_RETAIL!$C$18,SUP_C4_RETAIL!$C$16+SUP_C4_RETAIL!$C$17*(DQ4-SUP_C4_RETAIL!$C$15)))</f>
        <v>30</v>
      </c>
      <c r="DR7" s="316" t="n">
        <f aca="false">IF(DR6=0,0,MIN(SUP_C4_RETAIL!$C$18,SUP_C4_RETAIL!$C$16+SUP_C4_RETAIL!$C$17*(DR4-SUP_C4_RETAIL!$C$15)))</f>
        <v>30</v>
      </c>
      <c r="DS7" s="316" t="n">
        <f aca="false">IF(DS6=0,0,MIN(SUP_C4_RETAIL!$C$18,SUP_C4_RETAIL!$C$16+SUP_C4_RETAIL!$C$17*(DS4-SUP_C4_RETAIL!$C$15)))</f>
        <v>30</v>
      </c>
    </row>
    <row r="8" customFormat="false" ht="15" hidden="false" customHeight="true" outlineLevel="0" collapsed="false">
      <c r="B8" s="297" t="s">
        <v>3415</v>
      </c>
      <c r="D8" s="273" t="n">
        <f aca="false">D7*1000*SUP_C4_RETAIL!$C$19</f>
        <v>0</v>
      </c>
      <c r="E8" s="273" t="n">
        <f aca="false">E7*1000*SUP_C4_RETAIL!$C$19</f>
        <v>0</v>
      </c>
      <c r="F8" s="273" t="n">
        <f aca="false">F7*1000*SUP_C4_RETAIL!$C$19</f>
        <v>0</v>
      </c>
      <c r="G8" s="273" t="n">
        <f aca="false">G7*1000*SUP_C4_RETAIL!$C$19</f>
        <v>0</v>
      </c>
      <c r="H8" s="273" t="n">
        <f aca="false">H7*1000*SUP_C4_RETAIL!$C$19</f>
        <v>0</v>
      </c>
      <c r="I8" s="273" t="n">
        <f aca="false">I7*1000*SUP_C4_RETAIL!$C$19</f>
        <v>0</v>
      </c>
      <c r="J8" s="273" t="n">
        <f aca="false">J7*1000*SUP_C4_RETAIL!$C$19</f>
        <v>0</v>
      </c>
      <c r="K8" s="273" t="n">
        <f aca="false">K7*1000*SUP_C4_RETAIL!$C$19</f>
        <v>0</v>
      </c>
      <c r="L8" s="273" t="n">
        <f aca="false">L7*1000*SUP_C4_RETAIL!$C$19</f>
        <v>0</v>
      </c>
      <c r="M8" s="273" t="n">
        <f aca="false">M7*1000*SUP_C4_RETAIL!$C$19</f>
        <v>0</v>
      </c>
      <c r="N8" s="273" t="n">
        <f aca="false">N7*1000*SUP_C4_RETAIL!$C$19</f>
        <v>0</v>
      </c>
      <c r="O8" s="273" t="n">
        <f aca="false">O7*1000*SUP_C4_RETAIL!$C$19</f>
        <v>0</v>
      </c>
      <c r="P8" s="273" t="n">
        <f aca="false">P7*1000*SUP_C4_RETAIL!$C$19</f>
        <v>0</v>
      </c>
      <c r="Q8" s="273" t="n">
        <f aca="false">Q7*1000*SUP_C4_RETAIL!$C$19</f>
        <v>0</v>
      </c>
      <c r="R8" s="273" t="n">
        <f aca="false">R7*1000*SUP_C4_RETAIL!$C$19</f>
        <v>0</v>
      </c>
      <c r="S8" s="273" t="n">
        <f aca="false">S7*1000*SUP_C4_RETAIL!$C$19</f>
        <v>0</v>
      </c>
      <c r="T8" s="273" t="n">
        <f aca="false">T7*1000*SUP_C4_RETAIL!$C$19</f>
        <v>0</v>
      </c>
      <c r="U8" s="273" t="n">
        <f aca="false">U7*1000*SUP_C4_RETAIL!$C$19</f>
        <v>0</v>
      </c>
      <c r="V8" s="273" t="n">
        <f aca="false">V7*1000*SUP_C4_RETAIL!$C$19</f>
        <v>0</v>
      </c>
      <c r="W8" s="273" t="n">
        <f aca="false">W7*1000*SUP_C4_RETAIL!$C$19</f>
        <v>0</v>
      </c>
      <c r="X8" s="273" t="n">
        <f aca="false">X7*1000*SUP_C4_RETAIL!$C$19</f>
        <v>0</v>
      </c>
      <c r="Y8" s="273" t="n">
        <f aca="false">Y7*1000*SUP_C4_RETAIL!$C$19</f>
        <v>0</v>
      </c>
      <c r="Z8" s="273" t="n">
        <f aca="false">Z7*1000*SUP_C4_RETAIL!$C$19</f>
        <v>0</v>
      </c>
      <c r="AA8" s="273" t="n">
        <f aca="false">AA7*1000*SUP_C4_RETAIL!$C$19</f>
        <v>0</v>
      </c>
      <c r="AB8" s="273" t="n">
        <f aca="false">AB7*1000*SUP_C4_RETAIL!$C$19</f>
        <v>21000</v>
      </c>
      <c r="AC8" s="273" t="n">
        <f aca="false">AC7*1000*SUP_C4_RETAIL!$C$19</f>
        <v>23100</v>
      </c>
      <c r="AD8" s="273" t="n">
        <f aca="false">AD7*1000*SUP_C4_RETAIL!$C$19</f>
        <v>25200</v>
      </c>
      <c r="AE8" s="273" t="n">
        <f aca="false">AE7*1000*SUP_C4_RETAIL!$C$19</f>
        <v>27300</v>
      </c>
      <c r="AF8" s="273" t="n">
        <f aca="false">AF7*1000*SUP_C4_RETAIL!$C$19</f>
        <v>29400</v>
      </c>
      <c r="AG8" s="273" t="n">
        <f aca="false">AG7*1000*SUP_C4_RETAIL!$C$19</f>
        <v>31500</v>
      </c>
      <c r="AH8" s="273" t="n">
        <f aca="false">AH7*1000*SUP_C4_RETAIL!$C$19</f>
        <v>33600</v>
      </c>
      <c r="AI8" s="273" t="n">
        <f aca="false">AI7*1000*SUP_C4_RETAIL!$C$19</f>
        <v>35700</v>
      </c>
      <c r="AJ8" s="273" t="n">
        <f aca="false">AJ7*1000*SUP_C4_RETAIL!$C$19</f>
        <v>37800</v>
      </c>
      <c r="AK8" s="273" t="n">
        <f aca="false">AK7*1000*SUP_C4_RETAIL!$C$19</f>
        <v>39900</v>
      </c>
      <c r="AL8" s="273" t="n">
        <f aca="false">AL7*1000*SUP_C4_RETAIL!$C$19</f>
        <v>42000</v>
      </c>
      <c r="AM8" s="273" t="n">
        <f aca="false">AM7*1000*SUP_C4_RETAIL!$C$19</f>
        <v>44100</v>
      </c>
      <c r="AN8" s="273" t="n">
        <f aca="false">AN7*1000*SUP_C4_RETAIL!$C$19</f>
        <v>46200</v>
      </c>
      <c r="AO8" s="273" t="n">
        <f aca="false">AO7*1000*SUP_C4_RETAIL!$C$19</f>
        <v>48300</v>
      </c>
      <c r="AP8" s="273" t="n">
        <f aca="false">AP7*1000*SUP_C4_RETAIL!$C$19</f>
        <v>50400</v>
      </c>
      <c r="AQ8" s="273" t="n">
        <f aca="false">AQ7*1000*SUP_C4_RETAIL!$C$19</f>
        <v>52500</v>
      </c>
      <c r="AR8" s="273" t="n">
        <f aca="false">AR7*1000*SUP_C4_RETAIL!$C$19</f>
        <v>54600</v>
      </c>
      <c r="AS8" s="273" t="n">
        <f aca="false">AS7*1000*SUP_C4_RETAIL!$C$19</f>
        <v>56700</v>
      </c>
      <c r="AT8" s="273" t="n">
        <f aca="false">AT7*1000*SUP_C4_RETAIL!$C$19</f>
        <v>58800</v>
      </c>
      <c r="AU8" s="273" t="n">
        <f aca="false">AU7*1000*SUP_C4_RETAIL!$C$19</f>
        <v>60900</v>
      </c>
      <c r="AV8" s="273" t="n">
        <f aca="false">AV7*1000*SUP_C4_RETAIL!$C$19</f>
        <v>63000</v>
      </c>
      <c r="AW8" s="273" t="n">
        <f aca="false">AW7*1000*SUP_C4_RETAIL!$C$19</f>
        <v>65100</v>
      </c>
      <c r="AX8" s="273" t="n">
        <f aca="false">AX7*1000*SUP_C4_RETAIL!$C$19</f>
        <v>67200</v>
      </c>
      <c r="AY8" s="273" t="n">
        <f aca="false">AY7*1000*SUP_C4_RETAIL!$C$19</f>
        <v>69300</v>
      </c>
      <c r="AZ8" s="273" t="n">
        <f aca="false">AZ7*1000*SUP_C4_RETAIL!$C$19</f>
        <v>71400</v>
      </c>
      <c r="BA8" s="273" t="n">
        <f aca="false">BA7*1000*SUP_C4_RETAIL!$C$19</f>
        <v>73500</v>
      </c>
      <c r="BB8" s="273" t="n">
        <f aca="false">BB7*1000*SUP_C4_RETAIL!$C$19</f>
        <v>75600</v>
      </c>
      <c r="BC8" s="273" t="n">
        <f aca="false">BC7*1000*SUP_C4_RETAIL!$C$19</f>
        <v>77700</v>
      </c>
      <c r="BD8" s="273" t="n">
        <f aca="false">BD7*1000*SUP_C4_RETAIL!$C$19</f>
        <v>79800</v>
      </c>
      <c r="BE8" s="273" t="n">
        <f aca="false">BE7*1000*SUP_C4_RETAIL!$C$19</f>
        <v>81900</v>
      </c>
      <c r="BF8" s="273" t="n">
        <f aca="false">BF7*1000*SUP_C4_RETAIL!$C$19</f>
        <v>84000</v>
      </c>
      <c r="BG8" s="273" t="n">
        <f aca="false">BG7*1000*SUP_C4_RETAIL!$C$19</f>
        <v>86100</v>
      </c>
      <c r="BH8" s="273" t="n">
        <f aca="false">BH7*1000*SUP_C4_RETAIL!$C$19</f>
        <v>88200</v>
      </c>
      <c r="BI8" s="273" t="n">
        <f aca="false">BI7*1000*SUP_C4_RETAIL!$C$19</f>
        <v>90300</v>
      </c>
      <c r="BJ8" s="273" t="n">
        <f aca="false">BJ7*1000*SUP_C4_RETAIL!$C$19</f>
        <v>92400</v>
      </c>
      <c r="BK8" s="273" t="n">
        <f aca="false">BK7*1000*SUP_C4_RETAIL!$C$19</f>
        <v>94500</v>
      </c>
      <c r="BL8" s="273" t="n">
        <f aca="false">BL7*1000*SUP_C4_RETAIL!$C$19</f>
        <v>96600</v>
      </c>
      <c r="BM8" s="273" t="n">
        <f aca="false">BM7*1000*SUP_C4_RETAIL!$C$19</f>
        <v>98700</v>
      </c>
      <c r="BN8" s="273" t="n">
        <f aca="false">BN7*1000*SUP_C4_RETAIL!$C$19</f>
        <v>100800</v>
      </c>
      <c r="BO8" s="273" t="n">
        <f aca="false">BO7*1000*SUP_C4_RETAIL!$C$19</f>
        <v>102900</v>
      </c>
      <c r="BP8" s="273" t="n">
        <f aca="false">BP7*1000*SUP_C4_RETAIL!$C$19</f>
        <v>105000</v>
      </c>
      <c r="BQ8" s="273" t="n">
        <f aca="false">BQ7*1000*SUP_C4_RETAIL!$C$19</f>
        <v>107100</v>
      </c>
      <c r="BR8" s="273" t="n">
        <f aca="false">BR7*1000*SUP_C4_RETAIL!$C$19</f>
        <v>109200</v>
      </c>
      <c r="BS8" s="273" t="n">
        <f aca="false">BS7*1000*SUP_C4_RETAIL!$C$19</f>
        <v>111300</v>
      </c>
      <c r="BT8" s="273" t="n">
        <f aca="false">BT7*1000*SUP_C4_RETAIL!$C$19</f>
        <v>113400</v>
      </c>
      <c r="BU8" s="273" t="n">
        <f aca="false">BU7*1000*SUP_C4_RETAIL!$C$19</f>
        <v>115500</v>
      </c>
      <c r="BV8" s="273" t="n">
        <f aca="false">BV7*1000*SUP_C4_RETAIL!$C$19</f>
        <v>117600</v>
      </c>
      <c r="BW8" s="273" t="n">
        <f aca="false">BW7*1000*SUP_C4_RETAIL!$C$19</f>
        <v>119700</v>
      </c>
      <c r="BX8" s="273" t="n">
        <f aca="false">BX7*1000*SUP_C4_RETAIL!$C$19</f>
        <v>121800</v>
      </c>
      <c r="BY8" s="273" t="n">
        <f aca="false">BY7*1000*SUP_C4_RETAIL!$C$19</f>
        <v>123900</v>
      </c>
      <c r="BZ8" s="273" t="n">
        <f aca="false">BZ7*1000*SUP_C4_RETAIL!$C$19</f>
        <v>126000</v>
      </c>
      <c r="CA8" s="273" t="n">
        <f aca="false">CA7*1000*SUP_C4_RETAIL!$C$19</f>
        <v>126000</v>
      </c>
      <c r="CB8" s="273" t="n">
        <f aca="false">CB7*1000*SUP_C4_RETAIL!$C$19</f>
        <v>126000</v>
      </c>
      <c r="CC8" s="273" t="n">
        <f aca="false">CC7*1000*SUP_C4_RETAIL!$C$19</f>
        <v>126000</v>
      </c>
      <c r="CD8" s="273" t="n">
        <f aca="false">CD7*1000*SUP_C4_RETAIL!$C$19</f>
        <v>126000</v>
      </c>
      <c r="CE8" s="273" t="n">
        <f aca="false">CE7*1000*SUP_C4_RETAIL!$C$19</f>
        <v>126000</v>
      </c>
      <c r="CF8" s="273" t="n">
        <f aca="false">CF7*1000*SUP_C4_RETAIL!$C$19</f>
        <v>126000</v>
      </c>
      <c r="CG8" s="273" t="n">
        <f aca="false">CG7*1000*SUP_C4_RETAIL!$C$19</f>
        <v>126000</v>
      </c>
      <c r="CH8" s="273" t="n">
        <f aca="false">CH7*1000*SUP_C4_RETAIL!$C$19</f>
        <v>126000</v>
      </c>
      <c r="CI8" s="273" t="n">
        <f aca="false">CI7*1000*SUP_C4_RETAIL!$C$19</f>
        <v>126000</v>
      </c>
      <c r="CJ8" s="273" t="n">
        <f aca="false">CJ7*1000*SUP_C4_RETAIL!$C$19</f>
        <v>126000</v>
      </c>
      <c r="CK8" s="273" t="n">
        <f aca="false">CK7*1000*SUP_C4_RETAIL!$C$19</f>
        <v>126000</v>
      </c>
      <c r="CL8" s="273" t="n">
        <f aca="false">CL7*1000*SUP_C4_RETAIL!$C$19</f>
        <v>126000</v>
      </c>
      <c r="CM8" s="273" t="n">
        <f aca="false">CM7*1000*SUP_C4_RETAIL!$C$19</f>
        <v>126000</v>
      </c>
      <c r="CN8" s="273" t="n">
        <f aca="false">CN7*1000*SUP_C4_RETAIL!$C$19</f>
        <v>126000</v>
      </c>
      <c r="CO8" s="273" t="n">
        <f aca="false">CO7*1000*SUP_C4_RETAIL!$C$19</f>
        <v>126000</v>
      </c>
      <c r="CP8" s="273" t="n">
        <f aca="false">CP7*1000*SUP_C4_RETAIL!$C$19</f>
        <v>126000</v>
      </c>
      <c r="CQ8" s="273" t="n">
        <f aca="false">CQ7*1000*SUP_C4_RETAIL!$C$19</f>
        <v>126000</v>
      </c>
      <c r="CR8" s="273" t="n">
        <f aca="false">CR7*1000*SUP_C4_RETAIL!$C$19</f>
        <v>126000</v>
      </c>
      <c r="CS8" s="273" t="n">
        <f aca="false">CS7*1000*SUP_C4_RETAIL!$C$19</f>
        <v>126000</v>
      </c>
      <c r="CT8" s="273" t="n">
        <f aca="false">CT7*1000*SUP_C4_RETAIL!$C$19</f>
        <v>126000</v>
      </c>
      <c r="CU8" s="273" t="n">
        <f aca="false">CU7*1000*SUP_C4_RETAIL!$C$19</f>
        <v>126000</v>
      </c>
      <c r="CV8" s="273" t="n">
        <f aca="false">CV7*1000*SUP_C4_RETAIL!$C$19</f>
        <v>126000</v>
      </c>
      <c r="CW8" s="273" t="n">
        <f aca="false">CW7*1000*SUP_C4_RETAIL!$C$19</f>
        <v>126000</v>
      </c>
      <c r="CX8" s="273" t="n">
        <f aca="false">CX7*1000*SUP_C4_RETAIL!$C$19</f>
        <v>126000</v>
      </c>
      <c r="CY8" s="273" t="n">
        <f aca="false">CY7*1000*SUP_C4_RETAIL!$C$19</f>
        <v>126000</v>
      </c>
      <c r="CZ8" s="273" t="n">
        <f aca="false">CZ7*1000*SUP_C4_RETAIL!$C$19</f>
        <v>126000</v>
      </c>
      <c r="DA8" s="273" t="n">
        <f aca="false">DA7*1000*SUP_C4_RETAIL!$C$19</f>
        <v>126000</v>
      </c>
      <c r="DB8" s="273" t="n">
        <f aca="false">DB7*1000*SUP_C4_RETAIL!$C$19</f>
        <v>126000</v>
      </c>
      <c r="DC8" s="273" t="n">
        <f aca="false">DC7*1000*SUP_C4_RETAIL!$C$19</f>
        <v>126000</v>
      </c>
      <c r="DD8" s="273" t="n">
        <f aca="false">DD7*1000*SUP_C4_RETAIL!$C$19</f>
        <v>126000</v>
      </c>
      <c r="DE8" s="273" t="n">
        <f aca="false">DE7*1000*SUP_C4_RETAIL!$C$19</f>
        <v>126000</v>
      </c>
      <c r="DF8" s="273" t="n">
        <f aca="false">DF7*1000*SUP_C4_RETAIL!$C$19</f>
        <v>126000</v>
      </c>
      <c r="DG8" s="273" t="n">
        <f aca="false">DG7*1000*SUP_C4_RETAIL!$C$19</f>
        <v>126000</v>
      </c>
      <c r="DH8" s="273" t="n">
        <f aca="false">DH7*1000*SUP_C4_RETAIL!$C$19</f>
        <v>126000</v>
      </c>
      <c r="DI8" s="273" t="n">
        <f aca="false">DI7*1000*SUP_C4_RETAIL!$C$19</f>
        <v>126000</v>
      </c>
      <c r="DJ8" s="273" t="n">
        <f aca="false">DJ7*1000*SUP_C4_RETAIL!$C$19</f>
        <v>126000</v>
      </c>
      <c r="DK8" s="273" t="n">
        <f aca="false">DK7*1000*SUP_C4_RETAIL!$C$19</f>
        <v>126000</v>
      </c>
      <c r="DL8" s="273" t="n">
        <f aca="false">DL7*1000*SUP_C4_RETAIL!$C$19</f>
        <v>126000</v>
      </c>
      <c r="DM8" s="273" t="n">
        <f aca="false">DM7*1000*SUP_C4_RETAIL!$C$19</f>
        <v>126000</v>
      </c>
      <c r="DN8" s="273" t="n">
        <f aca="false">DN7*1000*SUP_C4_RETAIL!$C$19</f>
        <v>126000</v>
      </c>
      <c r="DO8" s="273" t="n">
        <f aca="false">DO7*1000*SUP_C4_RETAIL!$C$19</f>
        <v>126000</v>
      </c>
      <c r="DP8" s="273" t="n">
        <f aca="false">DP7*1000*SUP_C4_RETAIL!$C$19</f>
        <v>126000</v>
      </c>
      <c r="DQ8" s="273" t="n">
        <f aca="false">DQ7*1000*SUP_C4_RETAIL!$C$19</f>
        <v>126000</v>
      </c>
      <c r="DR8" s="273" t="n">
        <f aca="false">DR7*1000*SUP_C4_RETAIL!$C$19</f>
        <v>126000</v>
      </c>
      <c r="DS8" s="273" t="n">
        <f aca="false">DS7*1000*SUP_C4_RETAIL!$C$19</f>
        <v>126000</v>
      </c>
    </row>
    <row r="9" customFormat="false" ht="15" hidden="false" customHeight="true" outlineLevel="0" collapsed="false">
      <c r="B9" s="297" t="s">
        <v>3604</v>
      </c>
      <c r="D9" s="273" t="n">
        <f aca="false">D8*SUP_C4_RETAIL!$C$20</f>
        <v>0</v>
      </c>
      <c r="E9" s="273" t="n">
        <f aca="false">E8*SUP_C4_RETAIL!$C$20</f>
        <v>0</v>
      </c>
      <c r="F9" s="273" t="n">
        <f aca="false">F8*SUP_C4_RETAIL!$C$20</f>
        <v>0</v>
      </c>
      <c r="G9" s="273" t="n">
        <f aca="false">G8*SUP_C4_RETAIL!$C$20</f>
        <v>0</v>
      </c>
      <c r="H9" s="273" t="n">
        <f aca="false">H8*SUP_C4_RETAIL!$C$20</f>
        <v>0</v>
      </c>
      <c r="I9" s="273" t="n">
        <f aca="false">I8*SUP_C4_RETAIL!$C$20</f>
        <v>0</v>
      </c>
      <c r="J9" s="273" t="n">
        <f aca="false">J8*SUP_C4_RETAIL!$C$20</f>
        <v>0</v>
      </c>
      <c r="K9" s="273" t="n">
        <f aca="false">K8*SUP_C4_RETAIL!$C$20</f>
        <v>0</v>
      </c>
      <c r="L9" s="273" t="n">
        <f aca="false">L8*SUP_C4_RETAIL!$C$20</f>
        <v>0</v>
      </c>
      <c r="M9" s="273" t="n">
        <f aca="false">M8*SUP_C4_RETAIL!$C$20</f>
        <v>0</v>
      </c>
      <c r="N9" s="273" t="n">
        <f aca="false">N8*SUP_C4_RETAIL!$C$20</f>
        <v>0</v>
      </c>
      <c r="O9" s="273" t="n">
        <f aca="false">O8*SUP_C4_RETAIL!$C$20</f>
        <v>0</v>
      </c>
      <c r="P9" s="273" t="n">
        <f aca="false">P8*SUP_C4_RETAIL!$C$20</f>
        <v>0</v>
      </c>
      <c r="Q9" s="273" t="n">
        <f aca="false">Q8*SUP_C4_RETAIL!$C$20</f>
        <v>0</v>
      </c>
      <c r="R9" s="273" t="n">
        <f aca="false">R8*SUP_C4_RETAIL!$C$20</f>
        <v>0</v>
      </c>
      <c r="S9" s="273" t="n">
        <f aca="false">S8*SUP_C4_RETAIL!$C$20</f>
        <v>0</v>
      </c>
      <c r="T9" s="273" t="n">
        <f aca="false">T8*SUP_C4_RETAIL!$C$20</f>
        <v>0</v>
      </c>
      <c r="U9" s="273" t="n">
        <f aca="false">U8*SUP_C4_RETAIL!$C$20</f>
        <v>0</v>
      </c>
      <c r="V9" s="273" t="n">
        <f aca="false">V8*SUP_C4_RETAIL!$C$20</f>
        <v>0</v>
      </c>
      <c r="W9" s="273" t="n">
        <f aca="false">W8*SUP_C4_RETAIL!$C$20</f>
        <v>0</v>
      </c>
      <c r="X9" s="273" t="n">
        <f aca="false">X8*SUP_C4_RETAIL!$C$20</f>
        <v>0</v>
      </c>
      <c r="Y9" s="273" t="n">
        <f aca="false">Y8*SUP_C4_RETAIL!$C$20</f>
        <v>0</v>
      </c>
      <c r="Z9" s="273" t="n">
        <f aca="false">Z8*SUP_C4_RETAIL!$C$20</f>
        <v>0</v>
      </c>
      <c r="AA9" s="273" t="n">
        <f aca="false">AA8*SUP_C4_RETAIL!$C$20</f>
        <v>0</v>
      </c>
      <c r="AB9" s="273" t="n">
        <f aca="false">AB8*SUP_C4_RETAIL!$C$20</f>
        <v>13650</v>
      </c>
      <c r="AC9" s="273" t="n">
        <f aca="false">AC8*SUP_C4_RETAIL!$C$20</f>
        <v>15015</v>
      </c>
      <c r="AD9" s="273" t="n">
        <f aca="false">AD8*SUP_C4_RETAIL!$C$20</f>
        <v>16380</v>
      </c>
      <c r="AE9" s="273" t="n">
        <f aca="false">AE8*SUP_C4_RETAIL!$C$20</f>
        <v>17745</v>
      </c>
      <c r="AF9" s="273" t="n">
        <f aca="false">AF8*SUP_C4_RETAIL!$C$20</f>
        <v>19110</v>
      </c>
      <c r="AG9" s="273" t="n">
        <f aca="false">AG8*SUP_C4_RETAIL!$C$20</f>
        <v>20475</v>
      </c>
      <c r="AH9" s="273" t="n">
        <f aca="false">AH8*SUP_C4_RETAIL!$C$20</f>
        <v>21840</v>
      </c>
      <c r="AI9" s="273" t="n">
        <f aca="false">AI8*SUP_C4_RETAIL!$C$20</f>
        <v>23205</v>
      </c>
      <c r="AJ9" s="273" t="n">
        <f aca="false">AJ8*SUP_C4_RETAIL!$C$20</f>
        <v>24570</v>
      </c>
      <c r="AK9" s="273" t="n">
        <f aca="false">AK8*SUP_C4_RETAIL!$C$20</f>
        <v>25935</v>
      </c>
      <c r="AL9" s="273" t="n">
        <f aca="false">AL8*SUP_C4_RETAIL!$C$20</f>
        <v>27300</v>
      </c>
      <c r="AM9" s="273" t="n">
        <f aca="false">AM8*SUP_C4_RETAIL!$C$20</f>
        <v>28665</v>
      </c>
      <c r="AN9" s="273" t="n">
        <f aca="false">AN8*SUP_C4_RETAIL!$C$20</f>
        <v>30030</v>
      </c>
      <c r="AO9" s="273" t="n">
        <f aca="false">AO8*SUP_C4_RETAIL!$C$20</f>
        <v>31395</v>
      </c>
      <c r="AP9" s="273" t="n">
        <f aca="false">AP8*SUP_C4_RETAIL!$C$20</f>
        <v>32760</v>
      </c>
      <c r="AQ9" s="273" t="n">
        <f aca="false">AQ8*SUP_C4_RETAIL!$C$20</f>
        <v>34125</v>
      </c>
      <c r="AR9" s="273" t="n">
        <f aca="false">AR8*SUP_C4_RETAIL!$C$20</f>
        <v>35490</v>
      </c>
      <c r="AS9" s="273" t="n">
        <f aca="false">AS8*SUP_C4_RETAIL!$C$20</f>
        <v>36855</v>
      </c>
      <c r="AT9" s="273" t="n">
        <f aca="false">AT8*SUP_C4_RETAIL!$C$20</f>
        <v>38220</v>
      </c>
      <c r="AU9" s="273" t="n">
        <f aca="false">AU8*SUP_C4_RETAIL!$C$20</f>
        <v>39585</v>
      </c>
      <c r="AV9" s="273" t="n">
        <f aca="false">AV8*SUP_C4_RETAIL!$C$20</f>
        <v>40950</v>
      </c>
      <c r="AW9" s="273" t="n">
        <f aca="false">AW8*SUP_C4_RETAIL!$C$20</f>
        <v>42315</v>
      </c>
      <c r="AX9" s="273" t="n">
        <f aca="false">AX8*SUP_C4_RETAIL!$C$20</f>
        <v>43680</v>
      </c>
      <c r="AY9" s="273" t="n">
        <f aca="false">AY8*SUP_C4_RETAIL!$C$20</f>
        <v>45045</v>
      </c>
      <c r="AZ9" s="273" t="n">
        <f aca="false">AZ8*SUP_C4_RETAIL!$C$20</f>
        <v>46410</v>
      </c>
      <c r="BA9" s="273" t="n">
        <f aca="false">BA8*SUP_C4_RETAIL!$C$20</f>
        <v>47775</v>
      </c>
      <c r="BB9" s="273" t="n">
        <f aca="false">BB8*SUP_C4_RETAIL!$C$20</f>
        <v>49140</v>
      </c>
      <c r="BC9" s="273" t="n">
        <f aca="false">BC8*SUP_C4_RETAIL!$C$20</f>
        <v>50505</v>
      </c>
      <c r="BD9" s="273" t="n">
        <f aca="false">BD8*SUP_C4_RETAIL!$C$20</f>
        <v>51870</v>
      </c>
      <c r="BE9" s="273" t="n">
        <f aca="false">BE8*SUP_C4_RETAIL!$C$20</f>
        <v>53235</v>
      </c>
      <c r="BF9" s="273" t="n">
        <f aca="false">BF8*SUP_C4_RETAIL!$C$20</f>
        <v>54600</v>
      </c>
      <c r="BG9" s="273" t="n">
        <f aca="false">BG8*SUP_C4_RETAIL!$C$20</f>
        <v>55965</v>
      </c>
      <c r="BH9" s="273" t="n">
        <f aca="false">BH8*SUP_C4_RETAIL!$C$20</f>
        <v>57330</v>
      </c>
      <c r="BI9" s="273" t="n">
        <f aca="false">BI8*SUP_C4_RETAIL!$C$20</f>
        <v>58695</v>
      </c>
      <c r="BJ9" s="273" t="n">
        <f aca="false">BJ8*SUP_C4_RETAIL!$C$20</f>
        <v>60060</v>
      </c>
      <c r="BK9" s="273" t="n">
        <f aca="false">BK8*SUP_C4_RETAIL!$C$20</f>
        <v>61425</v>
      </c>
      <c r="BL9" s="273" t="n">
        <f aca="false">BL8*SUP_C4_RETAIL!$C$20</f>
        <v>62790</v>
      </c>
      <c r="BM9" s="273" t="n">
        <f aca="false">BM8*SUP_C4_RETAIL!$C$20</f>
        <v>64155</v>
      </c>
      <c r="BN9" s="273" t="n">
        <f aca="false">BN8*SUP_C4_RETAIL!$C$20</f>
        <v>65520</v>
      </c>
      <c r="BO9" s="273" t="n">
        <f aca="false">BO8*SUP_C4_RETAIL!$C$20</f>
        <v>66885</v>
      </c>
      <c r="BP9" s="273" t="n">
        <f aca="false">BP8*SUP_C4_RETAIL!$C$20</f>
        <v>68250</v>
      </c>
      <c r="BQ9" s="273" t="n">
        <f aca="false">BQ8*SUP_C4_RETAIL!$C$20</f>
        <v>69615</v>
      </c>
      <c r="BR9" s="273" t="n">
        <f aca="false">BR8*SUP_C4_RETAIL!$C$20</f>
        <v>70980</v>
      </c>
      <c r="BS9" s="273" t="n">
        <f aca="false">BS8*SUP_C4_RETAIL!$C$20</f>
        <v>72345</v>
      </c>
      <c r="BT9" s="273" t="n">
        <f aca="false">BT8*SUP_C4_RETAIL!$C$20</f>
        <v>73710</v>
      </c>
      <c r="BU9" s="273" t="n">
        <f aca="false">BU8*SUP_C4_RETAIL!$C$20</f>
        <v>75075</v>
      </c>
      <c r="BV9" s="273" t="n">
        <f aca="false">BV8*SUP_C4_RETAIL!$C$20</f>
        <v>76440</v>
      </c>
      <c r="BW9" s="273" t="n">
        <f aca="false">BW8*SUP_C4_RETAIL!$C$20</f>
        <v>77805</v>
      </c>
      <c r="BX9" s="273" t="n">
        <f aca="false">BX8*SUP_C4_RETAIL!$C$20</f>
        <v>79170</v>
      </c>
      <c r="BY9" s="273" t="n">
        <f aca="false">BY8*SUP_C4_RETAIL!$C$20</f>
        <v>80535</v>
      </c>
      <c r="BZ9" s="273" t="n">
        <f aca="false">BZ8*SUP_C4_RETAIL!$C$20</f>
        <v>81900</v>
      </c>
      <c r="CA9" s="273" t="n">
        <f aca="false">CA8*SUP_C4_RETAIL!$C$20</f>
        <v>81900</v>
      </c>
      <c r="CB9" s="273" t="n">
        <f aca="false">CB8*SUP_C4_RETAIL!$C$20</f>
        <v>81900</v>
      </c>
      <c r="CC9" s="273" t="n">
        <f aca="false">CC8*SUP_C4_RETAIL!$C$20</f>
        <v>81900</v>
      </c>
      <c r="CD9" s="273" t="n">
        <f aca="false">CD8*SUP_C4_RETAIL!$C$20</f>
        <v>81900</v>
      </c>
      <c r="CE9" s="273" t="n">
        <f aca="false">CE8*SUP_C4_RETAIL!$C$20</f>
        <v>81900</v>
      </c>
      <c r="CF9" s="273" t="n">
        <f aca="false">CF8*SUP_C4_RETAIL!$C$20</f>
        <v>81900</v>
      </c>
      <c r="CG9" s="273" t="n">
        <f aca="false">CG8*SUP_C4_RETAIL!$C$20</f>
        <v>81900</v>
      </c>
      <c r="CH9" s="273" t="n">
        <f aca="false">CH8*SUP_C4_RETAIL!$C$20</f>
        <v>81900</v>
      </c>
      <c r="CI9" s="273" t="n">
        <f aca="false">CI8*SUP_C4_RETAIL!$C$20</f>
        <v>81900</v>
      </c>
      <c r="CJ9" s="273" t="n">
        <f aca="false">CJ8*SUP_C4_RETAIL!$C$20</f>
        <v>81900</v>
      </c>
      <c r="CK9" s="273" t="n">
        <f aca="false">CK8*SUP_C4_RETAIL!$C$20</f>
        <v>81900</v>
      </c>
      <c r="CL9" s="273" t="n">
        <f aca="false">CL8*SUP_C4_RETAIL!$C$20</f>
        <v>81900</v>
      </c>
      <c r="CM9" s="273" t="n">
        <f aca="false">CM8*SUP_C4_RETAIL!$C$20</f>
        <v>81900</v>
      </c>
      <c r="CN9" s="273" t="n">
        <f aca="false">CN8*SUP_C4_RETAIL!$C$20</f>
        <v>81900</v>
      </c>
      <c r="CO9" s="273" t="n">
        <f aca="false">CO8*SUP_C4_RETAIL!$C$20</f>
        <v>81900</v>
      </c>
      <c r="CP9" s="273" t="n">
        <f aca="false">CP8*SUP_C4_RETAIL!$C$20</f>
        <v>81900</v>
      </c>
      <c r="CQ9" s="273" t="n">
        <f aca="false">CQ8*SUP_C4_RETAIL!$C$20</f>
        <v>81900</v>
      </c>
      <c r="CR9" s="273" t="n">
        <f aca="false">CR8*SUP_C4_RETAIL!$C$20</f>
        <v>81900</v>
      </c>
      <c r="CS9" s="273" t="n">
        <f aca="false">CS8*SUP_C4_RETAIL!$C$20</f>
        <v>81900</v>
      </c>
      <c r="CT9" s="273" t="n">
        <f aca="false">CT8*SUP_C4_RETAIL!$C$20</f>
        <v>81900</v>
      </c>
      <c r="CU9" s="273" t="n">
        <f aca="false">CU8*SUP_C4_RETAIL!$C$20</f>
        <v>81900</v>
      </c>
      <c r="CV9" s="273" t="n">
        <f aca="false">CV8*SUP_C4_RETAIL!$C$20</f>
        <v>81900</v>
      </c>
      <c r="CW9" s="273" t="n">
        <f aca="false">CW8*SUP_C4_RETAIL!$C$20</f>
        <v>81900</v>
      </c>
      <c r="CX9" s="273" t="n">
        <f aca="false">CX8*SUP_C4_RETAIL!$C$20</f>
        <v>81900</v>
      </c>
      <c r="CY9" s="273" t="n">
        <f aca="false">CY8*SUP_C4_RETAIL!$C$20</f>
        <v>81900</v>
      </c>
      <c r="CZ9" s="273" t="n">
        <f aca="false">CZ8*SUP_C4_RETAIL!$C$20</f>
        <v>81900</v>
      </c>
      <c r="DA9" s="273" t="n">
        <f aca="false">DA8*SUP_C4_RETAIL!$C$20</f>
        <v>81900</v>
      </c>
      <c r="DB9" s="273" t="n">
        <f aca="false">DB8*SUP_C4_RETAIL!$C$20</f>
        <v>81900</v>
      </c>
      <c r="DC9" s="273" t="n">
        <f aca="false">DC8*SUP_C4_RETAIL!$C$20</f>
        <v>81900</v>
      </c>
      <c r="DD9" s="273" t="n">
        <f aca="false">DD8*SUP_C4_RETAIL!$C$20</f>
        <v>81900</v>
      </c>
      <c r="DE9" s="273" t="n">
        <f aca="false">DE8*SUP_C4_RETAIL!$C$20</f>
        <v>81900</v>
      </c>
      <c r="DF9" s="273" t="n">
        <f aca="false">DF8*SUP_C4_RETAIL!$C$20</f>
        <v>81900</v>
      </c>
      <c r="DG9" s="273" t="n">
        <f aca="false">DG8*SUP_C4_RETAIL!$C$20</f>
        <v>81900</v>
      </c>
      <c r="DH9" s="273" t="n">
        <f aca="false">DH8*SUP_C4_RETAIL!$C$20</f>
        <v>81900</v>
      </c>
      <c r="DI9" s="273" t="n">
        <f aca="false">DI8*SUP_C4_RETAIL!$C$20</f>
        <v>81900</v>
      </c>
      <c r="DJ9" s="273" t="n">
        <f aca="false">DJ8*SUP_C4_RETAIL!$C$20</f>
        <v>81900</v>
      </c>
      <c r="DK9" s="273" t="n">
        <f aca="false">DK8*SUP_C4_RETAIL!$C$20</f>
        <v>81900</v>
      </c>
      <c r="DL9" s="273" t="n">
        <f aca="false">DL8*SUP_C4_RETAIL!$C$20</f>
        <v>81900</v>
      </c>
      <c r="DM9" s="273" t="n">
        <f aca="false">DM8*SUP_C4_RETAIL!$C$20</f>
        <v>81900</v>
      </c>
      <c r="DN9" s="273" t="n">
        <f aca="false">DN8*SUP_C4_RETAIL!$C$20</f>
        <v>81900</v>
      </c>
      <c r="DO9" s="273" t="n">
        <f aca="false">DO8*SUP_C4_RETAIL!$C$20</f>
        <v>81900</v>
      </c>
      <c r="DP9" s="273" t="n">
        <f aca="false">DP8*SUP_C4_RETAIL!$C$20</f>
        <v>81900</v>
      </c>
      <c r="DQ9" s="273" t="n">
        <f aca="false">DQ8*SUP_C4_RETAIL!$C$20</f>
        <v>81900</v>
      </c>
      <c r="DR9" s="273" t="n">
        <f aca="false">DR8*SUP_C4_RETAIL!$C$20</f>
        <v>81900</v>
      </c>
      <c r="DS9" s="273" t="n">
        <f aca="false">DS8*SUP_C4_RETAIL!$C$20</f>
        <v>81900</v>
      </c>
    </row>
    <row r="10" customFormat="false" ht="15" hidden="false" customHeight="true" outlineLevel="0" collapsed="false">
      <c r="B10" s="297" t="s">
        <v>3605</v>
      </c>
      <c r="D10" s="273" t="n">
        <f aca="false">D8*SUP_C4_RETAIL!$C$21</f>
        <v>0</v>
      </c>
      <c r="E10" s="273" t="n">
        <f aca="false">E8*SUP_C4_RETAIL!$C$21</f>
        <v>0</v>
      </c>
      <c r="F10" s="273" t="n">
        <f aca="false">F8*SUP_C4_RETAIL!$C$21</f>
        <v>0</v>
      </c>
      <c r="G10" s="273" t="n">
        <f aca="false">G8*SUP_C4_RETAIL!$C$21</f>
        <v>0</v>
      </c>
      <c r="H10" s="273" t="n">
        <f aca="false">H8*SUP_C4_RETAIL!$C$21</f>
        <v>0</v>
      </c>
      <c r="I10" s="273" t="n">
        <f aca="false">I8*SUP_C4_RETAIL!$C$21</f>
        <v>0</v>
      </c>
      <c r="J10" s="273" t="n">
        <f aca="false">J8*SUP_C4_RETAIL!$C$21</f>
        <v>0</v>
      </c>
      <c r="K10" s="273" t="n">
        <f aca="false">K8*SUP_C4_RETAIL!$C$21</f>
        <v>0</v>
      </c>
      <c r="L10" s="273" t="n">
        <f aca="false">L8*SUP_C4_RETAIL!$C$21</f>
        <v>0</v>
      </c>
      <c r="M10" s="273" t="n">
        <f aca="false">M8*SUP_C4_RETAIL!$C$21</f>
        <v>0</v>
      </c>
      <c r="N10" s="273" t="n">
        <f aca="false">N8*SUP_C4_RETAIL!$C$21</f>
        <v>0</v>
      </c>
      <c r="O10" s="273" t="n">
        <f aca="false">O8*SUP_C4_RETAIL!$C$21</f>
        <v>0</v>
      </c>
      <c r="P10" s="273" t="n">
        <f aca="false">P8*SUP_C4_RETAIL!$C$21</f>
        <v>0</v>
      </c>
      <c r="Q10" s="273" t="n">
        <f aca="false">Q8*SUP_C4_RETAIL!$C$21</f>
        <v>0</v>
      </c>
      <c r="R10" s="273" t="n">
        <f aca="false">R8*SUP_C4_RETAIL!$C$21</f>
        <v>0</v>
      </c>
      <c r="S10" s="273" t="n">
        <f aca="false">S8*SUP_C4_RETAIL!$C$21</f>
        <v>0</v>
      </c>
      <c r="T10" s="273" t="n">
        <f aca="false">T8*SUP_C4_RETAIL!$C$21</f>
        <v>0</v>
      </c>
      <c r="U10" s="273" t="n">
        <f aca="false">U8*SUP_C4_RETAIL!$C$21</f>
        <v>0</v>
      </c>
      <c r="V10" s="273" t="n">
        <f aca="false">V8*SUP_C4_RETAIL!$C$21</f>
        <v>0</v>
      </c>
      <c r="W10" s="273" t="n">
        <f aca="false">W8*SUP_C4_RETAIL!$C$21</f>
        <v>0</v>
      </c>
      <c r="X10" s="273" t="n">
        <f aca="false">X8*SUP_C4_RETAIL!$C$21</f>
        <v>0</v>
      </c>
      <c r="Y10" s="273" t="n">
        <f aca="false">Y8*SUP_C4_RETAIL!$C$21</f>
        <v>0</v>
      </c>
      <c r="Z10" s="273" t="n">
        <f aca="false">Z8*SUP_C4_RETAIL!$C$21</f>
        <v>0</v>
      </c>
      <c r="AA10" s="273" t="n">
        <f aca="false">AA8*SUP_C4_RETAIL!$C$21</f>
        <v>0</v>
      </c>
      <c r="AB10" s="273" t="n">
        <f aca="false">AB8*SUP_C4_RETAIL!$C$21</f>
        <v>2520</v>
      </c>
      <c r="AC10" s="273" t="n">
        <f aca="false">AC8*SUP_C4_RETAIL!$C$21</f>
        <v>2772</v>
      </c>
      <c r="AD10" s="273" t="n">
        <f aca="false">AD8*SUP_C4_RETAIL!$C$21</f>
        <v>3024</v>
      </c>
      <c r="AE10" s="273" t="n">
        <f aca="false">AE8*SUP_C4_RETAIL!$C$21</f>
        <v>3276</v>
      </c>
      <c r="AF10" s="273" t="n">
        <f aca="false">AF8*SUP_C4_RETAIL!$C$21</f>
        <v>3528</v>
      </c>
      <c r="AG10" s="273" t="n">
        <f aca="false">AG8*SUP_C4_RETAIL!$C$21</f>
        <v>3780</v>
      </c>
      <c r="AH10" s="273" t="n">
        <f aca="false">AH8*SUP_C4_RETAIL!$C$21</f>
        <v>4032</v>
      </c>
      <c r="AI10" s="273" t="n">
        <f aca="false">AI8*SUP_C4_RETAIL!$C$21</f>
        <v>4284</v>
      </c>
      <c r="AJ10" s="273" t="n">
        <f aca="false">AJ8*SUP_C4_RETAIL!$C$21</f>
        <v>4536</v>
      </c>
      <c r="AK10" s="273" t="n">
        <f aca="false">AK8*SUP_C4_RETAIL!$C$21</f>
        <v>4788</v>
      </c>
      <c r="AL10" s="273" t="n">
        <f aca="false">AL8*SUP_C4_RETAIL!$C$21</f>
        <v>5040</v>
      </c>
      <c r="AM10" s="273" t="n">
        <f aca="false">AM8*SUP_C4_RETAIL!$C$21</f>
        <v>5292</v>
      </c>
      <c r="AN10" s="273" t="n">
        <f aca="false">AN8*SUP_C4_RETAIL!$C$21</f>
        <v>5544</v>
      </c>
      <c r="AO10" s="273" t="n">
        <f aca="false">AO8*SUP_C4_RETAIL!$C$21</f>
        <v>5796</v>
      </c>
      <c r="AP10" s="273" t="n">
        <f aca="false">AP8*SUP_C4_RETAIL!$C$21</f>
        <v>6048</v>
      </c>
      <c r="AQ10" s="273" t="n">
        <f aca="false">AQ8*SUP_C4_RETAIL!$C$21</f>
        <v>6300</v>
      </c>
      <c r="AR10" s="273" t="n">
        <f aca="false">AR8*SUP_C4_RETAIL!$C$21</f>
        <v>6552</v>
      </c>
      <c r="AS10" s="273" t="n">
        <f aca="false">AS8*SUP_C4_RETAIL!$C$21</f>
        <v>6804</v>
      </c>
      <c r="AT10" s="273" t="n">
        <f aca="false">AT8*SUP_C4_RETAIL!$C$21</f>
        <v>7056</v>
      </c>
      <c r="AU10" s="273" t="n">
        <f aca="false">AU8*SUP_C4_RETAIL!$C$21</f>
        <v>7308</v>
      </c>
      <c r="AV10" s="273" t="n">
        <f aca="false">AV8*SUP_C4_RETAIL!$C$21</f>
        <v>7560</v>
      </c>
      <c r="AW10" s="273" t="n">
        <f aca="false">AW8*SUP_C4_RETAIL!$C$21</f>
        <v>7812</v>
      </c>
      <c r="AX10" s="273" t="n">
        <f aca="false">AX8*SUP_C4_RETAIL!$C$21</f>
        <v>8064</v>
      </c>
      <c r="AY10" s="273" t="n">
        <f aca="false">AY8*SUP_C4_RETAIL!$C$21</f>
        <v>8316</v>
      </c>
      <c r="AZ10" s="273" t="n">
        <f aca="false">AZ8*SUP_C4_RETAIL!$C$21</f>
        <v>8568</v>
      </c>
      <c r="BA10" s="273" t="n">
        <f aca="false">BA8*SUP_C4_RETAIL!$C$21</f>
        <v>8820</v>
      </c>
      <c r="BB10" s="273" t="n">
        <f aca="false">BB8*SUP_C4_RETAIL!$C$21</f>
        <v>9072</v>
      </c>
      <c r="BC10" s="273" t="n">
        <f aca="false">BC8*SUP_C4_RETAIL!$C$21</f>
        <v>9324</v>
      </c>
      <c r="BD10" s="273" t="n">
        <f aca="false">BD8*SUP_C4_RETAIL!$C$21</f>
        <v>9576</v>
      </c>
      <c r="BE10" s="273" t="n">
        <f aca="false">BE8*SUP_C4_RETAIL!$C$21</f>
        <v>9828</v>
      </c>
      <c r="BF10" s="273" t="n">
        <f aca="false">BF8*SUP_C4_RETAIL!$C$21</f>
        <v>10080</v>
      </c>
      <c r="BG10" s="273" t="n">
        <f aca="false">BG8*SUP_C4_RETAIL!$C$21</f>
        <v>10332</v>
      </c>
      <c r="BH10" s="273" t="n">
        <f aca="false">BH8*SUP_C4_RETAIL!$C$21</f>
        <v>10584</v>
      </c>
      <c r="BI10" s="273" t="n">
        <f aca="false">BI8*SUP_C4_RETAIL!$C$21</f>
        <v>10836</v>
      </c>
      <c r="BJ10" s="273" t="n">
        <f aca="false">BJ8*SUP_C4_RETAIL!$C$21</f>
        <v>11088</v>
      </c>
      <c r="BK10" s="273" t="n">
        <f aca="false">BK8*SUP_C4_RETAIL!$C$21</f>
        <v>11340</v>
      </c>
      <c r="BL10" s="273" t="n">
        <f aca="false">BL8*SUP_C4_RETAIL!$C$21</f>
        <v>11592</v>
      </c>
      <c r="BM10" s="273" t="n">
        <f aca="false">BM8*SUP_C4_RETAIL!$C$21</f>
        <v>11844</v>
      </c>
      <c r="BN10" s="273" t="n">
        <f aca="false">BN8*SUP_C4_RETAIL!$C$21</f>
        <v>12096</v>
      </c>
      <c r="BO10" s="273" t="n">
        <f aca="false">BO8*SUP_C4_RETAIL!$C$21</f>
        <v>12348</v>
      </c>
      <c r="BP10" s="273" t="n">
        <f aca="false">BP8*SUP_C4_RETAIL!$C$21</f>
        <v>12600</v>
      </c>
      <c r="BQ10" s="273" t="n">
        <f aca="false">BQ8*SUP_C4_RETAIL!$C$21</f>
        <v>12852</v>
      </c>
      <c r="BR10" s="273" t="n">
        <f aca="false">BR8*SUP_C4_RETAIL!$C$21</f>
        <v>13104</v>
      </c>
      <c r="BS10" s="273" t="n">
        <f aca="false">BS8*SUP_C4_RETAIL!$C$21</f>
        <v>13356</v>
      </c>
      <c r="BT10" s="273" t="n">
        <f aca="false">BT8*SUP_C4_RETAIL!$C$21</f>
        <v>13608</v>
      </c>
      <c r="BU10" s="273" t="n">
        <f aca="false">BU8*SUP_C4_RETAIL!$C$21</f>
        <v>13860</v>
      </c>
      <c r="BV10" s="273" t="n">
        <f aca="false">BV8*SUP_C4_RETAIL!$C$21</f>
        <v>14112</v>
      </c>
      <c r="BW10" s="273" t="n">
        <f aca="false">BW8*SUP_C4_RETAIL!$C$21</f>
        <v>14364</v>
      </c>
      <c r="BX10" s="273" t="n">
        <f aca="false">BX8*SUP_C4_RETAIL!$C$21</f>
        <v>14616</v>
      </c>
      <c r="BY10" s="273" t="n">
        <f aca="false">BY8*SUP_C4_RETAIL!$C$21</f>
        <v>14868</v>
      </c>
      <c r="BZ10" s="273" t="n">
        <f aca="false">BZ8*SUP_C4_RETAIL!$C$21</f>
        <v>15120</v>
      </c>
      <c r="CA10" s="273" t="n">
        <f aca="false">CA8*SUP_C4_RETAIL!$C$21</f>
        <v>15120</v>
      </c>
      <c r="CB10" s="273" t="n">
        <f aca="false">CB8*SUP_C4_RETAIL!$C$21</f>
        <v>15120</v>
      </c>
      <c r="CC10" s="273" t="n">
        <f aca="false">CC8*SUP_C4_RETAIL!$C$21</f>
        <v>15120</v>
      </c>
      <c r="CD10" s="273" t="n">
        <f aca="false">CD8*SUP_C4_RETAIL!$C$21</f>
        <v>15120</v>
      </c>
      <c r="CE10" s="273" t="n">
        <f aca="false">CE8*SUP_C4_RETAIL!$C$21</f>
        <v>15120</v>
      </c>
      <c r="CF10" s="273" t="n">
        <f aca="false">CF8*SUP_C4_RETAIL!$C$21</f>
        <v>15120</v>
      </c>
      <c r="CG10" s="273" t="n">
        <f aca="false">CG8*SUP_C4_RETAIL!$C$21</f>
        <v>15120</v>
      </c>
      <c r="CH10" s="273" t="n">
        <f aca="false">CH8*SUP_C4_RETAIL!$C$21</f>
        <v>15120</v>
      </c>
      <c r="CI10" s="273" t="n">
        <f aca="false">CI8*SUP_C4_RETAIL!$C$21</f>
        <v>15120</v>
      </c>
      <c r="CJ10" s="273" t="n">
        <f aca="false">CJ8*SUP_C4_RETAIL!$C$21</f>
        <v>15120</v>
      </c>
      <c r="CK10" s="273" t="n">
        <f aca="false">CK8*SUP_C4_RETAIL!$C$21</f>
        <v>15120</v>
      </c>
      <c r="CL10" s="273" t="n">
        <f aca="false">CL8*SUP_C4_RETAIL!$C$21</f>
        <v>15120</v>
      </c>
      <c r="CM10" s="273" t="n">
        <f aca="false">CM8*SUP_C4_RETAIL!$C$21</f>
        <v>15120</v>
      </c>
      <c r="CN10" s="273" t="n">
        <f aca="false">CN8*SUP_C4_RETAIL!$C$21</f>
        <v>15120</v>
      </c>
      <c r="CO10" s="273" t="n">
        <f aca="false">CO8*SUP_C4_RETAIL!$C$21</f>
        <v>15120</v>
      </c>
      <c r="CP10" s="273" t="n">
        <f aca="false">CP8*SUP_C4_RETAIL!$C$21</f>
        <v>15120</v>
      </c>
      <c r="CQ10" s="273" t="n">
        <f aca="false">CQ8*SUP_C4_RETAIL!$C$21</f>
        <v>15120</v>
      </c>
      <c r="CR10" s="273" t="n">
        <f aca="false">CR8*SUP_C4_RETAIL!$C$21</f>
        <v>15120</v>
      </c>
      <c r="CS10" s="273" t="n">
        <f aca="false">CS8*SUP_C4_RETAIL!$C$21</f>
        <v>15120</v>
      </c>
      <c r="CT10" s="273" t="n">
        <f aca="false">CT8*SUP_C4_RETAIL!$C$21</f>
        <v>15120</v>
      </c>
      <c r="CU10" s="273" t="n">
        <f aca="false">CU8*SUP_C4_RETAIL!$C$21</f>
        <v>15120</v>
      </c>
      <c r="CV10" s="273" t="n">
        <f aca="false">CV8*SUP_C4_RETAIL!$C$21</f>
        <v>15120</v>
      </c>
      <c r="CW10" s="273" t="n">
        <f aca="false">CW8*SUP_C4_RETAIL!$C$21</f>
        <v>15120</v>
      </c>
      <c r="CX10" s="273" t="n">
        <f aca="false">CX8*SUP_C4_RETAIL!$C$21</f>
        <v>15120</v>
      </c>
      <c r="CY10" s="273" t="n">
        <f aca="false">CY8*SUP_C4_RETAIL!$C$21</f>
        <v>15120</v>
      </c>
      <c r="CZ10" s="273" t="n">
        <f aca="false">CZ8*SUP_C4_RETAIL!$C$21</f>
        <v>15120</v>
      </c>
      <c r="DA10" s="273" t="n">
        <f aca="false">DA8*SUP_C4_RETAIL!$C$21</f>
        <v>15120</v>
      </c>
      <c r="DB10" s="273" t="n">
        <f aca="false">DB8*SUP_C4_RETAIL!$C$21</f>
        <v>15120</v>
      </c>
      <c r="DC10" s="273" t="n">
        <f aca="false">DC8*SUP_C4_RETAIL!$C$21</f>
        <v>15120</v>
      </c>
      <c r="DD10" s="273" t="n">
        <f aca="false">DD8*SUP_C4_RETAIL!$C$21</f>
        <v>15120</v>
      </c>
      <c r="DE10" s="273" t="n">
        <f aca="false">DE8*SUP_C4_RETAIL!$C$21</f>
        <v>15120</v>
      </c>
      <c r="DF10" s="273" t="n">
        <f aca="false">DF8*SUP_C4_RETAIL!$C$21</f>
        <v>15120</v>
      </c>
      <c r="DG10" s="273" t="n">
        <f aca="false">DG8*SUP_C4_RETAIL!$C$21</f>
        <v>15120</v>
      </c>
      <c r="DH10" s="273" t="n">
        <f aca="false">DH8*SUP_C4_RETAIL!$C$21</f>
        <v>15120</v>
      </c>
      <c r="DI10" s="273" t="n">
        <f aca="false">DI8*SUP_C4_RETAIL!$C$21</f>
        <v>15120</v>
      </c>
      <c r="DJ10" s="273" t="n">
        <f aca="false">DJ8*SUP_C4_RETAIL!$C$21</f>
        <v>15120</v>
      </c>
      <c r="DK10" s="273" t="n">
        <f aca="false">DK8*SUP_C4_RETAIL!$C$21</f>
        <v>15120</v>
      </c>
      <c r="DL10" s="273" t="n">
        <f aca="false">DL8*SUP_C4_RETAIL!$C$21</f>
        <v>15120</v>
      </c>
      <c r="DM10" s="273" t="n">
        <f aca="false">DM8*SUP_C4_RETAIL!$C$21</f>
        <v>15120</v>
      </c>
      <c r="DN10" s="273" t="n">
        <f aca="false">DN8*SUP_C4_RETAIL!$C$21</f>
        <v>15120</v>
      </c>
      <c r="DO10" s="273" t="n">
        <f aca="false">DO8*SUP_C4_RETAIL!$C$21</f>
        <v>15120</v>
      </c>
      <c r="DP10" s="273" t="n">
        <f aca="false">DP8*SUP_C4_RETAIL!$C$21</f>
        <v>15120</v>
      </c>
      <c r="DQ10" s="273" t="n">
        <f aca="false">DQ8*SUP_C4_RETAIL!$C$21</f>
        <v>15120</v>
      </c>
      <c r="DR10" s="273" t="n">
        <f aca="false">DR8*SUP_C4_RETAIL!$C$21</f>
        <v>15120</v>
      </c>
      <c r="DS10" s="273" t="n">
        <f aca="false">DS8*SUP_C4_RETAIL!$C$21</f>
        <v>15120</v>
      </c>
    </row>
    <row r="11" customFormat="false" ht="15" hidden="false" customHeight="true" outlineLevel="0" collapsed="false">
      <c r="B11" s="297" t="s">
        <v>3606</v>
      </c>
      <c r="D11" s="273" t="n">
        <f aca="false">D6*SUP_C4_RETAIL!$C$22</f>
        <v>0</v>
      </c>
      <c r="E11" s="273" t="n">
        <f aca="false">E6*SUP_C4_RETAIL!$C$22</f>
        <v>0</v>
      </c>
      <c r="F11" s="273" t="n">
        <f aca="false">F6*SUP_C4_RETAIL!$C$22</f>
        <v>0</v>
      </c>
      <c r="G11" s="273" t="n">
        <f aca="false">G6*SUP_C4_RETAIL!$C$22</f>
        <v>0</v>
      </c>
      <c r="H11" s="273" t="n">
        <f aca="false">H6*SUP_C4_RETAIL!$C$22</f>
        <v>0</v>
      </c>
      <c r="I11" s="273" t="n">
        <f aca="false">I6*SUP_C4_RETAIL!$C$22</f>
        <v>0</v>
      </c>
      <c r="J11" s="273" t="n">
        <f aca="false">J6*SUP_C4_RETAIL!$C$22</f>
        <v>0</v>
      </c>
      <c r="K11" s="273" t="n">
        <f aca="false">K6*SUP_C4_RETAIL!$C$22</f>
        <v>0</v>
      </c>
      <c r="L11" s="273" t="n">
        <f aca="false">L6*SUP_C4_RETAIL!$C$22</f>
        <v>0</v>
      </c>
      <c r="M11" s="273" t="n">
        <f aca="false">M6*SUP_C4_RETAIL!$C$22</f>
        <v>0</v>
      </c>
      <c r="N11" s="273" t="n">
        <f aca="false">N6*SUP_C4_RETAIL!$C$22</f>
        <v>0</v>
      </c>
      <c r="O11" s="273" t="n">
        <f aca="false">O6*SUP_C4_RETAIL!$C$22</f>
        <v>0</v>
      </c>
      <c r="P11" s="273" t="n">
        <f aca="false">P6*SUP_C4_RETAIL!$C$22</f>
        <v>0</v>
      </c>
      <c r="Q11" s="273" t="n">
        <f aca="false">Q6*SUP_C4_RETAIL!$C$22</f>
        <v>0</v>
      </c>
      <c r="R11" s="273" t="n">
        <f aca="false">R6*SUP_C4_RETAIL!$C$22</f>
        <v>0</v>
      </c>
      <c r="S11" s="273" t="n">
        <f aca="false">S6*SUP_C4_RETAIL!$C$22</f>
        <v>0</v>
      </c>
      <c r="T11" s="273" t="n">
        <f aca="false">T6*SUP_C4_RETAIL!$C$22</f>
        <v>0</v>
      </c>
      <c r="U11" s="273" t="n">
        <f aca="false">U6*SUP_C4_RETAIL!$C$22</f>
        <v>0</v>
      </c>
      <c r="V11" s="273" t="n">
        <f aca="false">V6*SUP_C4_RETAIL!$C$22</f>
        <v>0</v>
      </c>
      <c r="W11" s="273" t="n">
        <f aca="false">W6*SUP_C4_RETAIL!$C$22</f>
        <v>0</v>
      </c>
      <c r="X11" s="273" t="n">
        <f aca="false">X6*SUP_C4_RETAIL!$C$22</f>
        <v>0</v>
      </c>
      <c r="Y11" s="273" t="n">
        <f aca="false">Y6*SUP_C4_RETAIL!$C$22</f>
        <v>0</v>
      </c>
      <c r="Z11" s="273" t="n">
        <f aca="false">Z6*SUP_C4_RETAIL!$C$22</f>
        <v>0</v>
      </c>
      <c r="AA11" s="273" t="n">
        <f aca="false">AA6*SUP_C4_RETAIL!$C$22</f>
        <v>0</v>
      </c>
      <c r="AB11" s="273" t="n">
        <f aca="false">AB6*SUP_C4_RETAIL!$C$22</f>
        <v>3000</v>
      </c>
      <c r="AC11" s="273" t="n">
        <f aca="false">AC6*SUP_C4_RETAIL!$C$22</f>
        <v>3000</v>
      </c>
      <c r="AD11" s="273" t="n">
        <f aca="false">AD6*SUP_C4_RETAIL!$C$22</f>
        <v>3000</v>
      </c>
      <c r="AE11" s="273" t="n">
        <f aca="false">AE6*SUP_C4_RETAIL!$C$22</f>
        <v>3000</v>
      </c>
      <c r="AF11" s="273" t="n">
        <f aca="false">AF6*SUP_C4_RETAIL!$C$22</f>
        <v>3000</v>
      </c>
      <c r="AG11" s="273" t="n">
        <f aca="false">AG6*SUP_C4_RETAIL!$C$22</f>
        <v>3000</v>
      </c>
      <c r="AH11" s="273" t="n">
        <f aca="false">AH6*SUP_C4_RETAIL!$C$22</f>
        <v>3000</v>
      </c>
      <c r="AI11" s="273" t="n">
        <f aca="false">AI6*SUP_C4_RETAIL!$C$22</f>
        <v>3000</v>
      </c>
      <c r="AJ11" s="273" t="n">
        <f aca="false">AJ6*SUP_C4_RETAIL!$C$22</f>
        <v>3000</v>
      </c>
      <c r="AK11" s="273" t="n">
        <f aca="false">AK6*SUP_C4_RETAIL!$C$22</f>
        <v>3000</v>
      </c>
      <c r="AL11" s="273" t="n">
        <f aca="false">AL6*SUP_C4_RETAIL!$C$22</f>
        <v>3000</v>
      </c>
      <c r="AM11" s="273" t="n">
        <f aca="false">AM6*SUP_C4_RETAIL!$C$22</f>
        <v>3000</v>
      </c>
      <c r="AN11" s="273" t="n">
        <f aca="false">AN6*SUP_C4_RETAIL!$C$22</f>
        <v>3000</v>
      </c>
      <c r="AO11" s="273" t="n">
        <f aca="false">AO6*SUP_C4_RETAIL!$C$22</f>
        <v>3000</v>
      </c>
      <c r="AP11" s="273" t="n">
        <f aca="false">AP6*SUP_C4_RETAIL!$C$22</f>
        <v>3000</v>
      </c>
      <c r="AQ11" s="273" t="n">
        <f aca="false">AQ6*SUP_C4_RETAIL!$C$22</f>
        <v>3000</v>
      </c>
      <c r="AR11" s="273" t="n">
        <f aca="false">AR6*SUP_C4_RETAIL!$C$22</f>
        <v>3000</v>
      </c>
      <c r="AS11" s="273" t="n">
        <f aca="false">AS6*SUP_C4_RETAIL!$C$22</f>
        <v>3000</v>
      </c>
      <c r="AT11" s="273" t="n">
        <f aca="false">AT6*SUP_C4_RETAIL!$C$22</f>
        <v>3000</v>
      </c>
      <c r="AU11" s="273" t="n">
        <f aca="false">AU6*SUP_C4_RETAIL!$C$22</f>
        <v>3000</v>
      </c>
      <c r="AV11" s="273" t="n">
        <f aca="false">AV6*SUP_C4_RETAIL!$C$22</f>
        <v>3000</v>
      </c>
      <c r="AW11" s="273" t="n">
        <f aca="false">AW6*SUP_C4_RETAIL!$C$22</f>
        <v>3000</v>
      </c>
      <c r="AX11" s="273" t="n">
        <f aca="false">AX6*SUP_C4_RETAIL!$C$22</f>
        <v>3000</v>
      </c>
      <c r="AY11" s="273" t="n">
        <f aca="false">AY6*SUP_C4_RETAIL!$C$22</f>
        <v>3000</v>
      </c>
      <c r="AZ11" s="273" t="n">
        <f aca="false">AZ6*SUP_C4_RETAIL!$C$22</f>
        <v>3000</v>
      </c>
      <c r="BA11" s="273" t="n">
        <f aca="false">BA6*SUP_C4_RETAIL!$C$22</f>
        <v>3000</v>
      </c>
      <c r="BB11" s="273" t="n">
        <f aca="false">BB6*SUP_C4_RETAIL!$C$22</f>
        <v>3000</v>
      </c>
      <c r="BC11" s="273" t="n">
        <f aca="false">BC6*SUP_C4_RETAIL!$C$22</f>
        <v>3000</v>
      </c>
      <c r="BD11" s="273" t="n">
        <f aca="false">BD6*SUP_C4_RETAIL!$C$22</f>
        <v>3000</v>
      </c>
      <c r="BE11" s="273" t="n">
        <f aca="false">BE6*SUP_C4_RETAIL!$C$22</f>
        <v>3000</v>
      </c>
      <c r="BF11" s="273" t="n">
        <f aca="false">BF6*SUP_C4_RETAIL!$C$22</f>
        <v>3000</v>
      </c>
      <c r="BG11" s="273" t="n">
        <f aca="false">BG6*SUP_C4_RETAIL!$C$22</f>
        <v>3000</v>
      </c>
      <c r="BH11" s="273" t="n">
        <f aca="false">BH6*SUP_C4_RETAIL!$C$22</f>
        <v>3000</v>
      </c>
      <c r="BI11" s="273" t="n">
        <f aca="false">BI6*SUP_C4_RETAIL!$C$22</f>
        <v>3000</v>
      </c>
      <c r="BJ11" s="273" t="n">
        <f aca="false">BJ6*SUP_C4_RETAIL!$C$22</f>
        <v>3000</v>
      </c>
      <c r="BK11" s="273" t="n">
        <f aca="false">BK6*SUP_C4_RETAIL!$C$22</f>
        <v>3000</v>
      </c>
      <c r="BL11" s="273" t="n">
        <f aca="false">BL6*SUP_C4_RETAIL!$C$22</f>
        <v>3000</v>
      </c>
      <c r="BM11" s="273" t="n">
        <f aca="false">BM6*SUP_C4_RETAIL!$C$22</f>
        <v>3000</v>
      </c>
      <c r="BN11" s="273" t="n">
        <f aca="false">BN6*SUP_C4_RETAIL!$C$22</f>
        <v>3000</v>
      </c>
      <c r="BO11" s="273" t="n">
        <f aca="false">BO6*SUP_C4_RETAIL!$C$22</f>
        <v>3000</v>
      </c>
      <c r="BP11" s="273" t="n">
        <f aca="false">BP6*SUP_C4_RETAIL!$C$22</f>
        <v>3000</v>
      </c>
      <c r="BQ11" s="273" t="n">
        <f aca="false">BQ6*SUP_C4_RETAIL!$C$22</f>
        <v>3000</v>
      </c>
      <c r="BR11" s="273" t="n">
        <f aca="false">BR6*SUP_C4_RETAIL!$C$22</f>
        <v>3000</v>
      </c>
      <c r="BS11" s="273" t="n">
        <f aca="false">BS6*SUP_C4_RETAIL!$C$22</f>
        <v>3000</v>
      </c>
      <c r="BT11" s="273" t="n">
        <f aca="false">BT6*SUP_C4_RETAIL!$C$22</f>
        <v>3000</v>
      </c>
      <c r="BU11" s="273" t="n">
        <f aca="false">BU6*SUP_C4_RETAIL!$C$22</f>
        <v>3000</v>
      </c>
      <c r="BV11" s="273" t="n">
        <f aca="false">BV6*SUP_C4_RETAIL!$C$22</f>
        <v>3000</v>
      </c>
      <c r="BW11" s="273" t="n">
        <f aca="false">BW6*SUP_C4_RETAIL!$C$22</f>
        <v>3000</v>
      </c>
      <c r="BX11" s="273" t="n">
        <f aca="false">BX6*SUP_C4_RETAIL!$C$22</f>
        <v>3000</v>
      </c>
      <c r="BY11" s="273" t="n">
        <f aca="false">BY6*SUP_C4_RETAIL!$C$22</f>
        <v>3000</v>
      </c>
      <c r="BZ11" s="273" t="n">
        <f aca="false">BZ6*SUP_C4_RETAIL!$C$22</f>
        <v>3000</v>
      </c>
      <c r="CA11" s="273" t="n">
        <f aca="false">CA6*SUP_C4_RETAIL!$C$22</f>
        <v>3000</v>
      </c>
      <c r="CB11" s="273" t="n">
        <f aca="false">CB6*SUP_C4_RETAIL!$C$22</f>
        <v>3000</v>
      </c>
      <c r="CC11" s="273" t="n">
        <f aca="false">CC6*SUP_C4_RETAIL!$C$22</f>
        <v>3000</v>
      </c>
      <c r="CD11" s="273" t="n">
        <f aca="false">CD6*SUP_C4_RETAIL!$C$22</f>
        <v>3000</v>
      </c>
      <c r="CE11" s="273" t="n">
        <f aca="false">CE6*SUP_C4_RETAIL!$C$22</f>
        <v>3000</v>
      </c>
      <c r="CF11" s="273" t="n">
        <f aca="false">CF6*SUP_C4_RETAIL!$C$22</f>
        <v>3000</v>
      </c>
      <c r="CG11" s="273" t="n">
        <f aca="false">CG6*SUP_C4_RETAIL!$C$22</f>
        <v>3000</v>
      </c>
      <c r="CH11" s="273" t="n">
        <f aca="false">CH6*SUP_C4_RETAIL!$C$22</f>
        <v>3000</v>
      </c>
      <c r="CI11" s="273" t="n">
        <f aca="false">CI6*SUP_C4_RETAIL!$C$22</f>
        <v>3000</v>
      </c>
      <c r="CJ11" s="273" t="n">
        <f aca="false">CJ6*SUP_C4_RETAIL!$C$22</f>
        <v>3000</v>
      </c>
      <c r="CK11" s="273" t="n">
        <f aca="false">CK6*SUP_C4_RETAIL!$C$22</f>
        <v>3000</v>
      </c>
      <c r="CL11" s="273" t="n">
        <f aca="false">CL6*SUP_C4_RETAIL!$C$22</f>
        <v>3000</v>
      </c>
      <c r="CM11" s="273" t="n">
        <f aca="false">CM6*SUP_C4_RETAIL!$C$22</f>
        <v>3000</v>
      </c>
      <c r="CN11" s="273" t="n">
        <f aca="false">CN6*SUP_C4_RETAIL!$C$22</f>
        <v>3000</v>
      </c>
      <c r="CO11" s="273" t="n">
        <f aca="false">CO6*SUP_C4_RETAIL!$C$22</f>
        <v>3000</v>
      </c>
      <c r="CP11" s="273" t="n">
        <f aca="false">CP6*SUP_C4_RETAIL!$C$22</f>
        <v>3000</v>
      </c>
      <c r="CQ11" s="273" t="n">
        <f aca="false">CQ6*SUP_C4_RETAIL!$C$22</f>
        <v>3000</v>
      </c>
      <c r="CR11" s="273" t="n">
        <f aca="false">CR6*SUP_C4_RETAIL!$C$22</f>
        <v>3000</v>
      </c>
      <c r="CS11" s="273" t="n">
        <f aca="false">CS6*SUP_C4_RETAIL!$C$22</f>
        <v>3000</v>
      </c>
      <c r="CT11" s="273" t="n">
        <f aca="false">CT6*SUP_C4_RETAIL!$C$22</f>
        <v>3000</v>
      </c>
      <c r="CU11" s="273" t="n">
        <f aca="false">CU6*SUP_C4_RETAIL!$C$22</f>
        <v>3000</v>
      </c>
      <c r="CV11" s="273" t="n">
        <f aca="false">CV6*SUP_C4_RETAIL!$C$22</f>
        <v>3000</v>
      </c>
      <c r="CW11" s="273" t="n">
        <f aca="false">CW6*SUP_C4_RETAIL!$C$22</f>
        <v>3000</v>
      </c>
      <c r="CX11" s="273" t="n">
        <f aca="false">CX6*SUP_C4_RETAIL!$C$22</f>
        <v>3000</v>
      </c>
      <c r="CY11" s="273" t="n">
        <f aca="false">CY6*SUP_C4_RETAIL!$C$22</f>
        <v>3000</v>
      </c>
      <c r="CZ11" s="273" t="n">
        <f aca="false">CZ6*SUP_C4_RETAIL!$C$22</f>
        <v>3000</v>
      </c>
      <c r="DA11" s="273" t="n">
        <f aca="false">DA6*SUP_C4_RETAIL!$C$22</f>
        <v>3000</v>
      </c>
      <c r="DB11" s="273" t="n">
        <f aca="false">DB6*SUP_C4_RETAIL!$C$22</f>
        <v>3000</v>
      </c>
      <c r="DC11" s="273" t="n">
        <f aca="false">DC6*SUP_C4_RETAIL!$C$22</f>
        <v>3000</v>
      </c>
      <c r="DD11" s="273" t="n">
        <f aca="false">DD6*SUP_C4_RETAIL!$C$22</f>
        <v>3000</v>
      </c>
      <c r="DE11" s="273" t="n">
        <f aca="false">DE6*SUP_C4_RETAIL!$C$22</f>
        <v>3000</v>
      </c>
      <c r="DF11" s="273" t="n">
        <f aca="false">DF6*SUP_C4_RETAIL!$C$22</f>
        <v>3000</v>
      </c>
      <c r="DG11" s="273" t="n">
        <f aca="false">DG6*SUP_C4_RETAIL!$C$22</f>
        <v>3000</v>
      </c>
      <c r="DH11" s="273" t="n">
        <f aca="false">DH6*SUP_C4_RETAIL!$C$22</f>
        <v>3000</v>
      </c>
      <c r="DI11" s="273" t="n">
        <f aca="false">DI6*SUP_C4_RETAIL!$C$22</f>
        <v>3000</v>
      </c>
      <c r="DJ11" s="273" t="n">
        <f aca="false">DJ6*SUP_C4_RETAIL!$C$22</f>
        <v>3000</v>
      </c>
      <c r="DK11" s="273" t="n">
        <f aca="false">DK6*SUP_C4_RETAIL!$C$22</f>
        <v>3000</v>
      </c>
      <c r="DL11" s="273" t="n">
        <f aca="false">DL6*SUP_C4_RETAIL!$C$22</f>
        <v>3000</v>
      </c>
      <c r="DM11" s="273" t="n">
        <f aca="false">DM6*SUP_C4_RETAIL!$C$22</f>
        <v>3000</v>
      </c>
      <c r="DN11" s="273" t="n">
        <f aca="false">DN6*SUP_C4_RETAIL!$C$22</f>
        <v>3000</v>
      </c>
      <c r="DO11" s="273" t="n">
        <f aca="false">DO6*SUP_C4_RETAIL!$C$22</f>
        <v>3000</v>
      </c>
      <c r="DP11" s="273" t="n">
        <f aca="false">DP6*SUP_C4_RETAIL!$C$22</f>
        <v>3000</v>
      </c>
      <c r="DQ11" s="273" t="n">
        <f aca="false">DQ6*SUP_C4_RETAIL!$C$22</f>
        <v>3000</v>
      </c>
      <c r="DR11" s="273" t="n">
        <f aca="false">DR6*SUP_C4_RETAIL!$C$22</f>
        <v>3000</v>
      </c>
      <c r="DS11" s="273" t="n">
        <f aca="false">DS6*SUP_C4_RETAIL!$C$22</f>
        <v>3000</v>
      </c>
    </row>
    <row r="12" customFormat="false" ht="15" hidden="false" customHeight="true" outlineLevel="0" collapsed="false">
      <c r="B12" s="178" t="s">
        <v>3458</v>
      </c>
      <c r="D12" s="268" t="n">
        <f aca="false">D8-D9-D10-D11-SUP_OVERHEAD!D41</f>
        <v>0</v>
      </c>
      <c r="E12" s="268" t="n">
        <f aca="false">E8-E9-E10-E11-SUP_OVERHEAD!E41</f>
        <v>0</v>
      </c>
      <c r="F12" s="268" t="n">
        <f aca="false">F8-F9-F10-F11-SUP_OVERHEAD!F41</f>
        <v>0</v>
      </c>
      <c r="G12" s="268" t="n">
        <f aca="false">G8-G9-G10-G11-SUP_OVERHEAD!G41</f>
        <v>0</v>
      </c>
      <c r="H12" s="268" t="n">
        <f aca="false">H8-H9-H10-H11-SUP_OVERHEAD!H41</f>
        <v>0</v>
      </c>
      <c r="I12" s="268" t="n">
        <f aca="false">I8-I9-I10-I11-SUP_OVERHEAD!I41</f>
        <v>0</v>
      </c>
      <c r="J12" s="268" t="n">
        <f aca="false">J8-J9-J10-J11-SUP_OVERHEAD!J41</f>
        <v>0</v>
      </c>
      <c r="K12" s="268" t="n">
        <f aca="false">K8-K9-K10-K11-SUP_OVERHEAD!K41</f>
        <v>0</v>
      </c>
      <c r="L12" s="268" t="n">
        <f aca="false">L8-L9-L10-L11-SUP_OVERHEAD!L41</f>
        <v>0</v>
      </c>
      <c r="M12" s="268" t="n">
        <f aca="false">M8-M9-M10-M11-SUP_OVERHEAD!M41</f>
        <v>0</v>
      </c>
      <c r="N12" s="268" t="n">
        <f aca="false">N8-N9-N10-N11-SUP_OVERHEAD!N41</f>
        <v>0</v>
      </c>
      <c r="O12" s="268" t="n">
        <f aca="false">O8-O9-O10-O11-SUP_OVERHEAD!O41</f>
        <v>0</v>
      </c>
      <c r="P12" s="268" t="n">
        <f aca="false">P8-P9-P10-P11-SUP_OVERHEAD!P41</f>
        <v>0</v>
      </c>
      <c r="Q12" s="268" t="n">
        <f aca="false">Q8-Q9-Q10-Q11-SUP_OVERHEAD!Q41</f>
        <v>0</v>
      </c>
      <c r="R12" s="268" t="n">
        <f aca="false">R8-R9-R10-R11-SUP_OVERHEAD!R41</f>
        <v>0</v>
      </c>
      <c r="S12" s="268" t="n">
        <f aca="false">S8-S9-S10-S11-SUP_OVERHEAD!S41</f>
        <v>0</v>
      </c>
      <c r="T12" s="268" t="n">
        <f aca="false">T8-T9-T10-T11-SUP_OVERHEAD!T41</f>
        <v>0</v>
      </c>
      <c r="U12" s="268" t="n">
        <f aca="false">U8-U9-U10-U11-SUP_OVERHEAD!U41</f>
        <v>0</v>
      </c>
      <c r="V12" s="268" t="n">
        <f aca="false">V8-V9-V10-V11-SUP_OVERHEAD!V41</f>
        <v>0</v>
      </c>
      <c r="W12" s="268" t="n">
        <f aca="false">W8-W9-W10-W11-SUP_OVERHEAD!W41</f>
        <v>0</v>
      </c>
      <c r="X12" s="268" t="n">
        <f aca="false">X8-X9-X10-X11-SUP_OVERHEAD!X41</f>
        <v>0</v>
      </c>
      <c r="Y12" s="268" t="n">
        <f aca="false">Y8-Y9-Y10-Y11-SUP_OVERHEAD!Y41</f>
        <v>0</v>
      </c>
      <c r="Z12" s="268" t="n">
        <f aca="false">Z8-Z9-Z10-Z11-SUP_OVERHEAD!Z41</f>
        <v>0</v>
      </c>
      <c r="AA12" s="268" t="n">
        <f aca="false">AA8-AA9-AA10-AA11-SUP_OVERHEAD!AA41</f>
        <v>0</v>
      </c>
      <c r="AB12" s="268" t="n">
        <f aca="false">AB8-AB9-AB10-AB11-SUP_OVERHEAD!AB41</f>
        <v>1830</v>
      </c>
      <c r="AC12" s="268" t="n">
        <f aca="false">AC8-AC9-AC10-AC11-SUP_OVERHEAD!AC41</f>
        <v>2313</v>
      </c>
      <c r="AD12" s="268" t="n">
        <f aca="false">AD8-AD9-AD10-AD11-SUP_OVERHEAD!AD41</f>
        <v>2796</v>
      </c>
      <c r="AE12" s="268" t="n">
        <f aca="false">AE8-AE9-AE10-AE11-SUP_OVERHEAD!AE41</f>
        <v>3279</v>
      </c>
      <c r="AF12" s="268" t="n">
        <f aca="false">AF8-AF9-AF10-AF11-SUP_OVERHEAD!AF41</f>
        <v>3762</v>
      </c>
      <c r="AG12" s="268" t="n">
        <f aca="false">AG8-AG9-AG10-AG11-SUP_OVERHEAD!AG41</f>
        <v>4245</v>
      </c>
      <c r="AH12" s="268" t="n">
        <f aca="false">AH8-AH9-AH10-AH11-SUP_OVERHEAD!AH41</f>
        <v>4728</v>
      </c>
      <c r="AI12" s="268" t="n">
        <f aca="false">AI8-AI9-AI10-AI11-SUP_OVERHEAD!AI41</f>
        <v>5211</v>
      </c>
      <c r="AJ12" s="268" t="n">
        <f aca="false">AJ8-AJ9-AJ10-AJ11-SUP_OVERHEAD!AJ41</f>
        <v>5694</v>
      </c>
      <c r="AK12" s="268" t="n">
        <f aca="false">AK8-AK9-AK10-AK11-SUP_OVERHEAD!AK41</f>
        <v>6177</v>
      </c>
      <c r="AL12" s="268" t="n">
        <f aca="false">AL8-AL9-AL10-AL11-SUP_OVERHEAD!AL41</f>
        <v>6660</v>
      </c>
      <c r="AM12" s="268" t="n">
        <f aca="false">AM8-AM9-AM10-AM11-SUP_OVERHEAD!AM41</f>
        <v>7143</v>
      </c>
      <c r="AN12" s="268" t="n">
        <f aca="false">AN8-AN9-AN10-AN11-SUP_OVERHEAD!AN41</f>
        <v>7626</v>
      </c>
      <c r="AO12" s="268" t="n">
        <f aca="false">AO8-AO9-AO10-AO11-SUP_OVERHEAD!AO41</f>
        <v>8109</v>
      </c>
      <c r="AP12" s="268" t="n">
        <f aca="false">AP8-AP9-AP10-AP11-SUP_OVERHEAD!AP41</f>
        <v>8592</v>
      </c>
      <c r="AQ12" s="268" t="n">
        <f aca="false">AQ8-AQ9-AQ10-AQ11-SUP_OVERHEAD!AQ41</f>
        <v>9075</v>
      </c>
      <c r="AR12" s="268" t="n">
        <f aca="false">AR8-AR9-AR10-AR11-SUP_OVERHEAD!AR41</f>
        <v>9558</v>
      </c>
      <c r="AS12" s="268" t="n">
        <f aca="false">AS8-AS9-AS10-AS11-SUP_OVERHEAD!AS41</f>
        <v>10041</v>
      </c>
      <c r="AT12" s="268" t="n">
        <f aca="false">AT8-AT9-AT10-AT11-SUP_OVERHEAD!AT41</f>
        <v>10524</v>
      </c>
      <c r="AU12" s="268" t="n">
        <f aca="false">AU8-AU9-AU10-AU11-SUP_OVERHEAD!AU41</f>
        <v>11007</v>
      </c>
      <c r="AV12" s="268" t="n">
        <f aca="false">AV8-AV9-AV10-AV11-SUP_OVERHEAD!AV41</f>
        <v>11490</v>
      </c>
      <c r="AW12" s="268" t="n">
        <f aca="false">AW8-AW9-AW10-AW11-SUP_OVERHEAD!AW41</f>
        <v>11973</v>
      </c>
      <c r="AX12" s="268" t="n">
        <f aca="false">AX8-AX9-AX10-AX11-SUP_OVERHEAD!AX41</f>
        <v>12456</v>
      </c>
      <c r="AY12" s="268" t="n">
        <f aca="false">AY8-AY9-AY10-AY11-SUP_OVERHEAD!AY41</f>
        <v>12939</v>
      </c>
      <c r="AZ12" s="268" t="n">
        <f aca="false">AZ8-AZ9-AZ10-AZ11-SUP_OVERHEAD!AZ41</f>
        <v>13422</v>
      </c>
      <c r="BA12" s="268" t="n">
        <f aca="false">BA8-BA9-BA10-BA11-SUP_OVERHEAD!BA41</f>
        <v>13905</v>
      </c>
      <c r="BB12" s="268" t="n">
        <f aca="false">BB8-BB9-BB10-BB11-SUP_OVERHEAD!BB41</f>
        <v>14388</v>
      </c>
      <c r="BC12" s="268" t="n">
        <f aca="false">BC8-BC9-BC10-BC11-SUP_OVERHEAD!BC41</f>
        <v>14871</v>
      </c>
      <c r="BD12" s="268" t="n">
        <f aca="false">BD8-BD9-BD10-BD11-SUP_OVERHEAD!BD41</f>
        <v>15354</v>
      </c>
      <c r="BE12" s="268" t="n">
        <f aca="false">BE8-BE9-BE10-BE11-SUP_OVERHEAD!BE41</f>
        <v>15837</v>
      </c>
      <c r="BF12" s="268" t="n">
        <f aca="false">BF8-BF9-BF10-BF11-SUP_OVERHEAD!BF41</f>
        <v>16320</v>
      </c>
      <c r="BG12" s="268" t="n">
        <f aca="false">BG8-BG9-BG10-BG11-SUP_OVERHEAD!BG41</f>
        <v>16803</v>
      </c>
      <c r="BH12" s="268" t="n">
        <f aca="false">BH8-BH9-BH10-BH11-SUP_OVERHEAD!BH41</f>
        <v>17286</v>
      </c>
      <c r="BI12" s="268" t="n">
        <f aca="false">BI8-BI9-BI10-BI11-SUP_OVERHEAD!BI41</f>
        <v>17769</v>
      </c>
      <c r="BJ12" s="268" t="n">
        <f aca="false">BJ8-BJ9-BJ10-BJ11-SUP_OVERHEAD!BJ41</f>
        <v>18252</v>
      </c>
      <c r="BK12" s="268" t="n">
        <f aca="false">BK8-BK9-BK10-BK11-SUP_OVERHEAD!BK41</f>
        <v>18735</v>
      </c>
      <c r="BL12" s="268" t="n">
        <f aca="false">BL8-BL9-BL10-BL11-SUP_OVERHEAD!BL41</f>
        <v>19218</v>
      </c>
      <c r="BM12" s="268" t="n">
        <f aca="false">BM8-BM9-BM10-BM11-SUP_OVERHEAD!BM41</f>
        <v>19701</v>
      </c>
      <c r="BN12" s="268" t="n">
        <f aca="false">BN8-BN9-BN10-BN11-SUP_OVERHEAD!BN41</f>
        <v>20184</v>
      </c>
      <c r="BO12" s="268" t="n">
        <f aca="false">BO8-BO9-BO10-BO11-SUP_OVERHEAD!BO41</f>
        <v>20667</v>
      </c>
      <c r="BP12" s="268" t="n">
        <f aca="false">BP8-BP9-BP10-BP11-SUP_OVERHEAD!BP41</f>
        <v>21150</v>
      </c>
      <c r="BQ12" s="268" t="n">
        <f aca="false">BQ8-BQ9-BQ10-BQ11-SUP_OVERHEAD!BQ41</f>
        <v>21633</v>
      </c>
      <c r="BR12" s="268" t="n">
        <f aca="false">BR8-BR9-BR10-BR11-SUP_OVERHEAD!BR41</f>
        <v>22116</v>
      </c>
      <c r="BS12" s="268" t="n">
        <f aca="false">BS8-BS9-BS10-BS11-SUP_OVERHEAD!BS41</f>
        <v>22599</v>
      </c>
      <c r="BT12" s="268" t="n">
        <f aca="false">BT8-BT9-BT10-BT11-SUP_OVERHEAD!BT41</f>
        <v>23082</v>
      </c>
      <c r="BU12" s="268" t="n">
        <f aca="false">BU8-BU9-BU10-BU11-SUP_OVERHEAD!BU41</f>
        <v>23565</v>
      </c>
      <c r="BV12" s="268" t="n">
        <f aca="false">BV8-BV9-BV10-BV11-SUP_OVERHEAD!BV41</f>
        <v>24048</v>
      </c>
      <c r="BW12" s="268" t="n">
        <f aca="false">BW8-BW9-BW10-BW11-SUP_OVERHEAD!BW41</f>
        <v>24531</v>
      </c>
      <c r="BX12" s="268" t="n">
        <f aca="false">BX8-BX9-BX10-BX11-SUP_OVERHEAD!BX41</f>
        <v>25014</v>
      </c>
      <c r="BY12" s="268" t="n">
        <f aca="false">BY8-BY9-BY10-BY11-SUP_OVERHEAD!BY41</f>
        <v>25497</v>
      </c>
      <c r="BZ12" s="268" t="n">
        <f aca="false">BZ8-BZ9-BZ10-BZ11-SUP_OVERHEAD!BZ41</f>
        <v>25980</v>
      </c>
      <c r="CA12" s="268" t="n">
        <f aca="false">CA8-CA9-CA10-CA11-SUP_OVERHEAD!CA41</f>
        <v>25980</v>
      </c>
      <c r="CB12" s="268" t="n">
        <f aca="false">CB8-CB9-CB10-CB11-SUP_OVERHEAD!CB41</f>
        <v>25980</v>
      </c>
      <c r="CC12" s="268" t="n">
        <f aca="false">CC8-CC9-CC10-CC11-SUP_OVERHEAD!CC41</f>
        <v>25980</v>
      </c>
      <c r="CD12" s="268" t="n">
        <f aca="false">CD8-CD9-CD10-CD11-SUP_OVERHEAD!CD41</f>
        <v>25980</v>
      </c>
      <c r="CE12" s="268" t="n">
        <f aca="false">CE8-CE9-CE10-CE11-SUP_OVERHEAD!CE41</f>
        <v>25980</v>
      </c>
      <c r="CF12" s="268" t="n">
        <f aca="false">CF8-CF9-CF10-CF11-SUP_OVERHEAD!CF41</f>
        <v>25980</v>
      </c>
      <c r="CG12" s="268" t="n">
        <f aca="false">CG8-CG9-CG10-CG11-SUP_OVERHEAD!CG41</f>
        <v>25980</v>
      </c>
      <c r="CH12" s="268" t="n">
        <f aca="false">CH8-CH9-CH10-CH11-SUP_OVERHEAD!CH41</f>
        <v>25980</v>
      </c>
      <c r="CI12" s="268" t="n">
        <f aca="false">CI8-CI9-CI10-CI11-SUP_OVERHEAD!CI41</f>
        <v>25980</v>
      </c>
      <c r="CJ12" s="268" t="n">
        <f aca="false">CJ8-CJ9-CJ10-CJ11-SUP_OVERHEAD!CJ41</f>
        <v>25980</v>
      </c>
      <c r="CK12" s="268" t="n">
        <f aca="false">CK8-CK9-CK10-CK11-SUP_OVERHEAD!CK41</f>
        <v>25980</v>
      </c>
      <c r="CL12" s="268" t="n">
        <f aca="false">CL8-CL9-CL10-CL11-SUP_OVERHEAD!CL41</f>
        <v>25980</v>
      </c>
      <c r="CM12" s="268" t="n">
        <f aca="false">CM8-CM9-CM10-CM11-SUP_OVERHEAD!CM41</f>
        <v>25980</v>
      </c>
      <c r="CN12" s="268" t="n">
        <f aca="false">CN8-CN9-CN10-CN11-SUP_OVERHEAD!CN41</f>
        <v>25980</v>
      </c>
      <c r="CO12" s="268" t="n">
        <f aca="false">CO8-CO9-CO10-CO11-SUP_OVERHEAD!CO41</f>
        <v>25980</v>
      </c>
      <c r="CP12" s="268" t="n">
        <f aca="false">CP8-CP9-CP10-CP11-SUP_OVERHEAD!CP41</f>
        <v>25980</v>
      </c>
      <c r="CQ12" s="268" t="n">
        <f aca="false">CQ8-CQ9-CQ10-CQ11-SUP_OVERHEAD!CQ41</f>
        <v>25980</v>
      </c>
      <c r="CR12" s="268" t="n">
        <f aca="false">CR8-CR9-CR10-CR11-SUP_OVERHEAD!CR41</f>
        <v>25980</v>
      </c>
      <c r="CS12" s="268" t="n">
        <f aca="false">CS8-CS9-CS10-CS11-SUP_OVERHEAD!CS41</f>
        <v>25980</v>
      </c>
      <c r="CT12" s="268" t="n">
        <f aca="false">CT8-CT9-CT10-CT11-SUP_OVERHEAD!CT41</f>
        <v>25980</v>
      </c>
      <c r="CU12" s="268" t="n">
        <f aca="false">CU8-CU9-CU10-CU11-SUP_OVERHEAD!CU41</f>
        <v>25980</v>
      </c>
      <c r="CV12" s="268" t="n">
        <f aca="false">CV8-CV9-CV10-CV11-SUP_OVERHEAD!CV41</f>
        <v>25980</v>
      </c>
      <c r="CW12" s="268" t="n">
        <f aca="false">CW8-CW9-CW10-CW11-SUP_OVERHEAD!CW41</f>
        <v>25980</v>
      </c>
      <c r="CX12" s="268" t="n">
        <f aca="false">CX8-CX9-CX10-CX11-SUP_OVERHEAD!CX41</f>
        <v>25980</v>
      </c>
      <c r="CY12" s="268" t="n">
        <f aca="false">CY8-CY9-CY10-CY11-SUP_OVERHEAD!CY41</f>
        <v>25980</v>
      </c>
      <c r="CZ12" s="268" t="n">
        <f aca="false">CZ8-CZ9-CZ10-CZ11-SUP_OVERHEAD!CZ41</f>
        <v>25980</v>
      </c>
      <c r="DA12" s="268" t="n">
        <f aca="false">DA8-DA9-DA10-DA11-SUP_OVERHEAD!DA41</f>
        <v>25980</v>
      </c>
      <c r="DB12" s="268" t="n">
        <f aca="false">DB8-DB9-DB10-DB11-SUP_OVERHEAD!DB41</f>
        <v>25980</v>
      </c>
      <c r="DC12" s="268" t="n">
        <f aca="false">DC8-DC9-DC10-DC11-SUP_OVERHEAD!DC41</f>
        <v>25980</v>
      </c>
      <c r="DD12" s="268" t="n">
        <f aca="false">DD8-DD9-DD10-DD11-SUP_OVERHEAD!DD41</f>
        <v>25980</v>
      </c>
      <c r="DE12" s="268" t="n">
        <f aca="false">DE8-DE9-DE10-DE11-SUP_OVERHEAD!DE41</f>
        <v>25980</v>
      </c>
      <c r="DF12" s="268" t="n">
        <f aca="false">DF8-DF9-DF10-DF11-SUP_OVERHEAD!DF41</f>
        <v>25980</v>
      </c>
      <c r="DG12" s="268" t="n">
        <f aca="false">DG8-DG9-DG10-DG11-SUP_OVERHEAD!DG41</f>
        <v>25980</v>
      </c>
      <c r="DH12" s="268" t="n">
        <f aca="false">DH8-DH9-DH10-DH11-SUP_OVERHEAD!DH41</f>
        <v>25980</v>
      </c>
      <c r="DI12" s="268" t="n">
        <f aca="false">DI8-DI9-DI10-DI11-SUP_OVERHEAD!DI41</f>
        <v>25980</v>
      </c>
      <c r="DJ12" s="268" t="n">
        <f aca="false">DJ8-DJ9-DJ10-DJ11-SUP_OVERHEAD!DJ41</f>
        <v>25980</v>
      </c>
      <c r="DK12" s="268" t="n">
        <f aca="false">DK8-DK9-DK10-DK11-SUP_OVERHEAD!DK41</f>
        <v>25980</v>
      </c>
      <c r="DL12" s="268" t="n">
        <f aca="false">DL8-DL9-DL10-DL11-SUP_OVERHEAD!DL41</f>
        <v>25980</v>
      </c>
      <c r="DM12" s="268" t="n">
        <f aca="false">DM8-DM9-DM10-DM11-SUP_OVERHEAD!DM41</f>
        <v>25980</v>
      </c>
      <c r="DN12" s="268" t="n">
        <f aca="false">DN8-DN9-DN10-DN11-SUP_OVERHEAD!DN41</f>
        <v>25980</v>
      </c>
      <c r="DO12" s="268" t="n">
        <f aca="false">DO8-DO9-DO10-DO11-SUP_OVERHEAD!DO41</f>
        <v>25980</v>
      </c>
      <c r="DP12" s="268" t="n">
        <f aca="false">DP8-DP9-DP10-DP11-SUP_OVERHEAD!DP41</f>
        <v>25980</v>
      </c>
      <c r="DQ12" s="268" t="n">
        <f aca="false">DQ8-DQ9-DQ10-DQ11-SUP_OVERHEAD!DQ41</f>
        <v>25980</v>
      </c>
      <c r="DR12" s="268" t="n">
        <f aca="false">DR8-DR9-DR10-DR11-SUP_OVERHEAD!DR41</f>
        <v>25980</v>
      </c>
      <c r="DS12" s="268" t="n">
        <f aca="false">DS8-DS9-DS10-DS11-SUP_OVERHEAD!DS41</f>
        <v>25980</v>
      </c>
    </row>
    <row r="13" customFormat="false" ht="15" hidden="false" customHeight="true" outlineLevel="0" collapsed="false">
      <c r="A13" s="186" t="s">
        <v>3422</v>
      </c>
      <c r="B13" s="25"/>
      <c r="C13" s="25"/>
    </row>
    <row r="14" customFormat="false" ht="15" hidden="false" customHeight="true" outlineLevel="0" collapsed="false">
      <c r="B14" s="297" t="s">
        <v>3607</v>
      </c>
      <c r="D14" s="273" t="n">
        <f aca="false">IF(D4=MAX(1,SUP_C4_RETAIL!$C$15-3),SUP_C4_RETAIL!$C$12,0)</f>
        <v>0</v>
      </c>
      <c r="E14" s="273" t="n">
        <f aca="false">IF(E4=MAX(1,SUP_C4_RETAIL!$C$15-3),SUP_C4_RETAIL!$C$12,0)</f>
        <v>0</v>
      </c>
      <c r="F14" s="273" t="n">
        <f aca="false">IF(F4=MAX(1,SUP_C4_RETAIL!$C$15-3),SUP_C4_RETAIL!$C$12,0)</f>
        <v>0</v>
      </c>
      <c r="G14" s="273" t="n">
        <f aca="false">IF(G4=MAX(1,SUP_C4_RETAIL!$C$15-3),SUP_C4_RETAIL!$C$12,0)</f>
        <v>0</v>
      </c>
      <c r="H14" s="273" t="n">
        <f aca="false">IF(H4=MAX(1,SUP_C4_RETAIL!$C$15-3),SUP_C4_RETAIL!$C$12,0)</f>
        <v>0</v>
      </c>
      <c r="I14" s="273" t="n">
        <f aca="false">IF(I4=MAX(1,SUP_C4_RETAIL!$C$15-3),SUP_C4_RETAIL!$C$12,0)</f>
        <v>0</v>
      </c>
      <c r="J14" s="273" t="n">
        <f aca="false">IF(J4=MAX(1,SUP_C4_RETAIL!$C$15-3),SUP_C4_RETAIL!$C$12,0)</f>
        <v>0</v>
      </c>
      <c r="K14" s="273" t="n">
        <f aca="false">IF(K4=MAX(1,SUP_C4_RETAIL!$C$15-3),SUP_C4_RETAIL!$C$12,0)</f>
        <v>0</v>
      </c>
      <c r="L14" s="273" t="n">
        <f aca="false">IF(L4=MAX(1,SUP_C4_RETAIL!$C$15-3),SUP_C4_RETAIL!$C$12,0)</f>
        <v>0</v>
      </c>
      <c r="M14" s="273" t="n">
        <f aca="false">IF(M4=MAX(1,SUP_C4_RETAIL!$C$15-3),SUP_C4_RETAIL!$C$12,0)</f>
        <v>0</v>
      </c>
      <c r="N14" s="273" t="n">
        <f aca="false">IF(N4=MAX(1,SUP_C4_RETAIL!$C$15-3),SUP_C4_RETAIL!$C$12,0)</f>
        <v>0</v>
      </c>
      <c r="O14" s="273" t="n">
        <f aca="false">IF(O4=MAX(1,SUP_C4_RETAIL!$C$15-3),SUP_C4_RETAIL!$C$12,0)</f>
        <v>0</v>
      </c>
      <c r="P14" s="273" t="n">
        <f aca="false">IF(P4=MAX(1,SUP_C4_RETAIL!$C$15-3),SUP_C4_RETAIL!$C$12,0)</f>
        <v>0</v>
      </c>
      <c r="Q14" s="273" t="n">
        <f aca="false">IF(Q4=MAX(1,SUP_C4_RETAIL!$C$15-3),SUP_C4_RETAIL!$C$12,0)</f>
        <v>0</v>
      </c>
      <c r="R14" s="273" t="n">
        <f aca="false">IF(R4=MAX(1,SUP_C4_RETAIL!$C$15-3),SUP_C4_RETAIL!$C$12,0)</f>
        <v>0</v>
      </c>
      <c r="S14" s="273" t="n">
        <f aca="false">IF(S4=MAX(1,SUP_C4_RETAIL!$C$15-3),SUP_C4_RETAIL!$C$12,0)</f>
        <v>0</v>
      </c>
      <c r="T14" s="273" t="n">
        <f aca="false">IF(T4=MAX(1,SUP_C4_RETAIL!$C$15-3),SUP_C4_RETAIL!$C$12,0)</f>
        <v>0</v>
      </c>
      <c r="U14" s="273" t="n">
        <f aca="false">IF(U4=MAX(1,SUP_C4_RETAIL!$C$15-3),SUP_C4_RETAIL!$C$12,0)</f>
        <v>0</v>
      </c>
      <c r="V14" s="273" t="n">
        <f aca="false">IF(V4=MAX(1,SUP_C4_RETAIL!$C$15-3),SUP_C4_RETAIL!$C$12,0)</f>
        <v>0</v>
      </c>
      <c r="W14" s="273" t="n">
        <f aca="false">IF(W4=MAX(1,SUP_C4_RETAIL!$C$15-3),SUP_C4_RETAIL!$C$12,0)</f>
        <v>0</v>
      </c>
      <c r="X14" s="273" t="n">
        <f aca="false">IF(X4=MAX(1,SUP_C4_RETAIL!$C$15-3),SUP_C4_RETAIL!$C$12,0)</f>
        <v>0</v>
      </c>
      <c r="Y14" s="273" t="n">
        <f aca="false">IF(Y4=MAX(1,SUP_C4_RETAIL!$C$15-3),SUP_C4_RETAIL!$C$12,0)</f>
        <v>225849.624</v>
      </c>
      <c r="Z14" s="273" t="n">
        <f aca="false">IF(Z4=MAX(1,SUP_C4_RETAIL!$C$15-3),SUP_C4_RETAIL!$C$12,0)</f>
        <v>0</v>
      </c>
      <c r="AA14" s="273" t="n">
        <f aca="false">IF(AA4=MAX(1,SUP_C4_RETAIL!$C$15-3),SUP_C4_RETAIL!$C$12,0)</f>
        <v>0</v>
      </c>
      <c r="AB14" s="273" t="n">
        <f aca="false">IF(AB4=MAX(1,SUP_C4_RETAIL!$C$15-3),SUP_C4_RETAIL!$C$12,0)</f>
        <v>0</v>
      </c>
      <c r="AC14" s="273" t="n">
        <f aca="false">IF(AC4=MAX(1,SUP_C4_RETAIL!$C$15-3),SUP_C4_RETAIL!$C$12,0)</f>
        <v>0</v>
      </c>
      <c r="AD14" s="273" t="n">
        <f aca="false">IF(AD4=MAX(1,SUP_C4_RETAIL!$C$15-3),SUP_C4_RETAIL!$C$12,0)</f>
        <v>0</v>
      </c>
      <c r="AE14" s="273" t="n">
        <f aca="false">IF(AE4=MAX(1,SUP_C4_RETAIL!$C$15-3),SUP_C4_RETAIL!$C$12,0)</f>
        <v>0</v>
      </c>
      <c r="AF14" s="273" t="n">
        <f aca="false">IF(AF4=MAX(1,SUP_C4_RETAIL!$C$15-3),SUP_C4_RETAIL!$C$12,0)</f>
        <v>0</v>
      </c>
      <c r="AG14" s="273" t="n">
        <f aca="false">IF(AG4=MAX(1,SUP_C4_RETAIL!$C$15-3),SUP_C4_RETAIL!$C$12,0)</f>
        <v>0</v>
      </c>
      <c r="AH14" s="273" t="n">
        <f aca="false">IF(AH4=MAX(1,SUP_C4_RETAIL!$C$15-3),SUP_C4_RETAIL!$C$12,0)</f>
        <v>0</v>
      </c>
      <c r="AI14" s="273" t="n">
        <f aca="false">IF(AI4=MAX(1,SUP_C4_RETAIL!$C$15-3),SUP_C4_RETAIL!$C$12,0)</f>
        <v>0</v>
      </c>
      <c r="AJ14" s="273" t="n">
        <f aca="false">IF(AJ4=MAX(1,SUP_C4_RETAIL!$C$15-3),SUP_C4_RETAIL!$C$12,0)</f>
        <v>0</v>
      </c>
      <c r="AK14" s="273" t="n">
        <f aca="false">IF(AK4=MAX(1,SUP_C4_RETAIL!$C$15-3),SUP_C4_RETAIL!$C$12,0)</f>
        <v>0</v>
      </c>
      <c r="AL14" s="273" t="n">
        <f aca="false">IF(AL4=MAX(1,SUP_C4_RETAIL!$C$15-3),SUP_C4_RETAIL!$C$12,0)</f>
        <v>0</v>
      </c>
      <c r="AM14" s="273" t="n">
        <f aca="false">IF(AM4=MAX(1,SUP_C4_RETAIL!$C$15-3),SUP_C4_RETAIL!$C$12,0)</f>
        <v>0</v>
      </c>
      <c r="AN14" s="273" t="n">
        <f aca="false">IF(AN4=MAX(1,SUP_C4_RETAIL!$C$15-3),SUP_C4_RETAIL!$C$12,0)</f>
        <v>0</v>
      </c>
      <c r="AO14" s="273" t="n">
        <f aca="false">IF(AO4=MAX(1,SUP_C4_RETAIL!$C$15-3),SUP_C4_RETAIL!$C$12,0)</f>
        <v>0</v>
      </c>
      <c r="AP14" s="273" t="n">
        <f aca="false">IF(AP4=MAX(1,SUP_C4_RETAIL!$C$15-3),SUP_C4_RETAIL!$C$12,0)</f>
        <v>0</v>
      </c>
      <c r="AQ14" s="273" t="n">
        <f aca="false">IF(AQ4=MAX(1,SUP_C4_RETAIL!$C$15-3),SUP_C4_RETAIL!$C$12,0)</f>
        <v>0</v>
      </c>
      <c r="AR14" s="273" t="n">
        <f aca="false">IF(AR4=MAX(1,SUP_C4_RETAIL!$C$15-3),SUP_C4_RETAIL!$C$12,0)</f>
        <v>0</v>
      </c>
      <c r="AS14" s="273" t="n">
        <f aca="false">IF(AS4=MAX(1,SUP_C4_RETAIL!$C$15-3),SUP_C4_RETAIL!$C$12,0)</f>
        <v>0</v>
      </c>
      <c r="AT14" s="273" t="n">
        <f aca="false">IF(AT4=MAX(1,SUP_C4_RETAIL!$C$15-3),SUP_C4_RETAIL!$C$12,0)</f>
        <v>0</v>
      </c>
      <c r="AU14" s="273" t="n">
        <f aca="false">IF(AU4=MAX(1,SUP_C4_RETAIL!$C$15-3),SUP_C4_RETAIL!$C$12,0)</f>
        <v>0</v>
      </c>
      <c r="AV14" s="273" t="n">
        <f aca="false">IF(AV4=MAX(1,SUP_C4_RETAIL!$C$15-3),SUP_C4_RETAIL!$C$12,0)</f>
        <v>0</v>
      </c>
      <c r="AW14" s="273" t="n">
        <f aca="false">IF(AW4=MAX(1,SUP_C4_RETAIL!$C$15-3),SUP_C4_RETAIL!$C$12,0)</f>
        <v>0</v>
      </c>
      <c r="AX14" s="273" t="n">
        <f aca="false">IF(AX4=MAX(1,SUP_C4_RETAIL!$C$15-3),SUP_C4_RETAIL!$C$12,0)</f>
        <v>0</v>
      </c>
      <c r="AY14" s="273" t="n">
        <f aca="false">IF(AY4=MAX(1,SUP_C4_RETAIL!$C$15-3),SUP_C4_RETAIL!$C$12,0)</f>
        <v>0</v>
      </c>
      <c r="AZ14" s="273" t="n">
        <f aca="false">IF(AZ4=MAX(1,SUP_C4_RETAIL!$C$15-3),SUP_C4_RETAIL!$C$12,0)</f>
        <v>0</v>
      </c>
      <c r="BA14" s="273" t="n">
        <f aca="false">IF(BA4=MAX(1,SUP_C4_RETAIL!$C$15-3),SUP_C4_RETAIL!$C$12,0)</f>
        <v>0</v>
      </c>
      <c r="BB14" s="273" t="n">
        <f aca="false">IF(BB4=MAX(1,SUP_C4_RETAIL!$C$15-3),SUP_C4_RETAIL!$C$12,0)</f>
        <v>0</v>
      </c>
      <c r="BC14" s="273" t="n">
        <f aca="false">IF(BC4=MAX(1,SUP_C4_RETAIL!$C$15-3),SUP_C4_RETAIL!$C$12,0)</f>
        <v>0</v>
      </c>
      <c r="BD14" s="273" t="n">
        <f aca="false">IF(BD4=MAX(1,SUP_C4_RETAIL!$C$15-3),SUP_C4_RETAIL!$C$12,0)</f>
        <v>0</v>
      </c>
      <c r="BE14" s="273" t="n">
        <f aca="false">IF(BE4=MAX(1,SUP_C4_RETAIL!$C$15-3),SUP_C4_RETAIL!$C$12,0)</f>
        <v>0</v>
      </c>
      <c r="BF14" s="273" t="n">
        <f aca="false">IF(BF4=MAX(1,SUP_C4_RETAIL!$C$15-3),SUP_C4_RETAIL!$C$12,0)</f>
        <v>0</v>
      </c>
      <c r="BG14" s="273" t="n">
        <f aca="false">IF(BG4=MAX(1,SUP_C4_RETAIL!$C$15-3),SUP_C4_RETAIL!$C$12,0)</f>
        <v>0</v>
      </c>
      <c r="BH14" s="273" t="n">
        <f aca="false">IF(BH4=MAX(1,SUP_C4_RETAIL!$C$15-3),SUP_C4_RETAIL!$C$12,0)</f>
        <v>0</v>
      </c>
      <c r="BI14" s="273" t="n">
        <f aca="false">IF(BI4=MAX(1,SUP_C4_RETAIL!$C$15-3),SUP_C4_RETAIL!$C$12,0)</f>
        <v>0</v>
      </c>
      <c r="BJ14" s="273" t="n">
        <f aca="false">IF(BJ4=MAX(1,SUP_C4_RETAIL!$C$15-3),SUP_C4_RETAIL!$C$12,0)</f>
        <v>0</v>
      </c>
      <c r="BK14" s="273" t="n">
        <f aca="false">IF(BK4=MAX(1,SUP_C4_RETAIL!$C$15-3),SUP_C4_RETAIL!$C$12,0)</f>
        <v>0</v>
      </c>
      <c r="BL14" s="273" t="n">
        <f aca="false">IF(BL4=MAX(1,SUP_C4_RETAIL!$C$15-3),SUP_C4_RETAIL!$C$12,0)</f>
        <v>0</v>
      </c>
      <c r="BM14" s="273" t="n">
        <f aca="false">IF(BM4=MAX(1,SUP_C4_RETAIL!$C$15-3),SUP_C4_RETAIL!$C$12,0)</f>
        <v>0</v>
      </c>
      <c r="BN14" s="273" t="n">
        <f aca="false">IF(BN4=MAX(1,SUP_C4_RETAIL!$C$15-3),SUP_C4_RETAIL!$C$12,0)</f>
        <v>0</v>
      </c>
      <c r="BO14" s="273" t="n">
        <f aca="false">IF(BO4=MAX(1,SUP_C4_RETAIL!$C$15-3),SUP_C4_RETAIL!$C$12,0)</f>
        <v>0</v>
      </c>
      <c r="BP14" s="273" t="n">
        <f aca="false">IF(BP4=MAX(1,SUP_C4_RETAIL!$C$15-3),SUP_C4_RETAIL!$C$12,0)</f>
        <v>0</v>
      </c>
      <c r="BQ14" s="273" t="n">
        <f aca="false">IF(BQ4=MAX(1,SUP_C4_RETAIL!$C$15-3),SUP_C4_RETAIL!$C$12,0)</f>
        <v>0</v>
      </c>
      <c r="BR14" s="273" t="n">
        <f aca="false">IF(BR4=MAX(1,SUP_C4_RETAIL!$C$15-3),SUP_C4_RETAIL!$C$12,0)</f>
        <v>0</v>
      </c>
      <c r="BS14" s="273" t="n">
        <f aca="false">IF(BS4=MAX(1,SUP_C4_RETAIL!$C$15-3),SUP_C4_RETAIL!$C$12,0)</f>
        <v>0</v>
      </c>
      <c r="BT14" s="273" t="n">
        <f aca="false">IF(BT4=MAX(1,SUP_C4_RETAIL!$C$15-3),SUP_C4_RETAIL!$C$12,0)</f>
        <v>0</v>
      </c>
      <c r="BU14" s="273" t="n">
        <f aca="false">IF(BU4=MAX(1,SUP_C4_RETAIL!$C$15-3),SUP_C4_RETAIL!$C$12,0)</f>
        <v>0</v>
      </c>
      <c r="BV14" s="273" t="n">
        <f aca="false">IF(BV4=MAX(1,SUP_C4_RETAIL!$C$15-3),SUP_C4_RETAIL!$C$12,0)</f>
        <v>0</v>
      </c>
      <c r="BW14" s="273" t="n">
        <f aca="false">IF(BW4=MAX(1,SUP_C4_RETAIL!$C$15-3),SUP_C4_RETAIL!$C$12,0)</f>
        <v>0</v>
      </c>
      <c r="BX14" s="273" t="n">
        <f aca="false">IF(BX4=MAX(1,SUP_C4_RETAIL!$C$15-3),SUP_C4_RETAIL!$C$12,0)</f>
        <v>0</v>
      </c>
      <c r="BY14" s="273" t="n">
        <f aca="false">IF(BY4=MAX(1,SUP_C4_RETAIL!$C$15-3),SUP_C4_RETAIL!$C$12,0)</f>
        <v>0</v>
      </c>
      <c r="BZ14" s="273" t="n">
        <f aca="false">IF(BZ4=MAX(1,SUP_C4_RETAIL!$C$15-3),SUP_C4_RETAIL!$C$12,0)</f>
        <v>0</v>
      </c>
      <c r="CA14" s="273" t="n">
        <f aca="false">IF(CA4=MAX(1,SUP_C4_RETAIL!$C$15-3),SUP_C4_RETAIL!$C$12,0)</f>
        <v>0</v>
      </c>
      <c r="CB14" s="273" t="n">
        <f aca="false">IF(CB4=MAX(1,SUP_C4_RETAIL!$C$15-3),SUP_C4_RETAIL!$C$12,0)</f>
        <v>0</v>
      </c>
      <c r="CC14" s="273" t="n">
        <f aca="false">IF(CC4=MAX(1,SUP_C4_RETAIL!$C$15-3),SUP_C4_RETAIL!$C$12,0)</f>
        <v>0</v>
      </c>
      <c r="CD14" s="273" t="n">
        <f aca="false">IF(CD4=MAX(1,SUP_C4_RETAIL!$C$15-3),SUP_C4_RETAIL!$C$12,0)</f>
        <v>0</v>
      </c>
      <c r="CE14" s="273" t="n">
        <f aca="false">IF(CE4=MAX(1,SUP_C4_RETAIL!$C$15-3),SUP_C4_RETAIL!$C$12,0)</f>
        <v>0</v>
      </c>
      <c r="CF14" s="273" t="n">
        <f aca="false">IF(CF4=MAX(1,SUP_C4_RETAIL!$C$15-3),SUP_C4_RETAIL!$C$12,0)</f>
        <v>0</v>
      </c>
      <c r="CG14" s="273" t="n">
        <f aca="false">IF(CG4=MAX(1,SUP_C4_RETAIL!$C$15-3),SUP_C4_RETAIL!$C$12,0)</f>
        <v>0</v>
      </c>
      <c r="CH14" s="273" t="n">
        <f aca="false">IF(CH4=MAX(1,SUP_C4_RETAIL!$C$15-3),SUP_C4_RETAIL!$C$12,0)</f>
        <v>0</v>
      </c>
      <c r="CI14" s="273" t="n">
        <f aca="false">IF(CI4=MAX(1,SUP_C4_RETAIL!$C$15-3),SUP_C4_RETAIL!$C$12,0)</f>
        <v>0</v>
      </c>
      <c r="CJ14" s="273" t="n">
        <f aca="false">IF(CJ4=MAX(1,SUP_C4_RETAIL!$C$15-3),SUP_C4_RETAIL!$C$12,0)</f>
        <v>0</v>
      </c>
      <c r="CK14" s="273" t="n">
        <f aca="false">IF(CK4=MAX(1,SUP_C4_RETAIL!$C$15-3),SUP_C4_RETAIL!$C$12,0)</f>
        <v>0</v>
      </c>
      <c r="CL14" s="273" t="n">
        <f aca="false">IF(CL4=MAX(1,SUP_C4_RETAIL!$C$15-3),SUP_C4_RETAIL!$C$12,0)</f>
        <v>0</v>
      </c>
      <c r="CM14" s="273" t="n">
        <f aca="false">IF(CM4=MAX(1,SUP_C4_RETAIL!$C$15-3),SUP_C4_RETAIL!$C$12,0)</f>
        <v>0</v>
      </c>
      <c r="CN14" s="273" t="n">
        <f aca="false">IF(CN4=MAX(1,SUP_C4_RETAIL!$C$15-3),SUP_C4_RETAIL!$C$12,0)</f>
        <v>0</v>
      </c>
      <c r="CO14" s="273" t="n">
        <f aca="false">IF(CO4=MAX(1,SUP_C4_RETAIL!$C$15-3),SUP_C4_RETAIL!$C$12,0)</f>
        <v>0</v>
      </c>
      <c r="CP14" s="273" t="n">
        <f aca="false">IF(CP4=MAX(1,SUP_C4_RETAIL!$C$15-3),SUP_C4_RETAIL!$C$12,0)</f>
        <v>0</v>
      </c>
      <c r="CQ14" s="273" t="n">
        <f aca="false">IF(CQ4=MAX(1,SUP_C4_RETAIL!$C$15-3),SUP_C4_RETAIL!$C$12,0)</f>
        <v>0</v>
      </c>
      <c r="CR14" s="273" t="n">
        <f aca="false">IF(CR4=MAX(1,SUP_C4_RETAIL!$C$15-3),SUP_C4_RETAIL!$C$12,0)</f>
        <v>0</v>
      </c>
      <c r="CS14" s="273" t="n">
        <f aca="false">IF(CS4=MAX(1,SUP_C4_RETAIL!$C$15-3),SUP_C4_RETAIL!$C$12,0)</f>
        <v>0</v>
      </c>
      <c r="CT14" s="273" t="n">
        <f aca="false">IF(CT4=MAX(1,SUP_C4_RETAIL!$C$15-3),SUP_C4_RETAIL!$C$12,0)</f>
        <v>0</v>
      </c>
      <c r="CU14" s="273" t="n">
        <f aca="false">IF(CU4=MAX(1,SUP_C4_RETAIL!$C$15-3),SUP_C4_RETAIL!$C$12,0)</f>
        <v>0</v>
      </c>
      <c r="CV14" s="273" t="n">
        <f aca="false">IF(CV4=MAX(1,SUP_C4_RETAIL!$C$15-3),SUP_C4_RETAIL!$C$12,0)</f>
        <v>0</v>
      </c>
      <c r="CW14" s="273" t="n">
        <f aca="false">IF(CW4=MAX(1,SUP_C4_RETAIL!$C$15-3),SUP_C4_RETAIL!$C$12,0)</f>
        <v>0</v>
      </c>
      <c r="CX14" s="273" t="n">
        <f aca="false">IF(CX4=MAX(1,SUP_C4_RETAIL!$C$15-3),SUP_C4_RETAIL!$C$12,0)</f>
        <v>0</v>
      </c>
      <c r="CY14" s="273" t="n">
        <f aca="false">IF(CY4=MAX(1,SUP_C4_RETAIL!$C$15-3),SUP_C4_RETAIL!$C$12,0)</f>
        <v>0</v>
      </c>
      <c r="CZ14" s="273" t="n">
        <f aca="false">IF(CZ4=MAX(1,SUP_C4_RETAIL!$C$15-3),SUP_C4_RETAIL!$C$12,0)</f>
        <v>0</v>
      </c>
      <c r="DA14" s="273" t="n">
        <f aca="false">IF(DA4=MAX(1,SUP_C4_RETAIL!$C$15-3),SUP_C4_RETAIL!$C$12,0)</f>
        <v>0</v>
      </c>
      <c r="DB14" s="273" t="n">
        <f aca="false">IF(DB4=MAX(1,SUP_C4_RETAIL!$C$15-3),SUP_C4_RETAIL!$C$12,0)</f>
        <v>0</v>
      </c>
      <c r="DC14" s="273" t="n">
        <f aca="false">IF(DC4=MAX(1,SUP_C4_RETAIL!$C$15-3),SUP_C4_RETAIL!$C$12,0)</f>
        <v>0</v>
      </c>
      <c r="DD14" s="273" t="n">
        <f aca="false">IF(DD4=MAX(1,SUP_C4_RETAIL!$C$15-3),SUP_C4_RETAIL!$C$12,0)</f>
        <v>0</v>
      </c>
      <c r="DE14" s="273" t="n">
        <f aca="false">IF(DE4=MAX(1,SUP_C4_RETAIL!$C$15-3),SUP_C4_RETAIL!$C$12,0)</f>
        <v>0</v>
      </c>
      <c r="DF14" s="273" t="n">
        <f aca="false">IF(DF4=MAX(1,SUP_C4_RETAIL!$C$15-3),SUP_C4_RETAIL!$C$12,0)</f>
        <v>0</v>
      </c>
      <c r="DG14" s="273" t="n">
        <f aca="false">IF(DG4=MAX(1,SUP_C4_RETAIL!$C$15-3),SUP_C4_RETAIL!$C$12,0)</f>
        <v>0</v>
      </c>
      <c r="DH14" s="273" t="n">
        <f aca="false">IF(DH4=MAX(1,SUP_C4_RETAIL!$C$15-3),SUP_C4_RETAIL!$C$12,0)</f>
        <v>0</v>
      </c>
      <c r="DI14" s="273" t="n">
        <f aca="false">IF(DI4=MAX(1,SUP_C4_RETAIL!$C$15-3),SUP_C4_RETAIL!$C$12,0)</f>
        <v>0</v>
      </c>
      <c r="DJ14" s="273" t="n">
        <f aca="false">IF(DJ4=MAX(1,SUP_C4_RETAIL!$C$15-3),SUP_C4_RETAIL!$C$12,0)</f>
        <v>0</v>
      </c>
      <c r="DK14" s="273" t="n">
        <f aca="false">IF(DK4=MAX(1,SUP_C4_RETAIL!$C$15-3),SUP_C4_RETAIL!$C$12,0)</f>
        <v>0</v>
      </c>
      <c r="DL14" s="273" t="n">
        <f aca="false">IF(DL4=MAX(1,SUP_C4_RETAIL!$C$15-3),SUP_C4_RETAIL!$C$12,0)</f>
        <v>0</v>
      </c>
      <c r="DM14" s="273" t="n">
        <f aca="false">IF(DM4=MAX(1,SUP_C4_RETAIL!$C$15-3),SUP_C4_RETAIL!$C$12,0)</f>
        <v>0</v>
      </c>
      <c r="DN14" s="273" t="n">
        <f aca="false">IF(DN4=MAX(1,SUP_C4_RETAIL!$C$15-3),SUP_C4_RETAIL!$C$12,0)</f>
        <v>0</v>
      </c>
      <c r="DO14" s="273" t="n">
        <f aca="false">IF(DO4=MAX(1,SUP_C4_RETAIL!$C$15-3),SUP_C4_RETAIL!$C$12,0)</f>
        <v>0</v>
      </c>
      <c r="DP14" s="273" t="n">
        <f aca="false">IF(DP4=MAX(1,SUP_C4_RETAIL!$C$15-3),SUP_C4_RETAIL!$C$12,0)</f>
        <v>0</v>
      </c>
      <c r="DQ14" s="273" t="n">
        <f aca="false">IF(DQ4=MAX(1,SUP_C4_RETAIL!$C$15-3),SUP_C4_RETAIL!$C$12,0)</f>
        <v>0</v>
      </c>
      <c r="DR14" s="273" t="n">
        <f aca="false">IF(DR4=MAX(1,SUP_C4_RETAIL!$C$15-3),SUP_C4_RETAIL!$C$12,0)</f>
        <v>0</v>
      </c>
      <c r="DS14" s="273" t="n">
        <f aca="false">IF(DS4=MAX(1,SUP_C4_RETAIL!$C$15-3),SUP_C4_RETAIL!$C$12,0)</f>
        <v>0</v>
      </c>
    </row>
    <row r="15" customFormat="false" ht="15" hidden="false" customHeight="true" outlineLevel="0" collapsed="false">
      <c r="B15" s="297" t="s">
        <v>3462</v>
      </c>
      <c r="D15" s="273" t="n">
        <f aca="false">D14</f>
        <v>0</v>
      </c>
      <c r="E15" s="273" t="n">
        <f aca="false">D15+E14</f>
        <v>0</v>
      </c>
      <c r="F15" s="273" t="n">
        <f aca="false">E15+F14</f>
        <v>0</v>
      </c>
      <c r="G15" s="273" t="n">
        <f aca="false">F15+G14</f>
        <v>0</v>
      </c>
      <c r="H15" s="273" t="n">
        <f aca="false">G15+H14</f>
        <v>0</v>
      </c>
      <c r="I15" s="273" t="n">
        <f aca="false">H15+I14</f>
        <v>0</v>
      </c>
      <c r="J15" s="273" t="n">
        <f aca="false">I15+J14</f>
        <v>0</v>
      </c>
      <c r="K15" s="273" t="n">
        <f aca="false">J15+K14</f>
        <v>0</v>
      </c>
      <c r="L15" s="273" t="n">
        <f aca="false">K15+L14</f>
        <v>0</v>
      </c>
      <c r="M15" s="273" t="n">
        <f aca="false">L15+M14</f>
        <v>0</v>
      </c>
      <c r="N15" s="273" t="n">
        <f aca="false">M15+N14</f>
        <v>0</v>
      </c>
      <c r="O15" s="273" t="n">
        <f aca="false">N15+O14</f>
        <v>0</v>
      </c>
      <c r="P15" s="273" t="n">
        <f aca="false">O15+P14</f>
        <v>0</v>
      </c>
      <c r="Q15" s="273" t="n">
        <f aca="false">P15+Q14</f>
        <v>0</v>
      </c>
      <c r="R15" s="273" t="n">
        <f aca="false">Q15+R14</f>
        <v>0</v>
      </c>
      <c r="S15" s="273" t="n">
        <f aca="false">R15+S14</f>
        <v>0</v>
      </c>
      <c r="T15" s="273" t="n">
        <f aca="false">S15+T14</f>
        <v>0</v>
      </c>
      <c r="U15" s="273" t="n">
        <f aca="false">T15+U14</f>
        <v>0</v>
      </c>
      <c r="V15" s="273" t="n">
        <f aca="false">U15+V14</f>
        <v>0</v>
      </c>
      <c r="W15" s="273" t="n">
        <f aca="false">V15+W14</f>
        <v>0</v>
      </c>
      <c r="X15" s="273" t="n">
        <f aca="false">W15+X14</f>
        <v>0</v>
      </c>
      <c r="Y15" s="273" t="n">
        <f aca="false">X15+Y14</f>
        <v>225849.624</v>
      </c>
      <c r="Z15" s="273" t="n">
        <f aca="false">Y15+Z14</f>
        <v>225849.624</v>
      </c>
      <c r="AA15" s="273" t="n">
        <f aca="false">Z15+AA14</f>
        <v>225849.624</v>
      </c>
      <c r="AB15" s="273" t="n">
        <f aca="false">AA15+AB14</f>
        <v>225849.624</v>
      </c>
      <c r="AC15" s="273" t="n">
        <f aca="false">AB15+AC14</f>
        <v>225849.624</v>
      </c>
      <c r="AD15" s="273" t="n">
        <f aca="false">AC15+AD14</f>
        <v>225849.624</v>
      </c>
      <c r="AE15" s="273" t="n">
        <f aca="false">AD15+AE14</f>
        <v>225849.624</v>
      </c>
      <c r="AF15" s="273" t="n">
        <f aca="false">AE15+AF14</f>
        <v>225849.624</v>
      </c>
      <c r="AG15" s="273" t="n">
        <f aca="false">AF15+AG14</f>
        <v>225849.624</v>
      </c>
      <c r="AH15" s="273" t="n">
        <f aca="false">AG15+AH14</f>
        <v>225849.624</v>
      </c>
      <c r="AI15" s="273" t="n">
        <f aca="false">AH15+AI14</f>
        <v>225849.624</v>
      </c>
      <c r="AJ15" s="273" t="n">
        <f aca="false">AI15+AJ14</f>
        <v>225849.624</v>
      </c>
      <c r="AK15" s="273" t="n">
        <f aca="false">AJ15+AK14</f>
        <v>225849.624</v>
      </c>
      <c r="AL15" s="273" t="n">
        <f aca="false">AK15+AL14</f>
        <v>225849.624</v>
      </c>
      <c r="AM15" s="273" t="n">
        <f aca="false">AL15+AM14</f>
        <v>225849.624</v>
      </c>
      <c r="AN15" s="273" t="n">
        <f aca="false">AM15+AN14</f>
        <v>225849.624</v>
      </c>
      <c r="AO15" s="273" t="n">
        <f aca="false">AN15+AO14</f>
        <v>225849.624</v>
      </c>
      <c r="AP15" s="273" t="n">
        <f aca="false">AO15+AP14</f>
        <v>225849.624</v>
      </c>
      <c r="AQ15" s="273" t="n">
        <f aca="false">AP15+AQ14</f>
        <v>225849.624</v>
      </c>
      <c r="AR15" s="273" t="n">
        <f aca="false">AQ15+AR14</f>
        <v>225849.624</v>
      </c>
      <c r="AS15" s="273" t="n">
        <f aca="false">AR15+AS14</f>
        <v>225849.624</v>
      </c>
      <c r="AT15" s="273" t="n">
        <f aca="false">AS15+AT14</f>
        <v>225849.624</v>
      </c>
      <c r="AU15" s="273" t="n">
        <f aca="false">AT15+AU14</f>
        <v>225849.624</v>
      </c>
      <c r="AV15" s="273" t="n">
        <f aca="false">AU15+AV14</f>
        <v>225849.624</v>
      </c>
      <c r="AW15" s="273" t="n">
        <f aca="false">AV15+AW14</f>
        <v>225849.624</v>
      </c>
      <c r="AX15" s="273" t="n">
        <f aca="false">AW15+AX14</f>
        <v>225849.624</v>
      </c>
      <c r="AY15" s="273" t="n">
        <f aca="false">AX15+AY14</f>
        <v>225849.624</v>
      </c>
      <c r="AZ15" s="273" t="n">
        <f aca="false">AY15+AZ14</f>
        <v>225849.624</v>
      </c>
      <c r="BA15" s="273" t="n">
        <f aca="false">AZ15+BA14</f>
        <v>225849.624</v>
      </c>
      <c r="BB15" s="273" t="n">
        <f aca="false">BA15+BB14</f>
        <v>225849.624</v>
      </c>
      <c r="BC15" s="273" t="n">
        <f aca="false">BB15+BC14</f>
        <v>225849.624</v>
      </c>
      <c r="BD15" s="273" t="n">
        <f aca="false">BC15+BD14</f>
        <v>225849.624</v>
      </c>
      <c r="BE15" s="273" t="n">
        <f aca="false">BD15+BE14</f>
        <v>225849.624</v>
      </c>
      <c r="BF15" s="273" t="n">
        <f aca="false">BE15+BF14</f>
        <v>225849.624</v>
      </c>
      <c r="BG15" s="273" t="n">
        <f aca="false">BF15+BG14</f>
        <v>225849.624</v>
      </c>
      <c r="BH15" s="273" t="n">
        <f aca="false">BG15+BH14</f>
        <v>225849.624</v>
      </c>
      <c r="BI15" s="273" t="n">
        <f aca="false">BH15+BI14</f>
        <v>225849.624</v>
      </c>
      <c r="BJ15" s="273" t="n">
        <f aca="false">BI15+BJ14</f>
        <v>225849.624</v>
      </c>
      <c r="BK15" s="273" t="n">
        <f aca="false">BJ15+BK14</f>
        <v>225849.624</v>
      </c>
      <c r="BL15" s="273" t="n">
        <f aca="false">BK15+BL14</f>
        <v>225849.624</v>
      </c>
      <c r="BM15" s="273" t="n">
        <f aca="false">BL15+BM14</f>
        <v>225849.624</v>
      </c>
      <c r="BN15" s="273" t="n">
        <f aca="false">BM15+BN14</f>
        <v>225849.624</v>
      </c>
      <c r="BO15" s="273" t="n">
        <f aca="false">BN15+BO14</f>
        <v>225849.624</v>
      </c>
      <c r="BP15" s="273" t="n">
        <f aca="false">BO15+BP14</f>
        <v>225849.624</v>
      </c>
      <c r="BQ15" s="273" t="n">
        <f aca="false">BP15+BQ14</f>
        <v>225849.624</v>
      </c>
      <c r="BR15" s="273" t="n">
        <f aca="false">BQ15+BR14</f>
        <v>225849.624</v>
      </c>
      <c r="BS15" s="273" t="n">
        <f aca="false">BR15+BS14</f>
        <v>225849.624</v>
      </c>
      <c r="BT15" s="273" t="n">
        <f aca="false">BS15+BT14</f>
        <v>225849.624</v>
      </c>
      <c r="BU15" s="273" t="n">
        <f aca="false">BT15+BU14</f>
        <v>225849.624</v>
      </c>
      <c r="BV15" s="273" t="n">
        <f aca="false">BU15+BV14</f>
        <v>225849.624</v>
      </c>
      <c r="BW15" s="273" t="n">
        <f aca="false">BV15+BW14</f>
        <v>225849.624</v>
      </c>
      <c r="BX15" s="273" t="n">
        <f aca="false">BW15+BX14</f>
        <v>225849.624</v>
      </c>
      <c r="BY15" s="273" t="n">
        <f aca="false">BX15+BY14</f>
        <v>225849.624</v>
      </c>
      <c r="BZ15" s="273" t="n">
        <f aca="false">BY15+BZ14</f>
        <v>225849.624</v>
      </c>
      <c r="CA15" s="273" t="n">
        <f aca="false">BZ15+CA14</f>
        <v>225849.624</v>
      </c>
      <c r="CB15" s="273" t="n">
        <f aca="false">CA15+CB14</f>
        <v>225849.624</v>
      </c>
      <c r="CC15" s="273" t="n">
        <f aca="false">CB15+CC14</f>
        <v>225849.624</v>
      </c>
      <c r="CD15" s="273" t="n">
        <f aca="false">CC15+CD14</f>
        <v>225849.624</v>
      </c>
      <c r="CE15" s="273" t="n">
        <f aca="false">CD15+CE14</f>
        <v>225849.624</v>
      </c>
      <c r="CF15" s="273" t="n">
        <f aca="false">CE15+CF14</f>
        <v>225849.624</v>
      </c>
      <c r="CG15" s="273" t="n">
        <f aca="false">CF15+CG14</f>
        <v>225849.624</v>
      </c>
      <c r="CH15" s="273" t="n">
        <f aca="false">CG15+CH14</f>
        <v>225849.624</v>
      </c>
      <c r="CI15" s="273" t="n">
        <f aca="false">CH15+CI14</f>
        <v>225849.624</v>
      </c>
      <c r="CJ15" s="273" t="n">
        <f aca="false">CI15+CJ14</f>
        <v>225849.624</v>
      </c>
      <c r="CK15" s="273" t="n">
        <f aca="false">CJ15+CK14</f>
        <v>225849.624</v>
      </c>
      <c r="CL15" s="273" t="n">
        <f aca="false">CK15+CL14</f>
        <v>225849.624</v>
      </c>
      <c r="CM15" s="273" t="n">
        <f aca="false">CL15+CM14</f>
        <v>225849.624</v>
      </c>
      <c r="CN15" s="273" t="n">
        <f aca="false">CM15+CN14</f>
        <v>225849.624</v>
      </c>
      <c r="CO15" s="273" t="n">
        <f aca="false">CN15+CO14</f>
        <v>225849.624</v>
      </c>
      <c r="CP15" s="273" t="n">
        <f aca="false">CO15+CP14</f>
        <v>225849.624</v>
      </c>
      <c r="CQ15" s="273" t="n">
        <f aca="false">CP15+CQ14</f>
        <v>225849.624</v>
      </c>
      <c r="CR15" s="273" t="n">
        <f aca="false">CQ15+CR14</f>
        <v>225849.624</v>
      </c>
      <c r="CS15" s="273" t="n">
        <f aca="false">CR15+CS14</f>
        <v>225849.624</v>
      </c>
      <c r="CT15" s="273" t="n">
        <f aca="false">CS15+CT14</f>
        <v>225849.624</v>
      </c>
      <c r="CU15" s="273" t="n">
        <f aca="false">CT15+CU14</f>
        <v>225849.624</v>
      </c>
      <c r="CV15" s="273" t="n">
        <f aca="false">CU15+CV14</f>
        <v>225849.624</v>
      </c>
      <c r="CW15" s="273" t="n">
        <f aca="false">CV15+CW14</f>
        <v>225849.624</v>
      </c>
      <c r="CX15" s="273" t="n">
        <f aca="false">CW15+CX14</f>
        <v>225849.624</v>
      </c>
      <c r="CY15" s="273" t="n">
        <f aca="false">CX15+CY14</f>
        <v>225849.624</v>
      </c>
      <c r="CZ15" s="273" t="n">
        <f aca="false">CY15+CZ14</f>
        <v>225849.624</v>
      </c>
      <c r="DA15" s="273" t="n">
        <f aca="false">CZ15+DA14</f>
        <v>225849.624</v>
      </c>
      <c r="DB15" s="273" t="n">
        <f aca="false">DA15+DB14</f>
        <v>225849.624</v>
      </c>
      <c r="DC15" s="273" t="n">
        <f aca="false">DB15+DC14</f>
        <v>225849.624</v>
      </c>
      <c r="DD15" s="273" t="n">
        <f aca="false">DC15+DD14</f>
        <v>225849.624</v>
      </c>
      <c r="DE15" s="273" t="n">
        <f aca="false">DD15+DE14</f>
        <v>225849.624</v>
      </c>
      <c r="DF15" s="273" t="n">
        <f aca="false">DE15+DF14</f>
        <v>225849.624</v>
      </c>
      <c r="DG15" s="273" t="n">
        <f aca="false">DF15+DG14</f>
        <v>225849.624</v>
      </c>
      <c r="DH15" s="273" t="n">
        <f aca="false">DG15+DH14</f>
        <v>225849.624</v>
      </c>
      <c r="DI15" s="273" t="n">
        <f aca="false">DH15+DI14</f>
        <v>225849.624</v>
      </c>
      <c r="DJ15" s="273" t="n">
        <f aca="false">DI15+DJ14</f>
        <v>225849.624</v>
      </c>
      <c r="DK15" s="273" t="n">
        <f aca="false">DJ15+DK14</f>
        <v>225849.624</v>
      </c>
      <c r="DL15" s="273" t="n">
        <f aca="false">DK15+DL14</f>
        <v>225849.624</v>
      </c>
      <c r="DM15" s="273" t="n">
        <f aca="false">DL15+DM14</f>
        <v>225849.624</v>
      </c>
      <c r="DN15" s="273" t="n">
        <f aca="false">DM15+DN14</f>
        <v>225849.624</v>
      </c>
      <c r="DO15" s="273" t="n">
        <f aca="false">DN15+DO14</f>
        <v>225849.624</v>
      </c>
      <c r="DP15" s="273" t="n">
        <f aca="false">DO15+DP14</f>
        <v>225849.624</v>
      </c>
      <c r="DQ15" s="273" t="n">
        <f aca="false">DP15+DQ14</f>
        <v>225849.624</v>
      </c>
      <c r="DR15" s="273" t="n">
        <f aca="false">DQ15+DR14</f>
        <v>225849.624</v>
      </c>
      <c r="DS15" s="273" t="n">
        <f aca="false">DR15+DS14</f>
        <v>225849.624</v>
      </c>
    </row>
    <row r="16" customFormat="false" ht="15" hidden="false" customHeight="true" outlineLevel="0" collapsed="false">
      <c r="B16" s="297" t="s">
        <v>3463</v>
      </c>
      <c r="D16" s="273" t="n">
        <f aca="false">D15/(SUP_OPEX!$C$43*12)</f>
        <v>0</v>
      </c>
      <c r="E16" s="273" t="n">
        <f aca="false">E15/(SUP_OPEX!$C$43*12)</f>
        <v>0</v>
      </c>
      <c r="F16" s="273" t="n">
        <f aca="false">F15/(SUP_OPEX!$C$43*12)</f>
        <v>0</v>
      </c>
      <c r="G16" s="273" t="n">
        <f aca="false">G15/(SUP_OPEX!$C$43*12)</f>
        <v>0</v>
      </c>
      <c r="H16" s="273" t="n">
        <f aca="false">H15/(SUP_OPEX!$C$43*12)</f>
        <v>0</v>
      </c>
      <c r="I16" s="273" t="n">
        <f aca="false">I15/(SUP_OPEX!$C$43*12)</f>
        <v>0</v>
      </c>
      <c r="J16" s="273" t="n">
        <f aca="false">J15/(SUP_OPEX!$C$43*12)</f>
        <v>0</v>
      </c>
      <c r="K16" s="273" t="n">
        <f aca="false">K15/(SUP_OPEX!$C$43*12)</f>
        <v>0</v>
      </c>
      <c r="L16" s="273" t="n">
        <f aca="false">L15/(SUP_OPEX!$C$43*12)</f>
        <v>0</v>
      </c>
      <c r="M16" s="273" t="n">
        <f aca="false">M15/(SUP_OPEX!$C$43*12)</f>
        <v>0</v>
      </c>
      <c r="N16" s="273" t="n">
        <f aca="false">N15/(SUP_OPEX!$C$43*12)</f>
        <v>0</v>
      </c>
      <c r="O16" s="273" t="n">
        <f aca="false">O15/(SUP_OPEX!$C$43*12)</f>
        <v>0</v>
      </c>
      <c r="P16" s="273" t="n">
        <f aca="false">P15/(SUP_OPEX!$C$43*12)</f>
        <v>0</v>
      </c>
      <c r="Q16" s="273" t="n">
        <f aca="false">Q15/(SUP_OPEX!$C$43*12)</f>
        <v>0</v>
      </c>
      <c r="R16" s="273" t="n">
        <f aca="false">R15/(SUP_OPEX!$C$43*12)</f>
        <v>0</v>
      </c>
      <c r="S16" s="273" t="n">
        <f aca="false">S15/(SUP_OPEX!$C$43*12)</f>
        <v>0</v>
      </c>
      <c r="T16" s="273" t="n">
        <f aca="false">T15/(SUP_OPEX!$C$43*12)</f>
        <v>0</v>
      </c>
      <c r="U16" s="273" t="n">
        <f aca="false">U15/(SUP_OPEX!$C$43*12)</f>
        <v>0</v>
      </c>
      <c r="V16" s="273" t="n">
        <f aca="false">V15/(SUP_OPEX!$C$43*12)</f>
        <v>0</v>
      </c>
      <c r="W16" s="273" t="n">
        <f aca="false">W15/(SUP_OPEX!$C$43*12)</f>
        <v>0</v>
      </c>
      <c r="X16" s="273" t="n">
        <f aca="false">X15/(SUP_OPEX!$C$43*12)</f>
        <v>0</v>
      </c>
      <c r="Y16" s="273" t="n">
        <f aca="false">Y15/(SUP_OPEX!$C$43*12)</f>
        <v>1882.0802</v>
      </c>
      <c r="Z16" s="273" t="n">
        <f aca="false">Z15/(SUP_OPEX!$C$43*12)</f>
        <v>1882.0802</v>
      </c>
      <c r="AA16" s="273" t="n">
        <f aca="false">AA15/(SUP_OPEX!$C$43*12)</f>
        <v>1882.0802</v>
      </c>
      <c r="AB16" s="273" t="n">
        <f aca="false">AB15/(SUP_OPEX!$C$43*12)</f>
        <v>1882.0802</v>
      </c>
      <c r="AC16" s="273" t="n">
        <f aca="false">AC15/(SUP_OPEX!$C$43*12)</f>
        <v>1882.0802</v>
      </c>
      <c r="AD16" s="273" t="n">
        <f aca="false">AD15/(SUP_OPEX!$C$43*12)</f>
        <v>1882.0802</v>
      </c>
      <c r="AE16" s="273" t="n">
        <f aca="false">AE15/(SUP_OPEX!$C$43*12)</f>
        <v>1882.0802</v>
      </c>
      <c r="AF16" s="273" t="n">
        <f aca="false">AF15/(SUP_OPEX!$C$43*12)</f>
        <v>1882.0802</v>
      </c>
      <c r="AG16" s="273" t="n">
        <f aca="false">AG15/(SUP_OPEX!$C$43*12)</f>
        <v>1882.0802</v>
      </c>
      <c r="AH16" s="273" t="n">
        <f aca="false">AH15/(SUP_OPEX!$C$43*12)</f>
        <v>1882.0802</v>
      </c>
      <c r="AI16" s="273" t="n">
        <f aca="false">AI15/(SUP_OPEX!$C$43*12)</f>
        <v>1882.0802</v>
      </c>
      <c r="AJ16" s="273" t="n">
        <f aca="false">AJ15/(SUP_OPEX!$C$43*12)</f>
        <v>1882.0802</v>
      </c>
      <c r="AK16" s="273" t="n">
        <f aca="false">AK15/(SUP_OPEX!$C$43*12)</f>
        <v>1882.0802</v>
      </c>
      <c r="AL16" s="273" t="n">
        <f aca="false">AL15/(SUP_OPEX!$C$43*12)</f>
        <v>1882.0802</v>
      </c>
      <c r="AM16" s="273" t="n">
        <f aca="false">AM15/(SUP_OPEX!$C$43*12)</f>
        <v>1882.0802</v>
      </c>
      <c r="AN16" s="273" t="n">
        <f aca="false">AN15/(SUP_OPEX!$C$43*12)</f>
        <v>1882.0802</v>
      </c>
      <c r="AO16" s="273" t="n">
        <f aca="false">AO15/(SUP_OPEX!$C$43*12)</f>
        <v>1882.0802</v>
      </c>
      <c r="AP16" s="273" t="n">
        <f aca="false">AP15/(SUP_OPEX!$C$43*12)</f>
        <v>1882.0802</v>
      </c>
      <c r="AQ16" s="273" t="n">
        <f aca="false">AQ15/(SUP_OPEX!$C$43*12)</f>
        <v>1882.0802</v>
      </c>
      <c r="AR16" s="273" t="n">
        <f aca="false">AR15/(SUP_OPEX!$C$43*12)</f>
        <v>1882.0802</v>
      </c>
      <c r="AS16" s="273" t="n">
        <f aca="false">AS15/(SUP_OPEX!$C$43*12)</f>
        <v>1882.0802</v>
      </c>
      <c r="AT16" s="273" t="n">
        <f aca="false">AT15/(SUP_OPEX!$C$43*12)</f>
        <v>1882.0802</v>
      </c>
      <c r="AU16" s="273" t="n">
        <f aca="false">AU15/(SUP_OPEX!$C$43*12)</f>
        <v>1882.0802</v>
      </c>
      <c r="AV16" s="273" t="n">
        <f aca="false">AV15/(SUP_OPEX!$C$43*12)</f>
        <v>1882.0802</v>
      </c>
      <c r="AW16" s="273" t="n">
        <f aca="false">AW15/(SUP_OPEX!$C$43*12)</f>
        <v>1882.0802</v>
      </c>
      <c r="AX16" s="273" t="n">
        <f aca="false">AX15/(SUP_OPEX!$C$43*12)</f>
        <v>1882.0802</v>
      </c>
      <c r="AY16" s="273" t="n">
        <f aca="false">AY15/(SUP_OPEX!$C$43*12)</f>
        <v>1882.0802</v>
      </c>
      <c r="AZ16" s="273" t="n">
        <f aca="false">AZ15/(SUP_OPEX!$C$43*12)</f>
        <v>1882.0802</v>
      </c>
      <c r="BA16" s="273" t="n">
        <f aca="false">BA15/(SUP_OPEX!$C$43*12)</f>
        <v>1882.0802</v>
      </c>
      <c r="BB16" s="273" t="n">
        <f aca="false">BB15/(SUP_OPEX!$C$43*12)</f>
        <v>1882.0802</v>
      </c>
      <c r="BC16" s="273" t="n">
        <f aca="false">BC15/(SUP_OPEX!$C$43*12)</f>
        <v>1882.0802</v>
      </c>
      <c r="BD16" s="273" t="n">
        <f aca="false">BD15/(SUP_OPEX!$C$43*12)</f>
        <v>1882.0802</v>
      </c>
      <c r="BE16" s="273" t="n">
        <f aca="false">BE15/(SUP_OPEX!$C$43*12)</f>
        <v>1882.0802</v>
      </c>
      <c r="BF16" s="273" t="n">
        <f aca="false">BF15/(SUP_OPEX!$C$43*12)</f>
        <v>1882.0802</v>
      </c>
      <c r="BG16" s="273" t="n">
        <f aca="false">BG15/(SUP_OPEX!$C$43*12)</f>
        <v>1882.0802</v>
      </c>
      <c r="BH16" s="273" t="n">
        <f aca="false">BH15/(SUP_OPEX!$C$43*12)</f>
        <v>1882.0802</v>
      </c>
      <c r="BI16" s="273" t="n">
        <f aca="false">BI15/(SUP_OPEX!$C$43*12)</f>
        <v>1882.0802</v>
      </c>
      <c r="BJ16" s="273" t="n">
        <f aca="false">BJ15/(SUP_OPEX!$C$43*12)</f>
        <v>1882.0802</v>
      </c>
      <c r="BK16" s="273" t="n">
        <f aca="false">BK15/(SUP_OPEX!$C$43*12)</f>
        <v>1882.0802</v>
      </c>
      <c r="BL16" s="273" t="n">
        <f aca="false">BL15/(SUP_OPEX!$C$43*12)</f>
        <v>1882.0802</v>
      </c>
      <c r="BM16" s="273" t="n">
        <f aca="false">BM15/(SUP_OPEX!$C$43*12)</f>
        <v>1882.0802</v>
      </c>
      <c r="BN16" s="273" t="n">
        <f aca="false">BN15/(SUP_OPEX!$C$43*12)</f>
        <v>1882.0802</v>
      </c>
      <c r="BO16" s="273" t="n">
        <f aca="false">BO15/(SUP_OPEX!$C$43*12)</f>
        <v>1882.0802</v>
      </c>
      <c r="BP16" s="273" t="n">
        <f aca="false">BP15/(SUP_OPEX!$C$43*12)</f>
        <v>1882.0802</v>
      </c>
      <c r="BQ16" s="273" t="n">
        <f aca="false">BQ15/(SUP_OPEX!$C$43*12)</f>
        <v>1882.0802</v>
      </c>
      <c r="BR16" s="273" t="n">
        <f aca="false">BR15/(SUP_OPEX!$C$43*12)</f>
        <v>1882.0802</v>
      </c>
      <c r="BS16" s="273" t="n">
        <f aca="false">BS15/(SUP_OPEX!$C$43*12)</f>
        <v>1882.0802</v>
      </c>
      <c r="BT16" s="273" t="n">
        <f aca="false">BT15/(SUP_OPEX!$C$43*12)</f>
        <v>1882.0802</v>
      </c>
      <c r="BU16" s="273" t="n">
        <f aca="false">BU15/(SUP_OPEX!$C$43*12)</f>
        <v>1882.0802</v>
      </c>
      <c r="BV16" s="273" t="n">
        <f aca="false">BV15/(SUP_OPEX!$C$43*12)</f>
        <v>1882.0802</v>
      </c>
      <c r="BW16" s="273" t="n">
        <f aca="false">BW15/(SUP_OPEX!$C$43*12)</f>
        <v>1882.0802</v>
      </c>
      <c r="BX16" s="273" t="n">
        <f aca="false">BX15/(SUP_OPEX!$C$43*12)</f>
        <v>1882.0802</v>
      </c>
      <c r="BY16" s="273" t="n">
        <f aca="false">BY15/(SUP_OPEX!$C$43*12)</f>
        <v>1882.0802</v>
      </c>
      <c r="BZ16" s="273" t="n">
        <f aca="false">BZ15/(SUP_OPEX!$C$43*12)</f>
        <v>1882.0802</v>
      </c>
      <c r="CA16" s="273" t="n">
        <f aca="false">CA15/(SUP_OPEX!$C$43*12)</f>
        <v>1882.0802</v>
      </c>
      <c r="CB16" s="273" t="n">
        <f aca="false">CB15/(SUP_OPEX!$C$43*12)</f>
        <v>1882.0802</v>
      </c>
      <c r="CC16" s="273" t="n">
        <f aca="false">CC15/(SUP_OPEX!$C$43*12)</f>
        <v>1882.0802</v>
      </c>
      <c r="CD16" s="273" t="n">
        <f aca="false">CD15/(SUP_OPEX!$C$43*12)</f>
        <v>1882.0802</v>
      </c>
      <c r="CE16" s="273" t="n">
        <f aca="false">CE15/(SUP_OPEX!$C$43*12)</f>
        <v>1882.0802</v>
      </c>
      <c r="CF16" s="273" t="n">
        <f aca="false">CF15/(SUP_OPEX!$C$43*12)</f>
        <v>1882.0802</v>
      </c>
      <c r="CG16" s="273" t="n">
        <f aca="false">CG15/(SUP_OPEX!$C$43*12)</f>
        <v>1882.0802</v>
      </c>
      <c r="CH16" s="273" t="n">
        <f aca="false">CH15/(SUP_OPEX!$C$43*12)</f>
        <v>1882.0802</v>
      </c>
      <c r="CI16" s="273" t="n">
        <f aca="false">CI15/(SUP_OPEX!$C$43*12)</f>
        <v>1882.0802</v>
      </c>
      <c r="CJ16" s="273" t="n">
        <f aca="false">CJ15/(SUP_OPEX!$C$43*12)</f>
        <v>1882.0802</v>
      </c>
      <c r="CK16" s="273" t="n">
        <f aca="false">CK15/(SUP_OPEX!$C$43*12)</f>
        <v>1882.0802</v>
      </c>
      <c r="CL16" s="273" t="n">
        <f aca="false">CL15/(SUP_OPEX!$C$43*12)</f>
        <v>1882.0802</v>
      </c>
      <c r="CM16" s="273" t="n">
        <f aca="false">CM15/(SUP_OPEX!$C$43*12)</f>
        <v>1882.0802</v>
      </c>
      <c r="CN16" s="273" t="n">
        <f aca="false">CN15/(SUP_OPEX!$C$43*12)</f>
        <v>1882.0802</v>
      </c>
      <c r="CO16" s="273" t="n">
        <f aca="false">CO15/(SUP_OPEX!$C$43*12)</f>
        <v>1882.0802</v>
      </c>
      <c r="CP16" s="273" t="n">
        <f aca="false">CP15/(SUP_OPEX!$C$43*12)</f>
        <v>1882.0802</v>
      </c>
      <c r="CQ16" s="273" t="n">
        <f aca="false">CQ15/(SUP_OPEX!$C$43*12)</f>
        <v>1882.0802</v>
      </c>
      <c r="CR16" s="273" t="n">
        <f aca="false">CR15/(SUP_OPEX!$C$43*12)</f>
        <v>1882.0802</v>
      </c>
      <c r="CS16" s="273" t="n">
        <f aca="false">CS15/(SUP_OPEX!$C$43*12)</f>
        <v>1882.0802</v>
      </c>
      <c r="CT16" s="273" t="n">
        <f aca="false">CT15/(SUP_OPEX!$C$43*12)</f>
        <v>1882.0802</v>
      </c>
      <c r="CU16" s="273" t="n">
        <f aca="false">CU15/(SUP_OPEX!$C$43*12)</f>
        <v>1882.0802</v>
      </c>
      <c r="CV16" s="273" t="n">
        <f aca="false">CV15/(SUP_OPEX!$C$43*12)</f>
        <v>1882.0802</v>
      </c>
      <c r="CW16" s="273" t="n">
        <f aca="false">CW15/(SUP_OPEX!$C$43*12)</f>
        <v>1882.0802</v>
      </c>
      <c r="CX16" s="273" t="n">
        <f aca="false">CX15/(SUP_OPEX!$C$43*12)</f>
        <v>1882.0802</v>
      </c>
      <c r="CY16" s="273" t="n">
        <f aca="false">CY15/(SUP_OPEX!$C$43*12)</f>
        <v>1882.0802</v>
      </c>
      <c r="CZ16" s="273" t="n">
        <f aca="false">CZ15/(SUP_OPEX!$C$43*12)</f>
        <v>1882.0802</v>
      </c>
      <c r="DA16" s="273" t="n">
        <f aca="false">DA15/(SUP_OPEX!$C$43*12)</f>
        <v>1882.0802</v>
      </c>
      <c r="DB16" s="273" t="n">
        <f aca="false">DB15/(SUP_OPEX!$C$43*12)</f>
        <v>1882.0802</v>
      </c>
      <c r="DC16" s="273" t="n">
        <f aca="false">DC15/(SUP_OPEX!$C$43*12)</f>
        <v>1882.0802</v>
      </c>
      <c r="DD16" s="273" t="n">
        <f aca="false">DD15/(SUP_OPEX!$C$43*12)</f>
        <v>1882.0802</v>
      </c>
      <c r="DE16" s="273" t="n">
        <f aca="false">DE15/(SUP_OPEX!$C$43*12)</f>
        <v>1882.0802</v>
      </c>
      <c r="DF16" s="273" t="n">
        <f aca="false">DF15/(SUP_OPEX!$C$43*12)</f>
        <v>1882.0802</v>
      </c>
      <c r="DG16" s="273" t="n">
        <f aca="false">DG15/(SUP_OPEX!$C$43*12)</f>
        <v>1882.0802</v>
      </c>
      <c r="DH16" s="273" t="n">
        <f aca="false">DH15/(SUP_OPEX!$C$43*12)</f>
        <v>1882.0802</v>
      </c>
      <c r="DI16" s="273" t="n">
        <f aca="false">DI15/(SUP_OPEX!$C$43*12)</f>
        <v>1882.0802</v>
      </c>
      <c r="DJ16" s="273" t="n">
        <f aca="false">DJ15/(SUP_OPEX!$C$43*12)</f>
        <v>1882.0802</v>
      </c>
      <c r="DK16" s="273" t="n">
        <f aca="false">DK15/(SUP_OPEX!$C$43*12)</f>
        <v>1882.0802</v>
      </c>
      <c r="DL16" s="273" t="n">
        <f aca="false">DL15/(SUP_OPEX!$C$43*12)</f>
        <v>1882.0802</v>
      </c>
      <c r="DM16" s="273" t="n">
        <f aca="false">DM15/(SUP_OPEX!$C$43*12)</f>
        <v>1882.0802</v>
      </c>
      <c r="DN16" s="273" t="n">
        <f aca="false">DN15/(SUP_OPEX!$C$43*12)</f>
        <v>1882.0802</v>
      </c>
      <c r="DO16" s="273" t="n">
        <f aca="false">DO15/(SUP_OPEX!$C$43*12)</f>
        <v>1882.0802</v>
      </c>
      <c r="DP16" s="273" t="n">
        <f aca="false">DP15/(SUP_OPEX!$C$43*12)</f>
        <v>1882.0802</v>
      </c>
      <c r="DQ16" s="273" t="n">
        <f aca="false">DQ15/(SUP_OPEX!$C$43*12)</f>
        <v>1882.0802</v>
      </c>
      <c r="DR16" s="273" t="n">
        <f aca="false">DR15/(SUP_OPEX!$C$43*12)</f>
        <v>1882.0802</v>
      </c>
      <c r="DS16" s="273" t="n">
        <f aca="false">DS15/(SUP_OPEX!$C$43*12)</f>
        <v>1882.0802</v>
      </c>
    </row>
    <row r="17" customFormat="false" ht="15" hidden="false" customHeight="true" outlineLevel="0" collapsed="false">
      <c r="B17" s="297" t="s">
        <v>3428</v>
      </c>
      <c r="D17" s="273" t="n">
        <f aca="false">D12-D16</f>
        <v>0</v>
      </c>
      <c r="E17" s="273" t="n">
        <f aca="false">E12-E16</f>
        <v>0</v>
      </c>
      <c r="F17" s="273" t="n">
        <f aca="false">F12-F16</f>
        <v>0</v>
      </c>
      <c r="G17" s="273" t="n">
        <f aca="false">G12-G16</f>
        <v>0</v>
      </c>
      <c r="H17" s="273" t="n">
        <f aca="false">H12-H16</f>
        <v>0</v>
      </c>
      <c r="I17" s="273" t="n">
        <f aca="false">I12-I16</f>
        <v>0</v>
      </c>
      <c r="J17" s="273" t="n">
        <f aca="false">J12-J16</f>
        <v>0</v>
      </c>
      <c r="K17" s="273" t="n">
        <f aca="false">K12-K16</f>
        <v>0</v>
      </c>
      <c r="L17" s="273" t="n">
        <f aca="false">L12-L16</f>
        <v>0</v>
      </c>
      <c r="M17" s="273" t="n">
        <f aca="false">M12-M16</f>
        <v>0</v>
      </c>
      <c r="N17" s="273" t="n">
        <f aca="false">N12-N16</f>
        <v>0</v>
      </c>
      <c r="O17" s="273" t="n">
        <f aca="false">O12-O16</f>
        <v>0</v>
      </c>
      <c r="P17" s="273" t="n">
        <f aca="false">P12-P16</f>
        <v>0</v>
      </c>
      <c r="Q17" s="273" t="n">
        <f aca="false">Q12-Q16</f>
        <v>0</v>
      </c>
      <c r="R17" s="273" t="n">
        <f aca="false">R12-R16</f>
        <v>0</v>
      </c>
      <c r="S17" s="273" t="n">
        <f aca="false">S12-S16</f>
        <v>0</v>
      </c>
      <c r="T17" s="273" t="n">
        <f aca="false">T12-T16</f>
        <v>0</v>
      </c>
      <c r="U17" s="273" t="n">
        <f aca="false">U12-U16</f>
        <v>0</v>
      </c>
      <c r="V17" s="273" t="n">
        <f aca="false">V12-V16</f>
        <v>0</v>
      </c>
      <c r="W17" s="273" t="n">
        <f aca="false">W12-W16</f>
        <v>0</v>
      </c>
      <c r="X17" s="273" t="n">
        <f aca="false">X12-X16</f>
        <v>0</v>
      </c>
      <c r="Y17" s="273" t="n">
        <f aca="false">Y12-Y16</f>
        <v>-1882.0802</v>
      </c>
      <c r="Z17" s="273" t="n">
        <f aca="false">Z12-Z16</f>
        <v>-1882.0802</v>
      </c>
      <c r="AA17" s="273" t="n">
        <f aca="false">AA12-AA16</f>
        <v>-1882.0802</v>
      </c>
      <c r="AB17" s="273" t="n">
        <f aca="false">AB12-AB16</f>
        <v>-52.0802000000003</v>
      </c>
      <c r="AC17" s="273" t="n">
        <f aca="false">AC12-AC16</f>
        <v>430.9198</v>
      </c>
      <c r="AD17" s="273" t="n">
        <f aca="false">AD12-AD16</f>
        <v>913.9198</v>
      </c>
      <c r="AE17" s="273" t="n">
        <f aca="false">AE12-AE16</f>
        <v>1396.9198</v>
      </c>
      <c r="AF17" s="273" t="n">
        <f aca="false">AF12-AF16</f>
        <v>1879.9198</v>
      </c>
      <c r="AG17" s="273" t="n">
        <f aca="false">AG12-AG16</f>
        <v>2362.9198</v>
      </c>
      <c r="AH17" s="273" t="n">
        <f aca="false">AH12-AH16</f>
        <v>2845.9198</v>
      </c>
      <c r="AI17" s="273" t="n">
        <f aca="false">AI12-AI16</f>
        <v>3328.9198</v>
      </c>
      <c r="AJ17" s="273" t="n">
        <f aca="false">AJ12-AJ16</f>
        <v>3811.9198</v>
      </c>
      <c r="AK17" s="273" t="n">
        <f aca="false">AK12-AK16</f>
        <v>4294.9198</v>
      </c>
      <c r="AL17" s="273" t="n">
        <f aca="false">AL12-AL16</f>
        <v>4777.9198</v>
      </c>
      <c r="AM17" s="273" t="n">
        <f aca="false">AM12-AM16</f>
        <v>5260.9198</v>
      </c>
      <c r="AN17" s="273" t="n">
        <f aca="false">AN12-AN16</f>
        <v>5743.9198</v>
      </c>
      <c r="AO17" s="273" t="n">
        <f aca="false">AO12-AO16</f>
        <v>6226.9198</v>
      </c>
      <c r="AP17" s="273" t="n">
        <f aca="false">AP12-AP16</f>
        <v>6709.9198</v>
      </c>
      <c r="AQ17" s="273" t="n">
        <f aca="false">AQ12-AQ16</f>
        <v>7192.9198</v>
      </c>
      <c r="AR17" s="273" t="n">
        <f aca="false">AR12-AR16</f>
        <v>7675.9198</v>
      </c>
      <c r="AS17" s="273" t="n">
        <f aca="false">AS12-AS16</f>
        <v>8158.9198</v>
      </c>
      <c r="AT17" s="273" t="n">
        <f aca="false">AT12-AT16</f>
        <v>8641.9198</v>
      </c>
      <c r="AU17" s="273" t="n">
        <f aca="false">AU12-AU16</f>
        <v>9124.9198</v>
      </c>
      <c r="AV17" s="273" t="n">
        <f aca="false">AV12-AV16</f>
        <v>9607.9198</v>
      </c>
      <c r="AW17" s="273" t="n">
        <f aca="false">AW12-AW16</f>
        <v>10090.9198</v>
      </c>
      <c r="AX17" s="273" t="n">
        <f aca="false">AX12-AX16</f>
        <v>10573.9198</v>
      </c>
      <c r="AY17" s="273" t="n">
        <f aca="false">AY12-AY16</f>
        <v>11056.9198</v>
      </c>
      <c r="AZ17" s="273" t="n">
        <f aca="false">AZ12-AZ16</f>
        <v>11539.9198</v>
      </c>
      <c r="BA17" s="273" t="n">
        <f aca="false">BA12-BA16</f>
        <v>12022.9198</v>
      </c>
      <c r="BB17" s="273" t="n">
        <f aca="false">BB12-BB16</f>
        <v>12505.9198</v>
      </c>
      <c r="BC17" s="273" t="n">
        <f aca="false">BC12-BC16</f>
        <v>12988.9198</v>
      </c>
      <c r="BD17" s="273" t="n">
        <f aca="false">BD12-BD16</f>
        <v>13471.9198</v>
      </c>
      <c r="BE17" s="273" t="n">
        <f aca="false">BE12-BE16</f>
        <v>13954.9198</v>
      </c>
      <c r="BF17" s="273" t="n">
        <f aca="false">BF12-BF16</f>
        <v>14437.9198</v>
      </c>
      <c r="BG17" s="273" t="n">
        <f aca="false">BG12-BG16</f>
        <v>14920.9198</v>
      </c>
      <c r="BH17" s="273" t="n">
        <f aca="false">BH12-BH16</f>
        <v>15403.9198</v>
      </c>
      <c r="BI17" s="273" t="n">
        <f aca="false">BI12-BI16</f>
        <v>15886.9198</v>
      </c>
      <c r="BJ17" s="273" t="n">
        <f aca="false">BJ12-BJ16</f>
        <v>16369.9198</v>
      </c>
      <c r="BK17" s="273" t="n">
        <f aca="false">BK12-BK16</f>
        <v>16852.9198</v>
      </c>
      <c r="BL17" s="273" t="n">
        <f aca="false">BL12-BL16</f>
        <v>17335.9198</v>
      </c>
      <c r="BM17" s="273" t="n">
        <f aca="false">BM12-BM16</f>
        <v>17818.9198</v>
      </c>
      <c r="BN17" s="273" t="n">
        <f aca="false">BN12-BN16</f>
        <v>18301.9198</v>
      </c>
      <c r="BO17" s="273" t="n">
        <f aca="false">BO12-BO16</f>
        <v>18784.9198</v>
      </c>
      <c r="BP17" s="273" t="n">
        <f aca="false">BP12-BP16</f>
        <v>19267.9198</v>
      </c>
      <c r="BQ17" s="273" t="n">
        <f aca="false">BQ12-BQ16</f>
        <v>19750.9198</v>
      </c>
      <c r="BR17" s="273" t="n">
        <f aca="false">BR12-BR16</f>
        <v>20233.9198</v>
      </c>
      <c r="BS17" s="273" t="n">
        <f aca="false">BS12-BS16</f>
        <v>20716.9198</v>
      </c>
      <c r="BT17" s="273" t="n">
        <f aca="false">BT12-BT16</f>
        <v>21199.9198</v>
      </c>
      <c r="BU17" s="273" t="n">
        <f aca="false">BU12-BU16</f>
        <v>21682.9198</v>
      </c>
      <c r="BV17" s="273" t="n">
        <f aca="false">BV12-BV16</f>
        <v>22165.9198</v>
      </c>
      <c r="BW17" s="273" t="n">
        <f aca="false">BW12-BW16</f>
        <v>22648.9198</v>
      </c>
      <c r="BX17" s="273" t="n">
        <f aca="false">BX12-BX16</f>
        <v>23131.9198</v>
      </c>
      <c r="BY17" s="273" t="n">
        <f aca="false">BY12-BY16</f>
        <v>23614.9198</v>
      </c>
      <c r="BZ17" s="273" t="n">
        <f aca="false">BZ12-BZ16</f>
        <v>24097.9198</v>
      </c>
      <c r="CA17" s="273" t="n">
        <f aca="false">CA12-CA16</f>
        <v>24097.9198</v>
      </c>
      <c r="CB17" s="273" t="n">
        <f aca="false">CB12-CB16</f>
        <v>24097.9198</v>
      </c>
      <c r="CC17" s="273" t="n">
        <f aca="false">CC12-CC16</f>
        <v>24097.9198</v>
      </c>
      <c r="CD17" s="273" t="n">
        <f aca="false">CD12-CD16</f>
        <v>24097.9198</v>
      </c>
      <c r="CE17" s="273" t="n">
        <f aca="false">CE12-CE16</f>
        <v>24097.9198</v>
      </c>
      <c r="CF17" s="273" t="n">
        <f aca="false">CF12-CF16</f>
        <v>24097.9198</v>
      </c>
      <c r="CG17" s="273" t="n">
        <f aca="false">CG12-CG16</f>
        <v>24097.9198</v>
      </c>
      <c r="CH17" s="273" t="n">
        <f aca="false">CH12-CH16</f>
        <v>24097.9198</v>
      </c>
      <c r="CI17" s="273" t="n">
        <f aca="false">CI12-CI16</f>
        <v>24097.9198</v>
      </c>
      <c r="CJ17" s="273" t="n">
        <f aca="false">CJ12-CJ16</f>
        <v>24097.9198</v>
      </c>
      <c r="CK17" s="273" t="n">
        <f aca="false">CK12-CK16</f>
        <v>24097.9198</v>
      </c>
      <c r="CL17" s="273" t="n">
        <f aca="false">CL12-CL16</f>
        <v>24097.9198</v>
      </c>
      <c r="CM17" s="273" t="n">
        <f aca="false">CM12-CM16</f>
        <v>24097.9198</v>
      </c>
      <c r="CN17" s="273" t="n">
        <f aca="false">CN12-CN16</f>
        <v>24097.9198</v>
      </c>
      <c r="CO17" s="273" t="n">
        <f aca="false">CO12-CO16</f>
        <v>24097.9198</v>
      </c>
      <c r="CP17" s="273" t="n">
        <f aca="false">CP12-CP16</f>
        <v>24097.9198</v>
      </c>
      <c r="CQ17" s="273" t="n">
        <f aca="false">CQ12-CQ16</f>
        <v>24097.9198</v>
      </c>
      <c r="CR17" s="273" t="n">
        <f aca="false">CR12-CR16</f>
        <v>24097.9198</v>
      </c>
      <c r="CS17" s="273" t="n">
        <f aca="false">CS12-CS16</f>
        <v>24097.9198</v>
      </c>
      <c r="CT17" s="273" t="n">
        <f aca="false">CT12-CT16</f>
        <v>24097.9198</v>
      </c>
      <c r="CU17" s="273" t="n">
        <f aca="false">CU12-CU16</f>
        <v>24097.9198</v>
      </c>
      <c r="CV17" s="273" t="n">
        <f aca="false">CV12-CV16</f>
        <v>24097.9198</v>
      </c>
      <c r="CW17" s="273" t="n">
        <f aca="false">CW12-CW16</f>
        <v>24097.9198</v>
      </c>
      <c r="CX17" s="273" t="n">
        <f aca="false">CX12-CX16</f>
        <v>24097.9198</v>
      </c>
      <c r="CY17" s="273" t="n">
        <f aca="false">CY12-CY16</f>
        <v>24097.9198</v>
      </c>
      <c r="CZ17" s="273" t="n">
        <f aca="false">CZ12-CZ16</f>
        <v>24097.9198</v>
      </c>
      <c r="DA17" s="273" t="n">
        <f aca="false">DA12-DA16</f>
        <v>24097.9198</v>
      </c>
      <c r="DB17" s="273" t="n">
        <f aca="false">DB12-DB16</f>
        <v>24097.9198</v>
      </c>
      <c r="DC17" s="273" t="n">
        <f aca="false">DC12-DC16</f>
        <v>24097.9198</v>
      </c>
      <c r="DD17" s="273" t="n">
        <f aca="false">DD12-DD16</f>
        <v>24097.9198</v>
      </c>
      <c r="DE17" s="273" t="n">
        <f aca="false">DE12-DE16</f>
        <v>24097.9198</v>
      </c>
      <c r="DF17" s="273" t="n">
        <f aca="false">DF12-DF16</f>
        <v>24097.9198</v>
      </c>
      <c r="DG17" s="273" t="n">
        <f aca="false">DG12-DG16</f>
        <v>24097.9198</v>
      </c>
      <c r="DH17" s="273" t="n">
        <f aca="false">DH12-DH16</f>
        <v>24097.9198</v>
      </c>
      <c r="DI17" s="273" t="n">
        <f aca="false">DI12-DI16</f>
        <v>24097.9198</v>
      </c>
      <c r="DJ17" s="273" t="n">
        <f aca="false">DJ12-DJ16</f>
        <v>24097.9198</v>
      </c>
      <c r="DK17" s="273" t="n">
        <f aca="false">DK12-DK16</f>
        <v>24097.9198</v>
      </c>
      <c r="DL17" s="273" t="n">
        <f aca="false">DL12-DL16</f>
        <v>24097.9198</v>
      </c>
      <c r="DM17" s="273" t="n">
        <f aca="false">DM12-DM16</f>
        <v>24097.9198</v>
      </c>
      <c r="DN17" s="273" t="n">
        <f aca="false">DN12-DN16</f>
        <v>24097.9198</v>
      </c>
      <c r="DO17" s="273" t="n">
        <f aca="false">DO12-DO16</f>
        <v>24097.9198</v>
      </c>
      <c r="DP17" s="273" t="n">
        <f aca="false">DP12-DP16</f>
        <v>24097.9198</v>
      </c>
      <c r="DQ17" s="273" t="n">
        <f aca="false">DQ12-DQ16</f>
        <v>24097.9198</v>
      </c>
      <c r="DR17" s="273" t="n">
        <f aca="false">DR12-DR16</f>
        <v>24097.9198</v>
      </c>
      <c r="DS17" s="273" t="n">
        <f aca="false">DS12-DS16</f>
        <v>24097.9198</v>
      </c>
    </row>
    <row r="18" customFormat="false" ht="15" hidden="false" customHeight="true" outlineLevel="0" collapsed="false">
      <c r="B18" s="297" t="s">
        <v>3464</v>
      </c>
      <c r="D18" s="273" t="n">
        <f aca="false">MAX(0,D17)*SUP_CONTROL!$C$33</f>
        <v>0</v>
      </c>
      <c r="E18" s="273" t="n">
        <f aca="false">MAX(0,E17)*SUP_CONTROL!$C$33</f>
        <v>0</v>
      </c>
      <c r="F18" s="273" t="n">
        <f aca="false">MAX(0,F17)*SUP_CONTROL!$C$33</f>
        <v>0</v>
      </c>
      <c r="G18" s="273" t="n">
        <f aca="false">MAX(0,G17)*SUP_CONTROL!$C$33</f>
        <v>0</v>
      </c>
      <c r="H18" s="273" t="n">
        <f aca="false">MAX(0,H17)*SUP_CONTROL!$C$33</f>
        <v>0</v>
      </c>
      <c r="I18" s="273" t="n">
        <f aca="false">MAX(0,I17)*SUP_CONTROL!$C$33</f>
        <v>0</v>
      </c>
      <c r="J18" s="273" t="n">
        <f aca="false">MAX(0,J17)*SUP_CONTROL!$C$33</f>
        <v>0</v>
      </c>
      <c r="K18" s="273" t="n">
        <f aca="false">MAX(0,K17)*SUP_CONTROL!$C$33</f>
        <v>0</v>
      </c>
      <c r="L18" s="273" t="n">
        <f aca="false">MAX(0,L17)*SUP_CONTROL!$C$33</f>
        <v>0</v>
      </c>
      <c r="M18" s="273" t="n">
        <f aca="false">MAX(0,M17)*SUP_CONTROL!$C$33</f>
        <v>0</v>
      </c>
      <c r="N18" s="273" t="n">
        <f aca="false">MAX(0,N17)*SUP_CONTROL!$C$33</f>
        <v>0</v>
      </c>
      <c r="O18" s="273" t="n">
        <f aca="false">MAX(0,O17)*SUP_CONTROL!$C$33</f>
        <v>0</v>
      </c>
      <c r="P18" s="273" t="n">
        <f aca="false">MAX(0,P17)*SUP_CONTROL!$C$33</f>
        <v>0</v>
      </c>
      <c r="Q18" s="273" t="n">
        <f aca="false">MAX(0,Q17)*SUP_CONTROL!$C$33</f>
        <v>0</v>
      </c>
      <c r="R18" s="273" t="n">
        <f aca="false">MAX(0,R17)*SUP_CONTROL!$C$33</f>
        <v>0</v>
      </c>
      <c r="S18" s="273" t="n">
        <f aca="false">MAX(0,S17)*SUP_CONTROL!$C$33</f>
        <v>0</v>
      </c>
      <c r="T18" s="273" t="n">
        <f aca="false">MAX(0,T17)*SUP_CONTROL!$C$33</f>
        <v>0</v>
      </c>
      <c r="U18" s="273" t="n">
        <f aca="false">MAX(0,U17)*SUP_CONTROL!$C$33</f>
        <v>0</v>
      </c>
      <c r="V18" s="273" t="n">
        <f aca="false">MAX(0,V17)*SUP_CONTROL!$C$33</f>
        <v>0</v>
      </c>
      <c r="W18" s="273" t="n">
        <f aca="false">MAX(0,W17)*SUP_CONTROL!$C$33</f>
        <v>0</v>
      </c>
      <c r="X18" s="273" t="n">
        <f aca="false">MAX(0,X17)*SUP_CONTROL!$C$33</f>
        <v>0</v>
      </c>
      <c r="Y18" s="273" t="n">
        <f aca="false">MAX(0,Y17)*SUP_CONTROL!$C$33</f>
        <v>0</v>
      </c>
      <c r="Z18" s="273" t="n">
        <f aca="false">MAX(0,Z17)*SUP_CONTROL!$C$33</f>
        <v>0</v>
      </c>
      <c r="AA18" s="273" t="n">
        <f aca="false">MAX(0,AA17)*SUP_CONTROL!$C$33</f>
        <v>0</v>
      </c>
      <c r="AB18" s="273" t="n">
        <f aca="false">MAX(0,AB17)*SUP_CONTROL!$C$33</f>
        <v>0</v>
      </c>
      <c r="AC18" s="273" t="n">
        <f aca="false">MAX(0,AC17)*SUP_CONTROL!$C$33</f>
        <v>146.512732</v>
      </c>
      <c r="AD18" s="273" t="n">
        <f aca="false">MAX(0,AD17)*SUP_CONTROL!$C$33</f>
        <v>310.732732</v>
      </c>
      <c r="AE18" s="273" t="n">
        <f aca="false">MAX(0,AE17)*SUP_CONTROL!$C$33</f>
        <v>474.952732</v>
      </c>
      <c r="AF18" s="273" t="n">
        <f aca="false">MAX(0,AF17)*SUP_CONTROL!$C$33</f>
        <v>639.172732</v>
      </c>
      <c r="AG18" s="273" t="n">
        <f aca="false">MAX(0,AG17)*SUP_CONTROL!$C$33</f>
        <v>803.392732</v>
      </c>
      <c r="AH18" s="273" t="n">
        <f aca="false">MAX(0,AH17)*SUP_CONTROL!$C$33</f>
        <v>967.612732</v>
      </c>
      <c r="AI18" s="273" t="n">
        <f aca="false">MAX(0,AI17)*SUP_CONTROL!$C$33</f>
        <v>1131.832732</v>
      </c>
      <c r="AJ18" s="273" t="n">
        <f aca="false">MAX(0,AJ17)*SUP_CONTROL!$C$33</f>
        <v>1296.052732</v>
      </c>
      <c r="AK18" s="273" t="n">
        <f aca="false">MAX(0,AK17)*SUP_CONTROL!$C$33</f>
        <v>1460.272732</v>
      </c>
      <c r="AL18" s="273" t="n">
        <f aca="false">MAX(0,AL17)*SUP_CONTROL!$C$33</f>
        <v>1624.492732</v>
      </c>
      <c r="AM18" s="273" t="n">
        <f aca="false">MAX(0,AM17)*SUP_CONTROL!$C$33</f>
        <v>1788.712732</v>
      </c>
      <c r="AN18" s="273" t="n">
        <f aca="false">MAX(0,AN17)*SUP_CONTROL!$C$33</f>
        <v>1952.932732</v>
      </c>
      <c r="AO18" s="273" t="n">
        <f aca="false">MAX(0,AO17)*SUP_CONTROL!$C$33</f>
        <v>2117.152732</v>
      </c>
      <c r="AP18" s="273" t="n">
        <f aca="false">MAX(0,AP17)*SUP_CONTROL!$C$33</f>
        <v>2281.372732</v>
      </c>
      <c r="AQ18" s="273" t="n">
        <f aca="false">MAX(0,AQ17)*SUP_CONTROL!$C$33</f>
        <v>2445.592732</v>
      </c>
      <c r="AR18" s="273" t="n">
        <f aca="false">MAX(0,AR17)*SUP_CONTROL!$C$33</f>
        <v>2609.812732</v>
      </c>
      <c r="AS18" s="273" t="n">
        <f aca="false">MAX(0,AS17)*SUP_CONTROL!$C$33</f>
        <v>2774.032732</v>
      </c>
      <c r="AT18" s="273" t="n">
        <f aca="false">MAX(0,AT17)*SUP_CONTROL!$C$33</f>
        <v>2938.252732</v>
      </c>
      <c r="AU18" s="273" t="n">
        <f aca="false">MAX(0,AU17)*SUP_CONTROL!$C$33</f>
        <v>3102.472732</v>
      </c>
      <c r="AV18" s="273" t="n">
        <f aca="false">MAX(0,AV17)*SUP_CONTROL!$C$33</f>
        <v>3266.692732</v>
      </c>
      <c r="AW18" s="273" t="n">
        <f aca="false">MAX(0,AW17)*SUP_CONTROL!$C$33</f>
        <v>3430.912732</v>
      </c>
      <c r="AX18" s="273" t="n">
        <f aca="false">MAX(0,AX17)*SUP_CONTROL!$C$33</f>
        <v>3595.132732</v>
      </c>
      <c r="AY18" s="273" t="n">
        <f aca="false">MAX(0,AY17)*SUP_CONTROL!$C$33</f>
        <v>3759.352732</v>
      </c>
      <c r="AZ18" s="273" t="n">
        <f aca="false">MAX(0,AZ17)*SUP_CONTROL!$C$33</f>
        <v>3923.572732</v>
      </c>
      <c r="BA18" s="273" t="n">
        <f aca="false">MAX(0,BA17)*SUP_CONTROL!$C$33</f>
        <v>4087.792732</v>
      </c>
      <c r="BB18" s="273" t="n">
        <f aca="false">MAX(0,BB17)*SUP_CONTROL!$C$33</f>
        <v>4252.012732</v>
      </c>
      <c r="BC18" s="273" t="n">
        <f aca="false">MAX(0,BC17)*SUP_CONTROL!$C$33</f>
        <v>4416.232732</v>
      </c>
      <c r="BD18" s="273" t="n">
        <f aca="false">MAX(0,BD17)*SUP_CONTROL!$C$33</f>
        <v>4580.452732</v>
      </c>
      <c r="BE18" s="273" t="n">
        <f aca="false">MAX(0,BE17)*SUP_CONTROL!$C$33</f>
        <v>4744.672732</v>
      </c>
      <c r="BF18" s="273" t="n">
        <f aca="false">MAX(0,BF17)*SUP_CONTROL!$C$33</f>
        <v>4908.892732</v>
      </c>
      <c r="BG18" s="273" t="n">
        <f aca="false">MAX(0,BG17)*SUP_CONTROL!$C$33</f>
        <v>5073.112732</v>
      </c>
      <c r="BH18" s="273" t="n">
        <f aca="false">MAX(0,BH17)*SUP_CONTROL!$C$33</f>
        <v>5237.332732</v>
      </c>
      <c r="BI18" s="273" t="n">
        <f aca="false">MAX(0,BI17)*SUP_CONTROL!$C$33</f>
        <v>5401.552732</v>
      </c>
      <c r="BJ18" s="273" t="n">
        <f aca="false">MAX(0,BJ17)*SUP_CONTROL!$C$33</f>
        <v>5565.772732</v>
      </c>
      <c r="BK18" s="273" t="n">
        <f aca="false">MAX(0,BK17)*SUP_CONTROL!$C$33</f>
        <v>5729.992732</v>
      </c>
      <c r="BL18" s="273" t="n">
        <f aca="false">MAX(0,BL17)*SUP_CONTROL!$C$33</f>
        <v>5894.212732</v>
      </c>
      <c r="BM18" s="273" t="n">
        <f aca="false">MAX(0,BM17)*SUP_CONTROL!$C$33</f>
        <v>6058.432732</v>
      </c>
      <c r="BN18" s="273" t="n">
        <f aca="false">MAX(0,BN17)*SUP_CONTROL!$C$33</f>
        <v>6222.652732</v>
      </c>
      <c r="BO18" s="273" t="n">
        <f aca="false">MAX(0,BO17)*SUP_CONTROL!$C$33</f>
        <v>6386.872732</v>
      </c>
      <c r="BP18" s="273" t="n">
        <f aca="false">MAX(0,BP17)*SUP_CONTROL!$C$33</f>
        <v>6551.092732</v>
      </c>
      <c r="BQ18" s="273" t="n">
        <f aca="false">MAX(0,BQ17)*SUP_CONTROL!$C$33</f>
        <v>6715.312732</v>
      </c>
      <c r="BR18" s="273" t="n">
        <f aca="false">MAX(0,BR17)*SUP_CONTROL!$C$33</f>
        <v>6879.532732</v>
      </c>
      <c r="BS18" s="273" t="n">
        <f aca="false">MAX(0,BS17)*SUP_CONTROL!$C$33</f>
        <v>7043.752732</v>
      </c>
      <c r="BT18" s="273" t="n">
        <f aca="false">MAX(0,BT17)*SUP_CONTROL!$C$33</f>
        <v>7207.972732</v>
      </c>
      <c r="BU18" s="273" t="n">
        <f aca="false">MAX(0,BU17)*SUP_CONTROL!$C$33</f>
        <v>7372.192732</v>
      </c>
      <c r="BV18" s="273" t="n">
        <f aca="false">MAX(0,BV17)*SUP_CONTROL!$C$33</f>
        <v>7536.412732</v>
      </c>
      <c r="BW18" s="273" t="n">
        <f aca="false">MAX(0,BW17)*SUP_CONTROL!$C$33</f>
        <v>7700.632732</v>
      </c>
      <c r="BX18" s="273" t="n">
        <f aca="false">MAX(0,BX17)*SUP_CONTROL!$C$33</f>
        <v>7864.852732</v>
      </c>
      <c r="BY18" s="273" t="n">
        <f aca="false">MAX(0,BY17)*SUP_CONTROL!$C$33</f>
        <v>8029.072732</v>
      </c>
      <c r="BZ18" s="273" t="n">
        <f aca="false">MAX(0,BZ17)*SUP_CONTROL!$C$33</f>
        <v>8193.292732</v>
      </c>
      <c r="CA18" s="273" t="n">
        <f aca="false">MAX(0,CA17)*SUP_CONTROL!$C$33</f>
        <v>8193.292732</v>
      </c>
      <c r="CB18" s="273" t="n">
        <f aca="false">MAX(0,CB17)*SUP_CONTROL!$C$33</f>
        <v>8193.292732</v>
      </c>
      <c r="CC18" s="273" t="n">
        <f aca="false">MAX(0,CC17)*SUP_CONTROL!$C$33</f>
        <v>8193.292732</v>
      </c>
      <c r="CD18" s="273" t="n">
        <f aca="false">MAX(0,CD17)*SUP_CONTROL!$C$33</f>
        <v>8193.292732</v>
      </c>
      <c r="CE18" s="273" t="n">
        <f aca="false">MAX(0,CE17)*SUP_CONTROL!$C$33</f>
        <v>8193.292732</v>
      </c>
      <c r="CF18" s="273" t="n">
        <f aca="false">MAX(0,CF17)*SUP_CONTROL!$C$33</f>
        <v>8193.292732</v>
      </c>
      <c r="CG18" s="273" t="n">
        <f aca="false">MAX(0,CG17)*SUP_CONTROL!$C$33</f>
        <v>8193.292732</v>
      </c>
      <c r="CH18" s="273" t="n">
        <f aca="false">MAX(0,CH17)*SUP_CONTROL!$C$33</f>
        <v>8193.292732</v>
      </c>
      <c r="CI18" s="273" t="n">
        <f aca="false">MAX(0,CI17)*SUP_CONTROL!$C$33</f>
        <v>8193.292732</v>
      </c>
      <c r="CJ18" s="273" t="n">
        <f aca="false">MAX(0,CJ17)*SUP_CONTROL!$C$33</f>
        <v>8193.292732</v>
      </c>
      <c r="CK18" s="273" t="n">
        <f aca="false">MAX(0,CK17)*SUP_CONTROL!$C$33</f>
        <v>8193.292732</v>
      </c>
      <c r="CL18" s="273" t="n">
        <f aca="false">MAX(0,CL17)*SUP_CONTROL!$C$33</f>
        <v>8193.292732</v>
      </c>
      <c r="CM18" s="273" t="n">
        <f aca="false">MAX(0,CM17)*SUP_CONTROL!$C$33</f>
        <v>8193.292732</v>
      </c>
      <c r="CN18" s="273" t="n">
        <f aca="false">MAX(0,CN17)*SUP_CONTROL!$C$33</f>
        <v>8193.292732</v>
      </c>
      <c r="CO18" s="273" t="n">
        <f aca="false">MAX(0,CO17)*SUP_CONTROL!$C$33</f>
        <v>8193.292732</v>
      </c>
      <c r="CP18" s="273" t="n">
        <f aca="false">MAX(0,CP17)*SUP_CONTROL!$C$33</f>
        <v>8193.292732</v>
      </c>
      <c r="CQ18" s="273" t="n">
        <f aca="false">MAX(0,CQ17)*SUP_CONTROL!$C$33</f>
        <v>8193.292732</v>
      </c>
      <c r="CR18" s="273" t="n">
        <f aca="false">MAX(0,CR17)*SUP_CONTROL!$C$33</f>
        <v>8193.292732</v>
      </c>
      <c r="CS18" s="273" t="n">
        <f aca="false">MAX(0,CS17)*SUP_CONTROL!$C$33</f>
        <v>8193.292732</v>
      </c>
      <c r="CT18" s="273" t="n">
        <f aca="false">MAX(0,CT17)*SUP_CONTROL!$C$33</f>
        <v>8193.292732</v>
      </c>
      <c r="CU18" s="273" t="n">
        <f aca="false">MAX(0,CU17)*SUP_CONTROL!$C$33</f>
        <v>8193.292732</v>
      </c>
      <c r="CV18" s="273" t="n">
        <f aca="false">MAX(0,CV17)*SUP_CONTROL!$C$33</f>
        <v>8193.292732</v>
      </c>
      <c r="CW18" s="273" t="n">
        <f aca="false">MAX(0,CW17)*SUP_CONTROL!$C$33</f>
        <v>8193.292732</v>
      </c>
      <c r="CX18" s="273" t="n">
        <f aca="false">MAX(0,CX17)*SUP_CONTROL!$C$33</f>
        <v>8193.292732</v>
      </c>
      <c r="CY18" s="273" t="n">
        <f aca="false">MAX(0,CY17)*SUP_CONTROL!$C$33</f>
        <v>8193.292732</v>
      </c>
      <c r="CZ18" s="273" t="n">
        <f aca="false">MAX(0,CZ17)*SUP_CONTROL!$C$33</f>
        <v>8193.292732</v>
      </c>
      <c r="DA18" s="273" t="n">
        <f aca="false">MAX(0,DA17)*SUP_CONTROL!$C$33</f>
        <v>8193.292732</v>
      </c>
      <c r="DB18" s="273" t="n">
        <f aca="false">MAX(0,DB17)*SUP_CONTROL!$C$33</f>
        <v>8193.292732</v>
      </c>
      <c r="DC18" s="273" t="n">
        <f aca="false">MAX(0,DC17)*SUP_CONTROL!$C$33</f>
        <v>8193.292732</v>
      </c>
      <c r="DD18" s="273" t="n">
        <f aca="false">MAX(0,DD17)*SUP_CONTROL!$C$33</f>
        <v>8193.292732</v>
      </c>
      <c r="DE18" s="273" t="n">
        <f aca="false">MAX(0,DE17)*SUP_CONTROL!$C$33</f>
        <v>8193.292732</v>
      </c>
      <c r="DF18" s="273" t="n">
        <f aca="false">MAX(0,DF17)*SUP_CONTROL!$C$33</f>
        <v>8193.292732</v>
      </c>
      <c r="DG18" s="273" t="n">
        <f aca="false">MAX(0,DG17)*SUP_CONTROL!$C$33</f>
        <v>8193.292732</v>
      </c>
      <c r="DH18" s="273" t="n">
        <f aca="false">MAX(0,DH17)*SUP_CONTROL!$C$33</f>
        <v>8193.292732</v>
      </c>
      <c r="DI18" s="273" t="n">
        <f aca="false">MAX(0,DI17)*SUP_CONTROL!$C$33</f>
        <v>8193.292732</v>
      </c>
      <c r="DJ18" s="273" t="n">
        <f aca="false">MAX(0,DJ17)*SUP_CONTROL!$C$33</f>
        <v>8193.292732</v>
      </c>
      <c r="DK18" s="273" t="n">
        <f aca="false">MAX(0,DK17)*SUP_CONTROL!$C$33</f>
        <v>8193.292732</v>
      </c>
      <c r="DL18" s="273" t="n">
        <f aca="false">MAX(0,DL17)*SUP_CONTROL!$C$33</f>
        <v>8193.292732</v>
      </c>
      <c r="DM18" s="273" t="n">
        <f aca="false">MAX(0,DM17)*SUP_CONTROL!$C$33</f>
        <v>8193.292732</v>
      </c>
      <c r="DN18" s="273" t="n">
        <f aca="false">MAX(0,DN17)*SUP_CONTROL!$C$33</f>
        <v>8193.292732</v>
      </c>
      <c r="DO18" s="273" t="n">
        <f aca="false">MAX(0,DO17)*SUP_CONTROL!$C$33</f>
        <v>8193.292732</v>
      </c>
      <c r="DP18" s="273" t="n">
        <f aca="false">MAX(0,DP17)*SUP_CONTROL!$C$33</f>
        <v>8193.292732</v>
      </c>
      <c r="DQ18" s="273" t="n">
        <f aca="false">MAX(0,DQ17)*SUP_CONTROL!$C$33</f>
        <v>8193.292732</v>
      </c>
      <c r="DR18" s="273" t="n">
        <f aca="false">MAX(0,DR17)*SUP_CONTROL!$C$33</f>
        <v>8193.292732</v>
      </c>
      <c r="DS18" s="273" t="n">
        <f aca="false">MAX(0,DS17)*SUP_CONTROL!$C$33</f>
        <v>8193.292732</v>
      </c>
    </row>
    <row r="19" customFormat="false" ht="15" hidden="false" customHeight="true" outlineLevel="0" collapsed="false">
      <c r="B19" s="178" t="s">
        <v>3608</v>
      </c>
      <c r="D19" s="268" t="n">
        <f aca="false">D12-D18</f>
        <v>0</v>
      </c>
      <c r="E19" s="268" t="n">
        <f aca="false">E12-E18</f>
        <v>0</v>
      </c>
      <c r="F19" s="268" t="n">
        <f aca="false">F12-F18</f>
        <v>0</v>
      </c>
      <c r="G19" s="268" t="n">
        <f aca="false">G12-G18</f>
        <v>0</v>
      </c>
      <c r="H19" s="268" t="n">
        <f aca="false">H12-H18</f>
        <v>0</v>
      </c>
      <c r="I19" s="268" t="n">
        <f aca="false">I12-I18</f>
        <v>0</v>
      </c>
      <c r="J19" s="268" t="n">
        <f aca="false">J12-J18</f>
        <v>0</v>
      </c>
      <c r="K19" s="268" t="n">
        <f aca="false">K12-K18</f>
        <v>0</v>
      </c>
      <c r="L19" s="268" t="n">
        <f aca="false">L12-L18</f>
        <v>0</v>
      </c>
      <c r="M19" s="268" t="n">
        <f aca="false">M12-M18</f>
        <v>0</v>
      </c>
      <c r="N19" s="268" t="n">
        <f aca="false">N12-N18</f>
        <v>0</v>
      </c>
      <c r="O19" s="268" t="n">
        <f aca="false">O12-O18</f>
        <v>0</v>
      </c>
      <c r="P19" s="268" t="n">
        <f aca="false">P12-P18</f>
        <v>0</v>
      </c>
      <c r="Q19" s="268" t="n">
        <f aca="false">Q12-Q18</f>
        <v>0</v>
      </c>
      <c r="R19" s="268" t="n">
        <f aca="false">R12-R18</f>
        <v>0</v>
      </c>
      <c r="S19" s="268" t="n">
        <f aca="false">S12-S18</f>
        <v>0</v>
      </c>
      <c r="T19" s="268" t="n">
        <f aca="false">T12-T18</f>
        <v>0</v>
      </c>
      <c r="U19" s="268" t="n">
        <f aca="false">U12-U18</f>
        <v>0</v>
      </c>
      <c r="V19" s="268" t="n">
        <f aca="false">V12-V18</f>
        <v>0</v>
      </c>
      <c r="W19" s="268" t="n">
        <f aca="false">W12-W18</f>
        <v>0</v>
      </c>
      <c r="X19" s="268" t="n">
        <f aca="false">X12-X18</f>
        <v>0</v>
      </c>
      <c r="Y19" s="268" t="n">
        <f aca="false">Y12-Y18</f>
        <v>0</v>
      </c>
      <c r="Z19" s="268" t="n">
        <f aca="false">Z12-Z18</f>
        <v>0</v>
      </c>
      <c r="AA19" s="268" t="n">
        <f aca="false">AA12-AA18</f>
        <v>0</v>
      </c>
      <c r="AB19" s="268" t="n">
        <f aca="false">AB12-AB18</f>
        <v>1830</v>
      </c>
      <c r="AC19" s="268" t="n">
        <f aca="false">AC12-AC18</f>
        <v>2166.487268</v>
      </c>
      <c r="AD19" s="268" t="n">
        <f aca="false">AD12-AD18</f>
        <v>2485.267268</v>
      </c>
      <c r="AE19" s="268" t="n">
        <f aca="false">AE12-AE18</f>
        <v>2804.047268</v>
      </c>
      <c r="AF19" s="268" t="n">
        <f aca="false">AF12-AF18</f>
        <v>3122.827268</v>
      </c>
      <c r="AG19" s="268" t="n">
        <f aca="false">AG12-AG18</f>
        <v>3441.607268</v>
      </c>
      <c r="AH19" s="268" t="n">
        <f aca="false">AH12-AH18</f>
        <v>3760.387268</v>
      </c>
      <c r="AI19" s="268" t="n">
        <f aca="false">AI12-AI18</f>
        <v>4079.167268</v>
      </c>
      <c r="AJ19" s="268" t="n">
        <f aca="false">AJ12-AJ18</f>
        <v>4397.947268</v>
      </c>
      <c r="AK19" s="268" t="n">
        <f aca="false">AK12-AK18</f>
        <v>4716.727268</v>
      </c>
      <c r="AL19" s="268" t="n">
        <f aca="false">AL12-AL18</f>
        <v>5035.507268</v>
      </c>
      <c r="AM19" s="268" t="n">
        <f aca="false">AM12-AM18</f>
        <v>5354.287268</v>
      </c>
      <c r="AN19" s="268" t="n">
        <f aca="false">AN12-AN18</f>
        <v>5673.067268</v>
      </c>
      <c r="AO19" s="268" t="n">
        <f aca="false">AO12-AO18</f>
        <v>5991.847268</v>
      </c>
      <c r="AP19" s="268" t="n">
        <f aca="false">AP12-AP18</f>
        <v>6310.627268</v>
      </c>
      <c r="AQ19" s="268" t="n">
        <f aca="false">AQ12-AQ18</f>
        <v>6629.407268</v>
      </c>
      <c r="AR19" s="268" t="n">
        <f aca="false">AR12-AR18</f>
        <v>6948.187268</v>
      </c>
      <c r="AS19" s="268" t="n">
        <f aca="false">AS12-AS18</f>
        <v>7266.967268</v>
      </c>
      <c r="AT19" s="268" t="n">
        <f aca="false">AT12-AT18</f>
        <v>7585.747268</v>
      </c>
      <c r="AU19" s="268" t="n">
        <f aca="false">AU12-AU18</f>
        <v>7904.527268</v>
      </c>
      <c r="AV19" s="268" t="n">
        <f aca="false">AV12-AV18</f>
        <v>8223.307268</v>
      </c>
      <c r="AW19" s="268" t="n">
        <f aca="false">AW12-AW18</f>
        <v>8542.087268</v>
      </c>
      <c r="AX19" s="268" t="n">
        <f aca="false">AX12-AX18</f>
        <v>8860.867268</v>
      </c>
      <c r="AY19" s="268" t="n">
        <f aca="false">AY12-AY18</f>
        <v>9179.647268</v>
      </c>
      <c r="AZ19" s="268" t="n">
        <f aca="false">AZ12-AZ18</f>
        <v>9498.427268</v>
      </c>
      <c r="BA19" s="268" t="n">
        <f aca="false">BA12-BA18</f>
        <v>9817.207268</v>
      </c>
      <c r="BB19" s="268" t="n">
        <f aca="false">BB12-BB18</f>
        <v>10135.987268</v>
      </c>
      <c r="BC19" s="268" t="n">
        <f aca="false">BC12-BC18</f>
        <v>10454.767268</v>
      </c>
      <c r="BD19" s="268" t="n">
        <f aca="false">BD12-BD18</f>
        <v>10773.547268</v>
      </c>
      <c r="BE19" s="268" t="n">
        <f aca="false">BE12-BE18</f>
        <v>11092.327268</v>
      </c>
      <c r="BF19" s="268" t="n">
        <f aca="false">BF12-BF18</f>
        <v>11411.107268</v>
      </c>
      <c r="BG19" s="268" t="n">
        <f aca="false">BG12-BG18</f>
        <v>11729.887268</v>
      </c>
      <c r="BH19" s="268" t="n">
        <f aca="false">BH12-BH18</f>
        <v>12048.667268</v>
      </c>
      <c r="BI19" s="268" t="n">
        <f aca="false">BI12-BI18</f>
        <v>12367.447268</v>
      </c>
      <c r="BJ19" s="268" t="n">
        <f aca="false">BJ12-BJ18</f>
        <v>12686.227268</v>
      </c>
      <c r="BK19" s="268" t="n">
        <f aca="false">BK12-BK18</f>
        <v>13005.007268</v>
      </c>
      <c r="BL19" s="268" t="n">
        <f aca="false">BL12-BL18</f>
        <v>13323.787268</v>
      </c>
      <c r="BM19" s="268" t="n">
        <f aca="false">BM12-BM18</f>
        <v>13642.567268</v>
      </c>
      <c r="BN19" s="268" t="n">
        <f aca="false">BN12-BN18</f>
        <v>13961.347268</v>
      </c>
      <c r="BO19" s="268" t="n">
        <f aca="false">BO12-BO18</f>
        <v>14280.127268</v>
      </c>
      <c r="BP19" s="268" t="n">
        <f aca="false">BP12-BP18</f>
        <v>14598.907268</v>
      </c>
      <c r="BQ19" s="268" t="n">
        <f aca="false">BQ12-BQ18</f>
        <v>14917.687268</v>
      </c>
      <c r="BR19" s="268" t="n">
        <f aca="false">BR12-BR18</f>
        <v>15236.467268</v>
      </c>
      <c r="BS19" s="268" t="n">
        <f aca="false">BS12-BS18</f>
        <v>15555.247268</v>
      </c>
      <c r="BT19" s="268" t="n">
        <f aca="false">BT12-BT18</f>
        <v>15874.027268</v>
      </c>
      <c r="BU19" s="268" t="n">
        <f aca="false">BU12-BU18</f>
        <v>16192.807268</v>
      </c>
      <c r="BV19" s="268" t="n">
        <f aca="false">BV12-BV18</f>
        <v>16511.587268</v>
      </c>
      <c r="BW19" s="268" t="n">
        <f aca="false">BW12-BW18</f>
        <v>16830.367268</v>
      </c>
      <c r="BX19" s="268" t="n">
        <f aca="false">BX12-BX18</f>
        <v>17149.147268</v>
      </c>
      <c r="BY19" s="268" t="n">
        <f aca="false">BY12-BY18</f>
        <v>17467.927268</v>
      </c>
      <c r="BZ19" s="268" t="n">
        <f aca="false">BZ12-BZ18</f>
        <v>17786.707268</v>
      </c>
      <c r="CA19" s="268" t="n">
        <f aca="false">CA12-CA18</f>
        <v>17786.707268</v>
      </c>
      <c r="CB19" s="268" t="n">
        <f aca="false">CB12-CB18</f>
        <v>17786.707268</v>
      </c>
      <c r="CC19" s="268" t="n">
        <f aca="false">CC12-CC18</f>
        <v>17786.707268</v>
      </c>
      <c r="CD19" s="268" t="n">
        <f aca="false">CD12-CD18</f>
        <v>17786.707268</v>
      </c>
      <c r="CE19" s="268" t="n">
        <f aca="false">CE12-CE18</f>
        <v>17786.707268</v>
      </c>
      <c r="CF19" s="268" t="n">
        <f aca="false">CF12-CF18</f>
        <v>17786.707268</v>
      </c>
      <c r="CG19" s="268" t="n">
        <f aca="false">CG12-CG18</f>
        <v>17786.707268</v>
      </c>
      <c r="CH19" s="268" t="n">
        <f aca="false">CH12-CH18</f>
        <v>17786.707268</v>
      </c>
      <c r="CI19" s="268" t="n">
        <f aca="false">CI12-CI18</f>
        <v>17786.707268</v>
      </c>
      <c r="CJ19" s="268" t="n">
        <f aca="false">CJ12-CJ18</f>
        <v>17786.707268</v>
      </c>
      <c r="CK19" s="268" t="n">
        <f aca="false">CK12-CK18</f>
        <v>17786.707268</v>
      </c>
      <c r="CL19" s="268" t="n">
        <f aca="false">CL12-CL18</f>
        <v>17786.707268</v>
      </c>
      <c r="CM19" s="268" t="n">
        <f aca="false">CM12-CM18</f>
        <v>17786.707268</v>
      </c>
      <c r="CN19" s="268" t="n">
        <f aca="false">CN12-CN18</f>
        <v>17786.707268</v>
      </c>
      <c r="CO19" s="268" t="n">
        <f aca="false">CO12-CO18</f>
        <v>17786.707268</v>
      </c>
      <c r="CP19" s="268" t="n">
        <f aca="false">CP12-CP18</f>
        <v>17786.707268</v>
      </c>
      <c r="CQ19" s="268" t="n">
        <f aca="false">CQ12-CQ18</f>
        <v>17786.707268</v>
      </c>
      <c r="CR19" s="268" t="n">
        <f aca="false">CR12-CR18</f>
        <v>17786.707268</v>
      </c>
      <c r="CS19" s="268" t="n">
        <f aca="false">CS12-CS18</f>
        <v>17786.707268</v>
      </c>
      <c r="CT19" s="268" t="n">
        <f aca="false">CT12-CT18</f>
        <v>17786.707268</v>
      </c>
      <c r="CU19" s="268" t="n">
        <f aca="false">CU12-CU18</f>
        <v>17786.707268</v>
      </c>
      <c r="CV19" s="268" t="n">
        <f aca="false">CV12-CV18</f>
        <v>17786.707268</v>
      </c>
      <c r="CW19" s="268" t="n">
        <f aca="false">CW12-CW18</f>
        <v>17786.707268</v>
      </c>
      <c r="CX19" s="268" t="n">
        <f aca="false">CX12-CX18</f>
        <v>17786.707268</v>
      </c>
      <c r="CY19" s="268" t="n">
        <f aca="false">CY12-CY18</f>
        <v>17786.707268</v>
      </c>
      <c r="CZ19" s="268" t="n">
        <f aca="false">CZ12-CZ18</f>
        <v>17786.707268</v>
      </c>
      <c r="DA19" s="268" t="n">
        <f aca="false">DA12-DA18</f>
        <v>17786.707268</v>
      </c>
      <c r="DB19" s="268" t="n">
        <f aca="false">DB12-DB18</f>
        <v>17786.707268</v>
      </c>
      <c r="DC19" s="268" t="n">
        <f aca="false">DC12-DC18</f>
        <v>17786.707268</v>
      </c>
      <c r="DD19" s="268" t="n">
        <f aca="false">DD12-DD18</f>
        <v>17786.707268</v>
      </c>
      <c r="DE19" s="268" t="n">
        <f aca="false">DE12-DE18</f>
        <v>17786.707268</v>
      </c>
      <c r="DF19" s="268" t="n">
        <f aca="false">DF12-DF18</f>
        <v>17786.707268</v>
      </c>
      <c r="DG19" s="268" t="n">
        <f aca="false">DG12-DG18</f>
        <v>17786.707268</v>
      </c>
      <c r="DH19" s="268" t="n">
        <f aca="false">DH12-DH18</f>
        <v>17786.707268</v>
      </c>
      <c r="DI19" s="268" t="n">
        <f aca="false">DI12-DI18</f>
        <v>17786.707268</v>
      </c>
      <c r="DJ19" s="268" t="n">
        <f aca="false">DJ12-DJ18</f>
        <v>17786.707268</v>
      </c>
      <c r="DK19" s="268" t="n">
        <f aca="false">DK12-DK18</f>
        <v>17786.707268</v>
      </c>
      <c r="DL19" s="268" t="n">
        <f aca="false">DL12-DL18</f>
        <v>17786.707268</v>
      </c>
      <c r="DM19" s="268" t="n">
        <f aca="false">DM12-DM18</f>
        <v>17786.707268</v>
      </c>
      <c r="DN19" s="268" t="n">
        <f aca="false">DN12-DN18</f>
        <v>17786.707268</v>
      </c>
      <c r="DO19" s="268" t="n">
        <f aca="false">DO12-DO18</f>
        <v>17786.707268</v>
      </c>
      <c r="DP19" s="268" t="n">
        <f aca="false">DP12-DP18</f>
        <v>17786.707268</v>
      </c>
      <c r="DQ19" s="268" t="n">
        <f aca="false">DQ12-DQ18</f>
        <v>17786.707268</v>
      </c>
      <c r="DR19" s="268" t="n">
        <f aca="false">DR12-DR18</f>
        <v>17786.707268</v>
      </c>
      <c r="DS19" s="268" t="n">
        <f aca="false">DS12-DS18</f>
        <v>17786.707268</v>
      </c>
    </row>
    <row r="20" customFormat="false" ht="15" hidden="false" customHeight="true" outlineLevel="0" collapsed="false">
      <c r="B20" s="178" t="s">
        <v>3465</v>
      </c>
      <c r="D20" s="268" t="n">
        <f aca="false">D19-D14</f>
        <v>0</v>
      </c>
      <c r="E20" s="268" t="n">
        <f aca="false">E19-E14</f>
        <v>0</v>
      </c>
      <c r="F20" s="268" t="n">
        <f aca="false">F19-F14</f>
        <v>0</v>
      </c>
      <c r="G20" s="268" t="n">
        <f aca="false">G19-G14</f>
        <v>0</v>
      </c>
      <c r="H20" s="268" t="n">
        <f aca="false">H19-H14</f>
        <v>0</v>
      </c>
      <c r="I20" s="268" t="n">
        <f aca="false">I19-I14</f>
        <v>0</v>
      </c>
      <c r="J20" s="268" t="n">
        <f aca="false">J19-J14</f>
        <v>0</v>
      </c>
      <c r="K20" s="268" t="n">
        <f aca="false">K19-K14</f>
        <v>0</v>
      </c>
      <c r="L20" s="268" t="n">
        <f aca="false">L19-L14</f>
        <v>0</v>
      </c>
      <c r="M20" s="268" t="n">
        <f aca="false">M19-M14</f>
        <v>0</v>
      </c>
      <c r="N20" s="268" t="n">
        <f aca="false">N19-N14</f>
        <v>0</v>
      </c>
      <c r="O20" s="268" t="n">
        <f aca="false">O19-O14</f>
        <v>0</v>
      </c>
      <c r="P20" s="268" t="n">
        <f aca="false">P19-P14</f>
        <v>0</v>
      </c>
      <c r="Q20" s="268" t="n">
        <f aca="false">Q19-Q14</f>
        <v>0</v>
      </c>
      <c r="R20" s="268" t="n">
        <f aca="false">R19-R14</f>
        <v>0</v>
      </c>
      <c r="S20" s="268" t="n">
        <f aca="false">S19-S14</f>
        <v>0</v>
      </c>
      <c r="T20" s="268" t="n">
        <f aca="false">T19-T14</f>
        <v>0</v>
      </c>
      <c r="U20" s="268" t="n">
        <f aca="false">U19-U14</f>
        <v>0</v>
      </c>
      <c r="V20" s="268" t="n">
        <f aca="false">V19-V14</f>
        <v>0</v>
      </c>
      <c r="W20" s="268" t="n">
        <f aca="false">W19-W14</f>
        <v>0</v>
      </c>
      <c r="X20" s="268" t="n">
        <f aca="false">X19-X14</f>
        <v>0</v>
      </c>
      <c r="Y20" s="268" t="n">
        <f aca="false">Y19-Y14</f>
        <v>-225849.624</v>
      </c>
      <c r="Z20" s="268" t="n">
        <f aca="false">Z19-Z14</f>
        <v>0</v>
      </c>
      <c r="AA20" s="268" t="n">
        <f aca="false">AA19-AA14</f>
        <v>0</v>
      </c>
      <c r="AB20" s="268" t="n">
        <f aca="false">AB19-AB14</f>
        <v>1830</v>
      </c>
      <c r="AC20" s="268" t="n">
        <f aca="false">AC19-AC14</f>
        <v>2166.487268</v>
      </c>
      <c r="AD20" s="268" t="n">
        <f aca="false">AD19-AD14</f>
        <v>2485.267268</v>
      </c>
      <c r="AE20" s="268" t="n">
        <f aca="false">AE19-AE14</f>
        <v>2804.047268</v>
      </c>
      <c r="AF20" s="268" t="n">
        <f aca="false">AF19-AF14</f>
        <v>3122.827268</v>
      </c>
      <c r="AG20" s="268" t="n">
        <f aca="false">AG19-AG14</f>
        <v>3441.607268</v>
      </c>
      <c r="AH20" s="268" t="n">
        <f aca="false">AH19-AH14</f>
        <v>3760.387268</v>
      </c>
      <c r="AI20" s="268" t="n">
        <f aca="false">AI19-AI14</f>
        <v>4079.167268</v>
      </c>
      <c r="AJ20" s="268" t="n">
        <f aca="false">AJ19-AJ14</f>
        <v>4397.947268</v>
      </c>
      <c r="AK20" s="268" t="n">
        <f aca="false">AK19-AK14</f>
        <v>4716.727268</v>
      </c>
      <c r="AL20" s="268" t="n">
        <f aca="false">AL19-AL14</f>
        <v>5035.507268</v>
      </c>
      <c r="AM20" s="268" t="n">
        <f aca="false">AM19-AM14</f>
        <v>5354.287268</v>
      </c>
      <c r="AN20" s="268" t="n">
        <f aca="false">AN19-AN14</f>
        <v>5673.067268</v>
      </c>
      <c r="AO20" s="268" t="n">
        <f aca="false">AO19-AO14</f>
        <v>5991.847268</v>
      </c>
      <c r="AP20" s="268" t="n">
        <f aca="false">AP19-AP14</f>
        <v>6310.627268</v>
      </c>
      <c r="AQ20" s="268" t="n">
        <f aca="false">AQ19-AQ14</f>
        <v>6629.407268</v>
      </c>
      <c r="AR20" s="268" t="n">
        <f aca="false">AR19-AR14</f>
        <v>6948.187268</v>
      </c>
      <c r="AS20" s="268" t="n">
        <f aca="false">AS19-AS14</f>
        <v>7266.967268</v>
      </c>
      <c r="AT20" s="268" t="n">
        <f aca="false">AT19-AT14</f>
        <v>7585.747268</v>
      </c>
      <c r="AU20" s="268" t="n">
        <f aca="false">AU19-AU14</f>
        <v>7904.527268</v>
      </c>
      <c r="AV20" s="268" t="n">
        <f aca="false">AV19-AV14</f>
        <v>8223.307268</v>
      </c>
      <c r="AW20" s="268" t="n">
        <f aca="false">AW19-AW14</f>
        <v>8542.087268</v>
      </c>
      <c r="AX20" s="268" t="n">
        <f aca="false">AX19-AX14</f>
        <v>8860.867268</v>
      </c>
      <c r="AY20" s="268" t="n">
        <f aca="false">AY19-AY14</f>
        <v>9179.647268</v>
      </c>
      <c r="AZ20" s="268" t="n">
        <f aca="false">AZ19-AZ14</f>
        <v>9498.427268</v>
      </c>
      <c r="BA20" s="268" t="n">
        <f aca="false">BA19-BA14</f>
        <v>9817.207268</v>
      </c>
      <c r="BB20" s="268" t="n">
        <f aca="false">BB19-BB14</f>
        <v>10135.987268</v>
      </c>
      <c r="BC20" s="268" t="n">
        <f aca="false">BC19-BC14</f>
        <v>10454.767268</v>
      </c>
      <c r="BD20" s="268" t="n">
        <f aca="false">BD19-BD14</f>
        <v>10773.547268</v>
      </c>
      <c r="BE20" s="268" t="n">
        <f aca="false">BE19-BE14</f>
        <v>11092.327268</v>
      </c>
      <c r="BF20" s="268" t="n">
        <f aca="false">BF19-BF14</f>
        <v>11411.107268</v>
      </c>
      <c r="BG20" s="268" t="n">
        <f aca="false">BG19-BG14</f>
        <v>11729.887268</v>
      </c>
      <c r="BH20" s="268" t="n">
        <f aca="false">BH19-BH14</f>
        <v>12048.667268</v>
      </c>
      <c r="BI20" s="268" t="n">
        <f aca="false">BI19-BI14</f>
        <v>12367.447268</v>
      </c>
      <c r="BJ20" s="268" t="n">
        <f aca="false">BJ19-BJ14</f>
        <v>12686.227268</v>
      </c>
      <c r="BK20" s="268" t="n">
        <f aca="false">BK19-BK14</f>
        <v>13005.007268</v>
      </c>
      <c r="BL20" s="268" t="n">
        <f aca="false">BL19-BL14</f>
        <v>13323.787268</v>
      </c>
      <c r="BM20" s="268" t="n">
        <f aca="false">BM19-BM14</f>
        <v>13642.567268</v>
      </c>
      <c r="BN20" s="268" t="n">
        <f aca="false">BN19-BN14</f>
        <v>13961.347268</v>
      </c>
      <c r="BO20" s="268" t="n">
        <f aca="false">BO19-BO14</f>
        <v>14280.127268</v>
      </c>
      <c r="BP20" s="268" t="n">
        <f aca="false">BP19-BP14</f>
        <v>14598.907268</v>
      </c>
      <c r="BQ20" s="268" t="n">
        <f aca="false">BQ19-BQ14</f>
        <v>14917.687268</v>
      </c>
      <c r="BR20" s="268" t="n">
        <f aca="false">BR19-BR14</f>
        <v>15236.467268</v>
      </c>
      <c r="BS20" s="268" t="n">
        <f aca="false">BS19-BS14</f>
        <v>15555.247268</v>
      </c>
      <c r="BT20" s="268" t="n">
        <f aca="false">BT19-BT14</f>
        <v>15874.027268</v>
      </c>
      <c r="BU20" s="268" t="n">
        <f aca="false">BU19-BU14</f>
        <v>16192.807268</v>
      </c>
      <c r="BV20" s="268" t="n">
        <f aca="false">BV19-BV14</f>
        <v>16511.587268</v>
      </c>
      <c r="BW20" s="268" t="n">
        <f aca="false">BW19-BW14</f>
        <v>16830.367268</v>
      </c>
      <c r="BX20" s="268" t="n">
        <f aca="false">BX19-BX14</f>
        <v>17149.147268</v>
      </c>
      <c r="BY20" s="268" t="n">
        <f aca="false">BY19-BY14</f>
        <v>17467.927268</v>
      </c>
      <c r="BZ20" s="268" t="n">
        <f aca="false">BZ19-BZ14</f>
        <v>17786.707268</v>
      </c>
      <c r="CA20" s="268" t="n">
        <f aca="false">CA19-CA14</f>
        <v>17786.707268</v>
      </c>
      <c r="CB20" s="268" t="n">
        <f aca="false">CB19-CB14</f>
        <v>17786.707268</v>
      </c>
      <c r="CC20" s="268" t="n">
        <f aca="false">CC19-CC14</f>
        <v>17786.707268</v>
      </c>
      <c r="CD20" s="268" t="n">
        <f aca="false">CD19-CD14</f>
        <v>17786.707268</v>
      </c>
      <c r="CE20" s="268" t="n">
        <f aca="false">CE19-CE14</f>
        <v>17786.707268</v>
      </c>
      <c r="CF20" s="268" t="n">
        <f aca="false">CF19-CF14</f>
        <v>17786.707268</v>
      </c>
      <c r="CG20" s="268" t="n">
        <f aca="false">CG19-CG14</f>
        <v>17786.707268</v>
      </c>
      <c r="CH20" s="268" t="n">
        <f aca="false">CH19-CH14</f>
        <v>17786.707268</v>
      </c>
      <c r="CI20" s="268" t="n">
        <f aca="false">CI19-CI14</f>
        <v>17786.707268</v>
      </c>
      <c r="CJ20" s="268" t="n">
        <f aca="false">CJ19-CJ14</f>
        <v>17786.707268</v>
      </c>
      <c r="CK20" s="268" t="n">
        <f aca="false">CK19-CK14</f>
        <v>17786.707268</v>
      </c>
      <c r="CL20" s="268" t="n">
        <f aca="false">CL19-CL14</f>
        <v>17786.707268</v>
      </c>
      <c r="CM20" s="268" t="n">
        <f aca="false">CM19-CM14</f>
        <v>17786.707268</v>
      </c>
      <c r="CN20" s="268" t="n">
        <f aca="false">CN19-CN14</f>
        <v>17786.707268</v>
      </c>
      <c r="CO20" s="268" t="n">
        <f aca="false">CO19-CO14</f>
        <v>17786.707268</v>
      </c>
      <c r="CP20" s="268" t="n">
        <f aca="false">CP19-CP14</f>
        <v>17786.707268</v>
      </c>
      <c r="CQ20" s="268" t="n">
        <f aca="false">CQ19-CQ14</f>
        <v>17786.707268</v>
      </c>
      <c r="CR20" s="268" t="n">
        <f aca="false">CR19-CR14</f>
        <v>17786.707268</v>
      </c>
      <c r="CS20" s="268" t="n">
        <f aca="false">CS19-CS14</f>
        <v>17786.707268</v>
      </c>
      <c r="CT20" s="268" t="n">
        <f aca="false">CT19-CT14</f>
        <v>17786.707268</v>
      </c>
      <c r="CU20" s="268" t="n">
        <f aca="false">CU19-CU14</f>
        <v>17786.707268</v>
      </c>
      <c r="CV20" s="268" t="n">
        <f aca="false">CV19-CV14</f>
        <v>17786.707268</v>
      </c>
      <c r="CW20" s="268" t="n">
        <f aca="false">CW19-CW14</f>
        <v>17786.707268</v>
      </c>
      <c r="CX20" s="268" t="n">
        <f aca="false">CX19-CX14</f>
        <v>17786.707268</v>
      </c>
      <c r="CY20" s="268" t="n">
        <f aca="false">CY19-CY14</f>
        <v>17786.707268</v>
      </c>
      <c r="CZ20" s="268" t="n">
        <f aca="false">CZ19-CZ14</f>
        <v>17786.707268</v>
      </c>
      <c r="DA20" s="268" t="n">
        <f aca="false">DA19-DA14</f>
        <v>17786.707268</v>
      </c>
      <c r="DB20" s="268" t="n">
        <f aca="false">DB19-DB14</f>
        <v>17786.707268</v>
      </c>
      <c r="DC20" s="268" t="n">
        <f aca="false">DC19-DC14</f>
        <v>17786.707268</v>
      </c>
      <c r="DD20" s="268" t="n">
        <f aca="false">DD19-DD14</f>
        <v>17786.707268</v>
      </c>
      <c r="DE20" s="268" t="n">
        <f aca="false">DE19-DE14</f>
        <v>17786.707268</v>
      </c>
      <c r="DF20" s="268" t="n">
        <f aca="false">DF19-DF14</f>
        <v>17786.707268</v>
      </c>
      <c r="DG20" s="268" t="n">
        <f aca="false">DG19-DG14</f>
        <v>17786.707268</v>
      </c>
      <c r="DH20" s="268" t="n">
        <f aca="false">DH19-DH14</f>
        <v>17786.707268</v>
      </c>
      <c r="DI20" s="268" t="n">
        <f aca="false">DI19-DI14</f>
        <v>17786.707268</v>
      </c>
      <c r="DJ20" s="268" t="n">
        <f aca="false">DJ19-DJ14</f>
        <v>17786.707268</v>
      </c>
      <c r="DK20" s="268" t="n">
        <f aca="false">DK19-DK14</f>
        <v>17786.707268</v>
      </c>
      <c r="DL20" s="268" t="n">
        <f aca="false">DL19-DL14</f>
        <v>17786.707268</v>
      </c>
      <c r="DM20" s="268" t="n">
        <f aca="false">DM19-DM14</f>
        <v>17786.707268</v>
      </c>
      <c r="DN20" s="268" t="n">
        <f aca="false">DN19-DN14</f>
        <v>17786.707268</v>
      </c>
      <c r="DO20" s="268" t="n">
        <f aca="false">DO19-DO14</f>
        <v>17786.707268</v>
      </c>
      <c r="DP20" s="268" t="n">
        <f aca="false">DP19-DP14</f>
        <v>17786.707268</v>
      </c>
      <c r="DQ20" s="268" t="n">
        <f aca="false">DQ19-DQ14</f>
        <v>17786.707268</v>
      </c>
      <c r="DR20" s="268" t="n">
        <f aca="false">DR19-DR14</f>
        <v>17786.707268</v>
      </c>
      <c r="DS20" s="268" t="n">
        <f aca="false">DS19-DS14</f>
        <v>17786.707268</v>
      </c>
    </row>
    <row r="21" customFormat="false" ht="15" hidden="false" customHeight="true" outlineLevel="0" collapsed="false">
      <c r="B21" s="297" t="s">
        <v>300</v>
      </c>
      <c r="D21" s="273" t="n">
        <f aca="false">D20</f>
        <v>0</v>
      </c>
      <c r="E21" s="273" t="n">
        <f aca="false">D21+E20</f>
        <v>0</v>
      </c>
      <c r="F21" s="273" t="n">
        <f aca="false">E21+F20</f>
        <v>0</v>
      </c>
      <c r="G21" s="273" t="n">
        <f aca="false">F21+G20</f>
        <v>0</v>
      </c>
      <c r="H21" s="273" t="n">
        <f aca="false">G21+H20</f>
        <v>0</v>
      </c>
      <c r="I21" s="273" t="n">
        <f aca="false">H21+I20</f>
        <v>0</v>
      </c>
      <c r="J21" s="273" t="n">
        <f aca="false">I21+J20</f>
        <v>0</v>
      </c>
      <c r="K21" s="273" t="n">
        <f aca="false">J21+K20</f>
        <v>0</v>
      </c>
      <c r="L21" s="273" t="n">
        <f aca="false">K21+L20</f>
        <v>0</v>
      </c>
      <c r="M21" s="273" t="n">
        <f aca="false">L21+M20</f>
        <v>0</v>
      </c>
      <c r="N21" s="273" t="n">
        <f aca="false">M21+N20</f>
        <v>0</v>
      </c>
      <c r="O21" s="273" t="n">
        <f aca="false">N21+O20</f>
        <v>0</v>
      </c>
      <c r="P21" s="273" t="n">
        <f aca="false">O21+P20</f>
        <v>0</v>
      </c>
      <c r="Q21" s="273" t="n">
        <f aca="false">P21+Q20</f>
        <v>0</v>
      </c>
      <c r="R21" s="273" t="n">
        <f aca="false">Q21+R20</f>
        <v>0</v>
      </c>
      <c r="S21" s="273" t="n">
        <f aca="false">R21+S20</f>
        <v>0</v>
      </c>
      <c r="T21" s="273" t="n">
        <f aca="false">S21+T20</f>
        <v>0</v>
      </c>
      <c r="U21" s="273" t="n">
        <f aca="false">T21+U20</f>
        <v>0</v>
      </c>
      <c r="V21" s="273" t="n">
        <f aca="false">U21+V20</f>
        <v>0</v>
      </c>
      <c r="W21" s="273" t="n">
        <f aca="false">V21+W20</f>
        <v>0</v>
      </c>
      <c r="X21" s="273" t="n">
        <f aca="false">W21+X20</f>
        <v>0</v>
      </c>
      <c r="Y21" s="273" t="n">
        <f aca="false">X21+Y20</f>
        <v>-225849.624</v>
      </c>
      <c r="Z21" s="273" t="n">
        <f aca="false">Y21+Z20</f>
        <v>-225849.624</v>
      </c>
      <c r="AA21" s="273" t="n">
        <f aca="false">Z21+AA20</f>
        <v>-225849.624</v>
      </c>
      <c r="AB21" s="273" t="n">
        <f aca="false">AA21+AB20</f>
        <v>-224019.624</v>
      </c>
      <c r="AC21" s="273" t="n">
        <f aca="false">AB21+AC20</f>
        <v>-221853.136732</v>
      </c>
      <c r="AD21" s="273" t="n">
        <f aca="false">AC21+AD20</f>
        <v>-219367.869464</v>
      </c>
      <c r="AE21" s="273" t="n">
        <f aca="false">AD21+AE20</f>
        <v>-216563.822196</v>
      </c>
      <c r="AF21" s="273" t="n">
        <f aca="false">AE21+AF20</f>
        <v>-213440.994928</v>
      </c>
      <c r="AG21" s="273" t="n">
        <f aca="false">AF21+AG20</f>
        <v>-209999.38766</v>
      </c>
      <c r="AH21" s="273" t="n">
        <f aca="false">AG21+AH20</f>
        <v>-206239.000392</v>
      </c>
      <c r="AI21" s="273" t="n">
        <f aca="false">AH21+AI20</f>
        <v>-202159.833124</v>
      </c>
      <c r="AJ21" s="273" t="n">
        <f aca="false">AI21+AJ20</f>
        <v>-197761.885856</v>
      </c>
      <c r="AK21" s="273" t="n">
        <f aca="false">AJ21+AK20</f>
        <v>-193045.158588</v>
      </c>
      <c r="AL21" s="273" t="n">
        <f aca="false">AK21+AL20</f>
        <v>-188009.65132</v>
      </c>
      <c r="AM21" s="273" t="n">
        <f aca="false">AL21+AM20</f>
        <v>-182655.364052</v>
      </c>
      <c r="AN21" s="273" t="n">
        <f aca="false">AM21+AN20</f>
        <v>-176982.296784</v>
      </c>
      <c r="AO21" s="273" t="n">
        <f aca="false">AN21+AO20</f>
        <v>-170990.449516</v>
      </c>
      <c r="AP21" s="273" t="n">
        <f aca="false">AO21+AP20</f>
        <v>-164679.822248</v>
      </c>
      <c r="AQ21" s="273" t="n">
        <f aca="false">AP21+AQ20</f>
        <v>-158050.41498</v>
      </c>
      <c r="AR21" s="273" t="n">
        <f aca="false">AQ21+AR20</f>
        <v>-151102.227712</v>
      </c>
      <c r="AS21" s="273" t="n">
        <f aca="false">AR21+AS20</f>
        <v>-143835.260444</v>
      </c>
      <c r="AT21" s="273" t="n">
        <f aca="false">AS21+AT20</f>
        <v>-136249.513176</v>
      </c>
      <c r="AU21" s="273" t="n">
        <f aca="false">AT21+AU20</f>
        <v>-128344.985908</v>
      </c>
      <c r="AV21" s="273" t="n">
        <f aca="false">AU21+AV20</f>
        <v>-120121.67864</v>
      </c>
      <c r="AW21" s="273" t="n">
        <f aca="false">AV21+AW20</f>
        <v>-111579.591372</v>
      </c>
      <c r="AX21" s="273" t="n">
        <f aca="false">AW21+AX20</f>
        <v>-102718.724104</v>
      </c>
      <c r="AY21" s="273" t="n">
        <f aca="false">AX21+AY20</f>
        <v>-93539.076836</v>
      </c>
      <c r="AZ21" s="273" t="n">
        <f aca="false">AY21+AZ20</f>
        <v>-84040.649568</v>
      </c>
      <c r="BA21" s="273" t="n">
        <f aca="false">AZ21+BA20</f>
        <v>-74223.4423</v>
      </c>
      <c r="BB21" s="273" t="n">
        <f aca="false">BA21+BB20</f>
        <v>-64087.455032</v>
      </c>
      <c r="BC21" s="273" t="n">
        <f aca="false">BB21+BC20</f>
        <v>-53632.687764</v>
      </c>
      <c r="BD21" s="273" t="n">
        <f aca="false">BC21+BD20</f>
        <v>-42859.140496</v>
      </c>
      <c r="BE21" s="273" t="n">
        <f aca="false">BD21+BE20</f>
        <v>-31766.813228</v>
      </c>
      <c r="BF21" s="273" t="n">
        <f aca="false">BE21+BF20</f>
        <v>-20355.70596</v>
      </c>
      <c r="BG21" s="273" t="n">
        <f aca="false">BF21+BG20</f>
        <v>-8625.81869200004</v>
      </c>
      <c r="BH21" s="273" t="n">
        <f aca="false">BG21+BH20</f>
        <v>3422.84857599996</v>
      </c>
      <c r="BI21" s="273" t="n">
        <f aca="false">BH21+BI20</f>
        <v>15790.295844</v>
      </c>
      <c r="BJ21" s="273" t="n">
        <f aca="false">BI21+BJ20</f>
        <v>28476.523112</v>
      </c>
      <c r="BK21" s="273" t="n">
        <f aca="false">BJ21+BK20</f>
        <v>41481.53038</v>
      </c>
      <c r="BL21" s="273" t="n">
        <f aca="false">BK21+BL20</f>
        <v>54805.317648</v>
      </c>
      <c r="BM21" s="273" t="n">
        <f aca="false">BL21+BM20</f>
        <v>68447.884916</v>
      </c>
      <c r="BN21" s="273" t="n">
        <f aca="false">BM21+BN20</f>
        <v>82409.232184</v>
      </c>
      <c r="BO21" s="273" t="n">
        <f aca="false">BN21+BO20</f>
        <v>96689.359452</v>
      </c>
      <c r="BP21" s="273" t="n">
        <f aca="false">BO21+BP20</f>
        <v>111288.26672</v>
      </c>
      <c r="BQ21" s="273" t="n">
        <f aca="false">BP21+BQ20</f>
        <v>126205.953988</v>
      </c>
      <c r="BR21" s="273" t="n">
        <f aca="false">BQ21+BR20</f>
        <v>141442.421256</v>
      </c>
      <c r="BS21" s="273" t="n">
        <f aca="false">BR21+BS20</f>
        <v>156997.668524</v>
      </c>
      <c r="BT21" s="273" t="n">
        <f aca="false">BS21+BT20</f>
        <v>172871.695792</v>
      </c>
      <c r="BU21" s="273" t="n">
        <f aca="false">BT21+BU20</f>
        <v>189064.50306</v>
      </c>
      <c r="BV21" s="273" t="n">
        <f aca="false">BU21+BV20</f>
        <v>205576.090328</v>
      </c>
      <c r="BW21" s="273" t="n">
        <f aca="false">BV21+BW20</f>
        <v>222406.457596</v>
      </c>
      <c r="BX21" s="273" t="n">
        <f aca="false">BW21+BX20</f>
        <v>239555.604864</v>
      </c>
      <c r="BY21" s="273" t="n">
        <f aca="false">BX21+BY20</f>
        <v>257023.532132</v>
      </c>
      <c r="BZ21" s="273" t="n">
        <f aca="false">BY21+BZ20</f>
        <v>274810.2394</v>
      </c>
      <c r="CA21" s="273" t="n">
        <f aca="false">BZ21+CA20</f>
        <v>292596.946668</v>
      </c>
      <c r="CB21" s="273" t="n">
        <f aca="false">CA21+CB20</f>
        <v>310383.653936</v>
      </c>
      <c r="CC21" s="273" t="n">
        <f aca="false">CB21+CC20</f>
        <v>328170.361204</v>
      </c>
      <c r="CD21" s="273" t="n">
        <f aca="false">CC21+CD20</f>
        <v>345957.068472</v>
      </c>
      <c r="CE21" s="273" t="n">
        <f aca="false">CD21+CE20</f>
        <v>363743.77574</v>
      </c>
      <c r="CF21" s="273" t="n">
        <f aca="false">CE21+CF20</f>
        <v>381530.483008</v>
      </c>
      <c r="CG21" s="273" t="n">
        <f aca="false">CF21+CG20</f>
        <v>399317.190276</v>
      </c>
      <c r="CH21" s="273" t="n">
        <f aca="false">CG21+CH20</f>
        <v>417103.897544</v>
      </c>
      <c r="CI21" s="273" t="n">
        <f aca="false">CH21+CI20</f>
        <v>434890.604812</v>
      </c>
      <c r="CJ21" s="273" t="n">
        <f aca="false">CI21+CJ20</f>
        <v>452677.31208</v>
      </c>
      <c r="CK21" s="273" t="n">
        <f aca="false">CJ21+CK20</f>
        <v>470464.019348</v>
      </c>
      <c r="CL21" s="273" t="n">
        <f aca="false">CK21+CL20</f>
        <v>488250.726616</v>
      </c>
      <c r="CM21" s="273" t="n">
        <f aca="false">CL21+CM20</f>
        <v>506037.433884</v>
      </c>
      <c r="CN21" s="273" t="n">
        <f aca="false">CM21+CN20</f>
        <v>523824.141152</v>
      </c>
      <c r="CO21" s="273" t="n">
        <f aca="false">CN21+CO20</f>
        <v>541610.84842</v>
      </c>
      <c r="CP21" s="273" t="n">
        <f aca="false">CO21+CP20</f>
        <v>559397.555688</v>
      </c>
      <c r="CQ21" s="273" t="n">
        <f aca="false">CP21+CQ20</f>
        <v>577184.262956</v>
      </c>
      <c r="CR21" s="273" t="n">
        <f aca="false">CQ21+CR20</f>
        <v>594970.970224</v>
      </c>
      <c r="CS21" s="273" t="n">
        <f aca="false">CR21+CS20</f>
        <v>612757.677492</v>
      </c>
      <c r="CT21" s="273" t="n">
        <f aca="false">CS21+CT20</f>
        <v>630544.38476</v>
      </c>
      <c r="CU21" s="273" t="n">
        <f aca="false">CT21+CU20</f>
        <v>648331.092028</v>
      </c>
      <c r="CV21" s="273" t="n">
        <f aca="false">CU21+CV20</f>
        <v>666117.799296</v>
      </c>
      <c r="CW21" s="273" t="n">
        <f aca="false">CV21+CW20</f>
        <v>683904.506564</v>
      </c>
      <c r="CX21" s="273" t="n">
        <f aca="false">CW21+CX20</f>
        <v>701691.213832</v>
      </c>
      <c r="CY21" s="273" t="n">
        <f aca="false">CX21+CY20</f>
        <v>719477.9211</v>
      </c>
      <c r="CZ21" s="273" t="n">
        <f aca="false">CY21+CZ20</f>
        <v>737264.628368</v>
      </c>
      <c r="DA21" s="273" t="n">
        <f aca="false">CZ21+DA20</f>
        <v>755051.335636</v>
      </c>
      <c r="DB21" s="273" t="n">
        <f aca="false">DA21+DB20</f>
        <v>772838.042904</v>
      </c>
      <c r="DC21" s="273" t="n">
        <f aca="false">DB21+DC20</f>
        <v>790624.750172</v>
      </c>
      <c r="DD21" s="273" t="n">
        <f aca="false">DC21+DD20</f>
        <v>808411.45744</v>
      </c>
      <c r="DE21" s="273" t="n">
        <f aca="false">DD21+DE20</f>
        <v>826198.164708</v>
      </c>
      <c r="DF21" s="273" t="n">
        <f aca="false">DE21+DF20</f>
        <v>843984.871976</v>
      </c>
      <c r="DG21" s="273" t="n">
        <f aca="false">DF21+DG20</f>
        <v>861771.579244</v>
      </c>
      <c r="DH21" s="273" t="n">
        <f aca="false">DG21+DH20</f>
        <v>879558.286512</v>
      </c>
      <c r="DI21" s="273" t="n">
        <f aca="false">DH21+DI20</f>
        <v>897344.99378</v>
      </c>
      <c r="DJ21" s="273" t="n">
        <f aca="false">DI21+DJ20</f>
        <v>915131.701048</v>
      </c>
      <c r="DK21" s="273" t="n">
        <f aca="false">DJ21+DK20</f>
        <v>932918.408316</v>
      </c>
      <c r="DL21" s="273" t="n">
        <f aca="false">DK21+DL20</f>
        <v>950705.115584</v>
      </c>
      <c r="DM21" s="273" t="n">
        <f aca="false">DL21+DM20</f>
        <v>968491.822852</v>
      </c>
      <c r="DN21" s="273" t="n">
        <f aca="false">DM21+DN20</f>
        <v>986278.53012</v>
      </c>
      <c r="DO21" s="273" t="n">
        <f aca="false">DN21+DO20</f>
        <v>1004065.237388</v>
      </c>
      <c r="DP21" s="273" t="n">
        <f aca="false">DO21+DP20</f>
        <v>1021851.944656</v>
      </c>
      <c r="DQ21" s="273" t="n">
        <f aca="false">DP21+DQ20</f>
        <v>1039638.651924</v>
      </c>
      <c r="DR21" s="273" t="n">
        <f aca="false">DQ21+DR20</f>
        <v>1057425.359192</v>
      </c>
      <c r="DS21" s="273" t="n">
        <f aca="false">DR21+DS20</f>
        <v>1075212.06646</v>
      </c>
    </row>
    <row r="22" customFormat="false" ht="15" hidden="false" customHeight="true" outlineLevel="0" collapsed="false">
      <c r="B22" s="297" t="s">
        <v>3432</v>
      </c>
      <c r="D22" s="273" t="n">
        <f aca="false">D20/(1+SUP_CONTROL!$C$32)^D4</f>
        <v>0</v>
      </c>
      <c r="E22" s="273" t="n">
        <f aca="false">E20/(1+SUP_CONTROL!$C$32)^E4</f>
        <v>0</v>
      </c>
      <c r="F22" s="273" t="n">
        <f aca="false">F20/(1+SUP_CONTROL!$C$32)^F4</f>
        <v>0</v>
      </c>
      <c r="G22" s="273" t="n">
        <f aca="false">G20/(1+SUP_CONTROL!$C$32)^G4</f>
        <v>0</v>
      </c>
      <c r="H22" s="273" t="n">
        <f aca="false">H20/(1+SUP_CONTROL!$C$32)^H4</f>
        <v>0</v>
      </c>
      <c r="I22" s="273" t="n">
        <f aca="false">I20/(1+SUP_CONTROL!$C$32)^I4</f>
        <v>0</v>
      </c>
      <c r="J22" s="273" t="n">
        <f aca="false">J20/(1+SUP_CONTROL!$C$32)^J4</f>
        <v>0</v>
      </c>
      <c r="K22" s="273" t="n">
        <f aca="false">K20/(1+SUP_CONTROL!$C$32)^K4</f>
        <v>0</v>
      </c>
      <c r="L22" s="273" t="n">
        <f aca="false">L20/(1+SUP_CONTROL!$C$32)^L4</f>
        <v>0</v>
      </c>
      <c r="M22" s="273" t="n">
        <f aca="false">M20/(1+SUP_CONTROL!$C$32)^M4</f>
        <v>0</v>
      </c>
      <c r="N22" s="273" t="n">
        <f aca="false">N20/(1+SUP_CONTROL!$C$32)^N4</f>
        <v>0</v>
      </c>
      <c r="O22" s="273" t="n">
        <f aca="false">O20/(1+SUP_CONTROL!$C$32)^O4</f>
        <v>0</v>
      </c>
      <c r="P22" s="273" t="n">
        <f aca="false">P20/(1+SUP_CONTROL!$C$32)^P4</f>
        <v>0</v>
      </c>
      <c r="Q22" s="273" t="n">
        <f aca="false">Q20/(1+SUP_CONTROL!$C$32)^Q4</f>
        <v>0</v>
      </c>
      <c r="R22" s="273" t="n">
        <f aca="false">R20/(1+SUP_CONTROL!$C$32)^R4</f>
        <v>0</v>
      </c>
      <c r="S22" s="273" t="n">
        <f aca="false">S20/(1+SUP_CONTROL!$C$32)^S4</f>
        <v>0</v>
      </c>
      <c r="T22" s="273" t="n">
        <f aca="false">T20/(1+SUP_CONTROL!$C$32)^T4</f>
        <v>0</v>
      </c>
      <c r="U22" s="273" t="n">
        <f aca="false">U20/(1+SUP_CONTROL!$C$32)^U4</f>
        <v>0</v>
      </c>
      <c r="V22" s="273" t="n">
        <f aca="false">V20/(1+SUP_CONTROL!$C$32)^V4</f>
        <v>0</v>
      </c>
      <c r="W22" s="273" t="n">
        <f aca="false">W20/(1+SUP_CONTROL!$C$32)^W4</f>
        <v>0</v>
      </c>
      <c r="X22" s="273" t="n">
        <f aca="false">X20/(1+SUP_CONTROL!$C$32)^X4</f>
        <v>0</v>
      </c>
      <c r="Y22" s="273" t="n">
        <f aca="false">Y20/(1+SUP_CONTROL!$C$32)^Y4</f>
        <v>-161679.052028719</v>
      </c>
      <c r="Z22" s="273" t="n">
        <f aca="false">Z20/(1+SUP_CONTROL!$C$32)^Z4</f>
        <v>0</v>
      </c>
      <c r="AA22" s="273" t="n">
        <f aca="false">AA20/(1+SUP_CONTROL!$C$32)^AA4</f>
        <v>0</v>
      </c>
      <c r="AB22" s="273" t="n">
        <f aca="false">AB20/(1+SUP_CONTROL!$C$32)^AB4</f>
        <v>1251.67091439405</v>
      </c>
      <c r="AC22" s="273" t="n">
        <f aca="false">AC20/(1+SUP_CONTROL!$C$32)^AC4</f>
        <v>1459.47538484765</v>
      </c>
      <c r="AD22" s="273" t="n">
        <f aca="false">AD20/(1+SUP_CONTROL!$C$32)^AD4</f>
        <v>1648.97965132781</v>
      </c>
      <c r="AE22" s="273" t="n">
        <f aca="false">AE20/(1+SUP_CONTROL!$C$32)^AE4</f>
        <v>1832.43715685654</v>
      </c>
      <c r="AF22" s="273" t="n">
        <f aca="false">AF20/(1+SUP_CONTROL!$C$32)^AF4</f>
        <v>2009.98716848925</v>
      </c>
      <c r="AG22" s="273" t="n">
        <f aca="false">AG20/(1+SUP_CONTROL!$C$32)^AG4</f>
        <v>2181.76612819135</v>
      </c>
      <c r="AH22" s="273" t="n">
        <f aca="false">AH20/(1+SUP_CONTROL!$C$32)^AH4</f>
        <v>2347.90770637076</v>
      </c>
      <c r="AI22" s="273" t="n">
        <f aca="false">AI20/(1+SUP_CONTROL!$C$32)^AI4</f>
        <v>2508.54285443832</v>
      </c>
      <c r="AJ22" s="273" t="n">
        <f aca="false">AJ20/(1+SUP_CONTROL!$C$32)^AJ4</f>
        <v>2663.79985641338</v>
      </c>
      <c r="AK22" s="273" t="n">
        <f aca="false">AK20/(1+SUP_CONTROL!$C$32)^AK4</f>
        <v>2813.80437959112</v>
      </c>
      <c r="AL22" s="273" t="n">
        <f aca="false">AL20/(1+SUP_CONTROL!$C$32)^AL4</f>
        <v>2958.67952428856</v>
      </c>
      <c r="AM22" s="273" t="n">
        <f aca="false">AM20/(1+SUP_CONTROL!$C$32)^AM4</f>
        <v>3098.54587268519</v>
      </c>
      <c r="AN22" s="273" t="n">
        <f aca="false">AN20/(1+SUP_CONTROL!$C$32)^AN4</f>
        <v>3233.52153677436</v>
      </c>
      <c r="AO22" s="273" t="n">
        <f aca="false">AO20/(1+SUP_CONTROL!$C$32)^AO4</f>
        <v>3363.72220544119</v>
      </c>
      <c r="AP22" s="273" t="n">
        <f aca="false">AP20/(1+SUP_CONTROL!$C$32)^AP4</f>
        <v>3489.26119068226</v>
      </c>
      <c r="AQ22" s="273" t="n">
        <f aca="false">AQ20/(1+SUP_CONTROL!$C$32)^AQ4</f>
        <v>3610.2494729825</v>
      </c>
      <c r="AR22" s="273" t="n">
        <f aca="false">AR20/(1+SUP_CONTROL!$C$32)^AR4</f>
        <v>3726.79574586395</v>
      </c>
      <c r="AS22" s="273" t="n">
        <f aca="false">AS20/(1+SUP_CONTROL!$C$32)^AS4</f>
        <v>3839.00645962123</v>
      </c>
      <c r="AT22" s="273" t="n">
        <f aca="false">AT20/(1+SUP_CONTROL!$C$32)^AT4</f>
        <v>3946.985864258</v>
      </c>
      <c r="AU22" s="273" t="n">
        <f aca="false">AU20/(1+SUP_CONTROL!$C$32)^AU4</f>
        <v>4050.83605163861</v>
      </c>
      <c r="AV22" s="273" t="n">
        <f aca="false">AV20/(1+SUP_CONTROL!$C$32)^AV4</f>
        <v>4150.65699686888</v>
      </c>
      <c r="AW22" s="273" t="n">
        <f aca="false">AW20/(1+SUP_CONTROL!$C$32)^AW4</f>
        <v>4246.54659891957</v>
      </c>
      <c r="AX22" s="273" t="n">
        <f aca="false">AX20/(1+SUP_CONTROL!$C$32)^AX4</f>
        <v>4338.60072050612</v>
      </c>
      <c r="AY22" s="273" t="n">
        <f aca="false">AY20/(1+SUP_CONTROL!$C$32)^AY4</f>
        <v>4426.91322723766</v>
      </c>
      <c r="AZ22" s="273" t="n">
        <f aca="false">AZ20/(1+SUP_CONTROL!$C$32)^AZ4</f>
        <v>4511.57602604847</v>
      </c>
      <c r="BA22" s="273" t="n">
        <f aca="false">BA20/(1+SUP_CONTROL!$C$32)^BA4</f>
        <v>4592.67910292444</v>
      </c>
      <c r="BB22" s="273" t="n">
        <f aca="false">BB20/(1+SUP_CONTROL!$C$32)^BB4</f>
        <v>4670.31055993723</v>
      </c>
      <c r="BC22" s="273" t="n">
        <f aca="false">BC20/(1+SUP_CONTROL!$C$32)^BC4</f>
        <v>4744.55665159823</v>
      </c>
      <c r="BD22" s="273" t="n">
        <f aca="false">BD20/(1+SUP_CONTROL!$C$32)^BD4</f>
        <v>4815.5018205446</v>
      </c>
      <c r="BE22" s="273" t="n">
        <f aca="false">BE20/(1+SUP_CONTROL!$C$32)^BE4</f>
        <v>4883.22873256917</v>
      </c>
      <c r="BF22" s="273" t="n">
        <f aca="false">BF20/(1+SUP_CONTROL!$C$32)^BF4</f>
        <v>4947.81831100586</v>
      </c>
      <c r="BG22" s="273" t="n">
        <f aca="false">BG20/(1+SUP_CONTROL!$C$32)^BG4</f>
        <v>5009.34977048218</v>
      </c>
      <c r="BH22" s="273" t="n">
        <f aca="false">BH20/(1+SUP_CONTROL!$C$32)^BH4</f>
        <v>5067.90065004995</v>
      </c>
      <c r="BI22" s="273" t="n">
        <f aca="false">BI20/(1+SUP_CONTROL!$C$32)^BI4</f>
        <v>5123.54684570546</v>
      </c>
      <c r="BJ22" s="273" t="n">
        <f aca="false">BJ20/(1+SUP_CONTROL!$C$32)^BJ4</f>
        <v>5176.36264230981</v>
      </c>
      <c r="BK22" s="273" t="n">
        <f aca="false">BK20/(1+SUP_CONTROL!$C$32)^BK4</f>
        <v>5226.42074492028</v>
      </c>
      <c r="BL22" s="273" t="n">
        <f aca="false">BL20/(1+SUP_CONTROL!$C$32)^BL4</f>
        <v>5273.79230954303</v>
      </c>
      <c r="BM22" s="273" t="n">
        <f aca="false">BM20/(1+SUP_CONTROL!$C$32)^BM4</f>
        <v>5318.54697331769</v>
      </c>
      <c r="BN22" s="273" t="n">
        <f aca="false">BN20/(1+SUP_CONTROL!$C$32)^BN4</f>
        <v>5360.75288414382</v>
      </c>
      <c r="BO22" s="273" t="n">
        <f aca="false">BO20/(1+SUP_CONTROL!$C$32)^BO4</f>
        <v>5400.47672975921</v>
      </c>
      <c r="BP22" s="273" t="n">
        <f aca="false">BP20/(1+SUP_CONTROL!$C$32)^BP4</f>
        <v>5437.78376627993</v>
      </c>
      <c r="BQ22" s="273" t="n">
        <f aca="false">BQ20/(1+SUP_CONTROL!$C$32)^BQ4</f>
        <v>5472.73784621165</v>
      </c>
      <c r="BR22" s="273" t="n">
        <f aca="false">BR20/(1+SUP_CONTROL!$C$32)^BR4</f>
        <v>5505.40144594172</v>
      </c>
      <c r="BS22" s="273" t="n">
        <f aca="false">BS20/(1+SUP_CONTROL!$C$32)^BS4</f>
        <v>5535.83569272127</v>
      </c>
      <c r="BT22" s="273" t="n">
        <f aca="false">BT20/(1+SUP_CONTROL!$C$32)^BT4</f>
        <v>5564.10039114653</v>
      </c>
      <c r="BU22" s="273" t="n">
        <f aca="false">BU20/(1+SUP_CONTROL!$C$32)^BU4</f>
        <v>5590.25404914828</v>
      </c>
      <c r="BV22" s="273" t="n">
        <f aca="false">BV20/(1+SUP_CONTROL!$C$32)^BV4</f>
        <v>5614.35390349821</v>
      </c>
      <c r="BW22" s="273" t="n">
        <f aca="false">BW20/(1+SUP_CONTROL!$C$32)^BW4</f>
        <v>5636.45594484097</v>
      </c>
      <c r="BX22" s="273" t="n">
        <f aca="false">BX20/(1+SUP_CONTROL!$C$32)^BX4</f>
        <v>5656.61494226028</v>
      </c>
      <c r="BY22" s="273" t="n">
        <f aca="false">BY20/(1+SUP_CONTROL!$C$32)^BY4</f>
        <v>5674.88446738751</v>
      </c>
      <c r="BZ22" s="273" t="n">
        <f aca="false">BZ20/(1+SUP_CONTROL!$C$32)^BZ4</f>
        <v>5691.31691806107</v>
      </c>
      <c r="CA22" s="273" t="n">
        <f aca="false">CA20/(1+SUP_CONTROL!$C$32)^CA4</f>
        <v>5605.49968598227</v>
      </c>
      <c r="CB22" s="273" t="n">
        <f aca="false">CB20/(1+SUP_CONTROL!$C$32)^CB4</f>
        <v>5520.97645974214</v>
      </c>
      <c r="CC22" s="273" t="n">
        <f aca="false">CC20/(1+SUP_CONTROL!$C$32)^CC4</f>
        <v>5437.72772751222</v>
      </c>
      <c r="CD22" s="273" t="n">
        <f aca="false">CD20/(1+SUP_CONTROL!$C$32)^CD4</f>
        <v>5355.7342716756</v>
      </c>
      <c r="CE22" s="273" t="n">
        <f aca="false">CE20/(1+SUP_CONTROL!$C$32)^CE4</f>
        <v>5274.97716439061</v>
      </c>
      <c r="CF22" s="273" t="n">
        <f aca="false">CF20/(1+SUP_CONTROL!$C$32)^CF4</f>
        <v>5195.43776322138</v>
      </c>
      <c r="CG22" s="273" t="n">
        <f aca="false">CG20/(1+SUP_CONTROL!$C$32)^CG4</f>
        <v>5117.09770683436</v>
      </c>
      <c r="CH22" s="273" t="n">
        <f aca="false">CH20/(1+SUP_CONTROL!$C$32)^CH4</f>
        <v>5039.93891075963</v>
      </c>
      <c r="CI22" s="273" t="n">
        <f aca="false">CI20/(1+SUP_CONTROL!$C$32)^CI4</f>
        <v>4963.94356321624</v>
      </c>
      <c r="CJ22" s="273" t="n">
        <f aca="false">CJ20/(1+SUP_CONTROL!$C$32)^CJ4</f>
        <v>4889.09412100038</v>
      </c>
      <c r="CK22" s="273" t="n">
        <f aca="false">CK20/(1+SUP_CONTROL!$C$32)^CK4</f>
        <v>4815.37330543562</v>
      </c>
      <c r="CL22" s="273" t="n">
        <f aca="false">CL20/(1+SUP_CONTROL!$C$32)^CL4</f>
        <v>4742.76409838422</v>
      </c>
      <c r="CM22" s="273" t="n">
        <f aca="false">CM20/(1+SUP_CONTROL!$C$32)^CM4</f>
        <v>4671.24973831856</v>
      </c>
      <c r="CN22" s="273" t="n">
        <f aca="false">CN20/(1+SUP_CONTROL!$C$32)^CN4</f>
        <v>4600.81371645178</v>
      </c>
      <c r="CO22" s="273" t="n">
        <f aca="false">CO20/(1+SUP_CONTROL!$C$32)^CO4</f>
        <v>4531.43977292685</v>
      </c>
      <c r="CP22" s="273" t="n">
        <f aca="false">CP20/(1+SUP_CONTROL!$C$32)^CP4</f>
        <v>4463.111893063</v>
      </c>
      <c r="CQ22" s="273" t="n">
        <f aca="false">CQ20/(1+SUP_CONTROL!$C$32)^CQ4</f>
        <v>4395.81430365884</v>
      </c>
      <c r="CR22" s="273" t="n">
        <f aca="false">CR20/(1+SUP_CONTROL!$C$32)^CR4</f>
        <v>4329.53146935115</v>
      </c>
      <c r="CS22" s="273" t="n">
        <f aca="false">CS20/(1+SUP_CONTROL!$C$32)^CS4</f>
        <v>4264.24808902863</v>
      </c>
      <c r="CT22" s="273" t="n">
        <f aca="false">CT20/(1+SUP_CONTROL!$C$32)^CT4</f>
        <v>4199.9490922997</v>
      </c>
      <c r="CU22" s="273" t="n">
        <f aca="false">CU20/(1+SUP_CONTROL!$C$32)^CU4</f>
        <v>4136.61963601354</v>
      </c>
      <c r="CV22" s="273" t="n">
        <f aca="false">CV20/(1+SUP_CONTROL!$C$32)^CV4</f>
        <v>4074.24510083365</v>
      </c>
      <c r="CW22" s="273" t="n">
        <f aca="false">CW20/(1+SUP_CONTROL!$C$32)^CW4</f>
        <v>4012.81108786302</v>
      </c>
      <c r="CX22" s="273" t="n">
        <f aca="false">CX20/(1+SUP_CONTROL!$C$32)^CX4</f>
        <v>3952.30341532019</v>
      </c>
      <c r="CY22" s="273" t="n">
        <f aca="false">CY20/(1+SUP_CONTROL!$C$32)^CY4</f>
        <v>3892.70811526547</v>
      </c>
      <c r="CZ22" s="273" t="n">
        <f aca="false">CZ20/(1+SUP_CONTROL!$C$32)^CZ4</f>
        <v>3834.01143037649</v>
      </c>
      <c r="DA22" s="273" t="n">
        <f aca="false">DA20/(1+SUP_CONTROL!$C$32)^DA4</f>
        <v>3776.19981077238</v>
      </c>
      <c r="DB22" s="273" t="n">
        <f aca="false">DB20/(1+SUP_CONTROL!$C$32)^DB4</f>
        <v>3719.25991088584</v>
      </c>
      <c r="DC22" s="273" t="n">
        <f aca="false">DC20/(1+SUP_CONTROL!$C$32)^DC4</f>
        <v>3663.17858638237</v>
      </c>
      <c r="DD22" s="273" t="n">
        <f aca="false">DD20/(1+SUP_CONTROL!$C$32)^DD4</f>
        <v>3607.94289112596</v>
      </c>
      <c r="DE22" s="273" t="n">
        <f aca="false">DE20/(1+SUP_CONTROL!$C$32)^DE4</f>
        <v>3553.54007419053</v>
      </c>
      <c r="DF22" s="273" t="n">
        <f aca="false">DF20/(1+SUP_CONTROL!$C$32)^DF4</f>
        <v>3499.95757691642</v>
      </c>
      <c r="DG22" s="273" t="n">
        <f aca="false">DG20/(1+SUP_CONTROL!$C$32)^DG4</f>
        <v>3447.18303001128</v>
      </c>
      <c r="DH22" s="273" t="n">
        <f aca="false">DH20/(1+SUP_CONTROL!$C$32)^DH4</f>
        <v>3395.20425069471</v>
      </c>
      <c r="DI22" s="273" t="n">
        <f aca="false">DI20/(1+SUP_CONTROL!$C$32)^DI4</f>
        <v>3344.00923988585</v>
      </c>
      <c r="DJ22" s="273" t="n">
        <f aca="false">DJ20/(1+SUP_CONTROL!$C$32)^DJ4</f>
        <v>3293.58617943349</v>
      </c>
      <c r="DK22" s="273" t="n">
        <f aca="false">DK20/(1+SUP_CONTROL!$C$32)^DK4</f>
        <v>3243.92342938789</v>
      </c>
      <c r="DL22" s="273" t="n">
        <f aca="false">DL20/(1+SUP_CONTROL!$C$32)^DL4</f>
        <v>3195.00952531374</v>
      </c>
      <c r="DM22" s="273" t="n">
        <f aca="false">DM20/(1+SUP_CONTROL!$C$32)^DM4</f>
        <v>3146.83317564365</v>
      </c>
      <c r="DN22" s="273" t="n">
        <f aca="false">DN20/(1+SUP_CONTROL!$C$32)^DN4</f>
        <v>3099.38325907153</v>
      </c>
      <c r="DO22" s="273" t="n">
        <f aca="false">DO20/(1+SUP_CONTROL!$C$32)^DO4</f>
        <v>3052.64882198531</v>
      </c>
      <c r="DP22" s="273" t="n">
        <f aca="false">DP20/(1+SUP_CONTROL!$C$32)^DP4</f>
        <v>3006.6190759383</v>
      </c>
      <c r="DQ22" s="273" t="n">
        <f aca="false">DQ20/(1+SUP_CONTROL!$C$32)^DQ4</f>
        <v>2961.28339515877</v>
      </c>
      <c r="DR22" s="273" t="n">
        <f aca="false">DR20/(1+SUP_CONTROL!$C$32)^DR4</f>
        <v>2916.63131409701</v>
      </c>
      <c r="DS22" s="273" t="n">
        <f aca="false">DS20/(1+SUP_CONTROL!$C$32)^DS4</f>
        <v>2872.6525250094</v>
      </c>
    </row>
    <row r="23" customFormat="false" ht="15" hidden="false" customHeight="true" outlineLevel="0" collapsed="false">
      <c r="B23" s="297" t="s">
        <v>3433</v>
      </c>
      <c r="D23" s="273" t="n">
        <f aca="false">D22</f>
        <v>0</v>
      </c>
      <c r="E23" s="273" t="n">
        <f aca="false">D23+E22</f>
        <v>0</v>
      </c>
      <c r="F23" s="273" t="n">
        <f aca="false">E23+F22</f>
        <v>0</v>
      </c>
      <c r="G23" s="273" t="n">
        <f aca="false">F23+G22</f>
        <v>0</v>
      </c>
      <c r="H23" s="273" t="n">
        <f aca="false">G23+H22</f>
        <v>0</v>
      </c>
      <c r="I23" s="273" t="n">
        <f aca="false">H23+I22</f>
        <v>0</v>
      </c>
      <c r="J23" s="273" t="n">
        <f aca="false">I23+J22</f>
        <v>0</v>
      </c>
      <c r="K23" s="273" t="n">
        <f aca="false">J23+K22</f>
        <v>0</v>
      </c>
      <c r="L23" s="273" t="n">
        <f aca="false">K23+L22</f>
        <v>0</v>
      </c>
      <c r="M23" s="273" t="n">
        <f aca="false">L23+M22</f>
        <v>0</v>
      </c>
      <c r="N23" s="273" t="n">
        <f aca="false">M23+N22</f>
        <v>0</v>
      </c>
      <c r="O23" s="273" t="n">
        <f aca="false">N23+O22</f>
        <v>0</v>
      </c>
      <c r="P23" s="273" t="n">
        <f aca="false">O23+P22</f>
        <v>0</v>
      </c>
      <c r="Q23" s="273" t="n">
        <f aca="false">P23+Q22</f>
        <v>0</v>
      </c>
      <c r="R23" s="273" t="n">
        <f aca="false">Q23+R22</f>
        <v>0</v>
      </c>
      <c r="S23" s="273" t="n">
        <f aca="false">R23+S22</f>
        <v>0</v>
      </c>
      <c r="T23" s="273" t="n">
        <f aca="false">S23+T22</f>
        <v>0</v>
      </c>
      <c r="U23" s="273" t="n">
        <f aca="false">T23+U22</f>
        <v>0</v>
      </c>
      <c r="V23" s="273" t="n">
        <f aca="false">U23+V22</f>
        <v>0</v>
      </c>
      <c r="W23" s="273" t="n">
        <f aca="false">V23+W22</f>
        <v>0</v>
      </c>
      <c r="X23" s="273" t="n">
        <f aca="false">W23+X22</f>
        <v>0</v>
      </c>
      <c r="Y23" s="273" t="n">
        <f aca="false">X23+Y22</f>
        <v>-161679.052028719</v>
      </c>
      <c r="Z23" s="273" t="n">
        <f aca="false">Y23+Z22</f>
        <v>-161679.052028719</v>
      </c>
      <c r="AA23" s="273" t="n">
        <f aca="false">Z23+AA22</f>
        <v>-161679.052028719</v>
      </c>
      <c r="AB23" s="273" t="n">
        <f aca="false">AA23+AB22</f>
        <v>-160427.381114325</v>
      </c>
      <c r="AC23" s="273" t="n">
        <f aca="false">AB23+AC22</f>
        <v>-158967.905729477</v>
      </c>
      <c r="AD23" s="273" t="n">
        <f aca="false">AC23+AD22</f>
        <v>-157318.926078149</v>
      </c>
      <c r="AE23" s="273" t="n">
        <f aca="false">AD23+AE22</f>
        <v>-155486.488921293</v>
      </c>
      <c r="AF23" s="273" t="n">
        <f aca="false">AE23+AF22</f>
        <v>-153476.501752803</v>
      </c>
      <c r="AG23" s="273" t="n">
        <f aca="false">AF23+AG22</f>
        <v>-151294.735624612</v>
      </c>
      <c r="AH23" s="273" t="n">
        <f aca="false">AG23+AH22</f>
        <v>-148946.827918241</v>
      </c>
      <c r="AI23" s="273" t="n">
        <f aca="false">AH23+AI22</f>
        <v>-146438.285063803</v>
      </c>
      <c r="AJ23" s="273" t="n">
        <f aca="false">AI23+AJ22</f>
        <v>-143774.48520739</v>
      </c>
      <c r="AK23" s="273" t="n">
        <f aca="false">AJ23+AK22</f>
        <v>-140960.680827799</v>
      </c>
      <c r="AL23" s="273" t="n">
        <f aca="false">AK23+AL22</f>
        <v>-138002.00130351</v>
      </c>
      <c r="AM23" s="273" t="n">
        <f aca="false">AL23+AM22</f>
        <v>-134903.455430825</v>
      </c>
      <c r="AN23" s="273" t="n">
        <f aca="false">AM23+AN22</f>
        <v>-131669.93389405</v>
      </c>
      <c r="AO23" s="273" t="n">
        <f aca="false">AN23+AO22</f>
        <v>-128306.211688609</v>
      </c>
      <c r="AP23" s="273" t="n">
        <f aca="false">AO23+AP22</f>
        <v>-124816.950497927</v>
      </c>
      <c r="AQ23" s="273" t="n">
        <f aca="false">AP23+AQ22</f>
        <v>-121206.701024944</v>
      </c>
      <c r="AR23" s="273" t="n">
        <f aca="false">AQ23+AR22</f>
        <v>-117479.905279081</v>
      </c>
      <c r="AS23" s="273" t="n">
        <f aca="false">AR23+AS22</f>
        <v>-113640.898819459</v>
      </c>
      <c r="AT23" s="273" t="n">
        <f aca="false">AS23+AT22</f>
        <v>-109693.912955201</v>
      </c>
      <c r="AU23" s="273" t="n">
        <f aca="false">AT23+AU22</f>
        <v>-105643.076903563</v>
      </c>
      <c r="AV23" s="273" t="n">
        <f aca="false">AU23+AV22</f>
        <v>-101492.419906694</v>
      </c>
      <c r="AW23" s="273" t="n">
        <f aca="false">AV23+AW22</f>
        <v>-97245.8733077743</v>
      </c>
      <c r="AX23" s="273" t="n">
        <f aca="false">AW23+AX22</f>
        <v>-92907.2725872681</v>
      </c>
      <c r="AY23" s="273" t="n">
        <f aca="false">AX23+AY22</f>
        <v>-88480.3593600305</v>
      </c>
      <c r="AZ23" s="273" t="n">
        <f aca="false">AY23+AZ22</f>
        <v>-83968.783333982</v>
      </c>
      <c r="BA23" s="273" t="n">
        <f aca="false">AZ23+BA22</f>
        <v>-79376.1042310576</v>
      </c>
      <c r="BB23" s="273" t="n">
        <f aca="false">BA23+BB22</f>
        <v>-74705.7936711203</v>
      </c>
      <c r="BC23" s="273" t="n">
        <f aca="false">BB23+BC22</f>
        <v>-69961.2370195221</v>
      </c>
      <c r="BD23" s="273" t="n">
        <f aca="false">BC23+BD22</f>
        <v>-65145.7351989775</v>
      </c>
      <c r="BE23" s="273" t="n">
        <f aca="false">BD23+BE22</f>
        <v>-60262.5064664083</v>
      </c>
      <c r="BF23" s="273" t="n">
        <f aca="false">BE23+BF22</f>
        <v>-55314.6881554024</v>
      </c>
      <c r="BG23" s="273" t="n">
        <f aca="false">BF23+BG22</f>
        <v>-50305.3383849203</v>
      </c>
      <c r="BH23" s="273" t="n">
        <f aca="false">BG23+BH22</f>
        <v>-45237.4377348703</v>
      </c>
      <c r="BI23" s="273" t="n">
        <f aca="false">BH23+BI22</f>
        <v>-40113.8908891649</v>
      </c>
      <c r="BJ23" s="273" t="n">
        <f aca="false">BI23+BJ22</f>
        <v>-34937.528246855</v>
      </c>
      <c r="BK23" s="273" t="n">
        <f aca="false">BJ23+BK22</f>
        <v>-29711.1075019348</v>
      </c>
      <c r="BL23" s="273" t="n">
        <f aca="false">BK23+BL22</f>
        <v>-24437.3151923917</v>
      </c>
      <c r="BM23" s="273" t="n">
        <f aca="false">BL23+BM22</f>
        <v>-19118.7682190741</v>
      </c>
      <c r="BN23" s="273" t="n">
        <f aca="false">BM23+BN22</f>
        <v>-13758.0153349302</v>
      </c>
      <c r="BO23" s="273" t="n">
        <f aca="false">BN23+BO22</f>
        <v>-8357.53860517103</v>
      </c>
      <c r="BP23" s="273" t="n">
        <f aca="false">BO23+BP22</f>
        <v>-2919.7548388911</v>
      </c>
      <c r="BQ23" s="273" t="n">
        <f aca="false">BP23+BQ22</f>
        <v>2552.98300732055</v>
      </c>
      <c r="BR23" s="273" t="n">
        <f aca="false">BQ23+BR22</f>
        <v>8058.38445326227</v>
      </c>
      <c r="BS23" s="273" t="n">
        <f aca="false">BR23+BS22</f>
        <v>13594.2201459835</v>
      </c>
      <c r="BT23" s="273" t="n">
        <f aca="false">BS23+BT22</f>
        <v>19158.3205371301</v>
      </c>
      <c r="BU23" s="273" t="n">
        <f aca="false">BT23+BU22</f>
        <v>24748.5745862784</v>
      </c>
      <c r="BV23" s="273" t="n">
        <f aca="false">BU23+BV22</f>
        <v>30362.9284897766</v>
      </c>
      <c r="BW23" s="273" t="n">
        <f aca="false">BV23+BW22</f>
        <v>35999.3844346176</v>
      </c>
      <c r="BX23" s="273" t="n">
        <f aca="false">BW23+BX22</f>
        <v>41655.9993768778</v>
      </c>
      <c r="BY23" s="273" t="n">
        <f aca="false">BX23+BY22</f>
        <v>47330.8838442653</v>
      </c>
      <c r="BZ23" s="273" t="n">
        <f aca="false">BY23+BZ22</f>
        <v>53022.2007623264</v>
      </c>
      <c r="CA23" s="273" t="n">
        <f aca="false">BZ23+CA22</f>
        <v>58627.7004483087</v>
      </c>
      <c r="CB23" s="273" t="n">
        <f aca="false">CA23+CB22</f>
        <v>64148.6769080508</v>
      </c>
      <c r="CC23" s="273" t="n">
        <f aca="false">CB23+CC22</f>
        <v>69586.404635563</v>
      </c>
      <c r="CD23" s="273" t="n">
        <f aca="false">CC23+CD22</f>
        <v>74942.1389072386</v>
      </c>
      <c r="CE23" s="273" t="n">
        <f aca="false">CD23+CE22</f>
        <v>80217.1160716292</v>
      </c>
      <c r="CF23" s="273" t="n">
        <f aca="false">CE23+CF22</f>
        <v>85412.5538348506</v>
      </c>
      <c r="CG23" s="273" t="n">
        <f aca="false">CF23+CG22</f>
        <v>90529.651541685</v>
      </c>
      <c r="CH23" s="273" t="n">
        <f aca="false">CG23+CH22</f>
        <v>95569.5904524446</v>
      </c>
      <c r="CI23" s="273" t="n">
        <f aca="false">CH23+CI22</f>
        <v>100533.534015661</v>
      </c>
      <c r="CJ23" s="273" t="n">
        <f aca="false">CI23+CJ22</f>
        <v>105422.628136661</v>
      </c>
      <c r="CK23" s="273" t="n">
        <f aca="false">CJ23+CK22</f>
        <v>110238.001442097</v>
      </c>
      <c r="CL23" s="273" t="n">
        <f aca="false">CK23+CL22</f>
        <v>114980.765540481</v>
      </c>
      <c r="CM23" s="273" t="n">
        <f aca="false">CL23+CM22</f>
        <v>119652.0152788</v>
      </c>
      <c r="CN23" s="273" t="n">
        <f aca="false">CM23+CN22</f>
        <v>124252.828995251</v>
      </c>
      <c r="CO23" s="273" t="n">
        <f aca="false">CN23+CO22</f>
        <v>128784.268768178</v>
      </c>
      <c r="CP23" s="273" t="n">
        <f aca="false">CO23+CP22</f>
        <v>133247.380661241</v>
      </c>
      <c r="CQ23" s="273" t="n">
        <f aca="false">CP23+CQ22</f>
        <v>137643.1949649</v>
      </c>
      <c r="CR23" s="273" t="n">
        <f aca="false">CQ23+CR22</f>
        <v>141972.726434251</v>
      </c>
      <c r="CS23" s="273" t="n">
        <f aca="false">CR23+CS22</f>
        <v>146236.97452328</v>
      </c>
      <c r="CT23" s="273" t="n">
        <f aca="false">CS23+CT22</f>
        <v>150436.92361558</v>
      </c>
      <c r="CU23" s="273" t="n">
        <f aca="false">CT23+CU22</f>
        <v>154573.543251593</v>
      </c>
      <c r="CV23" s="273" t="n">
        <f aca="false">CU23+CV22</f>
        <v>158647.788352427</v>
      </c>
      <c r="CW23" s="273" t="n">
        <f aca="false">CV23+CW22</f>
        <v>162660.59944029</v>
      </c>
      <c r="CX23" s="273" t="n">
        <f aca="false">CW23+CX22</f>
        <v>166612.90285561</v>
      </c>
      <c r="CY23" s="273" t="n">
        <f aca="false">CX23+CY22</f>
        <v>170505.610970875</v>
      </c>
      <c r="CZ23" s="273" t="n">
        <f aca="false">CY23+CZ22</f>
        <v>174339.622401252</v>
      </c>
      <c r="DA23" s="273" t="n">
        <f aca="false">CZ23+DA22</f>
        <v>178115.822212024</v>
      </c>
      <c r="DB23" s="273" t="n">
        <f aca="false">DA23+DB22</f>
        <v>181835.08212291</v>
      </c>
      <c r="DC23" s="273" t="n">
        <f aca="false">DB23+DC22</f>
        <v>185498.260709293</v>
      </c>
      <c r="DD23" s="273" t="n">
        <f aca="false">DC23+DD22</f>
        <v>189106.203600418</v>
      </c>
      <c r="DE23" s="273" t="n">
        <f aca="false">DD23+DE22</f>
        <v>192659.743674609</v>
      </c>
      <c r="DF23" s="273" t="n">
        <f aca="false">DE23+DF22</f>
        <v>196159.701251525</v>
      </c>
      <c r="DG23" s="273" t="n">
        <f aca="false">DF23+DG22</f>
        <v>199606.884281537</v>
      </c>
      <c r="DH23" s="273" t="n">
        <f aca="false">DG23+DH22</f>
        <v>203002.088532231</v>
      </c>
      <c r="DI23" s="273" t="n">
        <f aca="false">DH23+DI22</f>
        <v>206346.097772117</v>
      </c>
      <c r="DJ23" s="273" t="n">
        <f aca="false">DI23+DJ22</f>
        <v>209639.683951551</v>
      </c>
      <c r="DK23" s="273" t="n">
        <f aca="false">DJ23+DK22</f>
        <v>212883.607380939</v>
      </c>
      <c r="DL23" s="273" t="n">
        <f aca="false">DK23+DL22</f>
        <v>216078.616906252</v>
      </c>
      <c r="DM23" s="273" t="n">
        <f aca="false">DL23+DM22</f>
        <v>219225.450081896</v>
      </c>
      <c r="DN23" s="273" t="n">
        <f aca="false">DM23+DN22</f>
        <v>222324.833340968</v>
      </c>
      <c r="DO23" s="273" t="n">
        <f aca="false">DN23+DO22</f>
        <v>225377.482162953</v>
      </c>
      <c r="DP23" s="273" t="n">
        <f aca="false">DO23+DP22</f>
        <v>228384.101238891</v>
      </c>
      <c r="DQ23" s="273" t="n">
        <f aca="false">DP23+DQ22</f>
        <v>231345.38463405</v>
      </c>
      <c r="DR23" s="273" t="n">
        <f aca="false">DQ23+DR22</f>
        <v>234262.015948147</v>
      </c>
      <c r="DS23" s="273" t="n">
        <f aca="false">DR23+DS22</f>
        <v>237134.668473156</v>
      </c>
    </row>
    <row r="25" customFormat="false" ht="15" hidden="false" customHeight="true" outlineLevel="0" collapsed="false">
      <c r="A25" s="186" t="s">
        <v>3609</v>
      </c>
      <c r="B25" s="25"/>
      <c r="C25" s="25"/>
    </row>
    <row r="26" customFormat="false" ht="15" hidden="false" customHeight="true" outlineLevel="0" collapsed="false">
      <c r="B26" s="178" t="s">
        <v>3610</v>
      </c>
      <c r="C26" s="268" t="n">
        <f aca="false">SUP_C4_RETAIL!$C$12</f>
        <v>225849.624</v>
      </c>
    </row>
    <row r="27" customFormat="false" ht="15" hidden="false" customHeight="true" outlineLevel="0" collapsed="false">
      <c r="B27" s="178" t="s">
        <v>134</v>
      </c>
      <c r="C27" s="268" t="n">
        <f aca="false">NPV(SUP_CONTROL!$C$32,D20:DS20)</f>
        <v>237134.668473156</v>
      </c>
    </row>
    <row r="28" customFormat="false" ht="15" hidden="false" customHeight="true" outlineLevel="0" collapsed="false">
      <c r="B28" s="178" t="s">
        <v>190</v>
      </c>
      <c r="C28" s="272" t="n">
        <f aca="false">IFERROR((1+IRR(D20:DS20,0.01))^12-1,"n/a")</f>
        <v>0.521729917481296</v>
      </c>
    </row>
    <row r="29" customFormat="false" ht="15" hidden="false" customHeight="true" outlineLevel="0" collapsed="false">
      <c r="B29" s="178" t="s">
        <v>3469</v>
      </c>
      <c r="C29" s="275" t="n">
        <f aca="false">IF(COUNTIF(D21:DS21,"&lt;0")&gt;=120,"no recupera",COUNTIF(D21:DS21,"&lt;0")+1)</f>
        <v>36</v>
      </c>
    </row>
    <row r="30" customFormat="false" ht="15" hidden="false" customHeight="true" outlineLevel="0" collapsed="false">
      <c r="B30" s="178" t="s">
        <v>3470</v>
      </c>
      <c r="C30" s="275" t="n">
        <f aca="false">IF(COUNTIF(D23:DS23,"&lt;0")&gt;=120,"no recupera",COUNTIF(D23:DS23,"&lt;0")+1)</f>
        <v>45</v>
      </c>
    </row>
    <row r="31" customFormat="false" ht="15" hidden="false" customHeight="true" outlineLevel="0" collapsed="false">
      <c r="B31" s="178" t="s">
        <v>3611</v>
      </c>
      <c r="C31" s="275" t="n">
        <f aca="false">DS7</f>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A1:DS73"/>
  <sheetViews>
    <sheetView showFormulas="false" showGridLines="true" showRowColHeaders="true" showZeros="true" rightToLeft="false" tabSelected="false" showOutlineSymbols="true" defaultGridColor="true" view="normal" topLeftCell="A32" colorId="64" zoomScale="130" zoomScaleNormal="130" zoomScalePageLayoutView="100" workbookViewId="0">
      <selection pane="topLeft" activeCell="J30" activeCellId="0" sqref="J30"/>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6"/>
    <col collapsed="false" customWidth="true" hidden="false" outlineLevel="0" max="3" min="3" style="1" width="26.16"/>
    <col collapsed="false" customWidth="true" hidden="false" outlineLevel="0" max="123" min="4" style="1" width="10"/>
  </cols>
  <sheetData>
    <row r="1" customFormat="false" ht="15" hidden="false" customHeight="true" outlineLevel="0" collapsed="false">
      <c r="A1" s="185" t="s">
        <v>3612</v>
      </c>
      <c r="B1" s="126"/>
      <c r="C1" s="126"/>
      <c r="D1" s="126"/>
      <c r="E1" s="126"/>
      <c r="F1" s="126"/>
      <c r="G1" s="126"/>
      <c r="H1" s="126"/>
      <c r="I1" s="126"/>
    </row>
    <row r="2" customFormat="false" ht="15" hidden="false" customHeight="true" outlineLevel="0" collapsed="false">
      <c r="A2" s="23" t="s">
        <v>3613</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6" customFormat="false" ht="15" hidden="false" customHeight="true" outlineLevel="0" collapsed="false">
      <c r="B6" s="297" t="s">
        <v>3614</v>
      </c>
      <c r="D6" s="273" t="n">
        <f aca="false">SUP_CONTROL!$C$11*CAPA1_PILOTO!D33</f>
        <v>-669342.743666667</v>
      </c>
      <c r="E6" s="273" t="n">
        <f aca="false">SUP_CONTROL!$C$11*CAPA1_PILOTO!E33</f>
        <v>-470743.743666667</v>
      </c>
      <c r="F6" s="273" t="n">
        <f aca="false">SUP_CONTROL!$C$11*CAPA1_PILOTO!F33</f>
        <v>-425743.743666667</v>
      </c>
      <c r="G6" s="273" t="n">
        <f aca="false">SUP_CONTROL!$C$11*CAPA1_PILOTO!G33</f>
        <v>-265599.947130978</v>
      </c>
      <c r="H6" s="273" t="n">
        <f aca="false">SUP_CONTROL!$C$11*CAPA1_PILOTO!H33</f>
        <v>-289956.902263237</v>
      </c>
      <c r="I6" s="273" t="n">
        <f aca="false">SUP_CONTROL!$C$11*CAPA1_PILOTO!I33</f>
        <v>6835.93830026941</v>
      </c>
      <c r="J6" s="273" t="n">
        <f aca="false">SUP_CONTROL!$C$11*CAPA1_PILOTO!J33</f>
        <v>10951.5965109153</v>
      </c>
      <c r="K6" s="273" t="n">
        <f aca="false">SUP_CONTROL!$C$11*CAPA1_PILOTO!K33</f>
        <v>17051.2906689435</v>
      </c>
      <c r="L6" s="273" t="n">
        <f aca="false">SUP_CONTROL!$C$11*CAPA1_PILOTO!L33</f>
        <v>58155.0554584569</v>
      </c>
      <c r="M6" s="273" t="n">
        <f aca="false">SUP_CONTROL!$C$11*CAPA1_PILOTO!M33</f>
        <v>56512.1551426885</v>
      </c>
      <c r="N6" s="273" t="n">
        <f aca="false">SUP_CONTROL!$C$11*CAPA1_PILOTO!N33</f>
        <v>50112.1551426885</v>
      </c>
      <c r="O6" s="273" t="n">
        <f aca="false">SUP_CONTROL!$C$11*CAPA1_PILOTO!O33</f>
        <v>50112.1551426885</v>
      </c>
      <c r="P6" s="273" t="n">
        <f aca="false">SUP_CONTROL!$C$11*CAPA1_PILOTO!P33</f>
        <v>54017.1439091533</v>
      </c>
      <c r="Q6" s="273" t="n">
        <f aca="false">SUP_CONTROL!$C$11*CAPA1_PILOTO!Q33</f>
        <v>54017.1439091533</v>
      </c>
      <c r="R6" s="273" t="n">
        <f aca="false">SUP_CONTROL!$C$11*CAPA1_PILOTO!R33</f>
        <v>54017.1439091533</v>
      </c>
      <c r="S6" s="273" t="n">
        <f aca="false">SUP_CONTROL!$C$11*CAPA1_PILOTO!S33</f>
        <v>54017.1439091533</v>
      </c>
      <c r="T6" s="273" t="n">
        <f aca="false">SUP_CONTROL!$C$11*CAPA1_PILOTO!T33</f>
        <v>54017.1439091533</v>
      </c>
      <c r="U6" s="273" t="n">
        <f aca="false">SUP_CONTROL!$C$11*CAPA1_PILOTO!U33</f>
        <v>54017.1439091533</v>
      </c>
      <c r="V6" s="273" t="n">
        <f aca="false">SUP_CONTROL!$C$11*CAPA1_PILOTO!V33</f>
        <v>54424.4363466533</v>
      </c>
      <c r="W6" s="273" t="n">
        <f aca="false">SUP_CONTROL!$C$11*CAPA1_PILOTO!W33</f>
        <v>54866.8642575845</v>
      </c>
      <c r="X6" s="273" t="n">
        <f aca="false">SUP_CONTROL!$C$11*CAPA1_PILOTO!X33</f>
        <v>54993.60141957</v>
      </c>
      <c r="Y6" s="273" t="n">
        <f aca="false">SUP_CONTROL!$C$11*CAPA1_PILOTO!Y33</f>
        <v>55389.2663587351</v>
      </c>
      <c r="Z6" s="273" t="n">
        <f aca="false">SUP_CONTROL!$C$11*CAPA1_PILOTO!Z33</f>
        <v>55496.2946591533</v>
      </c>
      <c r="AA6" s="273" t="n">
        <f aca="false">SUP_CONTROL!$C$11*CAPA1_PILOTO!AA33</f>
        <v>55538.0201849685</v>
      </c>
      <c r="AB6" s="273" t="n">
        <f aca="false">SUP_CONTROL!$C$11*CAPA1_PILOTO!AB33</f>
        <v>59484.1341099706</v>
      </c>
      <c r="AC6" s="273" t="n">
        <f aca="false">SUP_CONTROL!$C$11*CAPA1_PILOTO!AC33</f>
        <v>59484.1341099706</v>
      </c>
      <c r="AD6" s="273" t="n">
        <f aca="false">SUP_CONTROL!$C$11*CAPA1_PILOTO!AD33</f>
        <v>56485.6076279562</v>
      </c>
      <c r="AE6" s="273" t="n">
        <f aca="false">SUP_CONTROL!$C$11*CAPA1_PILOTO!AE33</f>
        <v>56485.6076279562</v>
      </c>
      <c r="AF6" s="273" t="n">
        <f aca="false">SUP_CONTROL!$C$11*CAPA1_PILOTO!AF33</f>
        <v>56485.6076279562</v>
      </c>
      <c r="AG6" s="273" t="n">
        <f aca="false">SUP_CONTROL!$C$11*CAPA1_PILOTO!AG33</f>
        <v>56412.8352353121</v>
      </c>
      <c r="AH6" s="273" t="n">
        <f aca="false">SUP_CONTROL!$C$11*CAPA1_PILOTO!AH33</f>
        <v>56412.8352353121</v>
      </c>
      <c r="AI6" s="273" t="n">
        <f aca="false">SUP_CONTROL!$C$11*CAPA1_PILOTO!AI33</f>
        <v>57042.5348853507</v>
      </c>
      <c r="AJ6" s="273" t="n">
        <f aca="false">SUP_CONTROL!$C$11*CAPA1_PILOTO!AJ33</f>
        <v>57605.4181335907</v>
      </c>
      <c r="AK6" s="273" t="n">
        <f aca="false">SUP_CONTROL!$C$11*CAPA1_PILOTO!AK33</f>
        <v>57778.9887386381</v>
      </c>
      <c r="AL6" s="273" t="n">
        <f aca="false">SUP_CONTROL!$C$11*CAPA1_PILOTO!AL33</f>
        <v>58287.4632512783</v>
      </c>
      <c r="AM6" s="273" t="n">
        <f aca="false">SUP_CONTROL!$C$11*CAPA1_PILOTO!AM33</f>
        <v>58422.5010675466</v>
      </c>
      <c r="AN6" s="273" t="n">
        <f aca="false">SUP_CONTROL!$C$11*CAPA1_PILOTO!AN33</f>
        <v>60757.7109945229</v>
      </c>
      <c r="AO6" s="273" t="n">
        <f aca="false">SUP_CONTROL!$C$11*CAPA1_PILOTO!AO33</f>
        <v>60878.3258124451</v>
      </c>
      <c r="AP6" s="273" t="n">
        <f aca="false">SUP_CONTROL!$C$11*CAPA1_PILOTO!AP33</f>
        <v>60837.4151407669</v>
      </c>
      <c r="AQ6" s="273" t="n">
        <f aca="false">SUP_CONTROL!$C$11*CAPA1_PILOTO!AQ33</f>
        <v>61258.4144320013</v>
      </c>
      <c r="AR6" s="273" t="n">
        <f aca="false">SUP_CONTROL!$C$11*CAPA1_PILOTO!AR33</f>
        <v>61602.03216371</v>
      </c>
      <c r="AS6" s="273" t="n">
        <f aca="false">SUP_CONTROL!$C$11*CAPA1_PILOTO!AS33</f>
        <v>61948.9265490006</v>
      </c>
      <c r="AT6" s="273" t="n">
        <f aca="false">SUP_CONTROL!$C$11*CAPA1_PILOTO!AT33</f>
        <v>62299.6305320263</v>
      </c>
      <c r="AU6" s="273" t="n">
        <f aca="false">SUP_CONTROL!$C$11*CAPA1_PILOTO!AU33</f>
        <v>62411.5996550008</v>
      </c>
      <c r="AV6" s="273" t="n">
        <f aca="false">SUP_CONTROL!$C$11*CAPA1_PILOTO!AV33</f>
        <v>62474.0542825138</v>
      </c>
      <c r="AW6" s="273" t="n">
        <f aca="false">SUP_CONTROL!$C$11*CAPA1_PILOTO!AW33</f>
        <v>62755.0616587555</v>
      </c>
      <c r="AX6" s="273" t="n">
        <f aca="false">SUP_CONTROL!$C$11*CAPA1_PILOTO!AX33</f>
        <v>62810.3128588552</v>
      </c>
      <c r="AY6" s="273" t="n">
        <f aca="false">SUP_CONTROL!$C$11*CAPA1_PILOTO!AY33</f>
        <v>63022.6827189836</v>
      </c>
      <c r="AZ6" s="273" t="n">
        <f aca="false">SUP_CONTROL!$C$11*CAPA1_PILOTO!AZ33</f>
        <v>65211.6594988977</v>
      </c>
      <c r="BA6" s="273" t="n">
        <f aca="false">SUP_CONTROL!$C$11*CAPA1_PILOTO!BA33</f>
        <v>65272.3597475273</v>
      </c>
      <c r="BB6" s="273" t="n">
        <f aca="false">SUP_CONTROL!$C$11*CAPA1_PILOTO!BB33</f>
        <v>61956.665336426</v>
      </c>
      <c r="BC6" s="273" t="n">
        <f aca="false">SUP_CONTROL!$C$11*CAPA1_PILOTO!BC33</f>
        <v>61992.9833670705</v>
      </c>
      <c r="BD6" s="273" t="n">
        <f aca="false">SUP_CONTROL!$C$11*CAPA1_PILOTO!BD33</f>
        <v>61992.9833670705</v>
      </c>
      <c r="BE6" s="273" t="n">
        <f aca="false">SUP_CONTROL!$C$11*CAPA1_PILOTO!BE33</f>
        <v>61992.9833670705</v>
      </c>
      <c r="BF6" s="273" t="n">
        <f aca="false">SUP_CONTROL!$C$11*CAPA1_PILOTO!BF33</f>
        <v>61848.2077122287</v>
      </c>
      <c r="BG6" s="273" t="n">
        <f aca="false">SUP_CONTROL!$C$11*CAPA1_PILOTO!BG33</f>
        <v>61848.2077122287</v>
      </c>
      <c r="BH6" s="273" t="n">
        <f aca="false">SUP_CONTROL!$C$11*CAPA1_PILOTO!BH33</f>
        <v>61848.2077122287</v>
      </c>
      <c r="BI6" s="273" t="n">
        <f aca="false">SUP_CONTROL!$C$11*CAPA1_PILOTO!BI33</f>
        <v>62298.2098056505</v>
      </c>
      <c r="BJ6" s="273" t="n">
        <f aca="false">SUP_CONTROL!$C$11*CAPA1_PILOTO!BJ33</f>
        <v>62601.541532143</v>
      </c>
      <c r="BK6" s="273" t="n">
        <f aca="false">SUP_CONTROL!$C$11*CAPA1_PILOTO!BK33</f>
        <v>62840.8643506956</v>
      </c>
      <c r="BL6" s="273" t="n">
        <f aca="false">SUP_CONTROL!$C$11*CAPA1_PILOTO!BL33</f>
        <v>65109.1738273391</v>
      </c>
      <c r="BM6" s="273" t="n">
        <f aca="false">SUP_CONTROL!$C$11*CAPA1_PILOTO!BM33</f>
        <v>65374.3333363221</v>
      </c>
      <c r="BN6" s="273" t="n">
        <f aca="false">SUP_CONTROL!$C$11*CAPA1_PILOTO!BN33</f>
        <v>65623.2655559947</v>
      </c>
      <c r="BO6" s="273" t="n">
        <f aca="false">SUP_CONTROL!$C$11*CAPA1_PILOTO!BO33</f>
        <v>65704.4219932137</v>
      </c>
      <c r="BP6" s="273" t="n">
        <f aca="false">SUP_CONTROL!$C$11*CAPA1_PILOTO!BP33</f>
        <v>65937.0896038696</v>
      </c>
      <c r="BQ6" s="273" t="n">
        <f aca="false">SUP_CONTROL!$C$11*CAPA1_PILOTO!BQ33</f>
        <v>66025.4979840759</v>
      </c>
      <c r="BR6" s="273" t="n">
        <f aca="false">SUP_CONTROL!$C$11*CAPA1_PILOTO!BR33</f>
        <v>66212.5687865602</v>
      </c>
      <c r="BS6" s="273" t="n">
        <f aca="false">SUP_CONTROL!$C$11*CAPA1_PILOTO!BS33</f>
        <v>66409.1343560079</v>
      </c>
      <c r="BT6" s="273" t="n">
        <f aca="false">SUP_CONTROL!$C$11*CAPA1_PILOTO!BT33</f>
        <v>66624.3201314102</v>
      </c>
      <c r="BU6" s="273" t="n">
        <f aca="false">SUP_CONTROL!$C$11*CAPA1_PILOTO!BU33</f>
        <v>66802.0813582174</v>
      </c>
      <c r="BV6" s="273" t="n">
        <f aca="false">SUP_CONTROL!$C$11*CAPA1_PILOTO!BV33</f>
        <v>66968.5318500869</v>
      </c>
      <c r="BW6" s="273" t="n">
        <f aca="false">SUP_CONTROL!$C$11*CAPA1_PILOTO!BW33</f>
        <v>67048.8631315144</v>
      </c>
      <c r="BX6" s="273" t="n">
        <f aca="false">SUP_CONTROL!$C$11*CAPA1_PILOTO!BX33</f>
        <v>69177.0405178368</v>
      </c>
      <c r="BY6" s="273" t="n">
        <f aca="false">SUP_CONTROL!$C$11*CAPA1_PILOTO!BY33</f>
        <v>69233.0291410785</v>
      </c>
      <c r="BZ6" s="273" t="n">
        <f aca="false">SUP_CONTROL!$C$11*CAPA1_PILOTO!BZ33</f>
        <v>69440.795549166</v>
      </c>
      <c r="CA6" s="273" t="n">
        <f aca="false">SUP_CONTROL!$C$11*CAPA1_PILOTO!CA33</f>
        <v>69579.301482439</v>
      </c>
      <c r="CB6" s="273" t="n">
        <f aca="false">SUP_CONTROL!$C$11*CAPA1_PILOTO!CB33</f>
        <v>69627.393998885</v>
      </c>
      <c r="CC6" s="273" t="n">
        <f aca="false">SUP_CONTROL!$C$11*CAPA1_PILOTO!CC33</f>
        <v>69757.6501760049</v>
      </c>
      <c r="CD6" s="273" t="n">
        <f aca="false">SUP_CONTROL!$C$11*CAPA1_PILOTO!CD33</f>
        <v>69892.7209423177</v>
      </c>
      <c r="CE6" s="273" t="n">
        <f aca="false">SUP_CONTROL!$C$11*CAPA1_PILOTO!CE33</f>
        <v>70005.7010837724</v>
      </c>
      <c r="CF6" s="273" t="n">
        <f aca="false">SUP_CONTROL!$C$11*CAPA1_PILOTO!CF33</f>
        <v>70112.66183809</v>
      </c>
      <c r="CG6" s="273" t="n">
        <f aca="false">SUP_CONTROL!$C$11*CAPA1_PILOTO!CG33</f>
        <v>70231.4186224082</v>
      </c>
      <c r="CH6" s="273" t="n">
        <f aca="false">SUP_CONTROL!$C$11*CAPA1_PILOTO!CH33</f>
        <v>69387.8370348332</v>
      </c>
      <c r="CI6" s="273" t="n">
        <f aca="false">SUP_CONTROL!$C$11*CAPA1_PILOTO!CI33</f>
        <v>69510.1423310642</v>
      </c>
      <c r="CJ6" s="273" t="n">
        <f aca="false">SUP_CONTROL!$C$11*CAPA1_PILOTO!CJ33</f>
        <v>69559.9615401079</v>
      </c>
      <c r="CK6" s="273" t="n">
        <f aca="false">SUP_CONTROL!$C$11*CAPA1_PILOTO!CK33</f>
        <v>69583.538870848</v>
      </c>
      <c r="CL6" s="273" t="n">
        <f aca="false">SUP_CONTROL!$C$11*CAPA1_PILOTO!CL33</f>
        <v>69593.7312320315</v>
      </c>
      <c r="CM6" s="273" t="n">
        <f aca="false">SUP_CONTROL!$C$11*CAPA1_PILOTO!CM33</f>
        <v>69593.7312320315</v>
      </c>
      <c r="CN6" s="273" t="n">
        <f aca="false">SUP_CONTROL!$C$11*CAPA1_PILOTO!CN33</f>
        <v>69593.7312320315</v>
      </c>
      <c r="CO6" s="273" t="n">
        <f aca="false">SUP_CONTROL!$C$11*CAPA1_PILOTO!CO33</f>
        <v>69593.7312320315</v>
      </c>
      <c r="CP6" s="273" t="n">
        <f aca="false">SUP_CONTROL!$C$11*CAPA1_PILOTO!CP33</f>
        <v>69593.7312320315</v>
      </c>
      <c r="CQ6" s="273" t="n">
        <f aca="false">SUP_CONTROL!$C$11*CAPA1_PILOTO!CQ33</f>
        <v>69593.7312320315</v>
      </c>
      <c r="CR6" s="273" t="n">
        <f aca="false">SUP_CONTROL!$C$11*CAPA1_PILOTO!CR33</f>
        <v>69593.7312320315</v>
      </c>
      <c r="CS6" s="273" t="n">
        <f aca="false">SUP_CONTROL!$C$11*CAPA1_PILOTO!CS33</f>
        <v>69593.7312320315</v>
      </c>
      <c r="CT6" s="273" t="n">
        <f aca="false">SUP_CONTROL!$C$11*CAPA1_PILOTO!CT33</f>
        <v>69593.7312320315</v>
      </c>
      <c r="CU6" s="273" t="n">
        <f aca="false">SUP_CONTROL!$C$11*CAPA1_PILOTO!CU33</f>
        <v>69593.7312320315</v>
      </c>
      <c r="CV6" s="273" t="n">
        <f aca="false">SUP_CONTROL!$C$11*CAPA1_PILOTO!CV33</f>
        <v>69593.7312320315</v>
      </c>
      <c r="CW6" s="273" t="n">
        <f aca="false">SUP_CONTROL!$C$11*CAPA1_PILOTO!CW33</f>
        <v>69593.7312320315</v>
      </c>
      <c r="CX6" s="273" t="n">
        <f aca="false">SUP_CONTROL!$C$11*CAPA1_PILOTO!CX33</f>
        <v>69593.7312320315</v>
      </c>
      <c r="CY6" s="273" t="n">
        <f aca="false">SUP_CONTROL!$C$11*CAPA1_PILOTO!CY33</f>
        <v>69593.7312320315</v>
      </c>
      <c r="CZ6" s="273" t="n">
        <f aca="false">SUP_CONTROL!$C$11*CAPA1_PILOTO!CZ33</f>
        <v>69593.7312320315</v>
      </c>
      <c r="DA6" s="273" t="n">
        <f aca="false">SUP_CONTROL!$C$11*CAPA1_PILOTO!DA33</f>
        <v>69593.7312320315</v>
      </c>
      <c r="DB6" s="273" t="n">
        <f aca="false">SUP_CONTROL!$C$11*CAPA1_PILOTO!DB33</f>
        <v>69593.7312320315</v>
      </c>
      <c r="DC6" s="273" t="n">
        <f aca="false">SUP_CONTROL!$C$11*CAPA1_PILOTO!DC33</f>
        <v>69593.7312320315</v>
      </c>
      <c r="DD6" s="273" t="n">
        <f aca="false">SUP_CONTROL!$C$11*CAPA1_PILOTO!DD33</f>
        <v>69593.7312320315</v>
      </c>
      <c r="DE6" s="273" t="n">
        <f aca="false">SUP_CONTROL!$C$11*CAPA1_PILOTO!DE33</f>
        <v>69593.7312320315</v>
      </c>
      <c r="DF6" s="273" t="n">
        <f aca="false">SUP_CONTROL!$C$11*CAPA1_PILOTO!DF33</f>
        <v>69593.7312320315</v>
      </c>
      <c r="DG6" s="273" t="n">
        <f aca="false">SUP_CONTROL!$C$11*CAPA1_PILOTO!DG33</f>
        <v>69593.7312320315</v>
      </c>
      <c r="DH6" s="273" t="n">
        <f aca="false">SUP_CONTROL!$C$11*CAPA1_PILOTO!DH33</f>
        <v>69593.7312320315</v>
      </c>
      <c r="DI6" s="273" t="n">
        <f aca="false">SUP_CONTROL!$C$11*CAPA1_PILOTO!DI33</f>
        <v>69593.7312320315</v>
      </c>
      <c r="DJ6" s="273" t="n">
        <f aca="false">SUP_CONTROL!$C$11*CAPA1_PILOTO!DJ33</f>
        <v>69593.7312320315</v>
      </c>
      <c r="DK6" s="273" t="n">
        <f aca="false">SUP_CONTROL!$C$11*CAPA1_PILOTO!DK33</f>
        <v>69593.7312320315</v>
      </c>
      <c r="DL6" s="273" t="n">
        <f aca="false">SUP_CONTROL!$C$11*CAPA1_PILOTO!DL33</f>
        <v>69593.7312320315</v>
      </c>
      <c r="DM6" s="273" t="n">
        <f aca="false">SUP_CONTROL!$C$11*CAPA1_PILOTO!DM33</f>
        <v>69593.7312320315</v>
      </c>
      <c r="DN6" s="273" t="n">
        <f aca="false">SUP_CONTROL!$C$11*CAPA1_PILOTO!DN33</f>
        <v>69593.7312320315</v>
      </c>
      <c r="DO6" s="273" t="n">
        <f aca="false">SUP_CONTROL!$C$11*CAPA1_PILOTO!DO33</f>
        <v>69593.7312320315</v>
      </c>
      <c r="DP6" s="273" t="n">
        <f aca="false">SUP_CONTROL!$C$11*CAPA1_PILOTO!DP33</f>
        <v>69593.7312320315</v>
      </c>
      <c r="DQ6" s="273" t="n">
        <f aca="false">SUP_CONTROL!$C$11*CAPA1_PILOTO!DQ33</f>
        <v>69593.7312320315</v>
      </c>
      <c r="DR6" s="273" t="n">
        <f aca="false">SUP_CONTROL!$C$11*CAPA1_PILOTO!DR33</f>
        <v>69593.7312320315</v>
      </c>
      <c r="DS6" s="273" t="n">
        <f aca="false">SUP_CONTROL!$C$11*CAPA1_PILOTO!DS33</f>
        <v>69593.7312320315</v>
      </c>
    </row>
    <row r="7" customFormat="false" ht="15" hidden="false" customHeight="true" outlineLevel="0" collapsed="false">
      <c r="B7" s="297" t="s">
        <v>3615</v>
      </c>
      <c r="D7" s="273" t="n">
        <f aca="false">SUP_CONTROL!$C$12*CAPA2_FLAGSHIP!D27</f>
        <v>0</v>
      </c>
      <c r="E7" s="273" t="n">
        <f aca="false">SUP_CONTROL!$C$12*CAPA2_FLAGSHIP!E27</f>
        <v>0</v>
      </c>
      <c r="F7" s="273" t="n">
        <f aca="false">SUP_CONTROL!$C$12*CAPA2_FLAGSHIP!F27</f>
        <v>0</v>
      </c>
      <c r="G7" s="273" t="n">
        <f aca="false">SUP_CONTROL!$C$12*CAPA2_FLAGSHIP!G27</f>
        <v>-0</v>
      </c>
      <c r="H7" s="273" t="n">
        <f aca="false">SUP_CONTROL!$C$12*CAPA2_FLAGSHIP!H27</f>
        <v>-0</v>
      </c>
      <c r="I7" s="273" t="n">
        <f aca="false">SUP_CONTROL!$C$12*CAPA2_FLAGSHIP!I27</f>
        <v>-0</v>
      </c>
      <c r="J7" s="273" t="n">
        <f aca="false">SUP_CONTROL!$C$12*CAPA2_FLAGSHIP!J27</f>
        <v>-0</v>
      </c>
      <c r="K7" s="273" t="n">
        <f aca="false">SUP_CONTROL!$C$12*CAPA2_FLAGSHIP!K27</f>
        <v>0</v>
      </c>
      <c r="L7" s="273" t="n">
        <f aca="false">SUP_CONTROL!$C$12*CAPA2_FLAGSHIP!L27</f>
        <v>0</v>
      </c>
      <c r="M7" s="273" t="n">
        <f aca="false">SUP_CONTROL!$C$12*CAPA2_FLAGSHIP!M27</f>
        <v>0</v>
      </c>
      <c r="N7" s="273" t="n">
        <f aca="false">SUP_CONTROL!$C$12*CAPA2_FLAGSHIP!N27</f>
        <v>0</v>
      </c>
      <c r="O7" s="273" t="n">
        <f aca="false">SUP_CONTROL!$C$12*CAPA2_FLAGSHIP!O27</f>
        <v>0</v>
      </c>
      <c r="P7" s="273" t="n">
        <f aca="false">SUP_CONTROL!$C$12*CAPA2_FLAGSHIP!P27</f>
        <v>0</v>
      </c>
      <c r="Q7" s="273" t="n">
        <f aca="false">SUP_CONTROL!$C$12*CAPA2_FLAGSHIP!Q27</f>
        <v>0</v>
      </c>
      <c r="R7" s="273" t="n">
        <f aca="false">SUP_CONTROL!$C$12*CAPA2_FLAGSHIP!R27</f>
        <v>0</v>
      </c>
      <c r="S7" s="273" t="n">
        <f aca="false">SUP_CONTROL!$C$12*CAPA2_FLAGSHIP!S27</f>
        <v>0</v>
      </c>
      <c r="T7" s="273" t="n">
        <f aca="false">SUP_CONTROL!$C$12*CAPA2_FLAGSHIP!T27</f>
        <v>0</v>
      </c>
      <c r="U7" s="273" t="n">
        <f aca="false">SUP_CONTROL!$C$12*CAPA2_FLAGSHIP!U27</f>
        <v>0</v>
      </c>
      <c r="V7" s="273" t="n">
        <f aca="false">SUP_CONTROL!$C$12*CAPA2_FLAGSHIP!V27</f>
        <v>0</v>
      </c>
      <c r="W7" s="273" t="n">
        <f aca="false">SUP_CONTROL!$C$12*CAPA2_FLAGSHIP!W27</f>
        <v>0</v>
      </c>
      <c r="X7" s="273" t="n">
        <f aca="false">SUP_CONTROL!$C$12*CAPA2_FLAGSHIP!X27</f>
        <v>0</v>
      </c>
      <c r="Y7" s="273" t="n">
        <f aca="false">SUP_CONTROL!$C$12*CAPA2_FLAGSHIP!Y27</f>
        <v>0</v>
      </c>
      <c r="Z7" s="273" t="n">
        <f aca="false">SUP_CONTROL!$C$12*CAPA2_FLAGSHIP!Z27</f>
        <v>0</v>
      </c>
      <c r="AA7" s="273" t="n">
        <f aca="false">SUP_CONTROL!$C$12*CAPA2_FLAGSHIP!AA27</f>
        <v>0</v>
      </c>
      <c r="AB7" s="273" t="n">
        <f aca="false">SUP_CONTROL!$C$12*CAPA2_FLAGSHIP!AB27</f>
        <v>0</v>
      </c>
      <c r="AC7" s="273" t="n">
        <f aca="false">SUP_CONTROL!$C$12*CAPA2_FLAGSHIP!AC27</f>
        <v>0</v>
      </c>
      <c r="AD7" s="273" t="n">
        <f aca="false">SUP_CONTROL!$C$12*CAPA2_FLAGSHIP!AD27</f>
        <v>0</v>
      </c>
      <c r="AE7" s="273" t="n">
        <f aca="false">SUP_CONTROL!$C$12*CAPA2_FLAGSHIP!AE27</f>
        <v>0</v>
      </c>
      <c r="AF7" s="273" t="n">
        <f aca="false">SUP_CONTROL!$C$12*CAPA2_FLAGSHIP!AF27</f>
        <v>0</v>
      </c>
      <c r="AG7" s="273" t="n">
        <f aca="false">SUP_CONTROL!$C$12*CAPA2_FLAGSHIP!AG27</f>
        <v>0</v>
      </c>
      <c r="AH7" s="273" t="n">
        <f aca="false">SUP_CONTROL!$C$12*CAPA2_FLAGSHIP!AH27</f>
        <v>0</v>
      </c>
      <c r="AI7" s="273" t="n">
        <f aca="false">SUP_CONTROL!$C$12*CAPA2_FLAGSHIP!AI27</f>
        <v>0</v>
      </c>
      <c r="AJ7" s="273" t="n">
        <f aca="false">SUP_CONTROL!$C$12*CAPA2_FLAGSHIP!AJ27</f>
        <v>0</v>
      </c>
      <c r="AK7" s="273" t="n">
        <f aca="false">SUP_CONTROL!$C$12*CAPA2_FLAGSHIP!AK27</f>
        <v>0</v>
      </c>
      <c r="AL7" s="273" t="n">
        <f aca="false">SUP_CONTROL!$C$12*CAPA2_FLAGSHIP!AL27</f>
        <v>0</v>
      </c>
      <c r="AM7" s="273" t="n">
        <f aca="false">SUP_CONTROL!$C$12*CAPA2_FLAGSHIP!AM27</f>
        <v>0</v>
      </c>
      <c r="AN7" s="273" t="n">
        <f aca="false">SUP_CONTROL!$C$12*CAPA2_FLAGSHIP!AN27</f>
        <v>0</v>
      </c>
      <c r="AO7" s="273" t="n">
        <f aca="false">SUP_CONTROL!$C$12*CAPA2_FLAGSHIP!AO27</f>
        <v>0</v>
      </c>
      <c r="AP7" s="273" t="n">
        <f aca="false">SUP_CONTROL!$C$12*CAPA2_FLAGSHIP!AP27</f>
        <v>0</v>
      </c>
      <c r="AQ7" s="273" t="n">
        <f aca="false">SUP_CONTROL!$C$12*CAPA2_FLAGSHIP!AQ27</f>
        <v>0</v>
      </c>
      <c r="AR7" s="273" t="n">
        <f aca="false">SUP_CONTROL!$C$12*CAPA2_FLAGSHIP!AR27</f>
        <v>0</v>
      </c>
      <c r="AS7" s="273" t="n">
        <f aca="false">SUP_CONTROL!$C$12*CAPA2_FLAGSHIP!AS27</f>
        <v>0</v>
      </c>
      <c r="AT7" s="273" t="n">
        <f aca="false">SUP_CONTROL!$C$12*CAPA2_FLAGSHIP!AT27</f>
        <v>0</v>
      </c>
      <c r="AU7" s="273" t="n">
        <f aca="false">SUP_CONTROL!$C$12*CAPA2_FLAGSHIP!AU27</f>
        <v>0</v>
      </c>
      <c r="AV7" s="273" t="n">
        <f aca="false">SUP_CONTROL!$C$12*CAPA2_FLAGSHIP!AV27</f>
        <v>0</v>
      </c>
      <c r="AW7" s="273" t="n">
        <f aca="false">SUP_CONTROL!$C$12*CAPA2_FLAGSHIP!AW27</f>
        <v>0</v>
      </c>
      <c r="AX7" s="273" t="n">
        <f aca="false">SUP_CONTROL!$C$12*CAPA2_FLAGSHIP!AX27</f>
        <v>0</v>
      </c>
      <c r="AY7" s="273" t="n">
        <f aca="false">SUP_CONTROL!$C$12*CAPA2_FLAGSHIP!AY27</f>
        <v>0</v>
      </c>
      <c r="AZ7" s="273" t="n">
        <f aca="false">SUP_CONTROL!$C$12*CAPA2_FLAGSHIP!AZ27</f>
        <v>0</v>
      </c>
      <c r="BA7" s="273" t="n">
        <f aca="false">SUP_CONTROL!$C$12*CAPA2_FLAGSHIP!BA27</f>
        <v>0</v>
      </c>
      <c r="BB7" s="273" t="n">
        <f aca="false">SUP_CONTROL!$C$12*CAPA2_FLAGSHIP!BB27</f>
        <v>0</v>
      </c>
      <c r="BC7" s="273" t="n">
        <f aca="false">SUP_CONTROL!$C$12*CAPA2_FLAGSHIP!BC27</f>
        <v>0</v>
      </c>
      <c r="BD7" s="273" t="n">
        <f aca="false">SUP_CONTROL!$C$12*CAPA2_FLAGSHIP!BD27</f>
        <v>0</v>
      </c>
      <c r="BE7" s="273" t="n">
        <f aca="false">SUP_CONTROL!$C$12*CAPA2_FLAGSHIP!BE27</f>
        <v>0</v>
      </c>
      <c r="BF7" s="273" t="n">
        <f aca="false">SUP_CONTROL!$C$12*CAPA2_FLAGSHIP!BF27</f>
        <v>0</v>
      </c>
      <c r="BG7" s="273" t="n">
        <f aca="false">SUP_CONTROL!$C$12*CAPA2_FLAGSHIP!BG27</f>
        <v>0</v>
      </c>
      <c r="BH7" s="273" t="n">
        <f aca="false">SUP_CONTROL!$C$12*CAPA2_FLAGSHIP!BH27</f>
        <v>0</v>
      </c>
      <c r="BI7" s="273" t="n">
        <f aca="false">SUP_CONTROL!$C$12*CAPA2_FLAGSHIP!BI27</f>
        <v>0</v>
      </c>
      <c r="BJ7" s="273" t="n">
        <f aca="false">SUP_CONTROL!$C$12*CAPA2_FLAGSHIP!BJ27</f>
        <v>0</v>
      </c>
      <c r="BK7" s="273" t="n">
        <f aca="false">SUP_CONTROL!$C$12*CAPA2_FLAGSHIP!BK27</f>
        <v>0</v>
      </c>
      <c r="BL7" s="273" t="n">
        <f aca="false">SUP_CONTROL!$C$12*CAPA2_FLAGSHIP!BL27</f>
        <v>0</v>
      </c>
      <c r="BM7" s="273" t="n">
        <f aca="false">SUP_CONTROL!$C$12*CAPA2_FLAGSHIP!BM27</f>
        <v>0</v>
      </c>
      <c r="BN7" s="273" t="n">
        <f aca="false">SUP_CONTROL!$C$12*CAPA2_FLAGSHIP!BN27</f>
        <v>0</v>
      </c>
      <c r="BO7" s="273" t="n">
        <f aca="false">SUP_CONTROL!$C$12*CAPA2_FLAGSHIP!BO27</f>
        <v>0</v>
      </c>
      <c r="BP7" s="273" t="n">
        <f aca="false">SUP_CONTROL!$C$12*CAPA2_FLAGSHIP!BP27</f>
        <v>0</v>
      </c>
      <c r="BQ7" s="273" t="n">
        <f aca="false">SUP_CONTROL!$C$12*CAPA2_FLAGSHIP!BQ27</f>
        <v>0</v>
      </c>
      <c r="BR7" s="273" t="n">
        <f aca="false">SUP_CONTROL!$C$12*CAPA2_FLAGSHIP!BR27</f>
        <v>0</v>
      </c>
      <c r="BS7" s="273" t="n">
        <f aca="false">SUP_CONTROL!$C$12*CAPA2_FLAGSHIP!BS27</f>
        <v>0</v>
      </c>
      <c r="BT7" s="273" t="n">
        <f aca="false">SUP_CONTROL!$C$12*CAPA2_FLAGSHIP!BT27</f>
        <v>0</v>
      </c>
      <c r="BU7" s="273" t="n">
        <f aca="false">SUP_CONTROL!$C$12*CAPA2_FLAGSHIP!BU27</f>
        <v>0</v>
      </c>
      <c r="BV7" s="273" t="n">
        <f aca="false">SUP_CONTROL!$C$12*CAPA2_FLAGSHIP!BV27</f>
        <v>0</v>
      </c>
      <c r="BW7" s="273" t="n">
        <f aca="false">SUP_CONTROL!$C$12*CAPA2_FLAGSHIP!BW27</f>
        <v>0</v>
      </c>
      <c r="BX7" s="273" t="n">
        <f aca="false">SUP_CONTROL!$C$12*CAPA2_FLAGSHIP!BX27</f>
        <v>0</v>
      </c>
      <c r="BY7" s="273" t="n">
        <f aca="false">SUP_CONTROL!$C$12*CAPA2_FLAGSHIP!BY27</f>
        <v>0</v>
      </c>
      <c r="BZ7" s="273" t="n">
        <f aca="false">SUP_CONTROL!$C$12*CAPA2_FLAGSHIP!BZ27</f>
        <v>0</v>
      </c>
      <c r="CA7" s="273" t="n">
        <f aca="false">SUP_CONTROL!$C$12*CAPA2_FLAGSHIP!CA27</f>
        <v>0</v>
      </c>
      <c r="CB7" s="273" t="n">
        <f aca="false">SUP_CONTROL!$C$12*CAPA2_FLAGSHIP!CB27</f>
        <v>0</v>
      </c>
      <c r="CC7" s="273" t="n">
        <f aca="false">SUP_CONTROL!$C$12*CAPA2_FLAGSHIP!CC27</f>
        <v>0</v>
      </c>
      <c r="CD7" s="273" t="n">
        <f aca="false">SUP_CONTROL!$C$12*CAPA2_FLAGSHIP!CD27</f>
        <v>0</v>
      </c>
      <c r="CE7" s="273" t="n">
        <f aca="false">SUP_CONTROL!$C$12*CAPA2_FLAGSHIP!CE27</f>
        <v>0</v>
      </c>
      <c r="CF7" s="273" t="n">
        <f aca="false">SUP_CONTROL!$C$12*CAPA2_FLAGSHIP!CF27</f>
        <v>0</v>
      </c>
      <c r="CG7" s="273" t="n">
        <f aca="false">SUP_CONTROL!$C$12*CAPA2_FLAGSHIP!CG27</f>
        <v>0</v>
      </c>
      <c r="CH7" s="273" t="n">
        <f aca="false">SUP_CONTROL!$C$12*CAPA2_FLAGSHIP!CH27</f>
        <v>0</v>
      </c>
      <c r="CI7" s="273" t="n">
        <f aca="false">SUP_CONTROL!$C$12*CAPA2_FLAGSHIP!CI27</f>
        <v>0</v>
      </c>
      <c r="CJ7" s="273" t="n">
        <f aca="false">SUP_CONTROL!$C$12*CAPA2_FLAGSHIP!CJ27</f>
        <v>0</v>
      </c>
      <c r="CK7" s="273" t="n">
        <f aca="false">SUP_CONTROL!$C$12*CAPA2_FLAGSHIP!CK27</f>
        <v>0</v>
      </c>
      <c r="CL7" s="273" t="n">
        <f aca="false">SUP_CONTROL!$C$12*CAPA2_FLAGSHIP!CL27</f>
        <v>0</v>
      </c>
      <c r="CM7" s="273" t="n">
        <f aca="false">SUP_CONTROL!$C$12*CAPA2_FLAGSHIP!CM27</f>
        <v>0</v>
      </c>
      <c r="CN7" s="273" t="n">
        <f aca="false">SUP_CONTROL!$C$12*CAPA2_FLAGSHIP!CN27</f>
        <v>0</v>
      </c>
      <c r="CO7" s="273" t="n">
        <f aca="false">SUP_CONTROL!$C$12*CAPA2_FLAGSHIP!CO27</f>
        <v>0</v>
      </c>
      <c r="CP7" s="273" t="n">
        <f aca="false">SUP_CONTROL!$C$12*CAPA2_FLAGSHIP!CP27</f>
        <v>0</v>
      </c>
      <c r="CQ7" s="273" t="n">
        <f aca="false">SUP_CONTROL!$C$12*CAPA2_FLAGSHIP!CQ27</f>
        <v>0</v>
      </c>
      <c r="CR7" s="273" t="n">
        <f aca="false">SUP_CONTROL!$C$12*CAPA2_FLAGSHIP!CR27</f>
        <v>0</v>
      </c>
      <c r="CS7" s="273" t="n">
        <f aca="false">SUP_CONTROL!$C$12*CAPA2_FLAGSHIP!CS27</f>
        <v>0</v>
      </c>
      <c r="CT7" s="273" t="n">
        <f aca="false">SUP_CONTROL!$C$12*CAPA2_FLAGSHIP!CT27</f>
        <v>0</v>
      </c>
      <c r="CU7" s="273" t="n">
        <f aca="false">SUP_CONTROL!$C$12*CAPA2_FLAGSHIP!CU27</f>
        <v>0</v>
      </c>
      <c r="CV7" s="273" t="n">
        <f aca="false">SUP_CONTROL!$C$12*CAPA2_FLAGSHIP!CV27</f>
        <v>0</v>
      </c>
      <c r="CW7" s="273" t="n">
        <f aca="false">SUP_CONTROL!$C$12*CAPA2_FLAGSHIP!CW27</f>
        <v>0</v>
      </c>
      <c r="CX7" s="273" t="n">
        <f aca="false">SUP_CONTROL!$C$12*CAPA2_FLAGSHIP!CX27</f>
        <v>0</v>
      </c>
      <c r="CY7" s="273" t="n">
        <f aca="false">SUP_CONTROL!$C$12*CAPA2_FLAGSHIP!CY27</f>
        <v>0</v>
      </c>
      <c r="CZ7" s="273" t="n">
        <f aca="false">SUP_CONTROL!$C$12*CAPA2_FLAGSHIP!CZ27</f>
        <v>0</v>
      </c>
      <c r="DA7" s="273" t="n">
        <f aca="false">SUP_CONTROL!$C$12*CAPA2_FLAGSHIP!DA27</f>
        <v>0</v>
      </c>
      <c r="DB7" s="273" t="n">
        <f aca="false">SUP_CONTROL!$C$12*CAPA2_FLAGSHIP!DB27</f>
        <v>0</v>
      </c>
      <c r="DC7" s="273" t="n">
        <f aca="false">SUP_CONTROL!$C$12*CAPA2_FLAGSHIP!DC27</f>
        <v>0</v>
      </c>
      <c r="DD7" s="273" t="n">
        <f aca="false">SUP_CONTROL!$C$12*CAPA2_FLAGSHIP!DD27</f>
        <v>0</v>
      </c>
      <c r="DE7" s="273" t="n">
        <f aca="false">SUP_CONTROL!$C$12*CAPA2_FLAGSHIP!DE27</f>
        <v>0</v>
      </c>
      <c r="DF7" s="273" t="n">
        <f aca="false">SUP_CONTROL!$C$12*CAPA2_FLAGSHIP!DF27</f>
        <v>0</v>
      </c>
      <c r="DG7" s="273" t="n">
        <f aca="false">SUP_CONTROL!$C$12*CAPA2_FLAGSHIP!DG27</f>
        <v>0</v>
      </c>
      <c r="DH7" s="273" t="n">
        <f aca="false">SUP_CONTROL!$C$12*CAPA2_FLAGSHIP!DH27</f>
        <v>0</v>
      </c>
      <c r="DI7" s="273" t="n">
        <f aca="false">SUP_CONTROL!$C$12*CAPA2_FLAGSHIP!DI27</f>
        <v>0</v>
      </c>
      <c r="DJ7" s="273" t="n">
        <f aca="false">SUP_CONTROL!$C$12*CAPA2_FLAGSHIP!DJ27</f>
        <v>0</v>
      </c>
      <c r="DK7" s="273" t="n">
        <f aca="false">SUP_CONTROL!$C$12*CAPA2_FLAGSHIP!DK27</f>
        <v>0</v>
      </c>
      <c r="DL7" s="273" t="n">
        <f aca="false">SUP_CONTROL!$C$12*CAPA2_FLAGSHIP!DL27</f>
        <v>0</v>
      </c>
      <c r="DM7" s="273" t="n">
        <f aca="false">SUP_CONTROL!$C$12*CAPA2_FLAGSHIP!DM27</f>
        <v>0</v>
      </c>
      <c r="DN7" s="273" t="n">
        <f aca="false">SUP_CONTROL!$C$12*CAPA2_FLAGSHIP!DN27</f>
        <v>0</v>
      </c>
      <c r="DO7" s="273" t="n">
        <f aca="false">SUP_CONTROL!$C$12*CAPA2_FLAGSHIP!DO27</f>
        <v>0</v>
      </c>
      <c r="DP7" s="273" t="n">
        <f aca="false">SUP_CONTROL!$C$12*CAPA2_FLAGSHIP!DP27</f>
        <v>0</v>
      </c>
      <c r="DQ7" s="273" t="n">
        <f aca="false">SUP_CONTROL!$C$12*CAPA2_FLAGSHIP!DQ27</f>
        <v>0</v>
      </c>
      <c r="DR7" s="273" t="n">
        <f aca="false">SUP_CONTROL!$C$12*CAPA2_FLAGSHIP!DR27</f>
        <v>0</v>
      </c>
      <c r="DS7" s="273" t="n">
        <f aca="false">SUP_CONTROL!$C$12*CAPA2_FLAGSHIP!DS27</f>
        <v>0</v>
      </c>
    </row>
    <row r="8" customFormat="false" ht="15" hidden="false" customHeight="true" outlineLevel="0" collapsed="false">
      <c r="B8" s="297" t="s">
        <v>3616</v>
      </c>
      <c r="D8" s="273" t="n">
        <f aca="false">SUP_CONTROL!$C$13*CAPA3_EXPANSION!D55</f>
        <v>0</v>
      </c>
      <c r="E8" s="273" t="n">
        <f aca="false">SUP_CONTROL!$C$13*CAPA3_EXPANSION!E55</f>
        <v>0</v>
      </c>
      <c r="F8" s="273" t="n">
        <f aca="false">SUP_CONTROL!$C$13*CAPA3_EXPANSION!F55</f>
        <v>0</v>
      </c>
      <c r="G8" s="273" t="n">
        <f aca="false">SUP_CONTROL!$C$13*CAPA3_EXPANSION!G55</f>
        <v>0</v>
      </c>
      <c r="H8" s="273" t="n">
        <f aca="false">SUP_CONTROL!$C$13*CAPA3_EXPANSION!H55</f>
        <v>0</v>
      </c>
      <c r="I8" s="273" t="n">
        <f aca="false">SUP_CONTROL!$C$13*CAPA3_EXPANSION!I55</f>
        <v>0</v>
      </c>
      <c r="J8" s="273" t="n">
        <f aca="false">SUP_CONTROL!$C$13*CAPA3_EXPANSION!J55</f>
        <v>0</v>
      </c>
      <c r="K8" s="273" t="n">
        <f aca="false">SUP_CONTROL!$C$13*CAPA3_EXPANSION!K55</f>
        <v>0</v>
      </c>
      <c r="L8" s="273" t="n">
        <f aca="false">SUP_CONTROL!$C$13*CAPA3_EXPANSION!L55</f>
        <v>0</v>
      </c>
      <c r="M8" s="273" t="n">
        <f aca="false">SUP_CONTROL!$C$13*CAPA3_EXPANSION!M55</f>
        <v>0</v>
      </c>
      <c r="N8" s="273" t="n">
        <f aca="false">SUP_CONTROL!$C$13*CAPA3_EXPANSION!N55</f>
        <v>0</v>
      </c>
      <c r="O8" s="273" t="n">
        <f aca="false">SUP_CONTROL!$C$13*CAPA3_EXPANSION!O55</f>
        <v>0</v>
      </c>
      <c r="P8" s="273" t="n">
        <f aca="false">SUP_CONTROL!$C$13*CAPA3_EXPANSION!P55</f>
        <v>0</v>
      </c>
      <c r="Q8" s="273" t="n">
        <f aca="false">SUP_CONTROL!$C$13*CAPA3_EXPANSION!Q55</f>
        <v>0</v>
      </c>
      <c r="R8" s="273" t="n">
        <f aca="false">SUP_CONTROL!$C$13*CAPA3_EXPANSION!R55</f>
        <v>0</v>
      </c>
      <c r="S8" s="273" t="n">
        <f aca="false">SUP_CONTROL!$C$13*CAPA3_EXPANSION!S55</f>
        <v>-98995.937</v>
      </c>
      <c r="T8" s="273" t="n">
        <f aca="false">SUP_CONTROL!$C$13*CAPA3_EXPANSION!T55</f>
        <v>-98995.937</v>
      </c>
      <c r="U8" s="273" t="n">
        <f aca="false">SUP_CONTROL!$C$13*CAPA3_EXPANSION!U55</f>
        <v>0</v>
      </c>
      <c r="V8" s="273" t="n">
        <f aca="false">SUP_CONTROL!$C$13*CAPA3_EXPANSION!V55</f>
        <v>-106576.829696693</v>
      </c>
      <c r="W8" s="273" t="n">
        <f aca="false">SUP_CONTROL!$C$13*CAPA3_EXPANSION!W55</f>
        <v>-2561.80119063154</v>
      </c>
      <c r="X8" s="273" t="n">
        <f aca="false">SUP_CONTROL!$C$13*CAPA3_EXPANSION!X55</f>
        <v>11681.2177151933</v>
      </c>
      <c r="Y8" s="273" t="n">
        <f aca="false">SUP_CONTROL!$C$13*CAPA3_EXPANSION!Y55</f>
        <v>3221.02340658309</v>
      </c>
      <c r="Z8" s="273" t="n">
        <f aca="false">SUP_CONTROL!$C$13*CAPA3_EXPANSION!Z55</f>
        <v>15483.7511739752</v>
      </c>
      <c r="AA8" s="273" t="n">
        <f aca="false">SUP_CONTROL!$C$13*CAPA3_EXPANSION!AA55</f>
        <v>16389.9280752841</v>
      </c>
      <c r="AB8" s="273" t="n">
        <f aca="false">SUP_CONTROL!$C$13*CAPA3_EXPANSION!AB55</f>
        <v>16371.472894274</v>
      </c>
      <c r="AC8" s="273" t="n">
        <f aca="false">SUP_CONTROL!$C$13*CAPA3_EXPANSION!AC55</f>
        <v>16371.472894274</v>
      </c>
      <c r="AD8" s="273" t="n">
        <f aca="false">SUP_CONTROL!$C$13*CAPA3_EXPANSION!AD55</f>
        <v>-327884.088634378</v>
      </c>
      <c r="AE8" s="273" t="n">
        <f aca="false">SUP_CONTROL!$C$13*CAPA3_EXPANSION!AE55</f>
        <v>14867.3193656217</v>
      </c>
      <c r="AF8" s="273" t="n">
        <f aca="false">SUP_CONTROL!$C$13*CAPA3_EXPANSION!AF55</f>
        <v>-132425.12165467</v>
      </c>
      <c r="AG8" s="273" t="n">
        <f aca="false">SUP_CONTROL!$C$13*CAPA3_EXPANSION!AG55</f>
        <v>-84305.9566681163</v>
      </c>
      <c r="AH8" s="273" t="n">
        <f aca="false">SUP_CONTROL!$C$13*CAPA3_EXPANSION!AH55</f>
        <v>14689.9803318837</v>
      </c>
      <c r="AI8" s="273" t="n">
        <f aca="false">SUP_CONTROL!$C$13*CAPA3_EXPANSION!AI55</f>
        <v>-98049.3392533362</v>
      </c>
      <c r="AJ8" s="273" t="n">
        <f aca="false">SUP_CONTROL!$C$13*CAPA3_EXPANSION!AJ55</f>
        <v>13712.5869084093</v>
      </c>
      <c r="AK8" s="273" t="n">
        <f aca="false">SUP_CONTROL!$C$13*CAPA3_EXPANSION!AK55</f>
        <v>-70460.7585568392</v>
      </c>
      <c r="AL8" s="273" t="n">
        <f aca="false">SUP_CONTROL!$C$13*CAPA3_EXPANSION!AL55</f>
        <v>19297.3160261267</v>
      </c>
      <c r="AM8" s="273" t="n">
        <f aca="false">SUP_CONTROL!$C$13*CAPA3_EXPANSION!AM55</f>
        <v>31603.275964292</v>
      </c>
      <c r="AN8" s="273" t="n">
        <f aca="false">SUP_CONTROL!$C$13*CAPA3_EXPANSION!AN55</f>
        <v>-121680.371838334</v>
      </c>
      <c r="AO8" s="273" t="n">
        <f aca="false">SUP_CONTROL!$C$13*CAPA3_EXPANSION!AO55</f>
        <v>-60364.2204751604</v>
      </c>
      <c r="AP8" s="273" t="n">
        <f aca="false">SUP_CONTROL!$C$13*CAPA3_EXPANSION!AP55</f>
        <v>-60911.4082865037</v>
      </c>
      <c r="AQ8" s="273" t="n">
        <f aca="false">SUP_CONTROL!$C$13*CAPA3_EXPANSION!AQ55</f>
        <v>-75547.5342399802</v>
      </c>
      <c r="AR8" s="273" t="n">
        <f aca="false">SUP_CONTROL!$C$13*CAPA3_EXPANSION!AR55</f>
        <v>36364.0519458467</v>
      </c>
      <c r="AS8" s="273" t="n">
        <f aca="false">SUP_CONTROL!$C$13*CAPA3_EXPANSION!AS55</f>
        <v>42899.3619786723</v>
      </c>
      <c r="AT8" s="273" t="n">
        <f aca="false">SUP_CONTROL!$C$13*CAPA3_EXPANSION!AT55</f>
        <v>-100093.41684114</v>
      </c>
      <c r="AU8" s="273" t="n">
        <f aca="false">SUP_CONTROL!$C$13*CAPA3_EXPANSION!AU55</f>
        <v>60869.2024647463</v>
      </c>
      <c r="AV8" s="273" t="n">
        <f aca="false">SUP_CONTROL!$C$13*CAPA3_EXPANSION!AV55</f>
        <v>-37990.6209771557</v>
      </c>
      <c r="AW8" s="273" t="n">
        <f aca="false">SUP_CONTROL!$C$13*CAPA3_EXPANSION!AW55</f>
        <v>-52486.7550156395</v>
      </c>
      <c r="AX8" s="273" t="n">
        <f aca="false">SUP_CONTROL!$C$13*CAPA3_EXPANSION!AX55</f>
        <v>67541.8462267689</v>
      </c>
      <c r="AY8" s="273" t="n">
        <f aca="false">SUP_CONTROL!$C$13*CAPA3_EXPANSION!AY55</f>
        <v>60759.4381366735</v>
      </c>
      <c r="AZ8" s="273" t="n">
        <f aca="false">SUP_CONTROL!$C$13*CAPA3_EXPANSION!AZ55</f>
        <v>66634.2691679629</v>
      </c>
      <c r="BA8" s="273" t="n">
        <f aca="false">SUP_CONTROL!$C$13*CAPA3_EXPANSION!BA55</f>
        <v>81036.2923051024</v>
      </c>
      <c r="BB8" s="273" t="n">
        <f aca="false">SUP_CONTROL!$C$13*CAPA3_EXPANSION!BB55</f>
        <v>-547950.807869848</v>
      </c>
      <c r="BC8" s="273" t="n">
        <f aca="false">SUP_CONTROL!$C$13*CAPA3_EXPANSION!BC55</f>
        <v>75711.8594538156</v>
      </c>
      <c r="BD8" s="273" t="n">
        <f aca="false">SUP_CONTROL!$C$13*CAPA3_EXPANSION!BD55</f>
        <v>75711.8594538156</v>
      </c>
      <c r="BE8" s="273" t="n">
        <f aca="false">SUP_CONTROL!$C$13*CAPA3_EXPANSION!BE55</f>
        <v>75711.8594538156</v>
      </c>
      <c r="BF8" s="273" t="n">
        <f aca="false">SUP_CONTROL!$C$13*CAPA3_EXPANSION!BF55</f>
        <v>-432716.612623605</v>
      </c>
      <c r="BG8" s="273" t="n">
        <f aca="false">SUP_CONTROL!$C$13*CAPA3_EXPANSION!BG55</f>
        <v>-25384.1342187717</v>
      </c>
      <c r="BH8" s="273" t="n">
        <f aca="false">SUP_CONTROL!$C$13*CAPA3_EXPANSION!BH55</f>
        <v>-73680.6382390633</v>
      </c>
      <c r="BI8" s="273" t="n">
        <f aca="false">SUP_CONTROL!$C$13*CAPA3_EXPANSION!BI55</f>
        <v>-75887.0111657259</v>
      </c>
      <c r="BJ8" s="273" t="n">
        <f aca="false">SUP_CONTROL!$C$13*CAPA3_EXPANSION!BJ55</f>
        <v>-20939.0247382855</v>
      </c>
      <c r="BK8" s="273" t="n">
        <f aca="false">SUP_CONTROL!$C$13*CAPA3_EXPANSION!BK55</f>
        <v>-22906.8573778737</v>
      </c>
      <c r="BL8" s="273" t="n">
        <f aca="false">SUP_CONTROL!$C$13*CAPA3_EXPANSION!BL55</f>
        <v>84735.8123259596</v>
      </c>
      <c r="BM8" s="273" t="n">
        <f aca="false">SUP_CONTROL!$C$13*CAPA3_EXPANSION!BM55</f>
        <v>-57114.179141188</v>
      </c>
      <c r="BN8" s="273" t="n">
        <f aca="false">SUP_CONTROL!$C$13*CAPA3_EXPANSION!BN55</f>
        <v>-3903.17239390044</v>
      </c>
      <c r="BO8" s="273" t="n">
        <f aca="false">SUP_CONTROL!$C$13*CAPA3_EXPANSION!BO55</f>
        <v>9617.9723011357</v>
      </c>
      <c r="BP8" s="273" t="n">
        <f aca="false">SUP_CONTROL!$C$13*CAPA3_EXPANSION!BP55</f>
        <v>-4006.49631495612</v>
      </c>
      <c r="BQ8" s="273" t="n">
        <f aca="false">SUP_CONTROL!$C$13*CAPA3_EXPANSION!BQ55</f>
        <v>-45361.2387181998</v>
      </c>
      <c r="BR8" s="273" t="n">
        <f aca="false">SUP_CONTROL!$C$13*CAPA3_EXPANSION!BR55</f>
        <v>9960.10521310795</v>
      </c>
      <c r="BS8" s="273" t="n">
        <f aca="false">SUP_CONTROL!$C$13*CAPA3_EXPANSION!BS55</f>
        <v>14314.9642703509</v>
      </c>
      <c r="BT8" s="273" t="n">
        <f aca="false">SUP_CONTROL!$C$13*CAPA3_EXPANSION!BT55</f>
        <v>13886.0101074225</v>
      </c>
      <c r="BU8" s="273" t="n">
        <f aca="false">SUP_CONTROL!$C$13*CAPA3_EXPANSION!BU55</f>
        <v>-21759.110896384</v>
      </c>
      <c r="BV8" s="273" t="n">
        <f aca="false">SUP_CONTROL!$C$13*CAPA3_EXPANSION!BV55</f>
        <v>131249.640833604</v>
      </c>
      <c r="BW8" s="273" t="n">
        <f aca="false">SUP_CONTROL!$C$13*CAPA3_EXPANSION!BW55</f>
        <v>-374027.100833568</v>
      </c>
      <c r="BX8" s="273" t="n">
        <f aca="false">SUP_CONTROL!$C$13*CAPA3_EXPANSION!BX55</f>
        <v>37320.3879689343</v>
      </c>
      <c r="BY8" s="273" t="n">
        <f aca="false">SUP_CONTROL!$C$13*CAPA3_EXPANSION!BY55</f>
        <v>58410.7484769363</v>
      </c>
      <c r="BZ8" s="273" t="n">
        <f aca="false">SUP_CONTROL!$C$13*CAPA3_EXPANSION!BZ55</f>
        <v>7559.22729053721</v>
      </c>
      <c r="CA8" s="273" t="n">
        <f aca="false">SUP_CONTROL!$C$13*CAPA3_EXPANSION!CA55</f>
        <v>11875.5118547527</v>
      </c>
      <c r="CB8" s="273" t="n">
        <f aca="false">SUP_CONTROL!$C$13*CAPA3_EXPANSION!CB55</f>
        <v>62267.4850329354</v>
      </c>
      <c r="CC8" s="273" t="n">
        <f aca="false">SUP_CONTROL!$C$13*CAPA3_EXPANSION!CC55</f>
        <v>60359.3940138864</v>
      </c>
      <c r="CD8" s="273" t="n">
        <f aca="false">SUP_CONTROL!$C$13*CAPA3_EXPANSION!CD55</f>
        <v>59812.3738127421</v>
      </c>
      <c r="CE8" s="273" t="n">
        <f aca="false">SUP_CONTROL!$C$13*CAPA3_EXPANSION!CE55</f>
        <v>24058.7291290712</v>
      </c>
      <c r="CF8" s="273" t="n">
        <f aca="false">SUP_CONTROL!$C$13*CAPA3_EXPANSION!CF55</f>
        <v>78222.4611144364</v>
      </c>
      <c r="CG8" s="273" t="n">
        <f aca="false">SUP_CONTROL!$C$13*CAPA3_EXPANSION!CG55</f>
        <v>83977.6855520989</v>
      </c>
      <c r="CH8" s="273" t="n">
        <f aca="false">SUP_CONTROL!$C$13*CAPA3_EXPANSION!CH55</f>
        <v>-393530.221192899</v>
      </c>
      <c r="CI8" s="273" t="n">
        <f aca="false">SUP_CONTROL!$C$13*CAPA3_EXPANSION!CI55</f>
        <v>193510.260526927</v>
      </c>
      <c r="CJ8" s="273" t="n">
        <f aca="false">SUP_CONTROL!$C$13*CAPA3_EXPANSION!CJ55</f>
        <v>193686.237988371</v>
      </c>
      <c r="CK8" s="273" t="n">
        <f aca="false">SUP_CONTROL!$C$13*CAPA3_EXPANSION!CK55</f>
        <v>204545.836145572</v>
      </c>
      <c r="CL8" s="273" t="n">
        <f aca="false">SUP_CONTROL!$C$13*CAPA3_EXPANSION!CL55</f>
        <v>203441.372257407</v>
      </c>
      <c r="CM8" s="273" t="n">
        <f aca="false">SUP_CONTROL!$C$13*CAPA3_EXPANSION!CM55</f>
        <v>201441.372257407</v>
      </c>
      <c r="CN8" s="273" t="n">
        <f aca="false">SUP_CONTROL!$C$13*CAPA3_EXPANSION!CN55</f>
        <v>201441.372257407</v>
      </c>
      <c r="CO8" s="273" t="n">
        <f aca="false">SUP_CONTROL!$C$13*CAPA3_EXPANSION!CO55</f>
        <v>201441.372257407</v>
      </c>
      <c r="CP8" s="273" t="n">
        <f aca="false">SUP_CONTROL!$C$13*CAPA3_EXPANSION!CP55</f>
        <v>201441.372257407</v>
      </c>
      <c r="CQ8" s="273" t="n">
        <f aca="false">SUP_CONTROL!$C$13*CAPA3_EXPANSION!CQ55</f>
        <v>201441.372257407</v>
      </c>
      <c r="CR8" s="273" t="n">
        <f aca="false">SUP_CONTROL!$C$13*CAPA3_EXPANSION!CR55</f>
        <v>201441.372257407</v>
      </c>
      <c r="CS8" s="273" t="n">
        <f aca="false">SUP_CONTROL!$C$13*CAPA3_EXPANSION!CS55</f>
        <v>201441.372257407</v>
      </c>
      <c r="CT8" s="273" t="n">
        <f aca="false">SUP_CONTROL!$C$13*CAPA3_EXPANSION!CT55</f>
        <v>201441.372257407</v>
      </c>
      <c r="CU8" s="273" t="n">
        <f aca="false">SUP_CONTROL!$C$13*CAPA3_EXPANSION!CU55</f>
        <v>201441.372257407</v>
      </c>
      <c r="CV8" s="273" t="n">
        <f aca="false">SUP_CONTROL!$C$13*CAPA3_EXPANSION!CV55</f>
        <v>201441.372257407</v>
      </c>
      <c r="CW8" s="273" t="n">
        <f aca="false">SUP_CONTROL!$C$13*CAPA3_EXPANSION!CW55</f>
        <v>201441.372257407</v>
      </c>
      <c r="CX8" s="273" t="n">
        <f aca="false">SUP_CONTROL!$C$13*CAPA3_EXPANSION!CX55</f>
        <v>201441.372257407</v>
      </c>
      <c r="CY8" s="273" t="n">
        <f aca="false">SUP_CONTROL!$C$13*CAPA3_EXPANSION!CY55</f>
        <v>201441.372257407</v>
      </c>
      <c r="CZ8" s="273" t="n">
        <f aca="false">SUP_CONTROL!$C$13*CAPA3_EXPANSION!CZ55</f>
        <v>201441.372257407</v>
      </c>
      <c r="DA8" s="273" t="n">
        <f aca="false">SUP_CONTROL!$C$13*CAPA3_EXPANSION!DA55</f>
        <v>201441.372257407</v>
      </c>
      <c r="DB8" s="273" t="n">
        <f aca="false">SUP_CONTROL!$C$13*CAPA3_EXPANSION!DB55</f>
        <v>201441.372257407</v>
      </c>
      <c r="DC8" s="273" t="n">
        <f aca="false">SUP_CONTROL!$C$13*CAPA3_EXPANSION!DC55</f>
        <v>201441.372257407</v>
      </c>
      <c r="DD8" s="273" t="n">
        <f aca="false">SUP_CONTROL!$C$13*CAPA3_EXPANSION!DD55</f>
        <v>201441.372257407</v>
      </c>
      <c r="DE8" s="273" t="n">
        <f aca="false">SUP_CONTROL!$C$13*CAPA3_EXPANSION!DE55</f>
        <v>201441.372257407</v>
      </c>
      <c r="DF8" s="273" t="n">
        <f aca="false">SUP_CONTROL!$C$13*CAPA3_EXPANSION!DF55</f>
        <v>201441.372257407</v>
      </c>
      <c r="DG8" s="273" t="n">
        <f aca="false">SUP_CONTROL!$C$13*CAPA3_EXPANSION!DG55</f>
        <v>201441.372257407</v>
      </c>
      <c r="DH8" s="273" t="n">
        <f aca="false">SUP_CONTROL!$C$13*CAPA3_EXPANSION!DH55</f>
        <v>201441.372257407</v>
      </c>
      <c r="DI8" s="273" t="n">
        <f aca="false">SUP_CONTROL!$C$13*CAPA3_EXPANSION!DI55</f>
        <v>201441.372257407</v>
      </c>
      <c r="DJ8" s="273" t="n">
        <f aca="false">SUP_CONTROL!$C$13*CAPA3_EXPANSION!DJ55</f>
        <v>201441.372257407</v>
      </c>
      <c r="DK8" s="273" t="n">
        <f aca="false">SUP_CONTROL!$C$13*CAPA3_EXPANSION!DK55</f>
        <v>201441.372257407</v>
      </c>
      <c r="DL8" s="273" t="n">
        <f aca="false">SUP_CONTROL!$C$13*CAPA3_EXPANSION!DL55</f>
        <v>201441.372257407</v>
      </c>
      <c r="DM8" s="273" t="n">
        <f aca="false">SUP_CONTROL!$C$13*CAPA3_EXPANSION!DM55</f>
        <v>201441.372257407</v>
      </c>
      <c r="DN8" s="273" t="n">
        <f aca="false">SUP_CONTROL!$C$13*CAPA3_EXPANSION!DN55</f>
        <v>201441.372257407</v>
      </c>
      <c r="DO8" s="273" t="n">
        <f aca="false">SUP_CONTROL!$C$13*CAPA3_EXPANSION!DO55</f>
        <v>201441.372257407</v>
      </c>
      <c r="DP8" s="273" t="n">
        <f aca="false">SUP_CONTROL!$C$13*CAPA3_EXPANSION!DP55</f>
        <v>201441.372257407</v>
      </c>
      <c r="DQ8" s="273" t="n">
        <f aca="false">SUP_CONTROL!$C$13*CAPA3_EXPANSION!DQ55</f>
        <v>201441.372257407</v>
      </c>
      <c r="DR8" s="273" t="n">
        <f aca="false">SUP_CONTROL!$C$13*CAPA3_EXPANSION!DR55</f>
        <v>201441.372257407</v>
      </c>
      <c r="DS8" s="273" t="n">
        <f aca="false">SUP_CONTROL!$C$13*CAPA3_EXPANSION!DS55</f>
        <v>201441.372257407</v>
      </c>
    </row>
    <row r="9" customFormat="false" ht="15" hidden="false" customHeight="true" outlineLevel="0" collapsed="false">
      <c r="B9" s="297" t="s">
        <v>3617</v>
      </c>
      <c r="D9" s="273" t="n">
        <f aca="false">SUP_CONTROL!$C$14*CAPA4_RETAIL!D20</f>
        <v>0</v>
      </c>
      <c r="E9" s="273" t="n">
        <f aca="false">SUP_CONTROL!$C$14*CAPA4_RETAIL!E20</f>
        <v>0</v>
      </c>
      <c r="F9" s="273" t="n">
        <f aca="false">SUP_CONTROL!$C$14*CAPA4_RETAIL!F20</f>
        <v>0</v>
      </c>
      <c r="G9" s="273" t="n">
        <f aca="false">SUP_CONTROL!$C$14*CAPA4_RETAIL!G20</f>
        <v>0</v>
      </c>
      <c r="H9" s="273" t="n">
        <f aca="false">SUP_CONTROL!$C$14*CAPA4_RETAIL!H20</f>
        <v>0</v>
      </c>
      <c r="I9" s="273" t="n">
        <f aca="false">SUP_CONTROL!$C$14*CAPA4_RETAIL!I20</f>
        <v>0</v>
      </c>
      <c r="J9" s="273" t="n">
        <f aca="false">SUP_CONTROL!$C$14*CAPA4_RETAIL!J20</f>
        <v>0</v>
      </c>
      <c r="K9" s="273" t="n">
        <f aca="false">SUP_CONTROL!$C$14*CAPA4_RETAIL!K20</f>
        <v>0</v>
      </c>
      <c r="L9" s="273" t="n">
        <f aca="false">SUP_CONTROL!$C$14*CAPA4_RETAIL!L20</f>
        <v>0</v>
      </c>
      <c r="M9" s="273" t="n">
        <f aca="false">SUP_CONTROL!$C$14*CAPA4_RETAIL!M20</f>
        <v>0</v>
      </c>
      <c r="N9" s="273" t="n">
        <f aca="false">SUP_CONTROL!$C$14*CAPA4_RETAIL!N20</f>
        <v>0</v>
      </c>
      <c r="O9" s="273" t="n">
        <f aca="false">SUP_CONTROL!$C$14*CAPA4_RETAIL!O20</f>
        <v>0</v>
      </c>
      <c r="P9" s="273" t="n">
        <f aca="false">SUP_CONTROL!$C$14*CAPA4_RETAIL!P20</f>
        <v>0</v>
      </c>
      <c r="Q9" s="273" t="n">
        <f aca="false">SUP_CONTROL!$C$14*CAPA4_RETAIL!Q20</f>
        <v>0</v>
      </c>
      <c r="R9" s="273" t="n">
        <f aca="false">SUP_CONTROL!$C$14*CAPA4_RETAIL!R20</f>
        <v>0</v>
      </c>
      <c r="S9" s="273" t="n">
        <f aca="false">SUP_CONTROL!$C$14*CAPA4_RETAIL!S20</f>
        <v>0</v>
      </c>
      <c r="T9" s="273" t="n">
        <f aca="false">SUP_CONTROL!$C$14*CAPA4_RETAIL!T20</f>
        <v>0</v>
      </c>
      <c r="U9" s="273" t="n">
        <f aca="false">SUP_CONTROL!$C$14*CAPA4_RETAIL!U20</f>
        <v>0</v>
      </c>
      <c r="V9" s="273" t="n">
        <f aca="false">SUP_CONTROL!$C$14*CAPA4_RETAIL!V20</f>
        <v>0</v>
      </c>
      <c r="W9" s="273" t="n">
        <f aca="false">SUP_CONTROL!$C$14*CAPA4_RETAIL!W20</f>
        <v>0</v>
      </c>
      <c r="X9" s="273" t="n">
        <f aca="false">SUP_CONTROL!$C$14*CAPA4_RETAIL!X20</f>
        <v>0</v>
      </c>
      <c r="Y9" s="273" t="n">
        <f aca="false">SUP_CONTROL!$C$14*CAPA4_RETAIL!Y20</f>
        <v>-0</v>
      </c>
      <c r="Z9" s="273" t="n">
        <f aca="false">SUP_CONTROL!$C$14*CAPA4_RETAIL!Z20</f>
        <v>0</v>
      </c>
      <c r="AA9" s="273" t="n">
        <f aca="false">SUP_CONTROL!$C$14*CAPA4_RETAIL!AA20</f>
        <v>0</v>
      </c>
      <c r="AB9" s="273" t="n">
        <f aca="false">SUP_CONTROL!$C$14*CAPA4_RETAIL!AB20</f>
        <v>0</v>
      </c>
      <c r="AC9" s="273" t="n">
        <f aca="false">SUP_CONTROL!$C$14*CAPA4_RETAIL!AC20</f>
        <v>0</v>
      </c>
      <c r="AD9" s="273" t="n">
        <f aca="false">SUP_CONTROL!$C$14*CAPA4_RETAIL!AD20</f>
        <v>0</v>
      </c>
      <c r="AE9" s="273" t="n">
        <f aca="false">SUP_CONTROL!$C$14*CAPA4_RETAIL!AE20</f>
        <v>0</v>
      </c>
      <c r="AF9" s="273" t="n">
        <f aca="false">SUP_CONTROL!$C$14*CAPA4_RETAIL!AF20</f>
        <v>0</v>
      </c>
      <c r="AG9" s="273" t="n">
        <f aca="false">SUP_CONTROL!$C$14*CAPA4_RETAIL!AG20</f>
        <v>0</v>
      </c>
      <c r="AH9" s="273" t="n">
        <f aca="false">SUP_CONTROL!$C$14*CAPA4_RETAIL!AH20</f>
        <v>0</v>
      </c>
      <c r="AI9" s="273" t="n">
        <f aca="false">SUP_CONTROL!$C$14*CAPA4_RETAIL!AI20</f>
        <v>0</v>
      </c>
      <c r="AJ9" s="273" t="n">
        <f aca="false">SUP_CONTROL!$C$14*CAPA4_RETAIL!AJ20</f>
        <v>0</v>
      </c>
      <c r="AK9" s="273" t="n">
        <f aca="false">SUP_CONTROL!$C$14*CAPA4_RETAIL!AK20</f>
        <v>0</v>
      </c>
      <c r="AL9" s="273" t="n">
        <f aca="false">SUP_CONTROL!$C$14*CAPA4_RETAIL!AL20</f>
        <v>0</v>
      </c>
      <c r="AM9" s="273" t="n">
        <f aca="false">SUP_CONTROL!$C$14*CAPA4_RETAIL!AM20</f>
        <v>0</v>
      </c>
      <c r="AN9" s="273" t="n">
        <f aca="false">SUP_CONTROL!$C$14*CAPA4_RETAIL!AN20</f>
        <v>0</v>
      </c>
      <c r="AO9" s="273" t="n">
        <f aca="false">SUP_CONTROL!$C$14*CAPA4_RETAIL!AO20</f>
        <v>0</v>
      </c>
      <c r="AP9" s="273" t="n">
        <f aca="false">SUP_CONTROL!$C$14*CAPA4_RETAIL!AP20</f>
        <v>0</v>
      </c>
      <c r="AQ9" s="273" t="n">
        <f aca="false">SUP_CONTROL!$C$14*CAPA4_RETAIL!AQ20</f>
        <v>0</v>
      </c>
      <c r="AR9" s="273" t="n">
        <f aca="false">SUP_CONTROL!$C$14*CAPA4_RETAIL!AR20</f>
        <v>0</v>
      </c>
      <c r="AS9" s="273" t="n">
        <f aca="false">SUP_CONTROL!$C$14*CAPA4_RETAIL!AS20</f>
        <v>0</v>
      </c>
      <c r="AT9" s="273" t="n">
        <f aca="false">SUP_CONTROL!$C$14*CAPA4_RETAIL!AT20</f>
        <v>0</v>
      </c>
      <c r="AU9" s="273" t="n">
        <f aca="false">SUP_CONTROL!$C$14*CAPA4_RETAIL!AU20</f>
        <v>0</v>
      </c>
      <c r="AV9" s="273" t="n">
        <f aca="false">SUP_CONTROL!$C$14*CAPA4_RETAIL!AV20</f>
        <v>0</v>
      </c>
      <c r="AW9" s="273" t="n">
        <f aca="false">SUP_CONTROL!$C$14*CAPA4_RETAIL!AW20</f>
        <v>0</v>
      </c>
      <c r="AX9" s="273" t="n">
        <f aca="false">SUP_CONTROL!$C$14*CAPA4_RETAIL!AX20</f>
        <v>0</v>
      </c>
      <c r="AY9" s="273" t="n">
        <f aca="false">SUP_CONTROL!$C$14*CAPA4_RETAIL!AY20</f>
        <v>0</v>
      </c>
      <c r="AZ9" s="273" t="n">
        <f aca="false">SUP_CONTROL!$C$14*CAPA4_RETAIL!AZ20</f>
        <v>0</v>
      </c>
      <c r="BA9" s="273" t="n">
        <f aca="false">SUP_CONTROL!$C$14*CAPA4_RETAIL!BA20</f>
        <v>0</v>
      </c>
      <c r="BB9" s="273" t="n">
        <f aca="false">SUP_CONTROL!$C$14*CAPA4_RETAIL!BB20</f>
        <v>0</v>
      </c>
      <c r="BC9" s="273" t="n">
        <f aca="false">SUP_CONTROL!$C$14*CAPA4_RETAIL!BC20</f>
        <v>0</v>
      </c>
      <c r="BD9" s="273" t="n">
        <f aca="false">SUP_CONTROL!$C$14*CAPA4_RETAIL!BD20</f>
        <v>0</v>
      </c>
      <c r="BE9" s="273" t="n">
        <f aca="false">SUP_CONTROL!$C$14*CAPA4_RETAIL!BE20</f>
        <v>0</v>
      </c>
      <c r="BF9" s="273" t="n">
        <f aca="false">SUP_CONTROL!$C$14*CAPA4_RETAIL!BF20</f>
        <v>0</v>
      </c>
      <c r="BG9" s="273" t="n">
        <f aca="false">SUP_CONTROL!$C$14*CAPA4_RETAIL!BG20</f>
        <v>0</v>
      </c>
      <c r="BH9" s="273" t="n">
        <f aca="false">SUP_CONTROL!$C$14*CAPA4_RETAIL!BH20</f>
        <v>0</v>
      </c>
      <c r="BI9" s="273" t="n">
        <f aca="false">SUP_CONTROL!$C$14*CAPA4_RETAIL!BI20</f>
        <v>0</v>
      </c>
      <c r="BJ9" s="273" t="n">
        <f aca="false">SUP_CONTROL!$C$14*CAPA4_RETAIL!BJ20</f>
        <v>0</v>
      </c>
      <c r="BK9" s="273" t="n">
        <f aca="false">SUP_CONTROL!$C$14*CAPA4_RETAIL!BK20</f>
        <v>0</v>
      </c>
      <c r="BL9" s="273" t="n">
        <f aca="false">SUP_CONTROL!$C$14*CAPA4_RETAIL!BL20</f>
        <v>0</v>
      </c>
      <c r="BM9" s="273" t="n">
        <f aca="false">SUP_CONTROL!$C$14*CAPA4_RETAIL!BM20</f>
        <v>0</v>
      </c>
      <c r="BN9" s="273" t="n">
        <f aca="false">SUP_CONTROL!$C$14*CAPA4_RETAIL!BN20</f>
        <v>0</v>
      </c>
      <c r="BO9" s="273" t="n">
        <f aca="false">SUP_CONTROL!$C$14*CAPA4_RETAIL!BO20</f>
        <v>0</v>
      </c>
      <c r="BP9" s="273" t="n">
        <f aca="false">SUP_CONTROL!$C$14*CAPA4_RETAIL!BP20</f>
        <v>0</v>
      </c>
      <c r="BQ9" s="273" t="n">
        <f aca="false">SUP_CONTROL!$C$14*CAPA4_RETAIL!BQ20</f>
        <v>0</v>
      </c>
      <c r="BR9" s="273" t="n">
        <f aca="false">SUP_CONTROL!$C$14*CAPA4_RETAIL!BR20</f>
        <v>0</v>
      </c>
      <c r="BS9" s="273" t="n">
        <f aca="false">SUP_CONTROL!$C$14*CAPA4_RETAIL!BS20</f>
        <v>0</v>
      </c>
      <c r="BT9" s="273" t="n">
        <f aca="false">SUP_CONTROL!$C$14*CAPA4_RETAIL!BT20</f>
        <v>0</v>
      </c>
      <c r="BU9" s="273" t="n">
        <f aca="false">SUP_CONTROL!$C$14*CAPA4_RETAIL!BU20</f>
        <v>0</v>
      </c>
      <c r="BV9" s="273" t="n">
        <f aca="false">SUP_CONTROL!$C$14*CAPA4_RETAIL!BV20</f>
        <v>0</v>
      </c>
      <c r="BW9" s="273" t="n">
        <f aca="false">SUP_CONTROL!$C$14*CAPA4_RETAIL!BW20</f>
        <v>0</v>
      </c>
      <c r="BX9" s="273" t="n">
        <f aca="false">SUP_CONTROL!$C$14*CAPA4_RETAIL!BX20</f>
        <v>0</v>
      </c>
      <c r="BY9" s="273" t="n">
        <f aca="false">SUP_CONTROL!$C$14*CAPA4_RETAIL!BY20</f>
        <v>0</v>
      </c>
      <c r="BZ9" s="273" t="n">
        <f aca="false">SUP_CONTROL!$C$14*CAPA4_RETAIL!BZ20</f>
        <v>0</v>
      </c>
      <c r="CA9" s="273" t="n">
        <f aca="false">SUP_CONTROL!$C$14*CAPA4_RETAIL!CA20</f>
        <v>0</v>
      </c>
      <c r="CB9" s="273" t="n">
        <f aca="false">SUP_CONTROL!$C$14*CAPA4_RETAIL!CB20</f>
        <v>0</v>
      </c>
      <c r="CC9" s="273" t="n">
        <f aca="false">SUP_CONTROL!$C$14*CAPA4_RETAIL!CC20</f>
        <v>0</v>
      </c>
      <c r="CD9" s="273" t="n">
        <f aca="false">SUP_CONTROL!$C$14*CAPA4_RETAIL!CD20</f>
        <v>0</v>
      </c>
      <c r="CE9" s="273" t="n">
        <f aca="false">SUP_CONTROL!$C$14*CAPA4_RETAIL!CE20</f>
        <v>0</v>
      </c>
      <c r="CF9" s="273" t="n">
        <f aca="false">SUP_CONTROL!$C$14*CAPA4_RETAIL!CF20</f>
        <v>0</v>
      </c>
      <c r="CG9" s="273" t="n">
        <f aca="false">SUP_CONTROL!$C$14*CAPA4_RETAIL!CG20</f>
        <v>0</v>
      </c>
      <c r="CH9" s="273" t="n">
        <f aca="false">SUP_CONTROL!$C$14*CAPA4_RETAIL!CH20</f>
        <v>0</v>
      </c>
      <c r="CI9" s="273" t="n">
        <f aca="false">SUP_CONTROL!$C$14*CAPA4_RETAIL!CI20</f>
        <v>0</v>
      </c>
      <c r="CJ9" s="273" t="n">
        <f aca="false">SUP_CONTROL!$C$14*CAPA4_RETAIL!CJ20</f>
        <v>0</v>
      </c>
      <c r="CK9" s="273" t="n">
        <f aca="false">SUP_CONTROL!$C$14*CAPA4_RETAIL!CK20</f>
        <v>0</v>
      </c>
      <c r="CL9" s="273" t="n">
        <f aca="false">SUP_CONTROL!$C$14*CAPA4_RETAIL!CL20</f>
        <v>0</v>
      </c>
      <c r="CM9" s="273" t="n">
        <f aca="false">SUP_CONTROL!$C$14*CAPA4_RETAIL!CM20</f>
        <v>0</v>
      </c>
      <c r="CN9" s="273" t="n">
        <f aca="false">SUP_CONTROL!$C$14*CAPA4_RETAIL!CN20</f>
        <v>0</v>
      </c>
      <c r="CO9" s="273" t="n">
        <f aca="false">SUP_CONTROL!$C$14*CAPA4_RETAIL!CO20</f>
        <v>0</v>
      </c>
      <c r="CP9" s="273" t="n">
        <f aca="false">SUP_CONTROL!$C$14*CAPA4_RETAIL!CP20</f>
        <v>0</v>
      </c>
      <c r="CQ9" s="273" t="n">
        <f aca="false">SUP_CONTROL!$C$14*CAPA4_RETAIL!CQ20</f>
        <v>0</v>
      </c>
      <c r="CR9" s="273" t="n">
        <f aca="false">SUP_CONTROL!$C$14*CAPA4_RETAIL!CR20</f>
        <v>0</v>
      </c>
      <c r="CS9" s="273" t="n">
        <f aca="false">SUP_CONTROL!$C$14*CAPA4_RETAIL!CS20</f>
        <v>0</v>
      </c>
      <c r="CT9" s="273" t="n">
        <f aca="false">SUP_CONTROL!$C$14*CAPA4_RETAIL!CT20</f>
        <v>0</v>
      </c>
      <c r="CU9" s="273" t="n">
        <f aca="false">SUP_CONTROL!$C$14*CAPA4_RETAIL!CU20</f>
        <v>0</v>
      </c>
      <c r="CV9" s="273" t="n">
        <f aca="false">SUP_CONTROL!$C$14*CAPA4_RETAIL!CV20</f>
        <v>0</v>
      </c>
      <c r="CW9" s="273" t="n">
        <f aca="false">SUP_CONTROL!$C$14*CAPA4_RETAIL!CW20</f>
        <v>0</v>
      </c>
      <c r="CX9" s="273" t="n">
        <f aca="false">SUP_CONTROL!$C$14*CAPA4_RETAIL!CX20</f>
        <v>0</v>
      </c>
      <c r="CY9" s="273" t="n">
        <f aca="false">SUP_CONTROL!$C$14*CAPA4_RETAIL!CY20</f>
        <v>0</v>
      </c>
      <c r="CZ9" s="273" t="n">
        <f aca="false">SUP_CONTROL!$C$14*CAPA4_RETAIL!CZ20</f>
        <v>0</v>
      </c>
      <c r="DA9" s="273" t="n">
        <f aca="false">SUP_CONTROL!$C$14*CAPA4_RETAIL!DA20</f>
        <v>0</v>
      </c>
      <c r="DB9" s="273" t="n">
        <f aca="false">SUP_CONTROL!$C$14*CAPA4_RETAIL!DB20</f>
        <v>0</v>
      </c>
      <c r="DC9" s="273" t="n">
        <f aca="false">SUP_CONTROL!$C$14*CAPA4_RETAIL!DC20</f>
        <v>0</v>
      </c>
      <c r="DD9" s="273" t="n">
        <f aca="false">SUP_CONTROL!$C$14*CAPA4_RETAIL!DD20</f>
        <v>0</v>
      </c>
      <c r="DE9" s="273" t="n">
        <f aca="false">SUP_CONTROL!$C$14*CAPA4_RETAIL!DE20</f>
        <v>0</v>
      </c>
      <c r="DF9" s="273" t="n">
        <f aca="false">SUP_CONTROL!$C$14*CAPA4_RETAIL!DF20</f>
        <v>0</v>
      </c>
      <c r="DG9" s="273" t="n">
        <f aca="false">SUP_CONTROL!$C$14*CAPA4_RETAIL!DG20</f>
        <v>0</v>
      </c>
      <c r="DH9" s="273" t="n">
        <f aca="false">SUP_CONTROL!$C$14*CAPA4_RETAIL!DH20</f>
        <v>0</v>
      </c>
      <c r="DI9" s="273" t="n">
        <f aca="false">SUP_CONTROL!$C$14*CAPA4_RETAIL!DI20</f>
        <v>0</v>
      </c>
      <c r="DJ9" s="273" t="n">
        <f aca="false">SUP_CONTROL!$C$14*CAPA4_RETAIL!DJ20</f>
        <v>0</v>
      </c>
      <c r="DK9" s="273" t="n">
        <f aca="false">SUP_CONTROL!$C$14*CAPA4_RETAIL!DK20</f>
        <v>0</v>
      </c>
      <c r="DL9" s="273" t="n">
        <f aca="false">SUP_CONTROL!$C$14*CAPA4_RETAIL!DL20</f>
        <v>0</v>
      </c>
      <c r="DM9" s="273" t="n">
        <f aca="false">SUP_CONTROL!$C$14*CAPA4_RETAIL!DM20</f>
        <v>0</v>
      </c>
      <c r="DN9" s="273" t="n">
        <f aca="false">SUP_CONTROL!$C$14*CAPA4_RETAIL!DN20</f>
        <v>0</v>
      </c>
      <c r="DO9" s="273" t="n">
        <f aca="false">SUP_CONTROL!$C$14*CAPA4_RETAIL!DO20</f>
        <v>0</v>
      </c>
      <c r="DP9" s="273" t="n">
        <f aca="false">SUP_CONTROL!$C$14*CAPA4_RETAIL!DP20</f>
        <v>0</v>
      </c>
      <c r="DQ9" s="273" t="n">
        <f aca="false">SUP_CONTROL!$C$14*CAPA4_RETAIL!DQ20</f>
        <v>0</v>
      </c>
      <c r="DR9" s="273" t="n">
        <f aca="false">SUP_CONTROL!$C$14*CAPA4_RETAIL!DR20</f>
        <v>0</v>
      </c>
      <c r="DS9" s="273" t="n">
        <f aca="false">SUP_CONTROL!$C$14*CAPA4_RETAIL!DS20</f>
        <v>0</v>
      </c>
    </row>
    <row r="10" customFormat="false" ht="15" hidden="false" customHeight="true" outlineLevel="0" collapsed="false">
      <c r="B10" s="178" t="s">
        <v>3618</v>
      </c>
      <c r="D10" s="268" t="n">
        <f aca="false">SUM(D6:D9)</f>
        <v>-669342.743666667</v>
      </c>
      <c r="E10" s="268" t="n">
        <f aca="false">SUM(E6:E9)</f>
        <v>-470743.743666667</v>
      </c>
      <c r="F10" s="268" t="n">
        <f aca="false">SUM(F6:F9)</f>
        <v>-425743.743666667</v>
      </c>
      <c r="G10" s="268" t="n">
        <f aca="false">SUM(G6:G9)</f>
        <v>-265599.947130978</v>
      </c>
      <c r="H10" s="268" t="n">
        <f aca="false">SUM(H6:H9)</f>
        <v>-289956.902263237</v>
      </c>
      <c r="I10" s="268" t="n">
        <f aca="false">SUM(I6:I9)</f>
        <v>6835.93830026941</v>
      </c>
      <c r="J10" s="268" t="n">
        <f aca="false">SUM(J6:J9)</f>
        <v>10951.5965109153</v>
      </c>
      <c r="K10" s="268" t="n">
        <f aca="false">SUM(K6:K9)</f>
        <v>17051.2906689435</v>
      </c>
      <c r="L10" s="268" t="n">
        <f aca="false">SUM(L6:L9)</f>
        <v>58155.0554584569</v>
      </c>
      <c r="M10" s="268" t="n">
        <f aca="false">SUM(M6:M9)</f>
        <v>56512.1551426885</v>
      </c>
      <c r="N10" s="268" t="n">
        <f aca="false">SUM(N6:N9)</f>
        <v>50112.1551426885</v>
      </c>
      <c r="O10" s="268" t="n">
        <f aca="false">SUM(O6:O9)</f>
        <v>50112.1551426885</v>
      </c>
      <c r="P10" s="268" t="n">
        <f aca="false">SUM(P6:P9)</f>
        <v>54017.1439091533</v>
      </c>
      <c r="Q10" s="268" t="n">
        <f aca="false">SUM(Q6:Q9)</f>
        <v>54017.1439091533</v>
      </c>
      <c r="R10" s="268" t="n">
        <f aca="false">SUM(R6:R9)</f>
        <v>54017.1439091533</v>
      </c>
      <c r="S10" s="268" t="n">
        <f aca="false">SUM(S6:S9)</f>
        <v>-44978.7930908467</v>
      </c>
      <c r="T10" s="268" t="n">
        <f aca="false">SUM(T6:T9)</f>
        <v>-44978.7930908467</v>
      </c>
      <c r="U10" s="268" t="n">
        <f aca="false">SUM(U6:U9)</f>
        <v>54017.1439091533</v>
      </c>
      <c r="V10" s="268" t="n">
        <f aca="false">SUM(V6:V9)</f>
        <v>-52152.39335004</v>
      </c>
      <c r="W10" s="268" t="n">
        <f aca="false">SUM(W6:W9)</f>
        <v>52305.0630669529</v>
      </c>
      <c r="X10" s="268" t="n">
        <f aca="false">SUM(X6:X9)</f>
        <v>66674.8191347632</v>
      </c>
      <c r="Y10" s="268" t="n">
        <f aca="false">SUM(Y6:Y9)</f>
        <v>58610.2897653182</v>
      </c>
      <c r="Z10" s="268" t="n">
        <f aca="false">SUM(Z6:Z9)</f>
        <v>70980.0458331284</v>
      </c>
      <c r="AA10" s="268" t="n">
        <f aca="false">SUM(AA6:AA9)</f>
        <v>71927.9482602526</v>
      </c>
      <c r="AB10" s="268" t="n">
        <f aca="false">SUM(AB6:AB9)</f>
        <v>75855.6070042446</v>
      </c>
      <c r="AC10" s="268" t="n">
        <f aca="false">SUM(AC6:AC9)</f>
        <v>75855.6070042446</v>
      </c>
      <c r="AD10" s="268" t="n">
        <f aca="false">SUM(AD6:AD9)</f>
        <v>-271398.481006422</v>
      </c>
      <c r="AE10" s="268" t="n">
        <f aca="false">SUM(AE6:AE9)</f>
        <v>71352.9269935779</v>
      </c>
      <c r="AF10" s="268" t="n">
        <f aca="false">SUM(AF6:AF9)</f>
        <v>-75939.5140267138</v>
      </c>
      <c r="AG10" s="268" t="n">
        <f aca="false">SUM(AG6:AG9)</f>
        <v>-27893.1214328042</v>
      </c>
      <c r="AH10" s="268" t="n">
        <f aca="false">SUM(AH6:AH9)</f>
        <v>71102.8155671958</v>
      </c>
      <c r="AI10" s="268" t="n">
        <f aca="false">SUM(AI6:AI9)</f>
        <v>-41006.8043679855</v>
      </c>
      <c r="AJ10" s="268" t="n">
        <f aca="false">SUM(AJ6:AJ9)</f>
        <v>71318.005042</v>
      </c>
      <c r="AK10" s="268" t="n">
        <f aca="false">SUM(AK6:AK9)</f>
        <v>-12681.7698182011</v>
      </c>
      <c r="AL10" s="268" t="n">
        <f aca="false">SUM(AL6:AL9)</f>
        <v>77584.779277405</v>
      </c>
      <c r="AM10" s="268" t="n">
        <f aca="false">SUM(AM6:AM9)</f>
        <v>90025.7770318386</v>
      </c>
      <c r="AN10" s="268" t="n">
        <f aca="false">SUM(AN6:AN9)</f>
        <v>-60922.6608438111</v>
      </c>
      <c r="AO10" s="268" t="n">
        <f aca="false">SUM(AO6:AO9)</f>
        <v>514.105337284636</v>
      </c>
      <c r="AP10" s="268" t="n">
        <f aca="false">SUM(AP6:AP9)</f>
        <v>-73.9931457367784</v>
      </c>
      <c r="AQ10" s="268" t="n">
        <f aca="false">SUM(AQ6:AQ9)</f>
        <v>-14289.119807979</v>
      </c>
      <c r="AR10" s="268" t="n">
        <f aca="false">SUM(AR6:AR9)</f>
        <v>97966.0841095567</v>
      </c>
      <c r="AS10" s="268" t="n">
        <f aca="false">SUM(AS6:AS9)</f>
        <v>104848.288527673</v>
      </c>
      <c r="AT10" s="268" t="n">
        <f aca="false">SUM(AT6:AT9)</f>
        <v>-37793.7863091138</v>
      </c>
      <c r="AU10" s="268" t="n">
        <f aca="false">SUM(AU6:AU9)</f>
        <v>123280.802119747</v>
      </c>
      <c r="AV10" s="268" t="n">
        <f aca="false">SUM(AV6:AV9)</f>
        <v>24483.4333053581</v>
      </c>
      <c r="AW10" s="268" t="n">
        <f aca="false">SUM(AW6:AW9)</f>
        <v>10268.306643116</v>
      </c>
      <c r="AX10" s="268" t="n">
        <f aca="false">SUM(AX6:AX9)</f>
        <v>130352.159085624</v>
      </c>
      <c r="AY10" s="268" t="n">
        <f aca="false">SUM(AY6:AY9)</f>
        <v>123782.120855657</v>
      </c>
      <c r="AZ10" s="268" t="n">
        <f aca="false">SUM(AZ6:AZ9)</f>
        <v>131845.928666861</v>
      </c>
      <c r="BA10" s="268" t="n">
        <f aca="false">SUM(BA6:BA9)</f>
        <v>146308.65205263</v>
      </c>
      <c r="BB10" s="268" t="n">
        <f aca="false">SUM(BB6:BB9)</f>
        <v>-485994.142533422</v>
      </c>
      <c r="BC10" s="268" t="n">
        <f aca="false">SUM(BC6:BC9)</f>
        <v>137704.842820886</v>
      </c>
      <c r="BD10" s="268" t="n">
        <f aca="false">SUM(BD6:BD9)</f>
        <v>137704.842820886</v>
      </c>
      <c r="BE10" s="268" t="n">
        <f aca="false">SUM(BE6:BE9)</f>
        <v>137704.842820886</v>
      </c>
      <c r="BF10" s="268" t="n">
        <f aca="false">SUM(BF6:BF9)</f>
        <v>-370868.404911376</v>
      </c>
      <c r="BG10" s="268" t="n">
        <f aca="false">SUM(BG6:BG9)</f>
        <v>36464.073493457</v>
      </c>
      <c r="BH10" s="268" t="n">
        <f aca="false">SUM(BH6:BH9)</f>
        <v>-11832.4305268347</v>
      </c>
      <c r="BI10" s="268" t="n">
        <f aca="false">SUM(BI6:BI9)</f>
        <v>-13588.8013600755</v>
      </c>
      <c r="BJ10" s="268" t="n">
        <f aca="false">SUM(BJ6:BJ9)</f>
        <v>41662.5167938575</v>
      </c>
      <c r="BK10" s="268" t="n">
        <f aca="false">SUM(BK6:BK9)</f>
        <v>39934.0069728219</v>
      </c>
      <c r="BL10" s="268" t="n">
        <f aca="false">SUM(BL6:BL9)</f>
        <v>149844.986153299</v>
      </c>
      <c r="BM10" s="268" t="n">
        <f aca="false">SUM(BM6:BM9)</f>
        <v>8260.15419513406</v>
      </c>
      <c r="BN10" s="268" t="n">
        <f aca="false">SUM(BN6:BN9)</f>
        <v>61720.0931620943</v>
      </c>
      <c r="BO10" s="268" t="n">
        <f aca="false">SUM(BO6:BO9)</f>
        <v>75322.3942943494</v>
      </c>
      <c r="BP10" s="268" t="n">
        <f aca="false">SUM(BP6:BP9)</f>
        <v>61930.5932889135</v>
      </c>
      <c r="BQ10" s="268" t="n">
        <f aca="false">SUM(BQ6:BQ9)</f>
        <v>20664.2592658761</v>
      </c>
      <c r="BR10" s="268" t="n">
        <f aca="false">SUM(BR6:BR9)</f>
        <v>76172.6739996681</v>
      </c>
      <c r="BS10" s="268" t="n">
        <f aca="false">SUM(BS6:BS9)</f>
        <v>80724.0986263589</v>
      </c>
      <c r="BT10" s="268" t="n">
        <f aca="false">SUM(BT6:BT9)</f>
        <v>80510.3302388327</v>
      </c>
      <c r="BU10" s="268" t="n">
        <f aca="false">SUM(BU6:BU9)</f>
        <v>45042.9704618334</v>
      </c>
      <c r="BV10" s="268" t="n">
        <f aca="false">SUM(BV6:BV9)</f>
        <v>198218.172683691</v>
      </c>
      <c r="BW10" s="268" t="n">
        <f aca="false">SUM(BW6:BW9)</f>
        <v>-306978.237702054</v>
      </c>
      <c r="BX10" s="268" t="n">
        <f aca="false">SUM(BX6:BX9)</f>
        <v>106497.428486771</v>
      </c>
      <c r="BY10" s="268" t="n">
        <f aca="false">SUM(BY6:BY9)</f>
        <v>127643.777618015</v>
      </c>
      <c r="BZ10" s="268" t="n">
        <f aca="false">SUM(BZ6:BZ9)</f>
        <v>77000.0228397032</v>
      </c>
      <c r="CA10" s="268" t="n">
        <f aca="false">SUM(CA6:CA9)</f>
        <v>81454.8133371917</v>
      </c>
      <c r="CB10" s="268" t="n">
        <f aca="false">SUM(CB6:CB9)</f>
        <v>131894.87903182</v>
      </c>
      <c r="CC10" s="268" t="n">
        <f aca="false">SUM(CC6:CC9)</f>
        <v>130117.044189891</v>
      </c>
      <c r="CD10" s="268" t="n">
        <f aca="false">SUM(CD6:CD9)</f>
        <v>129705.09475506</v>
      </c>
      <c r="CE10" s="268" t="n">
        <f aca="false">SUM(CE6:CE9)</f>
        <v>94064.4302128435</v>
      </c>
      <c r="CF10" s="268" t="n">
        <f aca="false">SUM(CF6:CF9)</f>
        <v>148335.122952526</v>
      </c>
      <c r="CG10" s="268" t="n">
        <f aca="false">SUM(CG6:CG9)</f>
        <v>154209.104174507</v>
      </c>
      <c r="CH10" s="268" t="n">
        <f aca="false">SUM(CH6:CH9)</f>
        <v>-324142.384158066</v>
      </c>
      <c r="CI10" s="268" t="n">
        <f aca="false">SUM(CI6:CI9)</f>
        <v>263020.402857991</v>
      </c>
      <c r="CJ10" s="268" t="n">
        <f aca="false">SUM(CJ6:CJ9)</f>
        <v>263246.199528478</v>
      </c>
      <c r="CK10" s="268" t="n">
        <f aca="false">SUM(CK6:CK9)</f>
        <v>274129.37501642</v>
      </c>
      <c r="CL10" s="268" t="n">
        <f aca="false">SUM(CL6:CL9)</f>
        <v>273035.103489438</v>
      </c>
      <c r="CM10" s="268" t="n">
        <f aca="false">SUM(CM6:CM9)</f>
        <v>271035.103489438</v>
      </c>
      <c r="CN10" s="268" t="n">
        <f aca="false">SUM(CN6:CN9)</f>
        <v>271035.103489438</v>
      </c>
      <c r="CO10" s="268" t="n">
        <f aca="false">SUM(CO6:CO9)</f>
        <v>271035.103489438</v>
      </c>
      <c r="CP10" s="268" t="n">
        <f aca="false">SUM(CP6:CP9)</f>
        <v>271035.103489438</v>
      </c>
      <c r="CQ10" s="268" t="n">
        <f aca="false">SUM(CQ6:CQ9)</f>
        <v>271035.103489438</v>
      </c>
      <c r="CR10" s="268" t="n">
        <f aca="false">SUM(CR6:CR9)</f>
        <v>271035.103489438</v>
      </c>
      <c r="CS10" s="268" t="n">
        <f aca="false">SUM(CS6:CS9)</f>
        <v>271035.103489438</v>
      </c>
      <c r="CT10" s="268" t="n">
        <f aca="false">SUM(CT6:CT9)</f>
        <v>271035.103489438</v>
      </c>
      <c r="CU10" s="268" t="n">
        <f aca="false">SUM(CU6:CU9)</f>
        <v>271035.103489438</v>
      </c>
      <c r="CV10" s="268" t="n">
        <f aca="false">SUM(CV6:CV9)</f>
        <v>271035.103489438</v>
      </c>
      <c r="CW10" s="268" t="n">
        <f aca="false">SUM(CW6:CW9)</f>
        <v>271035.103489438</v>
      </c>
      <c r="CX10" s="268" t="n">
        <f aca="false">SUM(CX6:CX9)</f>
        <v>271035.103489438</v>
      </c>
      <c r="CY10" s="268" t="n">
        <f aca="false">SUM(CY6:CY9)</f>
        <v>271035.103489438</v>
      </c>
      <c r="CZ10" s="268" t="n">
        <f aca="false">SUM(CZ6:CZ9)</f>
        <v>271035.103489438</v>
      </c>
      <c r="DA10" s="268" t="n">
        <f aca="false">SUM(DA6:DA9)</f>
        <v>271035.103489438</v>
      </c>
      <c r="DB10" s="268" t="n">
        <f aca="false">SUM(DB6:DB9)</f>
        <v>271035.103489438</v>
      </c>
      <c r="DC10" s="268" t="n">
        <f aca="false">SUM(DC6:DC9)</f>
        <v>271035.103489438</v>
      </c>
      <c r="DD10" s="268" t="n">
        <f aca="false">SUM(DD6:DD9)</f>
        <v>271035.103489438</v>
      </c>
      <c r="DE10" s="268" t="n">
        <f aca="false">SUM(DE6:DE9)</f>
        <v>271035.103489438</v>
      </c>
      <c r="DF10" s="268" t="n">
        <f aca="false">SUM(DF6:DF9)</f>
        <v>271035.103489438</v>
      </c>
      <c r="DG10" s="268" t="n">
        <f aca="false">SUM(DG6:DG9)</f>
        <v>271035.103489438</v>
      </c>
      <c r="DH10" s="268" t="n">
        <f aca="false">SUM(DH6:DH9)</f>
        <v>271035.103489438</v>
      </c>
      <c r="DI10" s="268" t="n">
        <f aca="false">SUM(DI6:DI9)</f>
        <v>271035.103489438</v>
      </c>
      <c r="DJ10" s="268" t="n">
        <f aca="false">SUM(DJ6:DJ9)</f>
        <v>271035.103489438</v>
      </c>
      <c r="DK10" s="268" t="n">
        <f aca="false">SUM(DK6:DK9)</f>
        <v>271035.103489438</v>
      </c>
      <c r="DL10" s="268" t="n">
        <f aca="false">SUM(DL6:DL9)</f>
        <v>271035.103489438</v>
      </c>
      <c r="DM10" s="268" t="n">
        <f aca="false">SUM(DM6:DM9)</f>
        <v>271035.103489438</v>
      </c>
      <c r="DN10" s="268" t="n">
        <f aca="false">SUM(DN6:DN9)</f>
        <v>271035.103489438</v>
      </c>
      <c r="DO10" s="268" t="n">
        <f aca="false">SUM(DO6:DO9)</f>
        <v>271035.103489438</v>
      </c>
      <c r="DP10" s="268" t="n">
        <f aca="false">SUM(DP6:DP9)</f>
        <v>271035.103489438</v>
      </c>
      <c r="DQ10" s="268" t="n">
        <f aca="false">SUM(DQ6:DQ9)</f>
        <v>271035.103489438</v>
      </c>
      <c r="DR10" s="268" t="n">
        <f aca="false">SUM(DR6:DR9)</f>
        <v>271035.103489438</v>
      </c>
      <c r="DS10" s="268" t="n">
        <f aca="false">SUM(DS6:DS9)</f>
        <v>271035.103489438</v>
      </c>
    </row>
    <row r="11" customFormat="false" ht="15" hidden="false" customHeight="true" outlineLevel="0" collapsed="false">
      <c r="B11" s="297" t="s">
        <v>300</v>
      </c>
      <c r="D11" s="273" t="n">
        <f aca="false">D10</f>
        <v>-669342.743666667</v>
      </c>
      <c r="E11" s="273" t="n">
        <f aca="false">D11+E10</f>
        <v>-1140086.48733333</v>
      </c>
      <c r="F11" s="273" t="n">
        <f aca="false">E11+F10</f>
        <v>-1565830.231</v>
      </c>
      <c r="G11" s="273" t="n">
        <f aca="false">F11+G10</f>
        <v>-1831430.17813098</v>
      </c>
      <c r="H11" s="273" t="n">
        <f aca="false">G11+H10</f>
        <v>-2121387.08039422</v>
      </c>
      <c r="I11" s="273" t="n">
        <f aca="false">H11+I10</f>
        <v>-2114551.14209395</v>
      </c>
      <c r="J11" s="273" t="n">
        <f aca="false">I11+J10</f>
        <v>-2103599.54558303</v>
      </c>
      <c r="K11" s="273" t="n">
        <f aca="false">J11+K10</f>
        <v>-2086548.25491409</v>
      </c>
      <c r="L11" s="273" t="n">
        <f aca="false">K11+L10</f>
        <v>-2028393.19945563</v>
      </c>
      <c r="M11" s="273" t="n">
        <f aca="false">L11+M10</f>
        <v>-1971881.04431294</v>
      </c>
      <c r="N11" s="273" t="n">
        <f aca="false">M11+N10</f>
        <v>-1921768.88917025</v>
      </c>
      <c r="O11" s="273" t="n">
        <f aca="false">N11+O10</f>
        <v>-1871656.73402757</v>
      </c>
      <c r="P11" s="273" t="n">
        <f aca="false">O11+P10</f>
        <v>-1817639.59011841</v>
      </c>
      <c r="Q11" s="273" t="n">
        <f aca="false">P11+Q10</f>
        <v>-1763622.44620926</v>
      </c>
      <c r="R11" s="273" t="n">
        <f aca="false">Q11+R10</f>
        <v>-1709605.30230011</v>
      </c>
      <c r="S11" s="273" t="n">
        <f aca="false">R11+S10</f>
        <v>-1754584.09539095</v>
      </c>
      <c r="T11" s="273" t="n">
        <f aca="false">S11+T10</f>
        <v>-1799562.8884818</v>
      </c>
      <c r="U11" s="273" t="n">
        <f aca="false">T11+U10</f>
        <v>-1745545.74457265</v>
      </c>
      <c r="V11" s="273" t="n">
        <f aca="false">U11+V10</f>
        <v>-1797698.13792269</v>
      </c>
      <c r="W11" s="273" t="n">
        <f aca="false">V11+W10</f>
        <v>-1745393.07485573</v>
      </c>
      <c r="X11" s="273" t="n">
        <f aca="false">W11+X10</f>
        <v>-1678718.25572097</v>
      </c>
      <c r="Y11" s="273" t="n">
        <f aca="false">X11+Y10</f>
        <v>-1620107.96595565</v>
      </c>
      <c r="Z11" s="273" t="n">
        <f aca="false">Y11+Z10</f>
        <v>-1549127.92012252</v>
      </c>
      <c r="AA11" s="273" t="n">
        <f aca="false">Z11+AA10</f>
        <v>-1477199.97186227</v>
      </c>
      <c r="AB11" s="273" t="n">
        <f aca="false">AA11+AB10</f>
        <v>-1401344.36485803</v>
      </c>
      <c r="AC11" s="273" t="n">
        <f aca="false">AB11+AC10</f>
        <v>-1325488.75785378</v>
      </c>
      <c r="AD11" s="273" t="n">
        <f aca="false">AC11+AD10</f>
        <v>-1596887.2388602</v>
      </c>
      <c r="AE11" s="273" t="n">
        <f aca="false">AD11+AE10</f>
        <v>-1525534.31186663</v>
      </c>
      <c r="AF11" s="273" t="n">
        <f aca="false">AE11+AF10</f>
        <v>-1601473.82589334</v>
      </c>
      <c r="AG11" s="273" t="n">
        <f aca="false">AF11+AG10</f>
        <v>-1629366.94732614</v>
      </c>
      <c r="AH11" s="273" t="n">
        <f aca="false">AG11+AH10</f>
        <v>-1558264.13175895</v>
      </c>
      <c r="AI11" s="273" t="n">
        <f aca="false">AH11+AI10</f>
        <v>-1599270.93612693</v>
      </c>
      <c r="AJ11" s="273" t="n">
        <f aca="false">AI11+AJ10</f>
        <v>-1527952.93108493</v>
      </c>
      <c r="AK11" s="273" t="n">
        <f aca="false">AJ11+AK10</f>
        <v>-1540634.70090313</v>
      </c>
      <c r="AL11" s="273" t="n">
        <f aca="false">AK11+AL10</f>
        <v>-1463049.92162573</v>
      </c>
      <c r="AM11" s="273" t="n">
        <f aca="false">AL11+AM10</f>
        <v>-1373024.14459389</v>
      </c>
      <c r="AN11" s="273" t="n">
        <f aca="false">AM11+AN10</f>
        <v>-1433946.8054377</v>
      </c>
      <c r="AO11" s="273" t="n">
        <f aca="false">AN11+AO10</f>
        <v>-1433432.70010042</v>
      </c>
      <c r="AP11" s="273" t="n">
        <f aca="false">AO11+AP10</f>
        <v>-1433506.69324615</v>
      </c>
      <c r="AQ11" s="273" t="n">
        <f aca="false">AP11+AQ10</f>
        <v>-1447795.81305413</v>
      </c>
      <c r="AR11" s="273" t="n">
        <f aca="false">AQ11+AR10</f>
        <v>-1349829.72894458</v>
      </c>
      <c r="AS11" s="273" t="n">
        <f aca="false">AR11+AS10</f>
        <v>-1244981.4404169</v>
      </c>
      <c r="AT11" s="273" t="n">
        <f aca="false">AS11+AT10</f>
        <v>-1282775.22672602</v>
      </c>
      <c r="AU11" s="273" t="n">
        <f aca="false">AT11+AU10</f>
        <v>-1159494.42460627</v>
      </c>
      <c r="AV11" s="273" t="n">
        <f aca="false">AU11+AV10</f>
        <v>-1135010.99130091</v>
      </c>
      <c r="AW11" s="273" t="n">
        <f aca="false">AV11+AW10</f>
        <v>-1124742.6846578</v>
      </c>
      <c r="AX11" s="273" t="n">
        <f aca="false">AW11+AX10</f>
        <v>-994390.525572171</v>
      </c>
      <c r="AY11" s="273" t="n">
        <f aca="false">AX11+AY10</f>
        <v>-870608.404716514</v>
      </c>
      <c r="AZ11" s="273" t="n">
        <f aca="false">AY11+AZ10</f>
        <v>-738762.476049654</v>
      </c>
      <c r="BA11" s="273" t="n">
        <f aca="false">AZ11+BA10</f>
        <v>-592453.823997024</v>
      </c>
      <c r="BB11" s="273" t="n">
        <f aca="false">BA11+BB10</f>
        <v>-1078447.96653045</v>
      </c>
      <c r="BC11" s="273" t="n">
        <f aca="false">BB11+BC10</f>
        <v>-940743.123709559</v>
      </c>
      <c r="BD11" s="273" t="n">
        <f aca="false">BC11+BD10</f>
        <v>-803038.280888673</v>
      </c>
      <c r="BE11" s="273" t="n">
        <f aca="false">BD11+BE10</f>
        <v>-665333.438067787</v>
      </c>
      <c r="BF11" s="273" t="n">
        <f aca="false">BE11+BF10</f>
        <v>-1036201.84297916</v>
      </c>
      <c r="BG11" s="273" t="n">
        <f aca="false">BF11+BG10</f>
        <v>-999737.769485706</v>
      </c>
      <c r="BH11" s="273" t="n">
        <f aca="false">BG11+BH10</f>
        <v>-1011570.20001254</v>
      </c>
      <c r="BI11" s="273" t="n">
        <f aca="false">BH11+BI10</f>
        <v>-1025159.00137262</v>
      </c>
      <c r="BJ11" s="273" t="n">
        <f aca="false">BI11+BJ10</f>
        <v>-983496.484578759</v>
      </c>
      <c r="BK11" s="273" t="n">
        <f aca="false">BJ11+BK10</f>
        <v>-943562.477605937</v>
      </c>
      <c r="BL11" s="273" t="n">
        <f aca="false">BK11+BL10</f>
        <v>-793717.491452638</v>
      </c>
      <c r="BM11" s="273" t="n">
        <f aca="false">BL11+BM10</f>
        <v>-785457.337257504</v>
      </c>
      <c r="BN11" s="273" t="n">
        <f aca="false">BM11+BN10</f>
        <v>-723737.24409541</v>
      </c>
      <c r="BO11" s="273" t="n">
        <f aca="false">BN11+BO10</f>
        <v>-648414.849801061</v>
      </c>
      <c r="BP11" s="273" t="n">
        <f aca="false">BO11+BP10</f>
        <v>-586484.256512147</v>
      </c>
      <c r="BQ11" s="273" t="n">
        <f aca="false">BP11+BQ10</f>
        <v>-565819.997246271</v>
      </c>
      <c r="BR11" s="273" t="n">
        <f aca="false">BQ11+BR10</f>
        <v>-489647.323246603</v>
      </c>
      <c r="BS11" s="273" t="n">
        <f aca="false">BR11+BS10</f>
        <v>-408923.224620244</v>
      </c>
      <c r="BT11" s="273" t="n">
        <f aca="false">BS11+BT10</f>
        <v>-328412.894381411</v>
      </c>
      <c r="BU11" s="273" t="n">
        <f aca="false">BT11+BU10</f>
        <v>-283369.923919578</v>
      </c>
      <c r="BV11" s="273" t="n">
        <f aca="false">BU11+BV10</f>
        <v>-85151.7512358869</v>
      </c>
      <c r="BW11" s="273" t="n">
        <f aca="false">BV11+BW10</f>
        <v>-392129.988937941</v>
      </c>
      <c r="BX11" s="273" t="n">
        <f aca="false">BW11+BX10</f>
        <v>-285632.56045117</v>
      </c>
      <c r="BY11" s="273" t="n">
        <f aca="false">BX11+BY10</f>
        <v>-157988.782833155</v>
      </c>
      <c r="BZ11" s="273" t="n">
        <f aca="false">BY11+BZ10</f>
        <v>-80988.7599934515</v>
      </c>
      <c r="CA11" s="273" t="n">
        <f aca="false">BZ11+CA10</f>
        <v>466.053343740205</v>
      </c>
      <c r="CB11" s="273" t="n">
        <f aca="false">CA11+CB10</f>
        <v>132360.932375561</v>
      </c>
      <c r="CC11" s="273" t="n">
        <f aca="false">CB11+CC10</f>
        <v>262477.976565452</v>
      </c>
      <c r="CD11" s="273" t="n">
        <f aca="false">CC11+CD10</f>
        <v>392183.071320512</v>
      </c>
      <c r="CE11" s="273" t="n">
        <f aca="false">CD11+CE10</f>
        <v>486247.501533355</v>
      </c>
      <c r="CF11" s="273" t="n">
        <f aca="false">CE11+CF10</f>
        <v>634582.624485882</v>
      </c>
      <c r="CG11" s="273" t="n">
        <f aca="false">CF11+CG10</f>
        <v>788791.728660389</v>
      </c>
      <c r="CH11" s="273" t="n">
        <f aca="false">CG11+CH10</f>
        <v>464649.344502323</v>
      </c>
      <c r="CI11" s="273" t="n">
        <f aca="false">CH11+CI10</f>
        <v>727669.747360314</v>
      </c>
      <c r="CJ11" s="273" t="n">
        <f aca="false">CI11+CJ10</f>
        <v>990915.946888793</v>
      </c>
      <c r="CK11" s="273" t="n">
        <f aca="false">CJ11+CK10</f>
        <v>1265045.32190521</v>
      </c>
      <c r="CL11" s="273" t="n">
        <f aca="false">CK11+CL10</f>
        <v>1538080.42539465</v>
      </c>
      <c r="CM11" s="273" t="n">
        <f aca="false">CL11+CM10</f>
        <v>1809115.52888409</v>
      </c>
      <c r="CN11" s="273" t="n">
        <f aca="false">CM11+CN10</f>
        <v>2080150.63237353</v>
      </c>
      <c r="CO11" s="273" t="n">
        <f aca="false">CN11+CO10</f>
        <v>2351185.73586297</v>
      </c>
      <c r="CP11" s="273" t="n">
        <f aca="false">CO11+CP10</f>
        <v>2622220.8393524</v>
      </c>
      <c r="CQ11" s="273" t="n">
        <f aca="false">CP11+CQ10</f>
        <v>2893255.94284184</v>
      </c>
      <c r="CR11" s="273" t="n">
        <f aca="false">CQ11+CR10</f>
        <v>3164291.04633128</v>
      </c>
      <c r="CS11" s="273" t="n">
        <f aca="false">CR11+CS10</f>
        <v>3435326.14982072</v>
      </c>
      <c r="CT11" s="273" t="n">
        <f aca="false">CS11+CT10</f>
        <v>3706361.25331016</v>
      </c>
      <c r="CU11" s="273" t="n">
        <f aca="false">CT11+CU10</f>
        <v>3977396.3567996</v>
      </c>
      <c r="CV11" s="273" t="n">
        <f aca="false">CU11+CV10</f>
        <v>4248431.46028903</v>
      </c>
      <c r="CW11" s="273" t="n">
        <f aca="false">CV11+CW10</f>
        <v>4519466.56377847</v>
      </c>
      <c r="CX11" s="273" t="n">
        <f aca="false">CW11+CX10</f>
        <v>4790501.66726791</v>
      </c>
      <c r="CY11" s="273" t="n">
        <f aca="false">CX11+CY10</f>
        <v>5061536.77075735</v>
      </c>
      <c r="CZ11" s="273" t="n">
        <f aca="false">CY11+CZ10</f>
        <v>5332571.87424679</v>
      </c>
      <c r="DA11" s="273" t="n">
        <f aca="false">CZ11+DA10</f>
        <v>5603606.97773622</v>
      </c>
      <c r="DB11" s="273" t="n">
        <f aca="false">DA11+DB10</f>
        <v>5874642.08122566</v>
      </c>
      <c r="DC11" s="273" t="n">
        <f aca="false">DB11+DC10</f>
        <v>6145677.1847151</v>
      </c>
      <c r="DD11" s="273" t="n">
        <f aca="false">DC11+DD10</f>
        <v>6416712.28820454</v>
      </c>
      <c r="DE11" s="273" t="n">
        <f aca="false">DD11+DE10</f>
        <v>6687747.39169398</v>
      </c>
      <c r="DF11" s="273" t="n">
        <f aca="false">DE11+DF10</f>
        <v>6958782.49518341</v>
      </c>
      <c r="DG11" s="273" t="n">
        <f aca="false">DF11+DG10</f>
        <v>7229817.59867285</v>
      </c>
      <c r="DH11" s="273" t="n">
        <f aca="false">DG11+DH10</f>
        <v>7500852.70216229</v>
      </c>
      <c r="DI11" s="273" t="n">
        <f aca="false">DH11+DI10</f>
        <v>7771887.80565173</v>
      </c>
      <c r="DJ11" s="273" t="n">
        <f aca="false">DI11+DJ10</f>
        <v>8042922.90914117</v>
      </c>
      <c r="DK11" s="273" t="n">
        <f aca="false">DJ11+DK10</f>
        <v>8313958.0126306</v>
      </c>
      <c r="DL11" s="273" t="n">
        <f aca="false">DK11+DL10</f>
        <v>8584993.11612004</v>
      </c>
      <c r="DM11" s="273" t="n">
        <f aca="false">DL11+DM10</f>
        <v>8856028.21960948</v>
      </c>
      <c r="DN11" s="273" t="n">
        <f aca="false">DM11+DN10</f>
        <v>9127063.32309892</v>
      </c>
      <c r="DO11" s="273" t="n">
        <f aca="false">DN11+DO10</f>
        <v>9398098.42658836</v>
      </c>
      <c r="DP11" s="273" t="n">
        <f aca="false">DO11+DP10</f>
        <v>9669133.5300778</v>
      </c>
      <c r="DQ11" s="273" t="n">
        <f aca="false">DP11+DQ10</f>
        <v>9940168.63356723</v>
      </c>
      <c r="DR11" s="273" t="n">
        <f aca="false">DQ11+DR10</f>
        <v>10211203.7370567</v>
      </c>
      <c r="DS11" s="273" t="n">
        <f aca="false">DR11+DS10</f>
        <v>10482238.8405461</v>
      </c>
    </row>
    <row r="12" customFormat="false" ht="15" hidden="false" customHeight="true" outlineLevel="0" collapsed="false">
      <c r="B12" s="297" t="s">
        <v>3432</v>
      </c>
      <c r="D12" s="273" t="n">
        <f aca="false">D10/(1+SUP_CONTROL!$C$32)^D4</f>
        <v>-659249.97561307</v>
      </c>
      <c r="E12" s="273" t="n">
        <f aca="false">E10/(1+SUP_CONTROL!$C$32)^E4</f>
        <v>-456654.437764112</v>
      </c>
      <c r="F12" s="273" t="n">
        <f aca="false">F10/(1+SUP_CONTROL!$C$32)^F4</f>
        <v>-406773.79121242</v>
      </c>
      <c r="G12" s="273" t="n">
        <f aca="false">G10/(1+SUP_CONTROL!$C$32)^G4</f>
        <v>-249939.119519147</v>
      </c>
      <c r="H12" s="273" t="n">
        <f aca="false">H10/(1+SUP_CONTROL!$C$32)^H4</f>
        <v>-268745.539936844</v>
      </c>
      <c r="I12" s="273" t="n">
        <f aca="false">I10/(1+SUP_CONTROL!$C$32)^I4</f>
        <v>6240.3293479518</v>
      </c>
      <c r="J12" s="273" t="n">
        <f aca="false">J10/(1+SUP_CONTROL!$C$32)^J4</f>
        <v>9846.64712912735</v>
      </c>
      <c r="K12" s="273" t="n">
        <f aca="false">K10/(1+SUP_CONTROL!$C$32)^K4</f>
        <v>15099.7501208136</v>
      </c>
      <c r="L12" s="273" t="n">
        <f aca="false">L10/(1+SUP_CONTROL!$C$32)^L4</f>
        <v>50722.6038134314</v>
      </c>
      <c r="M12" s="273" t="n">
        <f aca="false">M10/(1+SUP_CONTROL!$C$32)^M4</f>
        <v>48546.452332742</v>
      </c>
      <c r="N12" s="273" t="n">
        <f aca="false">N10/(1+SUP_CONTROL!$C$32)^N4</f>
        <v>42399.4547529362</v>
      </c>
      <c r="O12" s="273" t="n">
        <f aca="false">O10/(1+SUP_CONTROL!$C$32)^O4</f>
        <v>41760.1292855738</v>
      </c>
      <c r="P12" s="273" t="n">
        <f aca="false">P10/(1+SUP_CONTROL!$C$32)^P4</f>
        <v>44335.5330555572</v>
      </c>
      <c r="Q12" s="273" t="n">
        <f aca="false">Q10/(1+SUP_CONTROL!$C$32)^Q4</f>
        <v>43667.014190004</v>
      </c>
      <c r="R12" s="273" t="n">
        <f aca="false">R10/(1+SUP_CONTROL!$C$32)^R4</f>
        <v>43008.5756695555</v>
      </c>
      <c r="S12" s="273" t="n">
        <f aca="false">S10/(1+SUP_CONTROL!$C$32)^S4</f>
        <v>-35272.2206950599</v>
      </c>
      <c r="T12" s="273" t="n">
        <f aca="false">T10/(1+SUP_CONTROL!$C$32)^T4</f>
        <v>-34740.364115484</v>
      </c>
      <c r="U12" s="273" t="n">
        <f aca="false">U10/(1+SUP_CONTROL!$C$32)^U4</f>
        <v>41092.2336264529</v>
      </c>
      <c r="V12" s="273" t="n">
        <f aca="false">V10/(1+SUP_CONTROL!$C$32)^V4</f>
        <v>-39075.4454343306</v>
      </c>
      <c r="W12" s="273" t="n">
        <f aca="false">W10/(1+SUP_CONTROL!$C$32)^W4</f>
        <v>38598.9051942601</v>
      </c>
      <c r="X12" s="273" t="n">
        <f aca="false">X10/(1+SUP_CONTROL!$C$32)^X4</f>
        <v>48461.2559854558</v>
      </c>
      <c r="Y12" s="273" t="n">
        <f aca="false">Y10/(1+SUP_CONTROL!$C$32)^Y4</f>
        <v>41957.3693352049</v>
      </c>
      <c r="Z12" s="273" t="n">
        <f aca="false">Z10/(1+SUP_CONTROL!$C$32)^Z4</f>
        <v>50046.3282992225</v>
      </c>
      <c r="AA12" s="273" t="n">
        <f aca="false">AA10/(1+SUP_CONTROL!$C$32)^AA4</f>
        <v>49949.9640696199</v>
      </c>
      <c r="AB12" s="273" t="n">
        <f aca="false">AB10/(1+SUP_CONTROL!$C$32)^AB4</f>
        <v>51883.2005360209</v>
      </c>
      <c r="AC12" s="273" t="n">
        <f aca="false">AC10/(1+SUP_CONTROL!$C$32)^AC4</f>
        <v>51100.8732248742</v>
      </c>
      <c r="AD12" s="273" t="n">
        <f aca="false">AD10/(1+SUP_CONTROL!$C$32)^AD4</f>
        <v>-180073.418397778</v>
      </c>
      <c r="AE12" s="273" t="n">
        <f aca="false">AE10/(1+SUP_CONTROL!$C$32)^AE4</f>
        <v>46628.9410188018</v>
      </c>
      <c r="AF12" s="273" t="n">
        <f aca="false">AF10/(1+SUP_CONTROL!$C$32)^AF4</f>
        <v>-48877.9671994988</v>
      </c>
      <c r="AG12" s="273" t="n">
        <f aca="false">AG10/(1+SUP_CONTROL!$C$32)^AG4</f>
        <v>-17682.5136666409</v>
      </c>
      <c r="AH12" s="273" t="n">
        <f aca="false">AH10/(1+SUP_CONTROL!$C$32)^AH4</f>
        <v>44395.1212247529</v>
      </c>
      <c r="AI12" s="273" t="n">
        <f aca="false">AI10/(1+SUP_CONTROL!$C$32)^AI4</f>
        <v>-25217.7268845108</v>
      </c>
      <c r="AJ12" s="273" t="n">
        <f aca="false">AJ10/(1+SUP_CONTROL!$C$32)^AJ4</f>
        <v>43196.7188358221</v>
      </c>
      <c r="AK12" s="273" t="n">
        <f aca="false">AK10/(1+SUP_CONTROL!$C$32)^AK4</f>
        <v>-7565.41928924196</v>
      </c>
      <c r="AL12" s="273" t="n">
        <f aca="false">AL10/(1+SUP_CONTROL!$C$32)^AL4</f>
        <v>45585.9728975583</v>
      </c>
      <c r="AM12" s="273" t="n">
        <f aca="false">AM10/(1+SUP_CONTROL!$C$32)^AM4</f>
        <v>52098.2505971289</v>
      </c>
      <c r="AN12" s="273" t="n">
        <f aca="false">AN10/(1+SUP_CONTROL!$C$32)^AN4</f>
        <v>-34724.5549206245</v>
      </c>
      <c r="AO12" s="273" t="n">
        <f aca="false">AO10/(1+SUP_CONTROL!$C$32)^AO4</f>
        <v>288.61008327026</v>
      </c>
      <c r="AP12" s="273" t="n">
        <f aca="false">AP10/(1+SUP_CONTROL!$C$32)^AP4</f>
        <v>-40.9121630594515</v>
      </c>
      <c r="AQ12" s="273" t="n">
        <f aca="false">AQ10/(1+SUP_CONTROL!$C$32)^AQ4</f>
        <v>-7781.58365758436</v>
      </c>
      <c r="AR12" s="273" t="n">
        <f aca="false">AR10/(1+SUP_CONTROL!$C$32)^AR4</f>
        <v>52546.0197625816</v>
      </c>
      <c r="AS12" s="273" t="n">
        <f aca="false">AS10/(1+SUP_CONTROL!$C$32)^AS4</f>
        <v>55389.4413024852</v>
      </c>
      <c r="AT12" s="273" t="n">
        <f aca="false">AT10/(1+SUP_CONTROL!$C$32)^AT4</f>
        <v>-19664.7126576614</v>
      </c>
      <c r="AU12" s="273" t="n">
        <f aca="false">AU10/(1+SUP_CONTROL!$C$32)^AU4</f>
        <v>63177.7588677928</v>
      </c>
      <c r="AV12" s="273" t="n">
        <f aca="false">AV10/(1+SUP_CONTROL!$C$32)^AV4</f>
        <v>12357.8422214269</v>
      </c>
      <c r="AW12" s="273" t="n">
        <f aca="false">AW10/(1+SUP_CONTROL!$C$32)^AW4</f>
        <v>5104.70582703339</v>
      </c>
      <c r="AX12" s="273" t="n">
        <f aca="false">AX10/(1+SUP_CONTROL!$C$32)^AX4</f>
        <v>63825.1261669184</v>
      </c>
      <c r="AY12" s="273" t="n">
        <f aca="false">AY10/(1+SUP_CONTROL!$C$32)^AY4</f>
        <v>59694.3098262236</v>
      </c>
      <c r="AZ12" s="273" t="n">
        <f aca="false">AZ10/(1+SUP_CONTROL!$C$32)^AZ4</f>
        <v>62624.3602358765</v>
      </c>
      <c r="BA12" s="273" t="n">
        <f aca="false">BA10/(1+SUP_CONTROL!$C$32)^BA4</f>
        <v>68446.0122431588</v>
      </c>
      <c r="BB12" s="273" t="n">
        <f aca="false">BB10/(1+SUP_CONTROL!$C$32)^BB4</f>
        <v>-223929.205505932</v>
      </c>
      <c r="BC12" s="273" t="n">
        <f aca="false">BC10/(1+SUP_CONTROL!$C$32)^BC4</f>
        <v>62492.8715498906</v>
      </c>
      <c r="BD12" s="273" t="n">
        <f aca="false">BD10/(1+SUP_CONTROL!$C$32)^BD4</f>
        <v>61550.5649909203</v>
      </c>
      <c r="BE12" s="273" t="n">
        <f aca="false">BE10/(1+SUP_CONTROL!$C$32)^BE4</f>
        <v>60622.4671189419</v>
      </c>
      <c r="BF12" s="273" t="n">
        <f aca="false">BF10/(1+SUP_CONTROL!$C$32)^BF4</f>
        <v>-160807.311832032</v>
      </c>
      <c r="BG12" s="273" t="n">
        <f aca="false">BG10/(1+SUP_CONTROL!$C$32)^BG4</f>
        <v>15572.2978415665</v>
      </c>
      <c r="BH12" s="273" t="n">
        <f aca="false">BH10/(1+SUP_CONTROL!$C$32)^BH4</f>
        <v>-4976.94732743418</v>
      </c>
      <c r="BI12" s="273" t="n">
        <f aca="false">BI10/(1+SUP_CONTROL!$C$32)^BI4</f>
        <v>-5629.52554691521</v>
      </c>
      <c r="BJ12" s="273" t="n">
        <f aca="false">BJ10/(1+SUP_CONTROL!$C$32)^BJ4</f>
        <v>16999.5610957022</v>
      </c>
      <c r="BK12" s="273" t="n">
        <f aca="false">BK10/(1+SUP_CONTROL!$C$32)^BK4</f>
        <v>16048.5817631261</v>
      </c>
      <c r="BL12" s="273" t="n">
        <f aca="false">BL10/(1+SUP_CONTROL!$C$32)^BL4</f>
        <v>59311.3143960809</v>
      </c>
      <c r="BM12" s="273" t="n">
        <f aca="false">BM10/(1+SUP_CONTROL!$C$32)^BM4</f>
        <v>3220.21634422977</v>
      </c>
      <c r="BN12" s="273" t="n">
        <f aca="false">BN10/(1+SUP_CONTROL!$C$32)^BN4</f>
        <v>23698.727714243</v>
      </c>
      <c r="BO12" s="273" t="n">
        <f aca="false">BO10/(1+SUP_CONTROL!$C$32)^BO4</f>
        <v>28485.5190701219</v>
      </c>
      <c r="BP12" s="273" t="n">
        <f aca="false">BP10/(1+SUP_CONTROL!$C$32)^BP4</f>
        <v>23067.8343687208</v>
      </c>
      <c r="BQ12" s="273" t="n">
        <f aca="false">BQ10/(1+SUP_CONTROL!$C$32)^BQ4</f>
        <v>7580.93876863072</v>
      </c>
      <c r="BR12" s="273" t="n">
        <f aca="false">BR10/(1+SUP_CONTROL!$C$32)^BR4</f>
        <v>27523.5159307416</v>
      </c>
      <c r="BS12" s="273" t="n">
        <f aca="false">BS10/(1+SUP_CONTROL!$C$32)^BS4</f>
        <v>28728.2701932906</v>
      </c>
      <c r="BT12" s="273" t="n">
        <f aca="false">BT10/(1+SUP_CONTROL!$C$32)^BT4</f>
        <v>28220.1581495498</v>
      </c>
      <c r="BU12" s="273" t="n">
        <f aca="false">BU10/(1+SUP_CONTROL!$C$32)^BU4</f>
        <v>15550.21583611</v>
      </c>
      <c r="BV12" s="273" t="n">
        <f aca="false">BV10/(1+SUP_CONTROL!$C$32)^BV4</f>
        <v>67399.1514860437</v>
      </c>
      <c r="BW12" s="273" t="n">
        <f aca="false">BW10/(1+SUP_CONTROL!$C$32)^BW4</f>
        <v>-102806.390691328</v>
      </c>
      <c r="BX12" s="273" t="n">
        <f aca="false">BX10/(1+SUP_CONTROL!$C$32)^BX4</f>
        <v>35127.9825099327</v>
      </c>
      <c r="BY12" s="273" t="n">
        <f aca="false">BY10/(1+SUP_CONTROL!$C$32)^BY4</f>
        <v>41468.2108443468</v>
      </c>
      <c r="BZ12" s="273" t="n">
        <f aca="false">BZ10/(1+SUP_CONTROL!$C$32)^BZ4</f>
        <v>24638.1483697723</v>
      </c>
      <c r="CA12" s="273" t="n">
        <f aca="false">CA10/(1+SUP_CONTROL!$C$32)^CA4</f>
        <v>25670.5709327566</v>
      </c>
      <c r="CB12" s="273" t="n">
        <f aca="false">CB10/(1+SUP_CONTROL!$C$32)^CB4</f>
        <v>40940.0408587878</v>
      </c>
      <c r="CC12" s="273" t="n">
        <f aca="false">CC10/(1+SUP_CONTROL!$C$32)^CC4</f>
        <v>39779.2041186982</v>
      </c>
      <c r="CD12" s="273" t="n">
        <f aca="false">CD10/(1+SUP_CONTROL!$C$32)^CD4</f>
        <v>39055.3468229826</v>
      </c>
      <c r="CE12" s="273" t="n">
        <f aca="false">CE10/(1+SUP_CONTROL!$C$32)^CE4</f>
        <v>27896.5473416686</v>
      </c>
      <c r="CF12" s="273" t="n">
        <f aca="false">CF10/(1+SUP_CONTROL!$C$32)^CF4</f>
        <v>43328.1937903225</v>
      </c>
      <c r="CG12" s="273" t="n">
        <f aca="false">CG10/(1+SUP_CONTROL!$C$32)^CG4</f>
        <v>44364.7630477409</v>
      </c>
      <c r="CH12" s="273" t="n">
        <f aca="false">CH10/(1+SUP_CONTROL!$C$32)^CH4</f>
        <v>-91847.1187460167</v>
      </c>
      <c r="CI12" s="273" t="n">
        <f aca="false">CI10/(1+SUP_CONTROL!$C$32)^CI4</f>
        <v>73404.1672856675</v>
      </c>
      <c r="CJ12" s="273" t="n">
        <f aca="false">CJ10/(1+SUP_CONTROL!$C$32)^CJ4</f>
        <v>72359.3989094248</v>
      </c>
      <c r="CK12" s="273" t="n">
        <f aca="false">CK10/(1+SUP_CONTROL!$C$32)^CK4</f>
        <v>74214.7073542213</v>
      </c>
      <c r="CL12" s="273" t="n">
        <f aca="false">CL10/(1+SUP_CONTROL!$C$32)^CL4</f>
        <v>72803.8679063467</v>
      </c>
      <c r="CM12" s="273" t="n">
        <f aca="false">CM10/(1+SUP_CONTROL!$C$32)^CM4</f>
        <v>71180.8339325384</v>
      </c>
      <c r="CN12" s="273" t="n">
        <f aca="false">CN10/(1+SUP_CONTROL!$C$32)^CN4</f>
        <v>70107.5248490527</v>
      </c>
      <c r="CO12" s="273" t="n">
        <f aca="false">CO10/(1+SUP_CONTROL!$C$32)^CO4</f>
        <v>69050.3997904659</v>
      </c>
      <c r="CP12" s="273" t="n">
        <f aca="false">CP10/(1+SUP_CONTROL!$C$32)^CP4</f>
        <v>68009.2147239399</v>
      </c>
      <c r="CQ12" s="273" t="n">
        <f aca="false">CQ10/(1+SUP_CONTROL!$C$32)^CQ4</f>
        <v>66983.7292963159</v>
      </c>
      <c r="CR12" s="273" t="n">
        <f aca="false">CR10/(1+SUP_CONTROL!$C$32)^CR4</f>
        <v>65973.7067786306</v>
      </c>
      <c r="CS12" s="273" t="n">
        <f aca="false">CS10/(1+SUP_CONTROL!$C$32)^CS4</f>
        <v>64978.9140114674</v>
      </c>
      <c r="CT12" s="273" t="n">
        <f aca="false">CT10/(1+SUP_CONTROL!$C$32)^CT4</f>
        <v>63999.1213511335</v>
      </c>
      <c r="CU12" s="273" t="n">
        <f aca="false">CU10/(1+SUP_CONTROL!$C$32)^CU4</f>
        <v>63034.1026166469</v>
      </c>
      <c r="CV12" s="273" t="n">
        <f aca="false">CV10/(1+SUP_CONTROL!$C$32)^CV4</f>
        <v>62083.6350375239</v>
      </c>
      <c r="CW12" s="273" t="n">
        <f aca="false">CW10/(1+SUP_CONTROL!$C$32)^CW4</f>
        <v>61147.4992023531</v>
      </c>
      <c r="CX12" s="273" t="n">
        <f aca="false">CX10/(1+SUP_CONTROL!$C$32)^CX4</f>
        <v>60225.4790081458</v>
      </c>
      <c r="CY12" s="273" t="n">
        <f aca="false">CY10/(1+SUP_CONTROL!$C$32)^CY4</f>
        <v>59317.3616104487</v>
      </c>
      <c r="CZ12" s="273" t="n">
        <f aca="false">CZ10/(1+SUP_CONTROL!$C$32)^CZ4</f>
        <v>58422.9373742106</v>
      </c>
      <c r="DA12" s="273" t="n">
        <f aca="false">DA10/(1+SUP_CONTROL!$C$32)^DA4</f>
        <v>57541.9998253883</v>
      </c>
      <c r="DB12" s="273" t="n">
        <f aca="false">DB10/(1+SUP_CONTROL!$C$32)^DB4</f>
        <v>56674.3456032832</v>
      </c>
      <c r="DC12" s="273" t="n">
        <f aca="false">DC10/(1+SUP_CONTROL!$C$32)^DC4</f>
        <v>55819.7744135966</v>
      </c>
      <c r="DD12" s="273" t="n">
        <f aca="false">DD10/(1+SUP_CONTROL!$C$32)^DD4</f>
        <v>54978.0889821922</v>
      </c>
      <c r="DE12" s="273" t="n">
        <f aca="false">DE10/(1+SUP_CONTROL!$C$32)^DE4</f>
        <v>54149.0950095562</v>
      </c>
      <c r="DF12" s="273" t="n">
        <f aca="false">DF10/(1+SUP_CONTROL!$C$32)^DF4</f>
        <v>53332.6011259446</v>
      </c>
      <c r="DG12" s="273" t="n">
        <f aca="false">DG10/(1+SUP_CONTROL!$C$32)^DG4</f>
        <v>52528.4188472058</v>
      </c>
      <c r="DH12" s="273" t="n">
        <f aca="false">DH10/(1+SUP_CONTROL!$C$32)^DH4</f>
        <v>51736.3625312699</v>
      </c>
      <c r="DI12" s="273" t="n">
        <f aca="false">DI10/(1+SUP_CONTROL!$C$32)^DI4</f>
        <v>50956.2493352943</v>
      </c>
      <c r="DJ12" s="273" t="n">
        <f aca="false">DJ10/(1+SUP_CONTROL!$C$32)^DJ4</f>
        <v>50187.8991734548</v>
      </c>
      <c r="DK12" s="273" t="n">
        <f aca="false">DK10/(1+SUP_CONTROL!$C$32)^DK4</f>
        <v>49431.1346753739</v>
      </c>
      <c r="DL12" s="273" t="n">
        <f aca="false">DL10/(1+SUP_CONTROL!$C$32)^DL4</f>
        <v>48685.7811451755</v>
      </c>
      <c r="DM12" s="273" t="n">
        <f aca="false">DM10/(1+SUP_CONTROL!$C$32)^DM4</f>
        <v>47951.6665211569</v>
      </c>
      <c r="DN12" s="273" t="n">
        <f aca="false">DN10/(1+SUP_CONTROL!$C$32)^DN4</f>
        <v>47228.6213360694</v>
      </c>
      <c r="DO12" s="273" t="n">
        <f aca="false">DO10/(1+SUP_CONTROL!$C$32)^DO4</f>
        <v>46516.4786779972</v>
      </c>
      <c r="DP12" s="273" t="n">
        <f aca="false">DP10/(1+SUP_CONTROL!$C$32)^DP4</f>
        <v>45815.0741518268</v>
      </c>
      <c r="DQ12" s="273" t="n">
        <f aca="false">DQ10/(1+SUP_CONTROL!$C$32)^DQ4</f>
        <v>45124.2458412969</v>
      </c>
      <c r="DR12" s="273" t="n">
        <f aca="false">DR10/(1+SUP_CONTROL!$C$32)^DR4</f>
        <v>44443.8342716205</v>
      </c>
      <c r="DS12" s="273" t="n">
        <f aca="false">DS10/(1+SUP_CONTROL!$C$32)^DS4</f>
        <v>43773.6823726715</v>
      </c>
    </row>
    <row r="13" customFormat="false" ht="15" hidden="false" customHeight="true" outlineLevel="0" collapsed="false">
      <c r="B13" s="297" t="s">
        <v>3619</v>
      </c>
      <c r="D13" s="273" t="n">
        <f aca="false">D12</f>
        <v>-659249.97561307</v>
      </c>
      <c r="E13" s="273" t="n">
        <f aca="false">D13+E12</f>
        <v>-1115904.41337718</v>
      </c>
      <c r="F13" s="273" t="n">
        <f aca="false">E13+F12</f>
        <v>-1522678.2045896</v>
      </c>
      <c r="G13" s="273" t="n">
        <f aca="false">F13+G12</f>
        <v>-1772617.32410875</v>
      </c>
      <c r="H13" s="273" t="n">
        <f aca="false">G13+H12</f>
        <v>-2041362.86404559</v>
      </c>
      <c r="I13" s="273" t="n">
        <f aca="false">H13+I12</f>
        <v>-2035122.53469764</v>
      </c>
      <c r="J13" s="273" t="n">
        <f aca="false">I13+J12</f>
        <v>-2025275.88756851</v>
      </c>
      <c r="K13" s="273" t="n">
        <f aca="false">J13+K12</f>
        <v>-2010176.1374477</v>
      </c>
      <c r="L13" s="273" t="n">
        <f aca="false">K13+L12</f>
        <v>-1959453.53363427</v>
      </c>
      <c r="M13" s="273" t="n">
        <f aca="false">L13+M12</f>
        <v>-1910907.08130153</v>
      </c>
      <c r="N13" s="273" t="n">
        <f aca="false">M13+N12</f>
        <v>-1868507.62654859</v>
      </c>
      <c r="O13" s="273" t="n">
        <f aca="false">N13+O12</f>
        <v>-1826747.49726302</v>
      </c>
      <c r="P13" s="273" t="n">
        <f aca="false">O13+P12</f>
        <v>-1782411.96420746</v>
      </c>
      <c r="Q13" s="273" t="n">
        <f aca="false">P13+Q12</f>
        <v>-1738744.95001745</v>
      </c>
      <c r="R13" s="273" t="n">
        <f aca="false">Q13+R12</f>
        <v>-1695736.3743479</v>
      </c>
      <c r="S13" s="273" t="n">
        <f aca="false">R13+S12</f>
        <v>-1731008.59504296</v>
      </c>
      <c r="T13" s="273" t="n">
        <f aca="false">S13+T12</f>
        <v>-1765748.95915844</v>
      </c>
      <c r="U13" s="273" t="n">
        <f aca="false">T13+U12</f>
        <v>-1724656.72553199</v>
      </c>
      <c r="V13" s="273" t="n">
        <f aca="false">U13+V12</f>
        <v>-1763732.17096632</v>
      </c>
      <c r="W13" s="273" t="n">
        <f aca="false">V13+W12</f>
        <v>-1725133.26577206</v>
      </c>
      <c r="X13" s="273" t="n">
        <f aca="false">W13+X12</f>
        <v>-1676672.00978661</v>
      </c>
      <c r="Y13" s="273" t="n">
        <f aca="false">X13+Y12</f>
        <v>-1634714.6404514</v>
      </c>
      <c r="Z13" s="273" t="n">
        <f aca="false">Y13+Z12</f>
        <v>-1584668.31215218</v>
      </c>
      <c r="AA13" s="273" t="n">
        <f aca="false">Z13+AA12</f>
        <v>-1534718.34808256</v>
      </c>
      <c r="AB13" s="273" t="n">
        <f aca="false">AA13+AB12</f>
        <v>-1482835.14754654</v>
      </c>
      <c r="AC13" s="273" t="n">
        <f aca="false">AB13+AC12</f>
        <v>-1431734.27432166</v>
      </c>
      <c r="AD13" s="273" t="n">
        <f aca="false">AC13+AD12</f>
        <v>-1611807.69271944</v>
      </c>
      <c r="AE13" s="273" t="n">
        <f aca="false">AD13+AE12</f>
        <v>-1565178.75170064</v>
      </c>
      <c r="AF13" s="273" t="n">
        <f aca="false">AE13+AF12</f>
        <v>-1614056.71890014</v>
      </c>
      <c r="AG13" s="273" t="n">
        <f aca="false">AF13+AG12</f>
        <v>-1631739.23256678</v>
      </c>
      <c r="AH13" s="273" t="n">
        <f aca="false">AG13+AH12</f>
        <v>-1587344.11134203</v>
      </c>
      <c r="AI13" s="273" t="n">
        <f aca="false">AH13+AI12</f>
        <v>-1612561.83822654</v>
      </c>
      <c r="AJ13" s="273" t="n">
        <f aca="false">AI13+AJ12</f>
        <v>-1569365.11939071</v>
      </c>
      <c r="AK13" s="273" t="n">
        <f aca="false">AJ13+AK12</f>
        <v>-1576930.53867996</v>
      </c>
      <c r="AL13" s="273" t="n">
        <f aca="false">AK13+AL12</f>
        <v>-1531344.5657824</v>
      </c>
      <c r="AM13" s="273" t="n">
        <f aca="false">AL13+AM12</f>
        <v>-1479246.31518527</v>
      </c>
      <c r="AN13" s="273" t="n">
        <f aca="false">AM13+AN12</f>
        <v>-1513970.87010589</v>
      </c>
      <c r="AO13" s="273" t="n">
        <f aca="false">AN13+AO12</f>
        <v>-1513682.26002262</v>
      </c>
      <c r="AP13" s="273" t="n">
        <f aca="false">AO13+AP12</f>
        <v>-1513723.17218568</v>
      </c>
      <c r="AQ13" s="273" t="n">
        <f aca="false">AP13+AQ12</f>
        <v>-1521504.75584327</v>
      </c>
      <c r="AR13" s="273" t="n">
        <f aca="false">AQ13+AR12</f>
        <v>-1468958.73608069</v>
      </c>
      <c r="AS13" s="273" t="n">
        <f aca="false">AR13+AS12</f>
        <v>-1413569.2947782</v>
      </c>
      <c r="AT13" s="273" t="n">
        <f aca="false">AS13+AT12</f>
        <v>-1433234.00743586</v>
      </c>
      <c r="AU13" s="273" t="n">
        <f aca="false">AT13+AU12</f>
        <v>-1370056.24856807</v>
      </c>
      <c r="AV13" s="273" t="n">
        <f aca="false">AU13+AV12</f>
        <v>-1357698.40634664</v>
      </c>
      <c r="AW13" s="273" t="n">
        <f aca="false">AV13+AW12</f>
        <v>-1352593.70051961</v>
      </c>
      <c r="AX13" s="273" t="n">
        <f aca="false">AW13+AX12</f>
        <v>-1288768.57435269</v>
      </c>
      <c r="AY13" s="273" t="n">
        <f aca="false">AX13+AY12</f>
        <v>-1229074.26452647</v>
      </c>
      <c r="AZ13" s="273" t="n">
        <f aca="false">AY13+AZ12</f>
        <v>-1166449.90429059</v>
      </c>
      <c r="BA13" s="273" t="n">
        <f aca="false">AZ13+BA12</f>
        <v>-1098003.89204743</v>
      </c>
      <c r="BB13" s="273" t="n">
        <f aca="false">BA13+BB12</f>
        <v>-1321933.09755336</v>
      </c>
      <c r="BC13" s="273" t="n">
        <f aca="false">BB13+BC12</f>
        <v>-1259440.22600347</v>
      </c>
      <c r="BD13" s="273" t="n">
        <f aca="false">BC13+BD12</f>
        <v>-1197889.66101255</v>
      </c>
      <c r="BE13" s="273" t="n">
        <f aca="false">BD13+BE12</f>
        <v>-1137267.19389361</v>
      </c>
      <c r="BF13" s="273" t="n">
        <f aca="false">BE13+BF12</f>
        <v>-1298074.50572564</v>
      </c>
      <c r="BG13" s="273" t="n">
        <f aca="false">BF13+BG12</f>
        <v>-1282502.20788408</v>
      </c>
      <c r="BH13" s="273" t="n">
        <f aca="false">BG13+BH12</f>
        <v>-1287479.15521151</v>
      </c>
      <c r="BI13" s="273" t="n">
        <f aca="false">BH13+BI12</f>
        <v>-1293108.68075843</v>
      </c>
      <c r="BJ13" s="273" t="n">
        <f aca="false">BI13+BJ12</f>
        <v>-1276109.11966272</v>
      </c>
      <c r="BK13" s="273" t="n">
        <f aca="false">BJ13+BK12</f>
        <v>-1260060.5378996</v>
      </c>
      <c r="BL13" s="273" t="n">
        <f aca="false">BK13+BL12</f>
        <v>-1200749.22350352</v>
      </c>
      <c r="BM13" s="273" t="n">
        <f aca="false">BL13+BM12</f>
        <v>-1197529.00715929</v>
      </c>
      <c r="BN13" s="273" t="n">
        <f aca="false">BM13+BN12</f>
        <v>-1173830.27944504</v>
      </c>
      <c r="BO13" s="273" t="n">
        <f aca="false">BN13+BO12</f>
        <v>-1145344.76037492</v>
      </c>
      <c r="BP13" s="273" t="n">
        <f aca="false">BO13+BP12</f>
        <v>-1122276.9260062</v>
      </c>
      <c r="BQ13" s="273" t="n">
        <f aca="false">BP13+BQ12</f>
        <v>-1114695.98723757</v>
      </c>
      <c r="BR13" s="273" t="n">
        <f aca="false">BQ13+BR12</f>
        <v>-1087172.47130683</v>
      </c>
      <c r="BS13" s="273" t="n">
        <f aca="false">BR13+BS12</f>
        <v>-1058444.20111354</v>
      </c>
      <c r="BT13" s="273" t="n">
        <f aca="false">BS13+BT12</f>
        <v>-1030224.04296399</v>
      </c>
      <c r="BU13" s="273" t="n">
        <f aca="false">BT13+BU12</f>
        <v>-1014673.82712788</v>
      </c>
      <c r="BV13" s="273" t="n">
        <f aca="false">BU13+BV12</f>
        <v>-947274.675641834</v>
      </c>
      <c r="BW13" s="273" t="n">
        <f aca="false">BV13+BW12</f>
        <v>-1050081.06633316</v>
      </c>
      <c r="BX13" s="273" t="n">
        <f aca="false">BW13+BX12</f>
        <v>-1014953.08382323</v>
      </c>
      <c r="BY13" s="273" t="n">
        <f aca="false">BX13+BY12</f>
        <v>-973484.872978883</v>
      </c>
      <c r="BZ13" s="273" t="n">
        <f aca="false">BY13+BZ12</f>
        <v>-948846.72460911</v>
      </c>
      <c r="CA13" s="273" t="n">
        <f aca="false">BZ13+CA12</f>
        <v>-923176.153676354</v>
      </c>
      <c r="CB13" s="273" t="n">
        <f aca="false">CA13+CB12</f>
        <v>-882236.112817566</v>
      </c>
      <c r="CC13" s="273" t="n">
        <f aca="false">CB13+CC12</f>
        <v>-842456.908698868</v>
      </c>
      <c r="CD13" s="273" t="n">
        <f aca="false">CC13+CD12</f>
        <v>-803401.561875885</v>
      </c>
      <c r="CE13" s="273" t="n">
        <f aca="false">CD13+CE12</f>
        <v>-775505.014534217</v>
      </c>
      <c r="CF13" s="273" t="n">
        <f aca="false">CE13+CF12</f>
        <v>-732176.820743894</v>
      </c>
      <c r="CG13" s="273" t="n">
        <f aca="false">CF13+CG12</f>
        <v>-687812.057696153</v>
      </c>
      <c r="CH13" s="273" t="n">
        <f aca="false">CG13+CH12</f>
        <v>-779659.17644217</v>
      </c>
      <c r="CI13" s="273" t="n">
        <f aca="false">CH13+CI12</f>
        <v>-706255.009156502</v>
      </c>
      <c r="CJ13" s="273" t="n">
        <f aca="false">CI13+CJ12</f>
        <v>-633895.610247078</v>
      </c>
      <c r="CK13" s="273" t="n">
        <f aca="false">CJ13+CK12</f>
        <v>-559680.902892856</v>
      </c>
      <c r="CL13" s="273" t="n">
        <f aca="false">CK13+CL12</f>
        <v>-486877.03498651</v>
      </c>
      <c r="CM13" s="273" t="n">
        <f aca="false">CL13+CM12</f>
        <v>-415696.201053971</v>
      </c>
      <c r="CN13" s="273" t="n">
        <f aca="false">CM13+CN12</f>
        <v>-345588.676204919</v>
      </c>
      <c r="CO13" s="273" t="n">
        <f aca="false">CN13+CO12</f>
        <v>-276538.276414453</v>
      </c>
      <c r="CP13" s="273" t="n">
        <f aca="false">CO13+CP12</f>
        <v>-208529.061690513</v>
      </c>
      <c r="CQ13" s="273" t="n">
        <f aca="false">CP13+CQ12</f>
        <v>-141545.332394197</v>
      </c>
      <c r="CR13" s="273" t="n">
        <f aca="false">CQ13+CR12</f>
        <v>-75571.6256155663</v>
      </c>
      <c r="CS13" s="273" t="n">
        <f aca="false">CR13+CS12</f>
        <v>-10592.7116040989</v>
      </c>
      <c r="CT13" s="273" t="n">
        <f aca="false">CS13+CT12</f>
        <v>53406.4097470347</v>
      </c>
      <c r="CU13" s="273" t="n">
        <f aca="false">CT13+CU12</f>
        <v>116440.512363682</v>
      </c>
      <c r="CV13" s="273" t="n">
        <f aca="false">CU13+CV12</f>
        <v>178524.147401206</v>
      </c>
      <c r="CW13" s="273" t="n">
        <f aca="false">CV13+CW12</f>
        <v>239671.646603559</v>
      </c>
      <c r="CX13" s="273" t="n">
        <f aca="false">CW13+CX12</f>
        <v>299897.125611704</v>
      </c>
      <c r="CY13" s="273" t="n">
        <f aca="false">CX13+CY12</f>
        <v>359214.487222153</v>
      </c>
      <c r="CZ13" s="273" t="n">
        <f aca="false">CY13+CZ12</f>
        <v>417637.424596364</v>
      </c>
      <c r="DA13" s="273" t="n">
        <f aca="false">CZ13+DA12</f>
        <v>475179.424421752</v>
      </c>
      <c r="DB13" s="273" t="n">
        <f aca="false">DA13+DB12</f>
        <v>531853.770025035</v>
      </c>
      <c r="DC13" s="273" t="n">
        <f aca="false">DB13+DC12</f>
        <v>587673.544438632</v>
      </c>
      <c r="DD13" s="273" t="n">
        <f aca="false">DC13+DD12</f>
        <v>642651.633420824</v>
      </c>
      <c r="DE13" s="273" t="n">
        <f aca="false">DD13+DE12</f>
        <v>696800.72843038</v>
      </c>
      <c r="DF13" s="273" t="n">
        <f aca="false">DE13+DF12</f>
        <v>750133.329556325</v>
      </c>
      <c r="DG13" s="273" t="n">
        <f aca="false">DF13+DG12</f>
        <v>802661.748403531</v>
      </c>
      <c r="DH13" s="273" t="n">
        <f aca="false">DG13+DH12</f>
        <v>854398.110934801</v>
      </c>
      <c r="DI13" s="273" t="n">
        <f aca="false">DH13+DI12</f>
        <v>905354.360270095</v>
      </c>
      <c r="DJ13" s="273" t="n">
        <f aca="false">DI13+DJ12</f>
        <v>955542.25944355</v>
      </c>
      <c r="DK13" s="273" t="n">
        <f aca="false">DJ13+DK12</f>
        <v>1004973.39411892</v>
      </c>
      <c r="DL13" s="273" t="n">
        <f aca="false">DK13+DL12</f>
        <v>1053659.1752641</v>
      </c>
      <c r="DM13" s="273" t="n">
        <f aca="false">DL13+DM12</f>
        <v>1101610.84178526</v>
      </c>
      <c r="DN13" s="273" t="n">
        <f aca="false">DM13+DN12</f>
        <v>1148839.46312133</v>
      </c>
      <c r="DO13" s="273" t="n">
        <f aca="false">DN13+DO12</f>
        <v>1195355.94179932</v>
      </c>
      <c r="DP13" s="273" t="n">
        <f aca="false">DO13+DP12</f>
        <v>1241171.01595115</v>
      </c>
      <c r="DQ13" s="273" t="n">
        <f aca="false">DP13+DQ12</f>
        <v>1286295.26179245</v>
      </c>
      <c r="DR13" s="273" t="n">
        <f aca="false">DQ13+DR12</f>
        <v>1330739.09606407</v>
      </c>
      <c r="DS13" s="273" t="n">
        <f aca="false">DR13+DS12</f>
        <v>1374512.77843674</v>
      </c>
    </row>
    <row r="14" customFormat="false" ht="15" hidden="false" customHeight="true" outlineLevel="0" collapsed="false">
      <c r="B14" s="297" t="s">
        <v>3620</v>
      </c>
      <c r="D14" s="273" t="n">
        <f aca="false">SUP_CONTROL!$C$11*CAPA1_PILOTO!D15+SUP_CONTROL!$C$12*CAPA2_FLAGSHIP!D11+SUP_CONTROL!$C$13*CAPA3_EXPANSION!D39+SUP_CONTROL!$C$14*CAPA4_RETAIL!D8</f>
        <v>0</v>
      </c>
      <c r="E14" s="273" t="n">
        <f aca="false">SUP_CONTROL!$C$11*CAPA1_PILOTO!E15+SUP_CONTROL!$C$12*CAPA2_FLAGSHIP!E11+SUP_CONTROL!$C$13*CAPA3_EXPANSION!E39+SUP_CONTROL!$C$14*CAPA4_RETAIL!E8</f>
        <v>0</v>
      </c>
      <c r="F14" s="273" t="n">
        <f aca="false">SUP_CONTROL!$C$11*CAPA1_PILOTO!F15+SUP_CONTROL!$C$12*CAPA2_FLAGSHIP!F11+SUP_CONTROL!$C$13*CAPA3_EXPANSION!F39+SUP_CONTROL!$C$14*CAPA4_RETAIL!F8</f>
        <v>0</v>
      </c>
      <c r="G14" s="273" t="n">
        <f aca="false">SUP_CONTROL!$C$11*CAPA1_PILOTO!G15+SUP_CONTROL!$C$12*CAPA2_FLAGSHIP!G11+SUP_CONTROL!$C$13*CAPA3_EXPANSION!G39+SUP_CONTROL!$C$14*CAPA4_RETAIL!G8</f>
        <v>75993.6651800203</v>
      </c>
      <c r="H14" s="273" t="n">
        <f aca="false">SUP_CONTROL!$C$11*CAPA1_PILOTO!H15+SUP_CONTROL!$C$12*CAPA2_FLAGSHIP!H11+SUP_CONTROL!$C$13*CAPA3_EXPANSION!H39+SUP_CONTROL!$C$14*CAPA4_RETAIL!H8</f>
        <v>168271.687184331</v>
      </c>
      <c r="I14" s="273" t="n">
        <f aca="false">SUP_CONTROL!$C$11*CAPA1_PILOTO!I15+SUP_CONTROL!$C$12*CAPA2_FLAGSHIP!I11+SUP_CONTROL!$C$13*CAPA3_EXPANSION!I39+SUP_CONTROL!$C$14*CAPA4_RETAIL!I8</f>
        <v>276834.066012931</v>
      </c>
      <c r="J14" s="273" t="n">
        <f aca="false">SUP_CONTROL!$C$11*CAPA1_PILOTO!J15+SUP_CONTROL!$C$12*CAPA2_FLAGSHIP!J11+SUP_CONTROL!$C$13*CAPA3_EXPANSION!J39+SUP_CONTROL!$C$14*CAPA4_RETAIL!J8</f>
        <v>396795.494618535</v>
      </c>
      <c r="K14" s="273" t="n">
        <f aca="false">SUP_CONTROL!$C$11*CAPA1_PILOTO!K15+SUP_CONTROL!$C$12*CAPA2_FLAGSHIP!K11+SUP_CONTROL!$C$13*CAPA3_EXPANSION!K39+SUP_CONTROL!$C$14*CAPA4_RETAIL!K8</f>
        <v>530598.626524785</v>
      </c>
      <c r="L14" s="273" t="n">
        <f aca="false">SUP_CONTROL!$C$11*CAPA1_PILOTO!L15+SUP_CONTROL!$C$12*CAPA2_FLAGSHIP!L11+SUP_CONTROL!$C$13*CAPA3_EXPANSION!L39+SUP_CONTROL!$C$14*CAPA4_RETAIL!L8</f>
        <v>570495.300744295</v>
      </c>
      <c r="M14" s="273" t="n">
        <f aca="false">SUP_CONTROL!$C$11*CAPA1_PILOTO!M15+SUP_CONTROL!$C$12*CAPA2_FLAGSHIP!M11+SUP_CONTROL!$C$13*CAPA3_EXPANSION!M39+SUP_CONTROL!$C$14*CAPA4_RETAIL!M8</f>
        <v>591664.964615872</v>
      </c>
      <c r="N14" s="273" t="n">
        <f aca="false">SUP_CONTROL!$C$11*CAPA1_PILOTO!N15+SUP_CONTROL!$C$12*CAPA2_FLAGSHIP!N11+SUP_CONTROL!$C$13*CAPA3_EXPANSION!N39+SUP_CONTROL!$C$14*CAPA4_RETAIL!N8</f>
        <v>591664.964615872</v>
      </c>
      <c r="O14" s="273" t="n">
        <f aca="false">SUP_CONTROL!$C$11*CAPA1_PILOTO!O15+SUP_CONTROL!$C$12*CAPA2_FLAGSHIP!O11+SUP_CONTROL!$C$13*CAPA3_EXPANSION!O39+SUP_CONTROL!$C$14*CAPA4_RETAIL!O8</f>
        <v>591664.964615872</v>
      </c>
      <c r="P14" s="273" t="n">
        <f aca="false">SUP_CONTROL!$C$11*CAPA1_PILOTO!P15+SUP_CONTROL!$C$12*CAPA2_FLAGSHIP!P11+SUP_CONTROL!$C$13*CAPA3_EXPANSION!P39+SUP_CONTROL!$C$14*CAPA4_RETAIL!P8</f>
        <v>591664.964615872</v>
      </c>
      <c r="Q14" s="273" t="n">
        <f aca="false">SUP_CONTROL!$C$11*CAPA1_PILOTO!Q15+SUP_CONTROL!$C$12*CAPA2_FLAGSHIP!Q11+SUP_CONTROL!$C$13*CAPA3_EXPANSION!Q39+SUP_CONTROL!$C$14*CAPA4_RETAIL!Q8</f>
        <v>591664.964615872</v>
      </c>
      <c r="R14" s="273" t="n">
        <f aca="false">SUP_CONTROL!$C$11*CAPA1_PILOTO!R15+SUP_CONTROL!$C$12*CAPA2_FLAGSHIP!R11+SUP_CONTROL!$C$13*CAPA3_EXPANSION!R39+SUP_CONTROL!$C$14*CAPA4_RETAIL!R8</f>
        <v>591664.964615872</v>
      </c>
      <c r="S14" s="273" t="n">
        <f aca="false">SUP_CONTROL!$C$11*CAPA1_PILOTO!S15+SUP_CONTROL!$C$12*CAPA2_FLAGSHIP!S11+SUP_CONTROL!$C$13*CAPA3_EXPANSION!S39+SUP_CONTROL!$C$14*CAPA4_RETAIL!S8</f>
        <v>591664.964615872</v>
      </c>
      <c r="T14" s="273" t="n">
        <f aca="false">SUP_CONTROL!$C$11*CAPA1_PILOTO!T15+SUP_CONTROL!$C$12*CAPA2_FLAGSHIP!T11+SUP_CONTROL!$C$13*CAPA3_EXPANSION!T39+SUP_CONTROL!$C$14*CAPA4_RETAIL!T8</f>
        <v>591664.964615872</v>
      </c>
      <c r="U14" s="273" t="n">
        <f aca="false">SUP_CONTROL!$C$11*CAPA1_PILOTO!U15+SUP_CONTROL!$C$12*CAPA2_FLAGSHIP!U11+SUP_CONTROL!$C$13*CAPA3_EXPANSION!U39+SUP_CONTROL!$C$14*CAPA4_RETAIL!U8</f>
        <v>591664.964615872</v>
      </c>
      <c r="V14" s="273" t="n">
        <f aca="false">SUP_CONTROL!$C$11*CAPA1_PILOTO!V15+SUP_CONTROL!$C$12*CAPA2_FLAGSHIP!V11+SUP_CONTROL!$C$13*CAPA3_EXPANSION!V39+SUP_CONTROL!$C$14*CAPA4_RETAIL!V8</f>
        <v>626947.737735167</v>
      </c>
      <c r="W14" s="273" t="n">
        <f aca="false">SUP_CONTROL!$C$11*CAPA1_PILOTO!W15+SUP_CONTROL!$C$12*CAPA2_FLAGSHIP!W11+SUP_CONTROL!$C$13*CAPA3_EXPANSION!W39+SUP_CONTROL!$C$14*CAPA4_RETAIL!W8</f>
        <v>670372.689266608</v>
      </c>
      <c r="X14" s="273" t="n">
        <f aca="false">SUP_CONTROL!$C$11*CAPA1_PILOTO!X15+SUP_CONTROL!$C$12*CAPA2_FLAGSHIP!X11+SUP_CONTROL!$C$13*CAPA3_EXPANSION!X39+SUP_CONTROL!$C$14*CAPA4_RETAIL!X8</f>
        <v>683942.986620183</v>
      </c>
      <c r="Y14" s="273" t="n">
        <f aca="false">SUP_CONTROL!$C$11*CAPA1_PILOTO!Y15+SUP_CONTROL!$C$12*CAPA2_FLAGSHIP!Y11+SUP_CONTROL!$C$13*CAPA3_EXPANSION!Y39+SUP_CONTROL!$C$14*CAPA4_RETAIL!Y8</f>
        <v>730081.997622338</v>
      </c>
      <c r="Z14" s="273" t="n">
        <f aca="false">SUP_CONTROL!$C$11*CAPA1_PILOTO!Z15+SUP_CONTROL!$C$12*CAPA2_FLAGSHIP!Z11+SUP_CONTROL!$C$13*CAPA3_EXPANSION!Z39+SUP_CONTROL!$C$14*CAPA4_RETAIL!Z8</f>
        <v>743652.294975913</v>
      </c>
      <c r="AA14" s="273" t="n">
        <f aca="false">SUP_CONTROL!$C$11*CAPA1_PILOTO!AA15+SUP_CONTROL!$C$12*CAPA2_FLAGSHIP!AA11+SUP_CONTROL!$C$13*CAPA3_EXPANSION!AA39+SUP_CONTROL!$C$14*CAPA4_RETAIL!AA8</f>
        <v>749080.413917343</v>
      </c>
      <c r="AB14" s="273" t="n">
        <f aca="false">SUP_CONTROL!$C$11*CAPA1_PILOTO!AB15+SUP_CONTROL!$C$12*CAPA2_FLAGSHIP!AB11+SUP_CONTROL!$C$13*CAPA3_EXPANSION!AB39+SUP_CONTROL!$C$14*CAPA4_RETAIL!AB8</f>
        <v>754508.532858773</v>
      </c>
      <c r="AC14" s="273" t="n">
        <f aca="false">SUP_CONTROL!$C$11*CAPA1_PILOTO!AC15+SUP_CONTROL!$C$12*CAPA2_FLAGSHIP!AC11+SUP_CONTROL!$C$13*CAPA3_EXPANSION!AC39+SUP_CONTROL!$C$14*CAPA4_RETAIL!AC8</f>
        <v>754508.532858773</v>
      </c>
      <c r="AD14" s="273" t="n">
        <f aca="false">SUP_CONTROL!$C$11*CAPA1_PILOTO!AD15+SUP_CONTROL!$C$12*CAPA2_FLAGSHIP!AD11+SUP_CONTROL!$C$13*CAPA3_EXPANSION!AD39+SUP_CONTROL!$C$14*CAPA4_RETAIL!AD8</f>
        <v>754508.532858773</v>
      </c>
      <c r="AE14" s="273" t="n">
        <f aca="false">SUP_CONTROL!$C$11*CAPA1_PILOTO!AE15+SUP_CONTROL!$C$12*CAPA2_FLAGSHIP!AE11+SUP_CONTROL!$C$13*CAPA3_EXPANSION!AE39+SUP_CONTROL!$C$14*CAPA4_RETAIL!AE8</f>
        <v>754508.532858773</v>
      </c>
      <c r="AF14" s="273" t="n">
        <f aca="false">SUP_CONTROL!$C$11*CAPA1_PILOTO!AF15+SUP_CONTROL!$C$12*CAPA2_FLAGSHIP!AF11+SUP_CONTROL!$C$13*CAPA3_EXPANSION!AF39+SUP_CONTROL!$C$14*CAPA4_RETAIL!AF8</f>
        <v>754508.532858773</v>
      </c>
      <c r="AG14" s="273" t="n">
        <f aca="false">SUP_CONTROL!$C$11*CAPA1_PILOTO!AG15+SUP_CONTROL!$C$12*CAPA2_FLAGSHIP!AG11+SUP_CONTROL!$C$13*CAPA3_EXPANSION!AG39+SUP_CONTROL!$C$14*CAPA4_RETAIL!AG8</f>
        <v>749623.225811486</v>
      </c>
      <c r="AH14" s="273" t="n">
        <f aca="false">SUP_CONTROL!$C$11*CAPA1_PILOTO!AH15+SUP_CONTROL!$C$12*CAPA2_FLAGSHIP!AH11+SUP_CONTROL!$C$13*CAPA3_EXPANSION!AH39+SUP_CONTROL!$C$14*CAPA4_RETAIL!AH8</f>
        <v>749623.225811486</v>
      </c>
      <c r="AI14" s="273" t="n">
        <f aca="false">SUP_CONTROL!$C$11*CAPA1_PILOTO!AI15+SUP_CONTROL!$C$12*CAPA2_FLAGSHIP!AI11+SUP_CONTROL!$C$13*CAPA3_EXPANSION!AI39+SUP_CONTROL!$C$14*CAPA4_RETAIL!AI8</f>
        <v>794114.802714917</v>
      </c>
      <c r="AJ14" s="273" t="n">
        <f aca="false">SUP_CONTROL!$C$11*CAPA1_PILOTO!AJ15+SUP_CONTROL!$C$12*CAPA2_FLAGSHIP!AJ11+SUP_CONTROL!$C$13*CAPA3_EXPANSION!AJ39+SUP_CONTROL!$C$14*CAPA4_RETAIL!AJ8</f>
        <v>838606.379618348</v>
      </c>
      <c r="AK14" s="273" t="n">
        <f aca="false">SUP_CONTROL!$C$11*CAPA1_PILOTO!AK15+SUP_CONTROL!$C$12*CAPA2_FLAGSHIP!AK11+SUP_CONTROL!$C$13*CAPA3_EXPANSION!AK39+SUP_CONTROL!$C$14*CAPA4_RETAIL!AK8</f>
        <v>853349.150663272</v>
      </c>
      <c r="AL14" s="273" t="n">
        <f aca="false">SUP_CONTROL!$C$11*CAPA1_PILOTO!AL15+SUP_CONTROL!$C$12*CAPA2_FLAGSHIP!AL11+SUP_CONTROL!$C$13*CAPA3_EXPANSION!AL39+SUP_CONTROL!$C$14*CAPA4_RETAIL!AL8</f>
        <v>899683.573947319</v>
      </c>
      <c r="AM14" s="273" t="n">
        <f aca="false">SUP_CONTROL!$C$11*CAPA1_PILOTO!AM15+SUP_CONTROL!$C$12*CAPA2_FLAGSHIP!AM11+SUP_CONTROL!$C$13*CAPA3_EXPANSION!AM39+SUP_CONTROL!$C$14*CAPA4_RETAIL!AM8</f>
        <v>912846.762380287</v>
      </c>
      <c r="AN14" s="273" t="n">
        <f aca="false">SUP_CONTROL!$C$11*CAPA1_PILOTO!AN15+SUP_CONTROL!$C$12*CAPA2_FLAGSHIP!AN11+SUP_CONTROL!$C$13*CAPA3_EXPANSION!AN39+SUP_CONTROL!$C$14*CAPA4_RETAIL!AN8</f>
        <v>952336.32767919</v>
      </c>
      <c r="AO14" s="273" t="n">
        <f aca="false">SUP_CONTROL!$C$11*CAPA1_PILOTO!AO15+SUP_CONTROL!$C$12*CAPA2_FLAGSHIP!AO11+SUP_CONTROL!$C$13*CAPA3_EXPANSION!AO39+SUP_CONTROL!$C$14*CAPA4_RETAIL!AO8</f>
        <v>965499.516112158</v>
      </c>
      <c r="AP14" s="273" t="n">
        <f aca="false">SUP_CONTROL!$C$11*CAPA1_PILOTO!AP15+SUP_CONTROL!$C$12*CAPA2_FLAGSHIP!AP11+SUP_CONTROL!$C$13*CAPA3_EXPANSION!AP39+SUP_CONTROL!$C$14*CAPA4_RETAIL!AP8</f>
        <v>960994.177390771</v>
      </c>
      <c r="AQ14" s="273" t="n">
        <f aca="false">SUP_CONTROL!$C$11*CAPA1_PILOTO!AQ15+SUP_CONTROL!$C$12*CAPA2_FLAGSHIP!AQ11+SUP_CONTROL!$C$13*CAPA3_EXPANSION!AQ39+SUP_CONTROL!$C$14*CAPA4_RETAIL!AQ8</f>
        <v>1009468.63656748</v>
      </c>
      <c r="AR14" s="273" t="n">
        <f aca="false">SUP_CONTROL!$C$11*CAPA1_PILOTO!AR15+SUP_CONTROL!$C$12*CAPA2_FLAGSHIP!AR11+SUP_CONTROL!$C$13*CAPA3_EXPANSION!AR39+SUP_CONTROL!$C$14*CAPA4_RETAIL!AR8</f>
        <v>1052813.52334453</v>
      </c>
      <c r="AS14" s="273" t="n">
        <f aca="false">SUP_CONTROL!$C$11*CAPA1_PILOTO!AS15+SUP_CONTROL!$C$12*CAPA2_FLAGSHIP!AS11+SUP_CONTROL!$C$13*CAPA3_EXPANSION!AS39+SUP_CONTROL!$C$14*CAPA4_RETAIL!AS8</f>
        <v>1100518.54666129</v>
      </c>
      <c r="AT14" s="273" t="n">
        <f aca="false">SUP_CONTROL!$C$11*CAPA1_PILOTO!AT15+SUP_CONTROL!$C$12*CAPA2_FLAGSHIP!AT11+SUP_CONTROL!$C$13*CAPA3_EXPANSION!AT39+SUP_CONTROL!$C$14*CAPA4_RETAIL!AT8</f>
        <v>1153353.1423777</v>
      </c>
      <c r="AU14" s="273" t="n">
        <f aca="false">SUP_CONTROL!$C$11*CAPA1_PILOTO!AU15+SUP_CONTROL!$C$12*CAPA2_FLAGSHIP!AU11+SUP_CONTROL!$C$13*CAPA3_EXPANSION!AU39+SUP_CONTROL!$C$14*CAPA4_RETAIL!AU8</f>
        <v>1171306.64577648</v>
      </c>
      <c r="AV14" s="273" t="n">
        <f aca="false">SUP_CONTROL!$C$11*CAPA1_PILOTO!AV15+SUP_CONTROL!$C$12*CAPA2_FLAGSHIP!AV11+SUP_CONTROL!$C$13*CAPA3_EXPANSION!AV39+SUP_CONTROL!$C$14*CAPA4_RETAIL!AV8</f>
        <v>1181565.79057578</v>
      </c>
      <c r="AW14" s="273" t="n">
        <f aca="false">SUP_CONTROL!$C$11*CAPA1_PILOTO!AW15+SUP_CONTROL!$C$12*CAPA2_FLAGSHIP!AW11+SUP_CONTROL!$C$13*CAPA3_EXPANSION!AW39+SUP_CONTROL!$C$14*CAPA4_RETAIL!AW8</f>
        <v>1230040.24975249</v>
      </c>
      <c r="AX14" s="273" t="n">
        <f aca="false">SUP_CONTROL!$C$11*CAPA1_PILOTO!AX15+SUP_CONTROL!$C$12*CAPA2_FLAGSHIP!AX11+SUP_CONTROL!$C$13*CAPA3_EXPANSION!AX39+SUP_CONTROL!$C$14*CAPA4_RETAIL!AX8</f>
        <v>1240042.91593181</v>
      </c>
      <c r="AY14" s="273" t="n">
        <f aca="false">SUP_CONTROL!$C$11*CAPA1_PILOTO!AY15+SUP_CONTROL!$C$12*CAPA2_FLAGSHIP!AY11+SUP_CONTROL!$C$13*CAPA3_EXPANSION!AY39+SUP_CONTROL!$C$14*CAPA4_RETAIL!AY8</f>
        <v>1280053.58064909</v>
      </c>
      <c r="AZ14" s="273" t="n">
        <f aca="false">SUP_CONTROL!$C$11*CAPA1_PILOTO!AZ15+SUP_CONTROL!$C$12*CAPA2_FLAGSHIP!AZ11+SUP_CONTROL!$C$13*CAPA3_EXPANSION!AZ39+SUP_CONTROL!$C$14*CAPA4_RETAIL!AZ8</f>
        <v>1327758.60396584</v>
      </c>
      <c r="BA14" s="273" t="n">
        <f aca="false">SUP_CONTROL!$C$11*CAPA1_PILOTO!BA15+SUP_CONTROL!$C$12*CAPA2_FLAGSHIP!BA11+SUP_CONTROL!$C$13*CAPA3_EXPANSION!BA39+SUP_CONTROL!$C$14*CAPA4_RETAIL!BA8</f>
        <v>1340582.53496497</v>
      </c>
      <c r="BB14" s="273" t="n">
        <f aca="false">SUP_CONTROL!$C$11*CAPA1_PILOTO!BB15+SUP_CONTROL!$C$12*CAPA2_FLAGSHIP!BB11+SUP_CONTROL!$C$13*CAPA3_EXPANSION!BB39+SUP_CONTROL!$C$14*CAPA4_RETAIL!BB8</f>
        <v>1350841.67976428</v>
      </c>
      <c r="BC14" s="273" t="n">
        <f aca="false">SUP_CONTROL!$C$11*CAPA1_PILOTO!BC15+SUP_CONTROL!$C$12*CAPA2_FLAGSHIP!BC11+SUP_CONTROL!$C$13*CAPA3_EXPANSION!BC39+SUP_CONTROL!$C$14*CAPA4_RETAIL!BC8</f>
        <v>1355971.25216393</v>
      </c>
      <c r="BD14" s="273" t="n">
        <f aca="false">SUP_CONTROL!$C$11*CAPA1_PILOTO!BD15+SUP_CONTROL!$C$12*CAPA2_FLAGSHIP!BD11+SUP_CONTROL!$C$13*CAPA3_EXPANSION!BD39+SUP_CONTROL!$C$14*CAPA4_RETAIL!BD8</f>
        <v>1355971.25216393</v>
      </c>
      <c r="BE14" s="273" t="n">
        <f aca="false">SUP_CONTROL!$C$11*CAPA1_PILOTO!BE15+SUP_CONTROL!$C$12*CAPA2_FLAGSHIP!BE11+SUP_CONTROL!$C$13*CAPA3_EXPANSION!BE39+SUP_CONTROL!$C$14*CAPA4_RETAIL!BE8</f>
        <v>1355971.25216393</v>
      </c>
      <c r="BF14" s="273" t="n">
        <f aca="false">SUP_CONTROL!$C$11*CAPA1_PILOTO!BF15+SUP_CONTROL!$C$12*CAPA2_FLAGSHIP!BF11+SUP_CONTROL!$C$13*CAPA3_EXPANSION!BF39+SUP_CONTROL!$C$14*CAPA4_RETAIL!BF8</f>
        <v>1335751.5091071</v>
      </c>
      <c r="BG14" s="273" t="n">
        <f aca="false">SUP_CONTROL!$C$11*CAPA1_PILOTO!BG15+SUP_CONTROL!$C$12*CAPA2_FLAGSHIP!BG11+SUP_CONTROL!$C$13*CAPA3_EXPANSION!BG39+SUP_CONTROL!$C$14*CAPA4_RETAIL!BG8</f>
        <v>1335751.5091071</v>
      </c>
      <c r="BH14" s="273" t="n">
        <f aca="false">SUP_CONTROL!$C$11*CAPA1_PILOTO!BH15+SUP_CONTROL!$C$12*CAPA2_FLAGSHIP!BH11+SUP_CONTROL!$C$13*CAPA3_EXPANSION!BH39+SUP_CONTROL!$C$14*CAPA4_RETAIL!BH8</f>
        <v>1335751.5091071</v>
      </c>
      <c r="BI14" s="273" t="n">
        <f aca="false">SUP_CONTROL!$C$11*CAPA1_PILOTO!BI15+SUP_CONTROL!$C$12*CAPA2_FLAGSHIP!BI11+SUP_CONTROL!$C$13*CAPA3_EXPANSION!BI39+SUP_CONTROL!$C$14*CAPA4_RETAIL!BI8</f>
        <v>1400671.8116466</v>
      </c>
      <c r="BJ14" s="273" t="n">
        <f aca="false">SUP_CONTROL!$C$11*CAPA1_PILOTO!BJ15+SUP_CONTROL!$C$12*CAPA2_FLAGSHIP!BJ11+SUP_CONTROL!$C$13*CAPA3_EXPANSION!BJ39+SUP_CONTROL!$C$14*CAPA4_RETAIL!BJ8</f>
        <v>1448113.5711947</v>
      </c>
      <c r="BK14" s="273" t="n">
        <f aca="false">SUP_CONTROL!$C$11*CAPA1_PILOTO!BK15+SUP_CONTROL!$C$12*CAPA2_FLAGSHIP!BK11+SUP_CONTROL!$C$13*CAPA3_EXPANSION!BK39+SUP_CONTROL!$C$14*CAPA4_RETAIL!BK8</f>
        <v>1487874.54244068</v>
      </c>
      <c r="BL14" s="273" t="n">
        <f aca="false">SUP_CONTROL!$C$11*CAPA1_PILOTO!BL15+SUP_CONTROL!$C$12*CAPA2_FLAGSHIP!BL11+SUP_CONTROL!$C$13*CAPA3_EXPANSION!BL39+SUP_CONTROL!$C$14*CAPA4_RETAIL!BL8</f>
        <v>1543811.30813211</v>
      </c>
      <c r="BM14" s="273" t="n">
        <f aca="false">SUP_CONTROL!$C$11*CAPA1_PILOTO!BM15+SUP_CONTROL!$C$12*CAPA2_FLAGSHIP!BM11+SUP_CONTROL!$C$13*CAPA3_EXPANSION!BM39+SUP_CONTROL!$C$14*CAPA4_RETAIL!BM8</f>
        <v>1594129.97071917</v>
      </c>
      <c r="BN14" s="273" t="n">
        <f aca="false">SUP_CONTROL!$C$11*CAPA1_PILOTO!BN15+SUP_CONTROL!$C$12*CAPA2_FLAGSHIP!BN11+SUP_CONTROL!$C$13*CAPA3_EXPANSION!BN39+SUP_CONTROL!$C$14*CAPA4_RETAIL!BN8</f>
        <v>1644448.63330622</v>
      </c>
      <c r="BO14" s="273" t="n">
        <f aca="false">SUP_CONTROL!$C$11*CAPA1_PILOTO!BO15+SUP_CONTROL!$C$12*CAPA2_FLAGSHIP!BO11+SUP_CONTROL!$C$13*CAPA3_EXPANSION!BO39+SUP_CONTROL!$C$14*CAPA4_RETAIL!BO8</f>
        <v>1661547.20797173</v>
      </c>
      <c r="BP14" s="273" t="n">
        <f aca="false">SUP_CONTROL!$C$11*CAPA1_PILOTO!BP15+SUP_CONTROL!$C$12*CAPA2_FLAGSHIP!BP11+SUP_CONTROL!$C$13*CAPA3_EXPANSION!BP39+SUP_CONTROL!$C$14*CAPA4_RETAIL!BP8</f>
        <v>1712598.66661588</v>
      </c>
      <c r="BQ14" s="273" t="n">
        <f aca="false">SUP_CONTROL!$C$11*CAPA1_PILOTO!BQ15+SUP_CONTROL!$C$12*CAPA2_FLAGSHIP!BQ11+SUP_CONTROL!$C$13*CAPA3_EXPANSION!BQ39+SUP_CONTROL!$C$14*CAPA4_RETAIL!BQ8</f>
        <v>1732829.26591059</v>
      </c>
      <c r="BR14" s="273" t="n">
        <f aca="false">SUP_CONTROL!$C$11*CAPA1_PILOTO!BR15+SUP_CONTROL!$C$12*CAPA2_FLAGSHIP!BR11+SUP_CONTROL!$C$13*CAPA3_EXPANSION!BR39+SUP_CONTROL!$C$14*CAPA4_RETAIL!BR8</f>
        <v>1777252.99132725</v>
      </c>
      <c r="BS14" s="273" t="n">
        <f aca="false">SUP_CONTROL!$C$11*CAPA1_PILOTO!BS15+SUP_CONTROL!$C$12*CAPA2_FLAGSHIP!BS11+SUP_CONTROL!$C$13*CAPA3_EXPANSION!BS39+SUP_CONTROL!$C$14*CAPA4_RETAIL!BS8</f>
        <v>1826453.46141237</v>
      </c>
      <c r="BT14" s="273" t="n">
        <f aca="false">SUP_CONTROL!$C$11*CAPA1_PILOTO!BT15+SUP_CONTROL!$C$12*CAPA2_FLAGSHIP!BT11+SUP_CONTROL!$C$13*CAPA3_EXPANSION!BT39+SUP_CONTROL!$C$14*CAPA4_RETAIL!BT8</f>
        <v>1883535.56020045</v>
      </c>
      <c r="BU14" s="273" t="n">
        <f aca="false">SUP_CONTROL!$C$11*CAPA1_PILOTO!BU15+SUP_CONTROL!$C$12*CAPA2_FLAGSHIP!BU11+SUP_CONTROL!$C$13*CAPA3_EXPANSION!BU39+SUP_CONTROL!$C$14*CAPA4_RETAIL!BU8</f>
        <v>1933452.54198584</v>
      </c>
      <c r="BV14" s="273" t="n">
        <f aca="false">SUP_CONTROL!$C$11*CAPA1_PILOTO!BV15+SUP_CONTROL!$C$12*CAPA2_FLAGSHIP!BV11+SUP_CONTROL!$C$13*CAPA3_EXPANSION!BV39+SUP_CONTROL!$C$14*CAPA4_RETAIL!BV8</f>
        <v>1982653.01207096</v>
      </c>
      <c r="BW14" s="273" t="n">
        <f aca="false">SUP_CONTROL!$C$11*CAPA1_PILOTO!BW15+SUP_CONTROL!$C$12*CAPA2_FLAGSHIP!BW11+SUP_CONTROL!$C$13*CAPA3_EXPANSION!BW39+SUP_CONTROL!$C$14*CAPA4_RETAIL!BW8</f>
        <v>2007304.81424347</v>
      </c>
      <c r="BX14" s="273" t="n">
        <f aca="false">SUP_CONTROL!$C$11*CAPA1_PILOTO!BX15+SUP_CONTROL!$C$12*CAPA2_FLAGSHIP!BX11+SUP_CONTROL!$C$13*CAPA3_EXPANSION!BX39+SUP_CONTROL!$C$14*CAPA4_RETAIL!BX8</f>
        <v>2063413.92271129</v>
      </c>
      <c r="BY14" s="273" t="n">
        <f aca="false">SUP_CONTROL!$C$11*CAPA1_PILOTO!BY15+SUP_CONTROL!$C$12*CAPA2_FLAGSHIP!BY11+SUP_CONTROL!$C$13*CAPA3_EXPANSION!BY39+SUP_CONTROL!$C$14*CAPA4_RETAIL!BY8</f>
        <v>2081960.44810443</v>
      </c>
      <c r="BZ14" s="273" t="n">
        <f aca="false">SUP_CONTROL!$C$11*CAPA1_PILOTO!BZ15+SUP_CONTROL!$C$12*CAPA2_FLAGSHIP!BZ11+SUP_CONTROL!$C$13*CAPA3_EXPANSION!BZ39+SUP_CONTROL!$C$14*CAPA4_RETAIL!BZ8</f>
        <v>2153798.88823478</v>
      </c>
      <c r="CA14" s="273" t="n">
        <f aca="false">SUP_CONTROL!$C$11*CAPA1_PILOTO!CA15+SUP_CONTROL!$C$12*CAPA2_FLAGSHIP!CA11+SUP_CONTROL!$C$13*CAPA3_EXPANSION!CA39+SUP_CONTROL!$C$14*CAPA4_RETAIL!CA8</f>
        <v>2204508.37538562</v>
      </c>
      <c r="CB14" s="273" t="n">
        <f aca="false">SUP_CONTROL!$C$11*CAPA1_PILOTO!CB15+SUP_CONTROL!$C$12*CAPA2_FLAGSHIP!CB11+SUP_CONTROL!$C$13*CAPA3_EXPANSION!CB39+SUP_CONTROL!$C$14*CAPA4_RETAIL!CB8</f>
        <v>2222679.00354206</v>
      </c>
      <c r="CC14" s="273" t="n">
        <f aca="false">SUP_CONTROL!$C$11*CAPA1_PILOTO!CC15+SUP_CONTROL!$C$12*CAPA2_FLAGSHIP!CC11+SUP_CONTROL!$C$13*CAPA3_EXPANSION!CC39+SUP_CONTROL!$C$14*CAPA4_RETAIL!CC8</f>
        <v>2273431.91564443</v>
      </c>
      <c r="CD14" s="273" t="n">
        <f aca="false">SUP_CONTROL!$C$11*CAPA1_PILOTO!CD15+SUP_CONTROL!$C$12*CAPA2_FLAGSHIP!CD11+SUP_CONTROL!$C$13*CAPA3_EXPANSION!CD39+SUP_CONTROL!$C$14*CAPA4_RETAIL!CD8</f>
        <v>2328568.033792</v>
      </c>
      <c r="CE14" s="273" t="n">
        <f aca="false">SUP_CONTROL!$C$11*CAPA1_PILOTO!CE15+SUP_CONTROL!$C$12*CAPA2_FLAGSHIP!CE11+SUP_CONTROL!$C$13*CAPA3_EXPANSION!CE39+SUP_CONTROL!$C$14*CAPA4_RETAIL!CE8</f>
        <v>2376783.30028926</v>
      </c>
      <c r="CF14" s="273" t="n">
        <f aca="false">SUP_CONTROL!$C$11*CAPA1_PILOTO!CF15+SUP_CONTROL!$C$12*CAPA2_FLAGSHIP!CF11+SUP_CONTROL!$C$13*CAPA3_EXPANSION!CF39+SUP_CONTROL!$C$14*CAPA4_RETAIL!CF8</f>
        <v>2424306.48162148</v>
      </c>
      <c r="CG14" s="273" t="n">
        <f aca="false">SUP_CONTROL!$C$11*CAPA1_PILOTO!CG15+SUP_CONTROL!$C$12*CAPA2_FLAGSHIP!CG11+SUP_CONTROL!$C$13*CAPA3_EXPANSION!CG39+SUP_CONTROL!$C$14*CAPA4_RETAIL!CG8</f>
        <v>2479347.60768758</v>
      </c>
      <c r="CH14" s="273" t="n">
        <f aca="false">SUP_CONTROL!$C$11*CAPA1_PILOTO!CH15+SUP_CONTROL!$C$12*CAPA2_FLAGSHIP!CH11+SUP_CONTROL!$C$13*CAPA3_EXPANSION!CH39+SUP_CONTROL!$C$14*CAPA4_RETAIL!CH8</f>
        <v>2540674.49548785</v>
      </c>
      <c r="CI14" s="273" t="n">
        <f aca="false">SUP_CONTROL!$C$11*CAPA1_PILOTO!CI15+SUP_CONTROL!$C$12*CAPA2_FLAGSHIP!CI11+SUP_CONTROL!$C$13*CAPA3_EXPANSION!CI39+SUP_CONTROL!$C$14*CAPA4_RETAIL!CI8</f>
        <v>2592882.14346653</v>
      </c>
      <c r="CJ14" s="273" t="n">
        <f aca="false">SUP_CONTROL!$C$11*CAPA1_PILOTO!CJ15+SUP_CONTROL!$C$12*CAPA2_FLAGSHIP!CJ11+SUP_CONTROL!$C$13*CAPA3_EXPANSION!CJ39+SUP_CONTROL!$C$14*CAPA4_RETAIL!CJ8</f>
        <v>2614768.31903837</v>
      </c>
      <c r="CK14" s="273" t="n">
        <f aca="false">SUP_CONTROL!$C$11*CAPA1_PILOTO!CK15+SUP_CONTROL!$C$12*CAPA2_FLAGSHIP!CK11+SUP_CONTROL!$C$13*CAPA3_EXPANSION!CK39+SUP_CONTROL!$C$14*CAPA4_RETAIL!CK8</f>
        <v>2625255.44483322</v>
      </c>
      <c r="CL14" s="273" t="n">
        <f aca="false">SUP_CONTROL!$C$11*CAPA1_PILOTO!CL15+SUP_CONTROL!$C$12*CAPA2_FLAGSHIP!CL11+SUP_CONTROL!$C$13*CAPA3_EXPANSION!CL39+SUP_CONTROL!$C$14*CAPA4_RETAIL!CL8</f>
        <v>2629815.06474402</v>
      </c>
      <c r="CM14" s="273" t="n">
        <f aca="false">SUP_CONTROL!$C$11*CAPA1_PILOTO!CM15+SUP_CONTROL!$C$12*CAPA2_FLAGSHIP!CM11+SUP_CONTROL!$C$13*CAPA3_EXPANSION!CM39+SUP_CONTROL!$C$14*CAPA4_RETAIL!CM8</f>
        <v>2629815.06474402</v>
      </c>
      <c r="CN14" s="273" t="n">
        <f aca="false">SUP_CONTROL!$C$11*CAPA1_PILOTO!CN15+SUP_CONTROL!$C$12*CAPA2_FLAGSHIP!CN11+SUP_CONTROL!$C$13*CAPA3_EXPANSION!CN39+SUP_CONTROL!$C$14*CAPA4_RETAIL!CN8</f>
        <v>2629815.06474402</v>
      </c>
      <c r="CO14" s="273" t="n">
        <f aca="false">SUP_CONTROL!$C$11*CAPA1_PILOTO!CO15+SUP_CONTROL!$C$12*CAPA2_FLAGSHIP!CO11+SUP_CONTROL!$C$13*CAPA3_EXPANSION!CO39+SUP_CONTROL!$C$14*CAPA4_RETAIL!CO8</f>
        <v>2629815.06474402</v>
      </c>
      <c r="CP14" s="273" t="n">
        <f aca="false">SUP_CONTROL!$C$11*CAPA1_PILOTO!CP15+SUP_CONTROL!$C$12*CAPA2_FLAGSHIP!CP11+SUP_CONTROL!$C$13*CAPA3_EXPANSION!CP39+SUP_CONTROL!$C$14*CAPA4_RETAIL!CP8</f>
        <v>2629815.06474402</v>
      </c>
      <c r="CQ14" s="273" t="n">
        <f aca="false">SUP_CONTROL!$C$11*CAPA1_PILOTO!CQ15+SUP_CONTROL!$C$12*CAPA2_FLAGSHIP!CQ11+SUP_CONTROL!$C$13*CAPA3_EXPANSION!CQ39+SUP_CONTROL!$C$14*CAPA4_RETAIL!CQ8</f>
        <v>2629815.06474402</v>
      </c>
      <c r="CR14" s="273" t="n">
        <f aca="false">SUP_CONTROL!$C$11*CAPA1_PILOTO!CR15+SUP_CONTROL!$C$12*CAPA2_FLAGSHIP!CR11+SUP_CONTROL!$C$13*CAPA3_EXPANSION!CR39+SUP_CONTROL!$C$14*CAPA4_RETAIL!CR8</f>
        <v>2629815.06474402</v>
      </c>
      <c r="CS14" s="273" t="n">
        <f aca="false">SUP_CONTROL!$C$11*CAPA1_PILOTO!CS15+SUP_CONTROL!$C$12*CAPA2_FLAGSHIP!CS11+SUP_CONTROL!$C$13*CAPA3_EXPANSION!CS39+SUP_CONTROL!$C$14*CAPA4_RETAIL!CS8</f>
        <v>2629815.06474402</v>
      </c>
      <c r="CT14" s="273" t="n">
        <f aca="false">SUP_CONTROL!$C$11*CAPA1_PILOTO!CT15+SUP_CONTROL!$C$12*CAPA2_FLAGSHIP!CT11+SUP_CONTROL!$C$13*CAPA3_EXPANSION!CT39+SUP_CONTROL!$C$14*CAPA4_RETAIL!CT8</f>
        <v>2629815.06474402</v>
      </c>
      <c r="CU14" s="273" t="n">
        <f aca="false">SUP_CONTROL!$C$11*CAPA1_PILOTO!CU15+SUP_CONTROL!$C$12*CAPA2_FLAGSHIP!CU11+SUP_CONTROL!$C$13*CAPA3_EXPANSION!CU39+SUP_CONTROL!$C$14*CAPA4_RETAIL!CU8</f>
        <v>2629815.06474402</v>
      </c>
      <c r="CV14" s="273" t="n">
        <f aca="false">SUP_CONTROL!$C$11*CAPA1_PILOTO!CV15+SUP_CONTROL!$C$12*CAPA2_FLAGSHIP!CV11+SUP_CONTROL!$C$13*CAPA3_EXPANSION!CV39+SUP_CONTROL!$C$14*CAPA4_RETAIL!CV8</f>
        <v>2629815.06474402</v>
      </c>
      <c r="CW14" s="273" t="n">
        <f aca="false">SUP_CONTROL!$C$11*CAPA1_PILOTO!CW15+SUP_CONTROL!$C$12*CAPA2_FLAGSHIP!CW11+SUP_CONTROL!$C$13*CAPA3_EXPANSION!CW39+SUP_CONTROL!$C$14*CAPA4_RETAIL!CW8</f>
        <v>2629815.06474402</v>
      </c>
      <c r="CX14" s="273" t="n">
        <f aca="false">SUP_CONTROL!$C$11*CAPA1_PILOTO!CX15+SUP_CONTROL!$C$12*CAPA2_FLAGSHIP!CX11+SUP_CONTROL!$C$13*CAPA3_EXPANSION!CX39+SUP_CONTROL!$C$14*CAPA4_RETAIL!CX8</f>
        <v>2629815.06474402</v>
      </c>
      <c r="CY14" s="273" t="n">
        <f aca="false">SUP_CONTROL!$C$11*CAPA1_PILOTO!CY15+SUP_CONTROL!$C$12*CAPA2_FLAGSHIP!CY11+SUP_CONTROL!$C$13*CAPA3_EXPANSION!CY39+SUP_CONTROL!$C$14*CAPA4_RETAIL!CY8</f>
        <v>2629815.06474402</v>
      </c>
      <c r="CZ14" s="273" t="n">
        <f aca="false">SUP_CONTROL!$C$11*CAPA1_PILOTO!CZ15+SUP_CONTROL!$C$12*CAPA2_FLAGSHIP!CZ11+SUP_CONTROL!$C$13*CAPA3_EXPANSION!CZ39+SUP_CONTROL!$C$14*CAPA4_RETAIL!CZ8</f>
        <v>2629815.06474402</v>
      </c>
      <c r="DA14" s="273" t="n">
        <f aca="false">SUP_CONTROL!$C$11*CAPA1_PILOTO!DA15+SUP_CONTROL!$C$12*CAPA2_FLAGSHIP!DA11+SUP_CONTROL!$C$13*CAPA3_EXPANSION!DA39+SUP_CONTROL!$C$14*CAPA4_RETAIL!DA8</f>
        <v>2629815.06474402</v>
      </c>
      <c r="DB14" s="273" t="n">
        <f aca="false">SUP_CONTROL!$C$11*CAPA1_PILOTO!DB15+SUP_CONTROL!$C$12*CAPA2_FLAGSHIP!DB11+SUP_CONTROL!$C$13*CAPA3_EXPANSION!DB39+SUP_CONTROL!$C$14*CAPA4_RETAIL!DB8</f>
        <v>2629815.06474402</v>
      </c>
      <c r="DC14" s="273" t="n">
        <f aca="false">SUP_CONTROL!$C$11*CAPA1_PILOTO!DC15+SUP_CONTROL!$C$12*CAPA2_FLAGSHIP!DC11+SUP_CONTROL!$C$13*CAPA3_EXPANSION!DC39+SUP_CONTROL!$C$14*CAPA4_RETAIL!DC8</f>
        <v>2629815.06474402</v>
      </c>
      <c r="DD14" s="273" t="n">
        <f aca="false">SUP_CONTROL!$C$11*CAPA1_PILOTO!DD15+SUP_CONTROL!$C$12*CAPA2_FLAGSHIP!DD11+SUP_CONTROL!$C$13*CAPA3_EXPANSION!DD39+SUP_CONTROL!$C$14*CAPA4_RETAIL!DD8</f>
        <v>2629815.06474402</v>
      </c>
      <c r="DE14" s="273" t="n">
        <f aca="false">SUP_CONTROL!$C$11*CAPA1_PILOTO!DE15+SUP_CONTROL!$C$12*CAPA2_FLAGSHIP!DE11+SUP_CONTROL!$C$13*CAPA3_EXPANSION!DE39+SUP_CONTROL!$C$14*CAPA4_RETAIL!DE8</f>
        <v>2629815.06474402</v>
      </c>
      <c r="DF14" s="273" t="n">
        <f aca="false">SUP_CONTROL!$C$11*CAPA1_PILOTO!DF15+SUP_CONTROL!$C$12*CAPA2_FLAGSHIP!DF11+SUP_CONTROL!$C$13*CAPA3_EXPANSION!DF39+SUP_CONTROL!$C$14*CAPA4_RETAIL!DF8</f>
        <v>2629815.06474402</v>
      </c>
      <c r="DG14" s="273" t="n">
        <f aca="false">SUP_CONTROL!$C$11*CAPA1_PILOTO!DG15+SUP_CONTROL!$C$12*CAPA2_FLAGSHIP!DG11+SUP_CONTROL!$C$13*CAPA3_EXPANSION!DG39+SUP_CONTROL!$C$14*CAPA4_RETAIL!DG8</f>
        <v>2629815.06474402</v>
      </c>
      <c r="DH14" s="273" t="n">
        <f aca="false">SUP_CONTROL!$C$11*CAPA1_PILOTO!DH15+SUP_CONTROL!$C$12*CAPA2_FLAGSHIP!DH11+SUP_CONTROL!$C$13*CAPA3_EXPANSION!DH39+SUP_CONTROL!$C$14*CAPA4_RETAIL!DH8</f>
        <v>2629815.06474402</v>
      </c>
      <c r="DI14" s="273" t="n">
        <f aca="false">SUP_CONTROL!$C$11*CAPA1_PILOTO!DI15+SUP_CONTROL!$C$12*CAPA2_FLAGSHIP!DI11+SUP_CONTROL!$C$13*CAPA3_EXPANSION!DI39+SUP_CONTROL!$C$14*CAPA4_RETAIL!DI8</f>
        <v>2629815.06474402</v>
      </c>
      <c r="DJ14" s="273" t="n">
        <f aca="false">SUP_CONTROL!$C$11*CAPA1_PILOTO!DJ15+SUP_CONTROL!$C$12*CAPA2_FLAGSHIP!DJ11+SUP_CONTROL!$C$13*CAPA3_EXPANSION!DJ39+SUP_CONTROL!$C$14*CAPA4_RETAIL!DJ8</f>
        <v>2629815.06474402</v>
      </c>
      <c r="DK14" s="273" t="n">
        <f aca="false">SUP_CONTROL!$C$11*CAPA1_PILOTO!DK15+SUP_CONTROL!$C$12*CAPA2_FLAGSHIP!DK11+SUP_CONTROL!$C$13*CAPA3_EXPANSION!DK39+SUP_CONTROL!$C$14*CAPA4_RETAIL!DK8</f>
        <v>2629815.06474402</v>
      </c>
      <c r="DL14" s="273" t="n">
        <f aca="false">SUP_CONTROL!$C$11*CAPA1_PILOTO!DL15+SUP_CONTROL!$C$12*CAPA2_FLAGSHIP!DL11+SUP_CONTROL!$C$13*CAPA3_EXPANSION!DL39+SUP_CONTROL!$C$14*CAPA4_RETAIL!DL8</f>
        <v>2629815.06474402</v>
      </c>
      <c r="DM14" s="273" t="n">
        <f aca="false">SUP_CONTROL!$C$11*CAPA1_PILOTO!DM15+SUP_CONTROL!$C$12*CAPA2_FLAGSHIP!DM11+SUP_CONTROL!$C$13*CAPA3_EXPANSION!DM39+SUP_CONTROL!$C$14*CAPA4_RETAIL!DM8</f>
        <v>2629815.06474402</v>
      </c>
      <c r="DN14" s="273" t="n">
        <f aca="false">SUP_CONTROL!$C$11*CAPA1_PILOTO!DN15+SUP_CONTROL!$C$12*CAPA2_FLAGSHIP!DN11+SUP_CONTROL!$C$13*CAPA3_EXPANSION!DN39+SUP_CONTROL!$C$14*CAPA4_RETAIL!DN8</f>
        <v>2629815.06474402</v>
      </c>
      <c r="DO14" s="273" t="n">
        <f aca="false">SUP_CONTROL!$C$11*CAPA1_PILOTO!DO15+SUP_CONTROL!$C$12*CAPA2_FLAGSHIP!DO11+SUP_CONTROL!$C$13*CAPA3_EXPANSION!DO39+SUP_CONTROL!$C$14*CAPA4_RETAIL!DO8</f>
        <v>2629815.06474402</v>
      </c>
      <c r="DP14" s="273" t="n">
        <f aca="false">SUP_CONTROL!$C$11*CAPA1_PILOTO!DP15+SUP_CONTROL!$C$12*CAPA2_FLAGSHIP!DP11+SUP_CONTROL!$C$13*CAPA3_EXPANSION!DP39+SUP_CONTROL!$C$14*CAPA4_RETAIL!DP8</f>
        <v>2629815.06474402</v>
      </c>
      <c r="DQ14" s="273" t="n">
        <f aca="false">SUP_CONTROL!$C$11*CAPA1_PILOTO!DQ15+SUP_CONTROL!$C$12*CAPA2_FLAGSHIP!DQ11+SUP_CONTROL!$C$13*CAPA3_EXPANSION!DQ39+SUP_CONTROL!$C$14*CAPA4_RETAIL!DQ8</f>
        <v>2629815.06474402</v>
      </c>
      <c r="DR14" s="273" t="n">
        <f aca="false">SUP_CONTROL!$C$11*CAPA1_PILOTO!DR15+SUP_CONTROL!$C$12*CAPA2_FLAGSHIP!DR11+SUP_CONTROL!$C$13*CAPA3_EXPANSION!DR39+SUP_CONTROL!$C$14*CAPA4_RETAIL!DR8</f>
        <v>2629815.06474402</v>
      </c>
      <c r="DS14" s="273" t="n">
        <f aca="false">SUP_CONTROL!$C$11*CAPA1_PILOTO!DS15+SUP_CONTROL!$C$12*CAPA2_FLAGSHIP!DS11+SUP_CONTROL!$C$13*CAPA3_EXPANSION!DS39+SUP_CONTROL!$C$14*CAPA4_RETAIL!DS8</f>
        <v>2629815.06474402</v>
      </c>
    </row>
    <row r="15" customFormat="false" ht="15" hidden="false" customHeight="true" outlineLevel="0" collapsed="false">
      <c r="B15" s="297" t="s">
        <v>3621</v>
      </c>
      <c r="D15" s="273" t="n">
        <f aca="false">SUP_CONTROL!$C$11*CAPA1_PILOTO!D23+SUP_CONTROL!$C$12*CAPA2_FLAGSHIP!D18+SUP_CONTROL!$C$13*CAPA3_EXPANSION!D46+SUP_CONTROL!$C$14*CAPA4_RETAIL!D12</f>
        <v>0</v>
      </c>
      <c r="E15" s="273" t="n">
        <f aca="false">SUP_CONTROL!$C$11*CAPA1_PILOTO!E23+SUP_CONTROL!$C$12*CAPA2_FLAGSHIP!E18+SUP_CONTROL!$C$13*CAPA3_EXPANSION!E46+SUP_CONTROL!$C$14*CAPA4_RETAIL!E12</f>
        <v>-15715</v>
      </c>
      <c r="F15" s="273" t="n">
        <f aca="false">SUP_CONTROL!$C$11*CAPA1_PILOTO!F23+SUP_CONTROL!$C$12*CAPA2_FLAGSHIP!F18+SUP_CONTROL!$C$13*CAPA3_EXPANSION!F46+SUP_CONTROL!$C$14*CAPA4_RETAIL!F12</f>
        <v>-15715</v>
      </c>
      <c r="G15" s="273" t="n">
        <f aca="false">SUP_CONTROL!$C$11*CAPA1_PILOTO!G23+SUP_CONTROL!$C$12*CAPA2_FLAGSHIP!G18+SUP_CONTROL!$C$13*CAPA3_EXPANSION!G46+SUP_CONTROL!$C$14*CAPA4_RETAIL!G12</f>
        <v>-14131.987880978</v>
      </c>
      <c r="H15" s="273" t="n">
        <f aca="false">SUP_CONTROL!$C$11*CAPA1_PILOTO!H23+SUP_CONTROL!$C$12*CAPA2_FLAGSHIP!H18+SUP_CONTROL!$C$13*CAPA3_EXPANSION!H46+SUP_CONTROL!$C$14*CAPA4_RETAIL!H12</f>
        <v>3865.14223676298</v>
      </c>
      <c r="I15" s="273" t="n">
        <f aca="false">SUP_CONTROL!$C$11*CAPA1_PILOTO!I23+SUP_CONTROL!$C$12*CAPA2_FLAGSHIP!I18+SUP_CONTROL!$C$13*CAPA3_EXPANSION!I46+SUP_CONTROL!$C$14*CAPA4_RETAIL!I12</f>
        <v>20879.0994471885</v>
      </c>
      <c r="J15" s="273" t="n">
        <f aca="false">SUP_CONTROL!$C$11*CAPA1_PILOTO!J23+SUP_CONTROL!$C$12*CAPA2_FLAGSHIP!J18+SUP_CONTROL!$C$13*CAPA3_EXPANSION!J46+SUP_CONTROL!$C$14*CAPA4_RETAIL!J12</f>
        <v>36205.8543118035</v>
      </c>
      <c r="K15" s="273" t="n">
        <f aca="false">SUP_CONTROL!$C$11*CAPA1_PILOTO!K23+SUP_CONTROL!$C$12*CAPA2_FLAGSHIP!K18+SUP_CONTROL!$C$13*CAPA3_EXPANSION!K46+SUP_CONTROL!$C$14*CAPA4_RETAIL!K12</f>
        <v>52720.542430028</v>
      </c>
      <c r="L15" s="273" t="n">
        <f aca="false">SUP_CONTROL!$C$11*CAPA1_PILOTO!L23+SUP_CONTROL!$C$12*CAPA2_FLAGSHIP!L18+SUP_CONTROL!$C$13*CAPA3_EXPANSION!L46+SUP_CONTROL!$C$14*CAPA4_RETAIL!L12</f>
        <v>62877.7618080786</v>
      </c>
      <c r="M15" s="273" t="n">
        <f aca="false">SUP_CONTROL!$C$11*CAPA1_PILOTO!M23+SUP_CONTROL!$C$12*CAPA2_FLAGSHIP!M18+SUP_CONTROL!$C$13*CAPA3_EXPANSION!M46+SUP_CONTROL!$C$14*CAPA4_RETAIL!M12</f>
        <v>68267.3067841872</v>
      </c>
      <c r="N15" s="273" t="n">
        <f aca="false">SUP_CONTROL!$C$11*CAPA1_PILOTO!N23+SUP_CONTROL!$C$12*CAPA2_FLAGSHIP!N18+SUP_CONTROL!$C$13*CAPA3_EXPANSION!N46+SUP_CONTROL!$C$14*CAPA4_RETAIL!N12</f>
        <v>68267.3067841872</v>
      </c>
      <c r="O15" s="273" t="n">
        <f aca="false">SUP_CONTROL!$C$11*CAPA1_PILOTO!O23+SUP_CONTROL!$C$12*CAPA2_FLAGSHIP!O18+SUP_CONTROL!$C$13*CAPA3_EXPANSION!O46+SUP_CONTROL!$C$14*CAPA4_RETAIL!O12</f>
        <v>68267.3067841872</v>
      </c>
      <c r="P15" s="273" t="n">
        <f aca="false">SUP_CONTROL!$C$11*CAPA1_PILOTO!P23+SUP_CONTROL!$C$12*CAPA2_FLAGSHIP!P18+SUP_CONTROL!$C$13*CAPA3_EXPANSION!P46+SUP_CONTROL!$C$14*CAPA4_RETAIL!P12</f>
        <v>74183.9564303459</v>
      </c>
      <c r="Q15" s="273" t="n">
        <f aca="false">SUP_CONTROL!$C$11*CAPA1_PILOTO!Q23+SUP_CONTROL!$C$12*CAPA2_FLAGSHIP!Q18+SUP_CONTROL!$C$13*CAPA3_EXPANSION!Q46+SUP_CONTROL!$C$14*CAPA4_RETAIL!Q12</f>
        <v>74183.9564303459</v>
      </c>
      <c r="R15" s="273" t="n">
        <f aca="false">SUP_CONTROL!$C$11*CAPA1_PILOTO!R23+SUP_CONTROL!$C$12*CAPA2_FLAGSHIP!R18+SUP_CONTROL!$C$13*CAPA3_EXPANSION!R46+SUP_CONTROL!$C$14*CAPA4_RETAIL!R12</f>
        <v>74183.9564303459</v>
      </c>
      <c r="S15" s="273" t="n">
        <f aca="false">SUP_CONTROL!$C$11*CAPA1_PILOTO!S23+SUP_CONTROL!$C$12*CAPA2_FLAGSHIP!S18+SUP_CONTROL!$C$13*CAPA3_EXPANSION!S46+SUP_CONTROL!$C$14*CAPA4_RETAIL!S12</f>
        <v>74183.9564303459</v>
      </c>
      <c r="T15" s="273" t="n">
        <f aca="false">SUP_CONTROL!$C$11*CAPA1_PILOTO!T23+SUP_CONTROL!$C$12*CAPA2_FLAGSHIP!T18+SUP_CONTROL!$C$13*CAPA3_EXPANSION!T46+SUP_CONTROL!$C$14*CAPA4_RETAIL!T12</f>
        <v>74183.9564303459</v>
      </c>
      <c r="U15" s="273" t="n">
        <f aca="false">SUP_CONTROL!$C$11*CAPA1_PILOTO!U23+SUP_CONTROL!$C$12*CAPA2_FLAGSHIP!U18+SUP_CONTROL!$C$13*CAPA3_EXPANSION!U46+SUP_CONTROL!$C$14*CAPA4_RETAIL!U12</f>
        <v>74183.9564303459</v>
      </c>
      <c r="V15" s="273" t="n">
        <f aca="false">SUP_CONTROL!$C$11*CAPA1_PILOTO!V23+SUP_CONTROL!$C$12*CAPA2_FLAGSHIP!V18+SUP_CONTROL!$C$13*CAPA3_EXPANSION!V46+SUP_CONTROL!$C$14*CAPA4_RETAIL!V12</f>
        <v>77274.3591217197</v>
      </c>
      <c r="W15" s="273" t="n">
        <f aca="false">SUP_CONTROL!$C$11*CAPA1_PILOTO!W23+SUP_CONTROL!$C$12*CAPA2_FLAGSHIP!W18+SUP_CONTROL!$C$13*CAPA3_EXPANSION!W46+SUP_CONTROL!$C$14*CAPA4_RETAIL!W12</f>
        <v>82519.0855111029</v>
      </c>
      <c r="X15" s="273" t="n">
        <f aca="false">SUP_CONTROL!$C$11*CAPA1_PILOTO!X23+SUP_CONTROL!$C$12*CAPA2_FLAGSHIP!X18+SUP_CONTROL!$C$13*CAPA3_EXPANSION!X46+SUP_CONTROL!$C$14*CAPA4_RETAIL!X12</f>
        <v>86109.6250077852</v>
      </c>
      <c r="Y15" s="273" t="n">
        <f aca="false">SUP_CONTROL!$C$11*CAPA1_PILOTO!Y23+SUP_CONTROL!$C$12*CAPA2_FLAGSHIP!Y18+SUP_CONTROL!$C$13*CAPA3_EXPANSION!Y46+SUP_CONTROL!$C$14*CAPA4_RETAIL!Y12</f>
        <v>92072.4592965048</v>
      </c>
      <c r="Z15" s="273" t="n">
        <f aca="false">SUP_CONTROL!$C$11*CAPA1_PILOTO!Z23+SUP_CONTROL!$C$12*CAPA2_FLAGSHIP!Z18+SUP_CONTROL!$C$13*CAPA3_EXPANSION!Z46+SUP_CONTROL!$C$14*CAPA4_RETAIL!Z12</f>
        <v>95662.998793187</v>
      </c>
      <c r="AA15" s="273" t="n">
        <f aca="false">SUP_CONTROL!$C$11*CAPA1_PILOTO!AA23+SUP_CONTROL!$C$12*CAPA2_FLAGSHIP!AA18+SUP_CONTROL!$C$13*CAPA3_EXPANSION!AA46+SUP_CONTROL!$C$14*CAPA4_RETAIL!AA12</f>
        <v>97099.2145918599</v>
      </c>
      <c r="AB15" s="273" t="n">
        <f aca="false">SUP_CONTROL!$C$11*CAPA1_PILOTO!AB23+SUP_CONTROL!$C$12*CAPA2_FLAGSHIP!AB18+SUP_CONTROL!$C$13*CAPA3_EXPANSION!AB46+SUP_CONTROL!$C$14*CAPA4_RETAIL!AB12</f>
        <v>106080.515719121</v>
      </c>
      <c r="AC15" s="273" t="n">
        <f aca="false">SUP_CONTROL!$C$11*CAPA1_PILOTO!AC23+SUP_CONTROL!$C$12*CAPA2_FLAGSHIP!AC18+SUP_CONTROL!$C$13*CAPA3_EXPANSION!AC46+SUP_CONTROL!$C$14*CAPA4_RETAIL!AC12</f>
        <v>106080.515719121</v>
      </c>
      <c r="AD15" s="273" t="n">
        <f aca="false">SUP_CONTROL!$C$11*CAPA1_PILOTO!AD23+SUP_CONTROL!$C$12*CAPA2_FLAGSHIP!AD18+SUP_CONTROL!$C$13*CAPA3_EXPANSION!AD46+SUP_CONTROL!$C$14*CAPA4_RETAIL!AD12</f>
        <v>97786.8657191206</v>
      </c>
      <c r="AE15" s="273" t="n">
        <f aca="false">SUP_CONTROL!$C$11*CAPA1_PILOTO!AE23+SUP_CONTROL!$C$12*CAPA2_FLAGSHIP!AE18+SUP_CONTROL!$C$13*CAPA3_EXPANSION!AE46+SUP_CONTROL!$C$14*CAPA4_RETAIL!AE12</f>
        <v>97786.8657191206</v>
      </c>
      <c r="AF15" s="273" t="n">
        <f aca="false">SUP_CONTROL!$C$11*CAPA1_PILOTO!AF23+SUP_CONTROL!$C$12*CAPA2_FLAGSHIP!AF18+SUP_CONTROL!$C$13*CAPA3_EXPANSION!AF46+SUP_CONTROL!$C$14*CAPA4_RETAIL!AF12</f>
        <v>97786.8657191206</v>
      </c>
      <c r="AG15" s="273" t="n">
        <f aca="false">SUP_CONTROL!$C$11*CAPA1_PILOTO!AG23+SUP_CONTROL!$C$12*CAPA2_FLAGSHIP!AG18+SUP_CONTROL!$C$13*CAPA3_EXPANSION!AG46+SUP_CONTROL!$C$14*CAPA4_RETAIL!AG12</f>
        <v>96414.2334298421</v>
      </c>
      <c r="AH15" s="273" t="n">
        <f aca="false">SUP_CONTROL!$C$11*CAPA1_PILOTO!AH23+SUP_CONTROL!$C$12*CAPA2_FLAGSHIP!AH18+SUP_CONTROL!$C$13*CAPA3_EXPANSION!AH46+SUP_CONTROL!$C$14*CAPA4_RETAIL!AH12</f>
        <v>96414.2334298421</v>
      </c>
      <c r="AI15" s="273" t="n">
        <f aca="false">SUP_CONTROL!$C$11*CAPA1_PILOTO!AI23+SUP_CONTROL!$C$12*CAPA2_FLAGSHIP!AI18+SUP_CONTROL!$C$13*CAPA3_EXPANSION!AI46+SUP_CONTROL!$C$14*CAPA4_RETAIL!AI12</f>
        <v>100390.100717699</v>
      </c>
      <c r="AJ15" s="273" t="n">
        <f aca="false">SUP_CONTROL!$C$11*CAPA1_PILOTO!AJ23+SUP_CONTROL!$C$12*CAPA2_FLAGSHIP!AJ18+SUP_CONTROL!$C$13*CAPA3_EXPANSION!AJ46+SUP_CONTROL!$C$14*CAPA4_RETAIL!AJ12</f>
        <v>106645.968005556</v>
      </c>
      <c r="AK15" s="273" t="n">
        <f aca="false">SUP_CONTROL!$C$11*CAPA1_PILOTO!AK23+SUP_CONTROL!$C$12*CAPA2_FLAGSHIP!AK18+SUP_CONTROL!$C$13*CAPA3_EXPANSION!AK46+SUP_CONTROL!$C$14*CAPA4_RETAIL!AK12</f>
        <v>110788.2672252</v>
      </c>
      <c r="AL15" s="273" t="n">
        <f aca="false">SUP_CONTROL!$C$11*CAPA1_PILOTO!AL23+SUP_CONTROL!$C$12*CAPA2_FLAGSHIP!AL18+SUP_CONTROL!$C$13*CAPA3_EXPANSION!AL46+SUP_CONTROL!$C$14*CAPA4_RETAIL!AL12</f>
        <v>117561.921915513</v>
      </c>
      <c r="AM15" s="273" t="n">
        <f aca="false">SUP_CONTROL!$C$11*CAPA1_PILOTO!AM23+SUP_CONTROL!$C$12*CAPA2_FLAGSHIP!AM18+SUP_CONTROL!$C$13*CAPA3_EXPANSION!AM46+SUP_CONTROL!$C$14*CAPA4_RETAIL!AM12</f>
        <v>121260.403361624</v>
      </c>
      <c r="AN15" s="273" t="n">
        <f aca="false">SUP_CONTROL!$C$11*CAPA1_PILOTO!AN23+SUP_CONTROL!$C$12*CAPA2_FLAGSHIP!AN18+SUP_CONTROL!$C$13*CAPA3_EXPANSION!AN46+SUP_CONTROL!$C$14*CAPA4_RETAIL!AN12</f>
        <v>130872.529338354</v>
      </c>
      <c r="AO15" s="273" t="n">
        <f aca="false">SUP_CONTROL!$C$11*CAPA1_PILOTO!AO23+SUP_CONTROL!$C$12*CAPA2_FLAGSHIP!AO18+SUP_CONTROL!$C$13*CAPA3_EXPANSION!AO46+SUP_CONTROL!$C$14*CAPA4_RETAIL!AO12</f>
        <v>134636.826726631</v>
      </c>
      <c r="AP15" s="273" t="n">
        <f aca="false">SUP_CONTROL!$C$11*CAPA1_PILOTO!AP23+SUP_CONTROL!$C$12*CAPA2_FLAGSHIP!AP18+SUP_CONTROL!$C$13*CAPA3_EXPANSION!AP46+SUP_CONTROL!$C$14*CAPA4_RETAIL!AP12</f>
        <v>133348.428032911</v>
      </c>
      <c r="AQ15" s="273" t="n">
        <f aca="false">SUP_CONTROL!$C$11*CAPA1_PILOTO!AQ23+SUP_CONTROL!$C$12*CAPA2_FLAGSHIP!AQ18+SUP_CONTROL!$C$13*CAPA3_EXPANSION!AQ46+SUP_CONTROL!$C$14*CAPA4_RETAIL!AQ12</f>
        <v>138685.744219161</v>
      </c>
      <c r="AR15" s="273" t="n">
        <f aca="false">SUP_CONTROL!$C$11*CAPA1_PILOTO!AR23+SUP_CONTROL!$C$12*CAPA2_FLAGSHIP!AR18+SUP_CONTROL!$C$13*CAPA3_EXPANSION!AR46+SUP_CONTROL!$C$14*CAPA4_RETAIL!AR12</f>
        <v>144836.148639669</v>
      </c>
      <c r="AS15" s="273" t="n">
        <f aca="false">SUP_CONTROL!$C$11*CAPA1_PILOTO!AS23+SUP_CONTROL!$C$12*CAPA2_FLAGSHIP!AS18+SUP_CONTROL!$C$13*CAPA3_EXPANSION!AS46+SUP_CONTROL!$C$14*CAPA4_RETAIL!AS12</f>
        <v>152233.428061057</v>
      </c>
      <c r="AT15" s="273" t="n">
        <f aca="false">SUP_CONTROL!$C$11*CAPA1_PILOTO!AT23+SUP_CONTROL!$C$12*CAPA2_FLAGSHIP!AT18+SUP_CONTROL!$C$13*CAPA3_EXPANSION!AT46+SUP_CONTROL!$C$14*CAPA4_RETAIL!AT12</f>
        <v>161097.619248186</v>
      </c>
      <c r="AU15" s="273" t="n">
        <f aca="false">SUP_CONTROL!$C$11*CAPA1_PILOTO!AU23+SUP_CONTROL!$C$12*CAPA2_FLAGSHIP!AU18+SUP_CONTROL!$C$13*CAPA3_EXPANSION!AU46+SUP_CONTROL!$C$14*CAPA4_RETAIL!AU12</f>
        <v>166231.810428278</v>
      </c>
      <c r="AV15" s="273" t="n">
        <f aca="false">SUP_CONTROL!$C$11*CAPA1_PILOTO!AV23+SUP_CONTROL!$C$12*CAPA2_FLAGSHIP!AV18+SUP_CONTROL!$C$13*CAPA3_EXPANSION!AV46+SUP_CONTROL!$C$14*CAPA4_RETAIL!AV12</f>
        <v>169165.63395976</v>
      </c>
      <c r="AW15" s="273" t="n">
        <f aca="false">SUP_CONTROL!$C$11*CAPA1_PILOTO!AW23+SUP_CONTROL!$C$12*CAPA2_FLAGSHIP!AW18+SUP_CONTROL!$C$13*CAPA3_EXPANSION!AW46+SUP_CONTROL!$C$14*CAPA4_RETAIL!AW12</f>
        <v>174502.950146009</v>
      </c>
      <c r="AX15" s="273" t="n">
        <f aca="false">SUP_CONTROL!$C$11*CAPA1_PILOTO!AX23+SUP_CONTROL!$C$12*CAPA2_FLAGSHIP!AX18+SUP_CONTROL!$C$13*CAPA3_EXPANSION!AX46+SUP_CONTROL!$C$14*CAPA4_RETAIL!AX12</f>
        <v>177363.428089203</v>
      </c>
      <c r="AY15" s="273" t="n">
        <f aca="false">SUP_CONTROL!$C$11*CAPA1_PILOTO!AY23+SUP_CONTROL!$C$12*CAPA2_FLAGSHIP!AY18+SUP_CONTROL!$C$13*CAPA3_EXPANSION!AY46+SUP_CONTROL!$C$14*CAPA4_RETAIL!AY12</f>
        <v>182560.33986198</v>
      </c>
      <c r="AZ15" s="273" t="n">
        <f aca="false">SUP_CONTROL!$C$11*CAPA1_PILOTO!AZ23+SUP_CONTROL!$C$12*CAPA2_FLAGSHIP!AZ18+SUP_CONTROL!$C$13*CAPA3_EXPANSION!AZ46+SUP_CONTROL!$C$14*CAPA4_RETAIL!AZ12</f>
        <v>196596.412303198</v>
      </c>
      <c r="BA15" s="273" t="n">
        <f aca="false">SUP_CONTROL!$C$11*CAPA1_PILOTO!BA23+SUP_CONTROL!$C$12*CAPA2_FLAGSHIP!BA18+SUP_CONTROL!$C$13*CAPA3_EXPANSION!BA46+SUP_CONTROL!$C$14*CAPA4_RETAIL!BA12</f>
        <v>200327.811372545</v>
      </c>
      <c r="BB15" s="273" t="n">
        <f aca="false">SUP_CONTROL!$C$11*CAPA1_PILOTO!BB23+SUP_CONTROL!$C$12*CAPA2_FLAGSHIP!BB18+SUP_CONTROL!$C$13*CAPA3_EXPANSION!BB46+SUP_CONTROL!$C$14*CAPA4_RETAIL!BB12</f>
        <v>189177.930628023</v>
      </c>
      <c r="BC15" s="273" t="n">
        <f aca="false">SUP_CONTROL!$C$11*CAPA1_PILOTO!BC23+SUP_CONTROL!$C$12*CAPA2_FLAGSHIP!BC18+SUP_CONTROL!$C$13*CAPA3_EXPANSION!BC46+SUP_CONTROL!$C$14*CAPA4_RETAIL!BC12</f>
        <v>190670.490255762</v>
      </c>
      <c r="BD15" s="273" t="n">
        <f aca="false">SUP_CONTROL!$C$11*CAPA1_PILOTO!BD23+SUP_CONTROL!$C$12*CAPA2_FLAGSHIP!BD18+SUP_CONTROL!$C$13*CAPA3_EXPANSION!BD46+SUP_CONTROL!$C$14*CAPA4_RETAIL!BD12</f>
        <v>190670.490255762</v>
      </c>
      <c r="BE15" s="273" t="n">
        <f aca="false">SUP_CONTROL!$C$11*CAPA1_PILOTO!BE23+SUP_CONTROL!$C$12*CAPA2_FLAGSHIP!BE18+SUP_CONTROL!$C$13*CAPA3_EXPANSION!BE46+SUP_CONTROL!$C$14*CAPA4_RETAIL!BE12</f>
        <v>190670.490255762</v>
      </c>
      <c r="BF15" s="273" t="n">
        <f aca="false">SUP_CONTROL!$C$11*CAPA1_PILOTO!BF23+SUP_CONTROL!$C$12*CAPA2_FLAGSHIP!BF18+SUP_CONTROL!$C$13*CAPA3_EXPANSION!BF46+SUP_CONTROL!$C$14*CAPA4_RETAIL!BF12</f>
        <v>184787.120294569</v>
      </c>
      <c r="BG15" s="273" t="n">
        <f aca="false">SUP_CONTROL!$C$11*CAPA1_PILOTO!BG23+SUP_CONTROL!$C$12*CAPA2_FLAGSHIP!BG18+SUP_CONTROL!$C$13*CAPA3_EXPANSION!BG46+SUP_CONTROL!$C$14*CAPA4_RETAIL!BG12</f>
        <v>184787.120294569</v>
      </c>
      <c r="BH15" s="273" t="n">
        <f aca="false">SUP_CONTROL!$C$11*CAPA1_PILOTO!BH23+SUP_CONTROL!$C$12*CAPA2_FLAGSHIP!BH18+SUP_CONTROL!$C$13*CAPA3_EXPANSION!BH46+SUP_CONTROL!$C$14*CAPA4_RETAIL!BH12</f>
        <v>184787.120294569</v>
      </c>
      <c r="BI15" s="273" t="n">
        <f aca="false">SUP_CONTROL!$C$11*CAPA1_PILOTO!BI23+SUP_CONTROL!$C$12*CAPA2_FLAGSHIP!BI18+SUP_CONTROL!$C$13*CAPA3_EXPANSION!BI46+SUP_CONTROL!$C$14*CAPA4_RETAIL!BI12</f>
        <v>183713.331297487</v>
      </c>
      <c r="BJ15" s="273" t="n">
        <f aca="false">SUP_CONTROL!$C$11*CAPA1_PILOTO!BJ23+SUP_CONTROL!$C$12*CAPA2_FLAGSHIP!BJ18+SUP_CONTROL!$C$13*CAPA3_EXPANSION!BJ46+SUP_CONTROL!$C$14*CAPA4_RETAIL!BJ12</f>
        <v>191272.53356885</v>
      </c>
      <c r="BK15" s="273" t="n">
        <f aca="false">SUP_CONTROL!$C$11*CAPA1_PILOTO!BK23+SUP_CONTROL!$C$12*CAPA2_FLAGSHIP!BK18+SUP_CONTROL!$C$13*CAPA3_EXPANSION!BK46+SUP_CONTROL!$C$14*CAPA4_RETAIL!BK12</f>
        <v>194316.844969048</v>
      </c>
      <c r="BL15" s="273" t="n">
        <f aca="false">SUP_CONTROL!$C$11*CAPA1_PILOTO!BL23+SUP_CONTROL!$C$12*CAPA2_FLAGSHIP!BL18+SUP_CONTROL!$C$13*CAPA3_EXPANSION!BL46+SUP_CONTROL!$C$14*CAPA4_RETAIL!BL12</f>
        <v>212066.908878862</v>
      </c>
      <c r="BM15" s="273" t="n">
        <f aca="false">SUP_CONTROL!$C$11*CAPA1_PILOTO!BM23+SUP_CONTROL!$C$12*CAPA2_FLAGSHIP!BM18+SUP_CONTROL!$C$13*CAPA3_EXPANSION!BM46+SUP_CONTROL!$C$14*CAPA4_RETAIL!BM12</f>
        <v>220714.801397236</v>
      </c>
      <c r="BN15" s="273" t="n">
        <f aca="false">SUP_CONTROL!$C$11*CAPA1_PILOTO!BN23+SUP_CONTROL!$C$12*CAPA2_FLAGSHIP!BN18+SUP_CONTROL!$C$13*CAPA3_EXPANSION!BN46+SUP_CONTROL!$C$14*CAPA4_RETAIL!BN12</f>
        <v>229362.69391561</v>
      </c>
      <c r="BO15" s="273" t="n">
        <f aca="false">SUP_CONTROL!$C$11*CAPA1_PILOTO!BO23+SUP_CONTROL!$C$12*CAPA2_FLAGSHIP!BO18+SUP_CONTROL!$C$13*CAPA3_EXPANSION!BO46+SUP_CONTROL!$C$14*CAPA4_RETAIL!BO12</f>
        <v>234423.385548067</v>
      </c>
      <c r="BP15" s="273" t="n">
        <f aca="false">SUP_CONTROL!$C$11*CAPA1_PILOTO!BP23+SUP_CONTROL!$C$12*CAPA2_FLAGSHIP!BP18+SUP_CONTROL!$C$13*CAPA3_EXPANSION!BP46+SUP_CONTROL!$C$14*CAPA4_RETAIL!BP12</f>
        <v>241008.16485069</v>
      </c>
      <c r="BQ15" s="273" t="n">
        <f aca="false">SUP_CONTROL!$C$11*CAPA1_PILOTO!BQ23+SUP_CONTROL!$C$12*CAPA2_FLAGSHIP!BQ18+SUP_CONTROL!$C$13*CAPA3_EXPANSION!BQ46+SUP_CONTROL!$C$14*CAPA4_RETAIL!BQ12</f>
        <v>240750.846664711</v>
      </c>
      <c r="BR15" s="273" t="n">
        <f aca="false">SUP_CONTROL!$C$11*CAPA1_PILOTO!BR23+SUP_CONTROL!$C$12*CAPA2_FLAGSHIP!BR18+SUP_CONTROL!$C$13*CAPA3_EXPANSION!BR46+SUP_CONTROL!$C$14*CAPA4_RETAIL!BR12</f>
        <v>247654.005496467</v>
      </c>
      <c r="BS15" s="273" t="n">
        <f aca="false">SUP_CONTROL!$C$11*CAPA1_PILOTO!BS23+SUP_CONTROL!$C$12*CAPA2_FLAGSHIP!BS18+SUP_CONTROL!$C$13*CAPA3_EXPANSION!BS46+SUP_CONTROL!$C$14*CAPA4_RETAIL!BS12</f>
        <v>255970.944847766</v>
      </c>
      <c r="BT15" s="273" t="n">
        <f aca="false">SUP_CONTROL!$C$11*CAPA1_PILOTO!BT23+SUP_CONTROL!$C$12*CAPA2_FLAGSHIP!BT18+SUP_CONTROL!$C$13*CAPA3_EXPANSION!BT46+SUP_CONTROL!$C$14*CAPA4_RETAIL!BT12</f>
        <v>264340.622056312</v>
      </c>
      <c r="BU15" s="273" t="n">
        <f aca="false">SUP_CONTROL!$C$11*CAPA1_PILOTO!BU23+SUP_CONTROL!$C$12*CAPA2_FLAGSHIP!BU18+SUP_CONTROL!$C$13*CAPA3_EXPANSION!BU46+SUP_CONTROL!$C$14*CAPA4_RETAIL!BU12</f>
        <v>272869.628485543</v>
      </c>
      <c r="BV15" s="273" t="n">
        <f aca="false">SUP_CONTROL!$C$11*CAPA1_PILOTO!BV23+SUP_CONTROL!$C$12*CAPA2_FLAGSHIP!BV18+SUP_CONTROL!$C$13*CAPA3_EXPANSION!BV46+SUP_CONTROL!$C$14*CAPA4_RETAIL!BV12</f>
        <v>281186.567836842</v>
      </c>
      <c r="BW15" s="273" t="n">
        <f aca="false">SUP_CONTROL!$C$11*CAPA1_PILOTO!BW23+SUP_CONTROL!$C$12*CAPA2_FLAGSHIP!BW18+SUP_CONTROL!$C$13*CAPA3_EXPANSION!BW46+SUP_CONTROL!$C$14*CAPA4_RETAIL!BW12</f>
        <v>282237.799915828</v>
      </c>
      <c r="BX15" s="273" t="n">
        <f aca="false">SUP_CONTROL!$C$11*CAPA1_PILOTO!BX23+SUP_CONTROL!$C$12*CAPA2_FLAGSHIP!BX18+SUP_CONTROL!$C$13*CAPA3_EXPANSION!BX46+SUP_CONTROL!$C$14*CAPA4_RETAIL!BX12</f>
        <v>300636.569285512</v>
      </c>
      <c r="BY15" s="273" t="n">
        <f aca="false">SUP_CONTROL!$C$11*CAPA1_PILOTO!BY23+SUP_CONTROL!$C$12*CAPA2_FLAGSHIP!BY18+SUP_CONTROL!$C$13*CAPA3_EXPANSION!BY46+SUP_CONTROL!$C$14*CAPA4_RETAIL!BY12</f>
        <v>306218.545764921</v>
      </c>
      <c r="BZ15" s="273" t="n">
        <f aca="false">SUP_CONTROL!$C$11*CAPA1_PILOTO!BZ23+SUP_CONTROL!$C$12*CAPA2_FLAGSHIP!BZ18+SUP_CONTROL!$C$13*CAPA3_EXPANSION!BZ46+SUP_CONTROL!$C$14*CAPA4_RETAIL!BZ12</f>
        <v>307876.122381369</v>
      </c>
      <c r="CA15" s="273" t="n">
        <f aca="false">SUP_CONTROL!$C$11*CAPA1_PILOTO!CA23+SUP_CONTROL!$C$12*CAPA2_FLAGSHIP!CA18+SUP_CONTROL!$C$13*CAPA3_EXPANSION!CA46+SUP_CONTROL!$C$14*CAPA4_RETAIL!CA12</f>
        <v>316893.235287096</v>
      </c>
      <c r="CB15" s="273" t="n">
        <f aca="false">SUP_CONTROL!$C$11*CAPA1_PILOTO!CB23+SUP_CONTROL!$C$12*CAPA2_FLAGSHIP!CB18+SUP_CONTROL!$C$13*CAPA3_EXPANSION!CB46+SUP_CONTROL!$C$14*CAPA4_RETAIL!CB12</f>
        <v>316117.077392847</v>
      </c>
      <c r="CC15" s="273" t="n">
        <f aca="false">SUP_CONTROL!$C$11*CAPA1_PILOTO!CC23+SUP_CONTROL!$C$12*CAPA2_FLAGSHIP!CC18+SUP_CONTROL!$C$13*CAPA3_EXPANSION!CC46+SUP_CONTROL!$C$14*CAPA4_RETAIL!CC12</f>
        <v>325147.25997351</v>
      </c>
      <c r="CD15" s="273" t="n">
        <f aca="false">SUP_CONTROL!$C$11*CAPA1_PILOTO!CD23+SUP_CONTROL!$C$12*CAPA2_FLAGSHIP!CD18+SUP_CONTROL!$C$13*CAPA3_EXPANSION!CD46+SUP_CONTROL!$C$14*CAPA4_RETAIL!CD12</f>
        <v>333216.662867957</v>
      </c>
      <c r="CE15" s="273" t="n">
        <f aca="false">SUP_CONTROL!$C$11*CAPA1_PILOTO!CE23+SUP_CONTROL!$C$12*CAPA2_FLAGSHIP!CE18+SUP_CONTROL!$C$13*CAPA3_EXPANSION!CE46+SUP_CONTROL!$C$14*CAPA4_RETAIL!CE12</f>
        <v>341483.086319586</v>
      </c>
      <c r="CF15" s="273" t="n">
        <f aca="false">SUP_CONTROL!$C$11*CAPA1_PILOTO!CF23+SUP_CONTROL!$C$12*CAPA2_FLAGSHIP!CF18+SUP_CONTROL!$C$13*CAPA3_EXPANSION!CF46+SUP_CONTROL!$C$14*CAPA4_RETAIL!CF12</f>
        <v>349541.211826934</v>
      </c>
      <c r="CG15" s="273" t="n">
        <f aca="false">SUP_CONTROL!$C$11*CAPA1_PILOTO!CG23+SUP_CONTROL!$C$12*CAPA2_FLAGSHIP!CG18+SUP_CONTROL!$C$13*CAPA3_EXPANSION!CG46+SUP_CONTROL!$C$14*CAPA4_RETAIL!CG12</f>
        <v>359862.02480746</v>
      </c>
      <c r="CH15" s="273" t="n">
        <f aca="false">SUP_CONTROL!$C$11*CAPA1_PILOTO!CH23+SUP_CONTROL!$C$12*CAPA2_FLAGSHIP!CH18+SUP_CONTROL!$C$13*CAPA3_EXPANSION!CH46+SUP_CONTROL!$C$14*CAPA4_RETAIL!CH12</f>
        <v>360984.673234875</v>
      </c>
      <c r="CI15" s="273" t="n">
        <f aca="false">SUP_CONTROL!$C$11*CAPA1_PILOTO!CI23+SUP_CONTROL!$C$12*CAPA2_FLAGSHIP!CI18+SUP_CONTROL!$C$13*CAPA3_EXPANSION!CI46+SUP_CONTROL!$C$14*CAPA4_RETAIL!CI12</f>
        <v>370452.689925871</v>
      </c>
      <c r="CJ15" s="273" t="n">
        <f aca="false">SUP_CONTROL!$C$11*CAPA1_PILOTO!CJ23+SUP_CONTROL!$C$12*CAPA2_FLAGSHIP!CJ18+SUP_CONTROL!$C$13*CAPA3_EXPANSION!CJ46+SUP_CONTROL!$C$14*CAPA4_RETAIL!CJ12</f>
        <v>370794.806093276</v>
      </c>
      <c r="CK15" s="273" t="n">
        <f aca="false">SUP_CONTROL!$C$11*CAPA1_PILOTO!CK23+SUP_CONTROL!$C$12*CAPA2_FLAGSHIP!CK18+SUP_CONTROL!$C$13*CAPA3_EXPANSION!CK46+SUP_CONTROL!$C$14*CAPA4_RETAIL!CK12</f>
        <v>373951.132590157</v>
      </c>
      <c r="CL15" s="273" t="n">
        <f aca="false">SUP_CONTROL!$C$11*CAPA1_PILOTO!CL23+SUP_CONTROL!$C$12*CAPA2_FLAGSHIP!CL18+SUP_CONTROL!$C$13*CAPA3_EXPANSION!CL46+SUP_CONTROL!$C$14*CAPA4_RETAIL!CL12</f>
        <v>375323.448458366</v>
      </c>
      <c r="CM15" s="273" t="n">
        <f aca="false">SUP_CONTROL!$C$11*CAPA1_PILOTO!CM23+SUP_CONTROL!$C$12*CAPA2_FLAGSHIP!CM18+SUP_CONTROL!$C$13*CAPA3_EXPANSION!CM46+SUP_CONTROL!$C$14*CAPA4_RETAIL!CM12</f>
        <v>375323.448458366</v>
      </c>
      <c r="CN15" s="273" t="n">
        <f aca="false">SUP_CONTROL!$C$11*CAPA1_PILOTO!CN23+SUP_CONTROL!$C$12*CAPA2_FLAGSHIP!CN18+SUP_CONTROL!$C$13*CAPA3_EXPANSION!CN46+SUP_CONTROL!$C$14*CAPA4_RETAIL!CN12</f>
        <v>375323.448458366</v>
      </c>
      <c r="CO15" s="273" t="n">
        <f aca="false">SUP_CONTROL!$C$11*CAPA1_PILOTO!CO23+SUP_CONTROL!$C$12*CAPA2_FLAGSHIP!CO18+SUP_CONTROL!$C$13*CAPA3_EXPANSION!CO46+SUP_CONTROL!$C$14*CAPA4_RETAIL!CO12</f>
        <v>375323.448458366</v>
      </c>
      <c r="CP15" s="273" t="n">
        <f aca="false">SUP_CONTROL!$C$11*CAPA1_PILOTO!CP23+SUP_CONTROL!$C$12*CAPA2_FLAGSHIP!CP18+SUP_CONTROL!$C$13*CAPA3_EXPANSION!CP46+SUP_CONTROL!$C$14*CAPA4_RETAIL!CP12</f>
        <v>375323.448458366</v>
      </c>
      <c r="CQ15" s="273" t="n">
        <f aca="false">SUP_CONTROL!$C$11*CAPA1_PILOTO!CQ23+SUP_CONTROL!$C$12*CAPA2_FLAGSHIP!CQ18+SUP_CONTROL!$C$13*CAPA3_EXPANSION!CQ46+SUP_CONTROL!$C$14*CAPA4_RETAIL!CQ12</f>
        <v>375323.448458366</v>
      </c>
      <c r="CR15" s="273" t="n">
        <f aca="false">SUP_CONTROL!$C$11*CAPA1_PILOTO!CR23+SUP_CONTROL!$C$12*CAPA2_FLAGSHIP!CR18+SUP_CONTROL!$C$13*CAPA3_EXPANSION!CR46+SUP_CONTROL!$C$14*CAPA4_RETAIL!CR12</f>
        <v>375323.448458366</v>
      </c>
      <c r="CS15" s="273" t="n">
        <f aca="false">SUP_CONTROL!$C$11*CAPA1_PILOTO!CS23+SUP_CONTROL!$C$12*CAPA2_FLAGSHIP!CS18+SUP_CONTROL!$C$13*CAPA3_EXPANSION!CS46+SUP_CONTROL!$C$14*CAPA4_RETAIL!CS12</f>
        <v>375323.448458366</v>
      </c>
      <c r="CT15" s="273" t="n">
        <f aca="false">SUP_CONTROL!$C$11*CAPA1_PILOTO!CT23+SUP_CONTROL!$C$12*CAPA2_FLAGSHIP!CT18+SUP_CONTROL!$C$13*CAPA3_EXPANSION!CT46+SUP_CONTROL!$C$14*CAPA4_RETAIL!CT12</f>
        <v>375323.448458366</v>
      </c>
      <c r="CU15" s="273" t="n">
        <f aca="false">SUP_CONTROL!$C$11*CAPA1_PILOTO!CU23+SUP_CONTROL!$C$12*CAPA2_FLAGSHIP!CU18+SUP_CONTROL!$C$13*CAPA3_EXPANSION!CU46+SUP_CONTROL!$C$14*CAPA4_RETAIL!CU12</f>
        <v>375323.448458366</v>
      </c>
      <c r="CV15" s="273" t="n">
        <f aca="false">SUP_CONTROL!$C$11*CAPA1_PILOTO!CV23+SUP_CONTROL!$C$12*CAPA2_FLAGSHIP!CV18+SUP_CONTROL!$C$13*CAPA3_EXPANSION!CV46+SUP_CONTROL!$C$14*CAPA4_RETAIL!CV12</f>
        <v>375323.448458366</v>
      </c>
      <c r="CW15" s="273" t="n">
        <f aca="false">SUP_CONTROL!$C$11*CAPA1_PILOTO!CW23+SUP_CONTROL!$C$12*CAPA2_FLAGSHIP!CW18+SUP_CONTROL!$C$13*CAPA3_EXPANSION!CW46+SUP_CONTROL!$C$14*CAPA4_RETAIL!CW12</f>
        <v>375323.448458366</v>
      </c>
      <c r="CX15" s="273" t="n">
        <f aca="false">SUP_CONTROL!$C$11*CAPA1_PILOTO!CX23+SUP_CONTROL!$C$12*CAPA2_FLAGSHIP!CX18+SUP_CONTROL!$C$13*CAPA3_EXPANSION!CX46+SUP_CONTROL!$C$14*CAPA4_RETAIL!CX12</f>
        <v>375323.448458366</v>
      </c>
      <c r="CY15" s="273" t="n">
        <f aca="false">SUP_CONTROL!$C$11*CAPA1_PILOTO!CY23+SUP_CONTROL!$C$12*CAPA2_FLAGSHIP!CY18+SUP_CONTROL!$C$13*CAPA3_EXPANSION!CY46+SUP_CONTROL!$C$14*CAPA4_RETAIL!CY12</f>
        <v>375323.448458366</v>
      </c>
      <c r="CZ15" s="273" t="n">
        <f aca="false">SUP_CONTROL!$C$11*CAPA1_PILOTO!CZ23+SUP_CONTROL!$C$12*CAPA2_FLAGSHIP!CZ18+SUP_CONTROL!$C$13*CAPA3_EXPANSION!CZ46+SUP_CONTROL!$C$14*CAPA4_RETAIL!CZ12</f>
        <v>375323.448458366</v>
      </c>
      <c r="DA15" s="273" t="n">
        <f aca="false">SUP_CONTROL!$C$11*CAPA1_PILOTO!DA23+SUP_CONTROL!$C$12*CAPA2_FLAGSHIP!DA18+SUP_CONTROL!$C$13*CAPA3_EXPANSION!DA46+SUP_CONTROL!$C$14*CAPA4_RETAIL!DA12</f>
        <v>375323.448458366</v>
      </c>
      <c r="DB15" s="273" t="n">
        <f aca="false">SUP_CONTROL!$C$11*CAPA1_PILOTO!DB23+SUP_CONTROL!$C$12*CAPA2_FLAGSHIP!DB18+SUP_CONTROL!$C$13*CAPA3_EXPANSION!DB46+SUP_CONTROL!$C$14*CAPA4_RETAIL!DB12</f>
        <v>375323.448458366</v>
      </c>
      <c r="DC15" s="273" t="n">
        <f aca="false">SUP_CONTROL!$C$11*CAPA1_PILOTO!DC23+SUP_CONTROL!$C$12*CAPA2_FLAGSHIP!DC18+SUP_CONTROL!$C$13*CAPA3_EXPANSION!DC46+SUP_CONTROL!$C$14*CAPA4_RETAIL!DC12</f>
        <v>375323.448458366</v>
      </c>
      <c r="DD15" s="273" t="n">
        <f aca="false">SUP_CONTROL!$C$11*CAPA1_PILOTO!DD23+SUP_CONTROL!$C$12*CAPA2_FLAGSHIP!DD18+SUP_CONTROL!$C$13*CAPA3_EXPANSION!DD46+SUP_CONTROL!$C$14*CAPA4_RETAIL!DD12</f>
        <v>375323.448458366</v>
      </c>
      <c r="DE15" s="273" t="n">
        <f aca="false">SUP_CONTROL!$C$11*CAPA1_PILOTO!DE23+SUP_CONTROL!$C$12*CAPA2_FLAGSHIP!DE18+SUP_CONTROL!$C$13*CAPA3_EXPANSION!DE46+SUP_CONTROL!$C$14*CAPA4_RETAIL!DE12</f>
        <v>375323.448458366</v>
      </c>
      <c r="DF15" s="273" t="n">
        <f aca="false">SUP_CONTROL!$C$11*CAPA1_PILOTO!DF23+SUP_CONTROL!$C$12*CAPA2_FLAGSHIP!DF18+SUP_CONTROL!$C$13*CAPA3_EXPANSION!DF46+SUP_CONTROL!$C$14*CAPA4_RETAIL!DF12</f>
        <v>375323.448458366</v>
      </c>
      <c r="DG15" s="273" t="n">
        <f aca="false">SUP_CONTROL!$C$11*CAPA1_PILOTO!DG23+SUP_CONTROL!$C$12*CAPA2_FLAGSHIP!DG18+SUP_CONTROL!$C$13*CAPA3_EXPANSION!DG46+SUP_CONTROL!$C$14*CAPA4_RETAIL!DG12</f>
        <v>375323.448458366</v>
      </c>
      <c r="DH15" s="273" t="n">
        <f aca="false">SUP_CONTROL!$C$11*CAPA1_PILOTO!DH23+SUP_CONTROL!$C$12*CAPA2_FLAGSHIP!DH18+SUP_CONTROL!$C$13*CAPA3_EXPANSION!DH46+SUP_CONTROL!$C$14*CAPA4_RETAIL!DH12</f>
        <v>375323.448458366</v>
      </c>
      <c r="DI15" s="273" t="n">
        <f aca="false">SUP_CONTROL!$C$11*CAPA1_PILOTO!DI23+SUP_CONTROL!$C$12*CAPA2_FLAGSHIP!DI18+SUP_CONTROL!$C$13*CAPA3_EXPANSION!DI46+SUP_CONTROL!$C$14*CAPA4_RETAIL!DI12</f>
        <v>375323.448458366</v>
      </c>
      <c r="DJ15" s="273" t="n">
        <f aca="false">SUP_CONTROL!$C$11*CAPA1_PILOTO!DJ23+SUP_CONTROL!$C$12*CAPA2_FLAGSHIP!DJ18+SUP_CONTROL!$C$13*CAPA3_EXPANSION!DJ46+SUP_CONTROL!$C$14*CAPA4_RETAIL!DJ12</f>
        <v>375323.448458366</v>
      </c>
      <c r="DK15" s="273" t="n">
        <f aca="false">SUP_CONTROL!$C$11*CAPA1_PILOTO!DK23+SUP_CONTROL!$C$12*CAPA2_FLAGSHIP!DK18+SUP_CONTROL!$C$13*CAPA3_EXPANSION!DK46+SUP_CONTROL!$C$14*CAPA4_RETAIL!DK12</f>
        <v>375323.448458366</v>
      </c>
      <c r="DL15" s="273" t="n">
        <f aca="false">SUP_CONTROL!$C$11*CAPA1_PILOTO!DL23+SUP_CONTROL!$C$12*CAPA2_FLAGSHIP!DL18+SUP_CONTROL!$C$13*CAPA3_EXPANSION!DL46+SUP_CONTROL!$C$14*CAPA4_RETAIL!DL12</f>
        <v>375323.448458366</v>
      </c>
      <c r="DM15" s="273" t="n">
        <f aca="false">SUP_CONTROL!$C$11*CAPA1_PILOTO!DM23+SUP_CONTROL!$C$12*CAPA2_FLAGSHIP!DM18+SUP_CONTROL!$C$13*CAPA3_EXPANSION!DM46+SUP_CONTROL!$C$14*CAPA4_RETAIL!DM12</f>
        <v>375323.448458366</v>
      </c>
      <c r="DN15" s="273" t="n">
        <f aca="false">SUP_CONTROL!$C$11*CAPA1_PILOTO!DN23+SUP_CONTROL!$C$12*CAPA2_FLAGSHIP!DN18+SUP_CONTROL!$C$13*CAPA3_EXPANSION!DN46+SUP_CONTROL!$C$14*CAPA4_RETAIL!DN12</f>
        <v>375323.448458366</v>
      </c>
      <c r="DO15" s="273" t="n">
        <f aca="false">SUP_CONTROL!$C$11*CAPA1_PILOTO!DO23+SUP_CONTROL!$C$12*CAPA2_FLAGSHIP!DO18+SUP_CONTROL!$C$13*CAPA3_EXPANSION!DO46+SUP_CONTROL!$C$14*CAPA4_RETAIL!DO12</f>
        <v>375323.448458366</v>
      </c>
      <c r="DP15" s="273" t="n">
        <f aca="false">SUP_CONTROL!$C$11*CAPA1_PILOTO!DP23+SUP_CONTROL!$C$12*CAPA2_FLAGSHIP!DP18+SUP_CONTROL!$C$13*CAPA3_EXPANSION!DP46+SUP_CONTROL!$C$14*CAPA4_RETAIL!DP12</f>
        <v>375323.448458366</v>
      </c>
      <c r="DQ15" s="273" t="n">
        <f aca="false">SUP_CONTROL!$C$11*CAPA1_PILOTO!DQ23+SUP_CONTROL!$C$12*CAPA2_FLAGSHIP!DQ18+SUP_CONTROL!$C$13*CAPA3_EXPANSION!DQ46+SUP_CONTROL!$C$14*CAPA4_RETAIL!DQ12</f>
        <v>375323.448458366</v>
      </c>
      <c r="DR15" s="273" t="n">
        <f aca="false">SUP_CONTROL!$C$11*CAPA1_PILOTO!DR23+SUP_CONTROL!$C$12*CAPA2_FLAGSHIP!DR18+SUP_CONTROL!$C$13*CAPA3_EXPANSION!DR46+SUP_CONTROL!$C$14*CAPA4_RETAIL!DR12</f>
        <v>375323.448458366</v>
      </c>
      <c r="DS15" s="273" t="n">
        <f aca="false">SUP_CONTROL!$C$11*CAPA1_PILOTO!DS23+SUP_CONTROL!$C$12*CAPA2_FLAGSHIP!DS18+SUP_CONTROL!$C$13*CAPA3_EXPANSION!DS46+SUP_CONTROL!$C$14*CAPA4_RETAIL!DS12</f>
        <v>375323.448458366</v>
      </c>
    </row>
    <row r="16" customFormat="false" ht="15" hidden="false" customHeight="true" outlineLevel="0" collapsed="false">
      <c r="B16" s="297" t="s">
        <v>3622</v>
      </c>
      <c r="D16" s="273" t="n">
        <f aca="false">SUP_CONTROL!$C$11*(CAPA1_PILOTO!D25+CAPA1_PILOTO!D26+CAPA1_PILOTO!D27+CAPA1_PILOTO!D37)+SUP_CONTROL!$C$12*(CAPA2_FLAGSHIP!D20+CAPA2_FLAGSHIP!D21+CAPA2_FLAGSHIP!D19)+SUP_CONTROL!$C$13*(CAPA3_EXPANSION!D22+CAPA3_EXPANSION!D29+CAPA3_EXPANSION!D30+CAPA3_EXPANSION!D59)+SUP_CONTROL!$C$14*CAPA4_RETAIL!D14</f>
        <v>669342.743666667</v>
      </c>
      <c r="E16" s="273" t="n">
        <f aca="false">SUP_CONTROL!$C$11*(CAPA1_PILOTO!E25+CAPA1_PILOTO!E26+CAPA1_PILOTO!E27+CAPA1_PILOTO!E37)+SUP_CONTROL!$C$12*(CAPA2_FLAGSHIP!E20+CAPA2_FLAGSHIP!E21+CAPA2_FLAGSHIP!E19)+SUP_CONTROL!$C$13*(CAPA3_EXPANSION!E22+CAPA3_EXPANSION!E29+CAPA3_EXPANSION!E30+CAPA3_EXPANSION!E59)+SUP_CONTROL!$C$14*CAPA4_RETAIL!E14</f>
        <v>455028.743666667</v>
      </c>
      <c r="F16" s="273" t="n">
        <f aca="false">SUP_CONTROL!$C$11*(CAPA1_PILOTO!F25+CAPA1_PILOTO!F26+CAPA1_PILOTO!F27+CAPA1_PILOTO!F37)+SUP_CONTROL!$C$12*(CAPA2_FLAGSHIP!F20+CAPA2_FLAGSHIP!F21+CAPA2_FLAGSHIP!F19)+SUP_CONTROL!$C$13*(CAPA3_EXPANSION!F22+CAPA3_EXPANSION!F29+CAPA3_EXPANSION!F30+CAPA3_EXPANSION!F59)+SUP_CONTROL!$C$14*CAPA4_RETAIL!F14</f>
        <v>410028.743666667</v>
      </c>
      <c r="G16" s="273" t="n">
        <f aca="false">SUP_CONTROL!$C$11*(CAPA1_PILOTO!G25+CAPA1_PILOTO!G26+CAPA1_PILOTO!G27+CAPA1_PILOTO!G37)+SUP_CONTROL!$C$12*(CAPA2_FLAGSHIP!G20+CAPA2_FLAGSHIP!G21+CAPA2_FLAGSHIP!G19)+SUP_CONTROL!$C$13*(CAPA3_EXPANSION!G22+CAPA3_EXPANSION!G29+CAPA3_EXPANSION!G30+CAPA3_EXPANSION!G59)+SUP_CONTROL!$C$14*CAPA4_RETAIL!G14</f>
        <v>251467.95925</v>
      </c>
      <c r="H16" s="273" t="n">
        <f aca="false">SUP_CONTROL!$C$11*(CAPA1_PILOTO!H25+CAPA1_PILOTO!H26+CAPA1_PILOTO!H27+CAPA1_PILOTO!H37)+SUP_CONTROL!$C$12*(CAPA2_FLAGSHIP!H20+CAPA2_FLAGSHIP!H21+CAPA2_FLAGSHIP!H19)+SUP_CONTROL!$C$13*(CAPA3_EXPANSION!H22+CAPA3_EXPANSION!H29+CAPA3_EXPANSION!H30+CAPA3_EXPANSION!H59)+SUP_CONTROL!$C$14*CAPA4_RETAIL!H14</f>
        <v>293822.0445</v>
      </c>
      <c r="I16" s="273" t="n">
        <f aca="false">SUP_CONTROL!$C$11*(CAPA1_PILOTO!I25+CAPA1_PILOTO!I26+CAPA1_PILOTO!I27+CAPA1_PILOTO!I37)+SUP_CONTROL!$C$12*(CAPA2_FLAGSHIP!I20+CAPA2_FLAGSHIP!I21+CAPA2_FLAGSHIP!I19)+SUP_CONTROL!$C$13*(CAPA3_EXPANSION!I22+CAPA3_EXPANSION!I29+CAPA3_EXPANSION!I30+CAPA3_EXPANSION!I59)+SUP_CONTROL!$C$14*CAPA4_RETAIL!I14</f>
        <v>12000</v>
      </c>
      <c r="J16" s="273" t="n">
        <f aca="false">SUP_CONTROL!$C$11*(CAPA1_PILOTO!J25+CAPA1_PILOTO!J26+CAPA1_PILOTO!J27+CAPA1_PILOTO!J37)+SUP_CONTROL!$C$12*(CAPA2_FLAGSHIP!J20+CAPA2_FLAGSHIP!J21+CAPA2_FLAGSHIP!J19)+SUP_CONTROL!$C$13*(CAPA3_EXPANSION!J22+CAPA3_EXPANSION!J29+CAPA3_EXPANSION!J30+CAPA3_EXPANSION!J59)+SUP_CONTROL!$C$14*CAPA4_RETAIL!J14</f>
        <v>18000</v>
      </c>
      <c r="K16" s="273" t="n">
        <f aca="false">SUP_CONTROL!$C$11*(CAPA1_PILOTO!K25+CAPA1_PILOTO!K26+CAPA1_PILOTO!K27+CAPA1_PILOTO!K37)+SUP_CONTROL!$C$12*(CAPA2_FLAGSHIP!K20+CAPA2_FLAGSHIP!K21+CAPA2_FLAGSHIP!K19)+SUP_CONTROL!$C$13*(CAPA3_EXPANSION!K22+CAPA3_EXPANSION!K29+CAPA3_EXPANSION!K30+CAPA3_EXPANSION!K59)+SUP_CONTROL!$C$14*CAPA4_RETAIL!K14</f>
        <v>22800</v>
      </c>
      <c r="L16" s="273" t="n">
        <f aca="false">SUP_CONTROL!$C$11*(CAPA1_PILOTO!L25+CAPA1_PILOTO!L26+CAPA1_PILOTO!L27+CAPA1_PILOTO!L37)+SUP_CONTROL!$C$12*(CAPA2_FLAGSHIP!L20+CAPA2_FLAGSHIP!L21+CAPA2_FLAGSHIP!L19)+SUP_CONTROL!$C$13*(CAPA3_EXPANSION!L22+CAPA3_EXPANSION!L29+CAPA3_EXPANSION!L30+CAPA3_EXPANSION!L59)+SUP_CONTROL!$C$14*CAPA4_RETAIL!L14</f>
        <v>-11600</v>
      </c>
      <c r="M16" s="273" t="n">
        <f aca="false">SUP_CONTROL!$C$11*(CAPA1_PILOTO!M25+CAPA1_PILOTO!M26+CAPA1_PILOTO!M27+CAPA1_PILOTO!M37)+SUP_CONTROL!$C$12*(CAPA2_FLAGSHIP!M20+CAPA2_FLAGSHIP!M21+CAPA2_FLAGSHIP!M19)+SUP_CONTROL!$C$13*(CAPA3_EXPANSION!M22+CAPA3_EXPANSION!M29+CAPA3_EXPANSION!M30+CAPA3_EXPANSION!M59)+SUP_CONTROL!$C$14*CAPA4_RETAIL!M14</f>
        <v>-6400</v>
      </c>
      <c r="N16" s="273" t="n">
        <f aca="false">SUP_CONTROL!$C$11*(CAPA1_PILOTO!N25+CAPA1_PILOTO!N26+CAPA1_PILOTO!N27+CAPA1_PILOTO!N37)+SUP_CONTROL!$C$12*(CAPA2_FLAGSHIP!N20+CAPA2_FLAGSHIP!N21+CAPA2_FLAGSHIP!N19)+SUP_CONTROL!$C$13*(CAPA3_EXPANSION!N22+CAPA3_EXPANSION!N29+CAPA3_EXPANSION!N30+CAPA3_EXPANSION!N59)+SUP_CONTROL!$C$14*CAPA4_RETAIL!N14</f>
        <v>0</v>
      </c>
      <c r="O16" s="273" t="n">
        <f aca="false">SUP_CONTROL!$C$11*(CAPA1_PILOTO!O25+CAPA1_PILOTO!O26+CAPA1_PILOTO!O27+CAPA1_PILOTO!O37)+SUP_CONTROL!$C$12*(CAPA2_FLAGSHIP!O20+CAPA2_FLAGSHIP!O21+CAPA2_FLAGSHIP!O19)+SUP_CONTROL!$C$13*(CAPA3_EXPANSION!O22+CAPA3_EXPANSION!O29+CAPA3_EXPANSION!O30+CAPA3_EXPANSION!O59)+SUP_CONTROL!$C$14*CAPA4_RETAIL!O14</f>
        <v>0</v>
      </c>
      <c r="P16" s="273" t="n">
        <f aca="false">SUP_CONTROL!$C$11*(CAPA1_PILOTO!P25+CAPA1_PILOTO!P26+CAPA1_PILOTO!P27+CAPA1_PILOTO!P37)+SUP_CONTROL!$C$12*(CAPA2_FLAGSHIP!P20+CAPA2_FLAGSHIP!P21+CAPA2_FLAGSHIP!P19)+SUP_CONTROL!$C$13*(CAPA3_EXPANSION!P22+CAPA3_EXPANSION!P29+CAPA3_EXPANSION!P30+CAPA3_EXPANSION!P59)+SUP_CONTROL!$C$14*CAPA4_RETAIL!P14</f>
        <v>0</v>
      </c>
      <c r="Q16" s="273" t="n">
        <f aca="false">SUP_CONTROL!$C$11*(CAPA1_PILOTO!Q25+CAPA1_PILOTO!Q26+CAPA1_PILOTO!Q27+CAPA1_PILOTO!Q37)+SUP_CONTROL!$C$12*(CAPA2_FLAGSHIP!Q20+CAPA2_FLAGSHIP!Q21+CAPA2_FLAGSHIP!Q19)+SUP_CONTROL!$C$13*(CAPA3_EXPANSION!Q22+CAPA3_EXPANSION!Q29+CAPA3_EXPANSION!Q30+CAPA3_EXPANSION!Q59)+SUP_CONTROL!$C$14*CAPA4_RETAIL!Q14</f>
        <v>0</v>
      </c>
      <c r="R16" s="273" t="n">
        <f aca="false">SUP_CONTROL!$C$11*(CAPA1_PILOTO!R25+CAPA1_PILOTO!R26+CAPA1_PILOTO!R27+CAPA1_PILOTO!R37)+SUP_CONTROL!$C$12*(CAPA2_FLAGSHIP!R20+CAPA2_FLAGSHIP!R21+CAPA2_FLAGSHIP!R19)+SUP_CONTROL!$C$13*(CAPA3_EXPANSION!R22+CAPA3_EXPANSION!R29+CAPA3_EXPANSION!R30+CAPA3_EXPANSION!R59)+SUP_CONTROL!$C$14*CAPA4_RETAIL!R14</f>
        <v>0</v>
      </c>
      <c r="S16" s="273" t="n">
        <f aca="false">SUP_CONTROL!$C$11*(CAPA1_PILOTO!S25+CAPA1_PILOTO!S26+CAPA1_PILOTO!S27+CAPA1_PILOTO!S37)+SUP_CONTROL!$C$12*(CAPA2_FLAGSHIP!S20+CAPA2_FLAGSHIP!S21+CAPA2_FLAGSHIP!S19)+SUP_CONTROL!$C$13*(CAPA3_EXPANSION!S22+CAPA3_EXPANSION!S29+CAPA3_EXPANSION!S30+CAPA3_EXPANSION!S59)+SUP_CONTROL!$C$14*CAPA4_RETAIL!S14</f>
        <v>98995.937</v>
      </c>
      <c r="T16" s="273" t="n">
        <f aca="false">SUP_CONTROL!$C$11*(CAPA1_PILOTO!T25+CAPA1_PILOTO!T26+CAPA1_PILOTO!T27+CAPA1_PILOTO!T37)+SUP_CONTROL!$C$12*(CAPA2_FLAGSHIP!T20+CAPA2_FLAGSHIP!T21+CAPA2_FLAGSHIP!T19)+SUP_CONTROL!$C$13*(CAPA3_EXPANSION!T22+CAPA3_EXPANSION!T29+CAPA3_EXPANSION!T30+CAPA3_EXPANSION!T59)+SUP_CONTROL!$C$14*CAPA4_RETAIL!T14</f>
        <v>98995.937</v>
      </c>
      <c r="U16" s="273" t="n">
        <f aca="false">SUP_CONTROL!$C$11*(CAPA1_PILOTO!U25+CAPA1_PILOTO!U26+CAPA1_PILOTO!U27+CAPA1_PILOTO!U37)+SUP_CONTROL!$C$12*(CAPA2_FLAGSHIP!U20+CAPA2_FLAGSHIP!U21+CAPA2_FLAGSHIP!U19)+SUP_CONTROL!$C$13*(CAPA3_EXPANSION!U22+CAPA3_EXPANSION!U29+CAPA3_EXPANSION!U30+CAPA3_EXPANSION!U59)+SUP_CONTROL!$C$14*CAPA4_RETAIL!U14</f>
        <v>0</v>
      </c>
      <c r="V16" s="273" t="n">
        <f aca="false">SUP_CONTROL!$C$11*(CAPA1_PILOTO!V25+CAPA1_PILOTO!V26+CAPA1_PILOTO!V27+CAPA1_PILOTO!V37)+SUP_CONTROL!$C$12*(CAPA2_FLAGSHIP!V20+CAPA2_FLAGSHIP!V21+CAPA2_FLAGSHIP!V19)+SUP_CONTROL!$C$13*(CAPA3_EXPANSION!V22+CAPA3_EXPANSION!V29+CAPA3_EXPANSION!V30+CAPA3_EXPANSION!V59)+SUP_CONTROL!$C$14*CAPA4_RETAIL!V14</f>
        <v>108995.937</v>
      </c>
      <c r="W16" s="273" t="n">
        <f aca="false">SUP_CONTROL!$C$11*(CAPA1_PILOTO!W25+CAPA1_PILOTO!W26+CAPA1_PILOTO!W27+CAPA1_PILOTO!W37)+SUP_CONTROL!$C$12*(CAPA2_FLAGSHIP!W20+CAPA2_FLAGSHIP!W21+CAPA2_FLAGSHIP!W19)+SUP_CONTROL!$C$13*(CAPA3_EXPANSION!W22+CAPA3_EXPANSION!W29+CAPA3_EXPANSION!W30+CAPA3_EXPANSION!W59)+SUP_CONTROL!$C$14*CAPA4_RETAIL!W14</f>
        <v>8000</v>
      </c>
      <c r="X16" s="273" t="n">
        <f aca="false">SUP_CONTROL!$C$11*(CAPA1_PILOTO!X25+CAPA1_PILOTO!X26+CAPA1_PILOTO!X27+CAPA1_PILOTO!X37)+SUP_CONTROL!$C$12*(CAPA2_FLAGSHIP!X20+CAPA2_FLAGSHIP!X21+CAPA2_FLAGSHIP!X19)+SUP_CONTROL!$C$13*(CAPA3_EXPANSION!X22+CAPA3_EXPANSION!X29+CAPA3_EXPANSION!X30+CAPA3_EXPANSION!X59)+SUP_CONTROL!$C$14*CAPA4_RETAIL!X14</f>
        <v>-4000</v>
      </c>
      <c r="Y16" s="273" t="n">
        <f aca="false">SUP_CONTROL!$C$11*(CAPA1_PILOTO!Y25+CAPA1_PILOTO!Y26+CAPA1_PILOTO!Y27+CAPA1_PILOTO!Y37)+SUP_CONTROL!$C$12*(CAPA2_FLAGSHIP!Y20+CAPA2_FLAGSHIP!Y21+CAPA2_FLAGSHIP!Y19)+SUP_CONTROL!$C$13*(CAPA3_EXPANSION!Y22+CAPA3_EXPANSION!Y29+CAPA3_EXPANSION!Y30+CAPA3_EXPANSION!Y59)+SUP_CONTROL!$C$14*CAPA4_RETAIL!Y14</f>
        <v>8000</v>
      </c>
      <c r="Z16" s="273" t="n">
        <f aca="false">SUP_CONTROL!$C$11*(CAPA1_PILOTO!Z25+CAPA1_PILOTO!Z26+CAPA1_PILOTO!Z27+CAPA1_PILOTO!Z37)+SUP_CONTROL!$C$12*(CAPA2_FLAGSHIP!Z20+CAPA2_FLAGSHIP!Z21+CAPA2_FLAGSHIP!Z19)+SUP_CONTROL!$C$13*(CAPA3_EXPANSION!Z22+CAPA3_EXPANSION!Z29+CAPA3_EXPANSION!Z30+CAPA3_EXPANSION!Z59)+SUP_CONTROL!$C$14*CAPA4_RETAIL!Z14</f>
        <v>-2000</v>
      </c>
      <c r="AA16" s="273" t="n">
        <f aca="false">SUP_CONTROL!$C$11*(CAPA1_PILOTO!AA25+CAPA1_PILOTO!AA26+CAPA1_PILOTO!AA27+CAPA1_PILOTO!AA37)+SUP_CONTROL!$C$12*(CAPA2_FLAGSHIP!AA20+CAPA2_FLAGSHIP!AA21+CAPA2_FLAGSHIP!AA19)+SUP_CONTROL!$C$13*(CAPA3_EXPANSION!AA22+CAPA3_EXPANSION!AA29+CAPA3_EXPANSION!AA30+CAPA3_EXPANSION!AA59)+SUP_CONTROL!$C$14*CAPA4_RETAIL!AA14</f>
        <v>-2000</v>
      </c>
      <c r="AB16" s="273" t="n">
        <f aca="false">SUP_CONTROL!$C$11*(CAPA1_PILOTO!AB25+CAPA1_PILOTO!AB26+CAPA1_PILOTO!AB27+CAPA1_PILOTO!AB37)+SUP_CONTROL!$C$12*(CAPA2_FLAGSHIP!AB20+CAPA2_FLAGSHIP!AB21+CAPA2_FLAGSHIP!AB19)+SUP_CONTROL!$C$13*(CAPA3_EXPANSION!AB22+CAPA3_EXPANSION!AB29+CAPA3_EXPANSION!AB30+CAPA3_EXPANSION!AB59)+SUP_CONTROL!$C$14*CAPA4_RETAIL!AB14</f>
        <v>0</v>
      </c>
      <c r="AC16" s="273" t="n">
        <f aca="false">SUP_CONTROL!$C$11*(CAPA1_PILOTO!AC25+CAPA1_PILOTO!AC26+CAPA1_PILOTO!AC27+CAPA1_PILOTO!AC37)+SUP_CONTROL!$C$12*(CAPA2_FLAGSHIP!AC20+CAPA2_FLAGSHIP!AC21+CAPA2_FLAGSHIP!AC19)+SUP_CONTROL!$C$13*(CAPA3_EXPANSION!AC22+CAPA3_EXPANSION!AC29+CAPA3_EXPANSION!AC30+CAPA3_EXPANSION!AC59)+SUP_CONTROL!$C$14*CAPA4_RETAIL!AC14</f>
        <v>0</v>
      </c>
      <c r="AD16" s="273" t="n">
        <f aca="false">SUP_CONTROL!$C$11*(CAPA1_PILOTO!AD25+CAPA1_PILOTO!AD26+CAPA1_PILOTO!AD27+CAPA1_PILOTO!AD37)+SUP_CONTROL!$C$12*(CAPA2_FLAGSHIP!AD20+CAPA2_FLAGSHIP!AD21+CAPA2_FLAGSHIP!AD19)+SUP_CONTROL!$C$13*(CAPA3_EXPANSION!AD22+CAPA3_EXPANSION!AD29+CAPA3_EXPANSION!AD30+CAPA3_EXPANSION!AD59)+SUP_CONTROL!$C$14*CAPA4_RETAIL!AD14</f>
        <v>342751.408</v>
      </c>
      <c r="AE16" s="273" t="n">
        <f aca="false">SUP_CONTROL!$C$11*(CAPA1_PILOTO!AE25+CAPA1_PILOTO!AE26+CAPA1_PILOTO!AE27+CAPA1_PILOTO!AE37)+SUP_CONTROL!$C$12*(CAPA2_FLAGSHIP!AE20+CAPA2_FLAGSHIP!AE21+CAPA2_FLAGSHIP!AE19)+SUP_CONTROL!$C$13*(CAPA3_EXPANSION!AE22+CAPA3_EXPANSION!AE29+CAPA3_EXPANSION!AE30+CAPA3_EXPANSION!AE59)+SUP_CONTROL!$C$14*CAPA4_RETAIL!AE14</f>
        <v>0</v>
      </c>
      <c r="AF16" s="273" t="n">
        <f aca="false">SUP_CONTROL!$C$11*(CAPA1_PILOTO!AF25+CAPA1_PILOTO!AF26+CAPA1_PILOTO!AF27+CAPA1_PILOTO!AF37)+SUP_CONTROL!$C$12*(CAPA2_FLAGSHIP!AF20+CAPA2_FLAGSHIP!AF21+CAPA2_FLAGSHIP!AF19)+SUP_CONTROL!$C$13*(CAPA3_EXPANSION!AF22+CAPA3_EXPANSION!AF29+CAPA3_EXPANSION!AF30+CAPA3_EXPANSION!AF59)+SUP_CONTROL!$C$14*CAPA4_RETAIL!AF14</f>
        <v>147686.02225</v>
      </c>
      <c r="AG16" s="273" t="n">
        <f aca="false">SUP_CONTROL!$C$11*(CAPA1_PILOTO!AG25+CAPA1_PILOTO!AG26+CAPA1_PILOTO!AG27+CAPA1_PILOTO!AG37)+SUP_CONTROL!$C$12*(CAPA2_FLAGSHIP!AG20+CAPA2_FLAGSHIP!AG21+CAPA2_FLAGSHIP!AG19)+SUP_CONTROL!$C$13*(CAPA3_EXPANSION!AG22+CAPA3_EXPANSION!AG29+CAPA3_EXPANSION!AG30+CAPA3_EXPANSION!AG59)+SUP_CONTROL!$C$14*CAPA4_RETAIL!AG14</f>
        <v>98995.937</v>
      </c>
      <c r="AH16" s="273" t="n">
        <f aca="false">SUP_CONTROL!$C$11*(CAPA1_PILOTO!AH25+CAPA1_PILOTO!AH26+CAPA1_PILOTO!AH27+CAPA1_PILOTO!AH37)+SUP_CONTROL!$C$12*(CAPA2_FLAGSHIP!AH20+CAPA2_FLAGSHIP!AH21+CAPA2_FLAGSHIP!AH19)+SUP_CONTROL!$C$13*(CAPA3_EXPANSION!AH22+CAPA3_EXPANSION!AH29+CAPA3_EXPANSION!AH30+CAPA3_EXPANSION!AH59)+SUP_CONTROL!$C$14*CAPA4_RETAIL!AH14</f>
        <v>0</v>
      </c>
      <c r="AI16" s="273" t="n">
        <f aca="false">SUP_CONTROL!$C$11*(CAPA1_PILOTO!AI25+CAPA1_PILOTO!AI26+CAPA1_PILOTO!AI27+CAPA1_PILOTO!AI37)+SUP_CONTROL!$C$12*(CAPA2_FLAGSHIP!AI20+CAPA2_FLAGSHIP!AI21+CAPA2_FLAGSHIP!AI19)+SUP_CONTROL!$C$13*(CAPA3_EXPANSION!AI22+CAPA3_EXPANSION!AI29+CAPA3_EXPANSION!AI30+CAPA3_EXPANSION!AI59)+SUP_CONTROL!$C$14*CAPA4_RETAIL!AI14</f>
        <v>114995.937</v>
      </c>
      <c r="AJ16" s="273" t="n">
        <f aca="false">SUP_CONTROL!$C$11*(CAPA1_PILOTO!AJ25+CAPA1_PILOTO!AJ26+CAPA1_PILOTO!AJ27+CAPA1_PILOTO!AJ37)+SUP_CONTROL!$C$12*(CAPA2_FLAGSHIP!AJ20+CAPA2_FLAGSHIP!AJ21+CAPA2_FLAGSHIP!AJ19)+SUP_CONTROL!$C$13*(CAPA3_EXPANSION!AJ22+CAPA3_EXPANSION!AJ29+CAPA3_EXPANSION!AJ30+CAPA3_EXPANSION!AJ59)+SUP_CONTROL!$C$14*CAPA4_RETAIL!AJ14</f>
        <v>6800</v>
      </c>
      <c r="AK16" s="273" t="n">
        <f aca="false">SUP_CONTROL!$C$11*(CAPA1_PILOTO!AK25+CAPA1_PILOTO!AK26+CAPA1_PILOTO!AK27+CAPA1_PILOTO!AK37)+SUP_CONTROL!$C$12*(CAPA2_FLAGSHIP!AK20+CAPA2_FLAGSHIP!AK21+CAPA2_FLAGSHIP!AK19)+SUP_CONTROL!$C$13*(CAPA3_EXPANSION!AK22+CAPA3_EXPANSION!AK29+CAPA3_EXPANSION!AK30+CAPA3_EXPANSION!AK59)+SUP_CONTROL!$C$14*CAPA4_RETAIL!AK14</f>
        <v>93795.937</v>
      </c>
      <c r="AL16" s="273" t="n">
        <f aca="false">SUP_CONTROL!$C$11*(CAPA1_PILOTO!AL25+CAPA1_PILOTO!AL26+CAPA1_PILOTO!AL27+CAPA1_PILOTO!AL37)+SUP_CONTROL!$C$12*(CAPA2_FLAGSHIP!AL20+CAPA2_FLAGSHIP!AL21+CAPA2_FLAGSHIP!AL19)+SUP_CONTROL!$C$13*(CAPA3_EXPANSION!AL22+CAPA3_EXPANSION!AL29+CAPA3_EXPANSION!AL30+CAPA3_EXPANSION!AL59)+SUP_CONTROL!$C$14*CAPA4_RETAIL!AL14</f>
        <v>8000</v>
      </c>
      <c r="AM16" s="273" t="n">
        <f aca="false">SUP_CONTROL!$C$11*(CAPA1_PILOTO!AM25+CAPA1_PILOTO!AM26+CAPA1_PILOTO!AM27+CAPA1_PILOTO!AM37)+SUP_CONTROL!$C$12*(CAPA2_FLAGSHIP!AM20+CAPA2_FLAGSHIP!AM21+CAPA2_FLAGSHIP!AM19)+SUP_CONTROL!$C$13*(CAPA3_EXPANSION!AM22+CAPA3_EXPANSION!AM29+CAPA3_EXPANSION!AM30+CAPA3_EXPANSION!AM59)+SUP_CONTROL!$C$14*CAPA4_RETAIL!AM14</f>
        <v>-2000</v>
      </c>
      <c r="AN16" s="273" t="n">
        <f aca="false">SUP_CONTROL!$C$11*(CAPA1_PILOTO!AN25+CAPA1_PILOTO!AN26+CAPA1_PILOTO!AN27+CAPA1_PILOTO!AN37)+SUP_CONTROL!$C$12*(CAPA2_FLAGSHIP!AN20+CAPA2_FLAGSHIP!AN21+CAPA2_FLAGSHIP!AN19)+SUP_CONTROL!$C$13*(CAPA3_EXPANSION!AN22+CAPA3_EXPANSION!AN29+CAPA3_EXPANSION!AN30+CAPA3_EXPANSION!AN59)+SUP_CONTROL!$C$14*CAPA4_RETAIL!AN14</f>
        <v>155686.02225</v>
      </c>
      <c r="AO16" s="273" t="n">
        <f aca="false">SUP_CONTROL!$C$11*(CAPA1_PILOTO!AO25+CAPA1_PILOTO!AO26+CAPA1_PILOTO!AO27+CAPA1_PILOTO!AO37)+SUP_CONTROL!$C$12*(CAPA2_FLAGSHIP!AO20+CAPA2_FLAGSHIP!AO21+CAPA2_FLAGSHIP!AO19)+SUP_CONTROL!$C$13*(CAPA3_EXPANSION!AO22+CAPA3_EXPANSION!AO29+CAPA3_EXPANSION!AO30+CAPA3_EXPANSION!AO59)+SUP_CONTROL!$C$14*CAPA4_RETAIL!AO14</f>
        <v>96995.937</v>
      </c>
      <c r="AP16" s="273" t="n">
        <f aca="false">SUP_CONTROL!$C$11*(CAPA1_PILOTO!AP25+CAPA1_PILOTO!AP26+CAPA1_PILOTO!AP27+CAPA1_PILOTO!AP37)+SUP_CONTROL!$C$12*(CAPA2_FLAGSHIP!AP20+CAPA2_FLAGSHIP!AP21+CAPA2_FLAGSHIP!AP19)+SUP_CONTROL!$C$13*(CAPA3_EXPANSION!AP22+CAPA3_EXPANSION!AP29+CAPA3_EXPANSION!AP30+CAPA3_EXPANSION!AP59)+SUP_CONTROL!$C$14*CAPA4_RETAIL!AP14</f>
        <v>96995.937</v>
      </c>
      <c r="AQ16" s="273" t="n">
        <f aca="false">SUP_CONTROL!$C$11*(CAPA1_PILOTO!AQ25+CAPA1_PILOTO!AQ26+CAPA1_PILOTO!AQ27+CAPA1_PILOTO!AQ37)+SUP_CONTROL!$C$12*(CAPA2_FLAGSHIP!AQ20+CAPA2_FLAGSHIP!AQ21+CAPA2_FLAGSHIP!AQ19)+SUP_CONTROL!$C$13*(CAPA3_EXPANSION!AQ22+CAPA3_EXPANSION!AQ29+CAPA3_EXPANSION!AQ30+CAPA3_EXPANSION!AQ59)+SUP_CONTROL!$C$14*CAPA4_RETAIL!AQ14</f>
        <v>114995.937</v>
      </c>
      <c r="AR16" s="273" t="n">
        <f aca="false">SUP_CONTROL!$C$11*(CAPA1_PILOTO!AR25+CAPA1_PILOTO!AR26+CAPA1_PILOTO!AR27+CAPA1_PILOTO!AR37)+SUP_CONTROL!$C$12*(CAPA2_FLAGSHIP!AR20+CAPA2_FLAGSHIP!AR21+CAPA2_FLAGSHIP!AR19)+SUP_CONTROL!$C$13*(CAPA3_EXPANSION!AR22+CAPA3_EXPANSION!AR29+CAPA3_EXPANSION!AR30+CAPA3_EXPANSION!AR59)+SUP_CONTROL!$C$14*CAPA4_RETAIL!AR14</f>
        <v>6800</v>
      </c>
      <c r="AS16" s="273" t="n">
        <f aca="false">SUP_CONTROL!$C$11*(CAPA1_PILOTO!AS25+CAPA1_PILOTO!AS26+CAPA1_PILOTO!AS27+CAPA1_PILOTO!AS37)+SUP_CONTROL!$C$12*(CAPA2_FLAGSHIP!AS20+CAPA2_FLAGSHIP!AS21+CAPA2_FLAGSHIP!AS19)+SUP_CONTROL!$C$13*(CAPA3_EXPANSION!AS22+CAPA3_EXPANSION!AS29+CAPA3_EXPANSION!AS30+CAPA3_EXPANSION!AS59)+SUP_CONTROL!$C$14*CAPA4_RETAIL!AS14</f>
        <v>4800</v>
      </c>
      <c r="AT16" s="273" t="n">
        <f aca="false">SUP_CONTROL!$C$11*(CAPA1_PILOTO!AT25+CAPA1_PILOTO!AT26+CAPA1_PILOTO!AT27+CAPA1_PILOTO!AT37)+SUP_CONTROL!$C$12*(CAPA2_FLAGSHIP!AT20+CAPA2_FLAGSHIP!AT21+CAPA2_FLAGSHIP!AT19)+SUP_CONTROL!$C$13*(CAPA3_EXPANSION!AT22+CAPA3_EXPANSION!AT29+CAPA3_EXPANSION!AT30+CAPA3_EXPANSION!AT59)+SUP_CONTROL!$C$14*CAPA4_RETAIL!AT14</f>
        <v>153686.02225</v>
      </c>
      <c r="AU16" s="273" t="n">
        <f aca="false">SUP_CONTROL!$C$11*(CAPA1_PILOTO!AU25+CAPA1_PILOTO!AU26+CAPA1_PILOTO!AU27+CAPA1_PILOTO!AU37)+SUP_CONTROL!$C$12*(CAPA2_FLAGSHIP!AU20+CAPA2_FLAGSHIP!AU21+CAPA2_FLAGSHIP!AU19)+SUP_CONTROL!$C$13*(CAPA3_EXPANSION!AU22+CAPA3_EXPANSION!AU29+CAPA3_EXPANSION!AU30+CAPA3_EXPANSION!AU59)+SUP_CONTROL!$C$14*CAPA4_RETAIL!AU14</f>
        <v>-4000</v>
      </c>
      <c r="AV16" s="273" t="n">
        <f aca="false">SUP_CONTROL!$C$11*(CAPA1_PILOTO!AV25+CAPA1_PILOTO!AV26+CAPA1_PILOTO!AV27+CAPA1_PILOTO!AV37)+SUP_CONTROL!$C$12*(CAPA2_FLAGSHIP!AV20+CAPA2_FLAGSHIP!AV21+CAPA2_FLAGSHIP!AV19)+SUP_CONTROL!$C$13*(CAPA3_EXPANSION!AV22+CAPA3_EXPANSION!AV29+CAPA3_EXPANSION!AV30+CAPA3_EXPANSION!AV59)+SUP_CONTROL!$C$14*CAPA4_RETAIL!AV14</f>
        <v>96995.937</v>
      </c>
      <c r="AW16" s="273" t="n">
        <f aca="false">SUP_CONTROL!$C$11*(CAPA1_PILOTO!AW25+CAPA1_PILOTO!AW26+CAPA1_PILOTO!AW27+CAPA1_PILOTO!AW37)+SUP_CONTROL!$C$12*(CAPA2_FLAGSHIP!AW20+CAPA2_FLAGSHIP!AW21+CAPA2_FLAGSHIP!AW19)+SUP_CONTROL!$C$13*(CAPA3_EXPANSION!AW22+CAPA3_EXPANSION!AW29+CAPA3_EXPANSION!AW30+CAPA3_EXPANSION!AW59)+SUP_CONTROL!$C$14*CAPA4_RETAIL!AW14</f>
        <v>114995.937</v>
      </c>
      <c r="AX16" s="273" t="n">
        <f aca="false">SUP_CONTROL!$C$11*(CAPA1_PILOTO!AX25+CAPA1_PILOTO!AX26+CAPA1_PILOTO!AX27+CAPA1_PILOTO!AX37)+SUP_CONTROL!$C$12*(CAPA2_FLAGSHIP!AX20+CAPA2_FLAGSHIP!AX21+CAPA2_FLAGSHIP!AX19)+SUP_CONTROL!$C$13*(CAPA3_EXPANSION!AX22+CAPA3_EXPANSION!AX29+CAPA3_EXPANSION!AX30+CAPA3_EXPANSION!AX59)+SUP_CONTROL!$C$14*CAPA4_RETAIL!AX14</f>
        <v>-3200</v>
      </c>
      <c r="AY16" s="273" t="n">
        <f aca="false">SUP_CONTROL!$C$11*(CAPA1_PILOTO!AY25+CAPA1_PILOTO!AY26+CAPA1_PILOTO!AY27+CAPA1_PILOTO!AY37)+SUP_CONTROL!$C$12*(CAPA2_FLAGSHIP!AY20+CAPA2_FLAGSHIP!AY21+CAPA2_FLAGSHIP!AY19)+SUP_CONTROL!$C$13*(CAPA3_EXPANSION!AY22+CAPA3_EXPANSION!AY29+CAPA3_EXPANSION!AY30+CAPA3_EXPANSION!AY59)+SUP_CONTROL!$C$14*CAPA4_RETAIL!AY14</f>
        <v>6800</v>
      </c>
      <c r="AZ16" s="273" t="n">
        <f aca="false">SUP_CONTROL!$C$11*(CAPA1_PILOTO!AZ25+CAPA1_PILOTO!AZ26+CAPA1_PILOTO!AZ27+CAPA1_PILOTO!AZ37)+SUP_CONTROL!$C$12*(CAPA2_FLAGSHIP!AZ20+CAPA2_FLAGSHIP!AZ21+CAPA2_FLAGSHIP!AZ19)+SUP_CONTROL!$C$13*(CAPA3_EXPANSION!AZ22+CAPA3_EXPANSION!AZ29+CAPA3_EXPANSION!AZ30+CAPA3_EXPANSION!AZ59)+SUP_CONTROL!$C$14*CAPA4_RETAIL!AZ14</f>
        <v>8000</v>
      </c>
      <c r="BA16" s="273" t="n">
        <f aca="false">SUP_CONTROL!$C$11*(CAPA1_PILOTO!BA25+CAPA1_PILOTO!BA26+CAPA1_PILOTO!BA27+CAPA1_PILOTO!BA37)+SUP_CONTROL!$C$12*(CAPA2_FLAGSHIP!BA20+CAPA2_FLAGSHIP!BA21+CAPA2_FLAGSHIP!BA19)+SUP_CONTROL!$C$13*(CAPA3_EXPANSION!BA22+CAPA3_EXPANSION!BA29+CAPA3_EXPANSION!BA30+CAPA3_EXPANSION!BA59)+SUP_CONTROL!$C$14*CAPA4_RETAIL!BA14</f>
        <v>-4000</v>
      </c>
      <c r="BB16" s="273" t="n">
        <f aca="false">SUP_CONTROL!$C$11*(CAPA1_PILOTO!BB25+CAPA1_PILOTO!BB26+CAPA1_PILOTO!BB27+CAPA1_PILOTO!BB37)+SUP_CONTROL!$C$12*(CAPA2_FLAGSHIP!BB20+CAPA2_FLAGSHIP!BB21+CAPA2_FLAGSHIP!BB19)+SUP_CONTROL!$C$13*(CAPA3_EXPANSION!BB22+CAPA3_EXPANSION!BB29+CAPA3_EXPANSION!BB30+CAPA3_EXPANSION!BB59)+SUP_CONTROL!$C$14*CAPA4_RETAIL!BB14</f>
        <v>622713.896</v>
      </c>
      <c r="BC16" s="273" t="n">
        <f aca="false">SUP_CONTROL!$C$11*(CAPA1_PILOTO!BC25+CAPA1_PILOTO!BC26+CAPA1_PILOTO!BC27+CAPA1_PILOTO!BC37)+SUP_CONTROL!$C$12*(CAPA2_FLAGSHIP!BC20+CAPA2_FLAGSHIP!BC21+CAPA2_FLAGSHIP!BC19)+SUP_CONTROL!$C$13*(CAPA3_EXPANSION!BC22+CAPA3_EXPANSION!BC29+CAPA3_EXPANSION!BC30+CAPA3_EXPANSION!BC59)+SUP_CONTROL!$C$14*CAPA4_RETAIL!BC14</f>
        <v>0</v>
      </c>
      <c r="BD16" s="273" t="n">
        <f aca="false">SUP_CONTROL!$C$11*(CAPA1_PILOTO!BD25+CAPA1_PILOTO!BD26+CAPA1_PILOTO!BD27+CAPA1_PILOTO!BD37)+SUP_CONTROL!$C$12*(CAPA2_FLAGSHIP!BD20+CAPA2_FLAGSHIP!BD21+CAPA2_FLAGSHIP!BD19)+SUP_CONTROL!$C$13*(CAPA3_EXPANSION!BD22+CAPA3_EXPANSION!BD29+CAPA3_EXPANSION!BD30+CAPA3_EXPANSION!BD59)+SUP_CONTROL!$C$14*CAPA4_RETAIL!BD14</f>
        <v>0</v>
      </c>
      <c r="BE16" s="273" t="n">
        <f aca="false">SUP_CONTROL!$C$11*(CAPA1_PILOTO!BE25+CAPA1_PILOTO!BE26+CAPA1_PILOTO!BE27+CAPA1_PILOTO!BE37)+SUP_CONTROL!$C$12*(CAPA2_FLAGSHIP!BE20+CAPA2_FLAGSHIP!BE21+CAPA2_FLAGSHIP!BE19)+SUP_CONTROL!$C$13*(CAPA3_EXPANSION!BE22+CAPA3_EXPANSION!BE29+CAPA3_EXPANSION!BE30+CAPA3_EXPANSION!BE59)+SUP_CONTROL!$C$14*CAPA4_RETAIL!BE14</f>
        <v>0</v>
      </c>
      <c r="BF16" s="273" t="n">
        <f aca="false">SUP_CONTROL!$C$11*(CAPA1_PILOTO!BF25+CAPA1_PILOTO!BF26+CAPA1_PILOTO!BF27+CAPA1_PILOTO!BF37)+SUP_CONTROL!$C$12*(CAPA2_FLAGSHIP!BF20+CAPA2_FLAGSHIP!BF21+CAPA2_FLAGSHIP!BF19)+SUP_CONTROL!$C$13*(CAPA3_EXPANSION!BF22+CAPA3_EXPANSION!BF29+CAPA3_EXPANSION!BF30+CAPA3_EXPANSION!BF59)+SUP_CONTROL!$C$14*CAPA4_RETAIL!BF14</f>
        <v>506066.17075</v>
      </c>
      <c r="BG16" s="273" t="n">
        <f aca="false">SUP_CONTROL!$C$11*(CAPA1_PILOTO!BG25+CAPA1_PILOTO!BG26+CAPA1_PILOTO!BG27+CAPA1_PILOTO!BG37)+SUP_CONTROL!$C$12*(CAPA2_FLAGSHIP!BG20+CAPA2_FLAGSHIP!BG21+CAPA2_FLAGSHIP!BG19)+SUP_CONTROL!$C$13*(CAPA3_EXPANSION!BG22+CAPA3_EXPANSION!BG29+CAPA3_EXPANSION!BG30+CAPA3_EXPANSION!BG59)+SUP_CONTROL!$C$14*CAPA4_RETAIL!BG14</f>
        <v>98995.937</v>
      </c>
      <c r="BH16" s="273" t="n">
        <f aca="false">SUP_CONTROL!$C$11*(CAPA1_PILOTO!BH25+CAPA1_PILOTO!BH26+CAPA1_PILOTO!BH27+CAPA1_PILOTO!BH37)+SUP_CONTROL!$C$12*(CAPA2_FLAGSHIP!BH20+CAPA2_FLAGSHIP!BH21+CAPA2_FLAGSHIP!BH19)+SUP_CONTROL!$C$13*(CAPA3_EXPANSION!BH22+CAPA3_EXPANSION!BH29+CAPA3_EXPANSION!BH30+CAPA3_EXPANSION!BH59)+SUP_CONTROL!$C$14*CAPA4_RETAIL!BH14</f>
        <v>147686.02225</v>
      </c>
      <c r="BI16" s="273" t="n">
        <f aca="false">SUP_CONTROL!$C$11*(CAPA1_PILOTO!BI25+CAPA1_PILOTO!BI26+CAPA1_PILOTO!BI27+CAPA1_PILOTO!BI37)+SUP_CONTROL!$C$12*(CAPA2_FLAGSHIP!BI20+CAPA2_FLAGSHIP!BI21+CAPA2_FLAGSHIP!BI19)+SUP_CONTROL!$C$13*(CAPA3_EXPANSION!BI22+CAPA3_EXPANSION!BI29+CAPA3_EXPANSION!BI30+CAPA3_EXPANSION!BI59)+SUP_CONTROL!$C$14*CAPA4_RETAIL!BI14</f>
        <v>148995.937</v>
      </c>
      <c r="BJ16" s="273" t="n">
        <f aca="false">SUP_CONTROL!$C$11*(CAPA1_PILOTO!BJ25+CAPA1_PILOTO!BJ26+CAPA1_PILOTO!BJ27+CAPA1_PILOTO!BJ37)+SUP_CONTROL!$C$12*(CAPA2_FLAGSHIP!BJ20+CAPA2_FLAGSHIP!BJ21+CAPA2_FLAGSHIP!BJ19)+SUP_CONTROL!$C$13*(CAPA3_EXPANSION!BJ22+CAPA3_EXPANSION!BJ29+CAPA3_EXPANSION!BJ30+CAPA3_EXPANSION!BJ59)+SUP_CONTROL!$C$14*CAPA4_RETAIL!BJ14</f>
        <v>98995.937</v>
      </c>
      <c r="BK16" s="273" t="n">
        <f aca="false">SUP_CONTROL!$C$11*(CAPA1_PILOTO!BK25+CAPA1_PILOTO!BK26+CAPA1_PILOTO!BK27+CAPA1_PILOTO!BK37)+SUP_CONTROL!$C$12*(CAPA2_FLAGSHIP!BK20+CAPA2_FLAGSHIP!BK21+CAPA2_FLAGSHIP!BK19)+SUP_CONTROL!$C$13*(CAPA3_EXPANSION!BK22+CAPA3_EXPANSION!BK29+CAPA3_EXPANSION!BK30+CAPA3_EXPANSION!BK59)+SUP_CONTROL!$C$14*CAPA4_RETAIL!BK14</f>
        <v>102995.937</v>
      </c>
      <c r="BL16" s="273" t="n">
        <f aca="false">SUP_CONTROL!$C$11*(CAPA1_PILOTO!BL25+CAPA1_PILOTO!BL26+CAPA1_PILOTO!BL27+CAPA1_PILOTO!BL37)+SUP_CONTROL!$C$12*(CAPA2_FLAGSHIP!BL20+CAPA2_FLAGSHIP!BL21+CAPA2_FLAGSHIP!BL19)+SUP_CONTROL!$C$13*(CAPA3_EXPANSION!BL22+CAPA3_EXPANSION!BL29+CAPA3_EXPANSION!BL30+CAPA3_EXPANSION!BL59)+SUP_CONTROL!$C$14*CAPA4_RETAIL!BL14</f>
        <v>4800</v>
      </c>
      <c r="BM16" s="273" t="n">
        <f aca="false">SUP_CONTROL!$C$11*(CAPA1_PILOTO!BM25+CAPA1_PILOTO!BM26+CAPA1_PILOTO!BM27+CAPA1_PILOTO!BM37)+SUP_CONTROL!$C$12*(CAPA2_FLAGSHIP!BM20+CAPA2_FLAGSHIP!BM21+CAPA2_FLAGSHIP!BM19)+SUP_CONTROL!$C$13*(CAPA3_EXPANSION!BM22+CAPA3_EXPANSION!BM29+CAPA3_EXPANSION!BM30+CAPA3_EXPANSION!BM59)+SUP_CONTROL!$C$14*CAPA4_RETAIL!BM14</f>
        <v>152486.02225</v>
      </c>
      <c r="BN16" s="273" t="n">
        <f aca="false">SUP_CONTROL!$C$11*(CAPA1_PILOTO!BN25+CAPA1_PILOTO!BN26+CAPA1_PILOTO!BN27+CAPA1_PILOTO!BN37)+SUP_CONTROL!$C$12*(CAPA2_FLAGSHIP!BN20+CAPA2_FLAGSHIP!BN21+CAPA2_FLAGSHIP!BN19)+SUP_CONTROL!$C$13*(CAPA3_EXPANSION!BN22+CAPA3_EXPANSION!BN29+CAPA3_EXPANSION!BN30+CAPA3_EXPANSION!BN59)+SUP_CONTROL!$C$14*CAPA4_RETAIL!BN14</f>
        <v>104995.937</v>
      </c>
      <c r="BO16" s="273" t="n">
        <f aca="false">SUP_CONTROL!$C$11*(CAPA1_PILOTO!BO25+CAPA1_PILOTO!BO26+CAPA1_PILOTO!BO27+CAPA1_PILOTO!BO37)+SUP_CONTROL!$C$12*(CAPA2_FLAGSHIP!BO20+CAPA2_FLAGSHIP!BO21+CAPA2_FLAGSHIP!BO19)+SUP_CONTROL!$C$13*(CAPA3_EXPANSION!BO22+CAPA3_EXPANSION!BO29+CAPA3_EXPANSION!BO30+CAPA3_EXPANSION!BO59)+SUP_CONTROL!$C$14*CAPA4_RETAIL!BO14</f>
        <v>94995.937</v>
      </c>
      <c r="BP16" s="273" t="n">
        <f aca="false">SUP_CONTROL!$C$11*(CAPA1_PILOTO!BP25+CAPA1_PILOTO!BP26+CAPA1_PILOTO!BP27+CAPA1_PILOTO!BP37)+SUP_CONTROL!$C$12*(CAPA2_FLAGSHIP!BP20+CAPA2_FLAGSHIP!BP21+CAPA2_FLAGSHIP!BP19)+SUP_CONTROL!$C$13*(CAPA3_EXPANSION!BP22+CAPA3_EXPANSION!BP29+CAPA3_EXPANSION!BP30+CAPA3_EXPANSION!BP59)+SUP_CONTROL!$C$14*CAPA4_RETAIL!BP14</f>
        <v>112995.937</v>
      </c>
      <c r="BQ16" s="273" t="n">
        <f aca="false">SUP_CONTROL!$C$11*(CAPA1_PILOTO!BQ25+CAPA1_PILOTO!BQ26+CAPA1_PILOTO!BQ27+CAPA1_PILOTO!BQ37)+SUP_CONTROL!$C$12*(CAPA2_FLAGSHIP!BQ20+CAPA2_FLAGSHIP!BQ21+CAPA2_FLAGSHIP!BQ19)+SUP_CONTROL!$C$13*(CAPA3_EXPANSION!BQ22+CAPA3_EXPANSION!BQ29+CAPA3_EXPANSION!BQ30+CAPA3_EXPANSION!BQ59)+SUP_CONTROL!$C$14*CAPA4_RETAIL!BQ14</f>
        <v>154486.02225</v>
      </c>
      <c r="BR16" s="273" t="n">
        <f aca="false">SUP_CONTROL!$C$11*(CAPA1_PILOTO!BR25+CAPA1_PILOTO!BR26+CAPA1_PILOTO!BR27+CAPA1_PILOTO!BR37)+SUP_CONTROL!$C$12*(CAPA2_FLAGSHIP!BR20+CAPA2_FLAGSHIP!BR21+CAPA2_FLAGSHIP!BR19)+SUP_CONTROL!$C$13*(CAPA3_EXPANSION!BR22+CAPA3_EXPANSION!BR29+CAPA3_EXPANSION!BR30+CAPA3_EXPANSION!BR59)+SUP_CONTROL!$C$14*CAPA4_RETAIL!BR14</f>
        <v>103795.937</v>
      </c>
      <c r="BS16" s="273" t="n">
        <f aca="false">SUP_CONTROL!$C$11*(CAPA1_PILOTO!BS25+CAPA1_PILOTO!BS26+CAPA1_PILOTO!BS27+CAPA1_PILOTO!BS37)+SUP_CONTROL!$C$12*(CAPA2_FLAGSHIP!BS20+CAPA2_FLAGSHIP!BS21+CAPA2_FLAGSHIP!BS19)+SUP_CONTROL!$C$13*(CAPA3_EXPANSION!BS22+CAPA3_EXPANSION!BS29+CAPA3_EXPANSION!BS30+CAPA3_EXPANSION!BS59)+SUP_CONTROL!$C$14*CAPA4_RETAIL!BS14</f>
        <v>104995.937</v>
      </c>
      <c r="BT16" s="273" t="n">
        <f aca="false">SUP_CONTROL!$C$11*(CAPA1_PILOTO!BT25+CAPA1_PILOTO!BT26+CAPA1_PILOTO!BT27+CAPA1_PILOTO!BT37)+SUP_CONTROL!$C$12*(CAPA2_FLAGSHIP!BT20+CAPA2_FLAGSHIP!BT21+CAPA2_FLAGSHIP!BT19)+SUP_CONTROL!$C$13*(CAPA3_EXPANSION!BT22+CAPA3_EXPANSION!BT29+CAPA3_EXPANSION!BT30+CAPA3_EXPANSION!BT59)+SUP_CONTROL!$C$14*CAPA4_RETAIL!BT14</f>
        <v>110995.937</v>
      </c>
      <c r="BU16" s="273" t="n">
        <f aca="false">SUP_CONTROL!$C$11*(CAPA1_PILOTO!BU25+CAPA1_PILOTO!BU26+CAPA1_PILOTO!BU27+CAPA1_PILOTO!BU37)+SUP_CONTROL!$C$12*(CAPA2_FLAGSHIP!BU20+CAPA2_FLAGSHIP!BU21+CAPA2_FLAGSHIP!BU19)+SUP_CONTROL!$C$13*(CAPA3_EXPANSION!BU22+CAPA3_EXPANSION!BU29+CAPA3_EXPANSION!BU30+CAPA3_EXPANSION!BU59)+SUP_CONTROL!$C$14*CAPA4_RETAIL!BU14</f>
        <v>152486.02225</v>
      </c>
      <c r="BV16" s="273" t="n">
        <f aca="false">SUP_CONTROL!$C$11*(CAPA1_PILOTO!BV25+CAPA1_PILOTO!BV26+CAPA1_PILOTO!BV27+CAPA1_PILOTO!BV37)+SUP_CONTROL!$C$12*(CAPA2_FLAGSHIP!BV20+CAPA2_FLAGSHIP!BV21+CAPA2_FLAGSHIP!BV19)+SUP_CONTROL!$C$13*(CAPA3_EXPANSION!BV22+CAPA3_EXPANSION!BV29+CAPA3_EXPANSION!BV30+CAPA3_EXPANSION!BV59)+SUP_CONTROL!$C$14*CAPA4_RETAIL!BV14</f>
        <v>4800</v>
      </c>
      <c r="BW16" s="273" t="n">
        <f aca="false">SUP_CONTROL!$C$11*(CAPA1_PILOTO!BW25+CAPA1_PILOTO!BW26+CAPA1_PILOTO!BW27+CAPA1_PILOTO!BW37)+SUP_CONTROL!$C$12*(CAPA2_FLAGSHIP!BW20+CAPA2_FLAGSHIP!BW21+CAPA2_FLAGSHIP!BW19)+SUP_CONTROL!$C$13*(CAPA3_EXPANSION!BW22+CAPA3_EXPANSION!BW29+CAPA3_EXPANSION!BW30+CAPA3_EXPANSION!BW59)+SUP_CONTROL!$C$14*CAPA4_RETAIL!BW14</f>
        <v>512066.17075</v>
      </c>
      <c r="BX16" s="273" t="n">
        <f aca="false">SUP_CONTROL!$C$11*(CAPA1_PILOTO!BX25+CAPA1_PILOTO!BX26+CAPA1_PILOTO!BX27+CAPA1_PILOTO!BX37)+SUP_CONTROL!$C$12*(CAPA2_FLAGSHIP!BX20+CAPA2_FLAGSHIP!BX21+CAPA2_FLAGSHIP!BX19)+SUP_CONTROL!$C$13*(CAPA3_EXPANSION!BX22+CAPA3_EXPANSION!BX29+CAPA3_EXPANSION!BX30+CAPA3_EXPANSION!BX59)+SUP_CONTROL!$C$14*CAPA4_RETAIL!BX14</f>
        <v>110995.937</v>
      </c>
      <c r="BY16" s="273" t="n">
        <f aca="false">SUP_CONTROL!$C$11*(CAPA1_PILOTO!BY25+CAPA1_PILOTO!BY26+CAPA1_PILOTO!BY27+CAPA1_PILOTO!BY37)+SUP_CONTROL!$C$12*(CAPA2_FLAGSHIP!BY20+CAPA2_FLAGSHIP!BY21+CAPA2_FLAGSHIP!BY19)+SUP_CONTROL!$C$13*(CAPA3_EXPANSION!BY22+CAPA3_EXPANSION!BY29+CAPA3_EXPANSION!BY30+CAPA3_EXPANSION!BY59)+SUP_CONTROL!$C$14*CAPA4_RETAIL!BY14</f>
        <v>93795.937</v>
      </c>
      <c r="BZ16" s="273" t="n">
        <f aca="false">SUP_CONTROL!$C$11*(CAPA1_PILOTO!BZ25+CAPA1_PILOTO!BZ26+CAPA1_PILOTO!BZ27+CAPA1_PILOTO!BZ37)+SUP_CONTROL!$C$12*(CAPA2_FLAGSHIP!BZ20+CAPA2_FLAGSHIP!BZ21+CAPA2_FLAGSHIP!BZ19)+SUP_CONTROL!$C$13*(CAPA3_EXPANSION!BZ22+CAPA3_EXPANSION!BZ29+CAPA3_EXPANSION!BZ30+CAPA3_EXPANSION!BZ59)+SUP_CONTROL!$C$14*CAPA4_RETAIL!BZ14</f>
        <v>145795.937</v>
      </c>
      <c r="CA16" s="273" t="n">
        <f aca="false">SUP_CONTROL!$C$11*(CAPA1_PILOTO!CA25+CAPA1_PILOTO!CA26+CAPA1_PILOTO!CA27+CAPA1_PILOTO!CA37)+SUP_CONTROL!$C$12*(CAPA2_FLAGSHIP!CA20+CAPA2_FLAGSHIP!CA21+CAPA2_FLAGSHIP!CA19)+SUP_CONTROL!$C$13*(CAPA3_EXPANSION!CA22+CAPA3_EXPANSION!CA29+CAPA3_EXPANSION!CA30+CAPA3_EXPANSION!CA59)+SUP_CONTROL!$C$14*CAPA4_RETAIL!CA14</f>
        <v>147686.02225</v>
      </c>
      <c r="CB16" s="273" t="n">
        <f aca="false">SUP_CONTROL!$C$11*(CAPA1_PILOTO!CB25+CAPA1_PILOTO!CB26+CAPA1_PILOTO!CB27+CAPA1_PILOTO!CB37)+SUP_CONTROL!$C$12*(CAPA2_FLAGSHIP!CB20+CAPA2_FLAGSHIP!CB21+CAPA2_FLAGSHIP!CB19)+SUP_CONTROL!$C$13*(CAPA3_EXPANSION!CB22+CAPA3_EXPANSION!CB29+CAPA3_EXPANSION!CB30+CAPA3_EXPANSION!CB59)+SUP_CONTROL!$C$14*CAPA4_RETAIL!CB14</f>
        <v>96995.937</v>
      </c>
      <c r="CC16" s="273" t="n">
        <f aca="false">SUP_CONTROL!$C$11*(CAPA1_PILOTO!CC25+CAPA1_PILOTO!CC26+CAPA1_PILOTO!CC27+CAPA1_PILOTO!CC37)+SUP_CONTROL!$C$12*(CAPA2_FLAGSHIP!CC20+CAPA2_FLAGSHIP!CC21+CAPA2_FLAGSHIP!CC19)+SUP_CONTROL!$C$13*(CAPA3_EXPANSION!CC22+CAPA3_EXPANSION!CC29+CAPA3_EXPANSION!CC30+CAPA3_EXPANSION!CC59)+SUP_CONTROL!$C$14*CAPA4_RETAIL!CC14</f>
        <v>104995.937</v>
      </c>
      <c r="CD16" s="273" t="n">
        <f aca="false">SUP_CONTROL!$C$11*(CAPA1_PILOTO!CD25+CAPA1_PILOTO!CD26+CAPA1_PILOTO!CD27+CAPA1_PILOTO!CD37)+SUP_CONTROL!$C$12*(CAPA2_FLAGSHIP!CD20+CAPA2_FLAGSHIP!CD21+CAPA2_FLAGSHIP!CD19)+SUP_CONTROL!$C$13*(CAPA3_EXPANSION!CD22+CAPA3_EXPANSION!CD29+CAPA3_EXPANSION!CD30+CAPA3_EXPANSION!CD59)+SUP_CONTROL!$C$14*CAPA4_RETAIL!CD14</f>
        <v>110995.937</v>
      </c>
      <c r="CE16" s="273" t="n">
        <f aca="false">SUP_CONTROL!$C$11*(CAPA1_PILOTO!CE25+CAPA1_PILOTO!CE26+CAPA1_PILOTO!CE27+CAPA1_PILOTO!CE37)+SUP_CONTROL!$C$12*(CAPA2_FLAGSHIP!CE20+CAPA2_FLAGSHIP!CE21+CAPA2_FLAGSHIP!CE19)+SUP_CONTROL!$C$13*(CAPA3_EXPANSION!CE22+CAPA3_EXPANSION!CE29+CAPA3_EXPANSION!CE30+CAPA3_EXPANSION!CE59)+SUP_CONTROL!$C$14*CAPA4_RETAIL!CE14</f>
        <v>152486.02225</v>
      </c>
      <c r="CF16" s="273" t="n">
        <f aca="false">SUP_CONTROL!$C$11*(CAPA1_PILOTO!CF25+CAPA1_PILOTO!CF26+CAPA1_PILOTO!CF27+CAPA1_PILOTO!CF37)+SUP_CONTROL!$C$12*(CAPA2_FLAGSHIP!CF20+CAPA2_FLAGSHIP!CF21+CAPA2_FLAGSHIP!CF19)+SUP_CONTROL!$C$13*(CAPA3_EXPANSION!CF22+CAPA3_EXPANSION!CF29+CAPA3_EXPANSION!CF30+CAPA3_EXPANSION!CF59)+SUP_CONTROL!$C$14*CAPA4_RETAIL!CF14</f>
        <v>103795.937</v>
      </c>
      <c r="CG16" s="273" t="n">
        <f aca="false">SUP_CONTROL!$C$11*(CAPA1_PILOTO!CG25+CAPA1_PILOTO!CG26+CAPA1_PILOTO!CG27+CAPA1_PILOTO!CG37)+SUP_CONTROL!$C$12*(CAPA2_FLAGSHIP!CG20+CAPA2_FLAGSHIP!CG21+CAPA2_FLAGSHIP!CG19)+SUP_CONTROL!$C$13*(CAPA3_EXPANSION!CG22+CAPA3_EXPANSION!CG29+CAPA3_EXPANSION!CG30+CAPA3_EXPANSION!CG59)+SUP_CONTROL!$C$14*CAPA4_RETAIL!CG14</f>
        <v>104995.937</v>
      </c>
      <c r="CH16" s="273" t="n">
        <f aca="false">SUP_CONTROL!$C$11*(CAPA1_PILOTO!CH25+CAPA1_PILOTO!CH26+CAPA1_PILOTO!CH27+CAPA1_PILOTO!CH37)+SUP_CONTROL!$C$12*(CAPA2_FLAGSHIP!CH20+CAPA2_FLAGSHIP!CH21+CAPA2_FLAGSHIP!CH19)+SUP_CONTROL!$C$13*(CAPA3_EXPANSION!CH22+CAPA3_EXPANSION!CH29+CAPA3_EXPANSION!CH30+CAPA3_EXPANSION!CH59)+SUP_CONTROL!$C$14*CAPA4_RETAIL!CH14</f>
        <v>585713.896</v>
      </c>
      <c r="CI16" s="273" t="n">
        <f aca="false">SUP_CONTROL!$C$11*(CAPA1_PILOTO!CI25+CAPA1_PILOTO!CI26+CAPA1_PILOTO!CI27+CAPA1_PILOTO!CI37)+SUP_CONTROL!$C$12*(CAPA2_FLAGSHIP!CI20+CAPA2_FLAGSHIP!CI21+CAPA2_FLAGSHIP!CI19)+SUP_CONTROL!$C$13*(CAPA3_EXPANSION!CI22+CAPA3_EXPANSION!CI29+CAPA3_EXPANSION!CI30+CAPA3_EXPANSION!CI59)+SUP_CONTROL!$C$14*CAPA4_RETAIL!CI14</f>
        <v>4800</v>
      </c>
      <c r="CJ16" s="273" t="n">
        <f aca="false">SUP_CONTROL!$C$11*(CAPA1_PILOTO!CJ25+CAPA1_PILOTO!CJ26+CAPA1_PILOTO!CJ27+CAPA1_PILOTO!CJ37)+SUP_CONTROL!$C$12*(CAPA2_FLAGSHIP!CJ20+CAPA2_FLAGSHIP!CJ21+CAPA2_FLAGSHIP!CJ19)+SUP_CONTROL!$C$13*(CAPA3_EXPANSION!CJ22+CAPA3_EXPANSION!CJ29+CAPA3_EXPANSION!CJ30+CAPA3_EXPANSION!CJ59)+SUP_CONTROL!$C$14*CAPA4_RETAIL!CJ14</f>
        <v>4800</v>
      </c>
      <c r="CK16" s="273" t="n">
        <f aca="false">SUP_CONTROL!$C$11*(CAPA1_PILOTO!CK25+CAPA1_PILOTO!CK26+CAPA1_PILOTO!CK27+CAPA1_PILOTO!CK37)+SUP_CONTROL!$C$12*(CAPA2_FLAGSHIP!CK20+CAPA2_FLAGSHIP!CK21+CAPA2_FLAGSHIP!CK19)+SUP_CONTROL!$C$13*(CAPA3_EXPANSION!CK22+CAPA3_EXPANSION!CK29+CAPA3_EXPANSION!CK30+CAPA3_EXPANSION!CK59)+SUP_CONTROL!$C$14*CAPA4_RETAIL!CK14</f>
        <v>-4000</v>
      </c>
      <c r="CL16" s="273" t="n">
        <f aca="false">SUP_CONTROL!$C$11*(CAPA1_PILOTO!CL25+CAPA1_PILOTO!CL26+CAPA1_PILOTO!CL27+CAPA1_PILOTO!CL37)+SUP_CONTROL!$C$12*(CAPA2_FLAGSHIP!CL20+CAPA2_FLAGSHIP!CL21+CAPA2_FLAGSHIP!CL19)+SUP_CONTROL!$C$13*(CAPA3_EXPANSION!CL22+CAPA3_EXPANSION!CL29+CAPA3_EXPANSION!CL30+CAPA3_EXPANSION!CL59)+SUP_CONTROL!$C$14*CAPA4_RETAIL!CL14</f>
        <v>-2000</v>
      </c>
      <c r="CM16" s="273" t="n">
        <f aca="false">SUP_CONTROL!$C$11*(CAPA1_PILOTO!CM25+CAPA1_PILOTO!CM26+CAPA1_PILOTO!CM27+CAPA1_PILOTO!CM37)+SUP_CONTROL!$C$12*(CAPA2_FLAGSHIP!CM20+CAPA2_FLAGSHIP!CM21+CAPA2_FLAGSHIP!CM19)+SUP_CONTROL!$C$13*(CAPA3_EXPANSION!CM22+CAPA3_EXPANSION!CM29+CAPA3_EXPANSION!CM30+CAPA3_EXPANSION!CM59)+SUP_CONTROL!$C$14*CAPA4_RETAIL!CM14</f>
        <v>0</v>
      </c>
      <c r="CN16" s="273" t="n">
        <f aca="false">SUP_CONTROL!$C$11*(CAPA1_PILOTO!CN25+CAPA1_PILOTO!CN26+CAPA1_PILOTO!CN27+CAPA1_PILOTO!CN37)+SUP_CONTROL!$C$12*(CAPA2_FLAGSHIP!CN20+CAPA2_FLAGSHIP!CN21+CAPA2_FLAGSHIP!CN19)+SUP_CONTROL!$C$13*(CAPA3_EXPANSION!CN22+CAPA3_EXPANSION!CN29+CAPA3_EXPANSION!CN30+CAPA3_EXPANSION!CN59)+SUP_CONTROL!$C$14*CAPA4_RETAIL!CN14</f>
        <v>0</v>
      </c>
      <c r="CO16" s="273" t="n">
        <f aca="false">SUP_CONTROL!$C$11*(CAPA1_PILOTO!CO25+CAPA1_PILOTO!CO26+CAPA1_PILOTO!CO27+CAPA1_PILOTO!CO37)+SUP_CONTROL!$C$12*(CAPA2_FLAGSHIP!CO20+CAPA2_FLAGSHIP!CO21+CAPA2_FLAGSHIP!CO19)+SUP_CONTROL!$C$13*(CAPA3_EXPANSION!CO22+CAPA3_EXPANSION!CO29+CAPA3_EXPANSION!CO30+CAPA3_EXPANSION!CO59)+SUP_CONTROL!$C$14*CAPA4_RETAIL!CO14</f>
        <v>0</v>
      </c>
      <c r="CP16" s="273" t="n">
        <f aca="false">SUP_CONTROL!$C$11*(CAPA1_PILOTO!CP25+CAPA1_PILOTO!CP26+CAPA1_PILOTO!CP27+CAPA1_PILOTO!CP37)+SUP_CONTROL!$C$12*(CAPA2_FLAGSHIP!CP20+CAPA2_FLAGSHIP!CP21+CAPA2_FLAGSHIP!CP19)+SUP_CONTROL!$C$13*(CAPA3_EXPANSION!CP22+CAPA3_EXPANSION!CP29+CAPA3_EXPANSION!CP30+CAPA3_EXPANSION!CP59)+SUP_CONTROL!$C$14*CAPA4_RETAIL!CP14</f>
        <v>0</v>
      </c>
      <c r="CQ16" s="273" t="n">
        <f aca="false">SUP_CONTROL!$C$11*(CAPA1_PILOTO!CQ25+CAPA1_PILOTO!CQ26+CAPA1_PILOTO!CQ27+CAPA1_PILOTO!CQ37)+SUP_CONTROL!$C$12*(CAPA2_FLAGSHIP!CQ20+CAPA2_FLAGSHIP!CQ21+CAPA2_FLAGSHIP!CQ19)+SUP_CONTROL!$C$13*(CAPA3_EXPANSION!CQ22+CAPA3_EXPANSION!CQ29+CAPA3_EXPANSION!CQ30+CAPA3_EXPANSION!CQ59)+SUP_CONTROL!$C$14*CAPA4_RETAIL!CQ14</f>
        <v>0</v>
      </c>
      <c r="CR16" s="273" t="n">
        <f aca="false">SUP_CONTROL!$C$11*(CAPA1_PILOTO!CR25+CAPA1_PILOTO!CR26+CAPA1_PILOTO!CR27+CAPA1_PILOTO!CR37)+SUP_CONTROL!$C$12*(CAPA2_FLAGSHIP!CR20+CAPA2_FLAGSHIP!CR21+CAPA2_FLAGSHIP!CR19)+SUP_CONTROL!$C$13*(CAPA3_EXPANSION!CR22+CAPA3_EXPANSION!CR29+CAPA3_EXPANSION!CR30+CAPA3_EXPANSION!CR59)+SUP_CONTROL!$C$14*CAPA4_RETAIL!CR14</f>
        <v>0</v>
      </c>
      <c r="CS16" s="273" t="n">
        <f aca="false">SUP_CONTROL!$C$11*(CAPA1_PILOTO!CS25+CAPA1_PILOTO!CS26+CAPA1_PILOTO!CS27+CAPA1_PILOTO!CS37)+SUP_CONTROL!$C$12*(CAPA2_FLAGSHIP!CS20+CAPA2_FLAGSHIP!CS21+CAPA2_FLAGSHIP!CS19)+SUP_CONTROL!$C$13*(CAPA3_EXPANSION!CS22+CAPA3_EXPANSION!CS29+CAPA3_EXPANSION!CS30+CAPA3_EXPANSION!CS59)+SUP_CONTROL!$C$14*CAPA4_RETAIL!CS14</f>
        <v>0</v>
      </c>
      <c r="CT16" s="273" t="n">
        <f aca="false">SUP_CONTROL!$C$11*(CAPA1_PILOTO!CT25+CAPA1_PILOTO!CT26+CAPA1_PILOTO!CT27+CAPA1_PILOTO!CT37)+SUP_CONTROL!$C$12*(CAPA2_FLAGSHIP!CT20+CAPA2_FLAGSHIP!CT21+CAPA2_FLAGSHIP!CT19)+SUP_CONTROL!$C$13*(CAPA3_EXPANSION!CT22+CAPA3_EXPANSION!CT29+CAPA3_EXPANSION!CT30+CAPA3_EXPANSION!CT59)+SUP_CONTROL!$C$14*CAPA4_RETAIL!CT14</f>
        <v>0</v>
      </c>
      <c r="CU16" s="273" t="n">
        <f aca="false">SUP_CONTROL!$C$11*(CAPA1_PILOTO!CU25+CAPA1_PILOTO!CU26+CAPA1_PILOTO!CU27+CAPA1_PILOTO!CU37)+SUP_CONTROL!$C$12*(CAPA2_FLAGSHIP!CU20+CAPA2_FLAGSHIP!CU21+CAPA2_FLAGSHIP!CU19)+SUP_CONTROL!$C$13*(CAPA3_EXPANSION!CU22+CAPA3_EXPANSION!CU29+CAPA3_EXPANSION!CU30+CAPA3_EXPANSION!CU59)+SUP_CONTROL!$C$14*CAPA4_RETAIL!CU14</f>
        <v>0</v>
      </c>
      <c r="CV16" s="273" t="n">
        <f aca="false">SUP_CONTROL!$C$11*(CAPA1_PILOTO!CV25+CAPA1_PILOTO!CV26+CAPA1_PILOTO!CV27+CAPA1_PILOTO!CV37)+SUP_CONTROL!$C$12*(CAPA2_FLAGSHIP!CV20+CAPA2_FLAGSHIP!CV21+CAPA2_FLAGSHIP!CV19)+SUP_CONTROL!$C$13*(CAPA3_EXPANSION!CV22+CAPA3_EXPANSION!CV29+CAPA3_EXPANSION!CV30+CAPA3_EXPANSION!CV59)+SUP_CONTROL!$C$14*CAPA4_RETAIL!CV14</f>
        <v>0</v>
      </c>
      <c r="CW16" s="273" t="n">
        <f aca="false">SUP_CONTROL!$C$11*(CAPA1_PILOTO!CW25+CAPA1_PILOTO!CW26+CAPA1_PILOTO!CW27+CAPA1_PILOTO!CW37)+SUP_CONTROL!$C$12*(CAPA2_FLAGSHIP!CW20+CAPA2_FLAGSHIP!CW21+CAPA2_FLAGSHIP!CW19)+SUP_CONTROL!$C$13*(CAPA3_EXPANSION!CW22+CAPA3_EXPANSION!CW29+CAPA3_EXPANSION!CW30+CAPA3_EXPANSION!CW59)+SUP_CONTROL!$C$14*CAPA4_RETAIL!CW14</f>
        <v>0</v>
      </c>
      <c r="CX16" s="273" t="n">
        <f aca="false">SUP_CONTROL!$C$11*(CAPA1_PILOTO!CX25+CAPA1_PILOTO!CX26+CAPA1_PILOTO!CX27+CAPA1_PILOTO!CX37)+SUP_CONTROL!$C$12*(CAPA2_FLAGSHIP!CX20+CAPA2_FLAGSHIP!CX21+CAPA2_FLAGSHIP!CX19)+SUP_CONTROL!$C$13*(CAPA3_EXPANSION!CX22+CAPA3_EXPANSION!CX29+CAPA3_EXPANSION!CX30+CAPA3_EXPANSION!CX59)+SUP_CONTROL!$C$14*CAPA4_RETAIL!CX14</f>
        <v>0</v>
      </c>
      <c r="CY16" s="273" t="n">
        <f aca="false">SUP_CONTROL!$C$11*(CAPA1_PILOTO!CY25+CAPA1_PILOTO!CY26+CAPA1_PILOTO!CY27+CAPA1_PILOTO!CY37)+SUP_CONTROL!$C$12*(CAPA2_FLAGSHIP!CY20+CAPA2_FLAGSHIP!CY21+CAPA2_FLAGSHIP!CY19)+SUP_CONTROL!$C$13*(CAPA3_EXPANSION!CY22+CAPA3_EXPANSION!CY29+CAPA3_EXPANSION!CY30+CAPA3_EXPANSION!CY59)+SUP_CONTROL!$C$14*CAPA4_RETAIL!CY14</f>
        <v>0</v>
      </c>
      <c r="CZ16" s="273" t="n">
        <f aca="false">SUP_CONTROL!$C$11*(CAPA1_PILOTO!CZ25+CAPA1_PILOTO!CZ26+CAPA1_PILOTO!CZ27+CAPA1_PILOTO!CZ37)+SUP_CONTROL!$C$12*(CAPA2_FLAGSHIP!CZ20+CAPA2_FLAGSHIP!CZ21+CAPA2_FLAGSHIP!CZ19)+SUP_CONTROL!$C$13*(CAPA3_EXPANSION!CZ22+CAPA3_EXPANSION!CZ29+CAPA3_EXPANSION!CZ30+CAPA3_EXPANSION!CZ59)+SUP_CONTROL!$C$14*CAPA4_RETAIL!CZ14</f>
        <v>0</v>
      </c>
      <c r="DA16" s="273" t="n">
        <f aca="false">SUP_CONTROL!$C$11*(CAPA1_PILOTO!DA25+CAPA1_PILOTO!DA26+CAPA1_PILOTO!DA27+CAPA1_PILOTO!DA37)+SUP_CONTROL!$C$12*(CAPA2_FLAGSHIP!DA20+CAPA2_FLAGSHIP!DA21+CAPA2_FLAGSHIP!DA19)+SUP_CONTROL!$C$13*(CAPA3_EXPANSION!DA22+CAPA3_EXPANSION!DA29+CAPA3_EXPANSION!DA30+CAPA3_EXPANSION!DA59)+SUP_CONTROL!$C$14*CAPA4_RETAIL!DA14</f>
        <v>0</v>
      </c>
      <c r="DB16" s="273" t="n">
        <f aca="false">SUP_CONTROL!$C$11*(CAPA1_PILOTO!DB25+CAPA1_PILOTO!DB26+CAPA1_PILOTO!DB27+CAPA1_PILOTO!DB37)+SUP_CONTROL!$C$12*(CAPA2_FLAGSHIP!DB20+CAPA2_FLAGSHIP!DB21+CAPA2_FLAGSHIP!DB19)+SUP_CONTROL!$C$13*(CAPA3_EXPANSION!DB22+CAPA3_EXPANSION!DB29+CAPA3_EXPANSION!DB30+CAPA3_EXPANSION!DB59)+SUP_CONTROL!$C$14*CAPA4_RETAIL!DB14</f>
        <v>0</v>
      </c>
      <c r="DC16" s="273" t="n">
        <f aca="false">SUP_CONTROL!$C$11*(CAPA1_PILOTO!DC25+CAPA1_PILOTO!DC26+CAPA1_PILOTO!DC27+CAPA1_PILOTO!DC37)+SUP_CONTROL!$C$12*(CAPA2_FLAGSHIP!DC20+CAPA2_FLAGSHIP!DC21+CAPA2_FLAGSHIP!DC19)+SUP_CONTROL!$C$13*(CAPA3_EXPANSION!DC22+CAPA3_EXPANSION!DC29+CAPA3_EXPANSION!DC30+CAPA3_EXPANSION!DC59)+SUP_CONTROL!$C$14*CAPA4_RETAIL!DC14</f>
        <v>0</v>
      </c>
      <c r="DD16" s="273" t="n">
        <f aca="false">SUP_CONTROL!$C$11*(CAPA1_PILOTO!DD25+CAPA1_PILOTO!DD26+CAPA1_PILOTO!DD27+CAPA1_PILOTO!DD37)+SUP_CONTROL!$C$12*(CAPA2_FLAGSHIP!DD20+CAPA2_FLAGSHIP!DD21+CAPA2_FLAGSHIP!DD19)+SUP_CONTROL!$C$13*(CAPA3_EXPANSION!DD22+CAPA3_EXPANSION!DD29+CAPA3_EXPANSION!DD30+CAPA3_EXPANSION!DD59)+SUP_CONTROL!$C$14*CAPA4_RETAIL!DD14</f>
        <v>0</v>
      </c>
      <c r="DE16" s="273" t="n">
        <f aca="false">SUP_CONTROL!$C$11*(CAPA1_PILOTO!DE25+CAPA1_PILOTO!DE26+CAPA1_PILOTO!DE27+CAPA1_PILOTO!DE37)+SUP_CONTROL!$C$12*(CAPA2_FLAGSHIP!DE20+CAPA2_FLAGSHIP!DE21+CAPA2_FLAGSHIP!DE19)+SUP_CONTROL!$C$13*(CAPA3_EXPANSION!DE22+CAPA3_EXPANSION!DE29+CAPA3_EXPANSION!DE30+CAPA3_EXPANSION!DE59)+SUP_CONTROL!$C$14*CAPA4_RETAIL!DE14</f>
        <v>0</v>
      </c>
      <c r="DF16" s="273" t="n">
        <f aca="false">SUP_CONTROL!$C$11*(CAPA1_PILOTO!DF25+CAPA1_PILOTO!DF26+CAPA1_PILOTO!DF27+CAPA1_PILOTO!DF37)+SUP_CONTROL!$C$12*(CAPA2_FLAGSHIP!DF20+CAPA2_FLAGSHIP!DF21+CAPA2_FLAGSHIP!DF19)+SUP_CONTROL!$C$13*(CAPA3_EXPANSION!DF22+CAPA3_EXPANSION!DF29+CAPA3_EXPANSION!DF30+CAPA3_EXPANSION!DF59)+SUP_CONTROL!$C$14*CAPA4_RETAIL!DF14</f>
        <v>0</v>
      </c>
      <c r="DG16" s="273" t="n">
        <f aca="false">SUP_CONTROL!$C$11*(CAPA1_PILOTO!DG25+CAPA1_PILOTO!DG26+CAPA1_PILOTO!DG27+CAPA1_PILOTO!DG37)+SUP_CONTROL!$C$12*(CAPA2_FLAGSHIP!DG20+CAPA2_FLAGSHIP!DG21+CAPA2_FLAGSHIP!DG19)+SUP_CONTROL!$C$13*(CAPA3_EXPANSION!DG22+CAPA3_EXPANSION!DG29+CAPA3_EXPANSION!DG30+CAPA3_EXPANSION!DG59)+SUP_CONTROL!$C$14*CAPA4_RETAIL!DG14</f>
        <v>0</v>
      </c>
      <c r="DH16" s="273" t="n">
        <f aca="false">SUP_CONTROL!$C$11*(CAPA1_PILOTO!DH25+CAPA1_PILOTO!DH26+CAPA1_PILOTO!DH27+CAPA1_PILOTO!DH37)+SUP_CONTROL!$C$12*(CAPA2_FLAGSHIP!DH20+CAPA2_FLAGSHIP!DH21+CAPA2_FLAGSHIP!DH19)+SUP_CONTROL!$C$13*(CAPA3_EXPANSION!DH22+CAPA3_EXPANSION!DH29+CAPA3_EXPANSION!DH30+CAPA3_EXPANSION!DH59)+SUP_CONTROL!$C$14*CAPA4_RETAIL!DH14</f>
        <v>0</v>
      </c>
      <c r="DI16" s="273" t="n">
        <f aca="false">SUP_CONTROL!$C$11*(CAPA1_PILOTO!DI25+CAPA1_PILOTO!DI26+CAPA1_PILOTO!DI27+CAPA1_PILOTO!DI37)+SUP_CONTROL!$C$12*(CAPA2_FLAGSHIP!DI20+CAPA2_FLAGSHIP!DI21+CAPA2_FLAGSHIP!DI19)+SUP_CONTROL!$C$13*(CAPA3_EXPANSION!DI22+CAPA3_EXPANSION!DI29+CAPA3_EXPANSION!DI30+CAPA3_EXPANSION!DI59)+SUP_CONTROL!$C$14*CAPA4_RETAIL!DI14</f>
        <v>0</v>
      </c>
      <c r="DJ16" s="273" t="n">
        <f aca="false">SUP_CONTROL!$C$11*(CAPA1_PILOTO!DJ25+CAPA1_PILOTO!DJ26+CAPA1_PILOTO!DJ27+CAPA1_PILOTO!DJ37)+SUP_CONTROL!$C$12*(CAPA2_FLAGSHIP!DJ20+CAPA2_FLAGSHIP!DJ21+CAPA2_FLAGSHIP!DJ19)+SUP_CONTROL!$C$13*(CAPA3_EXPANSION!DJ22+CAPA3_EXPANSION!DJ29+CAPA3_EXPANSION!DJ30+CAPA3_EXPANSION!DJ59)+SUP_CONTROL!$C$14*CAPA4_RETAIL!DJ14</f>
        <v>0</v>
      </c>
      <c r="DK16" s="273" t="n">
        <f aca="false">SUP_CONTROL!$C$11*(CAPA1_PILOTO!DK25+CAPA1_PILOTO!DK26+CAPA1_PILOTO!DK27+CAPA1_PILOTO!DK37)+SUP_CONTROL!$C$12*(CAPA2_FLAGSHIP!DK20+CAPA2_FLAGSHIP!DK21+CAPA2_FLAGSHIP!DK19)+SUP_CONTROL!$C$13*(CAPA3_EXPANSION!DK22+CAPA3_EXPANSION!DK29+CAPA3_EXPANSION!DK30+CAPA3_EXPANSION!DK59)+SUP_CONTROL!$C$14*CAPA4_RETAIL!DK14</f>
        <v>0</v>
      </c>
      <c r="DL16" s="273" t="n">
        <f aca="false">SUP_CONTROL!$C$11*(CAPA1_PILOTO!DL25+CAPA1_PILOTO!DL26+CAPA1_PILOTO!DL27+CAPA1_PILOTO!DL37)+SUP_CONTROL!$C$12*(CAPA2_FLAGSHIP!DL20+CAPA2_FLAGSHIP!DL21+CAPA2_FLAGSHIP!DL19)+SUP_CONTROL!$C$13*(CAPA3_EXPANSION!DL22+CAPA3_EXPANSION!DL29+CAPA3_EXPANSION!DL30+CAPA3_EXPANSION!DL59)+SUP_CONTROL!$C$14*CAPA4_RETAIL!DL14</f>
        <v>0</v>
      </c>
      <c r="DM16" s="273" t="n">
        <f aca="false">SUP_CONTROL!$C$11*(CAPA1_PILOTO!DM25+CAPA1_PILOTO!DM26+CAPA1_PILOTO!DM27+CAPA1_PILOTO!DM37)+SUP_CONTROL!$C$12*(CAPA2_FLAGSHIP!DM20+CAPA2_FLAGSHIP!DM21+CAPA2_FLAGSHIP!DM19)+SUP_CONTROL!$C$13*(CAPA3_EXPANSION!DM22+CAPA3_EXPANSION!DM29+CAPA3_EXPANSION!DM30+CAPA3_EXPANSION!DM59)+SUP_CONTROL!$C$14*CAPA4_RETAIL!DM14</f>
        <v>0</v>
      </c>
      <c r="DN16" s="273" t="n">
        <f aca="false">SUP_CONTROL!$C$11*(CAPA1_PILOTO!DN25+CAPA1_PILOTO!DN26+CAPA1_PILOTO!DN27+CAPA1_PILOTO!DN37)+SUP_CONTROL!$C$12*(CAPA2_FLAGSHIP!DN20+CAPA2_FLAGSHIP!DN21+CAPA2_FLAGSHIP!DN19)+SUP_CONTROL!$C$13*(CAPA3_EXPANSION!DN22+CAPA3_EXPANSION!DN29+CAPA3_EXPANSION!DN30+CAPA3_EXPANSION!DN59)+SUP_CONTROL!$C$14*CAPA4_RETAIL!DN14</f>
        <v>0</v>
      </c>
      <c r="DO16" s="273" t="n">
        <f aca="false">SUP_CONTROL!$C$11*(CAPA1_PILOTO!DO25+CAPA1_PILOTO!DO26+CAPA1_PILOTO!DO27+CAPA1_PILOTO!DO37)+SUP_CONTROL!$C$12*(CAPA2_FLAGSHIP!DO20+CAPA2_FLAGSHIP!DO21+CAPA2_FLAGSHIP!DO19)+SUP_CONTROL!$C$13*(CAPA3_EXPANSION!DO22+CAPA3_EXPANSION!DO29+CAPA3_EXPANSION!DO30+CAPA3_EXPANSION!DO59)+SUP_CONTROL!$C$14*CAPA4_RETAIL!DO14</f>
        <v>0</v>
      </c>
      <c r="DP16" s="273" t="n">
        <f aca="false">SUP_CONTROL!$C$11*(CAPA1_PILOTO!DP25+CAPA1_PILOTO!DP26+CAPA1_PILOTO!DP27+CAPA1_PILOTO!DP37)+SUP_CONTROL!$C$12*(CAPA2_FLAGSHIP!DP20+CAPA2_FLAGSHIP!DP21+CAPA2_FLAGSHIP!DP19)+SUP_CONTROL!$C$13*(CAPA3_EXPANSION!DP22+CAPA3_EXPANSION!DP29+CAPA3_EXPANSION!DP30+CAPA3_EXPANSION!DP59)+SUP_CONTROL!$C$14*CAPA4_RETAIL!DP14</f>
        <v>0</v>
      </c>
      <c r="DQ16" s="273" t="n">
        <f aca="false">SUP_CONTROL!$C$11*(CAPA1_PILOTO!DQ25+CAPA1_PILOTO!DQ26+CAPA1_PILOTO!DQ27+CAPA1_PILOTO!DQ37)+SUP_CONTROL!$C$12*(CAPA2_FLAGSHIP!DQ20+CAPA2_FLAGSHIP!DQ21+CAPA2_FLAGSHIP!DQ19)+SUP_CONTROL!$C$13*(CAPA3_EXPANSION!DQ22+CAPA3_EXPANSION!DQ29+CAPA3_EXPANSION!DQ30+CAPA3_EXPANSION!DQ59)+SUP_CONTROL!$C$14*CAPA4_RETAIL!DQ14</f>
        <v>0</v>
      </c>
      <c r="DR16" s="273" t="n">
        <f aca="false">SUP_CONTROL!$C$11*(CAPA1_PILOTO!DR25+CAPA1_PILOTO!DR26+CAPA1_PILOTO!DR27+CAPA1_PILOTO!DR37)+SUP_CONTROL!$C$12*(CAPA2_FLAGSHIP!DR20+CAPA2_FLAGSHIP!DR21+CAPA2_FLAGSHIP!DR19)+SUP_CONTROL!$C$13*(CAPA3_EXPANSION!DR22+CAPA3_EXPANSION!DR29+CAPA3_EXPANSION!DR30+CAPA3_EXPANSION!DR59)+SUP_CONTROL!$C$14*CAPA4_RETAIL!DR14</f>
        <v>0</v>
      </c>
      <c r="DS16" s="273" t="n">
        <f aca="false">SUP_CONTROL!$C$11*(CAPA1_PILOTO!DS25+CAPA1_PILOTO!DS26+CAPA1_PILOTO!DS27+CAPA1_PILOTO!DS37)+SUP_CONTROL!$C$12*(CAPA2_FLAGSHIP!DS20+CAPA2_FLAGSHIP!DS21+CAPA2_FLAGSHIP!DS19)+SUP_CONTROL!$C$13*(CAPA3_EXPANSION!DS22+CAPA3_EXPANSION!DS29+CAPA3_EXPANSION!DS30+CAPA3_EXPANSION!DS59)+SUP_CONTROL!$C$14*CAPA4_RETAIL!DS14</f>
        <v>0</v>
      </c>
    </row>
    <row r="17" customFormat="false" ht="15" hidden="false" customHeight="true" outlineLevel="0" collapsed="false">
      <c r="B17" s="297" t="s">
        <v>3623</v>
      </c>
      <c r="D17" s="316" t="n">
        <f aca="false">PROD_DEMANDA!D11</f>
        <v>0</v>
      </c>
      <c r="E17" s="316" t="n">
        <f aca="false">PROD_DEMANDA!E11</f>
        <v>0</v>
      </c>
      <c r="F17" s="316" t="n">
        <f aca="false">PROD_DEMANDA!F11</f>
        <v>0</v>
      </c>
      <c r="G17" s="316" t="n">
        <f aca="false">PROD_DEMANDA!G11</f>
        <v>9.702</v>
      </c>
      <c r="H17" s="316" t="n">
        <f aca="false">PROD_DEMANDA!H11</f>
        <v>21.483</v>
      </c>
      <c r="I17" s="316" t="n">
        <f aca="false">PROD_DEMANDA!I11</f>
        <v>35.343</v>
      </c>
      <c r="J17" s="316" t="n">
        <f aca="false">PROD_DEMANDA!J11</f>
        <v>50.6583</v>
      </c>
      <c r="K17" s="316" t="n">
        <f aca="false">PROD_DEMANDA!K11</f>
        <v>67.74075</v>
      </c>
      <c r="L17" s="316" t="n">
        <f aca="false">PROD_DEMANDA!L11</f>
        <v>72.8343</v>
      </c>
      <c r="M17" s="316" t="n">
        <f aca="false">PROD_DEMANDA!M11</f>
        <v>75.537</v>
      </c>
      <c r="N17" s="316" t="n">
        <f aca="false">PROD_DEMANDA!N11</f>
        <v>75.537</v>
      </c>
      <c r="O17" s="316" t="n">
        <f aca="false">PROD_DEMANDA!O11</f>
        <v>75.537</v>
      </c>
      <c r="P17" s="316" t="n">
        <f aca="false">PROD_DEMANDA!P11</f>
        <v>75.537</v>
      </c>
      <c r="Q17" s="316" t="n">
        <f aca="false">PROD_DEMANDA!Q11</f>
        <v>75.537</v>
      </c>
      <c r="R17" s="316" t="n">
        <f aca="false">PROD_DEMANDA!R11</f>
        <v>75.537</v>
      </c>
      <c r="S17" s="316" t="n">
        <f aca="false">PROD_DEMANDA!S11</f>
        <v>75.537</v>
      </c>
      <c r="T17" s="316" t="n">
        <f aca="false">PROD_DEMANDA!T11</f>
        <v>75.537</v>
      </c>
      <c r="U17" s="316" t="n">
        <f aca="false">PROD_DEMANDA!U11</f>
        <v>75.537</v>
      </c>
      <c r="V17" s="316" t="n">
        <f aca="false">PROD_DEMANDA!V11</f>
        <v>80.0415</v>
      </c>
      <c r="W17" s="316" t="n">
        <f aca="false">PROD_DEMANDA!W11</f>
        <v>85.5855</v>
      </c>
      <c r="X17" s="316" t="n">
        <f aca="false">PROD_DEMANDA!X11</f>
        <v>87.318</v>
      </c>
      <c r="Y17" s="316" t="n">
        <f aca="false">PROD_DEMANDA!Y11</f>
        <v>93.2085</v>
      </c>
      <c r="Z17" s="316" t="n">
        <f aca="false">PROD_DEMANDA!Z11</f>
        <v>94.941</v>
      </c>
      <c r="AA17" s="316" t="n">
        <f aca="false">PROD_DEMANDA!AA11</f>
        <v>95.634</v>
      </c>
      <c r="AB17" s="316" t="n">
        <f aca="false">PROD_DEMANDA!AB11</f>
        <v>96.327</v>
      </c>
      <c r="AC17" s="316" t="n">
        <f aca="false">PROD_DEMANDA!AC11</f>
        <v>96.327</v>
      </c>
      <c r="AD17" s="316" t="n">
        <f aca="false">PROD_DEMANDA!AD11</f>
        <v>96.327</v>
      </c>
      <c r="AE17" s="316" t="n">
        <f aca="false">PROD_DEMANDA!AE11</f>
        <v>96.327</v>
      </c>
      <c r="AF17" s="316" t="n">
        <f aca="false">PROD_DEMANDA!AF11</f>
        <v>96.327</v>
      </c>
      <c r="AG17" s="316" t="n">
        <f aca="false">PROD_DEMANDA!AG11</f>
        <v>95.7033</v>
      </c>
      <c r="AH17" s="316" t="n">
        <f aca="false">PROD_DEMANDA!AH11</f>
        <v>95.7033</v>
      </c>
      <c r="AI17" s="316" t="n">
        <f aca="false">PROD_DEMANDA!AI11</f>
        <v>101.3834745</v>
      </c>
      <c r="AJ17" s="316" t="n">
        <f aca="false">PROD_DEMANDA!AJ11</f>
        <v>107.063649</v>
      </c>
      <c r="AK17" s="316" t="n">
        <f aca="false">PROD_DEMANDA!AK11</f>
        <v>108.945837</v>
      </c>
      <c r="AL17" s="316" t="n">
        <f aca="false">PROD_DEMANDA!AL11</f>
        <v>114.861285</v>
      </c>
      <c r="AM17" s="316" t="n">
        <f aca="false">PROD_DEMANDA!AM11</f>
        <v>116.54181</v>
      </c>
      <c r="AN17" s="316" t="n">
        <f aca="false">PROD_DEMANDA!AN11</f>
        <v>121.583385</v>
      </c>
      <c r="AO17" s="316" t="n">
        <f aca="false">PROD_DEMANDA!AO11</f>
        <v>123.26391</v>
      </c>
      <c r="AP17" s="316" t="n">
        <f aca="false">PROD_DEMANDA!AP11</f>
        <v>122.68872</v>
      </c>
      <c r="AQ17" s="316" t="n">
        <f aca="false">PROD_DEMANDA!AQ11</f>
        <v>128.87738325</v>
      </c>
      <c r="AR17" s="316" t="n">
        <f aca="false">PROD_DEMANDA!AR11</f>
        <v>134.4111615</v>
      </c>
      <c r="AS17" s="316" t="n">
        <f aca="false">PROD_DEMANDA!AS11</f>
        <v>140.501592</v>
      </c>
      <c r="AT17" s="316" t="n">
        <f aca="false">PROD_DEMANDA!AT11</f>
        <v>147.2469075</v>
      </c>
      <c r="AU17" s="316" t="n">
        <f aca="false">PROD_DEMANDA!AU11</f>
        <v>149.539005</v>
      </c>
      <c r="AV17" s="316" t="n">
        <f aca="false">PROD_DEMANDA!AV11</f>
        <v>150.848775</v>
      </c>
      <c r="AW17" s="316" t="n">
        <f aca="false">PROD_DEMANDA!AW11</f>
        <v>157.03743825</v>
      </c>
      <c r="AX17" s="316" t="n">
        <f aca="false">PROD_DEMANDA!AX11</f>
        <v>158.314464</v>
      </c>
      <c r="AY17" s="316" t="n">
        <f aca="false">PROD_DEMANDA!AY11</f>
        <v>163.422567</v>
      </c>
      <c r="AZ17" s="316" t="n">
        <f aca="false">PROD_DEMANDA!AZ11</f>
        <v>169.5129975</v>
      </c>
      <c r="BA17" s="316" t="n">
        <f aca="false">PROD_DEMANDA!BA11</f>
        <v>171.15021</v>
      </c>
      <c r="BB17" s="316" t="n">
        <f aca="false">PROD_DEMANDA!BB11</f>
        <v>172.45998</v>
      </c>
      <c r="BC17" s="316" t="n">
        <f aca="false">PROD_DEMANDA!BC11</f>
        <v>173.114865</v>
      </c>
      <c r="BD17" s="316" t="n">
        <f aca="false">PROD_DEMANDA!BD11</f>
        <v>173.114865</v>
      </c>
      <c r="BE17" s="316" t="n">
        <f aca="false">PROD_DEMANDA!BE11</f>
        <v>173.114865</v>
      </c>
      <c r="BF17" s="316" t="n">
        <f aca="false">PROD_DEMANDA!BF11</f>
        <v>170.53344</v>
      </c>
      <c r="BG17" s="316" t="n">
        <f aca="false">PROD_DEMANDA!BG11</f>
        <v>170.53344</v>
      </c>
      <c r="BH17" s="316" t="n">
        <f aca="false">PROD_DEMANDA!BH11</f>
        <v>170.53344</v>
      </c>
      <c r="BI17" s="316" t="n">
        <f aca="false">PROD_DEMANDA!BI11</f>
        <v>178.82172</v>
      </c>
      <c r="BJ17" s="316" t="n">
        <f aca="false">PROD_DEMANDA!BJ11</f>
        <v>184.87854</v>
      </c>
      <c r="BK17" s="316" t="n">
        <f aca="false">PROD_DEMANDA!BK11</f>
        <v>189.954765</v>
      </c>
      <c r="BL17" s="316" t="n">
        <f aca="false">PROD_DEMANDA!BL11</f>
        <v>197.09613</v>
      </c>
      <c r="BM17" s="316" t="n">
        <f aca="false">PROD_DEMANDA!BM11</f>
        <v>203.52024</v>
      </c>
      <c r="BN17" s="316" t="n">
        <f aca="false">PROD_DEMANDA!BN11</f>
        <v>209.94435</v>
      </c>
      <c r="BO17" s="316" t="n">
        <f aca="false">PROD_DEMANDA!BO11</f>
        <v>212.1273</v>
      </c>
      <c r="BP17" s="316" t="n">
        <f aca="false">PROD_DEMANDA!BP11</f>
        <v>218.644965</v>
      </c>
      <c r="BQ17" s="316" t="n">
        <f aca="false">PROD_DEMANDA!BQ11</f>
        <v>221.227776</v>
      </c>
      <c r="BR17" s="316" t="n">
        <f aca="false">PROD_DEMANDA!BR11</f>
        <v>226.899288</v>
      </c>
      <c r="BS17" s="316" t="n">
        <f aca="false">PROD_DEMANDA!BS11</f>
        <v>233.18064</v>
      </c>
      <c r="BT17" s="316" t="n">
        <f aca="false">PROD_DEMANDA!BT11</f>
        <v>240.468228</v>
      </c>
      <c r="BU17" s="316" t="n">
        <f aca="false">PROD_DEMANDA!BU11</f>
        <v>246.841056</v>
      </c>
      <c r="BV17" s="316" t="n">
        <f aca="false">PROD_DEMANDA!BV11</f>
        <v>253.122408</v>
      </c>
      <c r="BW17" s="316" t="n">
        <f aca="false">PROD_DEMANDA!BW11</f>
        <v>256.2696675</v>
      </c>
      <c r="BX17" s="316" t="n">
        <f aca="false">PROD_DEMANDA!BX11</f>
        <v>263.43303525</v>
      </c>
      <c r="BY17" s="316" t="n">
        <f aca="false">PROD_DEMANDA!BY11</f>
        <v>265.800843</v>
      </c>
      <c r="BZ17" s="316" t="n">
        <f aca="false">PROD_DEMANDA!BZ11</f>
        <v>274.9723515</v>
      </c>
      <c r="CA17" s="316" t="n">
        <f aca="false">PROD_DEMANDA!CA11</f>
        <v>281.4463575</v>
      </c>
      <c r="CB17" s="316" t="n">
        <f aca="false">PROD_DEMANDA!CB11</f>
        <v>283.766175</v>
      </c>
      <c r="CC17" s="316" t="n">
        <f aca="false">PROD_DEMANDA!CC11</f>
        <v>290.245725</v>
      </c>
      <c r="CD17" s="316" t="n">
        <f aca="false">PROD_DEMANDA!CD11</f>
        <v>297.2848725</v>
      </c>
      <c r="CE17" s="316" t="n">
        <f aca="false">PROD_DEMANDA!CE11</f>
        <v>303.440445</v>
      </c>
      <c r="CF17" s="316" t="n">
        <f aca="false">PROD_DEMANDA!CF11</f>
        <v>309.50766</v>
      </c>
      <c r="CG17" s="316" t="n">
        <f aca="false">PROD_DEMANDA!CG11</f>
        <v>316.53468</v>
      </c>
      <c r="CH17" s="316" t="n">
        <f aca="false">PROD_DEMANDA!CH11</f>
        <v>324.364194</v>
      </c>
      <c r="CI17" s="316" t="n">
        <f aca="false">PROD_DEMANDA!CI11</f>
        <v>331.029468</v>
      </c>
      <c r="CJ17" s="316" t="n">
        <f aca="false">PROD_DEMANDA!CJ11</f>
        <v>333.823644</v>
      </c>
      <c r="CK17" s="316" t="n">
        <f aca="false">PROD_DEMANDA!CK11</f>
        <v>335.16252</v>
      </c>
      <c r="CL17" s="316" t="n">
        <f aca="false">PROD_DEMANDA!CL11</f>
        <v>335.74464</v>
      </c>
      <c r="CM17" s="316" t="n">
        <f aca="false">PROD_DEMANDA!CM11</f>
        <v>335.74464</v>
      </c>
      <c r="CN17" s="316" t="n">
        <f aca="false">PROD_DEMANDA!CN11</f>
        <v>335.74464</v>
      </c>
      <c r="CO17" s="316" t="n">
        <f aca="false">PROD_DEMANDA!CO11</f>
        <v>335.74464</v>
      </c>
      <c r="CP17" s="316" t="n">
        <f aca="false">PROD_DEMANDA!CP11</f>
        <v>335.74464</v>
      </c>
      <c r="CQ17" s="316" t="n">
        <f aca="false">PROD_DEMANDA!CQ11</f>
        <v>335.74464</v>
      </c>
      <c r="CR17" s="316" t="n">
        <f aca="false">PROD_DEMANDA!CR11</f>
        <v>335.74464</v>
      </c>
      <c r="CS17" s="316" t="n">
        <f aca="false">PROD_DEMANDA!CS11</f>
        <v>335.74464</v>
      </c>
      <c r="CT17" s="316" t="n">
        <f aca="false">PROD_DEMANDA!CT11</f>
        <v>335.74464</v>
      </c>
      <c r="CU17" s="316" t="n">
        <f aca="false">PROD_DEMANDA!CU11</f>
        <v>335.74464</v>
      </c>
      <c r="CV17" s="316" t="n">
        <f aca="false">PROD_DEMANDA!CV11</f>
        <v>335.74464</v>
      </c>
      <c r="CW17" s="316" t="n">
        <f aca="false">PROD_DEMANDA!CW11</f>
        <v>335.74464</v>
      </c>
      <c r="CX17" s="316" t="n">
        <f aca="false">PROD_DEMANDA!CX11</f>
        <v>335.74464</v>
      </c>
      <c r="CY17" s="316" t="n">
        <f aca="false">PROD_DEMANDA!CY11</f>
        <v>335.74464</v>
      </c>
      <c r="CZ17" s="316" t="n">
        <f aca="false">PROD_DEMANDA!CZ11</f>
        <v>335.74464</v>
      </c>
      <c r="DA17" s="316" t="n">
        <f aca="false">PROD_DEMANDA!DA11</f>
        <v>335.74464</v>
      </c>
      <c r="DB17" s="316" t="n">
        <f aca="false">PROD_DEMANDA!DB11</f>
        <v>335.74464</v>
      </c>
      <c r="DC17" s="316" t="n">
        <f aca="false">PROD_DEMANDA!DC11</f>
        <v>335.74464</v>
      </c>
      <c r="DD17" s="316" t="n">
        <f aca="false">PROD_DEMANDA!DD11</f>
        <v>335.74464</v>
      </c>
      <c r="DE17" s="316" t="n">
        <f aca="false">PROD_DEMANDA!DE11</f>
        <v>335.74464</v>
      </c>
      <c r="DF17" s="316" t="n">
        <f aca="false">PROD_DEMANDA!DF11</f>
        <v>335.74464</v>
      </c>
      <c r="DG17" s="316" t="n">
        <f aca="false">PROD_DEMANDA!DG11</f>
        <v>335.74464</v>
      </c>
      <c r="DH17" s="316" t="n">
        <f aca="false">PROD_DEMANDA!DH11</f>
        <v>335.74464</v>
      </c>
      <c r="DI17" s="316" t="n">
        <f aca="false">PROD_DEMANDA!DI11</f>
        <v>335.74464</v>
      </c>
      <c r="DJ17" s="316" t="n">
        <f aca="false">PROD_DEMANDA!DJ11</f>
        <v>335.74464</v>
      </c>
      <c r="DK17" s="316" t="n">
        <f aca="false">PROD_DEMANDA!DK11</f>
        <v>335.74464</v>
      </c>
      <c r="DL17" s="316" t="n">
        <f aca="false">PROD_DEMANDA!DL11</f>
        <v>335.74464</v>
      </c>
      <c r="DM17" s="316" t="n">
        <f aca="false">PROD_DEMANDA!DM11</f>
        <v>335.74464</v>
      </c>
      <c r="DN17" s="316" t="n">
        <f aca="false">PROD_DEMANDA!DN11</f>
        <v>335.74464</v>
      </c>
      <c r="DO17" s="316" t="n">
        <f aca="false">PROD_DEMANDA!DO11</f>
        <v>335.74464</v>
      </c>
      <c r="DP17" s="316" t="n">
        <f aca="false">PROD_DEMANDA!DP11</f>
        <v>335.74464</v>
      </c>
      <c r="DQ17" s="316" t="n">
        <f aca="false">PROD_DEMANDA!DQ11</f>
        <v>335.74464</v>
      </c>
      <c r="DR17" s="316" t="n">
        <f aca="false">PROD_DEMANDA!DR11</f>
        <v>335.74464</v>
      </c>
      <c r="DS17" s="316" t="n">
        <f aca="false">PROD_DEMANDA!DS11</f>
        <v>335.74464</v>
      </c>
    </row>
    <row r="18" customFormat="false" ht="15" hidden="false" customHeight="true" outlineLevel="0" collapsed="false">
      <c r="B18" s="297" t="s">
        <v>1431</v>
      </c>
      <c r="D18" s="298" t="n">
        <f aca="false">CAPA3_EXPANSION!D35</f>
        <v>0</v>
      </c>
      <c r="E18" s="298" t="n">
        <f aca="false">CAPA3_EXPANSION!E35</f>
        <v>0</v>
      </c>
      <c r="F18" s="298" t="n">
        <f aca="false">CAPA3_EXPANSION!F35</f>
        <v>0</v>
      </c>
      <c r="G18" s="298" t="n">
        <f aca="false">CAPA3_EXPANSION!G35</f>
        <v>2</v>
      </c>
      <c r="H18" s="298" t="n">
        <f aca="false">CAPA3_EXPANSION!H35</f>
        <v>4</v>
      </c>
      <c r="I18" s="298" t="n">
        <f aca="false">CAPA3_EXPANSION!I35</f>
        <v>6</v>
      </c>
      <c r="J18" s="298" t="n">
        <f aca="false">CAPA3_EXPANSION!J35</f>
        <v>8</v>
      </c>
      <c r="K18" s="298" t="n">
        <f aca="false">CAPA3_EXPANSION!K35</f>
        <v>10</v>
      </c>
      <c r="L18" s="298" t="n">
        <f aca="false">CAPA3_EXPANSION!L35</f>
        <v>10</v>
      </c>
      <c r="M18" s="298" t="n">
        <f aca="false">CAPA3_EXPANSION!M35</f>
        <v>10</v>
      </c>
      <c r="N18" s="298" t="n">
        <f aca="false">CAPA3_EXPANSION!N35</f>
        <v>10</v>
      </c>
      <c r="O18" s="298" t="n">
        <f aca="false">CAPA3_EXPANSION!O35</f>
        <v>10</v>
      </c>
      <c r="P18" s="298" t="n">
        <f aca="false">CAPA3_EXPANSION!P35</f>
        <v>10</v>
      </c>
      <c r="Q18" s="298" t="n">
        <f aca="false">CAPA3_EXPANSION!Q35</f>
        <v>10</v>
      </c>
      <c r="R18" s="298" t="n">
        <f aca="false">CAPA3_EXPANSION!R35</f>
        <v>10</v>
      </c>
      <c r="S18" s="298" t="n">
        <f aca="false">CAPA3_EXPANSION!S35</f>
        <v>11</v>
      </c>
      <c r="T18" s="298" t="n">
        <f aca="false">CAPA3_EXPANSION!T35</f>
        <v>12</v>
      </c>
      <c r="U18" s="298" t="n">
        <f aca="false">CAPA3_EXPANSION!U35</f>
        <v>12</v>
      </c>
      <c r="V18" s="298" t="n">
        <f aca="false">CAPA3_EXPANSION!V35</f>
        <v>13</v>
      </c>
      <c r="W18" s="298" t="n">
        <f aca="false">CAPA3_EXPANSION!W35</f>
        <v>13</v>
      </c>
      <c r="X18" s="298" t="n">
        <f aca="false">CAPA3_EXPANSION!X35</f>
        <v>13</v>
      </c>
      <c r="Y18" s="298" t="n">
        <f aca="false">CAPA3_EXPANSION!Y35</f>
        <v>13</v>
      </c>
      <c r="Z18" s="298" t="n">
        <f aca="false">CAPA3_EXPANSION!Z35</f>
        <v>13</v>
      </c>
      <c r="AA18" s="298" t="n">
        <f aca="false">CAPA3_EXPANSION!AA35</f>
        <v>13</v>
      </c>
      <c r="AB18" s="298" t="n">
        <f aca="false">CAPA3_EXPANSION!AB35</f>
        <v>13</v>
      </c>
      <c r="AC18" s="298" t="n">
        <f aca="false">CAPA3_EXPANSION!AC35</f>
        <v>13</v>
      </c>
      <c r="AD18" s="298" t="n">
        <f aca="false">CAPA3_EXPANSION!AD35</f>
        <v>13</v>
      </c>
      <c r="AE18" s="298" t="n">
        <f aca="false">CAPA3_EXPANSION!AE35</f>
        <v>13</v>
      </c>
      <c r="AF18" s="298" t="n">
        <f aca="false">CAPA3_EXPANSION!AF35</f>
        <v>14</v>
      </c>
      <c r="AG18" s="298" t="n">
        <f aca="false">CAPA3_EXPANSION!AG35</f>
        <v>15</v>
      </c>
      <c r="AH18" s="298" t="n">
        <f aca="false">CAPA3_EXPANSION!AH35</f>
        <v>15</v>
      </c>
      <c r="AI18" s="298" t="n">
        <f aca="false">CAPA3_EXPANSION!AI35</f>
        <v>16</v>
      </c>
      <c r="AJ18" s="298" t="n">
        <f aca="false">CAPA3_EXPANSION!AJ35</f>
        <v>16</v>
      </c>
      <c r="AK18" s="298" t="n">
        <f aca="false">CAPA3_EXPANSION!AK35</f>
        <v>17</v>
      </c>
      <c r="AL18" s="298" t="n">
        <f aca="false">CAPA3_EXPANSION!AL35</f>
        <v>17</v>
      </c>
      <c r="AM18" s="298" t="n">
        <f aca="false">CAPA3_EXPANSION!AM35</f>
        <v>17</v>
      </c>
      <c r="AN18" s="298" t="n">
        <f aca="false">CAPA3_EXPANSION!AN35</f>
        <v>18</v>
      </c>
      <c r="AO18" s="298" t="n">
        <f aca="false">CAPA3_EXPANSION!AO35</f>
        <v>19</v>
      </c>
      <c r="AP18" s="298" t="n">
        <f aca="false">CAPA3_EXPANSION!AP35</f>
        <v>20</v>
      </c>
      <c r="AQ18" s="298" t="n">
        <f aca="false">CAPA3_EXPANSION!AQ35</f>
        <v>21</v>
      </c>
      <c r="AR18" s="298" t="n">
        <f aca="false">CAPA3_EXPANSION!AR35</f>
        <v>21</v>
      </c>
      <c r="AS18" s="298" t="n">
        <f aca="false">CAPA3_EXPANSION!AS35</f>
        <v>21</v>
      </c>
      <c r="AT18" s="298" t="n">
        <f aca="false">CAPA3_EXPANSION!AT35</f>
        <v>22</v>
      </c>
      <c r="AU18" s="298" t="n">
        <f aca="false">CAPA3_EXPANSION!AU35</f>
        <v>22</v>
      </c>
      <c r="AV18" s="298" t="n">
        <f aca="false">CAPA3_EXPANSION!AV35</f>
        <v>23</v>
      </c>
      <c r="AW18" s="298" t="n">
        <f aca="false">CAPA3_EXPANSION!AW35</f>
        <v>24</v>
      </c>
      <c r="AX18" s="298" t="n">
        <f aca="false">CAPA3_EXPANSION!AX35</f>
        <v>24</v>
      </c>
      <c r="AY18" s="298" t="n">
        <f aca="false">CAPA3_EXPANSION!AY35</f>
        <v>24</v>
      </c>
      <c r="AZ18" s="298" t="n">
        <f aca="false">CAPA3_EXPANSION!AZ35</f>
        <v>24</v>
      </c>
      <c r="BA18" s="298" t="n">
        <f aca="false">CAPA3_EXPANSION!BA35</f>
        <v>24</v>
      </c>
      <c r="BB18" s="298" t="n">
        <f aca="false">CAPA3_EXPANSION!BB35</f>
        <v>24</v>
      </c>
      <c r="BC18" s="298" t="n">
        <f aca="false">CAPA3_EXPANSION!BC35</f>
        <v>24</v>
      </c>
      <c r="BD18" s="298" t="n">
        <f aca="false">CAPA3_EXPANSION!BD35</f>
        <v>24</v>
      </c>
      <c r="BE18" s="298" t="n">
        <f aca="false">CAPA3_EXPANSION!BE35</f>
        <v>24</v>
      </c>
      <c r="BF18" s="298" t="n">
        <f aca="false">CAPA3_EXPANSION!BF35</f>
        <v>25</v>
      </c>
      <c r="BG18" s="298" t="n">
        <f aca="false">CAPA3_EXPANSION!BG35</f>
        <v>26</v>
      </c>
      <c r="BH18" s="298" t="n">
        <f aca="false">CAPA3_EXPANSION!BH35</f>
        <v>27</v>
      </c>
      <c r="BI18" s="298" t="n">
        <f aca="false">CAPA3_EXPANSION!BI35</f>
        <v>28</v>
      </c>
      <c r="BJ18" s="298" t="n">
        <f aca="false">CAPA3_EXPANSION!BJ35</f>
        <v>29</v>
      </c>
      <c r="BK18" s="298" t="n">
        <f aca="false">CAPA3_EXPANSION!BK35</f>
        <v>30</v>
      </c>
      <c r="BL18" s="298" t="n">
        <f aca="false">CAPA3_EXPANSION!BL35</f>
        <v>30</v>
      </c>
      <c r="BM18" s="298" t="n">
        <f aca="false">CAPA3_EXPANSION!BM35</f>
        <v>31</v>
      </c>
      <c r="BN18" s="298" t="n">
        <f aca="false">CAPA3_EXPANSION!BN35</f>
        <v>32</v>
      </c>
      <c r="BO18" s="298" t="n">
        <f aca="false">CAPA3_EXPANSION!BO35</f>
        <v>33</v>
      </c>
      <c r="BP18" s="298" t="n">
        <f aca="false">CAPA3_EXPANSION!BP35</f>
        <v>34</v>
      </c>
      <c r="BQ18" s="298" t="n">
        <f aca="false">CAPA3_EXPANSION!BQ35</f>
        <v>35</v>
      </c>
      <c r="BR18" s="298" t="n">
        <f aca="false">CAPA3_EXPANSION!BR35</f>
        <v>36</v>
      </c>
      <c r="BS18" s="298" t="n">
        <f aca="false">CAPA3_EXPANSION!BS35</f>
        <v>37</v>
      </c>
      <c r="BT18" s="298" t="n">
        <f aca="false">CAPA3_EXPANSION!BT35</f>
        <v>38</v>
      </c>
      <c r="BU18" s="298" t="n">
        <f aca="false">CAPA3_EXPANSION!BU35</f>
        <v>39</v>
      </c>
      <c r="BV18" s="298" t="n">
        <f aca="false">CAPA3_EXPANSION!BV35</f>
        <v>39</v>
      </c>
      <c r="BW18" s="298" t="n">
        <f aca="false">CAPA3_EXPANSION!BW35</f>
        <v>40</v>
      </c>
      <c r="BX18" s="298" t="n">
        <f aca="false">CAPA3_EXPANSION!BX35</f>
        <v>41</v>
      </c>
      <c r="BY18" s="298" t="n">
        <f aca="false">CAPA3_EXPANSION!BY35</f>
        <v>42</v>
      </c>
      <c r="BZ18" s="298" t="n">
        <f aca="false">CAPA3_EXPANSION!BZ35</f>
        <v>43</v>
      </c>
      <c r="CA18" s="298" t="n">
        <f aca="false">CAPA3_EXPANSION!CA35</f>
        <v>44</v>
      </c>
      <c r="CB18" s="298" t="n">
        <f aca="false">CAPA3_EXPANSION!CB35</f>
        <v>45</v>
      </c>
      <c r="CC18" s="298" t="n">
        <f aca="false">CAPA3_EXPANSION!CC35</f>
        <v>46</v>
      </c>
      <c r="CD18" s="298" t="n">
        <f aca="false">CAPA3_EXPANSION!CD35</f>
        <v>47</v>
      </c>
      <c r="CE18" s="298" t="n">
        <f aca="false">CAPA3_EXPANSION!CE35</f>
        <v>48</v>
      </c>
      <c r="CF18" s="298" t="n">
        <f aca="false">CAPA3_EXPANSION!CF35</f>
        <v>49</v>
      </c>
      <c r="CG18" s="298" t="n">
        <f aca="false">CAPA3_EXPANSION!CG35</f>
        <v>50</v>
      </c>
      <c r="CH18" s="298" t="n">
        <f aca="false">CAPA3_EXPANSION!CH35</f>
        <v>50</v>
      </c>
      <c r="CI18" s="298" t="n">
        <f aca="false">CAPA3_EXPANSION!CI35</f>
        <v>50</v>
      </c>
      <c r="CJ18" s="298" t="n">
        <f aca="false">CAPA3_EXPANSION!CJ35</f>
        <v>50</v>
      </c>
      <c r="CK18" s="298" t="n">
        <f aca="false">CAPA3_EXPANSION!CK35</f>
        <v>50</v>
      </c>
      <c r="CL18" s="298" t="n">
        <f aca="false">CAPA3_EXPANSION!CL35</f>
        <v>50</v>
      </c>
      <c r="CM18" s="298" t="n">
        <f aca="false">CAPA3_EXPANSION!CM35</f>
        <v>50</v>
      </c>
      <c r="CN18" s="298" t="n">
        <f aca="false">CAPA3_EXPANSION!CN35</f>
        <v>50</v>
      </c>
      <c r="CO18" s="298" t="n">
        <f aca="false">CAPA3_EXPANSION!CO35</f>
        <v>50</v>
      </c>
      <c r="CP18" s="298" t="n">
        <f aca="false">CAPA3_EXPANSION!CP35</f>
        <v>50</v>
      </c>
      <c r="CQ18" s="298" t="n">
        <f aca="false">CAPA3_EXPANSION!CQ35</f>
        <v>50</v>
      </c>
      <c r="CR18" s="298" t="n">
        <f aca="false">CAPA3_EXPANSION!CR35</f>
        <v>50</v>
      </c>
      <c r="CS18" s="298" t="n">
        <f aca="false">CAPA3_EXPANSION!CS35</f>
        <v>50</v>
      </c>
      <c r="CT18" s="298" t="n">
        <f aca="false">CAPA3_EXPANSION!CT35</f>
        <v>50</v>
      </c>
      <c r="CU18" s="298" t="n">
        <f aca="false">CAPA3_EXPANSION!CU35</f>
        <v>50</v>
      </c>
      <c r="CV18" s="298" t="n">
        <f aca="false">CAPA3_EXPANSION!CV35</f>
        <v>50</v>
      </c>
      <c r="CW18" s="298" t="n">
        <f aca="false">CAPA3_EXPANSION!CW35</f>
        <v>50</v>
      </c>
      <c r="CX18" s="298" t="n">
        <f aca="false">CAPA3_EXPANSION!CX35</f>
        <v>50</v>
      </c>
      <c r="CY18" s="298" t="n">
        <f aca="false">CAPA3_EXPANSION!CY35</f>
        <v>50</v>
      </c>
      <c r="CZ18" s="298" t="n">
        <f aca="false">CAPA3_EXPANSION!CZ35</f>
        <v>50</v>
      </c>
      <c r="DA18" s="298" t="n">
        <f aca="false">CAPA3_EXPANSION!DA35</f>
        <v>50</v>
      </c>
      <c r="DB18" s="298" t="n">
        <f aca="false">CAPA3_EXPANSION!DB35</f>
        <v>50</v>
      </c>
      <c r="DC18" s="298" t="n">
        <f aca="false">CAPA3_EXPANSION!DC35</f>
        <v>50</v>
      </c>
      <c r="DD18" s="298" t="n">
        <f aca="false">CAPA3_EXPANSION!DD35</f>
        <v>50</v>
      </c>
      <c r="DE18" s="298" t="n">
        <f aca="false">CAPA3_EXPANSION!DE35</f>
        <v>50</v>
      </c>
      <c r="DF18" s="298" t="n">
        <f aca="false">CAPA3_EXPANSION!DF35</f>
        <v>50</v>
      </c>
      <c r="DG18" s="298" t="n">
        <f aca="false">CAPA3_EXPANSION!DG35</f>
        <v>50</v>
      </c>
      <c r="DH18" s="298" t="n">
        <f aca="false">CAPA3_EXPANSION!DH35</f>
        <v>50</v>
      </c>
      <c r="DI18" s="298" t="n">
        <f aca="false">CAPA3_EXPANSION!DI35</f>
        <v>50</v>
      </c>
      <c r="DJ18" s="298" t="n">
        <f aca="false">CAPA3_EXPANSION!DJ35</f>
        <v>50</v>
      </c>
      <c r="DK18" s="298" t="n">
        <f aca="false">CAPA3_EXPANSION!DK35</f>
        <v>50</v>
      </c>
      <c r="DL18" s="298" t="n">
        <f aca="false">CAPA3_EXPANSION!DL35</f>
        <v>50</v>
      </c>
      <c r="DM18" s="298" t="n">
        <f aca="false">CAPA3_EXPANSION!DM35</f>
        <v>50</v>
      </c>
      <c r="DN18" s="298" t="n">
        <f aca="false">CAPA3_EXPANSION!DN35</f>
        <v>50</v>
      </c>
      <c r="DO18" s="298" t="n">
        <f aca="false">CAPA3_EXPANSION!DO35</f>
        <v>50</v>
      </c>
      <c r="DP18" s="298" t="n">
        <f aca="false">CAPA3_EXPANSION!DP35</f>
        <v>50</v>
      </c>
      <c r="DQ18" s="298" t="n">
        <f aca="false">CAPA3_EXPANSION!DQ35</f>
        <v>50</v>
      </c>
      <c r="DR18" s="298" t="n">
        <f aca="false">CAPA3_EXPANSION!DR35</f>
        <v>50</v>
      </c>
      <c r="DS18" s="298" t="n">
        <f aca="false">CAPA3_EXPANSION!DS35</f>
        <v>50</v>
      </c>
    </row>
    <row r="19" customFormat="false" ht="15" hidden="false" customHeight="true" outlineLevel="0" collapsed="false">
      <c r="B19" s="297" t="s">
        <v>3624</v>
      </c>
      <c r="D19" s="273" t="n">
        <f aca="false">SUP_OVERHEAD!D36</f>
        <v>0</v>
      </c>
      <c r="E19" s="273" t="n">
        <f aca="false">SUP_OVERHEAD!E36</f>
        <v>15715</v>
      </c>
      <c r="F19" s="273" t="n">
        <f aca="false">SUP_OVERHEAD!F36</f>
        <v>15715</v>
      </c>
      <c r="G19" s="273" t="n">
        <f aca="false">SUP_OVERHEAD!G36</f>
        <v>15715</v>
      </c>
      <c r="H19" s="273" t="n">
        <f aca="false">SUP_OVERHEAD!H36</f>
        <v>15715</v>
      </c>
      <c r="I19" s="273" t="n">
        <f aca="false">SUP_OVERHEAD!I36</f>
        <v>22146.7252810345</v>
      </c>
      <c r="J19" s="273" t="n">
        <f aca="false">SUP_OVERHEAD!J36</f>
        <v>31743.6395694828</v>
      </c>
      <c r="K19" s="273" t="n">
        <f aca="false">SUP_OVERHEAD!K36</f>
        <v>42447.8901219828</v>
      </c>
      <c r="L19" s="273" t="n">
        <f aca="false">SUP_OVERHEAD!L36</f>
        <v>45639.6240595436</v>
      </c>
      <c r="M19" s="273" t="n">
        <f aca="false">SUP_OVERHEAD!M36</f>
        <v>47333.1971692698</v>
      </c>
      <c r="N19" s="273" t="n">
        <f aca="false">SUP_OVERHEAD!N36</f>
        <v>47333.1971692698</v>
      </c>
      <c r="O19" s="273" t="n">
        <f aca="false">SUP_OVERHEAD!O36</f>
        <v>47333.1971692698</v>
      </c>
      <c r="P19" s="273" t="n">
        <f aca="false">SUP_OVERHEAD!P36</f>
        <v>41416.5475231111</v>
      </c>
      <c r="Q19" s="273" t="n">
        <f aca="false">SUP_OVERHEAD!Q36</f>
        <v>41416.5475231111</v>
      </c>
      <c r="R19" s="273" t="n">
        <f aca="false">SUP_OVERHEAD!R36</f>
        <v>41416.5475231111</v>
      </c>
      <c r="S19" s="273" t="n">
        <f aca="false">SUP_OVERHEAD!S36</f>
        <v>41416.5475231111</v>
      </c>
      <c r="T19" s="273" t="n">
        <f aca="false">SUP_OVERHEAD!T36</f>
        <v>41416.5475231111</v>
      </c>
      <c r="U19" s="273" t="n">
        <f aca="false">SUP_OVERHEAD!U36</f>
        <v>41416.5475231111</v>
      </c>
      <c r="V19" s="273" t="n">
        <f aca="false">SUP_OVERHEAD!V36</f>
        <v>43886.3416414617</v>
      </c>
      <c r="W19" s="273" t="n">
        <f aca="false">SUP_OVERHEAD!W36</f>
        <v>46926.0882486625</v>
      </c>
      <c r="X19" s="273" t="n">
        <f aca="false">SUP_OVERHEAD!X36</f>
        <v>47876.0090634128</v>
      </c>
      <c r="Y19" s="273" t="n">
        <f aca="false">SUP_OVERHEAD!Y36</f>
        <v>51105.7398335636</v>
      </c>
      <c r="Z19" s="273" t="n">
        <f aca="false">SUP_OVERHEAD!Z36</f>
        <v>52055.6606483139</v>
      </c>
      <c r="AA19" s="273" t="n">
        <f aca="false">SUP_OVERHEAD!AA36</f>
        <v>52435.628974214</v>
      </c>
      <c r="AB19" s="273" t="n">
        <f aca="false">SUP_OVERHEAD!AB36</f>
        <v>45270.5119715264</v>
      </c>
      <c r="AC19" s="273" t="n">
        <f aca="false">SUP_OVERHEAD!AC36</f>
        <v>45270.5119715264</v>
      </c>
      <c r="AD19" s="273" t="n">
        <f aca="false">SUP_OVERHEAD!AD36</f>
        <v>45270.5119715264</v>
      </c>
      <c r="AE19" s="273" t="n">
        <f aca="false">SUP_OVERHEAD!AE36</f>
        <v>45270.5119715264</v>
      </c>
      <c r="AF19" s="273" t="n">
        <f aca="false">SUP_OVERHEAD!AF36</f>
        <v>45270.5119715264</v>
      </c>
      <c r="AG19" s="273" t="n">
        <f aca="false">SUP_OVERHEAD!AG36</f>
        <v>44977.3935486892</v>
      </c>
      <c r="AH19" s="273" t="n">
        <f aca="false">SUP_OVERHEAD!AH36</f>
        <v>44977.3935486892</v>
      </c>
      <c r="AI19" s="273" t="n">
        <f aca="false">SUP_OVERHEAD!AI36</f>
        <v>47646.888162895</v>
      </c>
      <c r="AJ19" s="273" t="n">
        <f aca="false">SUP_OVERHEAD!AJ36</f>
        <v>50316.3827771009</v>
      </c>
      <c r="AK19" s="273" t="n">
        <f aca="false">SUP_OVERHEAD!AK36</f>
        <v>51200.9490397963</v>
      </c>
      <c r="AL19" s="273" t="n">
        <f aca="false">SUP_OVERHEAD!AL36</f>
        <v>53981.0144368391</v>
      </c>
      <c r="AM19" s="273" t="n">
        <f aca="false">SUP_OVERHEAD!AM36</f>
        <v>54770.8057428172</v>
      </c>
      <c r="AN19" s="273" t="n">
        <f aca="false">SUP_OVERHEAD!AN36</f>
        <v>52378.4980223555</v>
      </c>
      <c r="AO19" s="273" t="n">
        <f aca="false">SUP_OVERHEAD!AO36</f>
        <v>53102.4733861687</v>
      </c>
      <c r="AP19" s="273" t="n">
        <f aca="false">SUP_OVERHEAD!AP36</f>
        <v>52854.6797564924</v>
      </c>
      <c r="AQ19" s="273" t="n">
        <f aca="false">SUP_OVERHEAD!AQ36</f>
        <v>55520.7750112112</v>
      </c>
      <c r="AR19" s="273" t="n">
        <f aca="false">SUP_OVERHEAD!AR36</f>
        <v>57904.7437839492</v>
      </c>
      <c r="AS19" s="273" t="n">
        <f aca="false">SUP_OVERHEAD!AS36</f>
        <v>60528.5200663708</v>
      </c>
      <c r="AT19" s="273" t="n">
        <f aca="false">SUP_OVERHEAD!AT36</f>
        <v>63434.4228307733</v>
      </c>
      <c r="AU19" s="273" t="n">
        <f aca="false">SUP_OVERHEAD!AU36</f>
        <v>64421.8655177062</v>
      </c>
      <c r="AV19" s="273" t="n">
        <f aca="false">SUP_OVERHEAD!AV36</f>
        <v>64986.1184816679</v>
      </c>
      <c r="AW19" s="273" t="n">
        <f aca="false">SUP_OVERHEAD!AW36</f>
        <v>67652.2137363867</v>
      </c>
      <c r="AX19" s="273" t="n">
        <f aca="false">SUP_OVERHEAD!AX36</f>
        <v>68202.3603762493</v>
      </c>
      <c r="AY19" s="273" t="n">
        <f aca="false">SUP_OVERHEAD!AY36</f>
        <v>70402.9469356997</v>
      </c>
      <c r="AZ19" s="273" t="n">
        <f aca="false">SUP_OVERHEAD!AZ36</f>
        <v>66387.9301982922</v>
      </c>
      <c r="BA19" s="273" t="n">
        <f aca="false">SUP_OVERHEAD!BA36</f>
        <v>67029.1267482486</v>
      </c>
      <c r="BB19" s="273" t="n">
        <f aca="false">SUP_OVERHEAD!BB36</f>
        <v>67542.0839882138</v>
      </c>
      <c r="BC19" s="273" t="n">
        <f aca="false">SUP_OVERHEAD!BC36</f>
        <v>67798.5626081963</v>
      </c>
      <c r="BD19" s="273" t="n">
        <f aca="false">SUP_OVERHEAD!BD36</f>
        <v>67798.5626081963</v>
      </c>
      <c r="BE19" s="273" t="n">
        <f aca="false">SUP_OVERHEAD!BE36</f>
        <v>67798.5626081963</v>
      </c>
      <c r="BF19" s="273" t="n">
        <f aca="false">SUP_OVERHEAD!BF36</f>
        <v>66787.575455355</v>
      </c>
      <c r="BG19" s="273" t="n">
        <f aca="false">SUP_OVERHEAD!BG36</f>
        <v>66787.575455355</v>
      </c>
      <c r="BH19" s="273" t="n">
        <f aca="false">SUP_OVERHEAD!BH36</f>
        <v>66787.575455355</v>
      </c>
      <c r="BI19" s="273" t="n">
        <f aca="false">SUP_OVERHEAD!BI36</f>
        <v>70033.5905823301</v>
      </c>
      <c r="BJ19" s="273" t="n">
        <f aca="false">SUP_OVERHEAD!BJ36</f>
        <v>72405.6785597351</v>
      </c>
      <c r="BK19" s="273" t="n">
        <f aca="false">SUP_OVERHEAD!BK36</f>
        <v>74393.7271220338</v>
      </c>
      <c r="BL19" s="273" t="n">
        <f aca="false">SUP_OVERHEAD!BL36</f>
        <v>69471.508865945</v>
      </c>
      <c r="BM19" s="273" t="n">
        <f aca="false">SUP_OVERHEAD!BM36</f>
        <v>71735.8486823626</v>
      </c>
      <c r="BN19" s="273" t="n">
        <f aca="false">SUP_OVERHEAD!BN36</f>
        <v>74000.1884987801</v>
      </c>
      <c r="BO19" s="273" t="n">
        <f aca="false">SUP_OVERHEAD!BO36</f>
        <v>74769.6243587278</v>
      </c>
      <c r="BP19" s="273" t="n">
        <f aca="false">SUP_OVERHEAD!BP36</f>
        <v>77066.9399977145</v>
      </c>
      <c r="BQ19" s="273" t="n">
        <f aca="false">SUP_OVERHEAD!BQ36</f>
        <v>77977.3169659765</v>
      </c>
      <c r="BR19" s="273" t="n">
        <f aca="false">SUP_OVERHEAD!BR36</f>
        <v>79976.3846097263</v>
      </c>
      <c r="BS19" s="273" t="n">
        <f aca="false">SUP_OVERHEAD!BS36</f>
        <v>82190.4057635568</v>
      </c>
      <c r="BT19" s="273" t="n">
        <f aca="false">SUP_OVERHEAD!BT36</f>
        <v>84759.1002090203</v>
      </c>
      <c r="BU19" s="273" t="n">
        <f aca="false">SUP_OVERHEAD!BU36</f>
        <v>87005.3643893629</v>
      </c>
      <c r="BV19" s="273" t="n">
        <f aca="false">SUP_OVERHEAD!BV36</f>
        <v>89219.3855431934</v>
      </c>
      <c r="BW19" s="273" t="n">
        <f aca="false">SUP_OVERHEAD!BW36</f>
        <v>90328.7166409561</v>
      </c>
      <c r="BX19" s="273" t="n">
        <f aca="false">SUP_OVERHEAD!BX36</f>
        <v>82536.5569084518</v>
      </c>
      <c r="BY19" s="273" t="n">
        <f aca="false">SUP_OVERHEAD!BY36</f>
        <v>83278.417924177</v>
      </c>
      <c r="BZ19" s="273" t="n">
        <f aca="false">SUP_OVERHEAD!BZ36</f>
        <v>86151.9555293913</v>
      </c>
      <c r="CA19" s="273" t="n">
        <f aca="false">SUP_OVERHEAD!CA36</f>
        <v>88180.3350154248</v>
      </c>
      <c r="CB19" s="273" t="n">
        <f aca="false">SUP_OVERHEAD!CB36</f>
        <v>88907.1601416823</v>
      </c>
      <c r="CC19" s="273" t="n">
        <f aca="false">SUP_OVERHEAD!CC36</f>
        <v>90937.2766257771</v>
      </c>
      <c r="CD19" s="273" t="n">
        <f aca="false">SUP_OVERHEAD!CD36</f>
        <v>93142.7213516802</v>
      </c>
      <c r="CE19" s="273" t="n">
        <f aca="false">SUP_OVERHEAD!CE36</f>
        <v>95071.3320115702</v>
      </c>
      <c r="CF19" s="273" t="n">
        <f aca="false">SUP_OVERHEAD!CF36</f>
        <v>96972.259264859</v>
      </c>
      <c r="CG19" s="273" t="n">
        <f aca="false">SUP_OVERHEAD!CG36</f>
        <v>99173.9043075031</v>
      </c>
      <c r="CH19" s="273" t="n">
        <f aca="false">SUP_OVERHEAD!CH36</f>
        <v>101626.979819514</v>
      </c>
      <c r="CI19" s="273" t="n">
        <f aca="false">SUP_OVERHEAD!CI36</f>
        <v>103715.285738661</v>
      </c>
      <c r="CJ19" s="273" t="n">
        <f aca="false">SUP_OVERHEAD!CJ36</f>
        <v>104590.732761535</v>
      </c>
      <c r="CK19" s="273" t="n">
        <f aca="false">SUP_OVERHEAD!CK36</f>
        <v>105010.217793329</v>
      </c>
      <c r="CL19" s="273" t="n">
        <f aca="false">SUP_OVERHEAD!CL36</f>
        <v>105192.602589761</v>
      </c>
      <c r="CM19" s="273" t="n">
        <f aca="false">SUP_OVERHEAD!CM36</f>
        <v>105192.602589761</v>
      </c>
      <c r="CN19" s="273" t="n">
        <f aca="false">SUP_OVERHEAD!CN36</f>
        <v>105192.602589761</v>
      </c>
      <c r="CO19" s="273" t="n">
        <f aca="false">SUP_OVERHEAD!CO36</f>
        <v>105192.602589761</v>
      </c>
      <c r="CP19" s="273" t="n">
        <f aca="false">SUP_OVERHEAD!CP36</f>
        <v>105192.602589761</v>
      </c>
      <c r="CQ19" s="273" t="n">
        <f aca="false">SUP_OVERHEAD!CQ36</f>
        <v>105192.602589761</v>
      </c>
      <c r="CR19" s="273" t="n">
        <f aca="false">SUP_OVERHEAD!CR36</f>
        <v>105192.602589761</v>
      </c>
      <c r="CS19" s="273" t="n">
        <f aca="false">SUP_OVERHEAD!CS36</f>
        <v>105192.602589761</v>
      </c>
      <c r="CT19" s="273" t="n">
        <f aca="false">SUP_OVERHEAD!CT36</f>
        <v>105192.602589761</v>
      </c>
      <c r="CU19" s="273" t="n">
        <f aca="false">SUP_OVERHEAD!CU36</f>
        <v>105192.602589761</v>
      </c>
      <c r="CV19" s="273" t="n">
        <f aca="false">SUP_OVERHEAD!CV36</f>
        <v>105192.602589761</v>
      </c>
      <c r="CW19" s="273" t="n">
        <f aca="false">SUP_OVERHEAD!CW36</f>
        <v>105192.602589761</v>
      </c>
      <c r="CX19" s="273" t="n">
        <f aca="false">SUP_OVERHEAD!CX36</f>
        <v>105192.602589761</v>
      </c>
      <c r="CY19" s="273" t="n">
        <f aca="false">SUP_OVERHEAD!CY36</f>
        <v>105192.602589761</v>
      </c>
      <c r="CZ19" s="273" t="n">
        <f aca="false">SUP_OVERHEAD!CZ36</f>
        <v>105192.602589761</v>
      </c>
      <c r="DA19" s="273" t="n">
        <f aca="false">SUP_OVERHEAD!DA36</f>
        <v>105192.602589761</v>
      </c>
      <c r="DB19" s="273" t="n">
        <f aca="false">SUP_OVERHEAD!DB36</f>
        <v>105192.602589761</v>
      </c>
      <c r="DC19" s="273" t="n">
        <f aca="false">SUP_OVERHEAD!DC36</f>
        <v>105192.602589761</v>
      </c>
      <c r="DD19" s="273" t="n">
        <f aca="false">SUP_OVERHEAD!DD36</f>
        <v>105192.602589761</v>
      </c>
      <c r="DE19" s="273" t="n">
        <f aca="false">SUP_OVERHEAD!DE36</f>
        <v>105192.602589761</v>
      </c>
      <c r="DF19" s="273" t="n">
        <f aca="false">SUP_OVERHEAD!DF36</f>
        <v>105192.602589761</v>
      </c>
      <c r="DG19" s="273" t="n">
        <f aca="false">SUP_OVERHEAD!DG36</f>
        <v>105192.602589761</v>
      </c>
      <c r="DH19" s="273" t="n">
        <f aca="false">SUP_OVERHEAD!DH36</f>
        <v>105192.602589761</v>
      </c>
      <c r="DI19" s="273" t="n">
        <f aca="false">SUP_OVERHEAD!DI36</f>
        <v>105192.602589761</v>
      </c>
      <c r="DJ19" s="273" t="n">
        <f aca="false">SUP_OVERHEAD!DJ36</f>
        <v>105192.602589761</v>
      </c>
      <c r="DK19" s="273" t="n">
        <f aca="false">SUP_OVERHEAD!DK36</f>
        <v>105192.602589761</v>
      </c>
      <c r="DL19" s="273" t="n">
        <f aca="false">SUP_OVERHEAD!DL36</f>
        <v>105192.602589761</v>
      </c>
      <c r="DM19" s="273" t="n">
        <f aca="false">SUP_OVERHEAD!DM36</f>
        <v>105192.602589761</v>
      </c>
      <c r="DN19" s="273" t="n">
        <f aca="false">SUP_OVERHEAD!DN36</f>
        <v>105192.602589761</v>
      </c>
      <c r="DO19" s="273" t="n">
        <f aca="false">SUP_OVERHEAD!DO36</f>
        <v>105192.602589761</v>
      </c>
      <c r="DP19" s="273" t="n">
        <f aca="false">SUP_OVERHEAD!DP36</f>
        <v>105192.602589761</v>
      </c>
      <c r="DQ19" s="273" t="n">
        <f aca="false">SUP_OVERHEAD!DQ36</f>
        <v>105192.602589761</v>
      </c>
      <c r="DR19" s="273" t="n">
        <f aca="false">SUP_OVERHEAD!DR36</f>
        <v>105192.602589761</v>
      </c>
      <c r="DS19" s="273" t="n">
        <f aca="false">SUP_OVERHEAD!DS36</f>
        <v>105192.602589761</v>
      </c>
    </row>
    <row r="20" customFormat="false" ht="15" hidden="false" customHeight="true" outlineLevel="0" collapsed="false">
      <c r="A20" s="186" t="s">
        <v>3625</v>
      </c>
      <c r="B20" s="25"/>
      <c r="C20" s="25"/>
    </row>
    <row r="21" customFormat="false" ht="15" hidden="false" customHeight="true" outlineLevel="0" collapsed="false">
      <c r="B21" s="178" t="s">
        <v>3626</v>
      </c>
      <c r="C21" s="275" t="n">
        <f aca="false">SUP_CONTROL!$C$31</f>
        <v>0.2</v>
      </c>
    </row>
    <row r="22" customFormat="false" ht="15" hidden="false" customHeight="true" outlineLevel="0" collapsed="false">
      <c r="B22" s="178" t="s">
        <v>3627</v>
      </c>
      <c r="C22" s="268" t="n">
        <f aca="false">SUM(D16:DS16)</f>
        <v>9188258.1495</v>
      </c>
    </row>
    <row r="23" customFormat="false" ht="15" hidden="false" customHeight="true" outlineLevel="0" collapsed="false">
      <c r="B23" s="178" t="s">
        <v>3628</v>
      </c>
      <c r="C23" s="268" t="n">
        <f aca="false">SUP_CONTROL!$C$11*(SUM(CAPA1_PILOTO!D25:DS27)+SUM(CAPA1_PILOTO!D37:DS37))+SUP_CONTROL!$C$12*(SUP_CAPEX_FLAGSHIP!$H$55+SUP_CONTROL!$C$19*SUP_OPEX!$F$23+SUM(CAPA2_FLAGSHIP!D19:DS19))+SUP_CONTROL!$C$14*SUP_C4_RETAIL!$C$12+SUP_CONTROL!$C$13*SUP_CONTROL!$C$24</f>
        <v>2114490.23475</v>
      </c>
    </row>
    <row r="24" customFormat="false" ht="15" hidden="false" customHeight="true" outlineLevel="0" collapsed="false">
      <c r="B24" s="178" t="s">
        <v>3629</v>
      </c>
      <c r="C24" s="268" t="n">
        <f aca="false">SUP_CONTROL!$C$13*(SUM(CAPA3_EXPANSION!D22:DS22)+SUM(CAPA3_EXPANSION!D29:DS29)+SUM(CAPA3_EXPANSION!D30:DS30)+SUM(CAPA3_EXPANSION!D59:DS59))-SUP_CONTROL!$C$13*SUP_CONTROL!$C$24</f>
        <v>7073767.91475</v>
      </c>
    </row>
    <row r="25" customFormat="false" ht="15" hidden="false" customHeight="true" outlineLevel="0" collapsed="false">
      <c r="B25" s="178" t="s">
        <v>3630</v>
      </c>
      <c r="C25" s="271" t="n">
        <f aca="false">NPV(SUP_CONTROL!$C$32,D10:DS10)</f>
        <v>1374512.77843674</v>
      </c>
    </row>
    <row r="26" customFormat="false" ht="15" hidden="false" customHeight="true" outlineLevel="0" collapsed="false">
      <c r="B26" s="178" t="s">
        <v>113</v>
      </c>
      <c r="C26" s="574" t="n">
        <f aca="false">IFERROR((1+IRR(D10:DS10,0.01))^12-1,"n/a")</f>
        <v>0.306839971547742</v>
      </c>
    </row>
    <row r="27" customFormat="false" ht="15" hidden="false" customHeight="true" outlineLevel="0" collapsed="false">
      <c r="B27" s="178" t="s">
        <v>3631</v>
      </c>
      <c r="C27" s="272" t="n">
        <f aca="false">IFERROR(IRR(D10:DS10,0.01),"n/a")</f>
        <v>0.022551525107948</v>
      </c>
    </row>
    <row r="28" customFormat="false" ht="15" hidden="false" customHeight="true" outlineLevel="0" collapsed="false">
      <c r="B28" s="178" t="s">
        <v>3632</v>
      </c>
      <c r="C28" s="309" t="n">
        <f aca="false">IF(COUNTIF(D11:DS11,"&lt;0")&gt;=120,"no recupera",COUNTIF(D11:DS11,"&lt;0")+1)</f>
        <v>76</v>
      </c>
    </row>
    <row r="29" customFormat="false" ht="15" hidden="false" customHeight="true" outlineLevel="0" collapsed="false">
      <c r="B29" s="178" t="s">
        <v>3470</v>
      </c>
      <c r="C29" s="309" t="n">
        <f aca="false">IF(COUNTIF(D13:DS13,"&lt;0")&gt;=120,"no recupera",COUNTIF(D13:DS13,"&lt;0")+1)</f>
        <v>95</v>
      </c>
    </row>
    <row r="30" customFormat="false" ht="15" hidden="false" customHeight="true" outlineLevel="0" collapsed="false">
      <c r="B30" s="178" t="s">
        <v>3633</v>
      </c>
      <c r="C30" s="275" t="n">
        <f aca="false">IFERROR(C25/C23,"n/a")</f>
        <v>0.650044514676725</v>
      </c>
    </row>
    <row r="31" customFormat="false" ht="15" hidden="false" customHeight="true" outlineLevel="0" collapsed="false">
      <c r="B31" s="178" t="s">
        <v>3634</v>
      </c>
      <c r="C31" s="268" t="n">
        <f aca="false">NPV(SUP_CONTROL!$C$32,D10:AM10)</f>
        <v>-1479246.31518527</v>
      </c>
    </row>
    <row r="32" customFormat="false" ht="15" hidden="false" customHeight="true" outlineLevel="0" collapsed="false">
      <c r="B32" s="178" t="s">
        <v>3438</v>
      </c>
      <c r="C32" s="272" t="n">
        <f aca="false">IFERROR((1+IRR(D10:AM10,0.01))^12-1,"n/a")</f>
        <v>-0.469697872552251</v>
      </c>
    </row>
    <row r="33" customFormat="false" ht="15" hidden="false" customHeight="true" outlineLevel="0" collapsed="false">
      <c r="B33" s="178" t="s">
        <v>3635</v>
      </c>
      <c r="C33" s="275" t="n">
        <f aca="false">DS18</f>
        <v>50</v>
      </c>
    </row>
    <row r="34" customFormat="false" ht="15" hidden="false" customHeight="true" outlineLevel="0" collapsed="false">
      <c r="B34" s="178" t="s">
        <v>3636</v>
      </c>
      <c r="C34" s="275" t="n">
        <f aca="false">AVERAGE(DH17:DS17)</f>
        <v>335.74464</v>
      </c>
    </row>
    <row r="35" customFormat="false" ht="15" hidden="false" customHeight="true" outlineLevel="0" collapsed="false">
      <c r="B35" s="178" t="s">
        <v>3637</v>
      </c>
      <c r="C35" s="272" t="n">
        <f aca="false">C34/200</f>
        <v>1.6787232</v>
      </c>
    </row>
    <row r="36" customFormat="false" ht="15" hidden="false" customHeight="true" outlineLevel="0" collapsed="false">
      <c r="B36" s="178" t="s">
        <v>3638</v>
      </c>
      <c r="C36" s="268" t="n">
        <f aca="false">SUM(DH15:DS15)</f>
        <v>4503881.38150039</v>
      </c>
    </row>
    <row r="37" customFormat="false" ht="15" hidden="false" customHeight="true" outlineLevel="0" collapsed="false">
      <c r="B37" s="1" t="s">
        <v>3639</v>
      </c>
      <c r="C37" s="1" t="n">
        <f aca="false">C22-C23-C24</f>
        <v>0</v>
      </c>
    </row>
    <row r="38" customFormat="false" ht="15" hidden="false" customHeight="true" outlineLevel="0" collapsed="false">
      <c r="A38" s="186" t="s">
        <v>3640</v>
      </c>
      <c r="B38" s="25" t="s">
        <v>3641</v>
      </c>
      <c r="C38" s="25" t="str">
        <f aca="false">IF(ABS(C37)&lt;1,"OK","REVISAR")</f>
        <v>OK</v>
      </c>
      <c r="D38" s="25"/>
      <c r="E38" s="25"/>
      <c r="F38" s="25"/>
      <c r="G38" s="25"/>
      <c r="H38" s="25"/>
      <c r="I38" s="25"/>
      <c r="J38" s="25"/>
      <c r="K38" s="25"/>
      <c r="L38" s="25"/>
      <c r="M38" s="25"/>
      <c r="N38" s="25"/>
    </row>
    <row r="39" customFormat="false" ht="15" hidden="false" customHeight="true" outlineLevel="0" collapsed="false">
      <c r="B39" s="178" t="s">
        <v>3642</v>
      </c>
      <c r="D39" s="275" t="n">
        <v>1</v>
      </c>
      <c r="E39" s="275" t="n">
        <v>2</v>
      </c>
      <c r="F39" s="275" t="n">
        <v>3</v>
      </c>
      <c r="G39" s="275" t="n">
        <v>4</v>
      </c>
      <c r="H39" s="275" t="n">
        <v>5</v>
      </c>
      <c r="I39" s="275" t="n">
        <v>6</v>
      </c>
      <c r="J39" s="275" t="n">
        <v>7</v>
      </c>
      <c r="K39" s="275" t="n">
        <v>8</v>
      </c>
      <c r="L39" s="275" t="n">
        <v>9</v>
      </c>
      <c r="M39" s="275" t="n">
        <v>10</v>
      </c>
    </row>
    <row r="40" customFormat="false" ht="15" hidden="false" customHeight="true" outlineLevel="0" collapsed="false">
      <c r="B40" s="178" t="s">
        <v>3643</v>
      </c>
      <c r="D40" s="273" t="n">
        <f aca="false">SUM(D14:O14)</f>
        <v>3793983.73411251</v>
      </c>
      <c r="E40" s="273" t="n">
        <f aca="false">SUM(P14:AA14)</f>
        <v>7754067.90783279</v>
      </c>
      <c r="F40" s="273" t="n">
        <f aca="false">SUM(AB14:AM14)</f>
        <v>9570389.78524098</v>
      </c>
      <c r="G40" s="273" t="n">
        <f aca="false">SUM(AN14:AY14)</f>
        <v>13297993.0528187</v>
      </c>
      <c r="H40" s="273" t="n">
        <f aca="false">SUM(AZ14:BK14)</f>
        <v>16431011.0277901</v>
      </c>
      <c r="I40" s="273" t="n">
        <f aca="false">SUM(BL14:BW14)</f>
        <v>21300017.4338961</v>
      </c>
      <c r="J40" s="273" t="n">
        <f aca="false">SUM(BX14:CI14)</f>
        <v>27742354.6159673</v>
      </c>
      <c r="K40" s="273" t="n">
        <f aca="false">SUM(CJ14:CU14)</f>
        <v>31538174.4113118</v>
      </c>
      <c r="L40" s="273" t="n">
        <f aca="false">SUM(CV14:DG14)</f>
        <v>31557780.7769282</v>
      </c>
      <c r="M40" s="273" t="n">
        <f aca="false">SUM(DH14:DS14)</f>
        <v>31557780.7769282</v>
      </c>
    </row>
    <row r="41" customFormat="false" ht="15" hidden="false" customHeight="true" outlineLevel="0" collapsed="false">
      <c r="B41" s="178" t="s">
        <v>3644</v>
      </c>
      <c r="D41" s="273" t="n">
        <f aca="false">SUM(D15:O15)</f>
        <v>335788.332705445</v>
      </c>
      <c r="E41" s="273" t="n">
        <f aca="false">SUM(P15:AA15)</f>
        <v>975841.480904235</v>
      </c>
      <c r="F41" s="273" t="n">
        <f aca="false">SUM(AB15:AM15)</f>
        <v>1254996.75668088</v>
      </c>
      <c r="G41" s="273" t="n">
        <f aca="false">SUM(AN15:AY15)</f>
        <v>1865534.8867512</v>
      </c>
      <c r="H41" s="273" t="n">
        <f aca="false">SUM(AZ15:BK15)</f>
        <v>2281777.69579014</v>
      </c>
      <c r="I41" s="273" t="n">
        <f aca="false">SUM(BL15:BW15)</f>
        <v>2982586.36989393</v>
      </c>
      <c r="J41" s="273" t="n">
        <f aca="false">SUM(BX15:CI15)</f>
        <v>3988429.15906794</v>
      </c>
      <c r="K41" s="273" t="n">
        <f aca="false">SUM(CJ15:CU15)</f>
        <v>4497980.42326709</v>
      </c>
      <c r="L41" s="273" t="n">
        <f aca="false">SUM(CV15:DG15)</f>
        <v>4503881.38150039</v>
      </c>
      <c r="M41" s="273" t="n">
        <f aca="false">SUM(DH15:DS15)</f>
        <v>4503881.38150039</v>
      </c>
    </row>
    <row r="42" customFormat="false" ht="15" hidden="false" customHeight="true" outlineLevel="0" collapsed="false">
      <c r="B42" s="178" t="s">
        <v>3645</v>
      </c>
      <c r="D42" s="273" t="n">
        <f aca="false">SUM(D10:O10)</f>
        <v>-1871656.73402756</v>
      </c>
      <c r="E42" s="273" t="n">
        <f aca="false">SUM(P10:AA10)</f>
        <v>394456.762165295</v>
      </c>
      <c r="F42" s="273" t="n">
        <f aca="false">SUM(AB10:AM10)</f>
        <v>104175.82726838</v>
      </c>
      <c r="G42" s="273" t="n">
        <f aca="false">SUM(AN10:AY10)</f>
        <v>502415.739877376</v>
      </c>
      <c r="H42" s="273" t="n">
        <f aca="false">SUM(AZ10:BK10)</f>
        <v>-72954.0728894228</v>
      </c>
      <c r="I42" s="273" t="n">
        <f aca="false">SUM(BL10:BW10)</f>
        <v>551432.488667996</v>
      </c>
      <c r="J42" s="273" t="n">
        <f aca="false">SUM(BX10:CI10)</f>
        <v>1119799.73629826</v>
      </c>
      <c r="K42" s="273" t="n">
        <f aca="false">SUM(CJ10:CU10)</f>
        <v>3249726.60943928</v>
      </c>
      <c r="L42" s="273" t="n">
        <f aca="false">SUM(CV10:DG10)</f>
        <v>3252421.24187326</v>
      </c>
      <c r="M42" s="273" t="n">
        <f aca="false">SUM(DH10:DS10)</f>
        <v>3252421.24187326</v>
      </c>
    </row>
    <row r="43" customFormat="false" ht="15" hidden="false" customHeight="true" outlineLevel="0" collapsed="false">
      <c r="B43" s="178" t="s">
        <v>3646</v>
      </c>
      <c r="D43" s="273" t="n">
        <f aca="false">SUM(D16:O16)</f>
        <v>2114490.23475</v>
      </c>
      <c r="E43" s="273" t="n">
        <f aca="false">SUM(P16:AA16)</f>
        <v>314987.811</v>
      </c>
      <c r="F43" s="273" t="n">
        <f aca="false">SUM(AB16:AM16)</f>
        <v>811025.24125</v>
      </c>
      <c r="G43" s="273" t="n">
        <f aca="false">SUM(AN16:AY16)</f>
        <v>841551.7295</v>
      </c>
      <c r="H43" s="273" t="n">
        <f aca="false">SUM(AZ16:BK16)</f>
        <v>1730449.837</v>
      </c>
      <c r="I43" s="273" t="n">
        <f aca="false">SUM(BL16:BW16)</f>
        <v>1613899.8595</v>
      </c>
      <c r="J43" s="273" t="n">
        <f aca="false">SUM(BX16:CI16)</f>
        <v>1763053.4365</v>
      </c>
      <c r="K43" s="273" t="n">
        <f aca="false">SUM(CJ16:CU16)</f>
        <v>-1200</v>
      </c>
      <c r="L43" s="273" t="n">
        <f aca="false">SUM(CV16:DG16)</f>
        <v>0</v>
      </c>
      <c r="M43" s="273" t="n">
        <f aca="false">SUM(DH16:DS16)</f>
        <v>0</v>
      </c>
    </row>
    <row r="44" customFormat="false" ht="15" hidden="false" customHeight="true" outlineLevel="0" collapsed="false">
      <c r="B44" s="178" t="s">
        <v>3647</v>
      </c>
      <c r="D44" s="316" t="n">
        <f aca="false">AVERAGE(D17:O17)</f>
        <v>40.3643625</v>
      </c>
      <c r="E44" s="316" t="n">
        <f aca="false">AVERAGE(P17:AA17)</f>
        <v>82.495875</v>
      </c>
      <c r="F44" s="316" t="n">
        <f aca="false">AVERAGE(AB17:AM17)</f>
        <v>101.819804625</v>
      </c>
      <c r="G44" s="316" t="n">
        <f aca="false">AVERAGE(AN17:AY17)</f>
        <v>141.477942375</v>
      </c>
      <c r="H44" s="316" t="n">
        <f aca="false">AVERAGE(AZ17:BK17)</f>
        <v>174.810260625</v>
      </c>
      <c r="I44" s="316" t="n">
        <f aca="false">AVERAGE(BL17:BW17)</f>
        <v>226.611837375</v>
      </c>
      <c r="J44" s="316" t="n">
        <f aca="false">AVERAGE(BX17:CI17)</f>
        <v>295.1521505625</v>
      </c>
      <c r="K44" s="316" t="n">
        <f aca="false">AVERAGE(CJ17:CU17)</f>
        <v>335.536047</v>
      </c>
      <c r="L44" s="316" t="n">
        <f aca="false">AVERAGE(CV17:DG17)</f>
        <v>335.74464</v>
      </c>
      <c r="M44" s="316" t="n">
        <f aca="false">AVERAGE(DH17:DS17)</f>
        <v>335.74464</v>
      </c>
    </row>
    <row r="45" customFormat="false" ht="15" hidden="false" customHeight="true" outlineLevel="0" collapsed="false">
      <c r="B45" s="178" t="s">
        <v>295</v>
      </c>
      <c r="D45" s="298" t="n">
        <f aca="false">O18</f>
        <v>10</v>
      </c>
      <c r="E45" s="298" t="n">
        <f aca="false">AA18</f>
        <v>13</v>
      </c>
      <c r="F45" s="298" t="n">
        <f aca="false">AM18</f>
        <v>17</v>
      </c>
      <c r="G45" s="298" t="n">
        <f aca="false">AY18</f>
        <v>24</v>
      </c>
      <c r="H45" s="298" t="n">
        <f aca="false">BK18</f>
        <v>30</v>
      </c>
      <c r="I45" s="298" t="n">
        <f aca="false">BW18</f>
        <v>40</v>
      </c>
      <c r="J45" s="298" t="n">
        <f aca="false">CI18</f>
        <v>50</v>
      </c>
      <c r="K45" s="298" t="n">
        <f aca="false">CU18</f>
        <v>50</v>
      </c>
      <c r="L45" s="298" t="n">
        <f aca="false">DG18</f>
        <v>50</v>
      </c>
      <c r="M45" s="298" t="n">
        <f aca="false">DS18</f>
        <v>50</v>
      </c>
    </row>
    <row r="47" customFormat="false" ht="15" hidden="false" customHeight="true" outlineLevel="0" collapsed="false">
      <c r="A47" s="186" t="s">
        <v>3648</v>
      </c>
      <c r="B47" s="25"/>
      <c r="C47" s="25"/>
      <c r="D47" s="25"/>
      <c r="E47" s="25"/>
      <c r="F47" s="25"/>
      <c r="G47" s="25"/>
      <c r="H47" s="25"/>
    </row>
    <row r="48" customFormat="false" ht="15" hidden="false" customHeight="true" outlineLevel="0" collapsed="false">
      <c r="B48" s="178" t="s">
        <v>3649</v>
      </c>
      <c r="C48" s="178" t="s">
        <v>367</v>
      </c>
      <c r="D48" s="178" t="s">
        <v>3650</v>
      </c>
      <c r="E48" s="178" t="s">
        <v>3469</v>
      </c>
      <c r="F48" s="178" t="s">
        <v>3651</v>
      </c>
    </row>
    <row r="49" customFormat="false" ht="15" hidden="false" customHeight="true" outlineLevel="0" collapsed="false">
      <c r="B49" s="297" t="s">
        <v>3652</v>
      </c>
      <c r="C49" s="294" t="n">
        <f aca="false">CAPA1_PILOTO!$C$43</f>
        <v>899600.849526872</v>
      </c>
      <c r="D49" s="200" t="n">
        <f aca="false">CAPA1_PILOTO!$C$44</f>
        <v>0.321396448490166</v>
      </c>
      <c r="E49" s="267" t="n">
        <f aca="false">CAPA1_PILOTO!$C$45</f>
        <v>45</v>
      </c>
      <c r="F49" s="267" t="n">
        <f aca="false">CAPA1_PILOTO!$C$46</f>
        <v>68</v>
      </c>
    </row>
    <row r="50" customFormat="false" ht="15" hidden="false" customHeight="true" outlineLevel="0" collapsed="false">
      <c r="B50" s="297" t="s">
        <v>3653</v>
      </c>
      <c r="C50" s="294" t="n">
        <f aca="false">CAPA2_FLAGSHIP!$C$38</f>
        <v>-15369.0697551801</v>
      </c>
      <c r="D50" s="200" t="n">
        <f aca="false">CAPA2_FLAGSHIP!$C$39</f>
        <v>0.189906637313979</v>
      </c>
      <c r="E50" s="267" t="n">
        <f aca="false">CAPA2_FLAGSHIP!$C$36</f>
        <v>59</v>
      </c>
      <c r="F50" s="267" t="n">
        <f aca="false">CAPA2_FLAGSHIP!$C$37</f>
        <v>118</v>
      </c>
    </row>
    <row r="51" customFormat="false" ht="15" hidden="false" customHeight="true" outlineLevel="0" collapsed="false">
      <c r="B51" s="297" t="s">
        <v>3654</v>
      </c>
      <c r="C51" s="294" t="n">
        <f aca="false">CAPA3_EXPANSION!$C$61</f>
        <v>474911.928909866</v>
      </c>
      <c r="D51" s="497" t="str">
        <f aca="false">"autofinanciada"</f>
        <v>autofinanciada</v>
      </c>
      <c r="E51" s="497" t="str">
        <f aca="false">"n/a"</f>
        <v>n/a</v>
      </c>
      <c r="F51" s="497" t="str">
        <f aca="false">"n/a"</f>
        <v>n/a</v>
      </c>
    </row>
    <row r="52" customFormat="false" ht="15" hidden="false" customHeight="true" outlineLevel="0" collapsed="false">
      <c r="B52" s="297" t="s">
        <v>3655</v>
      </c>
      <c r="C52" s="294" t="n">
        <f aca="false">CAPA4_RETAIL!$C$27</f>
        <v>237134.668473156</v>
      </c>
      <c r="D52" s="200" t="n">
        <f aca="false">CAPA4_RETAIL!$C$28</f>
        <v>0.521729917481296</v>
      </c>
      <c r="E52" s="267" t="n">
        <f aca="false">CAPA4_RETAIL!$C$29</f>
        <v>36</v>
      </c>
      <c r="F52" s="267" t="n">
        <f aca="false">CAPA4_RETAIL!$C$30</f>
        <v>45</v>
      </c>
    </row>
    <row r="54" customFormat="false" ht="15" hidden="false" customHeight="true" outlineLevel="0" collapsed="false">
      <c r="B54" s="23" t="s">
        <v>3656</v>
      </c>
    </row>
    <row r="56" customFormat="false" ht="15" hidden="false" customHeight="true" outlineLevel="0" collapsed="false">
      <c r="B56" s="575" t="s">
        <v>3657</v>
      </c>
      <c r="C56" s="576"/>
      <c r="D56" s="576"/>
      <c r="E56" s="576"/>
      <c r="F56" s="576"/>
    </row>
    <row r="57" customFormat="false" ht="15" hidden="false" customHeight="true" outlineLevel="0" collapsed="false">
      <c r="B57" s="577" t="s">
        <v>3658</v>
      </c>
      <c r="C57" s="577"/>
      <c r="D57" s="577"/>
      <c r="E57" s="577"/>
      <c r="F57" s="577"/>
      <c r="G57" s="577"/>
      <c r="H57" s="577"/>
    </row>
    <row r="59" customFormat="false" ht="15" hidden="false" customHeight="true" outlineLevel="0" collapsed="false">
      <c r="B59" s="578" t="s">
        <v>3659</v>
      </c>
      <c r="C59" s="579" t="n">
        <v>0.03</v>
      </c>
    </row>
    <row r="60" customFormat="false" ht="15" hidden="false" customHeight="true" outlineLevel="0" collapsed="false">
      <c r="B60" s="580" t="s">
        <v>3660</v>
      </c>
      <c r="C60" s="340" t="n">
        <f aca="false">SUM(DH10:DS10)</f>
        <v>3252421.24187326</v>
      </c>
    </row>
    <row r="61" customFormat="false" ht="15" hidden="false" customHeight="true" outlineLevel="0" collapsed="false">
      <c r="B61" s="580" t="s">
        <v>3661</v>
      </c>
      <c r="C61" s="342" t="n">
        <f aca="false">SUP_CONTROL!$C$31</f>
        <v>0.2</v>
      </c>
    </row>
    <row r="62" customFormat="false" ht="15" hidden="false" customHeight="true" outlineLevel="0" collapsed="false">
      <c r="B62" s="580" t="s">
        <v>3662</v>
      </c>
      <c r="C62" s="581" t="n">
        <f aca="false">C60*(1+C59)/(C61-C59)</f>
        <v>19705846.3478203</v>
      </c>
    </row>
    <row r="63" customFormat="false" ht="15" hidden="false" customHeight="true" outlineLevel="0" collapsed="false">
      <c r="B63" s="580" t="s">
        <v>3663</v>
      </c>
      <c r="C63" s="581" t="n">
        <f aca="false">C62/(1+C61)^10</f>
        <v>3182604.20074246</v>
      </c>
    </row>
    <row r="65" customFormat="false" ht="15" hidden="false" customHeight="true" outlineLevel="0" collapsed="false">
      <c r="B65" s="582" t="s">
        <v>3664</v>
      </c>
      <c r="C65" s="583" t="n">
        <f aca="false">C25+C63</f>
        <v>4557116.9791792</v>
      </c>
    </row>
    <row r="67" customFormat="false" ht="15" hidden="false" customHeight="true" outlineLevel="0" collapsed="false">
      <c r="B67" s="578" t="s">
        <v>3665</v>
      </c>
    </row>
    <row r="68" customFormat="false" ht="15" hidden="false" customHeight="true" outlineLevel="0" collapsed="false">
      <c r="B68" s="578" t="s">
        <v>1041</v>
      </c>
      <c r="C68" s="578" t="s">
        <v>3666</v>
      </c>
    </row>
    <row r="69" customFormat="false" ht="15" hidden="false" customHeight="true" outlineLevel="0" collapsed="false">
      <c r="B69" s="584" t="n">
        <v>0</v>
      </c>
      <c r="C69" s="581" t="n">
        <f aca="false">C60*(1+B69)/(C61-B69)/(1+C61)^10+$C$25</f>
        <v>4000933.72079702</v>
      </c>
    </row>
    <row r="70" customFormat="false" ht="15" hidden="false" customHeight="true" outlineLevel="0" collapsed="false">
      <c r="B70" s="584" t="n">
        <v>0.02</v>
      </c>
      <c r="C70" s="581" t="n">
        <f aca="false">C60*(1+B70)/(C61-B70)/(1+C61)^10+$C$25</f>
        <v>4351123.17977839</v>
      </c>
    </row>
    <row r="71" customFormat="false" ht="15" hidden="false" customHeight="true" outlineLevel="0" collapsed="false">
      <c r="B71" s="584" t="n">
        <v>0.03</v>
      </c>
      <c r="C71" s="581" t="n">
        <f aca="false">C60*(1+B71)/(C61-B71)/(1+C61)^10+$C$25</f>
        <v>4557116.9791792</v>
      </c>
    </row>
    <row r="72" customFormat="false" ht="15" hidden="false" customHeight="true" outlineLevel="0" collapsed="false">
      <c r="B72" s="584" t="n">
        <v>0.04</v>
      </c>
      <c r="C72" s="581" t="n">
        <f aca="false">C60*(1+B72)/(C61-B72)/(1+C61)^10+$C$25</f>
        <v>4788860.00350511</v>
      </c>
    </row>
    <row r="73" customFormat="false" ht="15" hidden="false" customHeight="true" outlineLevel="0" collapsed="false">
      <c r="B73" s="584" t="n">
        <v>0.05</v>
      </c>
      <c r="C73" s="581" t="n">
        <f aca="false">C60*(1+B73)/(C61-B73)/(1+C61)^10+$C$25</f>
        <v>5051502.09774114</v>
      </c>
    </row>
  </sheetData>
  <mergeCells count="1">
    <mergeCell ref="B57:H5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false"/>
  </sheetPr>
  <dimension ref="B1:Z179"/>
  <sheetViews>
    <sheetView showFormulas="false" showGridLines="false" showRowColHeaders="true" showZeros="true" rightToLeft="false" tabSelected="false" showOutlineSymbols="true" defaultGridColor="true" view="normal" topLeftCell="A1" colorId="64" zoomScale="150" zoomScaleNormal="150" zoomScalePageLayoutView="100" workbookViewId="0">
      <pane xSplit="2" ySplit="12" topLeftCell="M159" activePane="bottomRight" state="frozen"/>
      <selection pane="topLeft" activeCell="A1" activeCellId="0" sqref="A1"/>
      <selection pane="topRight" activeCell="M1" activeCellId="0" sqref="M1"/>
      <selection pane="bottomLeft" activeCell="A159" activeCellId="0" sqref="A159"/>
      <selection pane="bottomRight" activeCell="F128" activeCellId="0" sqref="F128"/>
    </sheetView>
  </sheetViews>
  <sheetFormatPr defaultColWidth="8.66796875" defaultRowHeight="15" zeroHeight="false" outlineLevelRow="3" outlineLevelCol="0"/>
  <cols>
    <col collapsed="false" customWidth="true" hidden="false" outlineLevel="0" max="1" min="1" style="1" width="2"/>
    <col collapsed="false" customWidth="true" hidden="false" outlineLevel="0" max="2" min="2" style="1" width="46"/>
    <col collapsed="false" customWidth="true" hidden="false" outlineLevel="0" max="23" min="3" style="1" width="11.5"/>
  </cols>
  <sheetData>
    <row r="1" customFormat="false" ht="21.75" hidden="false" customHeight="true" outlineLevel="0" collapsed="false">
      <c r="B1" s="585" t="s">
        <v>3667</v>
      </c>
      <c r="C1" s="585"/>
      <c r="D1" s="585"/>
      <c r="E1" s="585"/>
      <c r="F1" s="585"/>
      <c r="G1" s="585"/>
      <c r="H1" s="585"/>
      <c r="I1" s="585"/>
      <c r="J1" s="585"/>
      <c r="K1" s="585"/>
      <c r="L1" s="585"/>
      <c r="M1" s="585"/>
      <c r="N1" s="585"/>
      <c r="O1" s="585"/>
      <c r="P1" s="585"/>
      <c r="Q1" s="585"/>
      <c r="R1" s="585"/>
      <c r="S1" s="585"/>
      <c r="T1" s="585"/>
      <c r="U1" s="585"/>
      <c r="V1" s="585"/>
      <c r="W1" s="585"/>
    </row>
    <row r="2" customFormat="false" ht="25.5" hidden="false" customHeight="true" outlineLevel="0" collapsed="false">
      <c r="B2" s="586" t="s">
        <v>3668</v>
      </c>
      <c r="C2" s="586"/>
      <c r="D2" s="586"/>
      <c r="E2" s="586"/>
      <c r="F2" s="586"/>
      <c r="G2" s="586"/>
      <c r="H2" s="586"/>
      <c r="I2" s="586"/>
      <c r="J2" s="586"/>
      <c r="K2" s="586"/>
      <c r="L2" s="586"/>
      <c r="M2" s="586"/>
      <c r="N2" s="586"/>
      <c r="O2" s="586"/>
      <c r="P2" s="586"/>
      <c r="Q2" s="586"/>
      <c r="R2" s="586"/>
      <c r="S2" s="586"/>
      <c r="T2" s="586"/>
      <c r="U2" s="586"/>
      <c r="V2" s="586"/>
      <c r="W2" s="586"/>
    </row>
    <row r="3" customFormat="false" ht="15" hidden="false" customHeight="true" outlineLevel="0" collapsed="false">
      <c r="B3" s="578" t="s">
        <v>3669</v>
      </c>
      <c r="C3" s="587" t="str">
        <f aca="false">SUP_CONTROL!$C$7</f>
        <v>MEDIO</v>
      </c>
    </row>
    <row r="4" customFormat="false" ht="15" hidden="false" customHeight="true" outlineLevel="0" collapsed="false">
      <c r="B4" s="578" t="s">
        <v>3670</v>
      </c>
      <c r="C4" s="339" t="n">
        <f aca="false">SUP_CONTROL!$C$11</f>
        <v>1</v>
      </c>
      <c r="D4" s="339" t="n">
        <f aca="false">SUP_CONTROL!$C$12</f>
        <v>0</v>
      </c>
      <c r="E4" s="339" t="n">
        <f aca="false">SUP_CONTROL!$C$13</f>
        <v>1</v>
      </c>
      <c r="F4" s="339" t="n">
        <f aca="false">SUP_CONTROL!$C$14</f>
        <v>0</v>
      </c>
    </row>
    <row r="6" customFormat="false" ht="18" hidden="false" customHeight="true" outlineLevel="0" collapsed="false">
      <c r="B6" s="588" t="s">
        <v>3671</v>
      </c>
      <c r="C6" s="589" t="s">
        <v>3672</v>
      </c>
      <c r="D6" s="589" t="s">
        <v>3673</v>
      </c>
      <c r="E6" s="589" t="s">
        <v>3674</v>
      </c>
      <c r="F6" s="589" t="s">
        <v>3675</v>
      </c>
      <c r="G6" s="589" t="s">
        <v>3676</v>
      </c>
      <c r="H6" s="589" t="s">
        <v>3677</v>
      </c>
      <c r="I6" s="589" t="s">
        <v>3678</v>
      </c>
      <c r="J6" s="589" t="s">
        <v>3679</v>
      </c>
      <c r="K6" s="589" t="s">
        <v>3680</v>
      </c>
      <c r="L6" s="589" t="s">
        <v>3681</v>
      </c>
      <c r="M6" s="589" t="s">
        <v>3682</v>
      </c>
      <c r="N6" s="589" t="s">
        <v>3683</v>
      </c>
      <c r="O6" s="589" t="s">
        <v>1878</v>
      </c>
      <c r="P6" s="589" t="s">
        <v>1879</v>
      </c>
      <c r="Q6" s="589" t="s">
        <v>1880</v>
      </c>
      <c r="R6" s="589" t="s">
        <v>1881</v>
      </c>
      <c r="S6" s="589" t="s">
        <v>1882</v>
      </c>
      <c r="T6" s="589" t="s">
        <v>1883</v>
      </c>
      <c r="U6" s="589" t="s">
        <v>1884</v>
      </c>
      <c r="V6" s="589" t="s">
        <v>1885</v>
      </c>
      <c r="W6" s="589" t="s">
        <v>1886</v>
      </c>
    </row>
    <row r="8" customFormat="false" ht="15" hidden="false" customHeight="true" outlineLevel="0" collapsed="false">
      <c r="B8" s="590" t="s">
        <v>3684</v>
      </c>
      <c r="C8" s="591"/>
      <c r="D8" s="591"/>
      <c r="E8" s="591"/>
      <c r="F8" s="591"/>
      <c r="G8" s="591"/>
      <c r="H8" s="591"/>
      <c r="I8" s="591"/>
      <c r="J8" s="591"/>
      <c r="K8" s="591"/>
      <c r="L8" s="591"/>
      <c r="M8" s="591"/>
      <c r="N8" s="591"/>
      <c r="O8" s="591"/>
      <c r="P8" s="591"/>
      <c r="Q8" s="591"/>
      <c r="R8" s="591"/>
      <c r="S8" s="591"/>
      <c r="T8" s="591"/>
      <c r="U8" s="591"/>
      <c r="V8" s="591"/>
      <c r="W8" s="591"/>
      <c r="X8" s="591"/>
      <c r="Y8" s="591"/>
      <c r="Z8" s="591"/>
    </row>
    <row r="9" customFormat="false" ht="15" hidden="false" customHeight="true" outlineLevel="1" collapsed="false">
      <c r="B9" s="592" t="s">
        <v>3685</v>
      </c>
    </row>
    <row r="10" customFormat="false" ht="15" hidden="false" customHeight="true" outlineLevel="1" collapsed="false">
      <c r="B10" s="593" t="s">
        <v>665</v>
      </c>
      <c r="C10" s="593" t="s">
        <v>3686</v>
      </c>
      <c r="D10" s="593" t="s">
        <v>3687</v>
      </c>
      <c r="E10" s="593" t="s">
        <v>3688</v>
      </c>
      <c r="F10" s="593" t="s">
        <v>3689</v>
      </c>
      <c r="G10" s="593" t="s">
        <v>3690</v>
      </c>
    </row>
    <row r="11" customFormat="false" ht="15" hidden="false" customHeight="true" outlineLevel="2" collapsed="false">
      <c r="B11" s="594" t="s">
        <v>670</v>
      </c>
      <c r="C11" s="595" t="str">
        <f aca="false">INDEX(SUP_MENU!$B$7:$B$23,MATCH(B11,SUP_MENU!$A$7:$A$23,0))</f>
        <v>Asado</v>
      </c>
      <c r="D11" s="596" t="n">
        <f aca="false">INDEX(SUP_PRECIOS!$L$8:$L$24,MATCH(B11,SUP_PRECIOS!$A$8:$A$24,0))</f>
        <v>0.128985910151135</v>
      </c>
      <c r="E11" s="596" t="n">
        <f aca="false">INDEX(SUP_PRECIOS!$M$8:$M$24,MATCH(B11,SUP_PRECIOS!$A$8:$A$24,0))</f>
        <v>0.132982984545873</v>
      </c>
      <c r="F11" s="597" t="n">
        <f aca="false">INDEX(SUP_PRECIOS!$J$8:$J$24,MATCH(B11,SUP_PRECIOS!$A$8:$A$24,0))</f>
        <v>7001.50862068966</v>
      </c>
      <c r="G11" s="597" t="n">
        <f aca="false">INDEX(SUP_PRECIOS!$K$8:$K$24,MATCH(B11,SUP_PRECIOS!$A$8:$A$24,0))</f>
        <v>3174.69670477403</v>
      </c>
    </row>
    <row r="12" customFormat="false" ht="15" hidden="false" customHeight="true" outlineLevel="2" collapsed="false">
      <c r="B12" s="594" t="s">
        <v>675</v>
      </c>
      <c r="C12" s="595" t="str">
        <f aca="false">INDEX(SUP_MENU!$B$7:$B$23,MATCH(B12,SUP_MENU!$A$7:$A$23,0))</f>
        <v>Asado</v>
      </c>
      <c r="D12" s="596" t="n">
        <f aca="false">INDEX(SUP_PRECIOS!$L$8:$L$24,MATCH(B12,SUP_PRECIOS!$A$8:$A$24,0))</f>
        <v>0.0811268846651934</v>
      </c>
      <c r="E12" s="596" t="n">
        <f aca="false">INDEX(SUP_PRECIOS!$M$8:$M$24,MATCH(B12,SUP_PRECIOS!$A$8:$A$24,0))</f>
        <v>0.0787511567504099</v>
      </c>
      <c r="F12" s="597" t="n">
        <f aca="false">INDEX(SUP_PRECIOS!$J$8:$J$24,MATCH(B12,SUP_PRECIOS!$A$8:$A$24,0))</f>
        <v>4403.66379310345</v>
      </c>
      <c r="G12" s="597" t="n">
        <f aca="false">INDEX(SUP_PRECIOS!$K$8:$K$24,MATCH(B12,SUP_PRECIOS!$A$8:$A$24,0))</f>
        <v>1880.02276145657</v>
      </c>
    </row>
    <row r="13" customFormat="false" ht="15" hidden="false" customHeight="true" outlineLevel="2" collapsed="false">
      <c r="B13" s="594" t="s">
        <v>679</v>
      </c>
      <c r="C13" s="595" t="str">
        <f aca="false">INDEX(SUP_MENU!$B$7:$B$23,MATCH(B13,SUP_MENU!$A$7:$A$23,0))</f>
        <v>Asado</v>
      </c>
      <c r="D13" s="596" t="n">
        <f aca="false">INDEX(SUP_PRECIOS!$L$8:$L$24,MATCH(B13,SUP_PRECIOS!$A$8:$A$24,0))</f>
        <v>0.0895313964578465</v>
      </c>
      <c r="E13" s="596" t="n">
        <f aca="false">INDEX(SUP_PRECIOS!$M$8:$M$24,MATCH(B13,SUP_PRECIOS!$A$8:$A$24,0))</f>
        <v>0.0866560345950115</v>
      </c>
      <c r="F13" s="597" t="n">
        <f aca="false">INDEX(SUP_PRECIOS!$J$8:$J$24,MATCH(B13,SUP_PRECIOS!$A$8:$A$24,0))</f>
        <v>4859.87068965517</v>
      </c>
      <c r="G13" s="597" t="n">
        <f aca="false">INDEX(SUP_PRECIOS!$K$8:$K$24,MATCH(B13,SUP_PRECIOS!$A$8:$A$24,0))</f>
        <v>2068.73554851424</v>
      </c>
    </row>
    <row r="14" customFormat="false" ht="15" hidden="false" customHeight="true" outlineLevel="2" collapsed="false">
      <c r="B14" s="594" t="s">
        <v>683</v>
      </c>
      <c r="C14" s="595" t="str">
        <f aca="false">INDEX(SUP_MENU!$B$7:$B$23,MATCH(B14,SUP_MENU!$A$7:$A$23,0))</f>
        <v>Asado</v>
      </c>
      <c r="D14" s="596" t="n">
        <f aca="false">INDEX(SUP_PRECIOS!$L$8:$L$24,MATCH(B14,SUP_PRECIOS!$A$8:$A$24,0))</f>
        <v>0.0645513197407942</v>
      </c>
      <c r="E14" s="596" t="n">
        <f aca="false">INDEX(SUP_PRECIOS!$M$8:$M$24,MATCH(B14,SUP_PRECIOS!$A$8:$A$24,0))</f>
        <v>0.056663849728691</v>
      </c>
      <c r="F14" s="597" t="n">
        <f aca="false">INDEX(SUP_PRECIOS!$J$8:$J$24,MATCH(B14,SUP_PRECIOS!$A$8:$A$24,0))</f>
        <v>3503.9224137931</v>
      </c>
      <c r="G14" s="597" t="n">
        <f aca="false">INDEX(SUP_PRECIOS!$K$8:$K$24,MATCH(B14,SUP_PRECIOS!$A$8:$A$24,0))</f>
        <v>1352.73349164029</v>
      </c>
    </row>
    <row r="15" customFormat="false" ht="15" hidden="false" customHeight="true" outlineLevel="2" collapsed="false">
      <c r="B15" s="594" t="s">
        <v>687</v>
      </c>
      <c r="C15" s="595" t="str">
        <f aca="false">INDEX(SUP_MENU!$B$7:$B$23,MATCH(B15,SUP_MENU!$A$7:$A$23,0))</f>
        <v>Asado</v>
      </c>
      <c r="D15" s="596" t="n">
        <f aca="false">INDEX(SUP_PRECIOS!$L$8:$L$24,MATCH(B15,SUP_PRECIOS!$A$8:$A$24,0))</f>
        <v>0.0600322270903795</v>
      </c>
      <c r="E15" s="596" t="n">
        <f aca="false">INDEX(SUP_PRECIOS!$M$8:$M$24,MATCH(B15,SUP_PRECIOS!$A$8:$A$24,0))</f>
        <v>0.0580752455304431</v>
      </c>
      <c r="F15" s="597" t="n">
        <f aca="false">INDEX(SUP_PRECIOS!$J$8:$J$24,MATCH(B15,SUP_PRECIOS!$A$8:$A$24,0))</f>
        <v>3258.62068965517</v>
      </c>
      <c r="G15" s="597" t="n">
        <f aca="false">INDEX(SUP_PRECIOS!$K$8:$K$24,MATCH(B15,SUP_PRECIOS!$A$8:$A$24,0))</f>
        <v>1386.42767903017</v>
      </c>
    </row>
    <row r="16" customFormat="false" ht="15" hidden="false" customHeight="true" outlineLevel="2" collapsed="false">
      <c r="B16" s="594" t="s">
        <v>691</v>
      </c>
      <c r="C16" s="595" t="str">
        <f aca="false">INDEX(SUP_MENU!$B$7:$B$23,MATCH(B16,SUP_MENU!$A$7:$A$23,0))</f>
        <v>Broaster</v>
      </c>
      <c r="D16" s="596" t="n">
        <f aca="false">INDEX(SUP_PRECIOS!$L$8:$L$24,MATCH(B16,SUP_PRECIOS!$A$8:$A$24,0))</f>
        <v>0.0849437253257904</v>
      </c>
      <c r="E16" s="596" t="n">
        <f aca="false">INDEX(SUP_PRECIOS!$M$8:$M$24,MATCH(B16,SUP_PRECIOS!$A$8:$A$24,0))</f>
        <v>0.0896463385684513</v>
      </c>
      <c r="F16" s="597" t="n">
        <f aca="false">INDEX(SUP_PRECIOS!$J$8:$J$24,MATCH(B16,SUP_PRECIOS!$A$8:$A$24,0))</f>
        <v>4610.84644396552</v>
      </c>
      <c r="G16" s="597" t="n">
        <f aca="false">INDEX(SUP_PRECIOS!$K$8:$K$24,MATCH(B16,SUP_PRECIOS!$A$8:$A$24,0))</f>
        <v>2140.12293843612</v>
      </c>
    </row>
    <row r="17" customFormat="false" ht="15" hidden="false" customHeight="true" outlineLevel="2" collapsed="false">
      <c r="B17" s="594" t="s">
        <v>696</v>
      </c>
      <c r="C17" s="595" t="str">
        <f aca="false">INDEX(SUP_MENU!$B$7:$B$23,MATCH(B17,SUP_MENU!$A$7:$A$23,0))</f>
        <v>Broaster</v>
      </c>
      <c r="D17" s="596" t="n">
        <f aca="false">INDEX(SUP_PRECIOS!$L$8:$L$24,MATCH(B17,SUP_PRECIOS!$A$8:$A$24,0))</f>
        <v>0.0528302358466305</v>
      </c>
      <c r="E17" s="596" t="n">
        <f aca="false">INDEX(SUP_PRECIOS!$M$8:$M$24,MATCH(B17,SUP_PRECIOS!$A$8:$A$24,0))</f>
        <v>0.0526116529718612</v>
      </c>
      <c r="F17" s="597" t="n">
        <f aca="false">INDEX(SUP_PRECIOS!$J$8:$J$24,MATCH(B17,SUP_PRECIOS!$A$8:$A$24,0))</f>
        <v>2867.6880387931</v>
      </c>
      <c r="G17" s="597" t="n">
        <f aca="false">INDEX(SUP_PRECIOS!$K$8:$K$24,MATCH(B17,SUP_PRECIOS!$A$8:$A$24,0))</f>
        <v>1255.99558389266</v>
      </c>
    </row>
    <row r="18" customFormat="false" ht="15" hidden="false" customHeight="true" outlineLevel="2" collapsed="false">
      <c r="B18" s="594" t="s">
        <v>700</v>
      </c>
      <c r="C18" s="595" t="str">
        <f aca="false">INDEX(SUP_MENU!$B$7:$B$23,MATCH(B18,SUP_MENU!$A$7:$A$23,0))</f>
        <v>Broaster</v>
      </c>
      <c r="D18" s="596" t="n">
        <f aca="false">INDEX(SUP_PRECIOS!$L$8:$L$24,MATCH(B18,SUP_PRECIOS!$A$8:$A$24,0))</f>
        <v>0.10242998747296</v>
      </c>
      <c r="E18" s="596" t="n">
        <f aca="false">INDEX(SUP_PRECIOS!$M$8:$M$24,MATCH(B18,SUP_PRECIOS!$A$8:$A$24,0))</f>
        <v>0.106005727762292</v>
      </c>
      <c r="F18" s="597" t="n">
        <f aca="false">INDEX(SUP_PRECIOS!$J$8:$J$24,MATCH(B18,SUP_PRECIOS!$A$8:$A$24,0))</f>
        <v>5560.02155172414</v>
      </c>
      <c r="G18" s="597" t="n">
        <f aca="false">INDEX(SUP_PRECIOS!$K$8:$K$24,MATCH(B18,SUP_PRECIOS!$A$8:$A$24,0))</f>
        <v>2530.66988805648</v>
      </c>
    </row>
    <row r="19" customFormat="false" ht="15" hidden="false" customHeight="true" outlineLevel="2" collapsed="false">
      <c r="B19" s="594" t="s">
        <v>704</v>
      </c>
      <c r="C19" s="595" t="str">
        <f aca="false">INDEX(SUP_MENU!$B$7:$B$23,MATCH(B19,SUP_MENU!$A$7:$A$23,0))</f>
        <v>Broaster</v>
      </c>
      <c r="D19" s="596" t="n">
        <f aca="false">INDEX(SUP_PRECIOS!$L$8:$L$24,MATCH(B19,SUP_PRECIOS!$A$8:$A$24,0))</f>
        <v>0.0522280375686301</v>
      </c>
      <c r="E19" s="596" t="n">
        <f aca="false">INDEX(SUP_PRECIOS!$M$8:$M$24,MATCH(B19,SUP_PRECIOS!$A$8:$A$24,0))</f>
        <v>0.0409504740353147</v>
      </c>
      <c r="F19" s="597" t="n">
        <f aca="false">INDEX(SUP_PRECIOS!$J$8:$J$24,MATCH(B19,SUP_PRECIOS!$A$8:$A$24,0))</f>
        <v>2835</v>
      </c>
      <c r="G19" s="597" t="n">
        <f aca="false">INDEX(SUP_PRECIOS!$K$8:$K$24,MATCH(B19,SUP_PRECIOS!$A$8:$A$24,0))</f>
        <v>977.608792755</v>
      </c>
    </row>
    <row r="20" customFormat="false" ht="15" hidden="false" customHeight="true" outlineLevel="2" collapsed="false">
      <c r="B20" s="594" t="s">
        <v>708</v>
      </c>
      <c r="C20" s="595" t="str">
        <f aca="false">INDEX(SUP_MENU!$B$7:$B$23,MATCH(B20,SUP_MENU!$A$7:$A$23,0))</f>
        <v>Value meal</v>
      </c>
      <c r="D20" s="596" t="n">
        <f aca="false">INDEX(SUP_PRECIOS!$L$8:$L$24,MATCH(B20,SUP_PRECIOS!$A$8:$A$24,0))</f>
        <v>0.0384206253378429</v>
      </c>
      <c r="E20" s="596" t="n">
        <f aca="false">INDEX(SUP_PRECIOS!$M$8:$M$24,MATCH(B20,SUP_PRECIOS!$A$8:$A$24,0))</f>
        <v>0.0191061328268026</v>
      </c>
      <c r="F20" s="597" t="n">
        <f aca="false">INDEX(SUP_PRECIOS!$J$8:$J$24,MATCH(B20,SUP_PRECIOS!$A$8:$A$24,0))</f>
        <v>2085.51724137931</v>
      </c>
      <c r="G20" s="597" t="n">
        <f aca="false">INDEX(SUP_PRECIOS!$K$8:$K$24,MATCH(B20,SUP_PRECIOS!$A$8:$A$24,0))</f>
        <v>456.119834679311</v>
      </c>
    </row>
    <row r="21" customFormat="false" ht="15" hidden="false" customHeight="true" outlineLevel="2" collapsed="false">
      <c r="B21" s="594" t="s">
        <v>713</v>
      </c>
      <c r="C21" s="595" t="str">
        <f aca="false">INDEX(SUP_MENU!$B$7:$B$23,MATCH(B21,SUP_MENU!$A$7:$A$23,0))</f>
        <v>Crudo marinado</v>
      </c>
      <c r="D21" s="596" t="n">
        <f aca="false">INDEX(SUP_PRECIOS!$L$8:$L$24,MATCH(B21,SUP_PRECIOS!$A$8:$A$24,0))</f>
        <v>0.0560300786176875</v>
      </c>
      <c r="E21" s="596" t="n">
        <f aca="false">INDEX(SUP_PRECIOS!$M$8:$M$24,MATCH(B21,SUP_PRECIOS!$A$8:$A$24,0))</f>
        <v>0.0630666810317333</v>
      </c>
      <c r="F21" s="597" t="n">
        <f aca="false">INDEX(SUP_PRECIOS!$J$8:$J$24,MATCH(B21,SUP_PRECIOS!$A$8:$A$24,0))</f>
        <v>3041.37931034483</v>
      </c>
      <c r="G21" s="597" t="n">
        <f aca="false">INDEX(SUP_PRECIOS!$K$8:$K$24,MATCH(B21,SUP_PRECIOS!$A$8:$A$24,0))</f>
        <v>1505.58799034483</v>
      </c>
    </row>
    <row r="22" customFormat="false" ht="15" hidden="false" customHeight="true" outlineLevel="2" collapsed="false">
      <c r="B22" s="594" t="s">
        <v>718</v>
      </c>
      <c r="C22" s="595" t="str">
        <f aca="false">INDEX(SUP_MENU!$B$7:$B$23,MATCH(B22,SUP_MENU!$A$7:$A$23,0))</f>
        <v>Familiar</v>
      </c>
      <c r="D22" s="596" t="n">
        <f aca="false">INDEX(SUP_PRECIOS!$L$8:$L$24,MATCH(B22,SUP_PRECIOS!$A$8:$A$24,0))</f>
        <v>0.0485201647189302</v>
      </c>
      <c r="E22" s="596" t="n">
        <f aca="false">INDEX(SUP_PRECIOS!$M$8:$M$24,MATCH(B22,SUP_PRECIOS!$A$8:$A$24,0))</f>
        <v>0.0430712792771352</v>
      </c>
      <c r="F22" s="597" t="n">
        <f aca="false">INDEX(SUP_PRECIOS!$J$8:$J$24,MATCH(B22,SUP_PRECIOS!$A$8:$A$24,0))</f>
        <v>2633.7322515213</v>
      </c>
      <c r="G22" s="597" t="n">
        <f aca="false">INDEX(SUP_PRECIOS!$K$8:$K$24,MATCH(B22,SUP_PRECIOS!$A$8:$A$24,0))</f>
        <v>1028.23867924512</v>
      </c>
    </row>
    <row r="23" customFormat="false" ht="15" hidden="false" customHeight="true" outlineLevel="2" collapsed="false">
      <c r="B23" s="594" t="s">
        <v>723</v>
      </c>
      <c r="C23" s="595" t="str">
        <f aca="false">INDEX(SUP_MENU!$B$7:$B$23,MATCH(B23,SUP_MENU!$A$7:$A$23,0))</f>
        <v>Porkbelly</v>
      </c>
      <c r="D23" s="596" t="n">
        <f aca="false">INDEX(SUP_PRECIOS!$L$8:$L$24,MATCH(B23,SUP_PRECIOS!$A$8:$A$24,0))</f>
        <v>0.0376392534931744</v>
      </c>
      <c r="E23" s="596" t="n">
        <f aca="false">INDEX(SUP_PRECIOS!$M$8:$M$24,MATCH(B23,SUP_PRECIOS!$A$8:$A$24,0))</f>
        <v>0.0530373424060636</v>
      </c>
      <c r="F23" s="597" t="n">
        <f aca="false">INDEX(SUP_PRECIOS!$J$8:$J$24,MATCH(B23,SUP_PRECIOS!$A$8:$A$24,0))</f>
        <v>2043.10344827586</v>
      </c>
      <c r="G23" s="597" t="n">
        <f aca="false">INDEX(SUP_PRECIOS!$K$8:$K$24,MATCH(B23,SUP_PRECIOS!$A$8:$A$24,0))</f>
        <v>1266.15804827586</v>
      </c>
    </row>
    <row r="24" customFormat="false" ht="15" hidden="false" customHeight="true" outlineLevel="2" collapsed="false">
      <c r="B24" s="594" t="s">
        <v>728</v>
      </c>
      <c r="C24" s="595" t="str">
        <f aca="false">INDEX(SUP_MENU!$B$7:$B$23,MATCH(B24,SUP_MENU!$A$7:$A$23,0))</f>
        <v>Porkbelly</v>
      </c>
      <c r="D24" s="596" t="n">
        <f aca="false">INDEX(SUP_PRECIOS!$L$8:$L$24,MATCH(B24,SUP_PRECIOS!$A$8:$A$24,0))</f>
        <v>0.0226788413452545</v>
      </c>
      <c r="E24" s="596" t="n">
        <f aca="false">INDEX(SUP_PRECIOS!$M$8:$M$24,MATCH(B24,SUP_PRECIOS!$A$8:$A$24,0))</f>
        <v>0.0263217596129523</v>
      </c>
      <c r="F24" s="597" t="n">
        <f aca="false">INDEX(SUP_PRECIOS!$J$8:$J$24,MATCH(B24,SUP_PRECIOS!$A$8:$A$24,0))</f>
        <v>1231.03448275862</v>
      </c>
      <c r="G24" s="597" t="n">
        <f aca="false">INDEX(SUP_PRECIOS!$K$8:$K$24,MATCH(B24,SUP_PRECIOS!$A$8:$A$24,0))</f>
        <v>628.378162758621</v>
      </c>
    </row>
    <row r="25" customFormat="false" ht="15" hidden="false" customHeight="true" outlineLevel="2" collapsed="false">
      <c r="B25" s="594" t="s">
        <v>732</v>
      </c>
      <c r="C25" s="595" t="str">
        <f aca="false">INDEX(SUP_MENU!$B$7:$B$23,MATCH(B25,SUP_MENU!$A$7:$A$23,0))</f>
        <v>Adicional</v>
      </c>
      <c r="D25" s="596" t="n">
        <f aca="false">INDEX(SUP_PRECIOS!$L$8:$L$24,MATCH(B25,SUP_PRECIOS!$A$8:$A$24,0))</f>
        <v>0.0482236820287657</v>
      </c>
      <c r="E25" s="596" t="n">
        <f aca="false">INDEX(SUP_PRECIOS!$M$8:$M$24,MATCH(B25,SUP_PRECIOS!$A$8:$A$24,0))</f>
        <v>0.0455436913546757</v>
      </c>
      <c r="F25" s="597" t="n">
        <f aca="false">INDEX(SUP_PRECIOS!$J$8:$J$24,MATCH(B25,SUP_PRECIOS!$A$8:$A$24,0))</f>
        <v>2617.63881845842</v>
      </c>
      <c r="G25" s="597" t="n">
        <f aca="false">INDEX(SUP_PRECIOS!$K$8:$K$24,MATCH(B25,SUP_PRECIOS!$A$8:$A$24,0))</f>
        <v>1087.26245963489</v>
      </c>
    </row>
    <row r="26" customFormat="false" ht="15" hidden="false" customHeight="true" outlineLevel="2" collapsed="false">
      <c r="B26" s="594" t="s">
        <v>737</v>
      </c>
      <c r="C26" s="595" t="str">
        <f aca="false">INDEX(SUP_MENU!$B$7:$B$23,MATCH(B26,SUP_MENU!$A$7:$A$23,0))</f>
        <v>Adicional</v>
      </c>
      <c r="D26" s="596" t="n">
        <f aca="false">INDEX(SUP_PRECIOS!$L$8:$L$24,MATCH(B26,SUP_PRECIOS!$A$8:$A$24,0))</f>
        <v>0.0318276301389854</v>
      </c>
      <c r="E26" s="596" t="n">
        <f aca="false">INDEX(SUP_PRECIOS!$M$8:$M$24,MATCH(B26,SUP_PRECIOS!$A$8:$A$24,0))</f>
        <v>0.0475096490022894</v>
      </c>
      <c r="F26" s="597" t="n">
        <f aca="false">INDEX(SUP_PRECIOS!$J$8:$J$24,MATCH(B26,SUP_PRECIOS!$A$8:$A$24,0))</f>
        <v>1727.64162018256</v>
      </c>
      <c r="G26" s="597" t="n">
        <f aca="false">INDEX(SUP_PRECIOS!$K$8:$K$24,MATCH(B26,SUP_PRECIOS!$A$8:$A$24,0))</f>
        <v>1134.19567659432</v>
      </c>
    </row>
    <row r="27" customFormat="false" ht="15" hidden="false" customHeight="true" outlineLevel="2" collapsed="false">
      <c r="B27" s="594" t="s">
        <v>741</v>
      </c>
      <c r="C27" s="595" t="str">
        <f aca="false">INDEX(SUP_MENU!$B$7:$B$23,MATCH(B27,SUP_MENU!$A$7:$A$23,0))</f>
        <v>Adicional</v>
      </c>
      <c r="D27" s="596" t="n">
        <f aca="false">INDEX(SUP_PRECIOS!$L$8:$L$24,MATCH(B27,SUP_PRECIOS!$A$8:$A$24,0))</f>
        <v>0</v>
      </c>
      <c r="E27" s="596" t="n">
        <f aca="false">INDEX(SUP_PRECIOS!$M$8:$M$24,MATCH(B27,SUP_PRECIOS!$A$8:$A$24,0))</f>
        <v>0</v>
      </c>
      <c r="F27" s="597" t="n">
        <f aca="false">INDEX(SUP_PRECIOS!$J$8:$J$24,MATCH(B27,SUP_PRECIOS!$A$8:$A$24,0))</f>
        <v>0</v>
      </c>
      <c r="G27" s="597" t="n">
        <f aca="false">INDEX(SUP_PRECIOS!$K$8:$K$24,MATCH(B27,SUP_PRECIOS!$A$8:$A$24,0))</f>
        <v>0</v>
      </c>
    </row>
    <row r="29" customFormat="false" ht="15" hidden="false" customHeight="true" outlineLevel="1" collapsed="false">
      <c r="B29" s="593" t="s">
        <v>3686</v>
      </c>
      <c r="C29" s="593" t="s">
        <v>3691</v>
      </c>
      <c r="D29" s="593" t="s">
        <v>3692</v>
      </c>
    </row>
    <row r="30" customFormat="false" ht="15" hidden="false" customHeight="true" outlineLevel="2" collapsed="false">
      <c r="B30" s="594" t="s">
        <v>671</v>
      </c>
      <c r="C30" s="598" t="n">
        <f aca="false">SUMIF($C$11:$C$27,$B30,$D$11:$D$27)</f>
        <v>0.424227738105348</v>
      </c>
      <c r="D30" s="598" t="n">
        <f aca="false">SUMIF($C$11:$C$27,$B30,$G$11:$G$27)/SUMIF($C$11:$C$27,$B30,$F$11:$F$27)</f>
        <v>0.428295701373231</v>
      </c>
    </row>
    <row r="31" customFormat="false" ht="15" hidden="false" customHeight="true" outlineLevel="2" collapsed="false">
      <c r="B31" s="594" t="s">
        <v>692</v>
      </c>
      <c r="C31" s="598" t="n">
        <f aca="false">SUMIF($C$11:$C$27,$B31,$D$11:$D$27)</f>
        <v>0.292431986214011</v>
      </c>
      <c r="D31" s="598" t="n">
        <f aca="false">SUMIF($C$11:$C$27,$B31,$G$11:$G$27)/SUMIF($C$11:$C$27,$B31,$F$11:$F$27)</f>
        <v>0.43496222195843</v>
      </c>
    </row>
    <row r="32" customFormat="false" ht="15" hidden="false" customHeight="true" outlineLevel="2" collapsed="false">
      <c r="B32" s="594" t="s">
        <v>709</v>
      </c>
      <c r="C32" s="598" t="n">
        <f aca="false">SUMIF($C$11:$C$27,$B32,$D$11:$D$27)</f>
        <v>0.0384206253378429</v>
      </c>
      <c r="D32" s="598" t="n">
        <f aca="false">SUMIF($C$11:$C$27,$B32,$G$11:$G$27)/SUMIF($C$11:$C$27,$B32,$F$11:$F$27)</f>
        <v>0.2187082540625</v>
      </c>
    </row>
    <row r="33" customFormat="false" ht="15" hidden="false" customHeight="true" outlineLevel="2" collapsed="false">
      <c r="B33" s="594" t="s">
        <v>714</v>
      </c>
      <c r="C33" s="598" t="n">
        <f aca="false">SUMIF($C$11:$C$27,$B33,$D$11:$D$27)</f>
        <v>0.0560300786176875</v>
      </c>
      <c r="D33" s="598" t="n">
        <f aca="false">SUMIF($C$11:$C$27,$B33,$G$11:$G$27)/SUMIF($C$11:$C$27,$B33,$F$11:$F$27)</f>
        <v>0.4950346</v>
      </c>
    </row>
    <row r="34" customFormat="false" ht="15" hidden="false" customHeight="true" outlineLevel="2" collapsed="false">
      <c r="B34" s="594" t="s">
        <v>719</v>
      </c>
      <c r="C34" s="598" t="n">
        <f aca="false">SUMIF($C$11:$C$27,$B34,$D$11:$D$27)</f>
        <v>0.0485201647189302</v>
      </c>
      <c r="D34" s="598" t="n">
        <f aca="false">SUMIF($C$11:$C$27,$B34,$G$11:$G$27)/SUMIF($C$11:$C$27,$B34,$F$11:$F$27)</f>
        <v>0.390411241936681</v>
      </c>
    </row>
    <row r="35" customFormat="false" ht="15" hidden="false" customHeight="true" outlineLevel="2" collapsed="false">
      <c r="B35" s="594" t="s">
        <v>724</v>
      </c>
      <c r="C35" s="598" t="n">
        <f aca="false">SUMIF($C$11:$C$27,$B35,$D$11:$D$27)</f>
        <v>0.0603180948384289</v>
      </c>
      <c r="D35" s="598" t="n">
        <f aca="false">SUMIF($C$11:$C$27,$B35,$G$11:$G$27)/SUMIF($C$11:$C$27,$B35,$F$11:$F$27)</f>
        <v>0.578636652132701</v>
      </c>
    </row>
    <row r="36" customFormat="false" ht="15" hidden="false" customHeight="true" outlineLevel="2" collapsed="false">
      <c r="B36" s="594" t="s">
        <v>733</v>
      </c>
      <c r="C36" s="598" t="n">
        <f aca="false">SUMIF($C$11:$C$27,$B36,$D$11:$D$27)</f>
        <v>0.0800513121677511</v>
      </c>
      <c r="D36" s="598" t="n">
        <f aca="false">SUMIF($C$11:$C$27,$B36,$G$11:$G$27)/SUMIF($C$11:$C$27,$B36,$F$11:$F$27)</f>
        <v>0.511234698795181</v>
      </c>
    </row>
    <row r="39" customFormat="false" ht="15" hidden="false" customHeight="true" outlineLevel="0" collapsed="false">
      <c r="B39" s="575" t="s">
        <v>3693</v>
      </c>
      <c r="C39" s="576"/>
      <c r="D39" s="576"/>
      <c r="E39" s="576"/>
      <c r="F39" s="576"/>
      <c r="G39" s="576"/>
      <c r="H39" s="576"/>
      <c r="I39" s="576"/>
      <c r="J39" s="576"/>
      <c r="K39" s="576"/>
      <c r="L39" s="576"/>
      <c r="M39" s="576"/>
      <c r="N39" s="576"/>
      <c r="O39" s="576"/>
      <c r="P39" s="576"/>
      <c r="Q39" s="576"/>
      <c r="R39" s="576"/>
      <c r="S39" s="576"/>
      <c r="T39" s="576"/>
      <c r="U39" s="576"/>
      <c r="V39" s="576"/>
      <c r="W39" s="576"/>
      <c r="X39" s="576"/>
      <c r="Y39" s="576"/>
      <c r="Z39" s="576"/>
    </row>
    <row r="40" customFormat="false" ht="15" hidden="false" customHeight="true" outlineLevel="1" collapsed="false">
      <c r="B40" s="578" t="s">
        <v>3694</v>
      </c>
    </row>
    <row r="41" customFormat="false" ht="15" hidden="false" customHeight="true" outlineLevel="2" collapsed="false">
      <c r="B41" s="599" t="s">
        <v>3695</v>
      </c>
    </row>
    <row r="42" customFormat="false" ht="15" hidden="false" customHeight="true" outlineLevel="3" collapsed="false">
      <c r="B42" s="600" t="s">
        <v>671</v>
      </c>
      <c r="C42" s="340" t="n">
        <f aca="false">CAPA1_PILOTO!D11*INDEX(SUP_VOLUMEN!$C$30:$E$30,SUP_CONTROL!$C$6)*SUP_CONTROL!$C$26*$C$30*SUP_CONTROL!$C$11</f>
        <v>0</v>
      </c>
      <c r="D42" s="340" t="n">
        <f aca="false">CAPA1_PILOTO!E11*INDEX(SUP_VOLUMEN!$C$30:$E$30,SUP_CONTROL!$C$6)*SUP_CONTROL!$C$26*$C$30*SUP_CONTROL!$C$11</f>
        <v>0</v>
      </c>
      <c r="E42" s="340" t="n">
        <f aca="false">CAPA1_PILOTO!F11*INDEX(SUP_VOLUMEN!$C$30:$E$30,SUP_CONTROL!$C$6)*SUP_CONTROL!$C$26*$C$30*SUP_CONTROL!$C$11</f>
        <v>0</v>
      </c>
      <c r="F42" s="340" t="n">
        <f aca="false">CAPA1_PILOTO!G11*INDEX(SUP_VOLUMEN!$C$30:$E$30,SUP_CONTROL!$C$6)*SUP_CONTROL!$C$26*$C$30*SUP_CONTROL!$C$11</f>
        <v>32238.6206896552</v>
      </c>
      <c r="G42" s="340" t="n">
        <f aca="false">CAPA1_PILOTO!H11*INDEX(SUP_VOLUMEN!$C$30:$E$30,SUP_CONTROL!$C$6)*SUP_CONTROL!$C$26*$C$30*SUP_CONTROL!$C$11</f>
        <v>71385.5172413793</v>
      </c>
      <c r="H42" s="340" t="n">
        <f aca="false">CAPA1_PILOTO!I11*INDEX(SUP_VOLUMEN!$C$30:$E$30,SUP_CONTROL!$C$6)*SUP_CONTROL!$C$26*$C$30*SUP_CONTROL!$C$11</f>
        <v>117440.689655172</v>
      </c>
      <c r="I42" s="340" t="n">
        <f aca="false">CAPA1_PILOTO!J11*INDEX(SUP_VOLUMEN!$C$30:$E$30,SUP_CONTROL!$C$6)*SUP_CONTROL!$C$26*$C$30*SUP_CONTROL!$C$11</f>
        <v>147376.551724138</v>
      </c>
      <c r="J42" s="340" t="n">
        <f aca="false">CAPA1_PILOTO!K11*INDEX(SUP_VOLUMEN!$C$30:$E$30,SUP_CONTROL!$C$6)*SUP_CONTROL!$C$26*$C$30*SUP_CONTROL!$C$11</f>
        <v>157738.965517241</v>
      </c>
      <c r="K42" s="340" t="n">
        <f aca="false">CAPA1_PILOTO!L11*INDEX(SUP_VOLUMEN!$C$30:$E$30,SUP_CONTROL!$C$6)*SUP_CONTROL!$C$26*$C$30*SUP_CONTROL!$C$11</f>
        <v>161193.103448276</v>
      </c>
      <c r="L42" s="340" t="n">
        <f aca="false">CAPA1_PILOTO!M11*INDEX(SUP_VOLUMEN!$C$30:$E$30,SUP_CONTROL!$C$6)*SUP_CONTROL!$C$26*$C$30*SUP_CONTROL!$C$11</f>
        <v>161193.103448276</v>
      </c>
      <c r="M42" s="340" t="n">
        <f aca="false">CAPA1_PILOTO!N11*INDEX(SUP_VOLUMEN!$C$30:$E$30,SUP_CONTROL!$C$6)*SUP_CONTROL!$C$26*$C$30*SUP_CONTROL!$C$11</f>
        <v>161193.103448276</v>
      </c>
      <c r="N42" s="340" t="n">
        <f aca="false">CAPA1_PILOTO!O11*INDEX(SUP_VOLUMEN!$C$30:$E$30,SUP_CONTROL!$C$6)*SUP_CONTROL!$C$26*$C$30*SUP_CONTROL!$C$11</f>
        <v>161193.103448276</v>
      </c>
      <c r="O42" s="340" t="n">
        <f aca="false">SUM(CAPA1_PILOTO!P11:AA11)*INDEX(SUP_VOLUMEN!$C$30:$E$30,SUP_CONTROL!$C$6)*SUP_CONTROL!$C$26*$C$30*SUP_CONTROL!$C$11</f>
        <v>1934317.24137931</v>
      </c>
      <c r="P42" s="340" t="n">
        <f aca="false">SUM(CAPA1_PILOTO!AB11:AM11)*INDEX(SUP_VOLUMEN!$C$30:$E$30,SUP_CONTROL!$C$6)*SUP_CONTROL!$C$26*$C$30*SUP_CONTROL!$C$11</f>
        <v>1934317.24137931</v>
      </c>
      <c r="Q42" s="340" t="n">
        <f aca="false">SUM(CAPA1_PILOTO!AN11:AY11)*INDEX(SUP_VOLUMEN!$C$30:$E$30,SUP_CONTROL!$C$6)*SUP_CONTROL!$C$26*$C$30*SUP_CONTROL!$C$11</f>
        <v>1934317.24137931</v>
      </c>
      <c r="R42" s="340" t="n">
        <f aca="false">SUM(CAPA1_PILOTO!AZ11:BK11)*INDEX(SUP_VOLUMEN!$C$30:$E$30,SUP_CONTROL!$C$6)*SUP_CONTROL!$C$26*$C$30*SUP_CONTROL!$C$11</f>
        <v>1934317.24137931</v>
      </c>
      <c r="S42" s="340" t="n">
        <f aca="false">SUM(CAPA1_PILOTO!BL11:BW11)*INDEX(SUP_VOLUMEN!$C$30:$E$30,SUP_CONTROL!$C$6)*SUP_CONTROL!$C$26*$C$30*SUP_CONTROL!$C$11</f>
        <v>1934317.24137931</v>
      </c>
      <c r="T42" s="340" t="n">
        <f aca="false">SUM(CAPA1_PILOTO!BX11:CI11)*INDEX(SUP_VOLUMEN!$C$30:$E$30,SUP_CONTROL!$C$6)*SUP_CONTROL!$C$26*$C$30*SUP_CONTROL!$C$11</f>
        <v>1934317.24137931</v>
      </c>
      <c r="U42" s="340" t="n">
        <f aca="false">SUM(CAPA1_PILOTO!CJ11:CU11)*INDEX(SUP_VOLUMEN!$C$30:$E$30,SUP_CONTROL!$C$6)*SUP_CONTROL!$C$26*$C$30*SUP_CONTROL!$C$11</f>
        <v>1934317.24137931</v>
      </c>
      <c r="V42" s="340" t="n">
        <f aca="false">SUM(CAPA1_PILOTO!CV11:DG11)*INDEX(SUP_VOLUMEN!$C$30:$E$30,SUP_CONTROL!$C$6)*SUP_CONTROL!$C$26*$C$30*SUP_CONTROL!$C$11</f>
        <v>1934317.24137931</v>
      </c>
      <c r="W42" s="340" t="n">
        <f aca="false">SUM(CAPA1_PILOTO!DH11:DS11)*INDEX(SUP_VOLUMEN!$C$30:$E$30,SUP_CONTROL!$C$6)*SUP_CONTROL!$C$26*$C$30*SUP_CONTROL!$C$11</f>
        <v>1934317.24137931</v>
      </c>
    </row>
    <row r="43" customFormat="false" ht="15" hidden="false" customHeight="true" outlineLevel="3" collapsed="false">
      <c r="B43" s="600" t="s">
        <v>692</v>
      </c>
      <c r="C43" s="340" t="n">
        <f aca="false">CAPA1_PILOTO!D11*INDEX(SUP_VOLUMEN!$C$30:$E$30,SUP_CONTROL!$C$6)*SUP_CONTROL!$C$26*$C$31*SUP_CONTROL!$C$11</f>
        <v>0</v>
      </c>
      <c r="D43" s="340" t="n">
        <f aca="false">CAPA1_PILOTO!E11*INDEX(SUP_VOLUMEN!$C$30:$E$30,SUP_CONTROL!$C$6)*SUP_CONTROL!$C$26*$C$31*SUP_CONTROL!$C$11</f>
        <v>0</v>
      </c>
      <c r="E43" s="340" t="n">
        <f aca="false">CAPA1_PILOTO!F11*INDEX(SUP_VOLUMEN!$C$30:$E$30,SUP_CONTROL!$C$6)*SUP_CONTROL!$C$26*$C$31*SUP_CONTROL!$C$11</f>
        <v>0</v>
      </c>
      <c r="F43" s="340" t="n">
        <f aca="false">CAPA1_PILOTO!G11*INDEX(SUP_VOLUMEN!$C$30:$E$30,SUP_CONTROL!$C$6)*SUP_CONTROL!$C$26*$C$31*SUP_CONTROL!$C$11</f>
        <v>22222.9784482759</v>
      </c>
      <c r="G43" s="340" t="n">
        <f aca="false">CAPA1_PILOTO!H11*INDEX(SUP_VOLUMEN!$C$30:$E$30,SUP_CONTROL!$C$6)*SUP_CONTROL!$C$26*$C$31*SUP_CONTROL!$C$11</f>
        <v>49208.0237068966</v>
      </c>
      <c r="H43" s="340" t="n">
        <f aca="false">CAPA1_PILOTO!I11*INDEX(SUP_VOLUMEN!$C$30:$E$30,SUP_CONTROL!$C$6)*SUP_CONTROL!$C$26*$C$31*SUP_CONTROL!$C$11</f>
        <v>80955.1357758621</v>
      </c>
      <c r="I43" s="340" t="n">
        <f aca="false">CAPA1_PILOTO!J11*INDEX(SUP_VOLUMEN!$C$30:$E$30,SUP_CONTROL!$C$6)*SUP_CONTROL!$C$26*$C$31*SUP_CONTROL!$C$11</f>
        <v>101590.75862069</v>
      </c>
      <c r="J43" s="340" t="n">
        <f aca="false">CAPA1_PILOTO!K11*INDEX(SUP_VOLUMEN!$C$30:$E$30,SUP_CONTROL!$C$6)*SUP_CONTROL!$C$26*$C$31*SUP_CONTROL!$C$11</f>
        <v>108733.858836207</v>
      </c>
      <c r="K43" s="340" t="n">
        <f aca="false">CAPA1_PILOTO!L11*INDEX(SUP_VOLUMEN!$C$30:$E$30,SUP_CONTROL!$C$6)*SUP_CONTROL!$C$26*$C$31*SUP_CONTROL!$C$11</f>
        <v>111114.892241379</v>
      </c>
      <c r="L43" s="340" t="n">
        <f aca="false">CAPA1_PILOTO!M11*INDEX(SUP_VOLUMEN!$C$30:$E$30,SUP_CONTROL!$C$6)*SUP_CONTROL!$C$26*$C$31*SUP_CONTROL!$C$11</f>
        <v>111114.892241379</v>
      </c>
      <c r="M43" s="340" t="n">
        <f aca="false">CAPA1_PILOTO!N11*INDEX(SUP_VOLUMEN!$C$30:$E$30,SUP_CONTROL!$C$6)*SUP_CONTROL!$C$26*$C$31*SUP_CONTROL!$C$11</f>
        <v>111114.892241379</v>
      </c>
      <c r="N43" s="340" t="n">
        <f aca="false">CAPA1_PILOTO!O11*INDEX(SUP_VOLUMEN!$C$30:$E$30,SUP_CONTROL!$C$6)*SUP_CONTROL!$C$26*$C$31*SUP_CONTROL!$C$11</f>
        <v>111114.892241379</v>
      </c>
      <c r="O43" s="340" t="n">
        <f aca="false">SUM(CAPA1_PILOTO!P11:AA11)*INDEX(SUP_VOLUMEN!$C$30:$E$30,SUP_CONTROL!$C$6)*SUP_CONTROL!$C$26*$C$31*SUP_CONTROL!$C$11</f>
        <v>1333378.70689655</v>
      </c>
      <c r="P43" s="340" t="n">
        <f aca="false">SUM(CAPA1_PILOTO!AB11:AM11)*INDEX(SUP_VOLUMEN!$C$30:$E$30,SUP_CONTROL!$C$6)*SUP_CONTROL!$C$26*$C$31*SUP_CONTROL!$C$11</f>
        <v>1333378.70689655</v>
      </c>
      <c r="Q43" s="340" t="n">
        <f aca="false">SUM(CAPA1_PILOTO!AN11:AY11)*INDEX(SUP_VOLUMEN!$C$30:$E$30,SUP_CONTROL!$C$6)*SUP_CONTROL!$C$26*$C$31*SUP_CONTROL!$C$11</f>
        <v>1333378.70689655</v>
      </c>
      <c r="R43" s="340" t="n">
        <f aca="false">SUM(CAPA1_PILOTO!AZ11:BK11)*INDEX(SUP_VOLUMEN!$C$30:$E$30,SUP_CONTROL!$C$6)*SUP_CONTROL!$C$26*$C$31*SUP_CONTROL!$C$11</f>
        <v>1333378.70689655</v>
      </c>
      <c r="S43" s="340" t="n">
        <f aca="false">SUM(CAPA1_PILOTO!BL11:BW11)*INDEX(SUP_VOLUMEN!$C$30:$E$30,SUP_CONTROL!$C$6)*SUP_CONTROL!$C$26*$C$31*SUP_CONTROL!$C$11</f>
        <v>1333378.70689655</v>
      </c>
      <c r="T43" s="340" t="n">
        <f aca="false">SUM(CAPA1_PILOTO!BX11:CI11)*INDEX(SUP_VOLUMEN!$C$30:$E$30,SUP_CONTROL!$C$6)*SUP_CONTROL!$C$26*$C$31*SUP_CONTROL!$C$11</f>
        <v>1333378.70689655</v>
      </c>
      <c r="U43" s="340" t="n">
        <f aca="false">SUM(CAPA1_PILOTO!CJ11:CU11)*INDEX(SUP_VOLUMEN!$C$30:$E$30,SUP_CONTROL!$C$6)*SUP_CONTROL!$C$26*$C$31*SUP_CONTROL!$C$11</f>
        <v>1333378.70689655</v>
      </c>
      <c r="V43" s="340" t="n">
        <f aca="false">SUM(CAPA1_PILOTO!CV11:DG11)*INDEX(SUP_VOLUMEN!$C$30:$E$30,SUP_CONTROL!$C$6)*SUP_CONTROL!$C$26*$C$31*SUP_CONTROL!$C$11</f>
        <v>1333378.70689655</v>
      </c>
      <c r="W43" s="340" t="n">
        <f aca="false">SUM(CAPA1_PILOTO!DH11:DS11)*INDEX(SUP_VOLUMEN!$C$30:$E$30,SUP_CONTROL!$C$6)*SUP_CONTROL!$C$26*$C$31*SUP_CONTROL!$C$11</f>
        <v>1333378.70689655</v>
      </c>
    </row>
    <row r="44" customFormat="false" ht="15" hidden="false" customHeight="true" outlineLevel="3" collapsed="false">
      <c r="B44" s="600" t="s">
        <v>709</v>
      </c>
      <c r="C44" s="340" t="n">
        <f aca="false">CAPA1_PILOTO!D11*INDEX(SUP_VOLUMEN!$C$30:$E$30,SUP_CONTROL!$C$6)*SUP_CONTROL!$C$26*$C$32*SUP_CONTROL!$C$11</f>
        <v>0</v>
      </c>
      <c r="D44" s="340" t="n">
        <f aca="false">CAPA1_PILOTO!E11*INDEX(SUP_VOLUMEN!$C$30:$E$30,SUP_CONTROL!$C$6)*SUP_CONTROL!$C$26*$C$32*SUP_CONTROL!$C$11</f>
        <v>0</v>
      </c>
      <c r="E44" s="340" t="n">
        <f aca="false">CAPA1_PILOTO!F11*INDEX(SUP_VOLUMEN!$C$30:$E$30,SUP_CONTROL!$C$6)*SUP_CONTROL!$C$26*$C$32*SUP_CONTROL!$C$11</f>
        <v>0</v>
      </c>
      <c r="F44" s="340" t="n">
        <f aca="false">CAPA1_PILOTO!G11*INDEX(SUP_VOLUMEN!$C$30:$E$30,SUP_CONTROL!$C$6)*SUP_CONTROL!$C$26*$C$32*SUP_CONTROL!$C$11</f>
        <v>2919.72413793104</v>
      </c>
      <c r="G44" s="340" t="n">
        <f aca="false">CAPA1_PILOTO!H11*INDEX(SUP_VOLUMEN!$C$30:$E$30,SUP_CONTROL!$C$6)*SUP_CONTROL!$C$26*$C$32*SUP_CONTROL!$C$11</f>
        <v>6465.10344827586</v>
      </c>
      <c r="H44" s="340" t="n">
        <f aca="false">CAPA1_PILOTO!I11*INDEX(SUP_VOLUMEN!$C$30:$E$30,SUP_CONTROL!$C$6)*SUP_CONTROL!$C$26*$C$32*SUP_CONTROL!$C$11</f>
        <v>10636.1379310345</v>
      </c>
      <c r="I44" s="340" t="n">
        <f aca="false">CAPA1_PILOTO!J11*INDEX(SUP_VOLUMEN!$C$30:$E$30,SUP_CONTROL!$C$6)*SUP_CONTROL!$C$26*$C$32*SUP_CONTROL!$C$11</f>
        <v>13347.3103448276</v>
      </c>
      <c r="J44" s="340" t="n">
        <f aca="false">CAPA1_PILOTO!K11*INDEX(SUP_VOLUMEN!$C$30:$E$30,SUP_CONTROL!$C$6)*SUP_CONTROL!$C$26*$C$32*SUP_CONTROL!$C$11</f>
        <v>14285.7931034483</v>
      </c>
      <c r="K44" s="340" t="n">
        <f aca="false">CAPA1_PILOTO!L11*INDEX(SUP_VOLUMEN!$C$30:$E$30,SUP_CONTROL!$C$6)*SUP_CONTROL!$C$26*$C$32*SUP_CONTROL!$C$11</f>
        <v>14598.6206896552</v>
      </c>
      <c r="L44" s="340" t="n">
        <f aca="false">CAPA1_PILOTO!M11*INDEX(SUP_VOLUMEN!$C$30:$E$30,SUP_CONTROL!$C$6)*SUP_CONTROL!$C$26*$C$32*SUP_CONTROL!$C$11</f>
        <v>14598.6206896552</v>
      </c>
      <c r="M44" s="340" t="n">
        <f aca="false">CAPA1_PILOTO!N11*INDEX(SUP_VOLUMEN!$C$30:$E$30,SUP_CONTROL!$C$6)*SUP_CONTROL!$C$26*$C$32*SUP_CONTROL!$C$11</f>
        <v>14598.6206896552</v>
      </c>
      <c r="N44" s="340" t="n">
        <f aca="false">CAPA1_PILOTO!O11*INDEX(SUP_VOLUMEN!$C$30:$E$30,SUP_CONTROL!$C$6)*SUP_CONTROL!$C$26*$C$32*SUP_CONTROL!$C$11</f>
        <v>14598.6206896552</v>
      </c>
      <c r="O44" s="340" t="n">
        <f aca="false">SUM(CAPA1_PILOTO!P11:AA11)*INDEX(SUP_VOLUMEN!$C$30:$E$30,SUP_CONTROL!$C$6)*SUP_CONTROL!$C$26*$C$32*SUP_CONTROL!$C$11</f>
        <v>175183.448275862</v>
      </c>
      <c r="P44" s="340" t="n">
        <f aca="false">SUM(CAPA1_PILOTO!AB11:AM11)*INDEX(SUP_VOLUMEN!$C$30:$E$30,SUP_CONTROL!$C$6)*SUP_CONTROL!$C$26*$C$32*SUP_CONTROL!$C$11</f>
        <v>175183.448275862</v>
      </c>
      <c r="Q44" s="340" t="n">
        <f aca="false">SUM(CAPA1_PILOTO!AN11:AY11)*INDEX(SUP_VOLUMEN!$C$30:$E$30,SUP_CONTROL!$C$6)*SUP_CONTROL!$C$26*$C$32*SUP_CONTROL!$C$11</f>
        <v>175183.448275862</v>
      </c>
      <c r="R44" s="340" t="n">
        <f aca="false">SUM(CAPA1_PILOTO!AZ11:BK11)*INDEX(SUP_VOLUMEN!$C$30:$E$30,SUP_CONTROL!$C$6)*SUP_CONTROL!$C$26*$C$32*SUP_CONTROL!$C$11</f>
        <v>175183.448275862</v>
      </c>
      <c r="S44" s="340" t="n">
        <f aca="false">SUM(CAPA1_PILOTO!BL11:BW11)*INDEX(SUP_VOLUMEN!$C$30:$E$30,SUP_CONTROL!$C$6)*SUP_CONTROL!$C$26*$C$32*SUP_CONTROL!$C$11</f>
        <v>175183.448275862</v>
      </c>
      <c r="T44" s="340" t="n">
        <f aca="false">SUM(CAPA1_PILOTO!BX11:CI11)*INDEX(SUP_VOLUMEN!$C$30:$E$30,SUP_CONTROL!$C$6)*SUP_CONTROL!$C$26*$C$32*SUP_CONTROL!$C$11</f>
        <v>175183.448275862</v>
      </c>
      <c r="U44" s="340" t="n">
        <f aca="false">SUM(CAPA1_PILOTO!CJ11:CU11)*INDEX(SUP_VOLUMEN!$C$30:$E$30,SUP_CONTROL!$C$6)*SUP_CONTROL!$C$26*$C$32*SUP_CONTROL!$C$11</f>
        <v>175183.448275862</v>
      </c>
      <c r="V44" s="340" t="n">
        <f aca="false">SUM(CAPA1_PILOTO!CV11:DG11)*INDEX(SUP_VOLUMEN!$C$30:$E$30,SUP_CONTROL!$C$6)*SUP_CONTROL!$C$26*$C$32*SUP_CONTROL!$C$11</f>
        <v>175183.448275862</v>
      </c>
      <c r="W44" s="340" t="n">
        <f aca="false">SUM(CAPA1_PILOTO!DH11:DS11)*INDEX(SUP_VOLUMEN!$C$30:$E$30,SUP_CONTROL!$C$6)*SUP_CONTROL!$C$26*$C$32*SUP_CONTROL!$C$11</f>
        <v>175183.448275862</v>
      </c>
    </row>
    <row r="45" customFormat="false" ht="15" hidden="false" customHeight="true" outlineLevel="3" collapsed="false">
      <c r="B45" s="600" t="s">
        <v>714</v>
      </c>
      <c r="C45" s="340" t="n">
        <f aca="false">CAPA1_PILOTO!D11*INDEX(SUP_VOLUMEN!$C$30:$E$30,SUP_CONTROL!$C$6)*SUP_CONTROL!$C$26*$C$33*SUP_CONTROL!$C$11</f>
        <v>0</v>
      </c>
      <c r="D45" s="340" t="n">
        <f aca="false">CAPA1_PILOTO!E11*INDEX(SUP_VOLUMEN!$C$30:$E$30,SUP_CONTROL!$C$6)*SUP_CONTROL!$C$26*$C$33*SUP_CONTROL!$C$11</f>
        <v>0</v>
      </c>
      <c r="E45" s="340" t="n">
        <f aca="false">CAPA1_PILOTO!F11*INDEX(SUP_VOLUMEN!$C$30:$E$30,SUP_CONTROL!$C$6)*SUP_CONTROL!$C$26*$C$33*SUP_CONTROL!$C$11</f>
        <v>0</v>
      </c>
      <c r="F45" s="340" t="n">
        <f aca="false">CAPA1_PILOTO!G11*INDEX(SUP_VOLUMEN!$C$30:$E$30,SUP_CONTROL!$C$6)*SUP_CONTROL!$C$26*$C$33*SUP_CONTROL!$C$11</f>
        <v>4257.93103448276</v>
      </c>
      <c r="G45" s="340" t="n">
        <f aca="false">CAPA1_PILOTO!H11*INDEX(SUP_VOLUMEN!$C$30:$E$30,SUP_CONTROL!$C$6)*SUP_CONTROL!$C$26*$C$33*SUP_CONTROL!$C$11</f>
        <v>9428.27586206897</v>
      </c>
      <c r="H45" s="340" t="n">
        <f aca="false">CAPA1_PILOTO!I11*INDEX(SUP_VOLUMEN!$C$30:$E$30,SUP_CONTROL!$C$6)*SUP_CONTROL!$C$26*$C$33*SUP_CONTROL!$C$11</f>
        <v>15511.0344827586</v>
      </c>
      <c r="I45" s="340" t="n">
        <f aca="false">CAPA1_PILOTO!J11*INDEX(SUP_VOLUMEN!$C$30:$E$30,SUP_CONTROL!$C$6)*SUP_CONTROL!$C$26*$C$33*SUP_CONTROL!$C$11</f>
        <v>19464.8275862069</v>
      </c>
      <c r="J45" s="340" t="n">
        <f aca="false">CAPA1_PILOTO!K11*INDEX(SUP_VOLUMEN!$C$30:$E$30,SUP_CONTROL!$C$6)*SUP_CONTROL!$C$26*$C$33*SUP_CONTROL!$C$11</f>
        <v>20833.4482758621</v>
      </c>
      <c r="K45" s="340" t="n">
        <f aca="false">CAPA1_PILOTO!L11*INDEX(SUP_VOLUMEN!$C$30:$E$30,SUP_CONTROL!$C$6)*SUP_CONTROL!$C$26*$C$33*SUP_CONTROL!$C$11</f>
        <v>21289.6551724138</v>
      </c>
      <c r="L45" s="340" t="n">
        <f aca="false">CAPA1_PILOTO!M11*INDEX(SUP_VOLUMEN!$C$30:$E$30,SUP_CONTROL!$C$6)*SUP_CONTROL!$C$26*$C$33*SUP_CONTROL!$C$11</f>
        <v>21289.6551724138</v>
      </c>
      <c r="M45" s="340" t="n">
        <f aca="false">CAPA1_PILOTO!N11*INDEX(SUP_VOLUMEN!$C$30:$E$30,SUP_CONTROL!$C$6)*SUP_CONTROL!$C$26*$C$33*SUP_CONTROL!$C$11</f>
        <v>21289.6551724138</v>
      </c>
      <c r="N45" s="340" t="n">
        <f aca="false">CAPA1_PILOTO!O11*INDEX(SUP_VOLUMEN!$C$30:$E$30,SUP_CONTROL!$C$6)*SUP_CONTROL!$C$26*$C$33*SUP_CONTROL!$C$11</f>
        <v>21289.6551724138</v>
      </c>
      <c r="O45" s="340" t="n">
        <f aca="false">SUM(CAPA1_PILOTO!P11:AA11)*INDEX(SUP_VOLUMEN!$C$30:$E$30,SUP_CONTROL!$C$6)*SUP_CONTROL!$C$26*$C$33*SUP_CONTROL!$C$11</f>
        <v>255475.862068966</v>
      </c>
      <c r="P45" s="340" t="n">
        <f aca="false">SUM(CAPA1_PILOTO!AB11:AM11)*INDEX(SUP_VOLUMEN!$C$30:$E$30,SUP_CONTROL!$C$6)*SUP_CONTROL!$C$26*$C$33*SUP_CONTROL!$C$11</f>
        <v>255475.862068966</v>
      </c>
      <c r="Q45" s="340" t="n">
        <f aca="false">SUM(CAPA1_PILOTO!AN11:AY11)*INDEX(SUP_VOLUMEN!$C$30:$E$30,SUP_CONTROL!$C$6)*SUP_CONTROL!$C$26*$C$33*SUP_CONTROL!$C$11</f>
        <v>255475.862068966</v>
      </c>
      <c r="R45" s="340" t="n">
        <f aca="false">SUM(CAPA1_PILOTO!AZ11:BK11)*INDEX(SUP_VOLUMEN!$C$30:$E$30,SUP_CONTROL!$C$6)*SUP_CONTROL!$C$26*$C$33*SUP_CONTROL!$C$11</f>
        <v>255475.862068966</v>
      </c>
      <c r="S45" s="340" t="n">
        <f aca="false">SUM(CAPA1_PILOTO!BL11:BW11)*INDEX(SUP_VOLUMEN!$C$30:$E$30,SUP_CONTROL!$C$6)*SUP_CONTROL!$C$26*$C$33*SUP_CONTROL!$C$11</f>
        <v>255475.862068966</v>
      </c>
      <c r="T45" s="340" t="n">
        <f aca="false">SUM(CAPA1_PILOTO!BX11:CI11)*INDEX(SUP_VOLUMEN!$C$30:$E$30,SUP_CONTROL!$C$6)*SUP_CONTROL!$C$26*$C$33*SUP_CONTROL!$C$11</f>
        <v>255475.862068966</v>
      </c>
      <c r="U45" s="340" t="n">
        <f aca="false">SUM(CAPA1_PILOTO!CJ11:CU11)*INDEX(SUP_VOLUMEN!$C$30:$E$30,SUP_CONTROL!$C$6)*SUP_CONTROL!$C$26*$C$33*SUP_CONTROL!$C$11</f>
        <v>255475.862068966</v>
      </c>
      <c r="V45" s="340" t="n">
        <f aca="false">SUM(CAPA1_PILOTO!CV11:DG11)*INDEX(SUP_VOLUMEN!$C$30:$E$30,SUP_CONTROL!$C$6)*SUP_CONTROL!$C$26*$C$33*SUP_CONTROL!$C$11</f>
        <v>255475.862068966</v>
      </c>
      <c r="W45" s="340" t="n">
        <f aca="false">SUM(CAPA1_PILOTO!DH11:DS11)*INDEX(SUP_VOLUMEN!$C$30:$E$30,SUP_CONTROL!$C$6)*SUP_CONTROL!$C$26*$C$33*SUP_CONTROL!$C$11</f>
        <v>255475.862068966</v>
      </c>
    </row>
    <row r="46" customFormat="false" ht="15" hidden="false" customHeight="true" outlineLevel="3" collapsed="false">
      <c r="B46" s="600" t="s">
        <v>719</v>
      </c>
      <c r="C46" s="340" t="n">
        <f aca="false">CAPA1_PILOTO!D11*INDEX(SUP_VOLUMEN!$C$30:$E$30,SUP_CONTROL!$C$6)*SUP_CONTROL!$C$26*$C$34*SUP_CONTROL!$C$11</f>
        <v>0</v>
      </c>
      <c r="D46" s="340" t="n">
        <f aca="false">CAPA1_PILOTO!E11*INDEX(SUP_VOLUMEN!$C$30:$E$30,SUP_CONTROL!$C$6)*SUP_CONTROL!$C$26*$C$34*SUP_CONTROL!$C$11</f>
        <v>0</v>
      </c>
      <c r="E46" s="340" t="n">
        <f aca="false">CAPA1_PILOTO!F11*INDEX(SUP_VOLUMEN!$C$30:$E$30,SUP_CONTROL!$C$6)*SUP_CONTROL!$C$26*$C$34*SUP_CONTROL!$C$11</f>
        <v>0</v>
      </c>
      <c r="F46" s="340" t="n">
        <f aca="false">CAPA1_PILOTO!G11*INDEX(SUP_VOLUMEN!$C$30:$E$30,SUP_CONTROL!$C$6)*SUP_CONTROL!$C$26*$C$34*SUP_CONTROL!$C$11</f>
        <v>3687.22515212982</v>
      </c>
      <c r="G46" s="340" t="n">
        <f aca="false">CAPA1_PILOTO!H11*INDEX(SUP_VOLUMEN!$C$30:$E$30,SUP_CONTROL!$C$6)*SUP_CONTROL!$C$26*$C$34*SUP_CONTROL!$C$11</f>
        <v>8164.56997971602</v>
      </c>
      <c r="H46" s="340" t="n">
        <f aca="false">CAPA1_PILOTO!I11*INDEX(SUP_VOLUMEN!$C$30:$E$30,SUP_CONTROL!$C$6)*SUP_CONTROL!$C$26*$C$34*SUP_CONTROL!$C$11</f>
        <v>13432.0344827586</v>
      </c>
      <c r="I46" s="340" t="n">
        <f aca="false">CAPA1_PILOTO!J11*INDEX(SUP_VOLUMEN!$C$30:$E$30,SUP_CONTROL!$C$6)*SUP_CONTROL!$C$26*$C$34*SUP_CONTROL!$C$11</f>
        <v>16855.8864097363</v>
      </c>
      <c r="J46" s="340" t="n">
        <f aca="false">CAPA1_PILOTO!K11*INDEX(SUP_VOLUMEN!$C$30:$E$30,SUP_CONTROL!$C$6)*SUP_CONTROL!$C$26*$C$34*SUP_CONTROL!$C$11</f>
        <v>18041.0659229209</v>
      </c>
      <c r="K46" s="340" t="n">
        <f aca="false">CAPA1_PILOTO!L11*INDEX(SUP_VOLUMEN!$C$30:$E$30,SUP_CONTROL!$C$6)*SUP_CONTROL!$C$26*$C$34*SUP_CONTROL!$C$11</f>
        <v>18436.1257606491</v>
      </c>
      <c r="L46" s="340" t="n">
        <f aca="false">CAPA1_PILOTO!M11*INDEX(SUP_VOLUMEN!$C$30:$E$30,SUP_CONTROL!$C$6)*SUP_CONTROL!$C$26*$C$34*SUP_CONTROL!$C$11</f>
        <v>18436.1257606491</v>
      </c>
      <c r="M46" s="340" t="n">
        <f aca="false">CAPA1_PILOTO!N11*INDEX(SUP_VOLUMEN!$C$30:$E$30,SUP_CONTROL!$C$6)*SUP_CONTROL!$C$26*$C$34*SUP_CONTROL!$C$11</f>
        <v>18436.1257606491</v>
      </c>
      <c r="N46" s="340" t="n">
        <f aca="false">CAPA1_PILOTO!O11*INDEX(SUP_VOLUMEN!$C$30:$E$30,SUP_CONTROL!$C$6)*SUP_CONTROL!$C$26*$C$34*SUP_CONTROL!$C$11</f>
        <v>18436.1257606491</v>
      </c>
      <c r="O46" s="340" t="n">
        <f aca="false">SUM(CAPA1_PILOTO!P11:AA11)*INDEX(SUP_VOLUMEN!$C$30:$E$30,SUP_CONTROL!$C$6)*SUP_CONTROL!$C$26*$C$34*SUP_CONTROL!$C$11</f>
        <v>221233.509127789</v>
      </c>
      <c r="P46" s="340" t="n">
        <f aca="false">SUM(CAPA1_PILOTO!AB11:AM11)*INDEX(SUP_VOLUMEN!$C$30:$E$30,SUP_CONTROL!$C$6)*SUP_CONTROL!$C$26*$C$34*SUP_CONTROL!$C$11</f>
        <v>221233.509127789</v>
      </c>
      <c r="Q46" s="340" t="n">
        <f aca="false">SUM(CAPA1_PILOTO!AN11:AY11)*INDEX(SUP_VOLUMEN!$C$30:$E$30,SUP_CONTROL!$C$6)*SUP_CONTROL!$C$26*$C$34*SUP_CONTROL!$C$11</f>
        <v>221233.509127789</v>
      </c>
      <c r="R46" s="340" t="n">
        <f aca="false">SUM(CAPA1_PILOTO!AZ11:BK11)*INDEX(SUP_VOLUMEN!$C$30:$E$30,SUP_CONTROL!$C$6)*SUP_CONTROL!$C$26*$C$34*SUP_CONTROL!$C$11</f>
        <v>221233.509127789</v>
      </c>
      <c r="S46" s="340" t="n">
        <f aca="false">SUM(CAPA1_PILOTO!BL11:BW11)*INDEX(SUP_VOLUMEN!$C$30:$E$30,SUP_CONTROL!$C$6)*SUP_CONTROL!$C$26*$C$34*SUP_CONTROL!$C$11</f>
        <v>221233.509127789</v>
      </c>
      <c r="T46" s="340" t="n">
        <f aca="false">SUM(CAPA1_PILOTO!BX11:CI11)*INDEX(SUP_VOLUMEN!$C$30:$E$30,SUP_CONTROL!$C$6)*SUP_CONTROL!$C$26*$C$34*SUP_CONTROL!$C$11</f>
        <v>221233.509127789</v>
      </c>
      <c r="U46" s="340" t="n">
        <f aca="false">SUM(CAPA1_PILOTO!CJ11:CU11)*INDEX(SUP_VOLUMEN!$C$30:$E$30,SUP_CONTROL!$C$6)*SUP_CONTROL!$C$26*$C$34*SUP_CONTROL!$C$11</f>
        <v>221233.509127789</v>
      </c>
      <c r="V46" s="340" t="n">
        <f aca="false">SUM(CAPA1_PILOTO!CV11:DG11)*INDEX(SUP_VOLUMEN!$C$30:$E$30,SUP_CONTROL!$C$6)*SUP_CONTROL!$C$26*$C$34*SUP_CONTROL!$C$11</f>
        <v>221233.509127789</v>
      </c>
      <c r="W46" s="340" t="n">
        <f aca="false">SUM(CAPA1_PILOTO!DH11:DS11)*INDEX(SUP_VOLUMEN!$C$30:$E$30,SUP_CONTROL!$C$6)*SUP_CONTROL!$C$26*$C$34*SUP_CONTROL!$C$11</f>
        <v>221233.509127789</v>
      </c>
    </row>
    <row r="47" customFormat="false" ht="15" hidden="false" customHeight="true" outlineLevel="3" collapsed="false">
      <c r="B47" s="600" t="s">
        <v>724</v>
      </c>
      <c r="C47" s="340" t="n">
        <f aca="false">CAPA1_PILOTO!D11*INDEX(SUP_VOLUMEN!$C$30:$E$30,SUP_CONTROL!$C$6)*SUP_CONTROL!$C$26*$C$35*SUP_CONTROL!$C$11</f>
        <v>0</v>
      </c>
      <c r="D47" s="340" t="n">
        <f aca="false">CAPA1_PILOTO!E11*INDEX(SUP_VOLUMEN!$C$30:$E$30,SUP_CONTROL!$C$6)*SUP_CONTROL!$C$26*$C$35*SUP_CONTROL!$C$11</f>
        <v>0</v>
      </c>
      <c r="E47" s="340" t="n">
        <f aca="false">CAPA1_PILOTO!F11*INDEX(SUP_VOLUMEN!$C$30:$E$30,SUP_CONTROL!$C$6)*SUP_CONTROL!$C$26*$C$35*SUP_CONTROL!$C$11</f>
        <v>0</v>
      </c>
      <c r="F47" s="340" t="n">
        <f aca="false">CAPA1_PILOTO!G11*INDEX(SUP_VOLUMEN!$C$30:$E$30,SUP_CONTROL!$C$6)*SUP_CONTROL!$C$26*$C$35*SUP_CONTROL!$C$11</f>
        <v>4583.79310344828</v>
      </c>
      <c r="G47" s="340" t="n">
        <f aca="false">CAPA1_PILOTO!H11*INDEX(SUP_VOLUMEN!$C$30:$E$30,SUP_CONTROL!$C$6)*SUP_CONTROL!$C$26*$C$35*SUP_CONTROL!$C$11</f>
        <v>10149.8275862069</v>
      </c>
      <c r="H47" s="340" t="n">
        <f aca="false">CAPA1_PILOTO!I11*INDEX(SUP_VOLUMEN!$C$30:$E$30,SUP_CONTROL!$C$6)*SUP_CONTROL!$C$26*$C$35*SUP_CONTROL!$C$11</f>
        <v>16698.1034482759</v>
      </c>
      <c r="I47" s="340" t="n">
        <f aca="false">CAPA1_PILOTO!J11*INDEX(SUP_VOLUMEN!$C$30:$E$30,SUP_CONTROL!$C$6)*SUP_CONTROL!$C$26*$C$35*SUP_CONTROL!$C$11</f>
        <v>20954.4827586207</v>
      </c>
      <c r="J47" s="340" t="n">
        <f aca="false">CAPA1_PILOTO!K11*INDEX(SUP_VOLUMEN!$C$30:$E$30,SUP_CONTROL!$C$6)*SUP_CONTROL!$C$26*$C$35*SUP_CONTROL!$C$11</f>
        <v>22427.8448275862</v>
      </c>
      <c r="K47" s="340" t="n">
        <f aca="false">CAPA1_PILOTO!L11*INDEX(SUP_VOLUMEN!$C$30:$E$30,SUP_CONTROL!$C$6)*SUP_CONTROL!$C$26*$C$35*SUP_CONTROL!$C$11</f>
        <v>22918.9655172414</v>
      </c>
      <c r="L47" s="340" t="n">
        <f aca="false">CAPA1_PILOTO!M11*INDEX(SUP_VOLUMEN!$C$30:$E$30,SUP_CONTROL!$C$6)*SUP_CONTROL!$C$26*$C$35*SUP_CONTROL!$C$11</f>
        <v>22918.9655172414</v>
      </c>
      <c r="M47" s="340" t="n">
        <f aca="false">CAPA1_PILOTO!N11*INDEX(SUP_VOLUMEN!$C$30:$E$30,SUP_CONTROL!$C$6)*SUP_CONTROL!$C$26*$C$35*SUP_CONTROL!$C$11</f>
        <v>22918.9655172414</v>
      </c>
      <c r="N47" s="340" t="n">
        <f aca="false">CAPA1_PILOTO!O11*INDEX(SUP_VOLUMEN!$C$30:$E$30,SUP_CONTROL!$C$6)*SUP_CONTROL!$C$26*$C$35*SUP_CONTROL!$C$11</f>
        <v>22918.9655172414</v>
      </c>
      <c r="O47" s="340" t="n">
        <f aca="false">SUM(CAPA1_PILOTO!P11:AA11)*INDEX(SUP_VOLUMEN!$C$30:$E$30,SUP_CONTROL!$C$6)*SUP_CONTROL!$C$26*$C$35*SUP_CONTROL!$C$11</f>
        <v>275027.586206897</v>
      </c>
      <c r="P47" s="340" t="n">
        <f aca="false">SUM(CAPA1_PILOTO!AB11:AM11)*INDEX(SUP_VOLUMEN!$C$30:$E$30,SUP_CONTROL!$C$6)*SUP_CONTROL!$C$26*$C$35*SUP_CONTROL!$C$11</f>
        <v>275027.586206897</v>
      </c>
      <c r="Q47" s="340" t="n">
        <f aca="false">SUM(CAPA1_PILOTO!AN11:AY11)*INDEX(SUP_VOLUMEN!$C$30:$E$30,SUP_CONTROL!$C$6)*SUP_CONTROL!$C$26*$C$35*SUP_CONTROL!$C$11</f>
        <v>275027.586206897</v>
      </c>
      <c r="R47" s="340" t="n">
        <f aca="false">SUM(CAPA1_PILOTO!AZ11:BK11)*INDEX(SUP_VOLUMEN!$C$30:$E$30,SUP_CONTROL!$C$6)*SUP_CONTROL!$C$26*$C$35*SUP_CONTROL!$C$11</f>
        <v>275027.586206897</v>
      </c>
      <c r="S47" s="340" t="n">
        <f aca="false">SUM(CAPA1_PILOTO!BL11:BW11)*INDEX(SUP_VOLUMEN!$C$30:$E$30,SUP_CONTROL!$C$6)*SUP_CONTROL!$C$26*$C$35*SUP_CONTROL!$C$11</f>
        <v>275027.586206897</v>
      </c>
      <c r="T47" s="340" t="n">
        <f aca="false">SUM(CAPA1_PILOTO!BX11:CI11)*INDEX(SUP_VOLUMEN!$C$30:$E$30,SUP_CONTROL!$C$6)*SUP_CONTROL!$C$26*$C$35*SUP_CONTROL!$C$11</f>
        <v>275027.586206897</v>
      </c>
      <c r="U47" s="340" t="n">
        <f aca="false">SUM(CAPA1_PILOTO!CJ11:CU11)*INDEX(SUP_VOLUMEN!$C$30:$E$30,SUP_CONTROL!$C$6)*SUP_CONTROL!$C$26*$C$35*SUP_CONTROL!$C$11</f>
        <v>275027.586206897</v>
      </c>
      <c r="V47" s="340" t="n">
        <f aca="false">SUM(CAPA1_PILOTO!CV11:DG11)*INDEX(SUP_VOLUMEN!$C$30:$E$30,SUP_CONTROL!$C$6)*SUP_CONTROL!$C$26*$C$35*SUP_CONTROL!$C$11</f>
        <v>275027.586206897</v>
      </c>
      <c r="W47" s="340" t="n">
        <f aca="false">SUM(CAPA1_PILOTO!DH11:DS11)*INDEX(SUP_VOLUMEN!$C$30:$E$30,SUP_CONTROL!$C$6)*SUP_CONTROL!$C$26*$C$35*SUP_CONTROL!$C$11</f>
        <v>275027.586206897</v>
      </c>
    </row>
    <row r="48" customFormat="false" ht="15" hidden="false" customHeight="true" outlineLevel="3" collapsed="false">
      <c r="B48" s="600" t="s">
        <v>733</v>
      </c>
      <c r="C48" s="340" t="n">
        <f aca="false">CAPA1_PILOTO!D11*INDEX(SUP_VOLUMEN!$C$30:$E$30,SUP_CONTROL!$C$6)*SUP_CONTROL!$C$26*$C$36*SUP_CONTROL!$C$11</f>
        <v>0</v>
      </c>
      <c r="D48" s="340" t="n">
        <f aca="false">CAPA1_PILOTO!E11*INDEX(SUP_VOLUMEN!$C$30:$E$30,SUP_CONTROL!$C$6)*SUP_CONTROL!$C$26*$C$36*SUP_CONTROL!$C$11</f>
        <v>0</v>
      </c>
      <c r="E48" s="340" t="n">
        <f aca="false">CAPA1_PILOTO!F11*INDEX(SUP_VOLUMEN!$C$30:$E$30,SUP_CONTROL!$C$6)*SUP_CONTROL!$C$26*$C$36*SUP_CONTROL!$C$11</f>
        <v>0</v>
      </c>
      <c r="F48" s="340" t="n">
        <f aca="false">CAPA1_PILOTO!G11*INDEX(SUP_VOLUMEN!$C$30:$E$30,SUP_CONTROL!$C$6)*SUP_CONTROL!$C$26*$C$36*SUP_CONTROL!$C$11</f>
        <v>6083.39261409736</v>
      </c>
      <c r="G48" s="340" t="n">
        <f aca="false">CAPA1_PILOTO!H11*INDEX(SUP_VOLUMEN!$C$30:$E$30,SUP_CONTROL!$C$6)*SUP_CONTROL!$C$26*$C$36*SUP_CONTROL!$C$11</f>
        <v>13470.369359787</v>
      </c>
      <c r="H48" s="340" t="n">
        <f aca="false">CAPA1_PILOTO!I11*INDEX(SUP_VOLUMEN!$C$30:$E$30,SUP_CONTROL!$C$6)*SUP_CONTROL!$C$26*$C$36*SUP_CONTROL!$C$11</f>
        <v>22160.930237069</v>
      </c>
      <c r="I48" s="340" t="n">
        <f aca="false">CAPA1_PILOTO!J11*INDEX(SUP_VOLUMEN!$C$30:$E$30,SUP_CONTROL!$C$6)*SUP_CONTROL!$C$26*$C$36*SUP_CONTROL!$C$11</f>
        <v>27809.7948073022</v>
      </c>
      <c r="J48" s="340" t="n">
        <f aca="false">CAPA1_PILOTO!K11*INDEX(SUP_VOLUMEN!$C$30:$E$30,SUP_CONTROL!$C$6)*SUP_CONTROL!$C$26*$C$36*SUP_CONTROL!$C$11</f>
        <v>29765.1710046907</v>
      </c>
      <c r="K48" s="340" t="n">
        <f aca="false">CAPA1_PILOTO!L11*INDEX(SUP_VOLUMEN!$C$30:$E$30,SUP_CONTROL!$C$6)*SUP_CONTROL!$C$26*$C$36*SUP_CONTROL!$C$11</f>
        <v>30416.9630704868</v>
      </c>
      <c r="L48" s="340" t="n">
        <f aca="false">CAPA1_PILOTO!M11*INDEX(SUP_VOLUMEN!$C$30:$E$30,SUP_CONTROL!$C$6)*SUP_CONTROL!$C$26*$C$36*SUP_CONTROL!$C$11</f>
        <v>30416.9630704868</v>
      </c>
      <c r="M48" s="340" t="n">
        <f aca="false">CAPA1_PILOTO!N11*INDEX(SUP_VOLUMEN!$C$30:$E$30,SUP_CONTROL!$C$6)*SUP_CONTROL!$C$26*$C$36*SUP_CONTROL!$C$11</f>
        <v>30416.9630704868</v>
      </c>
      <c r="N48" s="340" t="n">
        <f aca="false">CAPA1_PILOTO!O11*INDEX(SUP_VOLUMEN!$C$30:$E$30,SUP_CONTROL!$C$6)*SUP_CONTROL!$C$26*$C$36*SUP_CONTROL!$C$11</f>
        <v>30416.9630704868</v>
      </c>
      <c r="O48" s="340" t="n">
        <f aca="false">SUM(CAPA1_PILOTO!P11:AA11)*INDEX(SUP_VOLUMEN!$C$30:$E$30,SUP_CONTROL!$C$6)*SUP_CONTROL!$C$26*$C$36*SUP_CONTROL!$C$11</f>
        <v>365003.556845842</v>
      </c>
      <c r="P48" s="340" t="n">
        <f aca="false">SUM(CAPA1_PILOTO!AB11:AM11)*INDEX(SUP_VOLUMEN!$C$30:$E$30,SUP_CONTROL!$C$6)*SUP_CONTROL!$C$26*$C$36*SUP_CONTROL!$C$11</f>
        <v>365003.556845842</v>
      </c>
      <c r="Q48" s="340" t="n">
        <f aca="false">SUM(CAPA1_PILOTO!AN11:AY11)*INDEX(SUP_VOLUMEN!$C$30:$E$30,SUP_CONTROL!$C$6)*SUP_CONTROL!$C$26*$C$36*SUP_CONTROL!$C$11</f>
        <v>365003.556845842</v>
      </c>
      <c r="R48" s="340" t="n">
        <f aca="false">SUM(CAPA1_PILOTO!AZ11:BK11)*INDEX(SUP_VOLUMEN!$C$30:$E$30,SUP_CONTROL!$C$6)*SUP_CONTROL!$C$26*$C$36*SUP_CONTROL!$C$11</f>
        <v>365003.556845842</v>
      </c>
      <c r="S48" s="340" t="n">
        <f aca="false">SUM(CAPA1_PILOTO!BL11:BW11)*INDEX(SUP_VOLUMEN!$C$30:$E$30,SUP_CONTROL!$C$6)*SUP_CONTROL!$C$26*$C$36*SUP_CONTROL!$C$11</f>
        <v>365003.556845842</v>
      </c>
      <c r="T48" s="340" t="n">
        <f aca="false">SUM(CAPA1_PILOTO!BX11:CI11)*INDEX(SUP_VOLUMEN!$C$30:$E$30,SUP_CONTROL!$C$6)*SUP_CONTROL!$C$26*$C$36*SUP_CONTROL!$C$11</f>
        <v>365003.556845842</v>
      </c>
      <c r="U48" s="340" t="n">
        <f aca="false">SUM(CAPA1_PILOTO!CJ11:CU11)*INDEX(SUP_VOLUMEN!$C$30:$E$30,SUP_CONTROL!$C$6)*SUP_CONTROL!$C$26*$C$36*SUP_CONTROL!$C$11</f>
        <v>365003.556845842</v>
      </c>
      <c r="V48" s="340" t="n">
        <f aca="false">SUM(CAPA1_PILOTO!CV11:DG11)*INDEX(SUP_VOLUMEN!$C$30:$E$30,SUP_CONTROL!$C$6)*SUP_CONTROL!$C$26*$C$36*SUP_CONTROL!$C$11</f>
        <v>365003.556845842</v>
      </c>
      <c r="W48" s="340" t="n">
        <f aca="false">SUM(CAPA1_PILOTO!DH11:DS11)*INDEX(SUP_VOLUMEN!$C$30:$E$30,SUP_CONTROL!$C$6)*SUP_CONTROL!$C$26*$C$36*SUP_CONTROL!$C$11</f>
        <v>365003.556845842</v>
      </c>
    </row>
    <row r="49" customFormat="false" ht="15" hidden="false" customHeight="true" outlineLevel="2" collapsed="false">
      <c r="B49" s="601" t="s">
        <v>3696</v>
      </c>
      <c r="C49" s="602" t="n">
        <f aca="false">C42+C43+C44+C45+C46+C47+C48</f>
        <v>0</v>
      </c>
      <c r="D49" s="602" t="n">
        <f aca="false">D42+D43+D44+D45+D46+D47+D48</f>
        <v>0</v>
      </c>
      <c r="E49" s="602" t="n">
        <f aca="false">E42+E43+E44+E45+E46+E47+E48</f>
        <v>0</v>
      </c>
      <c r="F49" s="602" t="n">
        <f aca="false">F42+F43+F44+F45+F46+F47+F48</f>
        <v>75993.6651800203</v>
      </c>
      <c r="G49" s="602" t="n">
        <f aca="false">G42+G43+G44+G45+G46+G47+G48</f>
        <v>168271.687184331</v>
      </c>
      <c r="H49" s="602" t="n">
        <f aca="false">H42+H43+H44+H45+H46+H47+H48</f>
        <v>276834.066012931</v>
      </c>
      <c r="I49" s="602" t="n">
        <f aca="false">I42+I43+I44+I45+I46+I47+I48</f>
        <v>347399.612251521</v>
      </c>
      <c r="J49" s="602" t="n">
        <f aca="false">J42+J43+J44+J45+J46+J47+J48</f>
        <v>371826.147487956</v>
      </c>
      <c r="K49" s="602" t="n">
        <f aca="false">K42+K43+K44+K45+K46+K47+K48</f>
        <v>379968.325900101</v>
      </c>
      <c r="L49" s="602" t="n">
        <f aca="false">L42+L43+L44+L45+L46+L47+L48</f>
        <v>379968.325900101</v>
      </c>
      <c r="M49" s="602" t="n">
        <f aca="false">M42+M43+M44+M45+M46+M47+M48</f>
        <v>379968.325900101</v>
      </c>
      <c r="N49" s="602" t="n">
        <f aca="false">N42+N43+N44+N45+N46+N47+N48</f>
        <v>379968.325900101</v>
      </c>
      <c r="O49" s="602" t="n">
        <f aca="false">O42+O43+O44+O45+O46+O47+O48</f>
        <v>4559619.91080122</v>
      </c>
      <c r="P49" s="602" t="n">
        <f aca="false">P42+P43+P44+P45+P46+P47+P48</f>
        <v>4559619.91080122</v>
      </c>
      <c r="Q49" s="602" t="n">
        <f aca="false">Q42+Q43+Q44+Q45+Q46+Q47+Q48</f>
        <v>4559619.91080122</v>
      </c>
      <c r="R49" s="602" t="n">
        <f aca="false">R42+R43+R44+R45+R46+R47+R48</f>
        <v>4559619.91080122</v>
      </c>
      <c r="S49" s="602" t="n">
        <f aca="false">S42+S43+S44+S45+S46+S47+S48</f>
        <v>4559619.91080122</v>
      </c>
      <c r="T49" s="602" t="n">
        <f aca="false">T42+T43+T44+T45+T46+T47+T48</f>
        <v>4559619.91080122</v>
      </c>
      <c r="U49" s="602" t="n">
        <f aca="false">U42+U43+U44+U45+U46+U47+U48</f>
        <v>4559619.91080122</v>
      </c>
      <c r="V49" s="602" t="n">
        <f aca="false">V42+V43+V44+V45+V46+V47+V48</f>
        <v>4559619.91080122</v>
      </c>
      <c r="W49" s="602" t="n">
        <f aca="false">W42+W43+W44+W45+W46+W47+W48</f>
        <v>4559619.91080122</v>
      </c>
      <c r="X49" s="218"/>
      <c r="Y49" s="218"/>
      <c r="Z49" s="218"/>
    </row>
    <row r="50" customFormat="false" ht="15" hidden="false" customHeight="true" outlineLevel="2" collapsed="false">
      <c r="B50" s="599" t="s">
        <v>3697</v>
      </c>
    </row>
    <row r="51" customFormat="false" ht="15" hidden="false" customHeight="true" outlineLevel="3" collapsed="false">
      <c r="B51" s="600" t="s">
        <v>671</v>
      </c>
      <c r="C51" s="340" t="n">
        <f aca="false">CAPA1_PILOTO!D12*INDEX(SUP_VOLUMEN!$C$31:$E$31,SUP_CONTROL!$C$6)*SUP_CONTROL!$C$26*$C$30*SUP_CONTROL!$C$11</f>
        <v>0</v>
      </c>
      <c r="D51" s="340" t="n">
        <f aca="false">CAPA1_PILOTO!E12*INDEX(SUP_VOLUMEN!$C$31:$E$31,SUP_CONTROL!$C$6)*SUP_CONTROL!$C$26*$C$30*SUP_CONTROL!$C$11</f>
        <v>0</v>
      </c>
      <c r="E51" s="340" t="n">
        <f aca="false">CAPA1_PILOTO!F12*INDEX(SUP_VOLUMEN!$C$31:$E$31,SUP_CONTROL!$C$6)*SUP_CONTROL!$C$26*$C$30*SUP_CONTROL!$C$11</f>
        <v>0</v>
      </c>
      <c r="F51" s="340" t="n">
        <f aca="false">CAPA1_PILOTO!G12*INDEX(SUP_VOLUMEN!$C$31:$E$31,SUP_CONTROL!$C$6)*SUP_CONTROL!$C$26*$C$30*SUP_CONTROL!$C$11</f>
        <v>0</v>
      </c>
      <c r="G51" s="340" t="n">
        <f aca="false">CAPA1_PILOTO!H12*INDEX(SUP_VOLUMEN!$C$31:$E$31,SUP_CONTROL!$C$6)*SUP_CONTROL!$C$26*$C$30*SUP_CONTROL!$C$11</f>
        <v>0</v>
      </c>
      <c r="H51" s="340" t="n">
        <f aca="false">CAPA1_PILOTO!I12*INDEX(SUP_VOLUMEN!$C$31:$E$31,SUP_CONTROL!$C$6)*SUP_CONTROL!$C$26*$C$30*SUP_CONTROL!$C$11</f>
        <v>0</v>
      </c>
      <c r="I51" s="340" t="n">
        <f aca="false">CAPA1_PILOTO!J12*INDEX(SUP_VOLUMEN!$C$31:$E$31,SUP_CONTROL!$C$6)*SUP_CONTROL!$C$26*$C$30*SUP_CONTROL!$C$11</f>
        <v>20955.1034482759</v>
      </c>
      <c r="J51" s="340" t="n">
        <f aca="false">CAPA1_PILOTO!K12*INDEX(SUP_VOLUMEN!$C$31:$E$31,SUP_CONTROL!$C$6)*SUP_CONTROL!$C$26*$C$30*SUP_CONTROL!$C$11</f>
        <v>67355.6896551724</v>
      </c>
      <c r="K51" s="340" t="n">
        <f aca="false">CAPA1_PILOTO!L12*INDEX(SUP_VOLUMEN!$C$31:$E$31,SUP_CONTROL!$C$6)*SUP_CONTROL!$C$26*$C$30*SUP_CONTROL!$C$11</f>
        <v>80826.8275862069</v>
      </c>
      <c r="L51" s="340" t="n">
        <f aca="false">CAPA1_PILOTO!M12*INDEX(SUP_VOLUMEN!$C$31:$E$31,SUP_CONTROL!$C$6)*SUP_CONTROL!$C$26*$C$30*SUP_CONTROL!$C$11</f>
        <v>89807.5862068966</v>
      </c>
      <c r="M51" s="340" t="n">
        <f aca="false">CAPA1_PILOTO!N12*INDEX(SUP_VOLUMEN!$C$31:$E$31,SUP_CONTROL!$C$6)*SUP_CONTROL!$C$26*$C$30*SUP_CONTROL!$C$11</f>
        <v>89807.5862068966</v>
      </c>
      <c r="N51" s="340" t="n">
        <f aca="false">CAPA1_PILOTO!O12*INDEX(SUP_VOLUMEN!$C$31:$E$31,SUP_CONTROL!$C$6)*SUP_CONTROL!$C$26*$C$30*SUP_CONTROL!$C$11</f>
        <v>89807.5862068966</v>
      </c>
      <c r="O51" s="340" t="n">
        <f aca="false">SUM(CAPA1_PILOTO!P12:AA12)*INDEX(SUP_VOLUMEN!$C$31:$E$31,SUP_CONTROL!$C$6)*SUP_CONTROL!$C$26*$C$30*SUP_CONTROL!$C$11</f>
        <v>1077691.03448276</v>
      </c>
      <c r="P51" s="340" t="n">
        <f aca="false">SUM(CAPA1_PILOTO!AB12:AM12)*INDEX(SUP_VOLUMEN!$C$31:$E$31,SUP_CONTROL!$C$6)*SUP_CONTROL!$C$26*$C$30*SUP_CONTROL!$C$11</f>
        <v>1077691.03448276</v>
      </c>
      <c r="Q51" s="340" t="n">
        <f aca="false">SUM(CAPA1_PILOTO!AN12:AY12)*INDEX(SUP_VOLUMEN!$C$31:$E$31,SUP_CONTROL!$C$6)*SUP_CONTROL!$C$26*$C$30*SUP_CONTROL!$C$11</f>
        <v>1077691.03448276</v>
      </c>
      <c r="R51" s="340" t="n">
        <f aca="false">SUM(CAPA1_PILOTO!AZ12:BK12)*INDEX(SUP_VOLUMEN!$C$31:$E$31,SUP_CONTROL!$C$6)*SUP_CONTROL!$C$26*$C$30*SUP_CONTROL!$C$11</f>
        <v>1077691.03448276</v>
      </c>
      <c r="S51" s="340" t="n">
        <f aca="false">SUM(CAPA1_PILOTO!BL12:BW12)*INDEX(SUP_VOLUMEN!$C$31:$E$31,SUP_CONTROL!$C$6)*SUP_CONTROL!$C$26*$C$30*SUP_CONTROL!$C$11</f>
        <v>1077691.03448276</v>
      </c>
      <c r="T51" s="340" t="n">
        <f aca="false">SUM(CAPA1_PILOTO!BX12:CI12)*INDEX(SUP_VOLUMEN!$C$31:$E$31,SUP_CONTROL!$C$6)*SUP_CONTROL!$C$26*$C$30*SUP_CONTROL!$C$11</f>
        <v>1077691.03448276</v>
      </c>
      <c r="U51" s="340" t="n">
        <f aca="false">SUM(CAPA1_PILOTO!CJ12:CU12)*INDEX(SUP_VOLUMEN!$C$31:$E$31,SUP_CONTROL!$C$6)*SUP_CONTROL!$C$26*$C$30*SUP_CONTROL!$C$11</f>
        <v>1077691.03448276</v>
      </c>
      <c r="V51" s="340" t="n">
        <f aca="false">SUM(CAPA1_PILOTO!CV12:DG12)*INDEX(SUP_VOLUMEN!$C$31:$E$31,SUP_CONTROL!$C$6)*SUP_CONTROL!$C$26*$C$30*SUP_CONTROL!$C$11</f>
        <v>1077691.03448276</v>
      </c>
      <c r="W51" s="340" t="n">
        <f aca="false">SUM(CAPA1_PILOTO!DH12:DS12)*INDEX(SUP_VOLUMEN!$C$31:$E$31,SUP_CONTROL!$C$6)*SUP_CONTROL!$C$26*$C$30*SUP_CONTROL!$C$11</f>
        <v>1077691.03448276</v>
      </c>
    </row>
    <row r="52" customFormat="false" ht="15" hidden="false" customHeight="true" outlineLevel="3" collapsed="false">
      <c r="B52" s="600" t="s">
        <v>692</v>
      </c>
      <c r="C52" s="340" t="n">
        <f aca="false">CAPA1_PILOTO!D12*INDEX(SUP_VOLUMEN!$C$31:$E$31,SUP_CONTROL!$C$6)*SUP_CONTROL!$C$26*$C$31*SUP_CONTROL!$C$11</f>
        <v>0</v>
      </c>
      <c r="D52" s="340" t="n">
        <f aca="false">CAPA1_PILOTO!E12*INDEX(SUP_VOLUMEN!$C$31:$E$31,SUP_CONTROL!$C$6)*SUP_CONTROL!$C$26*$C$31*SUP_CONTROL!$C$11</f>
        <v>0</v>
      </c>
      <c r="E52" s="340" t="n">
        <f aca="false">CAPA1_PILOTO!F12*INDEX(SUP_VOLUMEN!$C$31:$E$31,SUP_CONTROL!$C$6)*SUP_CONTROL!$C$26*$C$31*SUP_CONTROL!$C$11</f>
        <v>0</v>
      </c>
      <c r="F52" s="340" t="n">
        <f aca="false">CAPA1_PILOTO!G12*INDEX(SUP_VOLUMEN!$C$31:$E$31,SUP_CONTROL!$C$6)*SUP_CONTROL!$C$26*$C$31*SUP_CONTROL!$C$11</f>
        <v>0</v>
      </c>
      <c r="G52" s="340" t="n">
        <f aca="false">CAPA1_PILOTO!H12*INDEX(SUP_VOLUMEN!$C$31:$E$31,SUP_CONTROL!$C$6)*SUP_CONTROL!$C$26*$C$31*SUP_CONTROL!$C$11</f>
        <v>0</v>
      </c>
      <c r="H52" s="340" t="n">
        <f aca="false">CAPA1_PILOTO!I12*INDEX(SUP_VOLUMEN!$C$31:$E$31,SUP_CONTROL!$C$6)*SUP_CONTROL!$C$26*$C$31*SUP_CONTROL!$C$11</f>
        <v>0</v>
      </c>
      <c r="I52" s="340" t="n">
        <f aca="false">CAPA1_PILOTO!J12*INDEX(SUP_VOLUMEN!$C$31:$E$31,SUP_CONTROL!$C$6)*SUP_CONTROL!$C$26*$C$31*SUP_CONTROL!$C$11</f>
        <v>14444.9359913793</v>
      </c>
      <c r="J52" s="340" t="n">
        <f aca="false">CAPA1_PILOTO!K12*INDEX(SUP_VOLUMEN!$C$31:$E$31,SUP_CONTROL!$C$6)*SUP_CONTROL!$C$26*$C$31*SUP_CONTROL!$C$11</f>
        <v>46430.1514008621</v>
      </c>
      <c r="K52" s="340" t="n">
        <f aca="false">CAPA1_PILOTO!L12*INDEX(SUP_VOLUMEN!$C$31:$E$31,SUP_CONTROL!$C$6)*SUP_CONTROL!$C$26*$C$31*SUP_CONTROL!$C$11</f>
        <v>55716.1816810345</v>
      </c>
      <c r="L52" s="340" t="n">
        <f aca="false">CAPA1_PILOTO!M12*INDEX(SUP_VOLUMEN!$C$31:$E$31,SUP_CONTROL!$C$6)*SUP_CONTROL!$C$26*$C$31*SUP_CONTROL!$C$11</f>
        <v>61906.8685344828</v>
      </c>
      <c r="M52" s="340" t="n">
        <f aca="false">CAPA1_PILOTO!N12*INDEX(SUP_VOLUMEN!$C$31:$E$31,SUP_CONTROL!$C$6)*SUP_CONTROL!$C$26*$C$31*SUP_CONTROL!$C$11</f>
        <v>61906.8685344828</v>
      </c>
      <c r="N52" s="340" t="n">
        <f aca="false">CAPA1_PILOTO!O12*INDEX(SUP_VOLUMEN!$C$31:$E$31,SUP_CONTROL!$C$6)*SUP_CONTROL!$C$26*$C$31*SUP_CONTROL!$C$11</f>
        <v>61906.8685344828</v>
      </c>
      <c r="O52" s="340" t="n">
        <f aca="false">SUM(CAPA1_PILOTO!P12:AA12)*INDEX(SUP_VOLUMEN!$C$31:$E$31,SUP_CONTROL!$C$6)*SUP_CONTROL!$C$26*$C$31*SUP_CONTROL!$C$11</f>
        <v>742882.422413793</v>
      </c>
      <c r="P52" s="340" t="n">
        <f aca="false">SUM(CAPA1_PILOTO!AB12:AM12)*INDEX(SUP_VOLUMEN!$C$31:$E$31,SUP_CONTROL!$C$6)*SUP_CONTROL!$C$26*$C$31*SUP_CONTROL!$C$11</f>
        <v>742882.422413793</v>
      </c>
      <c r="Q52" s="340" t="n">
        <f aca="false">SUM(CAPA1_PILOTO!AN12:AY12)*INDEX(SUP_VOLUMEN!$C$31:$E$31,SUP_CONTROL!$C$6)*SUP_CONTROL!$C$26*$C$31*SUP_CONTROL!$C$11</f>
        <v>742882.422413793</v>
      </c>
      <c r="R52" s="340" t="n">
        <f aca="false">SUM(CAPA1_PILOTO!AZ12:BK12)*INDEX(SUP_VOLUMEN!$C$31:$E$31,SUP_CONTROL!$C$6)*SUP_CONTROL!$C$26*$C$31*SUP_CONTROL!$C$11</f>
        <v>742882.422413793</v>
      </c>
      <c r="S52" s="340" t="n">
        <f aca="false">SUM(CAPA1_PILOTO!BL12:BW12)*INDEX(SUP_VOLUMEN!$C$31:$E$31,SUP_CONTROL!$C$6)*SUP_CONTROL!$C$26*$C$31*SUP_CONTROL!$C$11</f>
        <v>742882.422413793</v>
      </c>
      <c r="T52" s="340" t="n">
        <f aca="false">SUM(CAPA1_PILOTO!BX12:CI12)*INDEX(SUP_VOLUMEN!$C$31:$E$31,SUP_CONTROL!$C$6)*SUP_CONTROL!$C$26*$C$31*SUP_CONTROL!$C$11</f>
        <v>742882.422413793</v>
      </c>
      <c r="U52" s="340" t="n">
        <f aca="false">SUM(CAPA1_PILOTO!CJ12:CU12)*INDEX(SUP_VOLUMEN!$C$31:$E$31,SUP_CONTROL!$C$6)*SUP_CONTROL!$C$26*$C$31*SUP_CONTROL!$C$11</f>
        <v>742882.422413793</v>
      </c>
      <c r="V52" s="340" t="n">
        <f aca="false">SUM(CAPA1_PILOTO!CV12:DG12)*INDEX(SUP_VOLUMEN!$C$31:$E$31,SUP_CONTROL!$C$6)*SUP_CONTROL!$C$26*$C$31*SUP_CONTROL!$C$11</f>
        <v>742882.422413793</v>
      </c>
      <c r="W52" s="340" t="n">
        <f aca="false">SUM(CAPA1_PILOTO!DH12:DS12)*INDEX(SUP_VOLUMEN!$C$31:$E$31,SUP_CONTROL!$C$6)*SUP_CONTROL!$C$26*$C$31*SUP_CONTROL!$C$11</f>
        <v>742882.422413793</v>
      </c>
    </row>
    <row r="53" customFormat="false" ht="15" hidden="false" customHeight="true" outlineLevel="3" collapsed="false">
      <c r="B53" s="600" t="s">
        <v>709</v>
      </c>
      <c r="C53" s="340" t="n">
        <f aca="false">CAPA1_PILOTO!D12*INDEX(SUP_VOLUMEN!$C$31:$E$31,SUP_CONTROL!$C$6)*SUP_CONTROL!$C$26*$C$32*SUP_CONTROL!$C$11</f>
        <v>0</v>
      </c>
      <c r="D53" s="340" t="n">
        <f aca="false">CAPA1_PILOTO!E12*INDEX(SUP_VOLUMEN!$C$31:$E$31,SUP_CONTROL!$C$6)*SUP_CONTROL!$C$26*$C$32*SUP_CONTROL!$C$11</f>
        <v>0</v>
      </c>
      <c r="E53" s="340" t="n">
        <f aca="false">CAPA1_PILOTO!F12*INDEX(SUP_VOLUMEN!$C$31:$E$31,SUP_CONTROL!$C$6)*SUP_CONTROL!$C$26*$C$32*SUP_CONTROL!$C$11</f>
        <v>0</v>
      </c>
      <c r="F53" s="340" t="n">
        <f aca="false">CAPA1_PILOTO!G12*INDEX(SUP_VOLUMEN!$C$31:$E$31,SUP_CONTROL!$C$6)*SUP_CONTROL!$C$26*$C$32*SUP_CONTROL!$C$11</f>
        <v>0</v>
      </c>
      <c r="G53" s="340" t="n">
        <f aca="false">CAPA1_PILOTO!H12*INDEX(SUP_VOLUMEN!$C$31:$E$31,SUP_CONTROL!$C$6)*SUP_CONTROL!$C$26*$C$32*SUP_CONTROL!$C$11</f>
        <v>0</v>
      </c>
      <c r="H53" s="340" t="n">
        <f aca="false">CAPA1_PILOTO!I12*INDEX(SUP_VOLUMEN!$C$31:$E$31,SUP_CONTROL!$C$6)*SUP_CONTROL!$C$26*$C$32*SUP_CONTROL!$C$11</f>
        <v>0</v>
      </c>
      <c r="I53" s="340" t="n">
        <f aca="false">CAPA1_PILOTO!J12*INDEX(SUP_VOLUMEN!$C$31:$E$31,SUP_CONTROL!$C$6)*SUP_CONTROL!$C$26*$C$32*SUP_CONTROL!$C$11</f>
        <v>1897.82068965517</v>
      </c>
      <c r="J53" s="340" t="n">
        <f aca="false">CAPA1_PILOTO!K12*INDEX(SUP_VOLUMEN!$C$31:$E$31,SUP_CONTROL!$C$6)*SUP_CONTROL!$C$26*$C$32*SUP_CONTROL!$C$11</f>
        <v>6100.13793103448</v>
      </c>
      <c r="K53" s="340" t="n">
        <f aca="false">CAPA1_PILOTO!L12*INDEX(SUP_VOLUMEN!$C$31:$E$31,SUP_CONTROL!$C$6)*SUP_CONTROL!$C$26*$C$32*SUP_CONTROL!$C$11</f>
        <v>7320.16551724138</v>
      </c>
      <c r="L53" s="340" t="n">
        <f aca="false">CAPA1_PILOTO!M12*INDEX(SUP_VOLUMEN!$C$31:$E$31,SUP_CONTROL!$C$6)*SUP_CONTROL!$C$26*$C$32*SUP_CONTROL!$C$11</f>
        <v>8133.51724137931</v>
      </c>
      <c r="M53" s="340" t="n">
        <f aca="false">CAPA1_PILOTO!N12*INDEX(SUP_VOLUMEN!$C$31:$E$31,SUP_CONTROL!$C$6)*SUP_CONTROL!$C$26*$C$32*SUP_CONTROL!$C$11</f>
        <v>8133.51724137931</v>
      </c>
      <c r="N53" s="340" t="n">
        <f aca="false">CAPA1_PILOTO!O12*INDEX(SUP_VOLUMEN!$C$31:$E$31,SUP_CONTROL!$C$6)*SUP_CONTROL!$C$26*$C$32*SUP_CONTROL!$C$11</f>
        <v>8133.51724137931</v>
      </c>
      <c r="O53" s="340" t="n">
        <f aca="false">SUM(CAPA1_PILOTO!P12:AA12)*INDEX(SUP_VOLUMEN!$C$31:$E$31,SUP_CONTROL!$C$6)*SUP_CONTROL!$C$26*$C$32*SUP_CONTROL!$C$11</f>
        <v>97602.2068965517</v>
      </c>
      <c r="P53" s="340" t="n">
        <f aca="false">SUM(CAPA1_PILOTO!AB12:AM12)*INDEX(SUP_VOLUMEN!$C$31:$E$31,SUP_CONTROL!$C$6)*SUP_CONTROL!$C$26*$C$32*SUP_CONTROL!$C$11</f>
        <v>97602.2068965517</v>
      </c>
      <c r="Q53" s="340" t="n">
        <f aca="false">SUM(CAPA1_PILOTO!AN12:AY12)*INDEX(SUP_VOLUMEN!$C$31:$E$31,SUP_CONTROL!$C$6)*SUP_CONTROL!$C$26*$C$32*SUP_CONTROL!$C$11</f>
        <v>97602.2068965517</v>
      </c>
      <c r="R53" s="340" t="n">
        <f aca="false">SUM(CAPA1_PILOTO!AZ12:BK12)*INDEX(SUP_VOLUMEN!$C$31:$E$31,SUP_CONTROL!$C$6)*SUP_CONTROL!$C$26*$C$32*SUP_CONTROL!$C$11</f>
        <v>97602.2068965517</v>
      </c>
      <c r="S53" s="340" t="n">
        <f aca="false">SUM(CAPA1_PILOTO!BL12:BW12)*INDEX(SUP_VOLUMEN!$C$31:$E$31,SUP_CONTROL!$C$6)*SUP_CONTROL!$C$26*$C$32*SUP_CONTROL!$C$11</f>
        <v>97602.2068965517</v>
      </c>
      <c r="T53" s="340" t="n">
        <f aca="false">SUM(CAPA1_PILOTO!BX12:CI12)*INDEX(SUP_VOLUMEN!$C$31:$E$31,SUP_CONTROL!$C$6)*SUP_CONTROL!$C$26*$C$32*SUP_CONTROL!$C$11</f>
        <v>97602.2068965517</v>
      </c>
      <c r="U53" s="340" t="n">
        <f aca="false">SUM(CAPA1_PILOTO!CJ12:CU12)*INDEX(SUP_VOLUMEN!$C$31:$E$31,SUP_CONTROL!$C$6)*SUP_CONTROL!$C$26*$C$32*SUP_CONTROL!$C$11</f>
        <v>97602.2068965517</v>
      </c>
      <c r="V53" s="340" t="n">
        <f aca="false">SUM(CAPA1_PILOTO!CV12:DG12)*INDEX(SUP_VOLUMEN!$C$31:$E$31,SUP_CONTROL!$C$6)*SUP_CONTROL!$C$26*$C$32*SUP_CONTROL!$C$11</f>
        <v>97602.2068965517</v>
      </c>
      <c r="W53" s="340" t="n">
        <f aca="false">SUM(CAPA1_PILOTO!DH12:DS12)*INDEX(SUP_VOLUMEN!$C$31:$E$31,SUP_CONTROL!$C$6)*SUP_CONTROL!$C$26*$C$32*SUP_CONTROL!$C$11</f>
        <v>97602.2068965517</v>
      </c>
    </row>
    <row r="54" customFormat="false" ht="15" hidden="false" customHeight="true" outlineLevel="3" collapsed="false">
      <c r="B54" s="600" t="s">
        <v>714</v>
      </c>
      <c r="C54" s="340" t="n">
        <f aca="false">CAPA1_PILOTO!D12*INDEX(SUP_VOLUMEN!$C$31:$E$31,SUP_CONTROL!$C$6)*SUP_CONTROL!$C$26*$C$33*SUP_CONTROL!$C$11</f>
        <v>0</v>
      </c>
      <c r="D54" s="340" t="n">
        <f aca="false">CAPA1_PILOTO!E12*INDEX(SUP_VOLUMEN!$C$31:$E$31,SUP_CONTROL!$C$6)*SUP_CONTROL!$C$26*$C$33*SUP_CONTROL!$C$11</f>
        <v>0</v>
      </c>
      <c r="E54" s="340" t="n">
        <f aca="false">CAPA1_PILOTO!F12*INDEX(SUP_VOLUMEN!$C$31:$E$31,SUP_CONTROL!$C$6)*SUP_CONTROL!$C$26*$C$33*SUP_CONTROL!$C$11</f>
        <v>0</v>
      </c>
      <c r="F54" s="340" t="n">
        <f aca="false">CAPA1_PILOTO!G12*INDEX(SUP_VOLUMEN!$C$31:$E$31,SUP_CONTROL!$C$6)*SUP_CONTROL!$C$26*$C$33*SUP_CONTROL!$C$11</f>
        <v>0</v>
      </c>
      <c r="G54" s="340" t="n">
        <f aca="false">CAPA1_PILOTO!H12*INDEX(SUP_VOLUMEN!$C$31:$E$31,SUP_CONTROL!$C$6)*SUP_CONTROL!$C$26*$C$33*SUP_CONTROL!$C$11</f>
        <v>0</v>
      </c>
      <c r="H54" s="340" t="n">
        <f aca="false">CAPA1_PILOTO!I12*INDEX(SUP_VOLUMEN!$C$31:$E$31,SUP_CONTROL!$C$6)*SUP_CONTROL!$C$26*$C$33*SUP_CONTROL!$C$11</f>
        <v>0</v>
      </c>
      <c r="I54" s="340" t="n">
        <f aca="false">CAPA1_PILOTO!J12*INDEX(SUP_VOLUMEN!$C$31:$E$31,SUP_CONTROL!$C$6)*SUP_CONTROL!$C$26*$C$33*SUP_CONTROL!$C$11</f>
        <v>2767.65517241379</v>
      </c>
      <c r="J54" s="340" t="n">
        <f aca="false">CAPA1_PILOTO!K12*INDEX(SUP_VOLUMEN!$C$31:$E$31,SUP_CONTROL!$C$6)*SUP_CONTROL!$C$26*$C$33*SUP_CONTROL!$C$11</f>
        <v>8896.03448275862</v>
      </c>
      <c r="K54" s="340" t="n">
        <f aca="false">CAPA1_PILOTO!L12*INDEX(SUP_VOLUMEN!$C$31:$E$31,SUP_CONTROL!$C$6)*SUP_CONTROL!$C$26*$C$33*SUP_CONTROL!$C$11</f>
        <v>10675.2413793103</v>
      </c>
      <c r="L54" s="340" t="n">
        <f aca="false">CAPA1_PILOTO!M12*INDEX(SUP_VOLUMEN!$C$31:$E$31,SUP_CONTROL!$C$6)*SUP_CONTROL!$C$26*$C$33*SUP_CONTROL!$C$11</f>
        <v>11861.3793103448</v>
      </c>
      <c r="M54" s="340" t="n">
        <f aca="false">CAPA1_PILOTO!N12*INDEX(SUP_VOLUMEN!$C$31:$E$31,SUP_CONTROL!$C$6)*SUP_CONTROL!$C$26*$C$33*SUP_CONTROL!$C$11</f>
        <v>11861.3793103448</v>
      </c>
      <c r="N54" s="340" t="n">
        <f aca="false">CAPA1_PILOTO!O12*INDEX(SUP_VOLUMEN!$C$31:$E$31,SUP_CONTROL!$C$6)*SUP_CONTROL!$C$26*$C$33*SUP_CONTROL!$C$11</f>
        <v>11861.3793103448</v>
      </c>
      <c r="O54" s="340" t="n">
        <f aca="false">SUM(CAPA1_PILOTO!P12:AA12)*INDEX(SUP_VOLUMEN!$C$31:$E$31,SUP_CONTROL!$C$6)*SUP_CONTROL!$C$26*$C$33*SUP_CONTROL!$C$11</f>
        <v>142336.551724138</v>
      </c>
      <c r="P54" s="340" t="n">
        <f aca="false">SUM(CAPA1_PILOTO!AB12:AM12)*INDEX(SUP_VOLUMEN!$C$31:$E$31,SUP_CONTROL!$C$6)*SUP_CONTROL!$C$26*$C$33*SUP_CONTROL!$C$11</f>
        <v>142336.551724138</v>
      </c>
      <c r="Q54" s="340" t="n">
        <f aca="false">SUM(CAPA1_PILOTO!AN12:AY12)*INDEX(SUP_VOLUMEN!$C$31:$E$31,SUP_CONTROL!$C$6)*SUP_CONTROL!$C$26*$C$33*SUP_CONTROL!$C$11</f>
        <v>142336.551724138</v>
      </c>
      <c r="R54" s="340" t="n">
        <f aca="false">SUM(CAPA1_PILOTO!AZ12:BK12)*INDEX(SUP_VOLUMEN!$C$31:$E$31,SUP_CONTROL!$C$6)*SUP_CONTROL!$C$26*$C$33*SUP_CONTROL!$C$11</f>
        <v>142336.551724138</v>
      </c>
      <c r="S54" s="340" t="n">
        <f aca="false">SUM(CAPA1_PILOTO!BL12:BW12)*INDEX(SUP_VOLUMEN!$C$31:$E$31,SUP_CONTROL!$C$6)*SUP_CONTROL!$C$26*$C$33*SUP_CONTROL!$C$11</f>
        <v>142336.551724138</v>
      </c>
      <c r="T54" s="340" t="n">
        <f aca="false">SUM(CAPA1_PILOTO!BX12:CI12)*INDEX(SUP_VOLUMEN!$C$31:$E$31,SUP_CONTROL!$C$6)*SUP_CONTROL!$C$26*$C$33*SUP_CONTROL!$C$11</f>
        <v>142336.551724138</v>
      </c>
      <c r="U54" s="340" t="n">
        <f aca="false">SUM(CAPA1_PILOTO!CJ12:CU12)*INDEX(SUP_VOLUMEN!$C$31:$E$31,SUP_CONTROL!$C$6)*SUP_CONTROL!$C$26*$C$33*SUP_CONTROL!$C$11</f>
        <v>142336.551724138</v>
      </c>
      <c r="V54" s="340" t="n">
        <f aca="false">SUM(CAPA1_PILOTO!CV12:DG12)*INDEX(SUP_VOLUMEN!$C$31:$E$31,SUP_CONTROL!$C$6)*SUP_CONTROL!$C$26*$C$33*SUP_CONTROL!$C$11</f>
        <v>142336.551724138</v>
      </c>
      <c r="W54" s="340" t="n">
        <f aca="false">SUM(CAPA1_PILOTO!DH12:DS12)*INDEX(SUP_VOLUMEN!$C$31:$E$31,SUP_CONTROL!$C$6)*SUP_CONTROL!$C$26*$C$33*SUP_CONTROL!$C$11</f>
        <v>142336.551724138</v>
      </c>
    </row>
    <row r="55" customFormat="false" ht="15" hidden="false" customHeight="true" outlineLevel="3" collapsed="false">
      <c r="B55" s="600" t="s">
        <v>719</v>
      </c>
      <c r="C55" s="340" t="n">
        <f aca="false">CAPA1_PILOTO!D12*INDEX(SUP_VOLUMEN!$C$31:$E$31,SUP_CONTROL!$C$6)*SUP_CONTROL!$C$26*$C$34*SUP_CONTROL!$C$11</f>
        <v>0</v>
      </c>
      <c r="D55" s="340" t="n">
        <f aca="false">CAPA1_PILOTO!E12*INDEX(SUP_VOLUMEN!$C$31:$E$31,SUP_CONTROL!$C$6)*SUP_CONTROL!$C$26*$C$34*SUP_CONTROL!$C$11</f>
        <v>0</v>
      </c>
      <c r="E55" s="340" t="n">
        <f aca="false">CAPA1_PILOTO!F12*INDEX(SUP_VOLUMEN!$C$31:$E$31,SUP_CONTROL!$C$6)*SUP_CONTROL!$C$26*$C$34*SUP_CONTROL!$C$11</f>
        <v>0</v>
      </c>
      <c r="F55" s="340" t="n">
        <f aca="false">CAPA1_PILOTO!G12*INDEX(SUP_VOLUMEN!$C$31:$E$31,SUP_CONTROL!$C$6)*SUP_CONTROL!$C$26*$C$34*SUP_CONTROL!$C$11</f>
        <v>0</v>
      </c>
      <c r="G55" s="340" t="n">
        <f aca="false">CAPA1_PILOTO!H12*INDEX(SUP_VOLUMEN!$C$31:$E$31,SUP_CONTROL!$C$6)*SUP_CONTROL!$C$26*$C$34*SUP_CONTROL!$C$11</f>
        <v>0</v>
      </c>
      <c r="H55" s="340" t="n">
        <f aca="false">CAPA1_PILOTO!I12*INDEX(SUP_VOLUMEN!$C$31:$E$31,SUP_CONTROL!$C$6)*SUP_CONTROL!$C$26*$C$34*SUP_CONTROL!$C$11</f>
        <v>0</v>
      </c>
      <c r="I55" s="340" t="n">
        <f aca="false">CAPA1_PILOTO!J12*INDEX(SUP_VOLUMEN!$C$31:$E$31,SUP_CONTROL!$C$6)*SUP_CONTROL!$C$26*$C$34*SUP_CONTROL!$C$11</f>
        <v>2396.69634888438</v>
      </c>
      <c r="J55" s="340" t="n">
        <f aca="false">CAPA1_PILOTO!K12*INDEX(SUP_VOLUMEN!$C$31:$E$31,SUP_CONTROL!$C$6)*SUP_CONTROL!$C$26*$C$34*SUP_CONTROL!$C$11</f>
        <v>7703.6668356998</v>
      </c>
      <c r="K55" s="340" t="n">
        <f aca="false">CAPA1_PILOTO!L12*INDEX(SUP_VOLUMEN!$C$31:$E$31,SUP_CONTROL!$C$6)*SUP_CONTROL!$C$26*$C$34*SUP_CONTROL!$C$11</f>
        <v>9244.40020283976</v>
      </c>
      <c r="L55" s="340" t="n">
        <f aca="false">CAPA1_PILOTO!M12*INDEX(SUP_VOLUMEN!$C$31:$E$31,SUP_CONTROL!$C$6)*SUP_CONTROL!$C$26*$C$34*SUP_CONTROL!$C$11</f>
        <v>10271.5557809331</v>
      </c>
      <c r="M55" s="340" t="n">
        <f aca="false">CAPA1_PILOTO!N12*INDEX(SUP_VOLUMEN!$C$31:$E$31,SUP_CONTROL!$C$6)*SUP_CONTROL!$C$26*$C$34*SUP_CONTROL!$C$11</f>
        <v>10271.5557809331</v>
      </c>
      <c r="N55" s="340" t="n">
        <f aca="false">CAPA1_PILOTO!O12*INDEX(SUP_VOLUMEN!$C$31:$E$31,SUP_CONTROL!$C$6)*SUP_CONTROL!$C$26*$C$34*SUP_CONTROL!$C$11</f>
        <v>10271.5557809331</v>
      </c>
      <c r="O55" s="340" t="n">
        <f aca="false">SUM(CAPA1_PILOTO!P12:AA12)*INDEX(SUP_VOLUMEN!$C$31:$E$31,SUP_CONTROL!$C$6)*SUP_CONTROL!$C$26*$C$34*SUP_CONTROL!$C$11</f>
        <v>123258.669371197</v>
      </c>
      <c r="P55" s="340" t="n">
        <f aca="false">SUM(CAPA1_PILOTO!AB12:AM12)*INDEX(SUP_VOLUMEN!$C$31:$E$31,SUP_CONTROL!$C$6)*SUP_CONTROL!$C$26*$C$34*SUP_CONTROL!$C$11</f>
        <v>123258.669371197</v>
      </c>
      <c r="Q55" s="340" t="n">
        <f aca="false">SUM(CAPA1_PILOTO!AN12:AY12)*INDEX(SUP_VOLUMEN!$C$31:$E$31,SUP_CONTROL!$C$6)*SUP_CONTROL!$C$26*$C$34*SUP_CONTROL!$C$11</f>
        <v>123258.669371197</v>
      </c>
      <c r="R55" s="340" t="n">
        <f aca="false">SUM(CAPA1_PILOTO!AZ12:BK12)*INDEX(SUP_VOLUMEN!$C$31:$E$31,SUP_CONTROL!$C$6)*SUP_CONTROL!$C$26*$C$34*SUP_CONTROL!$C$11</f>
        <v>123258.669371197</v>
      </c>
      <c r="S55" s="340" t="n">
        <f aca="false">SUM(CAPA1_PILOTO!BL12:BW12)*INDEX(SUP_VOLUMEN!$C$31:$E$31,SUP_CONTROL!$C$6)*SUP_CONTROL!$C$26*$C$34*SUP_CONTROL!$C$11</f>
        <v>123258.669371197</v>
      </c>
      <c r="T55" s="340" t="n">
        <f aca="false">SUM(CAPA1_PILOTO!BX12:CI12)*INDEX(SUP_VOLUMEN!$C$31:$E$31,SUP_CONTROL!$C$6)*SUP_CONTROL!$C$26*$C$34*SUP_CONTROL!$C$11</f>
        <v>123258.669371197</v>
      </c>
      <c r="U55" s="340" t="n">
        <f aca="false">SUM(CAPA1_PILOTO!CJ12:CU12)*INDEX(SUP_VOLUMEN!$C$31:$E$31,SUP_CONTROL!$C$6)*SUP_CONTROL!$C$26*$C$34*SUP_CONTROL!$C$11</f>
        <v>123258.669371197</v>
      </c>
      <c r="V55" s="340" t="n">
        <f aca="false">SUM(CAPA1_PILOTO!CV12:DG12)*INDEX(SUP_VOLUMEN!$C$31:$E$31,SUP_CONTROL!$C$6)*SUP_CONTROL!$C$26*$C$34*SUP_CONTROL!$C$11</f>
        <v>123258.669371197</v>
      </c>
      <c r="W55" s="340" t="n">
        <f aca="false">SUM(CAPA1_PILOTO!DH12:DS12)*INDEX(SUP_VOLUMEN!$C$31:$E$31,SUP_CONTROL!$C$6)*SUP_CONTROL!$C$26*$C$34*SUP_CONTROL!$C$11</f>
        <v>123258.669371197</v>
      </c>
    </row>
    <row r="56" customFormat="false" ht="15" hidden="false" customHeight="true" outlineLevel="3" collapsed="false">
      <c r="B56" s="600" t="s">
        <v>724</v>
      </c>
      <c r="C56" s="340" t="n">
        <f aca="false">CAPA1_PILOTO!D12*INDEX(SUP_VOLUMEN!$C$31:$E$31,SUP_CONTROL!$C$6)*SUP_CONTROL!$C$26*$C$35*SUP_CONTROL!$C$11</f>
        <v>0</v>
      </c>
      <c r="D56" s="340" t="n">
        <f aca="false">CAPA1_PILOTO!E12*INDEX(SUP_VOLUMEN!$C$31:$E$31,SUP_CONTROL!$C$6)*SUP_CONTROL!$C$26*$C$35*SUP_CONTROL!$C$11</f>
        <v>0</v>
      </c>
      <c r="E56" s="340" t="n">
        <f aca="false">CAPA1_PILOTO!F12*INDEX(SUP_VOLUMEN!$C$31:$E$31,SUP_CONTROL!$C$6)*SUP_CONTROL!$C$26*$C$35*SUP_CONTROL!$C$11</f>
        <v>0</v>
      </c>
      <c r="F56" s="340" t="n">
        <f aca="false">CAPA1_PILOTO!G12*INDEX(SUP_VOLUMEN!$C$31:$E$31,SUP_CONTROL!$C$6)*SUP_CONTROL!$C$26*$C$35*SUP_CONTROL!$C$11</f>
        <v>0</v>
      </c>
      <c r="G56" s="340" t="n">
        <f aca="false">CAPA1_PILOTO!H12*INDEX(SUP_VOLUMEN!$C$31:$E$31,SUP_CONTROL!$C$6)*SUP_CONTROL!$C$26*$C$35*SUP_CONTROL!$C$11</f>
        <v>0</v>
      </c>
      <c r="H56" s="340" t="n">
        <f aca="false">CAPA1_PILOTO!I12*INDEX(SUP_VOLUMEN!$C$31:$E$31,SUP_CONTROL!$C$6)*SUP_CONTROL!$C$26*$C$35*SUP_CONTROL!$C$11</f>
        <v>0</v>
      </c>
      <c r="I56" s="340" t="n">
        <f aca="false">CAPA1_PILOTO!J12*INDEX(SUP_VOLUMEN!$C$31:$E$31,SUP_CONTROL!$C$6)*SUP_CONTROL!$C$26*$C$35*SUP_CONTROL!$C$11</f>
        <v>2979.46551724138</v>
      </c>
      <c r="J56" s="340" t="n">
        <f aca="false">CAPA1_PILOTO!K12*INDEX(SUP_VOLUMEN!$C$31:$E$31,SUP_CONTROL!$C$6)*SUP_CONTROL!$C$26*$C$35*SUP_CONTROL!$C$11</f>
        <v>9576.85344827586</v>
      </c>
      <c r="K56" s="340" t="n">
        <f aca="false">CAPA1_PILOTO!L12*INDEX(SUP_VOLUMEN!$C$31:$E$31,SUP_CONTROL!$C$6)*SUP_CONTROL!$C$26*$C$35*SUP_CONTROL!$C$11</f>
        <v>11492.224137931</v>
      </c>
      <c r="L56" s="340" t="n">
        <f aca="false">CAPA1_PILOTO!M12*INDEX(SUP_VOLUMEN!$C$31:$E$31,SUP_CONTROL!$C$6)*SUP_CONTROL!$C$26*$C$35*SUP_CONTROL!$C$11</f>
        <v>12769.1379310345</v>
      </c>
      <c r="M56" s="340" t="n">
        <f aca="false">CAPA1_PILOTO!N12*INDEX(SUP_VOLUMEN!$C$31:$E$31,SUP_CONTROL!$C$6)*SUP_CONTROL!$C$26*$C$35*SUP_CONTROL!$C$11</f>
        <v>12769.1379310345</v>
      </c>
      <c r="N56" s="340" t="n">
        <f aca="false">CAPA1_PILOTO!O12*INDEX(SUP_VOLUMEN!$C$31:$E$31,SUP_CONTROL!$C$6)*SUP_CONTROL!$C$26*$C$35*SUP_CONTROL!$C$11</f>
        <v>12769.1379310345</v>
      </c>
      <c r="O56" s="340" t="n">
        <f aca="false">SUM(CAPA1_PILOTO!P12:AA12)*INDEX(SUP_VOLUMEN!$C$31:$E$31,SUP_CONTROL!$C$6)*SUP_CONTROL!$C$26*$C$35*SUP_CONTROL!$C$11</f>
        <v>153229.655172414</v>
      </c>
      <c r="P56" s="340" t="n">
        <f aca="false">SUM(CAPA1_PILOTO!AB12:AM12)*INDEX(SUP_VOLUMEN!$C$31:$E$31,SUP_CONTROL!$C$6)*SUP_CONTROL!$C$26*$C$35*SUP_CONTROL!$C$11</f>
        <v>153229.655172414</v>
      </c>
      <c r="Q56" s="340" t="n">
        <f aca="false">SUM(CAPA1_PILOTO!AN12:AY12)*INDEX(SUP_VOLUMEN!$C$31:$E$31,SUP_CONTROL!$C$6)*SUP_CONTROL!$C$26*$C$35*SUP_CONTROL!$C$11</f>
        <v>153229.655172414</v>
      </c>
      <c r="R56" s="340" t="n">
        <f aca="false">SUM(CAPA1_PILOTO!AZ12:BK12)*INDEX(SUP_VOLUMEN!$C$31:$E$31,SUP_CONTROL!$C$6)*SUP_CONTROL!$C$26*$C$35*SUP_CONTROL!$C$11</f>
        <v>153229.655172414</v>
      </c>
      <c r="S56" s="340" t="n">
        <f aca="false">SUM(CAPA1_PILOTO!BL12:BW12)*INDEX(SUP_VOLUMEN!$C$31:$E$31,SUP_CONTROL!$C$6)*SUP_CONTROL!$C$26*$C$35*SUP_CONTROL!$C$11</f>
        <v>153229.655172414</v>
      </c>
      <c r="T56" s="340" t="n">
        <f aca="false">SUM(CAPA1_PILOTO!BX12:CI12)*INDEX(SUP_VOLUMEN!$C$31:$E$31,SUP_CONTROL!$C$6)*SUP_CONTROL!$C$26*$C$35*SUP_CONTROL!$C$11</f>
        <v>153229.655172414</v>
      </c>
      <c r="U56" s="340" t="n">
        <f aca="false">SUM(CAPA1_PILOTO!CJ12:CU12)*INDEX(SUP_VOLUMEN!$C$31:$E$31,SUP_CONTROL!$C$6)*SUP_CONTROL!$C$26*$C$35*SUP_CONTROL!$C$11</f>
        <v>153229.655172414</v>
      </c>
      <c r="V56" s="340" t="n">
        <f aca="false">SUM(CAPA1_PILOTO!CV12:DG12)*INDEX(SUP_VOLUMEN!$C$31:$E$31,SUP_CONTROL!$C$6)*SUP_CONTROL!$C$26*$C$35*SUP_CONTROL!$C$11</f>
        <v>153229.655172414</v>
      </c>
      <c r="W56" s="340" t="n">
        <f aca="false">SUM(CAPA1_PILOTO!DH12:DS12)*INDEX(SUP_VOLUMEN!$C$31:$E$31,SUP_CONTROL!$C$6)*SUP_CONTROL!$C$26*$C$35*SUP_CONTROL!$C$11</f>
        <v>153229.655172414</v>
      </c>
    </row>
    <row r="57" customFormat="false" ht="15" hidden="false" customHeight="true" outlineLevel="3" collapsed="false">
      <c r="B57" s="600" t="s">
        <v>733</v>
      </c>
      <c r="C57" s="340" t="n">
        <f aca="false">CAPA1_PILOTO!D12*INDEX(SUP_VOLUMEN!$C$31:$E$31,SUP_CONTROL!$C$6)*SUP_CONTROL!$C$26*$C$36*SUP_CONTROL!$C$11</f>
        <v>0</v>
      </c>
      <c r="D57" s="340" t="n">
        <f aca="false">CAPA1_PILOTO!E12*INDEX(SUP_VOLUMEN!$C$31:$E$31,SUP_CONTROL!$C$6)*SUP_CONTROL!$C$26*$C$36*SUP_CONTROL!$C$11</f>
        <v>0</v>
      </c>
      <c r="E57" s="340" t="n">
        <f aca="false">CAPA1_PILOTO!F12*INDEX(SUP_VOLUMEN!$C$31:$E$31,SUP_CONTROL!$C$6)*SUP_CONTROL!$C$26*$C$36*SUP_CONTROL!$C$11</f>
        <v>0</v>
      </c>
      <c r="F57" s="340" t="n">
        <f aca="false">CAPA1_PILOTO!G12*INDEX(SUP_VOLUMEN!$C$31:$E$31,SUP_CONTROL!$C$6)*SUP_CONTROL!$C$26*$C$36*SUP_CONTROL!$C$11</f>
        <v>0</v>
      </c>
      <c r="G57" s="340" t="n">
        <f aca="false">CAPA1_PILOTO!H12*INDEX(SUP_VOLUMEN!$C$31:$E$31,SUP_CONTROL!$C$6)*SUP_CONTROL!$C$26*$C$36*SUP_CONTROL!$C$11</f>
        <v>0</v>
      </c>
      <c r="H57" s="340" t="n">
        <f aca="false">CAPA1_PILOTO!I12*INDEX(SUP_VOLUMEN!$C$31:$E$31,SUP_CONTROL!$C$6)*SUP_CONTROL!$C$26*$C$36*SUP_CONTROL!$C$11</f>
        <v>0</v>
      </c>
      <c r="I57" s="340" t="n">
        <f aca="false">CAPA1_PILOTO!J12*INDEX(SUP_VOLUMEN!$C$31:$E$31,SUP_CONTROL!$C$6)*SUP_CONTROL!$C$26*$C$36*SUP_CONTROL!$C$11</f>
        <v>3954.20519916329</v>
      </c>
      <c r="J57" s="340" t="n">
        <f aca="false">CAPA1_PILOTO!K12*INDEX(SUP_VOLUMEN!$C$31:$E$31,SUP_CONTROL!$C$6)*SUP_CONTROL!$C$26*$C$36*SUP_CONTROL!$C$11</f>
        <v>12709.9452830248</v>
      </c>
      <c r="K57" s="340" t="n">
        <f aca="false">CAPA1_PILOTO!L12*INDEX(SUP_VOLUMEN!$C$31:$E$31,SUP_CONTROL!$C$6)*SUP_CONTROL!$C$26*$C$36*SUP_CONTROL!$C$11</f>
        <v>15251.9343396298</v>
      </c>
      <c r="L57" s="340" t="n">
        <f aca="false">CAPA1_PILOTO!M12*INDEX(SUP_VOLUMEN!$C$31:$E$31,SUP_CONTROL!$C$6)*SUP_CONTROL!$C$26*$C$36*SUP_CONTROL!$C$11</f>
        <v>16946.5937106998</v>
      </c>
      <c r="M57" s="340" t="n">
        <f aca="false">CAPA1_PILOTO!N12*INDEX(SUP_VOLUMEN!$C$31:$E$31,SUP_CONTROL!$C$6)*SUP_CONTROL!$C$26*$C$36*SUP_CONTROL!$C$11</f>
        <v>16946.5937106998</v>
      </c>
      <c r="N57" s="340" t="n">
        <f aca="false">CAPA1_PILOTO!O12*INDEX(SUP_VOLUMEN!$C$31:$E$31,SUP_CONTROL!$C$6)*SUP_CONTROL!$C$26*$C$36*SUP_CONTROL!$C$11</f>
        <v>16946.5937106998</v>
      </c>
      <c r="O57" s="340" t="n">
        <f aca="false">SUM(CAPA1_PILOTO!P12:AA12)*INDEX(SUP_VOLUMEN!$C$31:$E$31,SUP_CONTROL!$C$6)*SUP_CONTROL!$C$26*$C$36*SUP_CONTROL!$C$11</f>
        <v>203359.124528398</v>
      </c>
      <c r="P57" s="340" t="n">
        <f aca="false">SUM(CAPA1_PILOTO!AB12:AM12)*INDEX(SUP_VOLUMEN!$C$31:$E$31,SUP_CONTROL!$C$6)*SUP_CONTROL!$C$26*$C$36*SUP_CONTROL!$C$11</f>
        <v>203359.124528398</v>
      </c>
      <c r="Q57" s="340" t="n">
        <f aca="false">SUM(CAPA1_PILOTO!AN12:AY12)*INDEX(SUP_VOLUMEN!$C$31:$E$31,SUP_CONTROL!$C$6)*SUP_CONTROL!$C$26*$C$36*SUP_CONTROL!$C$11</f>
        <v>203359.124528398</v>
      </c>
      <c r="R57" s="340" t="n">
        <f aca="false">SUM(CAPA1_PILOTO!AZ12:BK12)*INDEX(SUP_VOLUMEN!$C$31:$E$31,SUP_CONTROL!$C$6)*SUP_CONTROL!$C$26*$C$36*SUP_CONTROL!$C$11</f>
        <v>203359.124528398</v>
      </c>
      <c r="S57" s="340" t="n">
        <f aca="false">SUM(CAPA1_PILOTO!BL12:BW12)*INDEX(SUP_VOLUMEN!$C$31:$E$31,SUP_CONTROL!$C$6)*SUP_CONTROL!$C$26*$C$36*SUP_CONTROL!$C$11</f>
        <v>203359.124528398</v>
      </c>
      <c r="T57" s="340" t="n">
        <f aca="false">SUM(CAPA1_PILOTO!BX12:CI12)*INDEX(SUP_VOLUMEN!$C$31:$E$31,SUP_CONTROL!$C$6)*SUP_CONTROL!$C$26*$C$36*SUP_CONTROL!$C$11</f>
        <v>203359.124528398</v>
      </c>
      <c r="U57" s="340" t="n">
        <f aca="false">SUM(CAPA1_PILOTO!CJ12:CU12)*INDEX(SUP_VOLUMEN!$C$31:$E$31,SUP_CONTROL!$C$6)*SUP_CONTROL!$C$26*$C$36*SUP_CONTROL!$C$11</f>
        <v>203359.124528398</v>
      </c>
      <c r="V57" s="340" t="n">
        <f aca="false">SUM(CAPA1_PILOTO!CV12:DG12)*INDEX(SUP_VOLUMEN!$C$31:$E$31,SUP_CONTROL!$C$6)*SUP_CONTROL!$C$26*$C$36*SUP_CONTROL!$C$11</f>
        <v>203359.124528398</v>
      </c>
      <c r="W57" s="340" t="n">
        <f aca="false">SUM(CAPA1_PILOTO!DH12:DS12)*INDEX(SUP_VOLUMEN!$C$31:$E$31,SUP_CONTROL!$C$6)*SUP_CONTROL!$C$26*$C$36*SUP_CONTROL!$C$11</f>
        <v>203359.124528398</v>
      </c>
    </row>
    <row r="58" customFormat="false" ht="15" hidden="false" customHeight="true" outlineLevel="2" collapsed="false">
      <c r="B58" s="601" t="s">
        <v>3698</v>
      </c>
      <c r="C58" s="602" t="n">
        <f aca="false">C51+C52+C53+C54+C55+C56+C57</f>
        <v>0</v>
      </c>
      <c r="D58" s="602" t="n">
        <f aca="false">D51+D52+D53+D54+D55+D56+D57</f>
        <v>0</v>
      </c>
      <c r="E58" s="602" t="n">
        <f aca="false">E51+E52+E53+E54+E55+E56+E57</f>
        <v>0</v>
      </c>
      <c r="F58" s="602" t="n">
        <f aca="false">F51+F52+F53+F54+F55+F56+F57</f>
        <v>0</v>
      </c>
      <c r="G58" s="602" t="n">
        <f aca="false">G51+G52+G53+G54+G55+G56+G57</f>
        <v>0</v>
      </c>
      <c r="H58" s="602" t="n">
        <f aca="false">H51+H52+H53+H54+H55+H56+H57</f>
        <v>0</v>
      </c>
      <c r="I58" s="602" t="n">
        <f aca="false">I51+I52+I53+I54+I55+I56+I57</f>
        <v>49395.8823670132</v>
      </c>
      <c r="J58" s="602" t="n">
        <f aca="false">J51+J52+J53+J54+J55+J56+J57</f>
        <v>158772.479036828</v>
      </c>
      <c r="K58" s="602" t="n">
        <f aca="false">K51+K52+K53+K54+K55+K56+K57</f>
        <v>190526.974844194</v>
      </c>
      <c r="L58" s="602" t="n">
        <f aca="false">L51+L52+L53+L54+L55+L56+L57</f>
        <v>211696.638715771</v>
      </c>
      <c r="M58" s="602" t="n">
        <f aca="false">M51+M52+M53+M54+M55+M56+M57</f>
        <v>211696.638715771</v>
      </c>
      <c r="N58" s="602" t="n">
        <f aca="false">N51+N52+N53+N54+N55+N56+N57</f>
        <v>211696.638715771</v>
      </c>
      <c r="O58" s="602" t="n">
        <f aca="false">O51+O52+O53+O54+O55+O56+O57</f>
        <v>2540359.66458925</v>
      </c>
      <c r="P58" s="602" t="n">
        <f aca="false">P51+P52+P53+P54+P55+P56+P57</f>
        <v>2540359.66458925</v>
      </c>
      <c r="Q58" s="602" t="n">
        <f aca="false">Q51+Q52+Q53+Q54+Q55+Q56+Q57</f>
        <v>2540359.66458925</v>
      </c>
      <c r="R58" s="602" t="n">
        <f aca="false">R51+R52+R53+R54+R55+R56+R57</f>
        <v>2540359.66458925</v>
      </c>
      <c r="S58" s="602" t="n">
        <f aca="false">S51+S52+S53+S54+S55+S56+S57</f>
        <v>2540359.66458925</v>
      </c>
      <c r="T58" s="602" t="n">
        <f aca="false">T51+T52+T53+T54+T55+T56+T57</f>
        <v>2540359.66458925</v>
      </c>
      <c r="U58" s="602" t="n">
        <f aca="false">U51+U52+U53+U54+U55+U56+U57</f>
        <v>2540359.66458925</v>
      </c>
      <c r="V58" s="602" t="n">
        <f aca="false">V51+V52+V53+V54+V55+V56+V57</f>
        <v>2540359.66458925</v>
      </c>
      <c r="W58" s="602" t="n">
        <f aca="false">W51+W52+W53+W54+W55+W56+W57</f>
        <v>2540359.66458925</v>
      </c>
      <c r="X58" s="218"/>
      <c r="Y58" s="218"/>
      <c r="Z58" s="218"/>
    </row>
    <row r="59" customFormat="false" ht="15" hidden="false" customHeight="true" outlineLevel="1" collapsed="false">
      <c r="B59" s="603" t="s">
        <v>3699</v>
      </c>
      <c r="C59" s="602" t="n">
        <f aca="false">C49+C58</f>
        <v>0</v>
      </c>
      <c r="D59" s="602" t="n">
        <f aca="false">D49+D58</f>
        <v>0</v>
      </c>
      <c r="E59" s="602" t="n">
        <f aca="false">E49+E58</f>
        <v>0</v>
      </c>
      <c r="F59" s="602" t="n">
        <f aca="false">F49+F58</f>
        <v>75993.6651800203</v>
      </c>
      <c r="G59" s="602" t="n">
        <f aca="false">G49+G58</f>
        <v>168271.687184331</v>
      </c>
      <c r="H59" s="602" t="n">
        <f aca="false">H49+H58</f>
        <v>276834.066012931</v>
      </c>
      <c r="I59" s="602" t="n">
        <f aca="false">I49+I58</f>
        <v>396795.494618535</v>
      </c>
      <c r="J59" s="602" t="n">
        <f aca="false">J49+J58</f>
        <v>530598.626524785</v>
      </c>
      <c r="K59" s="602" t="n">
        <f aca="false">K49+K58</f>
        <v>570495.300744295</v>
      </c>
      <c r="L59" s="602" t="n">
        <f aca="false">L49+L58</f>
        <v>591664.964615872</v>
      </c>
      <c r="M59" s="602" t="n">
        <f aca="false">M49+M58</f>
        <v>591664.964615872</v>
      </c>
      <c r="N59" s="602" t="n">
        <f aca="false">N49+N58</f>
        <v>591664.964615872</v>
      </c>
      <c r="O59" s="602" t="n">
        <f aca="false">O49+O58</f>
        <v>7099979.57539047</v>
      </c>
      <c r="P59" s="602" t="n">
        <f aca="false">P49+P58</f>
        <v>7099979.57539047</v>
      </c>
      <c r="Q59" s="602" t="n">
        <f aca="false">Q49+Q58</f>
        <v>7099979.57539047</v>
      </c>
      <c r="R59" s="602" t="n">
        <f aca="false">R49+R58</f>
        <v>7099979.57539047</v>
      </c>
      <c r="S59" s="602" t="n">
        <f aca="false">S49+S58</f>
        <v>7099979.57539047</v>
      </c>
      <c r="T59" s="602" t="n">
        <f aca="false">T49+T58</f>
        <v>7099979.57539047</v>
      </c>
      <c r="U59" s="602" t="n">
        <f aca="false">U49+U58</f>
        <v>7099979.57539047</v>
      </c>
      <c r="V59" s="602" t="n">
        <f aca="false">V49+V58</f>
        <v>7099979.57539047</v>
      </c>
      <c r="W59" s="602" t="n">
        <f aca="false">W49+W58</f>
        <v>7099979.57539047</v>
      </c>
      <c r="X59" s="218"/>
      <c r="Y59" s="218"/>
      <c r="Z59" s="218"/>
    </row>
    <row r="60" customFormat="false" ht="15" hidden="false" customHeight="true" outlineLevel="1" collapsed="false">
      <c r="B60" s="578" t="s">
        <v>3653</v>
      </c>
    </row>
    <row r="61" customFormat="false" ht="15" hidden="false" customHeight="true" outlineLevel="2" collapsed="false">
      <c r="B61" s="599" t="s">
        <v>3700</v>
      </c>
    </row>
    <row r="62" customFormat="false" ht="15" hidden="false" customHeight="true" outlineLevel="3" collapsed="false">
      <c r="B62" s="600" t="s">
        <v>671</v>
      </c>
      <c r="C62" s="340" t="n">
        <f aca="false">CAPA2_FLAGSHIP!D9*$C$30*SUP_CONTROL!$C$12</f>
        <v>0</v>
      </c>
      <c r="D62" s="340" t="n">
        <f aca="false">CAPA2_FLAGSHIP!E9*$C$30*SUP_CONTROL!$C$12</f>
        <v>0</v>
      </c>
      <c r="E62" s="340" t="n">
        <f aca="false">CAPA2_FLAGSHIP!F9*$C$30*SUP_CONTROL!$C$12</f>
        <v>0</v>
      </c>
      <c r="F62" s="340" t="n">
        <f aca="false">CAPA2_FLAGSHIP!G9*$C$30*SUP_CONTROL!$C$12</f>
        <v>0</v>
      </c>
      <c r="G62" s="340" t="n">
        <f aca="false">CAPA2_FLAGSHIP!H9*$C$30*SUP_CONTROL!$C$12</f>
        <v>0</v>
      </c>
      <c r="H62" s="340" t="n">
        <f aca="false">CAPA2_FLAGSHIP!I9*$C$30*SUP_CONTROL!$C$12</f>
        <v>0</v>
      </c>
      <c r="I62" s="340" t="n">
        <f aca="false">CAPA2_FLAGSHIP!J9*$C$30*SUP_CONTROL!$C$12</f>
        <v>0</v>
      </c>
      <c r="J62" s="340" t="n">
        <f aca="false">CAPA2_FLAGSHIP!K9*$C$30*SUP_CONTROL!$C$12</f>
        <v>0</v>
      </c>
      <c r="K62" s="340" t="n">
        <f aca="false">CAPA2_FLAGSHIP!L9*$C$30*SUP_CONTROL!$C$12</f>
        <v>0</v>
      </c>
      <c r="L62" s="340" t="n">
        <f aca="false">CAPA2_FLAGSHIP!M9*$C$30*SUP_CONTROL!$C$12</f>
        <v>0</v>
      </c>
      <c r="M62" s="340" t="n">
        <f aca="false">CAPA2_FLAGSHIP!N9*$C$30*SUP_CONTROL!$C$12</f>
        <v>0</v>
      </c>
      <c r="N62" s="340" t="n">
        <f aca="false">CAPA2_FLAGSHIP!O9*$C$30*SUP_CONTROL!$C$12</f>
        <v>0</v>
      </c>
      <c r="O62" s="340" t="n">
        <f aca="false">SUM(CAPA2_FLAGSHIP!P9:AA9)*$C$30*SUP_CONTROL!$C$12</f>
        <v>0</v>
      </c>
      <c r="P62" s="340" t="n">
        <f aca="false">SUM(CAPA2_FLAGSHIP!AB9:AM9)*$C$30*SUP_CONTROL!$C$12</f>
        <v>0</v>
      </c>
      <c r="Q62" s="340" t="n">
        <f aca="false">SUM(CAPA2_FLAGSHIP!AN9:AY9)*$C$30*SUP_CONTROL!$C$12</f>
        <v>0</v>
      </c>
      <c r="R62" s="340" t="n">
        <f aca="false">SUM(CAPA2_FLAGSHIP!AZ9:BK9)*$C$30*SUP_CONTROL!$C$12</f>
        <v>0</v>
      </c>
      <c r="S62" s="340" t="n">
        <f aca="false">SUM(CAPA2_FLAGSHIP!BL9:BW9)*$C$30*SUP_CONTROL!$C$12</f>
        <v>0</v>
      </c>
      <c r="T62" s="340" t="n">
        <f aca="false">SUM(CAPA2_FLAGSHIP!BX9:CI9)*$C$30*SUP_CONTROL!$C$12</f>
        <v>0</v>
      </c>
      <c r="U62" s="340" t="n">
        <f aca="false">SUM(CAPA2_FLAGSHIP!CJ9:CU9)*$C$30*SUP_CONTROL!$C$12</f>
        <v>0</v>
      </c>
      <c r="V62" s="340" t="n">
        <f aca="false">SUM(CAPA2_FLAGSHIP!CV9:DG9)*$C$30*SUP_CONTROL!$C$12</f>
        <v>0</v>
      </c>
      <c r="W62" s="340" t="n">
        <f aca="false">SUM(CAPA2_FLAGSHIP!DH9:DS9)*$C$30*SUP_CONTROL!$C$12</f>
        <v>0</v>
      </c>
    </row>
    <row r="63" customFormat="false" ht="15" hidden="false" customHeight="true" outlineLevel="3" collapsed="false">
      <c r="B63" s="600" t="s">
        <v>692</v>
      </c>
      <c r="C63" s="340" t="n">
        <f aca="false">CAPA2_FLAGSHIP!D9*$C$31*SUP_CONTROL!$C$12</f>
        <v>0</v>
      </c>
      <c r="D63" s="340" t="n">
        <f aca="false">CAPA2_FLAGSHIP!E9*$C$31*SUP_CONTROL!$C$12</f>
        <v>0</v>
      </c>
      <c r="E63" s="340" t="n">
        <f aca="false">CAPA2_FLAGSHIP!F9*$C$31*SUP_CONTROL!$C$12</f>
        <v>0</v>
      </c>
      <c r="F63" s="340" t="n">
        <f aca="false">CAPA2_FLAGSHIP!G9*$C$31*SUP_CONTROL!$C$12</f>
        <v>0</v>
      </c>
      <c r="G63" s="340" t="n">
        <f aca="false">CAPA2_FLAGSHIP!H9*$C$31*SUP_CONTROL!$C$12</f>
        <v>0</v>
      </c>
      <c r="H63" s="340" t="n">
        <f aca="false">CAPA2_FLAGSHIP!I9*$C$31*SUP_CONTROL!$C$12</f>
        <v>0</v>
      </c>
      <c r="I63" s="340" t="n">
        <f aca="false">CAPA2_FLAGSHIP!J9*$C$31*SUP_CONTROL!$C$12</f>
        <v>0</v>
      </c>
      <c r="J63" s="340" t="n">
        <f aca="false">CAPA2_FLAGSHIP!K9*$C$31*SUP_CONTROL!$C$12</f>
        <v>0</v>
      </c>
      <c r="K63" s="340" t="n">
        <f aca="false">CAPA2_FLAGSHIP!L9*$C$31*SUP_CONTROL!$C$12</f>
        <v>0</v>
      </c>
      <c r="L63" s="340" t="n">
        <f aca="false">CAPA2_FLAGSHIP!M9*$C$31*SUP_CONTROL!$C$12</f>
        <v>0</v>
      </c>
      <c r="M63" s="340" t="n">
        <f aca="false">CAPA2_FLAGSHIP!N9*$C$31*SUP_CONTROL!$C$12</f>
        <v>0</v>
      </c>
      <c r="N63" s="340" t="n">
        <f aca="false">CAPA2_FLAGSHIP!O9*$C$31*SUP_CONTROL!$C$12</f>
        <v>0</v>
      </c>
      <c r="O63" s="340" t="n">
        <f aca="false">SUM(CAPA2_FLAGSHIP!P9:AA9)*$C$31*SUP_CONTROL!$C$12</f>
        <v>0</v>
      </c>
      <c r="P63" s="340" t="n">
        <f aca="false">SUM(CAPA2_FLAGSHIP!AB9:AM9)*$C$31*SUP_CONTROL!$C$12</f>
        <v>0</v>
      </c>
      <c r="Q63" s="340" t="n">
        <f aca="false">SUM(CAPA2_FLAGSHIP!AN9:AY9)*$C$31*SUP_CONTROL!$C$12</f>
        <v>0</v>
      </c>
      <c r="R63" s="340" t="n">
        <f aca="false">SUM(CAPA2_FLAGSHIP!AZ9:BK9)*$C$31*SUP_CONTROL!$C$12</f>
        <v>0</v>
      </c>
      <c r="S63" s="340" t="n">
        <f aca="false">SUM(CAPA2_FLAGSHIP!BL9:BW9)*$C$31*SUP_CONTROL!$C$12</f>
        <v>0</v>
      </c>
      <c r="T63" s="340" t="n">
        <f aca="false">SUM(CAPA2_FLAGSHIP!BX9:CI9)*$C$31*SUP_CONTROL!$C$12</f>
        <v>0</v>
      </c>
      <c r="U63" s="340" t="n">
        <f aca="false">SUM(CAPA2_FLAGSHIP!CJ9:CU9)*$C$31*SUP_CONTROL!$C$12</f>
        <v>0</v>
      </c>
      <c r="V63" s="340" t="n">
        <f aca="false">SUM(CAPA2_FLAGSHIP!CV9:DG9)*$C$31*SUP_CONTROL!$C$12</f>
        <v>0</v>
      </c>
      <c r="W63" s="340" t="n">
        <f aca="false">SUM(CAPA2_FLAGSHIP!DH9:DS9)*$C$31*SUP_CONTROL!$C$12</f>
        <v>0</v>
      </c>
    </row>
    <row r="64" customFormat="false" ht="15" hidden="false" customHeight="true" outlineLevel="3" collapsed="false">
      <c r="B64" s="600" t="s">
        <v>709</v>
      </c>
      <c r="C64" s="340" t="n">
        <f aca="false">CAPA2_FLAGSHIP!D9*$C$32*SUP_CONTROL!$C$12</f>
        <v>0</v>
      </c>
      <c r="D64" s="340" t="n">
        <f aca="false">CAPA2_FLAGSHIP!E9*$C$32*SUP_CONTROL!$C$12</f>
        <v>0</v>
      </c>
      <c r="E64" s="340" t="n">
        <f aca="false">CAPA2_FLAGSHIP!F9*$C$32*SUP_CONTROL!$C$12</f>
        <v>0</v>
      </c>
      <c r="F64" s="340" t="n">
        <f aca="false">CAPA2_FLAGSHIP!G9*$C$32*SUP_CONTROL!$C$12</f>
        <v>0</v>
      </c>
      <c r="G64" s="340" t="n">
        <f aca="false">CAPA2_FLAGSHIP!H9*$C$32*SUP_CONTROL!$C$12</f>
        <v>0</v>
      </c>
      <c r="H64" s="340" t="n">
        <f aca="false">CAPA2_FLAGSHIP!I9*$C$32*SUP_CONTROL!$C$12</f>
        <v>0</v>
      </c>
      <c r="I64" s="340" t="n">
        <f aca="false">CAPA2_FLAGSHIP!J9*$C$32*SUP_CONTROL!$C$12</f>
        <v>0</v>
      </c>
      <c r="J64" s="340" t="n">
        <f aca="false">CAPA2_FLAGSHIP!K9*$C$32*SUP_CONTROL!$C$12</f>
        <v>0</v>
      </c>
      <c r="K64" s="340" t="n">
        <f aca="false">CAPA2_FLAGSHIP!L9*$C$32*SUP_CONTROL!$C$12</f>
        <v>0</v>
      </c>
      <c r="L64" s="340" t="n">
        <f aca="false">CAPA2_FLAGSHIP!M9*$C$32*SUP_CONTROL!$C$12</f>
        <v>0</v>
      </c>
      <c r="M64" s="340" t="n">
        <f aca="false">CAPA2_FLAGSHIP!N9*$C$32*SUP_CONTROL!$C$12</f>
        <v>0</v>
      </c>
      <c r="N64" s="340" t="n">
        <f aca="false">CAPA2_FLAGSHIP!O9*$C$32*SUP_CONTROL!$C$12</f>
        <v>0</v>
      </c>
      <c r="O64" s="340" t="n">
        <f aca="false">SUM(CAPA2_FLAGSHIP!P9:AA9)*$C$32*SUP_CONTROL!$C$12</f>
        <v>0</v>
      </c>
      <c r="P64" s="340" t="n">
        <f aca="false">SUM(CAPA2_FLAGSHIP!AB9:AM9)*$C$32*SUP_CONTROL!$C$12</f>
        <v>0</v>
      </c>
      <c r="Q64" s="340" t="n">
        <f aca="false">SUM(CAPA2_FLAGSHIP!AN9:AY9)*$C$32*SUP_CONTROL!$C$12</f>
        <v>0</v>
      </c>
      <c r="R64" s="340" t="n">
        <f aca="false">SUM(CAPA2_FLAGSHIP!AZ9:BK9)*$C$32*SUP_CONTROL!$C$12</f>
        <v>0</v>
      </c>
      <c r="S64" s="340" t="n">
        <f aca="false">SUM(CAPA2_FLAGSHIP!BL9:BW9)*$C$32*SUP_CONTROL!$C$12</f>
        <v>0</v>
      </c>
      <c r="T64" s="340" t="n">
        <f aca="false">SUM(CAPA2_FLAGSHIP!BX9:CI9)*$C$32*SUP_CONTROL!$C$12</f>
        <v>0</v>
      </c>
      <c r="U64" s="340" t="n">
        <f aca="false">SUM(CAPA2_FLAGSHIP!CJ9:CU9)*$C$32*SUP_CONTROL!$C$12</f>
        <v>0</v>
      </c>
      <c r="V64" s="340" t="n">
        <f aca="false">SUM(CAPA2_FLAGSHIP!CV9:DG9)*$C$32*SUP_CONTROL!$C$12</f>
        <v>0</v>
      </c>
      <c r="W64" s="340" t="n">
        <f aca="false">SUM(CAPA2_FLAGSHIP!DH9:DS9)*$C$32*SUP_CONTROL!$C$12</f>
        <v>0</v>
      </c>
    </row>
    <row r="65" customFormat="false" ht="15" hidden="false" customHeight="true" outlineLevel="3" collapsed="false">
      <c r="B65" s="600" t="s">
        <v>714</v>
      </c>
      <c r="C65" s="340" t="n">
        <f aca="false">CAPA2_FLAGSHIP!D9*$C$33*SUP_CONTROL!$C$12</f>
        <v>0</v>
      </c>
      <c r="D65" s="340" t="n">
        <f aca="false">CAPA2_FLAGSHIP!E9*$C$33*SUP_CONTROL!$C$12</f>
        <v>0</v>
      </c>
      <c r="E65" s="340" t="n">
        <f aca="false">CAPA2_FLAGSHIP!F9*$C$33*SUP_CONTROL!$C$12</f>
        <v>0</v>
      </c>
      <c r="F65" s="340" t="n">
        <f aca="false">CAPA2_FLAGSHIP!G9*$C$33*SUP_CONTROL!$C$12</f>
        <v>0</v>
      </c>
      <c r="G65" s="340" t="n">
        <f aca="false">CAPA2_FLAGSHIP!H9*$C$33*SUP_CONTROL!$C$12</f>
        <v>0</v>
      </c>
      <c r="H65" s="340" t="n">
        <f aca="false">CAPA2_FLAGSHIP!I9*$C$33*SUP_CONTROL!$C$12</f>
        <v>0</v>
      </c>
      <c r="I65" s="340" t="n">
        <f aca="false">CAPA2_FLAGSHIP!J9*$C$33*SUP_CONTROL!$C$12</f>
        <v>0</v>
      </c>
      <c r="J65" s="340" t="n">
        <f aca="false">CAPA2_FLAGSHIP!K9*$C$33*SUP_CONTROL!$C$12</f>
        <v>0</v>
      </c>
      <c r="K65" s="340" t="n">
        <f aca="false">CAPA2_FLAGSHIP!L9*$C$33*SUP_CONTROL!$C$12</f>
        <v>0</v>
      </c>
      <c r="L65" s="340" t="n">
        <f aca="false">CAPA2_FLAGSHIP!M9*$C$33*SUP_CONTROL!$C$12</f>
        <v>0</v>
      </c>
      <c r="M65" s="340" t="n">
        <f aca="false">CAPA2_FLAGSHIP!N9*$C$33*SUP_CONTROL!$C$12</f>
        <v>0</v>
      </c>
      <c r="N65" s="340" t="n">
        <f aca="false">CAPA2_FLAGSHIP!O9*$C$33*SUP_CONTROL!$C$12</f>
        <v>0</v>
      </c>
      <c r="O65" s="340" t="n">
        <f aca="false">SUM(CAPA2_FLAGSHIP!P9:AA9)*$C$33*SUP_CONTROL!$C$12</f>
        <v>0</v>
      </c>
      <c r="P65" s="340" t="n">
        <f aca="false">SUM(CAPA2_FLAGSHIP!AB9:AM9)*$C$33*SUP_CONTROL!$C$12</f>
        <v>0</v>
      </c>
      <c r="Q65" s="340" t="n">
        <f aca="false">SUM(CAPA2_FLAGSHIP!AN9:AY9)*$C$33*SUP_CONTROL!$C$12</f>
        <v>0</v>
      </c>
      <c r="R65" s="340" t="n">
        <f aca="false">SUM(CAPA2_FLAGSHIP!AZ9:BK9)*$C$33*SUP_CONTROL!$C$12</f>
        <v>0</v>
      </c>
      <c r="S65" s="340" t="n">
        <f aca="false">SUM(CAPA2_FLAGSHIP!BL9:BW9)*$C$33*SUP_CONTROL!$C$12</f>
        <v>0</v>
      </c>
      <c r="T65" s="340" t="n">
        <f aca="false">SUM(CAPA2_FLAGSHIP!BX9:CI9)*$C$33*SUP_CONTROL!$C$12</f>
        <v>0</v>
      </c>
      <c r="U65" s="340" t="n">
        <f aca="false">SUM(CAPA2_FLAGSHIP!CJ9:CU9)*$C$33*SUP_CONTROL!$C$12</f>
        <v>0</v>
      </c>
      <c r="V65" s="340" t="n">
        <f aca="false">SUM(CAPA2_FLAGSHIP!CV9:DG9)*$C$33*SUP_CONTROL!$C$12</f>
        <v>0</v>
      </c>
      <c r="W65" s="340" t="n">
        <f aca="false">SUM(CAPA2_FLAGSHIP!DH9:DS9)*$C$33*SUP_CONTROL!$C$12</f>
        <v>0</v>
      </c>
    </row>
    <row r="66" customFormat="false" ht="15" hidden="false" customHeight="true" outlineLevel="3" collapsed="false">
      <c r="B66" s="600" t="s">
        <v>719</v>
      </c>
      <c r="C66" s="340" t="n">
        <f aca="false">CAPA2_FLAGSHIP!D9*$C$34*SUP_CONTROL!$C$12</f>
        <v>0</v>
      </c>
      <c r="D66" s="340" t="n">
        <f aca="false">CAPA2_FLAGSHIP!E9*$C$34*SUP_CONTROL!$C$12</f>
        <v>0</v>
      </c>
      <c r="E66" s="340" t="n">
        <f aca="false">CAPA2_FLAGSHIP!F9*$C$34*SUP_CONTROL!$C$12</f>
        <v>0</v>
      </c>
      <c r="F66" s="340" t="n">
        <f aca="false">CAPA2_FLAGSHIP!G9*$C$34*SUP_CONTROL!$C$12</f>
        <v>0</v>
      </c>
      <c r="G66" s="340" t="n">
        <f aca="false">CAPA2_FLAGSHIP!H9*$C$34*SUP_CONTROL!$C$12</f>
        <v>0</v>
      </c>
      <c r="H66" s="340" t="n">
        <f aca="false">CAPA2_FLAGSHIP!I9*$C$34*SUP_CONTROL!$C$12</f>
        <v>0</v>
      </c>
      <c r="I66" s="340" t="n">
        <f aca="false">CAPA2_FLAGSHIP!J9*$C$34*SUP_CONTROL!$C$12</f>
        <v>0</v>
      </c>
      <c r="J66" s="340" t="n">
        <f aca="false">CAPA2_FLAGSHIP!K9*$C$34*SUP_CONTROL!$C$12</f>
        <v>0</v>
      </c>
      <c r="K66" s="340" t="n">
        <f aca="false">CAPA2_FLAGSHIP!L9*$C$34*SUP_CONTROL!$C$12</f>
        <v>0</v>
      </c>
      <c r="L66" s="340" t="n">
        <f aca="false">CAPA2_FLAGSHIP!M9*$C$34*SUP_CONTROL!$C$12</f>
        <v>0</v>
      </c>
      <c r="M66" s="340" t="n">
        <f aca="false">CAPA2_FLAGSHIP!N9*$C$34*SUP_CONTROL!$C$12</f>
        <v>0</v>
      </c>
      <c r="N66" s="340" t="n">
        <f aca="false">CAPA2_FLAGSHIP!O9*$C$34*SUP_CONTROL!$C$12</f>
        <v>0</v>
      </c>
      <c r="O66" s="340" t="n">
        <f aca="false">SUM(CAPA2_FLAGSHIP!P9:AA9)*$C$34*SUP_CONTROL!$C$12</f>
        <v>0</v>
      </c>
      <c r="P66" s="340" t="n">
        <f aca="false">SUM(CAPA2_FLAGSHIP!AB9:AM9)*$C$34*SUP_CONTROL!$C$12</f>
        <v>0</v>
      </c>
      <c r="Q66" s="340" t="n">
        <f aca="false">SUM(CAPA2_FLAGSHIP!AN9:AY9)*$C$34*SUP_CONTROL!$C$12</f>
        <v>0</v>
      </c>
      <c r="R66" s="340" t="n">
        <f aca="false">SUM(CAPA2_FLAGSHIP!AZ9:BK9)*$C$34*SUP_CONTROL!$C$12</f>
        <v>0</v>
      </c>
      <c r="S66" s="340" t="n">
        <f aca="false">SUM(CAPA2_FLAGSHIP!BL9:BW9)*$C$34*SUP_CONTROL!$C$12</f>
        <v>0</v>
      </c>
      <c r="T66" s="340" t="n">
        <f aca="false">SUM(CAPA2_FLAGSHIP!BX9:CI9)*$C$34*SUP_CONTROL!$C$12</f>
        <v>0</v>
      </c>
      <c r="U66" s="340" t="n">
        <f aca="false">SUM(CAPA2_FLAGSHIP!CJ9:CU9)*$C$34*SUP_CONTROL!$C$12</f>
        <v>0</v>
      </c>
      <c r="V66" s="340" t="n">
        <f aca="false">SUM(CAPA2_FLAGSHIP!CV9:DG9)*$C$34*SUP_CONTROL!$C$12</f>
        <v>0</v>
      </c>
      <c r="W66" s="340" t="n">
        <f aca="false">SUM(CAPA2_FLAGSHIP!DH9:DS9)*$C$34*SUP_CONTROL!$C$12</f>
        <v>0</v>
      </c>
    </row>
    <row r="67" customFormat="false" ht="15" hidden="false" customHeight="true" outlineLevel="3" collapsed="false">
      <c r="B67" s="600" t="s">
        <v>724</v>
      </c>
      <c r="C67" s="340" t="n">
        <f aca="false">CAPA2_FLAGSHIP!D9*$C$35*SUP_CONTROL!$C$12</f>
        <v>0</v>
      </c>
      <c r="D67" s="340" t="n">
        <f aca="false">CAPA2_FLAGSHIP!E9*$C$35*SUP_CONTROL!$C$12</f>
        <v>0</v>
      </c>
      <c r="E67" s="340" t="n">
        <f aca="false">CAPA2_FLAGSHIP!F9*$C$35*SUP_CONTROL!$C$12</f>
        <v>0</v>
      </c>
      <c r="F67" s="340" t="n">
        <f aca="false">CAPA2_FLAGSHIP!G9*$C$35*SUP_CONTROL!$C$12</f>
        <v>0</v>
      </c>
      <c r="G67" s="340" t="n">
        <f aca="false">CAPA2_FLAGSHIP!H9*$C$35*SUP_CONTROL!$C$12</f>
        <v>0</v>
      </c>
      <c r="H67" s="340" t="n">
        <f aca="false">CAPA2_FLAGSHIP!I9*$C$35*SUP_CONTROL!$C$12</f>
        <v>0</v>
      </c>
      <c r="I67" s="340" t="n">
        <f aca="false">CAPA2_FLAGSHIP!J9*$C$35*SUP_CONTROL!$C$12</f>
        <v>0</v>
      </c>
      <c r="J67" s="340" t="n">
        <f aca="false">CAPA2_FLAGSHIP!K9*$C$35*SUP_CONTROL!$C$12</f>
        <v>0</v>
      </c>
      <c r="K67" s="340" t="n">
        <f aca="false">CAPA2_FLAGSHIP!L9*$C$35*SUP_CONTROL!$C$12</f>
        <v>0</v>
      </c>
      <c r="L67" s="340" t="n">
        <f aca="false">CAPA2_FLAGSHIP!M9*$C$35*SUP_CONTROL!$C$12</f>
        <v>0</v>
      </c>
      <c r="M67" s="340" t="n">
        <f aca="false">CAPA2_FLAGSHIP!N9*$C$35*SUP_CONTROL!$C$12</f>
        <v>0</v>
      </c>
      <c r="N67" s="340" t="n">
        <f aca="false">CAPA2_FLAGSHIP!O9*$C$35*SUP_CONTROL!$C$12</f>
        <v>0</v>
      </c>
      <c r="O67" s="340" t="n">
        <f aca="false">SUM(CAPA2_FLAGSHIP!P9:AA9)*$C$35*SUP_CONTROL!$C$12</f>
        <v>0</v>
      </c>
      <c r="P67" s="340" t="n">
        <f aca="false">SUM(CAPA2_FLAGSHIP!AB9:AM9)*$C$35*SUP_CONTROL!$C$12</f>
        <v>0</v>
      </c>
      <c r="Q67" s="340" t="n">
        <f aca="false">SUM(CAPA2_FLAGSHIP!AN9:AY9)*$C$35*SUP_CONTROL!$C$12</f>
        <v>0</v>
      </c>
      <c r="R67" s="340" t="n">
        <f aca="false">SUM(CAPA2_FLAGSHIP!AZ9:BK9)*$C$35*SUP_CONTROL!$C$12</f>
        <v>0</v>
      </c>
      <c r="S67" s="340" t="n">
        <f aca="false">SUM(CAPA2_FLAGSHIP!BL9:BW9)*$C$35*SUP_CONTROL!$C$12</f>
        <v>0</v>
      </c>
      <c r="T67" s="340" t="n">
        <f aca="false">SUM(CAPA2_FLAGSHIP!BX9:CI9)*$C$35*SUP_CONTROL!$C$12</f>
        <v>0</v>
      </c>
      <c r="U67" s="340" t="n">
        <f aca="false">SUM(CAPA2_FLAGSHIP!CJ9:CU9)*$C$35*SUP_CONTROL!$C$12</f>
        <v>0</v>
      </c>
      <c r="V67" s="340" t="n">
        <f aca="false">SUM(CAPA2_FLAGSHIP!CV9:DG9)*$C$35*SUP_CONTROL!$C$12</f>
        <v>0</v>
      </c>
      <c r="W67" s="340" t="n">
        <f aca="false">SUM(CAPA2_FLAGSHIP!DH9:DS9)*$C$35*SUP_CONTROL!$C$12</f>
        <v>0</v>
      </c>
    </row>
    <row r="68" customFormat="false" ht="15" hidden="false" customHeight="true" outlineLevel="3" collapsed="false">
      <c r="B68" s="600" t="s">
        <v>733</v>
      </c>
      <c r="C68" s="340" t="n">
        <f aca="false">CAPA2_FLAGSHIP!D9*$C$36*SUP_CONTROL!$C$12</f>
        <v>0</v>
      </c>
      <c r="D68" s="340" t="n">
        <f aca="false">CAPA2_FLAGSHIP!E9*$C$36*SUP_CONTROL!$C$12</f>
        <v>0</v>
      </c>
      <c r="E68" s="340" t="n">
        <f aca="false">CAPA2_FLAGSHIP!F9*$C$36*SUP_CONTROL!$C$12</f>
        <v>0</v>
      </c>
      <c r="F68" s="340" t="n">
        <f aca="false">CAPA2_FLAGSHIP!G9*$C$36*SUP_CONTROL!$C$12</f>
        <v>0</v>
      </c>
      <c r="G68" s="340" t="n">
        <f aca="false">CAPA2_FLAGSHIP!H9*$C$36*SUP_CONTROL!$C$12</f>
        <v>0</v>
      </c>
      <c r="H68" s="340" t="n">
        <f aca="false">CAPA2_FLAGSHIP!I9*$C$36*SUP_CONTROL!$C$12</f>
        <v>0</v>
      </c>
      <c r="I68" s="340" t="n">
        <f aca="false">CAPA2_FLAGSHIP!J9*$C$36*SUP_CONTROL!$C$12</f>
        <v>0</v>
      </c>
      <c r="J68" s="340" t="n">
        <f aca="false">CAPA2_FLAGSHIP!K9*$C$36*SUP_CONTROL!$C$12</f>
        <v>0</v>
      </c>
      <c r="K68" s="340" t="n">
        <f aca="false">CAPA2_FLAGSHIP!L9*$C$36*SUP_CONTROL!$C$12</f>
        <v>0</v>
      </c>
      <c r="L68" s="340" t="n">
        <f aca="false">CAPA2_FLAGSHIP!M9*$C$36*SUP_CONTROL!$C$12</f>
        <v>0</v>
      </c>
      <c r="M68" s="340" t="n">
        <f aca="false">CAPA2_FLAGSHIP!N9*$C$36*SUP_CONTROL!$C$12</f>
        <v>0</v>
      </c>
      <c r="N68" s="340" t="n">
        <f aca="false">CAPA2_FLAGSHIP!O9*$C$36*SUP_CONTROL!$C$12</f>
        <v>0</v>
      </c>
      <c r="O68" s="340" t="n">
        <f aca="false">SUM(CAPA2_FLAGSHIP!P9:AA9)*$C$36*SUP_CONTROL!$C$12</f>
        <v>0</v>
      </c>
      <c r="P68" s="340" t="n">
        <f aca="false">SUM(CAPA2_FLAGSHIP!AB9:AM9)*$C$36*SUP_CONTROL!$C$12</f>
        <v>0</v>
      </c>
      <c r="Q68" s="340" t="n">
        <f aca="false">SUM(CAPA2_FLAGSHIP!AN9:AY9)*$C$36*SUP_CONTROL!$C$12</f>
        <v>0</v>
      </c>
      <c r="R68" s="340" t="n">
        <f aca="false">SUM(CAPA2_FLAGSHIP!AZ9:BK9)*$C$36*SUP_CONTROL!$C$12</f>
        <v>0</v>
      </c>
      <c r="S68" s="340" t="n">
        <f aca="false">SUM(CAPA2_FLAGSHIP!BL9:BW9)*$C$36*SUP_CONTROL!$C$12</f>
        <v>0</v>
      </c>
      <c r="T68" s="340" t="n">
        <f aca="false">SUM(CAPA2_FLAGSHIP!BX9:CI9)*$C$36*SUP_CONTROL!$C$12</f>
        <v>0</v>
      </c>
      <c r="U68" s="340" t="n">
        <f aca="false">SUM(CAPA2_FLAGSHIP!CJ9:CU9)*$C$36*SUP_CONTROL!$C$12</f>
        <v>0</v>
      </c>
      <c r="V68" s="340" t="n">
        <f aca="false">SUM(CAPA2_FLAGSHIP!CV9:DG9)*$C$36*SUP_CONTROL!$C$12</f>
        <v>0</v>
      </c>
      <c r="W68" s="340" t="n">
        <f aca="false">SUM(CAPA2_FLAGSHIP!DH9:DS9)*$C$36*SUP_CONTROL!$C$12</f>
        <v>0</v>
      </c>
    </row>
    <row r="69" customFormat="false" ht="15" hidden="false" customHeight="true" outlineLevel="3" collapsed="false">
      <c r="B69" s="600" t="s">
        <v>3701</v>
      </c>
      <c r="C69" s="340" t="n">
        <f aca="false">CAPA2_FLAGSHIP!D10*SUP_CONTROL!$C$12</f>
        <v>0</v>
      </c>
      <c r="D69" s="340" t="n">
        <f aca="false">CAPA2_FLAGSHIP!E10*SUP_CONTROL!$C$12</f>
        <v>0</v>
      </c>
      <c r="E69" s="340" t="n">
        <f aca="false">CAPA2_FLAGSHIP!F10*SUP_CONTROL!$C$12</f>
        <v>0</v>
      </c>
      <c r="F69" s="340" t="n">
        <f aca="false">CAPA2_FLAGSHIP!G10*SUP_CONTROL!$C$12</f>
        <v>0</v>
      </c>
      <c r="G69" s="340" t="n">
        <f aca="false">CAPA2_FLAGSHIP!H10*SUP_CONTROL!$C$12</f>
        <v>0</v>
      </c>
      <c r="H69" s="340" t="n">
        <f aca="false">CAPA2_FLAGSHIP!I10*SUP_CONTROL!$C$12</f>
        <v>0</v>
      </c>
      <c r="I69" s="340" t="n">
        <f aca="false">CAPA2_FLAGSHIP!J10*SUP_CONTROL!$C$12</f>
        <v>0</v>
      </c>
      <c r="J69" s="340" t="n">
        <f aca="false">CAPA2_FLAGSHIP!K10*SUP_CONTROL!$C$12</f>
        <v>0</v>
      </c>
      <c r="K69" s="340" t="n">
        <f aca="false">CAPA2_FLAGSHIP!L10*SUP_CONTROL!$C$12</f>
        <v>0</v>
      </c>
      <c r="L69" s="340" t="n">
        <f aca="false">CAPA2_FLAGSHIP!M10*SUP_CONTROL!$C$12</f>
        <v>0</v>
      </c>
      <c r="M69" s="340" t="n">
        <f aca="false">CAPA2_FLAGSHIP!N10*SUP_CONTROL!$C$12</f>
        <v>0</v>
      </c>
      <c r="N69" s="340" t="n">
        <f aca="false">CAPA2_FLAGSHIP!O10*SUP_CONTROL!$C$12</f>
        <v>0</v>
      </c>
      <c r="O69" s="340" t="n">
        <f aca="false">SUM(CAPA2_FLAGSHIP!P10:AA10)*SUP_CONTROL!$C$12</f>
        <v>0</v>
      </c>
      <c r="P69" s="340" t="n">
        <f aca="false">SUM(CAPA2_FLAGSHIP!AB10:AM10)*SUP_CONTROL!$C$12</f>
        <v>0</v>
      </c>
      <c r="Q69" s="340" t="n">
        <f aca="false">SUM(CAPA2_FLAGSHIP!AN10:AY10)*SUP_CONTROL!$C$12</f>
        <v>0</v>
      </c>
      <c r="R69" s="340" t="n">
        <f aca="false">SUM(CAPA2_FLAGSHIP!AZ10:BK10)*SUP_CONTROL!$C$12</f>
        <v>0</v>
      </c>
      <c r="S69" s="340" t="n">
        <f aca="false">SUM(CAPA2_FLAGSHIP!BL10:BW10)*SUP_CONTROL!$C$12</f>
        <v>0</v>
      </c>
      <c r="T69" s="340" t="n">
        <f aca="false">SUM(CAPA2_FLAGSHIP!BX10:CI10)*SUP_CONTROL!$C$12</f>
        <v>0</v>
      </c>
      <c r="U69" s="340" t="n">
        <f aca="false">SUM(CAPA2_FLAGSHIP!CJ10:CU10)*SUP_CONTROL!$C$12</f>
        <v>0</v>
      </c>
      <c r="V69" s="340" t="n">
        <f aca="false">SUM(CAPA2_FLAGSHIP!CV10:DG10)*SUP_CONTROL!$C$12</f>
        <v>0</v>
      </c>
      <c r="W69" s="340" t="n">
        <f aca="false">SUM(CAPA2_FLAGSHIP!DH10:DS10)*SUP_CONTROL!$C$12</f>
        <v>0</v>
      </c>
    </row>
    <row r="70" customFormat="false" ht="15" hidden="false" customHeight="true" outlineLevel="2" collapsed="false">
      <c r="B70" s="601" t="s">
        <v>3702</v>
      </c>
      <c r="C70" s="602" t="n">
        <f aca="false">C62+C63+C64+C65+C66+C67+C68+C69</f>
        <v>0</v>
      </c>
      <c r="D70" s="602" t="n">
        <f aca="false">D62+D63+D64+D65+D66+D67+D68+D69</f>
        <v>0</v>
      </c>
      <c r="E70" s="602" t="n">
        <f aca="false">E62+E63+E64+E65+E66+E67+E68+E69</f>
        <v>0</v>
      </c>
      <c r="F70" s="602" t="n">
        <f aca="false">F62+F63+F64+F65+F66+F67+F68+F69</f>
        <v>0</v>
      </c>
      <c r="G70" s="602" t="n">
        <f aca="false">G62+G63+G64+G65+G66+G67+G68+G69</f>
        <v>0</v>
      </c>
      <c r="H70" s="602" t="n">
        <f aca="false">H62+H63+H64+H65+H66+H67+H68+H69</f>
        <v>0</v>
      </c>
      <c r="I70" s="602" t="n">
        <f aca="false">I62+I63+I64+I65+I66+I67+I68+I69</f>
        <v>0</v>
      </c>
      <c r="J70" s="602" t="n">
        <f aca="false">J62+J63+J64+J65+J66+J67+J68+J69</f>
        <v>0</v>
      </c>
      <c r="K70" s="602" t="n">
        <f aca="false">K62+K63+K64+K65+K66+K67+K68+K69</f>
        <v>0</v>
      </c>
      <c r="L70" s="602" t="n">
        <f aca="false">L62+L63+L64+L65+L66+L67+L68+L69</f>
        <v>0</v>
      </c>
      <c r="M70" s="602" t="n">
        <f aca="false">M62+M63+M64+M65+M66+M67+M68+M69</f>
        <v>0</v>
      </c>
      <c r="N70" s="602" t="n">
        <f aca="false">N62+N63+N64+N65+N66+N67+N68+N69</f>
        <v>0</v>
      </c>
      <c r="O70" s="602" t="n">
        <f aca="false">O62+O63+O64+O65+O66+O67+O68+O69</f>
        <v>0</v>
      </c>
      <c r="P70" s="602" t="n">
        <f aca="false">P62+P63+P64+P65+P66+P67+P68+P69</f>
        <v>0</v>
      </c>
      <c r="Q70" s="602" t="n">
        <f aca="false">Q62+Q63+Q64+Q65+Q66+Q67+Q68+Q69</f>
        <v>0</v>
      </c>
      <c r="R70" s="602" t="n">
        <f aca="false">R62+R63+R64+R65+R66+R67+R68+R69</f>
        <v>0</v>
      </c>
      <c r="S70" s="602" t="n">
        <f aca="false">S62+S63+S64+S65+S66+S67+S68+S69</f>
        <v>0</v>
      </c>
      <c r="T70" s="602" t="n">
        <f aca="false">T62+T63+T64+T65+T66+T67+T68+T69</f>
        <v>0</v>
      </c>
      <c r="U70" s="602" t="n">
        <f aca="false">U62+U63+U64+U65+U66+U67+U68+U69</f>
        <v>0</v>
      </c>
      <c r="V70" s="602" t="n">
        <f aca="false">V62+V63+V64+V65+V66+V67+V68+V69</f>
        <v>0</v>
      </c>
      <c r="W70" s="602" t="n">
        <f aca="false">W62+W63+W64+W65+W66+W67+W68+W69</f>
        <v>0</v>
      </c>
      <c r="X70" s="218"/>
      <c r="Y70" s="218"/>
      <c r="Z70" s="218"/>
    </row>
    <row r="71" customFormat="false" ht="15" hidden="false" customHeight="true" outlineLevel="1" collapsed="false">
      <c r="B71" s="603" t="s">
        <v>3703</v>
      </c>
      <c r="C71" s="602" t="n">
        <f aca="false">C70</f>
        <v>0</v>
      </c>
      <c r="D71" s="602" t="n">
        <f aca="false">D70</f>
        <v>0</v>
      </c>
      <c r="E71" s="602" t="n">
        <f aca="false">E70</f>
        <v>0</v>
      </c>
      <c r="F71" s="602" t="n">
        <f aca="false">F70</f>
        <v>0</v>
      </c>
      <c r="G71" s="602" t="n">
        <f aca="false">G70</f>
        <v>0</v>
      </c>
      <c r="H71" s="602" t="n">
        <f aca="false">H70</f>
        <v>0</v>
      </c>
      <c r="I71" s="602" t="n">
        <f aca="false">I70</f>
        <v>0</v>
      </c>
      <c r="J71" s="602" t="n">
        <f aca="false">J70</f>
        <v>0</v>
      </c>
      <c r="K71" s="602" t="n">
        <f aca="false">K70</f>
        <v>0</v>
      </c>
      <c r="L71" s="602" t="n">
        <f aca="false">L70</f>
        <v>0</v>
      </c>
      <c r="M71" s="602" t="n">
        <f aca="false">M70</f>
        <v>0</v>
      </c>
      <c r="N71" s="602" t="n">
        <f aca="false">N70</f>
        <v>0</v>
      </c>
      <c r="O71" s="602" t="n">
        <f aca="false">O70</f>
        <v>0</v>
      </c>
      <c r="P71" s="602" t="n">
        <f aca="false">P70</f>
        <v>0</v>
      </c>
      <c r="Q71" s="602" t="n">
        <f aca="false">Q70</f>
        <v>0</v>
      </c>
      <c r="R71" s="602" t="n">
        <f aca="false">R70</f>
        <v>0</v>
      </c>
      <c r="S71" s="602" t="n">
        <f aca="false">S70</f>
        <v>0</v>
      </c>
      <c r="T71" s="602" t="n">
        <f aca="false">T70</f>
        <v>0</v>
      </c>
      <c r="U71" s="602" t="n">
        <f aca="false">U70</f>
        <v>0</v>
      </c>
      <c r="V71" s="602" t="n">
        <f aca="false">V70</f>
        <v>0</v>
      </c>
      <c r="W71" s="602" t="n">
        <f aca="false">W70</f>
        <v>0</v>
      </c>
      <c r="X71" s="218"/>
      <c r="Y71" s="218"/>
      <c r="Z71" s="218"/>
    </row>
    <row r="72" customFormat="false" ht="15" hidden="false" customHeight="true" outlineLevel="1" collapsed="false">
      <c r="B72" s="578" t="s">
        <v>3704</v>
      </c>
      <c r="C72" s="340" t="n">
        <f aca="false">CAPA3_EXPANSION!D39*SUP_CONTROL!$C$13</f>
        <v>0</v>
      </c>
      <c r="D72" s="340" t="n">
        <f aca="false">CAPA3_EXPANSION!E39*SUP_CONTROL!$C$13</f>
        <v>0</v>
      </c>
      <c r="E72" s="340" t="n">
        <f aca="false">CAPA3_EXPANSION!F39*SUP_CONTROL!$C$13</f>
        <v>0</v>
      </c>
      <c r="F72" s="340" t="n">
        <f aca="false">CAPA3_EXPANSION!G39*SUP_CONTROL!$C$13</f>
        <v>0</v>
      </c>
      <c r="G72" s="340" t="n">
        <f aca="false">CAPA3_EXPANSION!H39*SUP_CONTROL!$C$13</f>
        <v>0</v>
      </c>
      <c r="H72" s="340" t="n">
        <f aca="false">CAPA3_EXPANSION!I39*SUP_CONTROL!$C$13</f>
        <v>0</v>
      </c>
      <c r="I72" s="340" t="n">
        <f aca="false">CAPA3_EXPANSION!J39*SUP_CONTROL!$C$13</f>
        <v>0</v>
      </c>
      <c r="J72" s="340" t="n">
        <f aca="false">CAPA3_EXPANSION!K39*SUP_CONTROL!$C$13</f>
        <v>0</v>
      </c>
      <c r="K72" s="340" t="n">
        <f aca="false">CAPA3_EXPANSION!L39*SUP_CONTROL!$C$13</f>
        <v>0</v>
      </c>
      <c r="L72" s="340" t="n">
        <f aca="false">CAPA3_EXPANSION!M39*SUP_CONTROL!$C$13</f>
        <v>0</v>
      </c>
      <c r="M72" s="340" t="n">
        <f aca="false">CAPA3_EXPANSION!N39*SUP_CONTROL!$C$13</f>
        <v>0</v>
      </c>
      <c r="N72" s="340" t="n">
        <f aca="false">CAPA3_EXPANSION!O39*SUP_CONTROL!$C$13</f>
        <v>0</v>
      </c>
      <c r="O72" s="340" t="n">
        <f aca="false">SUM(CAPA3_EXPANSION!P39:AA39)*SUP_CONTROL!$C$13</f>
        <v>654088.332442318</v>
      </c>
      <c r="P72" s="340" t="n">
        <f aca="false">SUM(CAPA3_EXPANSION!AB39:AM39)*SUP_CONTROL!$C$13</f>
        <v>2470410.20985051</v>
      </c>
      <c r="Q72" s="340" t="n">
        <f aca="false">SUM(CAPA3_EXPANSION!AN39:AY39)*SUP_CONTROL!$C$13</f>
        <v>6198013.47742828</v>
      </c>
      <c r="R72" s="340" t="n">
        <f aca="false">SUM(CAPA3_EXPANSION!AZ39:BK39)*SUP_CONTROL!$C$13</f>
        <v>9331031.45239968</v>
      </c>
      <c r="S72" s="340" t="n">
        <f aca="false">SUM(CAPA3_EXPANSION!BL39:BW39)*SUP_CONTROL!$C$13</f>
        <v>14200037.8585056</v>
      </c>
      <c r="T72" s="340" t="n">
        <f aca="false">SUM(CAPA3_EXPANSION!BX39:CI39)*SUP_CONTROL!$C$13</f>
        <v>20642375.0405768</v>
      </c>
      <c r="U72" s="340" t="n">
        <f aca="false">SUM(CAPA3_EXPANSION!CJ39:CU39)*SUP_CONTROL!$C$13</f>
        <v>24438194.8359213</v>
      </c>
      <c r="V72" s="340" t="n">
        <f aca="false">SUM(CAPA3_EXPANSION!CV39:DG39)*SUP_CONTROL!$C$13</f>
        <v>24457801.2015377</v>
      </c>
      <c r="W72" s="340" t="n">
        <f aca="false">SUM(CAPA3_EXPANSION!DH39:DS39)*SUP_CONTROL!$C$13</f>
        <v>24457801.2015377</v>
      </c>
    </row>
    <row r="73" customFormat="false" ht="15" hidden="false" customHeight="true" outlineLevel="1" collapsed="false">
      <c r="B73" s="578" t="s">
        <v>3705</v>
      </c>
      <c r="C73" s="340" t="n">
        <f aca="false">CAPA4_RETAIL!D8*SUP_CONTROL!$C$14</f>
        <v>0</v>
      </c>
      <c r="D73" s="340" t="n">
        <f aca="false">CAPA4_RETAIL!E8*SUP_CONTROL!$C$14</f>
        <v>0</v>
      </c>
      <c r="E73" s="340" t="n">
        <f aca="false">CAPA4_RETAIL!F8*SUP_CONTROL!$C$14</f>
        <v>0</v>
      </c>
      <c r="F73" s="340" t="n">
        <f aca="false">CAPA4_RETAIL!G8*SUP_CONTROL!$C$14</f>
        <v>0</v>
      </c>
      <c r="G73" s="340" t="n">
        <f aca="false">CAPA4_RETAIL!H8*SUP_CONTROL!$C$14</f>
        <v>0</v>
      </c>
      <c r="H73" s="340" t="n">
        <f aca="false">CAPA4_RETAIL!I8*SUP_CONTROL!$C$14</f>
        <v>0</v>
      </c>
      <c r="I73" s="340" t="n">
        <f aca="false">CAPA4_RETAIL!J8*SUP_CONTROL!$C$14</f>
        <v>0</v>
      </c>
      <c r="J73" s="340" t="n">
        <f aca="false">CAPA4_RETAIL!K8*SUP_CONTROL!$C$14</f>
        <v>0</v>
      </c>
      <c r="K73" s="340" t="n">
        <f aca="false">CAPA4_RETAIL!L8*SUP_CONTROL!$C$14</f>
        <v>0</v>
      </c>
      <c r="L73" s="340" t="n">
        <f aca="false">CAPA4_RETAIL!M8*SUP_CONTROL!$C$14</f>
        <v>0</v>
      </c>
      <c r="M73" s="340" t="n">
        <f aca="false">CAPA4_RETAIL!N8*SUP_CONTROL!$C$14</f>
        <v>0</v>
      </c>
      <c r="N73" s="340" t="n">
        <f aca="false">CAPA4_RETAIL!O8*SUP_CONTROL!$C$14</f>
        <v>0</v>
      </c>
      <c r="O73" s="340" t="n">
        <f aca="false">SUM(CAPA4_RETAIL!P8:AA8)*SUP_CONTROL!$C$14</f>
        <v>0</v>
      </c>
      <c r="P73" s="340" t="n">
        <f aca="false">SUM(CAPA4_RETAIL!AB8:AM8)*SUP_CONTROL!$C$14</f>
        <v>0</v>
      </c>
      <c r="Q73" s="340" t="n">
        <f aca="false">SUM(CAPA4_RETAIL!AN8:AY8)*SUP_CONTROL!$C$14</f>
        <v>0</v>
      </c>
      <c r="R73" s="340" t="n">
        <f aca="false">SUM(CAPA4_RETAIL!AZ8:BK8)*SUP_CONTROL!$C$14</f>
        <v>0</v>
      </c>
      <c r="S73" s="340" t="n">
        <f aca="false">SUM(CAPA4_RETAIL!BL8:BW8)*SUP_CONTROL!$C$14</f>
        <v>0</v>
      </c>
      <c r="T73" s="340" t="n">
        <f aca="false">SUM(CAPA4_RETAIL!BX8:CI8)*SUP_CONTROL!$C$14</f>
        <v>0</v>
      </c>
      <c r="U73" s="340" t="n">
        <f aca="false">SUM(CAPA4_RETAIL!CJ8:CU8)*SUP_CONTROL!$C$14</f>
        <v>0</v>
      </c>
      <c r="V73" s="340" t="n">
        <f aca="false">SUM(CAPA4_RETAIL!CV8:DG8)*SUP_CONTROL!$C$14</f>
        <v>0</v>
      </c>
      <c r="W73" s="340" t="n">
        <f aca="false">SUM(CAPA4_RETAIL!DH8:DS8)*SUP_CONTROL!$C$14</f>
        <v>0</v>
      </c>
    </row>
    <row r="75" customFormat="false" ht="15" hidden="false" customHeight="true" outlineLevel="0" collapsed="false">
      <c r="B75" s="575" t="s">
        <v>3706</v>
      </c>
      <c r="C75" s="604" t="n">
        <f aca="false">C59+C71+C72+C73</f>
        <v>0</v>
      </c>
      <c r="D75" s="604" t="n">
        <f aca="false">D59+D71+D72+D73</f>
        <v>0</v>
      </c>
      <c r="E75" s="604" t="n">
        <f aca="false">E59+E71+E72+E73</f>
        <v>0</v>
      </c>
      <c r="F75" s="604" t="n">
        <f aca="false">F59+F71+F72+F73</f>
        <v>75993.6651800203</v>
      </c>
      <c r="G75" s="604" t="n">
        <f aca="false">G59+G71+G72+G73</f>
        <v>168271.687184331</v>
      </c>
      <c r="H75" s="604" t="n">
        <f aca="false">H59+H71+H72+H73</f>
        <v>276834.066012931</v>
      </c>
      <c r="I75" s="604" t="n">
        <f aca="false">I59+I71+I72+I73</f>
        <v>396795.494618535</v>
      </c>
      <c r="J75" s="604" t="n">
        <f aca="false">J59+J71+J72+J73</f>
        <v>530598.626524785</v>
      </c>
      <c r="K75" s="604" t="n">
        <f aca="false">K59+K71+K72+K73</f>
        <v>570495.300744295</v>
      </c>
      <c r="L75" s="604" t="n">
        <f aca="false">L59+L71+L72+L73</f>
        <v>591664.964615872</v>
      </c>
      <c r="M75" s="604" t="n">
        <f aca="false">M59+M71+M72+M73</f>
        <v>591664.964615872</v>
      </c>
      <c r="N75" s="604" t="n">
        <f aca="false">N59+N71+N72+N73</f>
        <v>591664.964615872</v>
      </c>
      <c r="O75" s="604" t="n">
        <f aca="false">O59+O71+O72+O73</f>
        <v>7754067.90783279</v>
      </c>
      <c r="P75" s="604" t="n">
        <f aca="false">P59+P71+P72+P73</f>
        <v>9570389.78524098</v>
      </c>
      <c r="Q75" s="604" t="n">
        <f aca="false">Q59+Q71+Q72+Q73</f>
        <v>13297993.0528187</v>
      </c>
      <c r="R75" s="604" t="n">
        <f aca="false">R59+R71+R72+R73</f>
        <v>16431011.0277901</v>
      </c>
      <c r="S75" s="604" t="n">
        <f aca="false">S59+S71+S72+S73</f>
        <v>21300017.4338961</v>
      </c>
      <c r="T75" s="604" t="n">
        <f aca="false">T59+T71+T72+T73</f>
        <v>27742354.6159673</v>
      </c>
      <c r="U75" s="604" t="n">
        <f aca="false">U59+U71+U72+U73</f>
        <v>31538174.4113118</v>
      </c>
      <c r="V75" s="604" t="n">
        <f aca="false">V59+V71+V72+V73</f>
        <v>31557780.7769282</v>
      </c>
      <c r="W75" s="604" t="n">
        <f aca="false">W59+W71+W72+W73</f>
        <v>31557780.7769282</v>
      </c>
      <c r="X75" s="576"/>
      <c r="Y75" s="576"/>
      <c r="Z75" s="576"/>
    </row>
    <row r="77" customFormat="false" ht="15" hidden="false" customHeight="true" outlineLevel="0" collapsed="false">
      <c r="B77" s="575" t="s">
        <v>3707</v>
      </c>
      <c r="C77" s="576"/>
      <c r="D77" s="576"/>
      <c r="E77" s="576"/>
      <c r="F77" s="576"/>
      <c r="G77" s="576"/>
      <c r="H77" s="576"/>
      <c r="I77" s="576"/>
      <c r="J77" s="576"/>
      <c r="K77" s="576"/>
      <c r="L77" s="576"/>
      <c r="M77" s="576"/>
      <c r="N77" s="576"/>
      <c r="O77" s="576"/>
      <c r="P77" s="576"/>
      <c r="Q77" s="576"/>
      <c r="R77" s="576"/>
      <c r="S77" s="576"/>
      <c r="T77" s="576"/>
      <c r="U77" s="576"/>
      <c r="V77" s="576"/>
      <c r="W77" s="576"/>
      <c r="X77" s="576"/>
      <c r="Y77" s="576"/>
      <c r="Z77" s="576"/>
    </row>
    <row r="78" customFormat="false" ht="15" hidden="false" customHeight="true" outlineLevel="1" collapsed="false">
      <c r="B78" s="578" t="s">
        <v>3694</v>
      </c>
    </row>
    <row r="79" customFormat="false" ht="15" hidden="false" customHeight="true" outlineLevel="2" collapsed="false">
      <c r="B79" s="599" t="s">
        <v>3695</v>
      </c>
    </row>
    <row r="80" customFormat="false" ht="15" hidden="false" customHeight="true" outlineLevel="3" collapsed="false">
      <c r="B80" s="600" t="s">
        <v>671</v>
      </c>
      <c r="C80" s="340" t="n">
        <f aca="false">C42*(1-$D$30)</f>
        <v>0</v>
      </c>
      <c r="D80" s="340" t="n">
        <f aca="false">D42*(1-$D$30)</f>
        <v>0</v>
      </c>
      <c r="E80" s="340" t="n">
        <f aca="false">E42*(1-$D$30)</f>
        <v>0</v>
      </c>
      <c r="F80" s="340" t="n">
        <f aca="false">F42*(1-$D$30)</f>
        <v>18430.9580300738</v>
      </c>
      <c r="G80" s="340" t="n">
        <f aca="false">G42*(1-$D$30)</f>
        <v>40811.4070665919</v>
      </c>
      <c r="H80" s="340" t="n">
        <f aca="false">H42*(1-$D$30)</f>
        <v>67141.3471095544</v>
      </c>
      <c r="I80" s="340" t="n">
        <f aca="false">I42*(1-$D$30)</f>
        <v>84255.80813748</v>
      </c>
      <c r="J80" s="340" t="n">
        <f aca="false">J42*(1-$D$30)</f>
        <v>90180.0446471466</v>
      </c>
      <c r="K80" s="340" t="n">
        <f aca="false">K42*(1-$D$30)</f>
        <v>92154.7901503688</v>
      </c>
      <c r="L80" s="340" t="n">
        <f aca="false">L42*(1-$D$30)</f>
        <v>92154.7901503688</v>
      </c>
      <c r="M80" s="340" t="n">
        <f aca="false">M42*(1-$D$30)</f>
        <v>92154.7901503688</v>
      </c>
      <c r="N80" s="340" t="n">
        <f aca="false">N42*(1-$D$30)</f>
        <v>92154.7901503688</v>
      </c>
      <c r="O80" s="340" t="n">
        <f aca="false">O42*(1-$D$30)</f>
        <v>1105857.48180443</v>
      </c>
      <c r="P80" s="340" t="n">
        <f aca="false">P42*(1-$D$30)</f>
        <v>1105857.48180443</v>
      </c>
      <c r="Q80" s="340" t="n">
        <f aca="false">Q42*(1-$D$30)</f>
        <v>1105857.48180443</v>
      </c>
      <c r="R80" s="340" t="n">
        <f aca="false">R42*(1-$D$30)</f>
        <v>1105857.48180443</v>
      </c>
      <c r="S80" s="340" t="n">
        <f aca="false">S42*(1-$D$30)</f>
        <v>1105857.48180443</v>
      </c>
      <c r="T80" s="340" t="n">
        <f aca="false">T42*(1-$D$30)</f>
        <v>1105857.48180443</v>
      </c>
      <c r="U80" s="340" t="n">
        <f aca="false">U42*(1-$D$30)</f>
        <v>1105857.48180443</v>
      </c>
      <c r="V80" s="340" t="n">
        <f aca="false">V42*(1-$D$30)</f>
        <v>1105857.48180443</v>
      </c>
      <c r="W80" s="340" t="n">
        <f aca="false">W42*(1-$D$30)</f>
        <v>1105857.48180443</v>
      </c>
    </row>
    <row r="81" customFormat="false" ht="15" hidden="false" customHeight="true" outlineLevel="3" collapsed="false">
      <c r="B81" s="600" t="s">
        <v>692</v>
      </c>
      <c r="C81" s="340" t="n">
        <f aca="false">C43*(1-$D$31)</f>
        <v>0</v>
      </c>
      <c r="D81" s="340" t="n">
        <f aca="false">D43*(1-$D$31)</f>
        <v>0</v>
      </c>
      <c r="E81" s="340" t="n">
        <f aca="false">E43*(1-$D$31)</f>
        <v>0</v>
      </c>
      <c r="F81" s="340" t="n">
        <f aca="false">F43*(1-$D$31)</f>
        <v>12556.8223638795</v>
      </c>
      <c r="G81" s="340" t="n">
        <f aca="false">G43*(1-$D$31)</f>
        <v>27804.3923771618</v>
      </c>
      <c r="H81" s="340" t="n">
        <f aca="false">H43*(1-$D$31)</f>
        <v>45742.7100398468</v>
      </c>
      <c r="I81" s="340" t="n">
        <f aca="false">I43*(1-$D$31)</f>
        <v>57402.616520592</v>
      </c>
      <c r="J81" s="340" t="n">
        <f aca="false">J43*(1-$D$31)</f>
        <v>61438.7379946961</v>
      </c>
      <c r="K81" s="340" t="n">
        <f aca="false">K43*(1-$D$31)</f>
        <v>62784.1118193975</v>
      </c>
      <c r="L81" s="340" t="n">
        <f aca="false">L43*(1-$D$31)</f>
        <v>62784.1118193975</v>
      </c>
      <c r="M81" s="340" t="n">
        <f aca="false">M43*(1-$D$31)</f>
        <v>62784.1118193975</v>
      </c>
      <c r="N81" s="340" t="n">
        <f aca="false">N43*(1-$D$31)</f>
        <v>62784.1118193975</v>
      </c>
      <c r="O81" s="340" t="n">
        <f aca="false">O43*(1-$D$31)</f>
        <v>753409.34183277</v>
      </c>
      <c r="P81" s="340" t="n">
        <f aca="false">P43*(1-$D$31)</f>
        <v>753409.34183277</v>
      </c>
      <c r="Q81" s="340" t="n">
        <f aca="false">Q43*(1-$D$31)</f>
        <v>753409.34183277</v>
      </c>
      <c r="R81" s="340" t="n">
        <f aca="false">R43*(1-$D$31)</f>
        <v>753409.34183277</v>
      </c>
      <c r="S81" s="340" t="n">
        <f aca="false">S43*(1-$D$31)</f>
        <v>753409.34183277</v>
      </c>
      <c r="T81" s="340" t="n">
        <f aca="false">T43*(1-$D$31)</f>
        <v>753409.34183277</v>
      </c>
      <c r="U81" s="340" t="n">
        <f aca="false">U43*(1-$D$31)</f>
        <v>753409.34183277</v>
      </c>
      <c r="V81" s="340" t="n">
        <f aca="false">V43*(1-$D$31)</f>
        <v>753409.34183277</v>
      </c>
      <c r="W81" s="340" t="n">
        <f aca="false">W43*(1-$D$31)</f>
        <v>753409.34183277</v>
      </c>
    </row>
    <row r="82" customFormat="false" ht="15" hidden="false" customHeight="true" outlineLevel="3" collapsed="false">
      <c r="B82" s="600" t="s">
        <v>709</v>
      </c>
      <c r="C82" s="340" t="n">
        <f aca="false">C44*(1-$D$32)</f>
        <v>0</v>
      </c>
      <c r="D82" s="340" t="n">
        <f aca="false">D44*(1-$D$32)</f>
        <v>0</v>
      </c>
      <c r="E82" s="340" t="n">
        <f aca="false">E44*(1-$D$32)</f>
        <v>0</v>
      </c>
      <c r="F82" s="340" t="n">
        <f aca="false">F44*(1-$D$32)</f>
        <v>2281.15636938</v>
      </c>
      <c r="G82" s="340" t="n">
        <f aca="false">G44*(1-$D$32)</f>
        <v>5051.13196077</v>
      </c>
      <c r="H82" s="340" t="n">
        <f aca="false">H44*(1-$D$32)</f>
        <v>8309.92677417</v>
      </c>
      <c r="I82" s="340" t="n">
        <f aca="false">I44*(1-$D$32)</f>
        <v>10428.14340288</v>
      </c>
      <c r="J82" s="340" t="n">
        <f aca="false">J44*(1-$D$32)</f>
        <v>11161.372235895</v>
      </c>
      <c r="K82" s="340" t="n">
        <f aca="false">K44*(1-$D$32)</f>
        <v>11405.7818469</v>
      </c>
      <c r="L82" s="340" t="n">
        <f aca="false">L44*(1-$D$32)</f>
        <v>11405.7818469</v>
      </c>
      <c r="M82" s="340" t="n">
        <f aca="false">M44*(1-$D$32)</f>
        <v>11405.7818469</v>
      </c>
      <c r="N82" s="340" t="n">
        <f aca="false">N44*(1-$D$32)</f>
        <v>11405.7818469</v>
      </c>
      <c r="O82" s="340" t="n">
        <f aca="false">O44*(1-$D$32)</f>
        <v>136869.3821628</v>
      </c>
      <c r="P82" s="340" t="n">
        <f aca="false">P44*(1-$D$32)</f>
        <v>136869.3821628</v>
      </c>
      <c r="Q82" s="340" t="n">
        <f aca="false">Q44*(1-$D$32)</f>
        <v>136869.3821628</v>
      </c>
      <c r="R82" s="340" t="n">
        <f aca="false">R44*(1-$D$32)</f>
        <v>136869.3821628</v>
      </c>
      <c r="S82" s="340" t="n">
        <f aca="false">S44*(1-$D$32)</f>
        <v>136869.3821628</v>
      </c>
      <c r="T82" s="340" t="n">
        <f aca="false">T44*(1-$D$32)</f>
        <v>136869.3821628</v>
      </c>
      <c r="U82" s="340" t="n">
        <f aca="false">U44*(1-$D$32)</f>
        <v>136869.3821628</v>
      </c>
      <c r="V82" s="340" t="n">
        <f aca="false">V44*(1-$D$32)</f>
        <v>136869.3821628</v>
      </c>
      <c r="W82" s="340" t="n">
        <f aca="false">W44*(1-$D$32)</f>
        <v>136869.3821628</v>
      </c>
    </row>
    <row r="83" customFormat="false" ht="15" hidden="false" customHeight="true" outlineLevel="3" collapsed="false">
      <c r="B83" s="600" t="s">
        <v>714</v>
      </c>
      <c r="C83" s="340" t="n">
        <f aca="false">C45*(1-$D$33)</f>
        <v>0</v>
      </c>
      <c r="D83" s="340" t="n">
        <f aca="false">D45*(1-$D$33)</f>
        <v>0</v>
      </c>
      <c r="E83" s="340" t="n">
        <f aca="false">E45*(1-$D$33)</f>
        <v>0</v>
      </c>
      <c r="F83" s="340" t="n">
        <f aca="false">F45*(1-$D$33)</f>
        <v>2150.107848</v>
      </c>
      <c r="G83" s="340" t="n">
        <f aca="false">G45*(1-$D$33)</f>
        <v>4760.953092</v>
      </c>
      <c r="H83" s="340" t="n">
        <f aca="false">H45*(1-$D$33)</f>
        <v>7832.535732</v>
      </c>
      <c r="I83" s="340" t="n">
        <f aca="false">I45*(1-$D$33)</f>
        <v>9829.064448</v>
      </c>
      <c r="J83" s="340" t="n">
        <f aca="false">J45*(1-$D$33)</f>
        <v>10520.170542</v>
      </c>
      <c r="K83" s="340" t="n">
        <f aca="false">K45*(1-$D$33)</f>
        <v>10750.53924</v>
      </c>
      <c r="L83" s="340" t="n">
        <f aca="false">L45*(1-$D$33)</f>
        <v>10750.53924</v>
      </c>
      <c r="M83" s="340" t="n">
        <f aca="false">M45*(1-$D$33)</f>
        <v>10750.53924</v>
      </c>
      <c r="N83" s="340" t="n">
        <f aca="false">N45*(1-$D$33)</f>
        <v>10750.53924</v>
      </c>
      <c r="O83" s="340" t="n">
        <f aca="false">O45*(1-$D$33)</f>
        <v>129006.47088</v>
      </c>
      <c r="P83" s="340" t="n">
        <f aca="false">P45*(1-$D$33)</f>
        <v>129006.47088</v>
      </c>
      <c r="Q83" s="340" t="n">
        <f aca="false">Q45*(1-$D$33)</f>
        <v>129006.47088</v>
      </c>
      <c r="R83" s="340" t="n">
        <f aca="false">R45*(1-$D$33)</f>
        <v>129006.47088</v>
      </c>
      <c r="S83" s="340" t="n">
        <f aca="false">S45*(1-$D$33)</f>
        <v>129006.47088</v>
      </c>
      <c r="T83" s="340" t="n">
        <f aca="false">T45*(1-$D$33)</f>
        <v>129006.47088</v>
      </c>
      <c r="U83" s="340" t="n">
        <f aca="false">U45*(1-$D$33)</f>
        <v>129006.47088</v>
      </c>
      <c r="V83" s="340" t="n">
        <f aca="false">V45*(1-$D$33)</f>
        <v>129006.47088</v>
      </c>
      <c r="W83" s="340" t="n">
        <f aca="false">W45*(1-$D$33)</f>
        <v>129006.47088</v>
      </c>
    </row>
    <row r="84" customFormat="false" ht="15" hidden="false" customHeight="true" outlineLevel="3" collapsed="false">
      <c r="B84" s="600" t="s">
        <v>719</v>
      </c>
      <c r="C84" s="340" t="n">
        <f aca="false">C46*(1-$D$34)</f>
        <v>0</v>
      </c>
      <c r="D84" s="340" t="n">
        <f aca="false">D46*(1-$D$34)</f>
        <v>0</v>
      </c>
      <c r="E84" s="340" t="n">
        <f aca="false">E46*(1-$D$34)</f>
        <v>0</v>
      </c>
      <c r="F84" s="340" t="n">
        <f aca="false">F46*(1-$D$34)</f>
        <v>2247.69100118665</v>
      </c>
      <c r="G84" s="340" t="n">
        <f aca="false">G46*(1-$D$34)</f>
        <v>4977.03007405615</v>
      </c>
      <c r="H84" s="340" t="n">
        <f aca="false">H46*(1-$D$34)</f>
        <v>8188.0172186085</v>
      </c>
      <c r="I84" s="340" t="n">
        <f aca="false">I46*(1-$D$34)</f>
        <v>10275.1588625675</v>
      </c>
      <c r="J84" s="340" t="n">
        <f aca="false">J46*(1-$D$34)</f>
        <v>10997.6309700918</v>
      </c>
      <c r="K84" s="340" t="n">
        <f aca="false">K46*(1-$D$34)</f>
        <v>11238.4550059332</v>
      </c>
      <c r="L84" s="340" t="n">
        <f aca="false">L46*(1-$D$34)</f>
        <v>11238.4550059332</v>
      </c>
      <c r="M84" s="340" t="n">
        <f aca="false">M46*(1-$D$34)</f>
        <v>11238.4550059332</v>
      </c>
      <c r="N84" s="340" t="n">
        <f aca="false">N46*(1-$D$34)</f>
        <v>11238.4550059332</v>
      </c>
      <c r="O84" s="340" t="n">
        <f aca="false">O46*(1-$D$34)</f>
        <v>134861.460071199</v>
      </c>
      <c r="P84" s="340" t="n">
        <f aca="false">P46*(1-$D$34)</f>
        <v>134861.460071199</v>
      </c>
      <c r="Q84" s="340" t="n">
        <f aca="false">Q46*(1-$D$34)</f>
        <v>134861.460071199</v>
      </c>
      <c r="R84" s="340" t="n">
        <f aca="false">R46*(1-$D$34)</f>
        <v>134861.460071199</v>
      </c>
      <c r="S84" s="340" t="n">
        <f aca="false">S46*(1-$D$34)</f>
        <v>134861.460071199</v>
      </c>
      <c r="T84" s="340" t="n">
        <f aca="false">T46*(1-$D$34)</f>
        <v>134861.460071199</v>
      </c>
      <c r="U84" s="340" t="n">
        <f aca="false">U46*(1-$D$34)</f>
        <v>134861.460071199</v>
      </c>
      <c r="V84" s="340" t="n">
        <f aca="false">V46*(1-$D$34)</f>
        <v>134861.460071199</v>
      </c>
      <c r="W84" s="340" t="n">
        <f aca="false">W46*(1-$D$34)</f>
        <v>134861.460071199</v>
      </c>
    </row>
    <row r="85" customFormat="false" ht="15" hidden="false" customHeight="true" outlineLevel="3" collapsed="false">
      <c r="B85" s="600" t="s">
        <v>724</v>
      </c>
      <c r="C85" s="340" t="n">
        <f aca="false">C47*(1-$D$35)</f>
        <v>0</v>
      </c>
      <c r="D85" s="340" t="n">
        <f aca="false">D47*(1-$D$35)</f>
        <v>0</v>
      </c>
      <c r="E85" s="340" t="n">
        <f aca="false">E47*(1-$D$35)</f>
        <v>0</v>
      </c>
      <c r="F85" s="340" t="n">
        <f aca="false">F47*(1-$D$35)</f>
        <v>1931.442408</v>
      </c>
      <c r="G85" s="340" t="n">
        <f aca="false">G47*(1-$D$35)</f>
        <v>4276.765332</v>
      </c>
      <c r="H85" s="340" t="n">
        <f aca="false">H47*(1-$D$35)</f>
        <v>7035.968772</v>
      </c>
      <c r="I85" s="340" t="n">
        <f aca="false">I47*(1-$D$35)</f>
        <v>8829.451008</v>
      </c>
      <c r="J85" s="340" t="n">
        <f aca="false">J47*(1-$D$35)</f>
        <v>9450.271782</v>
      </c>
      <c r="K85" s="340" t="n">
        <f aca="false">K47*(1-$D$35)</f>
        <v>9657.21204</v>
      </c>
      <c r="L85" s="340" t="n">
        <f aca="false">L47*(1-$D$35)</f>
        <v>9657.21204</v>
      </c>
      <c r="M85" s="340" t="n">
        <f aca="false">M47*(1-$D$35)</f>
        <v>9657.21204</v>
      </c>
      <c r="N85" s="340" t="n">
        <f aca="false">N47*(1-$D$35)</f>
        <v>9657.21204</v>
      </c>
      <c r="O85" s="340" t="n">
        <f aca="false">O47*(1-$D$35)</f>
        <v>115886.54448</v>
      </c>
      <c r="P85" s="340" t="n">
        <f aca="false">P47*(1-$D$35)</f>
        <v>115886.54448</v>
      </c>
      <c r="Q85" s="340" t="n">
        <f aca="false">Q47*(1-$D$35)</f>
        <v>115886.54448</v>
      </c>
      <c r="R85" s="340" t="n">
        <f aca="false">R47*(1-$D$35)</f>
        <v>115886.54448</v>
      </c>
      <c r="S85" s="340" t="n">
        <f aca="false">S47*(1-$D$35)</f>
        <v>115886.54448</v>
      </c>
      <c r="T85" s="340" t="n">
        <f aca="false">T47*(1-$D$35)</f>
        <v>115886.54448</v>
      </c>
      <c r="U85" s="340" t="n">
        <f aca="false">U47*(1-$D$35)</f>
        <v>115886.54448</v>
      </c>
      <c r="V85" s="340" t="n">
        <f aca="false">V47*(1-$D$35)</f>
        <v>115886.54448</v>
      </c>
      <c r="W85" s="340" t="n">
        <f aca="false">W47*(1-$D$35)</f>
        <v>115886.54448</v>
      </c>
    </row>
    <row r="86" customFormat="false" ht="15" hidden="false" customHeight="true" outlineLevel="3" collapsed="false">
      <c r="B86" s="600" t="s">
        <v>733</v>
      </c>
      <c r="C86" s="340" t="n">
        <f aca="false">C48*(1-$D$36)</f>
        <v>0</v>
      </c>
      <c r="D86" s="340" t="n">
        <f aca="false">D48*(1-$D$36)</f>
        <v>0</v>
      </c>
      <c r="E86" s="340" t="n">
        <f aca="false">E48*(1-$D$36)</f>
        <v>0</v>
      </c>
      <c r="F86" s="340" t="n">
        <f aca="false">F48*(1-$D$36)</f>
        <v>2973.35122337647</v>
      </c>
      <c r="G86" s="340" t="n">
        <f aca="false">G48*(1-$D$36)</f>
        <v>6583.84913747647</v>
      </c>
      <c r="H86" s="340" t="n">
        <f aca="false">H48*(1-$D$36)</f>
        <v>10831.4937423</v>
      </c>
      <c r="I86" s="340" t="n">
        <f aca="false">I48*(1-$D$36)</f>
        <v>13592.4627354353</v>
      </c>
      <c r="J86" s="340" t="n">
        <f aca="false">J48*(1-$D$36)</f>
        <v>14548.1827715206</v>
      </c>
      <c r="K86" s="340" t="n">
        <f aca="false">K48*(1-$D$36)</f>
        <v>14866.7561168824</v>
      </c>
      <c r="L86" s="340" t="n">
        <f aca="false">L48*(1-$D$36)</f>
        <v>14866.7561168824</v>
      </c>
      <c r="M86" s="340" t="n">
        <f aca="false">M48*(1-$D$36)</f>
        <v>14866.7561168824</v>
      </c>
      <c r="N86" s="340" t="n">
        <f aca="false">N48*(1-$D$36)</f>
        <v>14866.7561168824</v>
      </c>
      <c r="O86" s="340" t="n">
        <f aca="false">O48*(1-$D$36)</f>
        <v>178401.073402588</v>
      </c>
      <c r="P86" s="340" t="n">
        <f aca="false">P48*(1-$D$36)</f>
        <v>178401.073402588</v>
      </c>
      <c r="Q86" s="340" t="n">
        <f aca="false">Q48*(1-$D$36)</f>
        <v>178401.073402588</v>
      </c>
      <c r="R86" s="340" t="n">
        <f aca="false">R48*(1-$D$36)</f>
        <v>178401.073402588</v>
      </c>
      <c r="S86" s="340" t="n">
        <f aca="false">S48*(1-$D$36)</f>
        <v>178401.073402588</v>
      </c>
      <c r="T86" s="340" t="n">
        <f aca="false">T48*(1-$D$36)</f>
        <v>178401.073402588</v>
      </c>
      <c r="U86" s="340" t="n">
        <f aca="false">U48*(1-$D$36)</f>
        <v>178401.073402588</v>
      </c>
      <c r="V86" s="340" t="n">
        <f aca="false">V48*(1-$D$36)</f>
        <v>178401.073402588</v>
      </c>
      <c r="W86" s="340" t="n">
        <f aca="false">W48*(1-$D$36)</f>
        <v>178401.073402588</v>
      </c>
    </row>
    <row r="87" customFormat="false" ht="15" hidden="false" customHeight="true" outlineLevel="2" collapsed="false">
      <c r="B87" s="601" t="s">
        <v>3696</v>
      </c>
      <c r="C87" s="602" t="n">
        <f aca="false">C80+C81+C82+C83+C84+C85+C86</f>
        <v>0</v>
      </c>
      <c r="D87" s="602" t="n">
        <f aca="false">D80+D81+D82+D83+D84+D85+D86</f>
        <v>0</v>
      </c>
      <c r="E87" s="602" t="n">
        <f aca="false">E80+E81+E82+E83+E84+E85+E86</f>
        <v>0</v>
      </c>
      <c r="F87" s="602" t="n">
        <f aca="false">F80+F81+F82+F83+F84+F85+F86</f>
        <v>42571.5292438964</v>
      </c>
      <c r="G87" s="602" t="n">
        <f aca="false">G80+G81+G82+G83+G84+G85+G86</f>
        <v>94265.5290400562</v>
      </c>
      <c r="H87" s="602" t="n">
        <f aca="false">H80+H81+H82+H83+H84+H85+H86</f>
        <v>155081.99938848</v>
      </c>
      <c r="I87" s="602" t="n">
        <f aca="false">I80+I81+I82+I83+I84+I85+I86</f>
        <v>194612.705114955</v>
      </c>
      <c r="J87" s="602" t="n">
        <f aca="false">J80+J81+J82+J83+J84+J85+J86</f>
        <v>208296.41094335</v>
      </c>
      <c r="K87" s="602" t="n">
        <f aca="false">K80+K81+K82+K83+K84+K85+K86</f>
        <v>212857.646219482</v>
      </c>
      <c r="L87" s="602" t="n">
        <f aca="false">L80+L81+L82+L83+L84+L85+L86</f>
        <v>212857.646219482</v>
      </c>
      <c r="M87" s="602" t="n">
        <f aca="false">M80+M81+M82+M83+M84+M85+M86</f>
        <v>212857.646219482</v>
      </c>
      <c r="N87" s="602" t="n">
        <f aca="false">N80+N81+N82+N83+N84+N85+N86</f>
        <v>212857.646219482</v>
      </c>
      <c r="O87" s="602" t="n">
        <f aca="false">O80+O81+O82+O83+O84+O85+O86</f>
        <v>2554291.75463378</v>
      </c>
      <c r="P87" s="602" t="n">
        <f aca="false">P80+P81+P82+P83+P84+P85+P86</f>
        <v>2554291.75463378</v>
      </c>
      <c r="Q87" s="602" t="n">
        <f aca="false">Q80+Q81+Q82+Q83+Q84+Q85+Q86</f>
        <v>2554291.75463378</v>
      </c>
      <c r="R87" s="602" t="n">
        <f aca="false">R80+R81+R82+R83+R84+R85+R86</f>
        <v>2554291.75463378</v>
      </c>
      <c r="S87" s="602" t="n">
        <f aca="false">S80+S81+S82+S83+S84+S85+S86</f>
        <v>2554291.75463378</v>
      </c>
      <c r="T87" s="602" t="n">
        <f aca="false">T80+T81+T82+T83+T84+T85+T86</f>
        <v>2554291.75463378</v>
      </c>
      <c r="U87" s="602" t="n">
        <f aca="false">U80+U81+U82+U83+U84+U85+U86</f>
        <v>2554291.75463378</v>
      </c>
      <c r="V87" s="602" t="n">
        <f aca="false">V80+V81+V82+V83+V84+V85+V86</f>
        <v>2554291.75463378</v>
      </c>
      <c r="W87" s="602" t="n">
        <f aca="false">W80+W81+W82+W83+W84+W85+W86</f>
        <v>2554291.75463378</v>
      </c>
      <c r="X87" s="218"/>
      <c r="Y87" s="218"/>
      <c r="Z87" s="218"/>
    </row>
    <row r="88" customFormat="false" ht="15" hidden="false" customHeight="true" outlineLevel="2" collapsed="false">
      <c r="B88" s="599" t="s">
        <v>3697</v>
      </c>
    </row>
    <row r="89" customFormat="false" ht="15" hidden="false" customHeight="true" outlineLevel="3" collapsed="false">
      <c r="B89" s="600" t="s">
        <v>671</v>
      </c>
      <c r="C89" s="340" t="n">
        <f aca="false">C51*(1-$D$30)</f>
        <v>0</v>
      </c>
      <c r="D89" s="340" t="n">
        <f aca="false">D51*(1-$D$30)</f>
        <v>0</v>
      </c>
      <c r="E89" s="340" t="n">
        <f aca="false">E51*(1-$D$30)</f>
        <v>0</v>
      </c>
      <c r="F89" s="340" t="n">
        <f aca="false">F51*(1-$D$30)</f>
        <v>0</v>
      </c>
      <c r="G89" s="340" t="n">
        <f aca="false">G51*(1-$D$30)</f>
        <v>0</v>
      </c>
      <c r="H89" s="340" t="n">
        <f aca="false">H51*(1-$D$30)</f>
        <v>0</v>
      </c>
      <c r="I89" s="340" t="n">
        <f aca="false">I51*(1-$D$30)</f>
        <v>11980.1227195479</v>
      </c>
      <c r="J89" s="340" t="n">
        <f aca="false">J51*(1-$D$30)</f>
        <v>38507.5373128327</v>
      </c>
      <c r="K89" s="340" t="n">
        <f aca="false">K51*(1-$D$30)</f>
        <v>46209.0447753992</v>
      </c>
      <c r="L89" s="340" t="n">
        <f aca="false">L51*(1-$D$30)</f>
        <v>51343.3830837769</v>
      </c>
      <c r="M89" s="340" t="n">
        <f aca="false">M51*(1-$D$30)</f>
        <v>51343.3830837769</v>
      </c>
      <c r="N89" s="340" t="n">
        <f aca="false">N51*(1-$D$30)</f>
        <v>51343.3830837769</v>
      </c>
      <c r="O89" s="340" t="n">
        <f aca="false">O51*(1-$D$30)</f>
        <v>616120.597005323</v>
      </c>
      <c r="P89" s="340" t="n">
        <f aca="false">P51*(1-$D$30)</f>
        <v>616120.597005323</v>
      </c>
      <c r="Q89" s="340" t="n">
        <f aca="false">Q51*(1-$D$30)</f>
        <v>616120.597005323</v>
      </c>
      <c r="R89" s="340" t="n">
        <f aca="false">R51*(1-$D$30)</f>
        <v>616120.597005323</v>
      </c>
      <c r="S89" s="340" t="n">
        <f aca="false">S51*(1-$D$30)</f>
        <v>616120.597005323</v>
      </c>
      <c r="T89" s="340" t="n">
        <f aca="false">T51*(1-$D$30)</f>
        <v>616120.597005323</v>
      </c>
      <c r="U89" s="340" t="n">
        <f aca="false">U51*(1-$D$30)</f>
        <v>616120.597005323</v>
      </c>
      <c r="V89" s="340" t="n">
        <f aca="false">V51*(1-$D$30)</f>
        <v>616120.597005323</v>
      </c>
      <c r="W89" s="340" t="n">
        <f aca="false">W51*(1-$D$30)</f>
        <v>616120.597005323</v>
      </c>
    </row>
    <row r="90" customFormat="false" ht="15" hidden="false" customHeight="true" outlineLevel="3" collapsed="false">
      <c r="B90" s="600" t="s">
        <v>692</v>
      </c>
      <c r="C90" s="340" t="n">
        <f aca="false">C52*(1-$D$31)</f>
        <v>0</v>
      </c>
      <c r="D90" s="340" t="n">
        <f aca="false">D52*(1-$D$31)</f>
        <v>0</v>
      </c>
      <c r="E90" s="340" t="n">
        <f aca="false">E52*(1-$D$31)</f>
        <v>0</v>
      </c>
      <c r="F90" s="340" t="n">
        <f aca="false">F52*(1-$D$31)</f>
        <v>0</v>
      </c>
      <c r="G90" s="340" t="n">
        <f aca="false">G52*(1-$D$31)</f>
        <v>0</v>
      </c>
      <c r="H90" s="340" t="n">
        <f aca="false">H52*(1-$D$31)</f>
        <v>0</v>
      </c>
      <c r="I90" s="340" t="n">
        <f aca="false">I52*(1-$D$31)</f>
        <v>8161.93453652167</v>
      </c>
      <c r="J90" s="340" t="n">
        <f aca="false">J52*(1-$D$31)</f>
        <v>26234.7895816768</v>
      </c>
      <c r="K90" s="340" t="n">
        <f aca="false">K52*(1-$D$31)</f>
        <v>31481.7474980122</v>
      </c>
      <c r="L90" s="340" t="n">
        <f aca="false">L52*(1-$D$31)</f>
        <v>34979.7194422358</v>
      </c>
      <c r="M90" s="340" t="n">
        <f aca="false">M52*(1-$D$31)</f>
        <v>34979.7194422358</v>
      </c>
      <c r="N90" s="340" t="n">
        <f aca="false">N52*(1-$D$31)</f>
        <v>34979.7194422358</v>
      </c>
      <c r="O90" s="340" t="n">
        <f aca="false">O52*(1-$D$31)</f>
        <v>419756.633306829</v>
      </c>
      <c r="P90" s="340" t="n">
        <f aca="false">P52*(1-$D$31)</f>
        <v>419756.633306829</v>
      </c>
      <c r="Q90" s="340" t="n">
        <f aca="false">Q52*(1-$D$31)</f>
        <v>419756.633306829</v>
      </c>
      <c r="R90" s="340" t="n">
        <f aca="false">R52*(1-$D$31)</f>
        <v>419756.633306829</v>
      </c>
      <c r="S90" s="340" t="n">
        <f aca="false">S52*(1-$D$31)</f>
        <v>419756.633306829</v>
      </c>
      <c r="T90" s="340" t="n">
        <f aca="false">T52*(1-$D$31)</f>
        <v>419756.633306829</v>
      </c>
      <c r="U90" s="340" t="n">
        <f aca="false">U52*(1-$D$31)</f>
        <v>419756.633306829</v>
      </c>
      <c r="V90" s="340" t="n">
        <f aca="false">V52*(1-$D$31)</f>
        <v>419756.633306829</v>
      </c>
      <c r="W90" s="340" t="n">
        <f aca="false">W52*(1-$D$31)</f>
        <v>419756.633306829</v>
      </c>
    </row>
    <row r="91" customFormat="false" ht="15" hidden="false" customHeight="true" outlineLevel="3" collapsed="false">
      <c r="B91" s="600" t="s">
        <v>709</v>
      </c>
      <c r="C91" s="340" t="n">
        <f aca="false">C53*(1-$D$32)</f>
        <v>0</v>
      </c>
      <c r="D91" s="340" t="n">
        <f aca="false">D53*(1-$D$32)</f>
        <v>0</v>
      </c>
      <c r="E91" s="340" t="n">
        <f aca="false">E53*(1-$D$32)</f>
        <v>0</v>
      </c>
      <c r="F91" s="340" t="n">
        <f aca="false">F53*(1-$D$32)</f>
        <v>0</v>
      </c>
      <c r="G91" s="340" t="n">
        <f aca="false">G53*(1-$D$32)</f>
        <v>0</v>
      </c>
      <c r="H91" s="340" t="n">
        <f aca="false">H53*(1-$D$32)</f>
        <v>0</v>
      </c>
      <c r="I91" s="340" t="n">
        <f aca="false">I53*(1-$D$32)</f>
        <v>1482.751640097</v>
      </c>
      <c r="J91" s="340" t="n">
        <f aca="false">J53*(1-$D$32)</f>
        <v>4765.9874145975</v>
      </c>
      <c r="K91" s="340" t="n">
        <f aca="false">K53*(1-$D$32)</f>
        <v>5719.184897517</v>
      </c>
      <c r="L91" s="340" t="n">
        <f aca="false">L53*(1-$D$32)</f>
        <v>6354.64988613</v>
      </c>
      <c r="M91" s="340" t="n">
        <f aca="false">M53*(1-$D$32)</f>
        <v>6354.64988613</v>
      </c>
      <c r="N91" s="340" t="n">
        <f aca="false">N53*(1-$D$32)</f>
        <v>6354.64988613</v>
      </c>
      <c r="O91" s="340" t="n">
        <f aca="false">O53*(1-$D$32)</f>
        <v>76255.79863356</v>
      </c>
      <c r="P91" s="340" t="n">
        <f aca="false">P53*(1-$D$32)</f>
        <v>76255.79863356</v>
      </c>
      <c r="Q91" s="340" t="n">
        <f aca="false">Q53*(1-$D$32)</f>
        <v>76255.79863356</v>
      </c>
      <c r="R91" s="340" t="n">
        <f aca="false">R53*(1-$D$32)</f>
        <v>76255.79863356</v>
      </c>
      <c r="S91" s="340" t="n">
        <f aca="false">S53*(1-$D$32)</f>
        <v>76255.79863356</v>
      </c>
      <c r="T91" s="340" t="n">
        <f aca="false">T53*(1-$D$32)</f>
        <v>76255.79863356</v>
      </c>
      <c r="U91" s="340" t="n">
        <f aca="false">U53*(1-$D$32)</f>
        <v>76255.79863356</v>
      </c>
      <c r="V91" s="340" t="n">
        <f aca="false">V53*(1-$D$32)</f>
        <v>76255.79863356</v>
      </c>
      <c r="W91" s="340" t="n">
        <f aca="false">W53*(1-$D$32)</f>
        <v>76255.79863356</v>
      </c>
    </row>
    <row r="92" customFormat="false" ht="15" hidden="false" customHeight="true" outlineLevel="3" collapsed="false">
      <c r="B92" s="600" t="s">
        <v>714</v>
      </c>
      <c r="C92" s="340" t="n">
        <f aca="false">C54*(1-$D$33)</f>
        <v>0</v>
      </c>
      <c r="D92" s="340" t="n">
        <f aca="false">D54*(1-$D$33)</f>
        <v>0</v>
      </c>
      <c r="E92" s="340" t="n">
        <f aca="false">E54*(1-$D$33)</f>
        <v>0</v>
      </c>
      <c r="F92" s="340" t="n">
        <f aca="false">F54*(1-$D$33)</f>
        <v>0</v>
      </c>
      <c r="G92" s="340" t="n">
        <f aca="false">G54*(1-$D$33)</f>
        <v>0</v>
      </c>
      <c r="H92" s="340" t="n">
        <f aca="false">H54*(1-$D$33)</f>
        <v>0</v>
      </c>
      <c r="I92" s="340" t="n">
        <f aca="false">I54*(1-$D$33)</f>
        <v>1397.5701012</v>
      </c>
      <c r="J92" s="340" t="n">
        <f aca="false">J54*(1-$D$33)</f>
        <v>4492.189611</v>
      </c>
      <c r="K92" s="340" t="n">
        <f aca="false">K54*(1-$D$33)</f>
        <v>5390.6275332</v>
      </c>
      <c r="L92" s="340" t="n">
        <f aca="false">L54*(1-$D$33)</f>
        <v>5989.586148</v>
      </c>
      <c r="M92" s="340" t="n">
        <f aca="false">M54*(1-$D$33)</f>
        <v>5989.586148</v>
      </c>
      <c r="N92" s="340" t="n">
        <f aca="false">N54*(1-$D$33)</f>
        <v>5989.586148</v>
      </c>
      <c r="O92" s="340" t="n">
        <f aca="false">O54*(1-$D$33)</f>
        <v>71875.033776</v>
      </c>
      <c r="P92" s="340" t="n">
        <f aca="false">P54*(1-$D$33)</f>
        <v>71875.033776</v>
      </c>
      <c r="Q92" s="340" t="n">
        <f aca="false">Q54*(1-$D$33)</f>
        <v>71875.033776</v>
      </c>
      <c r="R92" s="340" t="n">
        <f aca="false">R54*(1-$D$33)</f>
        <v>71875.033776</v>
      </c>
      <c r="S92" s="340" t="n">
        <f aca="false">S54*(1-$D$33)</f>
        <v>71875.033776</v>
      </c>
      <c r="T92" s="340" t="n">
        <f aca="false">T54*(1-$D$33)</f>
        <v>71875.033776</v>
      </c>
      <c r="U92" s="340" t="n">
        <f aca="false">U54*(1-$D$33)</f>
        <v>71875.033776</v>
      </c>
      <c r="V92" s="340" t="n">
        <f aca="false">V54*(1-$D$33)</f>
        <v>71875.033776</v>
      </c>
      <c r="W92" s="340" t="n">
        <f aca="false">W54*(1-$D$33)</f>
        <v>71875.033776</v>
      </c>
    </row>
    <row r="93" customFormat="false" ht="15" hidden="false" customHeight="true" outlineLevel="3" collapsed="false">
      <c r="B93" s="600" t="s">
        <v>719</v>
      </c>
      <c r="C93" s="340" t="n">
        <f aca="false">C55*(1-$D$34)</f>
        <v>0</v>
      </c>
      <c r="D93" s="340" t="n">
        <f aca="false">D55*(1-$D$34)</f>
        <v>0</v>
      </c>
      <c r="E93" s="340" t="n">
        <f aca="false">E55*(1-$D$34)</f>
        <v>0</v>
      </c>
      <c r="F93" s="340" t="n">
        <f aca="false">F55*(1-$D$34)</f>
        <v>0</v>
      </c>
      <c r="G93" s="340" t="n">
        <f aca="false">G55*(1-$D$34)</f>
        <v>0</v>
      </c>
      <c r="H93" s="340" t="n">
        <f aca="false">H55*(1-$D$34)</f>
        <v>0</v>
      </c>
      <c r="I93" s="340" t="n">
        <f aca="false">I55*(1-$D$34)</f>
        <v>1460.99915077132</v>
      </c>
      <c r="J93" s="340" t="n">
        <f aca="false">J55*(1-$D$34)</f>
        <v>4696.06869890782</v>
      </c>
      <c r="K93" s="340" t="n">
        <f aca="false">K55*(1-$D$34)</f>
        <v>5635.28243868938</v>
      </c>
      <c r="L93" s="340" t="n">
        <f aca="false">L55*(1-$D$34)</f>
        <v>6261.42493187709</v>
      </c>
      <c r="M93" s="340" t="n">
        <f aca="false">M55*(1-$D$34)</f>
        <v>6261.42493187709</v>
      </c>
      <c r="N93" s="340" t="n">
        <f aca="false">N55*(1-$D$34)</f>
        <v>6261.42493187709</v>
      </c>
      <c r="O93" s="340" t="n">
        <f aca="false">O55*(1-$D$34)</f>
        <v>75137.0991825251</v>
      </c>
      <c r="P93" s="340" t="n">
        <f aca="false">P55*(1-$D$34)</f>
        <v>75137.0991825251</v>
      </c>
      <c r="Q93" s="340" t="n">
        <f aca="false">Q55*(1-$D$34)</f>
        <v>75137.0991825251</v>
      </c>
      <c r="R93" s="340" t="n">
        <f aca="false">R55*(1-$D$34)</f>
        <v>75137.0991825251</v>
      </c>
      <c r="S93" s="340" t="n">
        <f aca="false">S55*(1-$D$34)</f>
        <v>75137.0991825251</v>
      </c>
      <c r="T93" s="340" t="n">
        <f aca="false">T55*(1-$D$34)</f>
        <v>75137.0991825251</v>
      </c>
      <c r="U93" s="340" t="n">
        <f aca="false">U55*(1-$D$34)</f>
        <v>75137.0991825251</v>
      </c>
      <c r="V93" s="340" t="n">
        <f aca="false">V55*(1-$D$34)</f>
        <v>75137.0991825251</v>
      </c>
      <c r="W93" s="340" t="n">
        <f aca="false">W55*(1-$D$34)</f>
        <v>75137.0991825251</v>
      </c>
    </row>
    <row r="94" customFormat="false" ht="15" hidden="false" customHeight="true" outlineLevel="3" collapsed="false">
      <c r="B94" s="600" t="s">
        <v>724</v>
      </c>
      <c r="C94" s="340" t="n">
        <f aca="false">C56*(1-$D$35)</f>
        <v>0</v>
      </c>
      <c r="D94" s="340" t="n">
        <f aca="false">D56*(1-$D$35)</f>
        <v>0</v>
      </c>
      <c r="E94" s="340" t="n">
        <f aca="false">E56*(1-$D$35)</f>
        <v>0</v>
      </c>
      <c r="F94" s="340" t="n">
        <f aca="false">F56*(1-$D$35)</f>
        <v>0</v>
      </c>
      <c r="G94" s="340" t="n">
        <f aca="false">G56*(1-$D$35)</f>
        <v>0</v>
      </c>
      <c r="H94" s="340" t="n">
        <f aca="false">H56*(1-$D$35)</f>
        <v>0</v>
      </c>
      <c r="I94" s="340" t="n">
        <f aca="false">I56*(1-$D$35)</f>
        <v>1255.4375652</v>
      </c>
      <c r="J94" s="340" t="n">
        <f aca="false">J56*(1-$D$35)</f>
        <v>4035.335031</v>
      </c>
      <c r="K94" s="340" t="n">
        <f aca="false">K56*(1-$D$35)</f>
        <v>4842.4020372</v>
      </c>
      <c r="L94" s="340" t="n">
        <f aca="false">L56*(1-$D$35)</f>
        <v>5380.446708</v>
      </c>
      <c r="M94" s="340" t="n">
        <f aca="false">M56*(1-$D$35)</f>
        <v>5380.446708</v>
      </c>
      <c r="N94" s="340" t="n">
        <f aca="false">N56*(1-$D$35)</f>
        <v>5380.446708</v>
      </c>
      <c r="O94" s="340" t="n">
        <f aca="false">O56*(1-$D$35)</f>
        <v>64565.360496</v>
      </c>
      <c r="P94" s="340" t="n">
        <f aca="false">P56*(1-$D$35)</f>
        <v>64565.360496</v>
      </c>
      <c r="Q94" s="340" t="n">
        <f aca="false">Q56*(1-$D$35)</f>
        <v>64565.360496</v>
      </c>
      <c r="R94" s="340" t="n">
        <f aca="false">R56*(1-$D$35)</f>
        <v>64565.360496</v>
      </c>
      <c r="S94" s="340" t="n">
        <f aca="false">S56*(1-$D$35)</f>
        <v>64565.360496</v>
      </c>
      <c r="T94" s="340" t="n">
        <f aca="false">T56*(1-$D$35)</f>
        <v>64565.360496</v>
      </c>
      <c r="U94" s="340" t="n">
        <f aca="false">U56*(1-$D$35)</f>
        <v>64565.360496</v>
      </c>
      <c r="V94" s="340" t="n">
        <f aca="false">V56*(1-$D$35)</f>
        <v>64565.360496</v>
      </c>
      <c r="W94" s="340" t="n">
        <f aca="false">W56*(1-$D$35)</f>
        <v>64565.360496</v>
      </c>
    </row>
    <row r="95" customFormat="false" ht="15" hidden="false" customHeight="true" outlineLevel="3" collapsed="false">
      <c r="B95" s="600" t="s">
        <v>733</v>
      </c>
      <c r="C95" s="340" t="n">
        <f aca="false">C57*(1-$D$36)</f>
        <v>0</v>
      </c>
      <c r="D95" s="340" t="n">
        <f aca="false">D57*(1-$D$36)</f>
        <v>0</v>
      </c>
      <c r="E95" s="340" t="n">
        <f aca="false">E57*(1-$D$36)</f>
        <v>0</v>
      </c>
      <c r="F95" s="340" t="n">
        <f aca="false">F57*(1-$D$36)</f>
        <v>0</v>
      </c>
      <c r="G95" s="340" t="n">
        <f aca="false">G57*(1-$D$36)</f>
        <v>0</v>
      </c>
      <c r="H95" s="340" t="n">
        <f aca="false">H57*(1-$D$36)</f>
        <v>0</v>
      </c>
      <c r="I95" s="340" t="n">
        <f aca="false">I57*(1-$D$36)</f>
        <v>1932.67829519471</v>
      </c>
      <c r="J95" s="340" t="n">
        <f aca="false">J57*(1-$D$36)</f>
        <v>6212.18023455441</v>
      </c>
      <c r="K95" s="340" t="n">
        <f aca="false">K57*(1-$D$36)</f>
        <v>7454.61628146529</v>
      </c>
      <c r="L95" s="340" t="n">
        <f aca="false">L57*(1-$D$36)</f>
        <v>8282.90697940588</v>
      </c>
      <c r="M95" s="340" t="n">
        <f aca="false">M57*(1-$D$36)</f>
        <v>8282.90697940588</v>
      </c>
      <c r="N95" s="340" t="n">
        <f aca="false">N57*(1-$D$36)</f>
        <v>8282.90697940588</v>
      </c>
      <c r="O95" s="340" t="n">
        <f aca="false">O57*(1-$D$36)</f>
        <v>99394.8837528706</v>
      </c>
      <c r="P95" s="340" t="n">
        <f aca="false">P57*(1-$D$36)</f>
        <v>99394.8837528706</v>
      </c>
      <c r="Q95" s="340" t="n">
        <f aca="false">Q57*(1-$D$36)</f>
        <v>99394.8837528706</v>
      </c>
      <c r="R95" s="340" t="n">
        <f aca="false">R57*(1-$D$36)</f>
        <v>99394.8837528706</v>
      </c>
      <c r="S95" s="340" t="n">
        <f aca="false">S57*(1-$D$36)</f>
        <v>99394.8837528706</v>
      </c>
      <c r="T95" s="340" t="n">
        <f aca="false">T57*(1-$D$36)</f>
        <v>99394.8837528706</v>
      </c>
      <c r="U95" s="340" t="n">
        <f aca="false">U57*(1-$D$36)</f>
        <v>99394.8837528706</v>
      </c>
      <c r="V95" s="340" t="n">
        <f aca="false">V57*(1-$D$36)</f>
        <v>99394.8837528706</v>
      </c>
      <c r="W95" s="340" t="n">
        <f aca="false">W57*(1-$D$36)</f>
        <v>99394.8837528706</v>
      </c>
    </row>
    <row r="96" customFormat="false" ht="15" hidden="false" customHeight="true" outlineLevel="2" collapsed="false">
      <c r="B96" s="601" t="s">
        <v>3698</v>
      </c>
      <c r="C96" s="602" t="n">
        <f aca="false">C89+C90+C91+C92+C93+C94+C95</f>
        <v>0</v>
      </c>
      <c r="D96" s="602" t="n">
        <f aca="false">D89+D90+D91+D92+D93+D94+D95</f>
        <v>0</v>
      </c>
      <c r="E96" s="602" t="n">
        <f aca="false">E89+E90+E91+E92+E93+E94+E95</f>
        <v>0</v>
      </c>
      <c r="F96" s="602" t="n">
        <f aca="false">F89+F90+F91+F92+F93+F94+F95</f>
        <v>0</v>
      </c>
      <c r="G96" s="602" t="n">
        <f aca="false">G89+G90+G91+G92+G93+G94+G95</f>
        <v>0</v>
      </c>
      <c r="H96" s="602" t="n">
        <f aca="false">H89+H90+H91+H92+H93+H94+H95</f>
        <v>0</v>
      </c>
      <c r="I96" s="602" t="n">
        <f aca="false">I89+I90+I91+I92+I93+I94+I95</f>
        <v>27671.4940085326</v>
      </c>
      <c r="J96" s="602" t="n">
        <f aca="false">J89+J90+J91+J92+J93+J94+J95</f>
        <v>88944.0878845692</v>
      </c>
      <c r="K96" s="602" t="n">
        <f aca="false">K89+K90+K91+K92+K93+K94+K95</f>
        <v>106732.905461483</v>
      </c>
      <c r="L96" s="602" t="n">
        <f aca="false">L89+L90+L91+L92+L93+L94+L95</f>
        <v>118592.117179426</v>
      </c>
      <c r="M96" s="602" t="n">
        <f aca="false">M89+M90+M91+M92+M93+M94+M95</f>
        <v>118592.117179426</v>
      </c>
      <c r="N96" s="602" t="n">
        <f aca="false">N89+N90+N91+N92+N93+N94+N95</f>
        <v>118592.117179426</v>
      </c>
      <c r="O96" s="602" t="n">
        <f aca="false">O89+O90+O91+O92+O93+O94+O95</f>
        <v>1423105.40615311</v>
      </c>
      <c r="P96" s="602" t="n">
        <f aca="false">P89+P90+P91+P92+P93+P94+P95</f>
        <v>1423105.40615311</v>
      </c>
      <c r="Q96" s="602" t="n">
        <f aca="false">Q89+Q90+Q91+Q92+Q93+Q94+Q95</f>
        <v>1423105.40615311</v>
      </c>
      <c r="R96" s="602" t="n">
        <f aca="false">R89+R90+R91+R92+R93+R94+R95</f>
        <v>1423105.40615311</v>
      </c>
      <c r="S96" s="602" t="n">
        <f aca="false">S89+S90+S91+S92+S93+S94+S95</f>
        <v>1423105.40615311</v>
      </c>
      <c r="T96" s="602" t="n">
        <f aca="false">T89+T90+T91+T92+T93+T94+T95</f>
        <v>1423105.40615311</v>
      </c>
      <c r="U96" s="602" t="n">
        <f aca="false">U89+U90+U91+U92+U93+U94+U95</f>
        <v>1423105.40615311</v>
      </c>
      <c r="V96" s="602" t="n">
        <f aca="false">V89+V90+V91+V92+V93+V94+V95</f>
        <v>1423105.40615311</v>
      </c>
      <c r="W96" s="602" t="n">
        <f aca="false">W89+W90+W91+W92+W93+W94+W95</f>
        <v>1423105.40615311</v>
      </c>
      <c r="X96" s="218"/>
      <c r="Y96" s="218"/>
      <c r="Z96" s="218"/>
    </row>
    <row r="97" customFormat="false" ht="15" hidden="false" customHeight="true" outlineLevel="1" collapsed="false">
      <c r="B97" s="603" t="s">
        <v>3699</v>
      </c>
      <c r="C97" s="602" t="n">
        <f aca="false">C87+C96</f>
        <v>0</v>
      </c>
      <c r="D97" s="602" t="n">
        <f aca="false">D87+D96</f>
        <v>0</v>
      </c>
      <c r="E97" s="602" t="n">
        <f aca="false">E87+E96</f>
        <v>0</v>
      </c>
      <c r="F97" s="602" t="n">
        <f aca="false">F87+F96</f>
        <v>42571.5292438964</v>
      </c>
      <c r="G97" s="602" t="n">
        <f aca="false">G87+G96</f>
        <v>94265.5290400562</v>
      </c>
      <c r="H97" s="602" t="n">
        <f aca="false">H87+H96</f>
        <v>155081.99938848</v>
      </c>
      <c r="I97" s="602" t="n">
        <f aca="false">I87+I96</f>
        <v>222284.199123487</v>
      </c>
      <c r="J97" s="602" t="n">
        <f aca="false">J87+J96</f>
        <v>297240.498827919</v>
      </c>
      <c r="K97" s="602" t="n">
        <f aca="false">K87+K96</f>
        <v>319590.551680965</v>
      </c>
      <c r="L97" s="602" t="n">
        <f aca="false">L87+L96</f>
        <v>331449.763398908</v>
      </c>
      <c r="M97" s="602" t="n">
        <f aca="false">M87+M96</f>
        <v>331449.763398908</v>
      </c>
      <c r="N97" s="602" t="n">
        <f aca="false">N87+N96</f>
        <v>331449.763398908</v>
      </c>
      <c r="O97" s="602" t="n">
        <f aca="false">O87+O96</f>
        <v>3977397.16078689</v>
      </c>
      <c r="P97" s="602" t="n">
        <f aca="false">P87+P96</f>
        <v>3977397.16078689</v>
      </c>
      <c r="Q97" s="602" t="n">
        <f aca="false">Q87+Q96</f>
        <v>3977397.16078689</v>
      </c>
      <c r="R97" s="602" t="n">
        <f aca="false">R87+R96</f>
        <v>3977397.16078689</v>
      </c>
      <c r="S97" s="602" t="n">
        <f aca="false">S87+S96</f>
        <v>3977397.16078689</v>
      </c>
      <c r="T97" s="602" t="n">
        <f aca="false">T87+T96</f>
        <v>3977397.16078689</v>
      </c>
      <c r="U97" s="602" t="n">
        <f aca="false">U87+U96</f>
        <v>3977397.16078689</v>
      </c>
      <c r="V97" s="602" t="n">
        <f aca="false">V87+V96</f>
        <v>3977397.16078689</v>
      </c>
      <c r="W97" s="602" t="n">
        <f aca="false">W87+W96</f>
        <v>3977397.16078689</v>
      </c>
      <c r="X97" s="218"/>
      <c r="Y97" s="218"/>
      <c r="Z97" s="218"/>
    </row>
    <row r="98" customFormat="false" ht="15" hidden="false" customHeight="true" outlineLevel="1" collapsed="false">
      <c r="B98" s="578" t="s">
        <v>3653</v>
      </c>
    </row>
    <row r="99" customFormat="false" ht="15" hidden="false" customHeight="true" outlineLevel="2" collapsed="false">
      <c r="B99" s="599" t="s">
        <v>3700</v>
      </c>
    </row>
    <row r="100" customFormat="false" ht="15" hidden="false" customHeight="true" outlineLevel="3" collapsed="false">
      <c r="B100" s="600" t="s">
        <v>671</v>
      </c>
      <c r="C100" s="340" t="n">
        <f aca="false">C62*(1-$D$30)</f>
        <v>0</v>
      </c>
      <c r="D100" s="340" t="n">
        <f aca="false">D62*(1-$D$30)</f>
        <v>0</v>
      </c>
      <c r="E100" s="340" t="n">
        <f aca="false">E62*(1-$D$30)</f>
        <v>0</v>
      </c>
      <c r="F100" s="340" t="n">
        <f aca="false">F62*(1-$D$30)</f>
        <v>0</v>
      </c>
      <c r="G100" s="340" t="n">
        <f aca="false">G62*(1-$D$30)</f>
        <v>0</v>
      </c>
      <c r="H100" s="340" t="n">
        <f aca="false">H62*(1-$D$30)</f>
        <v>0</v>
      </c>
      <c r="I100" s="340" t="n">
        <f aca="false">I62*(1-$D$30)</f>
        <v>0</v>
      </c>
      <c r="J100" s="340" t="n">
        <f aca="false">J62*(1-$D$30)</f>
        <v>0</v>
      </c>
      <c r="K100" s="340" t="n">
        <f aca="false">K62*(1-$D$30)</f>
        <v>0</v>
      </c>
      <c r="L100" s="340" t="n">
        <f aca="false">L62*(1-$D$30)</f>
        <v>0</v>
      </c>
      <c r="M100" s="340" t="n">
        <f aca="false">M62*(1-$D$30)</f>
        <v>0</v>
      </c>
      <c r="N100" s="340" t="n">
        <f aca="false">N62*(1-$D$30)</f>
        <v>0</v>
      </c>
      <c r="O100" s="340" t="n">
        <f aca="false">O62*(1-$D$30)</f>
        <v>0</v>
      </c>
      <c r="P100" s="340" t="n">
        <f aca="false">P62*(1-$D$30)</f>
        <v>0</v>
      </c>
      <c r="Q100" s="340" t="n">
        <f aca="false">Q62*(1-$D$30)</f>
        <v>0</v>
      </c>
      <c r="R100" s="340" t="n">
        <f aca="false">R62*(1-$D$30)</f>
        <v>0</v>
      </c>
      <c r="S100" s="340" t="n">
        <f aca="false">S62*(1-$D$30)</f>
        <v>0</v>
      </c>
      <c r="T100" s="340" t="n">
        <f aca="false">T62*(1-$D$30)</f>
        <v>0</v>
      </c>
      <c r="U100" s="340" t="n">
        <f aca="false">U62*(1-$D$30)</f>
        <v>0</v>
      </c>
      <c r="V100" s="340" t="n">
        <f aca="false">V62*(1-$D$30)</f>
        <v>0</v>
      </c>
      <c r="W100" s="340" t="n">
        <f aca="false">W62*(1-$D$30)</f>
        <v>0</v>
      </c>
    </row>
    <row r="101" customFormat="false" ht="15" hidden="false" customHeight="true" outlineLevel="3" collapsed="false">
      <c r="B101" s="600" t="s">
        <v>692</v>
      </c>
      <c r="C101" s="340" t="n">
        <f aca="false">C63*(1-$D$31)</f>
        <v>0</v>
      </c>
      <c r="D101" s="340" t="n">
        <f aca="false">D63*(1-$D$31)</f>
        <v>0</v>
      </c>
      <c r="E101" s="340" t="n">
        <f aca="false">E63*(1-$D$31)</f>
        <v>0</v>
      </c>
      <c r="F101" s="340" t="n">
        <f aca="false">F63*(1-$D$31)</f>
        <v>0</v>
      </c>
      <c r="G101" s="340" t="n">
        <f aca="false">G63*(1-$D$31)</f>
        <v>0</v>
      </c>
      <c r="H101" s="340" t="n">
        <f aca="false">H63*(1-$D$31)</f>
        <v>0</v>
      </c>
      <c r="I101" s="340" t="n">
        <f aca="false">I63*(1-$D$31)</f>
        <v>0</v>
      </c>
      <c r="J101" s="340" t="n">
        <f aca="false">J63*(1-$D$31)</f>
        <v>0</v>
      </c>
      <c r="K101" s="340" t="n">
        <f aca="false">K63*(1-$D$31)</f>
        <v>0</v>
      </c>
      <c r="L101" s="340" t="n">
        <f aca="false">L63*(1-$D$31)</f>
        <v>0</v>
      </c>
      <c r="M101" s="340" t="n">
        <f aca="false">M63*(1-$D$31)</f>
        <v>0</v>
      </c>
      <c r="N101" s="340" t="n">
        <f aca="false">N63*(1-$D$31)</f>
        <v>0</v>
      </c>
      <c r="O101" s="340" t="n">
        <f aca="false">O63*(1-$D$31)</f>
        <v>0</v>
      </c>
      <c r="P101" s="340" t="n">
        <f aca="false">P63*(1-$D$31)</f>
        <v>0</v>
      </c>
      <c r="Q101" s="340" t="n">
        <f aca="false">Q63*(1-$D$31)</f>
        <v>0</v>
      </c>
      <c r="R101" s="340" t="n">
        <f aca="false">R63*(1-$D$31)</f>
        <v>0</v>
      </c>
      <c r="S101" s="340" t="n">
        <f aca="false">S63*(1-$D$31)</f>
        <v>0</v>
      </c>
      <c r="T101" s="340" t="n">
        <f aca="false">T63*(1-$D$31)</f>
        <v>0</v>
      </c>
      <c r="U101" s="340" t="n">
        <f aca="false">U63*(1-$D$31)</f>
        <v>0</v>
      </c>
      <c r="V101" s="340" t="n">
        <f aca="false">V63*(1-$D$31)</f>
        <v>0</v>
      </c>
      <c r="W101" s="340" t="n">
        <f aca="false">W63*(1-$D$31)</f>
        <v>0</v>
      </c>
    </row>
    <row r="102" customFormat="false" ht="15" hidden="false" customHeight="true" outlineLevel="3" collapsed="false">
      <c r="B102" s="600" t="s">
        <v>709</v>
      </c>
      <c r="C102" s="340" t="n">
        <f aca="false">C64*(1-$D$32)</f>
        <v>0</v>
      </c>
      <c r="D102" s="340" t="n">
        <f aca="false">D64*(1-$D$32)</f>
        <v>0</v>
      </c>
      <c r="E102" s="340" t="n">
        <f aca="false">E64*(1-$D$32)</f>
        <v>0</v>
      </c>
      <c r="F102" s="340" t="n">
        <f aca="false">F64*(1-$D$32)</f>
        <v>0</v>
      </c>
      <c r="G102" s="340" t="n">
        <f aca="false">G64*(1-$D$32)</f>
        <v>0</v>
      </c>
      <c r="H102" s="340" t="n">
        <f aca="false">H64*(1-$D$32)</f>
        <v>0</v>
      </c>
      <c r="I102" s="340" t="n">
        <f aca="false">I64*(1-$D$32)</f>
        <v>0</v>
      </c>
      <c r="J102" s="340" t="n">
        <f aca="false">J64*(1-$D$32)</f>
        <v>0</v>
      </c>
      <c r="K102" s="340" t="n">
        <f aca="false">K64*(1-$D$32)</f>
        <v>0</v>
      </c>
      <c r="L102" s="340" t="n">
        <f aca="false">L64*(1-$D$32)</f>
        <v>0</v>
      </c>
      <c r="M102" s="340" t="n">
        <f aca="false">M64*(1-$D$32)</f>
        <v>0</v>
      </c>
      <c r="N102" s="340" t="n">
        <f aca="false">N64*(1-$D$32)</f>
        <v>0</v>
      </c>
      <c r="O102" s="340" t="n">
        <f aca="false">O64*(1-$D$32)</f>
        <v>0</v>
      </c>
      <c r="P102" s="340" t="n">
        <f aca="false">P64*(1-$D$32)</f>
        <v>0</v>
      </c>
      <c r="Q102" s="340" t="n">
        <f aca="false">Q64*(1-$D$32)</f>
        <v>0</v>
      </c>
      <c r="R102" s="340" t="n">
        <f aca="false">R64*(1-$D$32)</f>
        <v>0</v>
      </c>
      <c r="S102" s="340" t="n">
        <f aca="false">S64*(1-$D$32)</f>
        <v>0</v>
      </c>
      <c r="T102" s="340" t="n">
        <f aca="false">T64*(1-$D$32)</f>
        <v>0</v>
      </c>
      <c r="U102" s="340" t="n">
        <f aca="false">U64*(1-$D$32)</f>
        <v>0</v>
      </c>
      <c r="V102" s="340" t="n">
        <f aca="false">V64*(1-$D$32)</f>
        <v>0</v>
      </c>
      <c r="W102" s="340" t="n">
        <f aca="false">W64*(1-$D$32)</f>
        <v>0</v>
      </c>
    </row>
    <row r="103" customFormat="false" ht="15" hidden="false" customHeight="true" outlineLevel="3" collapsed="false">
      <c r="B103" s="600" t="s">
        <v>714</v>
      </c>
      <c r="C103" s="340" t="n">
        <f aca="false">C65*(1-$D$33)</f>
        <v>0</v>
      </c>
      <c r="D103" s="340" t="n">
        <f aca="false">D65*(1-$D$33)</f>
        <v>0</v>
      </c>
      <c r="E103" s="340" t="n">
        <f aca="false">E65*(1-$D$33)</f>
        <v>0</v>
      </c>
      <c r="F103" s="340" t="n">
        <f aca="false">F65*(1-$D$33)</f>
        <v>0</v>
      </c>
      <c r="G103" s="340" t="n">
        <f aca="false">G65*(1-$D$33)</f>
        <v>0</v>
      </c>
      <c r="H103" s="340" t="n">
        <f aca="false">H65*(1-$D$33)</f>
        <v>0</v>
      </c>
      <c r="I103" s="340" t="n">
        <f aca="false">I65*(1-$D$33)</f>
        <v>0</v>
      </c>
      <c r="J103" s="340" t="n">
        <f aca="false">J65*(1-$D$33)</f>
        <v>0</v>
      </c>
      <c r="K103" s="340" t="n">
        <f aca="false">K65*(1-$D$33)</f>
        <v>0</v>
      </c>
      <c r="L103" s="340" t="n">
        <f aca="false">L65*(1-$D$33)</f>
        <v>0</v>
      </c>
      <c r="M103" s="340" t="n">
        <f aca="false">M65*(1-$D$33)</f>
        <v>0</v>
      </c>
      <c r="N103" s="340" t="n">
        <f aca="false">N65*(1-$D$33)</f>
        <v>0</v>
      </c>
      <c r="O103" s="340" t="n">
        <f aca="false">O65*(1-$D$33)</f>
        <v>0</v>
      </c>
      <c r="P103" s="340" t="n">
        <f aca="false">P65*(1-$D$33)</f>
        <v>0</v>
      </c>
      <c r="Q103" s="340" t="n">
        <f aca="false">Q65*(1-$D$33)</f>
        <v>0</v>
      </c>
      <c r="R103" s="340" t="n">
        <f aca="false">R65*(1-$D$33)</f>
        <v>0</v>
      </c>
      <c r="S103" s="340" t="n">
        <f aca="false">S65*(1-$D$33)</f>
        <v>0</v>
      </c>
      <c r="T103" s="340" t="n">
        <f aca="false">T65*(1-$D$33)</f>
        <v>0</v>
      </c>
      <c r="U103" s="340" t="n">
        <f aca="false">U65*(1-$D$33)</f>
        <v>0</v>
      </c>
      <c r="V103" s="340" t="n">
        <f aca="false">V65*(1-$D$33)</f>
        <v>0</v>
      </c>
      <c r="W103" s="340" t="n">
        <f aca="false">W65*(1-$D$33)</f>
        <v>0</v>
      </c>
    </row>
    <row r="104" customFormat="false" ht="15" hidden="false" customHeight="true" outlineLevel="3" collapsed="false">
      <c r="B104" s="600" t="s">
        <v>719</v>
      </c>
      <c r="C104" s="340" t="n">
        <f aca="false">C66*(1-$D$34)</f>
        <v>0</v>
      </c>
      <c r="D104" s="340" t="n">
        <f aca="false">D66*(1-$D$34)</f>
        <v>0</v>
      </c>
      <c r="E104" s="340" t="n">
        <f aca="false">E66*(1-$D$34)</f>
        <v>0</v>
      </c>
      <c r="F104" s="340" t="n">
        <f aca="false">F66*(1-$D$34)</f>
        <v>0</v>
      </c>
      <c r="G104" s="340" t="n">
        <f aca="false">G66*(1-$D$34)</f>
        <v>0</v>
      </c>
      <c r="H104" s="340" t="n">
        <f aca="false">H66*(1-$D$34)</f>
        <v>0</v>
      </c>
      <c r="I104" s="340" t="n">
        <f aca="false">I66*(1-$D$34)</f>
        <v>0</v>
      </c>
      <c r="J104" s="340" t="n">
        <f aca="false">J66*(1-$D$34)</f>
        <v>0</v>
      </c>
      <c r="K104" s="340" t="n">
        <f aca="false">K66*(1-$D$34)</f>
        <v>0</v>
      </c>
      <c r="L104" s="340" t="n">
        <f aca="false">L66*(1-$D$34)</f>
        <v>0</v>
      </c>
      <c r="M104" s="340" t="n">
        <f aca="false">M66*(1-$D$34)</f>
        <v>0</v>
      </c>
      <c r="N104" s="340" t="n">
        <f aca="false">N66*(1-$D$34)</f>
        <v>0</v>
      </c>
      <c r="O104" s="340" t="n">
        <f aca="false">O66*(1-$D$34)</f>
        <v>0</v>
      </c>
      <c r="P104" s="340" t="n">
        <f aca="false">P66*(1-$D$34)</f>
        <v>0</v>
      </c>
      <c r="Q104" s="340" t="n">
        <f aca="false">Q66*(1-$D$34)</f>
        <v>0</v>
      </c>
      <c r="R104" s="340" t="n">
        <f aca="false">R66*(1-$D$34)</f>
        <v>0</v>
      </c>
      <c r="S104" s="340" t="n">
        <f aca="false">S66*(1-$D$34)</f>
        <v>0</v>
      </c>
      <c r="T104" s="340" t="n">
        <f aca="false">T66*(1-$D$34)</f>
        <v>0</v>
      </c>
      <c r="U104" s="340" t="n">
        <f aca="false">U66*(1-$D$34)</f>
        <v>0</v>
      </c>
      <c r="V104" s="340" t="n">
        <f aca="false">V66*(1-$D$34)</f>
        <v>0</v>
      </c>
      <c r="W104" s="340" t="n">
        <f aca="false">W66*(1-$D$34)</f>
        <v>0</v>
      </c>
    </row>
    <row r="105" customFormat="false" ht="15" hidden="false" customHeight="true" outlineLevel="3" collapsed="false">
      <c r="B105" s="600" t="s">
        <v>724</v>
      </c>
      <c r="C105" s="340" t="n">
        <f aca="false">C67*(1-$D$35)</f>
        <v>0</v>
      </c>
      <c r="D105" s="340" t="n">
        <f aca="false">D67*(1-$D$35)</f>
        <v>0</v>
      </c>
      <c r="E105" s="340" t="n">
        <f aca="false">E67*(1-$D$35)</f>
        <v>0</v>
      </c>
      <c r="F105" s="340" t="n">
        <f aca="false">F67*(1-$D$35)</f>
        <v>0</v>
      </c>
      <c r="G105" s="340" t="n">
        <f aca="false">G67*(1-$D$35)</f>
        <v>0</v>
      </c>
      <c r="H105" s="340" t="n">
        <f aca="false">H67*(1-$D$35)</f>
        <v>0</v>
      </c>
      <c r="I105" s="340" t="n">
        <f aca="false">I67*(1-$D$35)</f>
        <v>0</v>
      </c>
      <c r="J105" s="340" t="n">
        <f aca="false">J67*(1-$D$35)</f>
        <v>0</v>
      </c>
      <c r="K105" s="340" t="n">
        <f aca="false">K67*(1-$D$35)</f>
        <v>0</v>
      </c>
      <c r="L105" s="340" t="n">
        <f aca="false">L67*(1-$D$35)</f>
        <v>0</v>
      </c>
      <c r="M105" s="340" t="n">
        <f aca="false">M67*(1-$D$35)</f>
        <v>0</v>
      </c>
      <c r="N105" s="340" t="n">
        <f aca="false">N67*(1-$D$35)</f>
        <v>0</v>
      </c>
      <c r="O105" s="340" t="n">
        <f aca="false">O67*(1-$D$35)</f>
        <v>0</v>
      </c>
      <c r="P105" s="340" t="n">
        <f aca="false">P67*(1-$D$35)</f>
        <v>0</v>
      </c>
      <c r="Q105" s="340" t="n">
        <f aca="false">Q67*(1-$D$35)</f>
        <v>0</v>
      </c>
      <c r="R105" s="340" t="n">
        <f aca="false">R67*(1-$D$35)</f>
        <v>0</v>
      </c>
      <c r="S105" s="340" t="n">
        <f aca="false">S67*(1-$D$35)</f>
        <v>0</v>
      </c>
      <c r="T105" s="340" t="n">
        <f aca="false">T67*(1-$D$35)</f>
        <v>0</v>
      </c>
      <c r="U105" s="340" t="n">
        <f aca="false">U67*(1-$D$35)</f>
        <v>0</v>
      </c>
      <c r="V105" s="340" t="n">
        <f aca="false">V67*(1-$D$35)</f>
        <v>0</v>
      </c>
      <c r="W105" s="340" t="n">
        <f aca="false">W67*(1-$D$35)</f>
        <v>0</v>
      </c>
    </row>
    <row r="106" customFormat="false" ht="15" hidden="false" customHeight="true" outlineLevel="3" collapsed="false">
      <c r="B106" s="600" t="s">
        <v>733</v>
      </c>
      <c r="C106" s="340" t="n">
        <f aca="false">C68*(1-$D$36)</f>
        <v>0</v>
      </c>
      <c r="D106" s="340" t="n">
        <f aca="false">D68*(1-$D$36)</f>
        <v>0</v>
      </c>
      <c r="E106" s="340" t="n">
        <f aca="false">E68*(1-$D$36)</f>
        <v>0</v>
      </c>
      <c r="F106" s="340" t="n">
        <f aca="false">F68*(1-$D$36)</f>
        <v>0</v>
      </c>
      <c r="G106" s="340" t="n">
        <f aca="false">G68*(1-$D$36)</f>
        <v>0</v>
      </c>
      <c r="H106" s="340" t="n">
        <f aca="false">H68*(1-$D$36)</f>
        <v>0</v>
      </c>
      <c r="I106" s="340" t="n">
        <f aca="false">I68*(1-$D$36)</f>
        <v>0</v>
      </c>
      <c r="J106" s="340" t="n">
        <f aca="false">J68*(1-$D$36)</f>
        <v>0</v>
      </c>
      <c r="K106" s="340" t="n">
        <f aca="false">K68*(1-$D$36)</f>
        <v>0</v>
      </c>
      <c r="L106" s="340" t="n">
        <f aca="false">L68*(1-$D$36)</f>
        <v>0</v>
      </c>
      <c r="M106" s="340" t="n">
        <f aca="false">M68*(1-$D$36)</f>
        <v>0</v>
      </c>
      <c r="N106" s="340" t="n">
        <f aca="false">N68*(1-$D$36)</f>
        <v>0</v>
      </c>
      <c r="O106" s="340" t="n">
        <f aca="false">O68*(1-$D$36)</f>
        <v>0</v>
      </c>
      <c r="P106" s="340" t="n">
        <f aca="false">P68*(1-$D$36)</f>
        <v>0</v>
      </c>
      <c r="Q106" s="340" t="n">
        <f aca="false">Q68*(1-$D$36)</f>
        <v>0</v>
      </c>
      <c r="R106" s="340" t="n">
        <f aca="false">R68*(1-$D$36)</f>
        <v>0</v>
      </c>
      <c r="S106" s="340" t="n">
        <f aca="false">S68*(1-$D$36)</f>
        <v>0</v>
      </c>
      <c r="T106" s="340" t="n">
        <f aca="false">T68*(1-$D$36)</f>
        <v>0</v>
      </c>
      <c r="U106" s="340" t="n">
        <f aca="false">U68*(1-$D$36)</f>
        <v>0</v>
      </c>
      <c r="V106" s="340" t="n">
        <f aca="false">V68*(1-$D$36)</f>
        <v>0</v>
      </c>
      <c r="W106" s="340" t="n">
        <f aca="false">W68*(1-$D$36)</f>
        <v>0</v>
      </c>
    </row>
    <row r="107" customFormat="false" ht="15" hidden="false" customHeight="true" outlineLevel="3" collapsed="false">
      <c r="B107" s="600" t="s">
        <v>3701</v>
      </c>
      <c r="C107" s="340" t="n">
        <f aca="false">C69*(1-SUP_CONTROL!$C$38)</f>
        <v>0</v>
      </c>
      <c r="D107" s="340" t="n">
        <f aca="false">D69*(1-SUP_CONTROL!$C$38)</f>
        <v>0</v>
      </c>
      <c r="E107" s="340" t="n">
        <f aca="false">E69*(1-SUP_CONTROL!$C$38)</f>
        <v>0</v>
      </c>
      <c r="F107" s="340" t="n">
        <f aca="false">F69*(1-SUP_CONTROL!$C$38)</f>
        <v>0</v>
      </c>
      <c r="G107" s="340" t="n">
        <f aca="false">G69*(1-SUP_CONTROL!$C$38)</f>
        <v>0</v>
      </c>
      <c r="H107" s="340" t="n">
        <f aca="false">H69*(1-SUP_CONTROL!$C$38)</f>
        <v>0</v>
      </c>
      <c r="I107" s="340" t="n">
        <f aca="false">I69*(1-SUP_CONTROL!$C$38)</f>
        <v>0</v>
      </c>
      <c r="J107" s="340" t="n">
        <f aca="false">J69*(1-SUP_CONTROL!$C$38)</f>
        <v>0</v>
      </c>
      <c r="K107" s="340" t="n">
        <f aca="false">K69*(1-SUP_CONTROL!$C$38)</f>
        <v>0</v>
      </c>
      <c r="L107" s="340" t="n">
        <f aca="false">L69*(1-SUP_CONTROL!$C$38)</f>
        <v>0</v>
      </c>
      <c r="M107" s="340" t="n">
        <f aca="false">M69*(1-SUP_CONTROL!$C$38)</f>
        <v>0</v>
      </c>
      <c r="N107" s="340" t="n">
        <f aca="false">N69*(1-SUP_CONTROL!$C$38)</f>
        <v>0</v>
      </c>
      <c r="O107" s="340" t="n">
        <f aca="false">O69*(1-SUP_CONTROL!$C$38)</f>
        <v>0</v>
      </c>
      <c r="P107" s="340" t="n">
        <f aca="false">P69*(1-SUP_CONTROL!$C$38)</f>
        <v>0</v>
      </c>
      <c r="Q107" s="340" t="n">
        <f aca="false">Q69*(1-SUP_CONTROL!$C$38)</f>
        <v>0</v>
      </c>
      <c r="R107" s="340" t="n">
        <f aca="false">R69*(1-SUP_CONTROL!$C$38)</f>
        <v>0</v>
      </c>
      <c r="S107" s="340" t="n">
        <f aca="false">S69*(1-SUP_CONTROL!$C$38)</f>
        <v>0</v>
      </c>
      <c r="T107" s="340" t="n">
        <f aca="false">T69*(1-SUP_CONTROL!$C$38)</f>
        <v>0</v>
      </c>
      <c r="U107" s="340" t="n">
        <f aca="false">U69*(1-SUP_CONTROL!$C$38)</f>
        <v>0</v>
      </c>
      <c r="V107" s="340" t="n">
        <f aca="false">V69*(1-SUP_CONTROL!$C$38)</f>
        <v>0</v>
      </c>
      <c r="W107" s="340" t="n">
        <f aca="false">W69*(1-SUP_CONTROL!$C$38)</f>
        <v>0</v>
      </c>
    </row>
    <row r="108" customFormat="false" ht="15" hidden="false" customHeight="true" outlineLevel="2" collapsed="false">
      <c r="B108" s="601" t="s">
        <v>3702</v>
      </c>
      <c r="C108" s="602" t="n">
        <f aca="false">C100+C101+C102+C103+C104+C105+C106+C107</f>
        <v>0</v>
      </c>
      <c r="D108" s="602" t="n">
        <f aca="false">D100+D101+D102+D103+D104+D105+D106+D107</f>
        <v>0</v>
      </c>
      <c r="E108" s="602" t="n">
        <f aca="false">E100+E101+E102+E103+E104+E105+E106+E107</f>
        <v>0</v>
      </c>
      <c r="F108" s="602" t="n">
        <f aca="false">F100+F101+F102+F103+F104+F105+F106+F107</f>
        <v>0</v>
      </c>
      <c r="G108" s="602" t="n">
        <f aca="false">G100+G101+G102+G103+G104+G105+G106+G107</f>
        <v>0</v>
      </c>
      <c r="H108" s="602" t="n">
        <f aca="false">H100+H101+H102+H103+H104+H105+H106+H107</f>
        <v>0</v>
      </c>
      <c r="I108" s="602" t="n">
        <f aca="false">I100+I101+I102+I103+I104+I105+I106+I107</f>
        <v>0</v>
      </c>
      <c r="J108" s="602" t="n">
        <f aca="false">J100+J101+J102+J103+J104+J105+J106+J107</f>
        <v>0</v>
      </c>
      <c r="K108" s="602" t="n">
        <f aca="false">K100+K101+K102+K103+K104+K105+K106+K107</f>
        <v>0</v>
      </c>
      <c r="L108" s="602" t="n">
        <f aca="false">L100+L101+L102+L103+L104+L105+L106+L107</f>
        <v>0</v>
      </c>
      <c r="M108" s="602" t="n">
        <f aca="false">M100+M101+M102+M103+M104+M105+M106+M107</f>
        <v>0</v>
      </c>
      <c r="N108" s="602" t="n">
        <f aca="false">N100+N101+N102+N103+N104+N105+N106+N107</f>
        <v>0</v>
      </c>
      <c r="O108" s="602" t="n">
        <f aca="false">O100+O101+O102+O103+O104+O105+O106+O107</f>
        <v>0</v>
      </c>
      <c r="P108" s="602" t="n">
        <f aca="false">P100+P101+P102+P103+P104+P105+P106+P107</f>
        <v>0</v>
      </c>
      <c r="Q108" s="602" t="n">
        <f aca="false">Q100+Q101+Q102+Q103+Q104+Q105+Q106+Q107</f>
        <v>0</v>
      </c>
      <c r="R108" s="602" t="n">
        <f aca="false">R100+R101+R102+R103+R104+R105+R106+R107</f>
        <v>0</v>
      </c>
      <c r="S108" s="602" t="n">
        <f aca="false">S100+S101+S102+S103+S104+S105+S106+S107</f>
        <v>0</v>
      </c>
      <c r="T108" s="602" t="n">
        <f aca="false">T100+T101+T102+T103+T104+T105+T106+T107</f>
        <v>0</v>
      </c>
      <c r="U108" s="602" t="n">
        <f aca="false">U100+U101+U102+U103+U104+U105+U106+U107</f>
        <v>0</v>
      </c>
      <c r="V108" s="602" t="n">
        <f aca="false">V100+V101+V102+V103+V104+V105+V106+V107</f>
        <v>0</v>
      </c>
      <c r="W108" s="602" t="n">
        <f aca="false">W100+W101+W102+W103+W104+W105+W106+W107</f>
        <v>0</v>
      </c>
      <c r="X108" s="218"/>
      <c r="Y108" s="218"/>
      <c r="Z108" s="218"/>
    </row>
    <row r="109" customFormat="false" ht="15" hidden="false" customHeight="true" outlineLevel="1" collapsed="false">
      <c r="B109" s="603" t="s">
        <v>3703</v>
      </c>
      <c r="C109" s="602" t="n">
        <f aca="false">C108</f>
        <v>0</v>
      </c>
      <c r="D109" s="602" t="n">
        <f aca="false">D108</f>
        <v>0</v>
      </c>
      <c r="E109" s="602" t="n">
        <f aca="false">E108</f>
        <v>0</v>
      </c>
      <c r="F109" s="602" t="n">
        <f aca="false">F108</f>
        <v>0</v>
      </c>
      <c r="G109" s="602" t="n">
        <f aca="false">G108</f>
        <v>0</v>
      </c>
      <c r="H109" s="602" t="n">
        <f aca="false">H108</f>
        <v>0</v>
      </c>
      <c r="I109" s="602" t="n">
        <f aca="false">I108</f>
        <v>0</v>
      </c>
      <c r="J109" s="602" t="n">
        <f aca="false">J108</f>
        <v>0</v>
      </c>
      <c r="K109" s="602" t="n">
        <f aca="false">K108</f>
        <v>0</v>
      </c>
      <c r="L109" s="602" t="n">
        <f aca="false">L108</f>
        <v>0</v>
      </c>
      <c r="M109" s="602" t="n">
        <f aca="false">M108</f>
        <v>0</v>
      </c>
      <c r="N109" s="602" t="n">
        <f aca="false">N108</f>
        <v>0</v>
      </c>
      <c r="O109" s="602" t="n">
        <f aca="false">O108</f>
        <v>0</v>
      </c>
      <c r="P109" s="602" t="n">
        <f aca="false">P108</f>
        <v>0</v>
      </c>
      <c r="Q109" s="602" t="n">
        <f aca="false">Q108</f>
        <v>0</v>
      </c>
      <c r="R109" s="602" t="n">
        <f aca="false">R108</f>
        <v>0</v>
      </c>
      <c r="S109" s="602" t="n">
        <f aca="false">S108</f>
        <v>0</v>
      </c>
      <c r="T109" s="602" t="n">
        <f aca="false">T108</f>
        <v>0</v>
      </c>
      <c r="U109" s="602" t="n">
        <f aca="false">U108</f>
        <v>0</v>
      </c>
      <c r="V109" s="602" t="n">
        <f aca="false">V108</f>
        <v>0</v>
      </c>
      <c r="W109" s="602" t="n">
        <f aca="false">W108</f>
        <v>0</v>
      </c>
      <c r="X109" s="218"/>
      <c r="Y109" s="218"/>
      <c r="Z109" s="218"/>
    </row>
    <row r="110" customFormat="false" ht="15" hidden="false" customHeight="true" outlineLevel="1" collapsed="false">
      <c r="B110" s="578" t="s">
        <v>3708</v>
      </c>
      <c r="C110" s="340" t="n">
        <f aca="false">(CAPA3_EXPANSION!D39-CAPA3_EXPANSION!D40)*SUP_CONTROL!$C$13</f>
        <v>0</v>
      </c>
      <c r="D110" s="340" t="n">
        <f aca="false">(CAPA3_EXPANSION!E39-CAPA3_EXPANSION!E40)*SUP_CONTROL!$C$13</f>
        <v>0</v>
      </c>
      <c r="E110" s="340" t="n">
        <f aca="false">(CAPA3_EXPANSION!F39-CAPA3_EXPANSION!F40)*SUP_CONTROL!$C$13</f>
        <v>0</v>
      </c>
      <c r="F110" s="340" t="n">
        <f aca="false">(CAPA3_EXPANSION!G39-CAPA3_EXPANSION!G40)*SUP_CONTROL!$C$13</f>
        <v>0</v>
      </c>
      <c r="G110" s="340" t="n">
        <f aca="false">(CAPA3_EXPANSION!H39-CAPA3_EXPANSION!H40)*SUP_CONTROL!$C$13</f>
        <v>0</v>
      </c>
      <c r="H110" s="340" t="n">
        <f aca="false">(CAPA3_EXPANSION!I39-CAPA3_EXPANSION!I40)*SUP_CONTROL!$C$13</f>
        <v>0</v>
      </c>
      <c r="I110" s="340" t="n">
        <f aca="false">(CAPA3_EXPANSION!J39-CAPA3_EXPANSION!J40)*SUP_CONTROL!$C$13</f>
        <v>0</v>
      </c>
      <c r="J110" s="340" t="n">
        <f aca="false">(CAPA3_EXPANSION!K39-CAPA3_EXPANSION!K40)*SUP_CONTROL!$C$13</f>
        <v>0</v>
      </c>
      <c r="K110" s="340" t="n">
        <f aca="false">(CAPA3_EXPANSION!L39-CAPA3_EXPANSION!L40)*SUP_CONTROL!$C$13</f>
        <v>0</v>
      </c>
      <c r="L110" s="340" t="n">
        <f aca="false">(CAPA3_EXPANSION!M39-CAPA3_EXPANSION!M40)*SUP_CONTROL!$C$13</f>
        <v>0</v>
      </c>
      <c r="M110" s="340" t="n">
        <f aca="false">(CAPA3_EXPANSION!N39-CAPA3_EXPANSION!N40)*SUP_CONTROL!$C$13</f>
        <v>0</v>
      </c>
      <c r="N110" s="340" t="n">
        <f aca="false">(CAPA3_EXPANSION!O39-CAPA3_EXPANSION!O40)*SUP_CONTROL!$C$13</f>
        <v>0</v>
      </c>
      <c r="O110" s="340" t="n">
        <f aca="false">(SUM(CAPA3_EXPANSION!P39:AA39)-SUM(CAPA3_EXPANSION!P40:AA40))*SUP_CONTROL!$C$13</f>
        <v>366419.233849251</v>
      </c>
      <c r="P110" s="340" t="n">
        <f aca="false">(SUM(CAPA3_EXPANSION!AB39:AM39)-SUM(CAPA3_EXPANSION!AB40:AM40))*SUP_CONTROL!$C$13</f>
        <v>1383919.83389586</v>
      </c>
      <c r="Q110" s="340" t="n">
        <f aca="false">(SUM(CAPA3_EXPANSION!AN39:AY39)-SUM(CAPA3_EXPANSION!AN40:AY40))*SUP_CONTROL!$C$13</f>
        <v>3472117.20060284</v>
      </c>
      <c r="R110" s="340" t="n">
        <f aca="false">(SUM(CAPA3_EXPANSION!AZ39:BK39)-SUM(CAPA3_EXPANSION!AZ40:BK40))*SUP_CONTROL!$C$13</f>
        <v>5227228.84085855</v>
      </c>
      <c r="S110" s="340" t="n">
        <f aca="false">(SUM(CAPA3_EXPANSION!BL39:BW39)-SUM(CAPA3_EXPANSION!BL40:BW40))*SUP_CONTROL!$C$13</f>
        <v>7954838.41351478</v>
      </c>
      <c r="T110" s="340" t="n">
        <f aca="false">(SUM(CAPA3_EXPANSION!BX39:CI39)-SUM(CAPA3_EXPANSION!BX40:CI40))*SUP_CONTROL!$C$13</f>
        <v>11563825.3612544</v>
      </c>
      <c r="U110" s="340" t="n">
        <f aca="false">(SUM(CAPA3_EXPANSION!CJ39:CU39)-SUM(CAPA3_EXPANSION!CJ40:CU40))*SUP_CONTROL!$C$13</f>
        <v>13690237.5173107</v>
      </c>
      <c r="V110" s="340" t="n">
        <f aca="false">(SUM(CAPA3_EXPANSION!CV39:DG39)-SUM(CAPA3_EXPANSION!CV40:DG40))*SUP_CONTROL!$C$13</f>
        <v>13701220.9718556</v>
      </c>
      <c r="W110" s="340" t="n">
        <f aca="false">(SUM(CAPA3_EXPANSION!DH39:DS39)-SUM(CAPA3_EXPANSION!DH40:DS40))*SUP_CONTROL!$C$13</f>
        <v>13701220.9718556</v>
      </c>
    </row>
    <row r="111" customFormat="false" ht="15" hidden="false" customHeight="true" outlineLevel="1" collapsed="false">
      <c r="B111" s="578" t="s">
        <v>3709</v>
      </c>
      <c r="C111" s="340" t="n">
        <f aca="false">CAPA4_RETAIL!D9*SUP_CONTROL!$C$14</f>
        <v>0</v>
      </c>
      <c r="D111" s="340" t="n">
        <f aca="false">CAPA4_RETAIL!E9*SUP_CONTROL!$C$14</f>
        <v>0</v>
      </c>
      <c r="E111" s="340" t="n">
        <f aca="false">CAPA4_RETAIL!F9*SUP_CONTROL!$C$14</f>
        <v>0</v>
      </c>
      <c r="F111" s="340" t="n">
        <f aca="false">CAPA4_RETAIL!G9*SUP_CONTROL!$C$14</f>
        <v>0</v>
      </c>
      <c r="G111" s="340" t="n">
        <f aca="false">CAPA4_RETAIL!H9*SUP_CONTROL!$C$14</f>
        <v>0</v>
      </c>
      <c r="H111" s="340" t="n">
        <f aca="false">CAPA4_RETAIL!I9*SUP_CONTROL!$C$14</f>
        <v>0</v>
      </c>
      <c r="I111" s="340" t="n">
        <f aca="false">CAPA4_RETAIL!J9*SUP_CONTROL!$C$14</f>
        <v>0</v>
      </c>
      <c r="J111" s="340" t="n">
        <f aca="false">CAPA4_RETAIL!K9*SUP_CONTROL!$C$14</f>
        <v>0</v>
      </c>
      <c r="K111" s="340" t="n">
        <f aca="false">CAPA4_RETAIL!L9*SUP_CONTROL!$C$14</f>
        <v>0</v>
      </c>
      <c r="L111" s="340" t="n">
        <f aca="false">CAPA4_RETAIL!M9*SUP_CONTROL!$C$14</f>
        <v>0</v>
      </c>
      <c r="M111" s="340" t="n">
        <f aca="false">CAPA4_RETAIL!N9*SUP_CONTROL!$C$14</f>
        <v>0</v>
      </c>
      <c r="N111" s="340" t="n">
        <f aca="false">CAPA4_RETAIL!O9*SUP_CONTROL!$C$14</f>
        <v>0</v>
      </c>
      <c r="O111" s="340" t="n">
        <f aca="false">SUM(CAPA4_RETAIL!P9:AA9)*SUP_CONTROL!$C$14</f>
        <v>0</v>
      </c>
      <c r="P111" s="340" t="n">
        <f aca="false">SUM(CAPA4_RETAIL!AB9:AM9)*SUP_CONTROL!$C$14</f>
        <v>0</v>
      </c>
      <c r="Q111" s="340" t="n">
        <f aca="false">SUM(CAPA4_RETAIL!AN9:AY9)*SUP_CONTROL!$C$14</f>
        <v>0</v>
      </c>
      <c r="R111" s="340" t="n">
        <f aca="false">SUM(CAPA4_RETAIL!AZ9:BK9)*SUP_CONTROL!$C$14</f>
        <v>0</v>
      </c>
      <c r="S111" s="340" t="n">
        <f aca="false">SUM(CAPA4_RETAIL!BL9:BW9)*SUP_CONTROL!$C$14</f>
        <v>0</v>
      </c>
      <c r="T111" s="340" t="n">
        <f aca="false">SUM(CAPA4_RETAIL!BX9:CI9)*SUP_CONTROL!$C$14</f>
        <v>0</v>
      </c>
      <c r="U111" s="340" t="n">
        <f aca="false">SUM(CAPA4_RETAIL!CJ9:CU9)*SUP_CONTROL!$C$14</f>
        <v>0</v>
      </c>
      <c r="V111" s="340" t="n">
        <f aca="false">SUM(CAPA4_RETAIL!CV9:DG9)*SUP_CONTROL!$C$14</f>
        <v>0</v>
      </c>
      <c r="W111" s="340" t="n">
        <f aca="false">SUM(CAPA4_RETAIL!DH9:DS9)*SUP_CONTROL!$C$14</f>
        <v>0</v>
      </c>
    </row>
    <row r="113" s="29" customFormat="true" ht="15" hidden="false" customHeight="true" outlineLevel="0" collapsed="false">
      <c r="B113" s="327" t="s">
        <v>3710</v>
      </c>
      <c r="C113" s="31" t="n">
        <f aca="false">CAPA1_PILOTO!D22*SUP_CONTROL!$C$11+CAPA2_FLAGSHIP!D17*SUP_CONTROL!$C$12+CAPA3_EXPANSION!D45*SUP_CONTROL!$C$13</f>
        <v>0</v>
      </c>
      <c r="D113" s="31" t="n">
        <f aca="false">CAPA1_PILOTO!E22*SUP_CONTROL!$C$11+CAPA2_FLAGSHIP!E17*SUP_CONTROL!$C$12+CAPA3_EXPANSION!E45*SUP_CONTROL!$C$13</f>
        <v>0</v>
      </c>
      <c r="E113" s="31" t="n">
        <f aca="false">CAPA1_PILOTO!F22*SUP_CONTROL!$C$11+CAPA2_FLAGSHIP!F17*SUP_CONTROL!$C$12+CAPA3_EXPANSION!F45*SUP_CONTROL!$C$13</f>
        <v>0</v>
      </c>
      <c r="F113" s="31" t="n">
        <f aca="false">CAPA1_PILOTO!G22*SUP_CONTROL!$C$11+CAPA2_FLAGSHIP!G17*SUP_CONTROL!$C$12+CAPA3_EXPANSION!G45*SUP_CONTROL!$C$13</f>
        <v>11159.605625</v>
      </c>
      <c r="G113" s="31" t="n">
        <f aca="false">CAPA1_PILOTO!H22*SUP_CONTROL!$C$11+CAPA2_FLAGSHIP!H17*SUP_CONTROL!$C$12+CAPA3_EXPANSION!H45*SUP_CONTROL!$C$13</f>
        <v>11395.225625</v>
      </c>
      <c r="H113" s="31" t="n">
        <f aca="false">CAPA1_PILOTO!I22*SUP_CONTROL!$C$11+CAPA2_FLAGSHIP!I17*SUP_CONTROL!$C$12+CAPA3_EXPANSION!I45*SUP_CONTROL!$C$13</f>
        <v>11672.425625</v>
      </c>
      <c r="I113" s="31" t="n">
        <f aca="false">CAPA1_PILOTO!J22*SUP_CONTROL!$C$11+CAPA2_FLAGSHIP!J17*SUP_CONTROL!$C$12+CAPA3_EXPANSION!J45*SUP_CONTROL!$C$13</f>
        <v>11978.731625</v>
      </c>
      <c r="J113" s="31" t="n">
        <f aca="false">CAPA1_PILOTO!K22*SUP_CONTROL!$C$11+CAPA2_FLAGSHIP!K17*SUP_CONTROL!$C$12+CAPA3_EXPANSION!K45*SUP_CONTROL!$C$13</f>
        <v>12320.380625</v>
      </c>
      <c r="K113" s="31" t="n">
        <f aca="false">CAPA1_PILOTO!L22*SUP_CONTROL!$C$11+CAPA2_FLAGSHIP!L17*SUP_CONTROL!$C$12+CAPA3_EXPANSION!L45*SUP_CONTROL!$C$13</f>
        <v>12422.251625</v>
      </c>
      <c r="L113" s="31" t="n">
        <f aca="false">CAPA1_PILOTO!M22*SUP_CONTROL!$C$11+CAPA2_FLAGSHIP!M17*SUP_CONTROL!$C$12+CAPA3_EXPANSION!M45*SUP_CONTROL!$C$13</f>
        <v>12476.305625</v>
      </c>
      <c r="M113" s="31" t="n">
        <f aca="false">CAPA1_PILOTO!N22*SUP_CONTROL!$C$11+CAPA2_FLAGSHIP!N17*SUP_CONTROL!$C$12+CAPA3_EXPANSION!N45*SUP_CONTROL!$C$13</f>
        <v>12476.305625</v>
      </c>
      <c r="N113" s="31" t="n">
        <f aca="false">CAPA1_PILOTO!O22*SUP_CONTROL!$C$11+CAPA2_FLAGSHIP!O17*SUP_CONTROL!$C$12+CAPA3_EXPANSION!O45*SUP_CONTROL!$C$13</f>
        <v>12476.305625</v>
      </c>
      <c r="O113" s="31" t="n">
        <f aca="false">SUM(CAPA1_PILOTO!P22:AA22)*SUP_CONTROL!$C$11+SUM(CAPA2_FLAGSHIP!P17:AA17)*SUP_CONTROL!$C$12+SUM(CAPA3_EXPANSION!P45:AA45)*SUP_CONTROL!$C$13</f>
        <v>151385.7975</v>
      </c>
      <c r="P113" s="31" t="n">
        <f aca="false">SUM(CAPA1_PILOTO!AB22:AM22)*SUP_CONTROL!$C$11+SUM(CAPA2_FLAGSHIP!AB17:AM17)*SUP_CONTROL!$C$12+SUM(CAPA3_EXPANSION!AB45:AM45)*SUP_CONTROL!$C$13</f>
        <v>196123.54061</v>
      </c>
      <c r="Q113" s="31" t="n">
        <f aca="false">SUM(CAPA1_PILOTO!AN22:AY22)*SUP_CONTROL!$C$11+SUM(CAPA2_FLAGSHIP!AN17:AY17)*SUP_CONTROL!$C$12+SUM(CAPA3_EXPANSION!AN45:AY45)*SUP_CONTROL!$C$13</f>
        <v>213661.49367</v>
      </c>
      <c r="R113" s="31" t="n">
        <f aca="false">SUM(CAPA1_PILOTO!AZ22:BK22)*SUP_CONTROL!$C$11+SUM(CAPA2_FLAGSHIP!AZ17:BK17)*SUP_CONTROL!$C$12+SUM(CAPA3_EXPANSION!AZ45:BK45)*SUP_CONTROL!$C$13</f>
        <v>294011.25005</v>
      </c>
      <c r="S113" s="31" t="n">
        <f aca="false">SUM(CAPA1_PILOTO!BL22:BW22)*SUP_CONTROL!$C$11+SUM(CAPA2_FLAGSHIP!BL17:BW17)*SUP_CONTROL!$C$12+SUM(CAPA3_EXPANSION!BL45:BW45)*SUP_CONTROL!$C$13</f>
        <v>320913.62847</v>
      </c>
      <c r="T113" s="31" t="n">
        <f aca="false">SUM(CAPA1_PILOTO!BX22:CI22)*SUP_CONTROL!$C$11+SUM(CAPA2_FLAGSHIP!BX17:CI17)*SUP_CONTROL!$C$12+SUM(CAPA3_EXPANSION!BX45:CI45)*SUP_CONTROL!$C$13</f>
        <v>345583.303635</v>
      </c>
      <c r="U113" s="31" t="n">
        <f aca="false">SUM(CAPA1_PILOTO!CJ22:CU22)*SUP_CONTROL!$C$11+SUM(CAPA2_FLAGSHIP!CJ17:CU17)*SUP_CONTROL!$C$12+SUM(CAPA3_EXPANSION!CJ45:CU45)*SUP_CONTROL!$C$13</f>
        <v>396375.43878</v>
      </c>
      <c r="V113" s="31" t="n">
        <f aca="false">SUM(CAPA1_PILOTO!CV22:DG22)*SUP_CONTROL!$C$11+SUM(CAPA2_FLAGSHIP!CV17:DG17)*SUP_CONTROL!$C$12+SUM(CAPA3_EXPANSION!CV45:DG45)*SUP_CONTROL!$C$13</f>
        <v>396425.5011</v>
      </c>
      <c r="W113" s="31" t="n">
        <f aca="false">SUM(CAPA1_PILOTO!DH22:DS22)*SUP_CONTROL!$C$11+SUM(CAPA2_FLAGSHIP!DH17:DS17)*SUP_CONTROL!$C$12+SUM(CAPA3_EXPANSION!DH45:DS45)*SUP_CONTROL!$C$13</f>
        <v>396425.5011</v>
      </c>
    </row>
    <row r="114" s="29" customFormat="true" ht="15" hidden="false" customHeight="true" outlineLevel="0" collapsed="false">
      <c r="B114" s="578" t="s">
        <v>3711</v>
      </c>
      <c r="C114" s="340" t="n">
        <f aca="false">CAPA1_PILOTO!D21*SUP_CONTROL!$C$11+CAPA2_FLAGSHIP!D16*SUP_CONTROL!$C$12+CAPA3_EXPANSION!D44*SUP_CONTROL!$C$13</f>
        <v>0</v>
      </c>
      <c r="D114" s="340" t="n">
        <f aca="false">CAPA1_PILOTO!E21*SUP_CONTROL!$C$11+CAPA2_FLAGSHIP!E16*SUP_CONTROL!$C$12+CAPA3_EXPANSION!E44*SUP_CONTROL!$C$13</f>
        <v>0</v>
      </c>
      <c r="E114" s="340" t="n">
        <f aca="false">CAPA1_PILOTO!F21*SUP_CONTROL!$C$11+CAPA2_FLAGSHIP!F16*SUP_CONTROL!$C$12+CAPA3_EXPANSION!F44*SUP_CONTROL!$C$13</f>
        <v>0</v>
      </c>
      <c r="F114" s="340" t="n">
        <f aca="false">CAPA1_PILOTO!G21*SUP_CONTROL!$C$11+CAPA2_FLAGSHIP!G16*SUP_CONTROL!$C$12+CAPA3_EXPANSION!G44*SUP_CONTROL!$C$13</f>
        <v>582.12</v>
      </c>
      <c r="G114" s="340" t="n">
        <f aca="false">CAPA1_PILOTO!H21*SUP_CONTROL!$C$11+CAPA2_FLAGSHIP!H16*SUP_CONTROL!$C$12+CAPA3_EXPANSION!H44*SUP_CONTROL!$C$13</f>
        <v>1288.98</v>
      </c>
      <c r="H114" s="340" t="n">
        <f aca="false">CAPA1_PILOTO!I21*SUP_CONTROL!$C$11+CAPA2_FLAGSHIP!I16*SUP_CONTROL!$C$12+CAPA3_EXPANSION!I44*SUP_CONTROL!$C$13</f>
        <v>2120.58</v>
      </c>
      <c r="I114" s="340" t="n">
        <f aca="false">CAPA1_PILOTO!J21*SUP_CONTROL!$C$11+CAPA2_FLAGSHIP!J16*SUP_CONTROL!$C$12+CAPA3_EXPANSION!J44*SUP_CONTROL!$C$13</f>
        <v>3039.498</v>
      </c>
      <c r="J114" s="340" t="n">
        <f aca="false">CAPA1_PILOTO!K21*SUP_CONTROL!$C$11+CAPA2_FLAGSHIP!K16*SUP_CONTROL!$C$12+CAPA3_EXPANSION!K44*SUP_CONTROL!$C$13</f>
        <v>4064.445</v>
      </c>
      <c r="K114" s="340" t="n">
        <f aca="false">CAPA1_PILOTO!L21*SUP_CONTROL!$C$11+CAPA2_FLAGSHIP!L16*SUP_CONTROL!$C$12+CAPA3_EXPANSION!L44*SUP_CONTROL!$C$13</f>
        <v>4370.058</v>
      </c>
      <c r="L114" s="340" t="n">
        <f aca="false">CAPA1_PILOTO!M21*SUP_CONTROL!$C$11+CAPA2_FLAGSHIP!M16*SUP_CONTROL!$C$12+CAPA3_EXPANSION!M44*SUP_CONTROL!$C$13</f>
        <v>4532.22</v>
      </c>
      <c r="M114" s="340" t="n">
        <f aca="false">CAPA1_PILOTO!N21*SUP_CONTROL!$C$11+CAPA2_FLAGSHIP!N16*SUP_CONTROL!$C$12+CAPA3_EXPANSION!N44*SUP_CONTROL!$C$13</f>
        <v>4532.22</v>
      </c>
      <c r="N114" s="340" t="n">
        <f aca="false">CAPA1_PILOTO!O21*SUP_CONTROL!$C$11+CAPA2_FLAGSHIP!O16*SUP_CONTROL!$C$12+CAPA3_EXPANSION!O44*SUP_CONTROL!$C$13</f>
        <v>4532.22</v>
      </c>
      <c r="O114" s="340" t="n">
        <f aca="false">SUM(CAPA1_PILOTO!P21:AA21)*SUP_CONTROL!$C$11+SUM(CAPA2_FLAGSHIP!P16:AA16)*SUP_CONTROL!$C$12+SUM(CAPA3_EXPANSION!P44:AA44)*SUP_CONTROL!$C$13</f>
        <v>59397.03</v>
      </c>
      <c r="P114" s="340" t="n">
        <f aca="false">SUM(CAPA1_PILOTO!AB21:AM21)*SUP_CONTROL!$C$11+SUM(CAPA2_FLAGSHIP!AB16:AM16)*SUP_CONTROL!$C$12+SUM(CAPA3_EXPANSION!AB44:AM44)*SUP_CONTROL!$C$13</f>
        <v>87851.076555</v>
      </c>
      <c r="Q114" s="340" t="n">
        <f aca="false">SUM(CAPA1_PILOTO!AN21:AY21)*SUP_CONTROL!$C$11+SUM(CAPA2_FLAGSHIP!AN16:AY16)*SUP_CONTROL!$C$12+SUM(CAPA3_EXPANSION!AN44:AY44)*SUP_CONTROL!$C$13</f>
        <v>96177.353085</v>
      </c>
      <c r="R114" s="340" t="n">
        <f aca="false">SUM(CAPA1_PILOTO!AZ21:BK21)*SUP_CONTROL!$C$11+SUM(CAPA2_FLAGSHIP!AZ16:BK16)*SUP_CONTROL!$C$12+SUM(CAPA3_EXPANSION!AZ44:BK44)*SUP_CONTROL!$C$13</f>
        <v>144177.231275</v>
      </c>
      <c r="S114" s="340" t="n">
        <f aca="false">SUM(CAPA1_PILOTO!BL21:BW21)*SUP_CONTROL!$C$11+SUM(CAPA2_FLAGSHIP!BL16:BW16)*SUP_CONTROL!$C$12+SUM(CAPA3_EXPANSION!BL44:BW44)*SUP_CONTROL!$C$13</f>
        <v>159193.420485</v>
      </c>
      <c r="T114" s="340" t="n">
        <f aca="false">SUM(CAPA1_PILOTO!BX21:CI21)*SUP_CONTROL!$C$11+SUM(CAPA2_FLAGSHIP!BX16:CI16)*SUP_CONTROL!$C$12+SUM(CAPA3_EXPANSION!BX44:CI44)*SUP_CONTROL!$C$13</f>
        <v>171818.2580675</v>
      </c>
      <c r="U114" s="340" t="n">
        <f aca="false">SUM(CAPA1_PILOTO!CJ21:CU21)*SUP_CONTROL!$C$11+SUM(CAPA2_FLAGSHIP!CJ16:CU16)*SUP_CONTROL!$C$12+SUM(CAPA3_EXPANSION!CJ44:CU44)*SUP_CONTROL!$C$13</f>
        <v>198664.32564</v>
      </c>
      <c r="V114" s="340" t="n">
        <f aca="false">SUM(CAPA1_PILOTO!CV21:DG21)*SUP_CONTROL!$C$11+SUM(CAPA2_FLAGSHIP!CV16:DG16)*SUP_CONTROL!$C$12+SUM(CAPA3_EXPANSION!CV44:DG44)*SUP_CONTROL!$C$13</f>
        <v>198689.3568</v>
      </c>
      <c r="W114" s="340" t="n">
        <f aca="false">SUM(CAPA1_PILOTO!DH21:DS21)*SUP_CONTROL!$C$11+SUM(CAPA2_FLAGSHIP!DH16:DS16)*SUP_CONTROL!$C$12+SUM(CAPA3_EXPANSION!DH44:DS44)*SUP_CONTROL!$C$13</f>
        <v>198689.3568</v>
      </c>
      <c r="X114" s="340"/>
    </row>
    <row r="115" customFormat="false" ht="15" hidden="false" customHeight="true" outlineLevel="0" collapsed="false">
      <c r="B115" s="575" t="s">
        <v>3712</v>
      </c>
      <c r="C115" s="604" t="n">
        <f aca="false">C97+C109+C110+C111+C113+C114</f>
        <v>0</v>
      </c>
      <c r="D115" s="604" t="n">
        <f aca="false">D97+D109+D110+D111+D113+D114</f>
        <v>0</v>
      </c>
      <c r="E115" s="604" t="n">
        <f aca="false">E97+E109+E110+E111+E113+E114</f>
        <v>0</v>
      </c>
      <c r="F115" s="604" t="n">
        <f aca="false">F97+F109+F110+F111+F113+F114</f>
        <v>54313.2548688964</v>
      </c>
      <c r="G115" s="604" t="n">
        <f aca="false">G97+G109+G110+G111+G113+G114</f>
        <v>106949.734665056</v>
      </c>
      <c r="H115" s="604" t="n">
        <f aca="false">H97+H109+H110+H111+H113+H114</f>
        <v>168875.00501348</v>
      </c>
      <c r="I115" s="604" t="n">
        <f aca="false">I97+I109+I110+I111+I113+I114</f>
        <v>237302.428748487</v>
      </c>
      <c r="J115" s="604" t="n">
        <f aca="false">J97+J109+J110+J111+J113+J114</f>
        <v>313625.324452919</v>
      </c>
      <c r="K115" s="604" t="n">
        <f aca="false">K97+K109+K110+K111+K113+K114</f>
        <v>336382.861305965</v>
      </c>
      <c r="L115" s="604" t="n">
        <f aca="false">L97+L109+L110+L111+L113+L114</f>
        <v>348458.289023907</v>
      </c>
      <c r="M115" s="604" t="n">
        <f aca="false">M97+M109+M110+M111+M113+M114</f>
        <v>348458.289023907</v>
      </c>
      <c r="N115" s="604" t="n">
        <f aca="false">N97+N109+N110+N111+N113+N114</f>
        <v>348458.289023907</v>
      </c>
      <c r="O115" s="604" t="n">
        <f aca="false">O97+O109+O110+O111+O113+O114</f>
        <v>4554599.22213614</v>
      </c>
      <c r="P115" s="604" t="n">
        <f aca="false">P97+P109+P110+P111+P113+P114</f>
        <v>5645291.61184775</v>
      </c>
      <c r="Q115" s="604" t="n">
        <f aca="false">Q97+Q109+Q110+Q111+Q113+Q114</f>
        <v>7759353.20814473</v>
      </c>
      <c r="R115" s="604" t="n">
        <f aca="false">R97+R109+R110+R111+R113+R114</f>
        <v>9642814.48297044</v>
      </c>
      <c r="S115" s="604" t="n">
        <f aca="false">S97+S109+S110+S111+S113+S114</f>
        <v>12412342.6232567</v>
      </c>
      <c r="T115" s="604" t="n">
        <f aca="false">T97+T109+T110+T111+T113+T114</f>
        <v>16058624.0837438</v>
      </c>
      <c r="U115" s="604" t="n">
        <f aca="false">U97+U109+U110+U111+U113+U114</f>
        <v>18262674.4425176</v>
      </c>
      <c r="V115" s="604" t="n">
        <f aca="false">V97+V109+V110+V111+V113+V114</f>
        <v>18273732.9905425</v>
      </c>
      <c r="W115" s="604" t="n">
        <f aca="false">W97+W109+W110+W111+W113+W114</f>
        <v>18273732.9905425</v>
      </c>
      <c r="X115" s="576"/>
      <c r="Y115" s="576"/>
      <c r="Z115" s="576"/>
    </row>
    <row r="117" customFormat="false" ht="15" hidden="false" customHeight="true" outlineLevel="0" collapsed="false">
      <c r="B117" s="575" t="s">
        <v>3713</v>
      </c>
      <c r="C117" s="604" t="n">
        <f aca="false">C75-C115</f>
        <v>0</v>
      </c>
      <c r="D117" s="604" t="n">
        <f aca="false">D75-D115</f>
        <v>0</v>
      </c>
      <c r="E117" s="604" t="n">
        <f aca="false">E75-E115</f>
        <v>0</v>
      </c>
      <c r="F117" s="604" t="n">
        <f aca="false">F75-F115</f>
        <v>21680.4103111239</v>
      </c>
      <c r="G117" s="604" t="n">
        <f aca="false">G75-G115</f>
        <v>61321.9525192745</v>
      </c>
      <c r="H117" s="604" t="n">
        <f aca="false">H75-H115</f>
        <v>107959.060999451</v>
      </c>
      <c r="I117" s="604" t="n">
        <f aca="false">I75-I115</f>
        <v>159493.065870047</v>
      </c>
      <c r="J117" s="604" t="n">
        <f aca="false">J75-J115</f>
        <v>216973.302071865</v>
      </c>
      <c r="K117" s="604" t="n">
        <f aca="false">K75-K115</f>
        <v>234112.43943833</v>
      </c>
      <c r="L117" s="604" t="n">
        <f aca="false">L75-L115</f>
        <v>243206.675591965</v>
      </c>
      <c r="M117" s="604" t="n">
        <f aca="false">M75-M115</f>
        <v>243206.675591965</v>
      </c>
      <c r="N117" s="604" t="n">
        <f aca="false">N75-N115</f>
        <v>243206.675591965</v>
      </c>
      <c r="O117" s="604" t="n">
        <f aca="false">O75-O115</f>
        <v>3199468.68569664</v>
      </c>
      <c r="P117" s="604" t="n">
        <f aca="false">P75-P115</f>
        <v>3925098.17339323</v>
      </c>
      <c r="Q117" s="604" t="n">
        <f aca="false">Q75-Q115</f>
        <v>5538639.84467401</v>
      </c>
      <c r="R117" s="604" t="n">
        <f aca="false">R75-R115</f>
        <v>6788196.54481971</v>
      </c>
      <c r="S117" s="604" t="n">
        <f aca="false">S75-S115</f>
        <v>8887674.81063938</v>
      </c>
      <c r="T117" s="604" t="n">
        <f aca="false">T75-T115</f>
        <v>11683730.5322235</v>
      </c>
      <c r="U117" s="604" t="n">
        <f aca="false">U75-U115</f>
        <v>13275499.9687942</v>
      </c>
      <c r="V117" s="604" t="n">
        <f aca="false">V75-V115</f>
        <v>13284047.7863857</v>
      </c>
      <c r="W117" s="604" t="n">
        <f aca="false">W75-W115</f>
        <v>13284047.7863857</v>
      </c>
      <c r="X117" s="576"/>
      <c r="Y117" s="576"/>
      <c r="Z117" s="576"/>
    </row>
    <row r="118" customFormat="false" ht="15" hidden="false" customHeight="true" outlineLevel="0" collapsed="false">
      <c r="B118" s="605" t="s">
        <v>3714</v>
      </c>
      <c r="C118" s="606" t="n">
        <f aca="false">IFERROR(C117/C75,0)</f>
        <v>0</v>
      </c>
      <c r="D118" s="606" t="n">
        <f aca="false">IFERROR(D117/D75,0)</f>
        <v>0</v>
      </c>
      <c r="E118" s="606" t="n">
        <f aca="false">IFERROR(E117/E75,0)</f>
        <v>0</v>
      </c>
      <c r="F118" s="606" t="n">
        <f aca="false">IFERROR(F117/F75,0)</f>
        <v>0.285292336667346</v>
      </c>
      <c r="G118" s="606" t="n">
        <f aca="false">IFERROR(G117/G75,0)</f>
        <v>0.364422283661423</v>
      </c>
      <c r="H118" s="606" t="n">
        <f aca="false">IFERROR(H117/H75,0)</f>
        <v>0.389977514524562</v>
      </c>
      <c r="I118" s="606" t="n">
        <f aca="false">IFERROR(I117/I75,0)</f>
        <v>0.401952814568568</v>
      </c>
      <c r="J118" s="606" t="n">
        <f aca="false">IFERROR(J117/J75,0)</f>
        <v>0.408921718273107</v>
      </c>
      <c r="K118" s="606" t="n">
        <f aca="false">IFERROR(K117/K75,0)</f>
        <v>0.410366990109991</v>
      </c>
      <c r="L118" s="606" t="n">
        <f aca="false">IFERROR(L117/L75,0)</f>
        <v>0.41105471869517</v>
      </c>
      <c r="M118" s="606" t="n">
        <f aca="false">IFERROR(M117/M75,0)</f>
        <v>0.41105471869517</v>
      </c>
      <c r="N118" s="606" t="n">
        <f aca="false">IFERROR(N117/N75,0)</f>
        <v>0.41105471869517</v>
      </c>
      <c r="O118" s="606" t="n">
        <f aca="false">IFERROR(O117/O75,0)</f>
        <v>0.412618089463041</v>
      </c>
      <c r="P118" s="606" t="n">
        <f aca="false">IFERROR(P117/P75,0)</f>
        <v>0.410129395089669</v>
      </c>
      <c r="Q118" s="606" t="n">
        <f aca="false">IFERROR(Q117/Q75,0)</f>
        <v>0.416501935493191</v>
      </c>
      <c r="R118" s="606" t="n">
        <f aca="false">IFERROR(R117/R75,0)</f>
        <v>0.413133223107128</v>
      </c>
      <c r="S118" s="606" t="n">
        <f aca="false">IFERROR(S117/S75,0)</f>
        <v>0.417261386673603</v>
      </c>
      <c r="T118" s="606" t="n">
        <f aca="false">IFERROR(T117/T75,0)</f>
        <v>0.421151365627014</v>
      </c>
      <c r="U118" s="606" t="n">
        <f aca="false">IFERROR(U117/U75,0)</f>
        <v>0.420934319014758</v>
      </c>
      <c r="V118" s="606" t="n">
        <f aca="false">IFERROR(V117/V75,0)</f>
        <v>0.420943661415432</v>
      </c>
      <c r="W118" s="606" t="n">
        <f aca="false">IFERROR(W117/W75,0)</f>
        <v>0.420943661415432</v>
      </c>
    </row>
    <row r="120" customFormat="false" ht="15" hidden="false" customHeight="true" outlineLevel="0" collapsed="false">
      <c r="B120" s="575" t="s">
        <v>3715</v>
      </c>
      <c r="C120" s="576"/>
      <c r="D120" s="576"/>
      <c r="E120" s="576"/>
      <c r="F120" s="576"/>
      <c r="G120" s="576"/>
      <c r="H120" s="576"/>
      <c r="I120" s="576"/>
      <c r="J120" s="576"/>
      <c r="K120" s="576"/>
      <c r="L120" s="576"/>
      <c r="M120" s="576"/>
      <c r="N120" s="576"/>
      <c r="O120" s="576"/>
      <c r="P120" s="576"/>
      <c r="Q120" s="576"/>
      <c r="R120" s="576"/>
      <c r="S120" s="576"/>
      <c r="T120" s="576"/>
      <c r="U120" s="576"/>
      <c r="V120" s="576"/>
      <c r="W120" s="576"/>
      <c r="X120" s="576"/>
      <c r="Y120" s="576"/>
      <c r="Z120" s="576"/>
    </row>
    <row r="121" customFormat="false" ht="15" hidden="false" customHeight="true" outlineLevel="1" collapsed="false">
      <c r="B121" s="578" t="s">
        <v>3694</v>
      </c>
    </row>
    <row r="122" customFormat="false" ht="15" hidden="false" customHeight="true" outlineLevel="2" collapsed="false">
      <c r="B122" s="605" t="s">
        <v>3716</v>
      </c>
      <c r="C122" s="340" t="n">
        <f aca="false">C49*SUP_OPEX!$C$30+CAPA1_PILOTO!D8*SUP_OPEX!$D$23*SUP_CONTROL!$C$11</f>
        <v>0</v>
      </c>
      <c r="D122" s="340" t="n">
        <f aca="false">D49*SUP_OPEX!$C$30+CAPA1_PILOTO!E8*SUP_OPEX!$D$23*SUP_CONTROL!$C$11</f>
        <v>0</v>
      </c>
      <c r="E122" s="340" t="n">
        <f aca="false">E49*SUP_OPEX!$C$30+CAPA1_PILOTO!F8*SUP_OPEX!$D$23*SUP_CONTROL!$C$11</f>
        <v>0</v>
      </c>
      <c r="F122" s="340" t="n">
        <f aca="false">F49*SUP_OPEX!$C$30+CAPA1_PILOTO!G8*SUP_OPEX!$D$23*SUP_CONTROL!$C$11</f>
        <v>20097.3981921019</v>
      </c>
      <c r="G122" s="340" t="n">
        <f aca="false">G49*SUP_OPEX!$C$30+CAPA1_PILOTO!H8*SUP_OPEX!$D$23*SUP_CONTROL!$C$11</f>
        <v>41741.8102825114</v>
      </c>
      <c r="H122" s="340" t="n">
        <f aca="false">H49*SUP_OPEX!$C$30+CAPA1_PILOTO!I8*SUP_OPEX!$D$23*SUP_CONTROL!$C$11</f>
        <v>64933.2362712285</v>
      </c>
      <c r="I122" s="340" t="n">
        <f aca="false">I49*SUP_OPEX!$C$30+CAPA1_PILOTO!J8*SUP_OPEX!$D$23*SUP_CONTROL!$C$11</f>
        <v>78075.9631638945</v>
      </c>
      <c r="J122" s="340" t="n">
        <f aca="false">J49*SUP_OPEX!$C$30+CAPA1_PILOTO!K8*SUP_OPEX!$D$23*SUP_CONTROL!$C$11</f>
        <v>80396.4840113559</v>
      </c>
      <c r="K122" s="340" t="n">
        <f aca="false">K49*SUP_OPEX!$C$30+CAPA1_PILOTO!L8*SUP_OPEX!$D$23*SUP_CONTROL!$C$11</f>
        <v>81169.9909605096</v>
      </c>
      <c r="L122" s="340" t="n">
        <f aca="false">L49*SUP_OPEX!$C$30+CAPA1_PILOTO!M8*SUP_OPEX!$D$23*SUP_CONTROL!$C$11</f>
        <v>81169.9909605096</v>
      </c>
      <c r="M122" s="340" t="n">
        <f aca="false">M49*SUP_OPEX!$C$30+CAPA1_PILOTO!N8*SUP_OPEX!$D$23*SUP_CONTROL!$C$11</f>
        <v>81169.9909605096</v>
      </c>
      <c r="N122" s="340" t="n">
        <f aca="false">N49*SUP_OPEX!$C$30+CAPA1_PILOTO!O8*SUP_OPEX!$D$23*SUP_CONTROL!$C$11</f>
        <v>81169.9909605096</v>
      </c>
      <c r="O122" s="340" t="n">
        <f aca="false">O49*SUP_OPEX!$C$30+SUM(CAPA1_PILOTO!P8:AA8)*SUP_OPEX!$D$23*SUP_CONTROL!$C$11</f>
        <v>974039.891526116</v>
      </c>
      <c r="P122" s="340" t="n">
        <f aca="false">P49*SUP_OPEX!$C$30+SUM(CAPA1_PILOTO!AB8:AM8)*SUP_OPEX!$D$23*SUP_CONTROL!$C$11</f>
        <v>974039.891526116</v>
      </c>
      <c r="Q122" s="340" t="n">
        <f aca="false">Q49*SUP_OPEX!$C$30+SUM(CAPA1_PILOTO!AN8:AY8)*SUP_OPEX!$D$23*SUP_CONTROL!$C$11</f>
        <v>974039.891526116</v>
      </c>
      <c r="R122" s="340" t="n">
        <f aca="false">R49*SUP_OPEX!$C$30+SUM(CAPA1_PILOTO!AZ8:BK8)*SUP_OPEX!$D$23*SUP_CONTROL!$C$11</f>
        <v>974039.891526116</v>
      </c>
      <c r="S122" s="340" t="n">
        <f aca="false">S49*SUP_OPEX!$C$30+SUM(CAPA1_PILOTO!BL8:BW8)*SUP_OPEX!$D$23*SUP_CONTROL!$C$11</f>
        <v>974039.891526116</v>
      </c>
      <c r="T122" s="340" t="n">
        <f aca="false">T49*SUP_OPEX!$C$30+SUM(CAPA1_PILOTO!BX8:CI8)*SUP_OPEX!$D$23*SUP_CONTROL!$C$11</f>
        <v>974039.891526116</v>
      </c>
      <c r="U122" s="340" t="n">
        <f aca="false">U49*SUP_OPEX!$C$30+SUM(CAPA1_PILOTO!CJ8:CU8)*SUP_OPEX!$D$23*SUP_CONTROL!$C$11</f>
        <v>974039.891526116</v>
      </c>
      <c r="V122" s="340" t="n">
        <f aca="false">V49*SUP_OPEX!$C$30+SUM(CAPA1_PILOTO!CV8:DG8)*SUP_OPEX!$D$23*SUP_CONTROL!$C$11</f>
        <v>974039.891526116</v>
      </c>
      <c r="W122" s="340" t="n">
        <f aca="false">W49*SUP_OPEX!$C$30+SUM(CAPA1_PILOTO!DH8:DS8)*SUP_OPEX!$D$23*SUP_CONTROL!$C$11</f>
        <v>974039.891526116</v>
      </c>
    </row>
    <row r="123" customFormat="false" ht="15" hidden="false" customHeight="true" outlineLevel="2" collapsed="false">
      <c r="B123" s="605" t="s">
        <v>3717</v>
      </c>
      <c r="C123" s="340" t="n">
        <f aca="false">C58*SUP_OPEX!$C$30+CAPA1_PILOTO!D9*SUP_OPEX!$E$23*SUP_CONTROL!$C$11</f>
        <v>0</v>
      </c>
      <c r="D123" s="340" t="n">
        <f aca="false">D58*SUP_OPEX!$C$30+CAPA1_PILOTO!E9*SUP_OPEX!$E$23*SUP_CONTROL!$C$11</f>
        <v>0</v>
      </c>
      <c r="E123" s="340" t="n">
        <f aca="false">E58*SUP_OPEX!$C$30+CAPA1_PILOTO!F9*SUP_OPEX!$E$23*SUP_CONTROL!$C$11</f>
        <v>0</v>
      </c>
      <c r="F123" s="340" t="n">
        <f aca="false">F58*SUP_OPEX!$C$30+CAPA1_PILOTO!G9*SUP_OPEX!$E$23*SUP_CONTROL!$C$11</f>
        <v>0</v>
      </c>
      <c r="G123" s="340" t="n">
        <f aca="false">G58*SUP_OPEX!$C$30+CAPA1_PILOTO!H9*SUP_OPEX!$E$23*SUP_CONTROL!$C$11</f>
        <v>0</v>
      </c>
      <c r="H123" s="340" t="n">
        <f aca="false">H58*SUP_OPEX!$C$30+CAPA1_PILOTO!I9*SUP_OPEX!$E$23*SUP_CONTROL!$C$11</f>
        <v>0</v>
      </c>
      <c r="I123" s="340" t="n">
        <f aca="false">I58*SUP_OPEX!$C$30+CAPA1_PILOTO!J9*SUP_OPEX!$E$23*SUP_CONTROL!$C$11</f>
        <v>13467.6088248663</v>
      </c>
      <c r="J123" s="340" t="n">
        <f aca="false">J58*SUP_OPEX!$C$30+CAPA1_PILOTO!K9*SUP_OPEX!$E$23*SUP_CONTROL!$C$11</f>
        <v>41408.3855084987</v>
      </c>
      <c r="K123" s="340" t="n">
        <f aca="false">K58*SUP_OPEX!$C$30+CAPA1_PILOTO!L9*SUP_OPEX!$E$23*SUP_CONTROL!$C$11</f>
        <v>44425.0626101984</v>
      </c>
      <c r="L123" s="340" t="n">
        <f aca="false">L58*SUP_OPEX!$C$30+CAPA1_PILOTO!M9*SUP_OPEX!$E$23*SUP_CONTROL!$C$11</f>
        <v>46436.1806779982</v>
      </c>
      <c r="M123" s="340" t="n">
        <f aca="false">M58*SUP_OPEX!$C$30+CAPA1_PILOTO!N9*SUP_OPEX!$E$23*SUP_CONTROL!$C$11</f>
        <v>46436.1806779982</v>
      </c>
      <c r="N123" s="340" t="n">
        <f aca="false">N58*SUP_OPEX!$C$30+CAPA1_PILOTO!O9*SUP_OPEX!$E$23*SUP_CONTROL!$C$11</f>
        <v>46436.1806779982</v>
      </c>
      <c r="O123" s="340" t="n">
        <f aca="false">O58*SUP_OPEX!$C$30+SUM(CAPA1_PILOTO!P9:AA9)*SUP_OPEX!$E$23*SUP_CONTROL!$C$11</f>
        <v>557234.168135979</v>
      </c>
      <c r="P123" s="340" t="n">
        <f aca="false">P58*SUP_OPEX!$C$30+SUM(CAPA1_PILOTO!AB9:AM9)*SUP_OPEX!$E$23*SUP_CONTROL!$C$11</f>
        <v>557234.168135979</v>
      </c>
      <c r="Q123" s="340" t="n">
        <f aca="false">Q58*SUP_OPEX!$C$30+SUM(CAPA1_PILOTO!AN9:AY9)*SUP_OPEX!$E$23*SUP_CONTROL!$C$11</f>
        <v>557234.168135979</v>
      </c>
      <c r="R123" s="340" t="n">
        <f aca="false">R58*SUP_OPEX!$C$30+SUM(CAPA1_PILOTO!AZ9:BK9)*SUP_OPEX!$E$23*SUP_CONTROL!$C$11</f>
        <v>557234.168135979</v>
      </c>
      <c r="S123" s="340" t="n">
        <f aca="false">S58*SUP_OPEX!$C$30+SUM(CAPA1_PILOTO!BL9:BW9)*SUP_OPEX!$E$23*SUP_CONTROL!$C$11</f>
        <v>557234.168135979</v>
      </c>
      <c r="T123" s="340" t="n">
        <f aca="false">T58*SUP_OPEX!$C$30+SUM(CAPA1_PILOTO!BX9:CI9)*SUP_OPEX!$E$23*SUP_CONTROL!$C$11</f>
        <v>557234.168135979</v>
      </c>
      <c r="U123" s="340" t="n">
        <f aca="false">U58*SUP_OPEX!$C$30+SUM(CAPA1_PILOTO!CJ9:CU9)*SUP_OPEX!$E$23*SUP_CONTROL!$C$11</f>
        <v>557234.168135979</v>
      </c>
      <c r="V123" s="340" t="n">
        <f aca="false">V58*SUP_OPEX!$C$30+SUM(CAPA1_PILOTO!CV9:DG9)*SUP_OPEX!$E$23*SUP_CONTROL!$C$11</f>
        <v>557234.168135979</v>
      </c>
      <c r="W123" s="340" t="n">
        <f aca="false">W58*SUP_OPEX!$C$30+SUM(CAPA1_PILOTO!DH9:DS9)*SUP_OPEX!$E$23*SUP_CONTROL!$C$11</f>
        <v>557234.168135979</v>
      </c>
    </row>
    <row r="124" customFormat="false" ht="15" hidden="false" customHeight="true" outlineLevel="1" collapsed="false">
      <c r="B124" s="603" t="s">
        <v>3718</v>
      </c>
      <c r="C124" s="602" t="n">
        <f aca="false">C122+C123</f>
        <v>0</v>
      </c>
      <c r="D124" s="602" t="n">
        <f aca="false">D122+D123</f>
        <v>0</v>
      </c>
      <c r="E124" s="602" t="n">
        <f aca="false">E122+E123</f>
        <v>0</v>
      </c>
      <c r="F124" s="602" t="n">
        <f aca="false">F122+F123</f>
        <v>20097.3981921019</v>
      </c>
      <c r="G124" s="602" t="n">
        <f aca="false">G122+G123</f>
        <v>41741.8102825114</v>
      </c>
      <c r="H124" s="602" t="n">
        <f aca="false">H122+H123</f>
        <v>64933.2362712285</v>
      </c>
      <c r="I124" s="602" t="n">
        <f aca="false">I122+I123</f>
        <v>91543.5719887608</v>
      </c>
      <c r="J124" s="602" t="n">
        <f aca="false">J122+J123</f>
        <v>121804.869519855</v>
      </c>
      <c r="K124" s="602" t="n">
        <f aca="false">K122+K123</f>
        <v>125595.053570708</v>
      </c>
      <c r="L124" s="602" t="n">
        <f aca="false">L122+L123</f>
        <v>127606.171638508</v>
      </c>
      <c r="M124" s="602" t="n">
        <f aca="false">M122+M123</f>
        <v>127606.171638508</v>
      </c>
      <c r="N124" s="602" t="n">
        <f aca="false">N122+N123</f>
        <v>127606.171638508</v>
      </c>
      <c r="O124" s="602" t="n">
        <f aca="false">O122+O123</f>
        <v>1531274.05966209</v>
      </c>
      <c r="P124" s="602" t="n">
        <f aca="false">P122+P123</f>
        <v>1531274.05966209</v>
      </c>
      <c r="Q124" s="602" t="n">
        <f aca="false">Q122+Q123</f>
        <v>1531274.05966209</v>
      </c>
      <c r="R124" s="602" t="n">
        <f aca="false">R122+R123</f>
        <v>1531274.05966209</v>
      </c>
      <c r="S124" s="602" t="n">
        <f aca="false">S122+S123</f>
        <v>1531274.05966209</v>
      </c>
      <c r="T124" s="602" t="n">
        <f aca="false">T122+T123</f>
        <v>1531274.05966209</v>
      </c>
      <c r="U124" s="602" t="n">
        <f aca="false">U122+U123</f>
        <v>1531274.05966209</v>
      </c>
      <c r="V124" s="602" t="n">
        <f aca="false">V122+V123</f>
        <v>1531274.05966209</v>
      </c>
      <c r="W124" s="602" t="n">
        <f aca="false">W122+W123</f>
        <v>1531274.05966209</v>
      </c>
      <c r="X124" s="218"/>
      <c r="Y124" s="218"/>
      <c r="Z124" s="218"/>
    </row>
    <row r="125" customFormat="false" ht="15" hidden="false" customHeight="true" outlineLevel="1" collapsed="false">
      <c r="B125" s="578" t="s">
        <v>3719</v>
      </c>
      <c r="C125" s="340" t="n">
        <f aca="false">(CAPA2_FLAGSHIP!D14+CAPA2_FLAGSHIP!D15)*SUP_CONTROL!$C$12</f>
        <v>0</v>
      </c>
      <c r="D125" s="340" t="n">
        <f aca="false">(CAPA2_FLAGSHIP!E14+CAPA2_FLAGSHIP!E15)*SUP_CONTROL!$C$12</f>
        <v>0</v>
      </c>
      <c r="E125" s="340" t="n">
        <f aca="false">(CAPA2_FLAGSHIP!F14+CAPA2_FLAGSHIP!F15)*SUP_CONTROL!$C$12</f>
        <v>0</v>
      </c>
      <c r="F125" s="340" t="n">
        <f aca="false">(CAPA2_FLAGSHIP!G14+CAPA2_FLAGSHIP!G15)*SUP_CONTROL!$C$12</f>
        <v>0</v>
      </c>
      <c r="G125" s="340" t="n">
        <f aca="false">(CAPA2_FLAGSHIP!H14+CAPA2_FLAGSHIP!H15)*SUP_CONTROL!$C$12</f>
        <v>0</v>
      </c>
      <c r="H125" s="340" t="n">
        <f aca="false">(CAPA2_FLAGSHIP!I14+CAPA2_FLAGSHIP!I15)*SUP_CONTROL!$C$12</f>
        <v>0</v>
      </c>
      <c r="I125" s="340" t="n">
        <f aca="false">(CAPA2_FLAGSHIP!J14+CAPA2_FLAGSHIP!J15)*SUP_CONTROL!$C$12</f>
        <v>0</v>
      </c>
      <c r="J125" s="340" t="n">
        <f aca="false">(CAPA2_FLAGSHIP!K14+CAPA2_FLAGSHIP!K15)*SUP_CONTROL!$C$12</f>
        <v>0</v>
      </c>
      <c r="K125" s="340" t="n">
        <f aca="false">(CAPA2_FLAGSHIP!L14+CAPA2_FLAGSHIP!L15)*SUP_CONTROL!$C$12</f>
        <v>0</v>
      </c>
      <c r="L125" s="340" t="n">
        <f aca="false">(CAPA2_FLAGSHIP!M14+CAPA2_FLAGSHIP!M15)*SUP_CONTROL!$C$12</f>
        <v>0</v>
      </c>
      <c r="M125" s="340" t="n">
        <f aca="false">(CAPA2_FLAGSHIP!N14+CAPA2_FLAGSHIP!N15)*SUP_CONTROL!$C$12</f>
        <v>0</v>
      </c>
      <c r="N125" s="340" t="n">
        <f aca="false">(CAPA2_FLAGSHIP!O14+CAPA2_FLAGSHIP!O15)*SUP_CONTROL!$C$12</f>
        <v>0</v>
      </c>
      <c r="O125" s="340" t="n">
        <f aca="false">(SUM(CAPA2_FLAGSHIP!P14:AA14)+SUM(CAPA2_FLAGSHIP!P15:AA15))*SUP_CONTROL!$C$12</f>
        <v>0</v>
      </c>
      <c r="P125" s="340" t="n">
        <f aca="false">(SUM(CAPA2_FLAGSHIP!AB14:AM14)+SUM(CAPA2_FLAGSHIP!AB15:AM15))*SUP_CONTROL!$C$12</f>
        <v>0</v>
      </c>
      <c r="Q125" s="340" t="n">
        <f aca="false">(SUM(CAPA2_FLAGSHIP!AN14:AY14)+SUM(CAPA2_FLAGSHIP!AN15:AY15))*SUP_CONTROL!$C$12</f>
        <v>0</v>
      </c>
      <c r="R125" s="340" t="n">
        <f aca="false">(SUM(CAPA2_FLAGSHIP!AZ14:BK14)+SUM(CAPA2_FLAGSHIP!AZ15:BK15))*SUP_CONTROL!$C$12</f>
        <v>0</v>
      </c>
      <c r="S125" s="340" t="n">
        <f aca="false">(SUM(CAPA2_FLAGSHIP!BL14:BW14)+SUM(CAPA2_FLAGSHIP!BL15:BW15))*SUP_CONTROL!$C$12</f>
        <v>0</v>
      </c>
      <c r="T125" s="340" t="n">
        <f aca="false">(SUM(CAPA2_FLAGSHIP!BX14:CI14)+SUM(CAPA2_FLAGSHIP!BX15:CI15))*SUP_CONTROL!$C$12</f>
        <v>0</v>
      </c>
      <c r="U125" s="340" t="n">
        <f aca="false">(SUM(CAPA2_FLAGSHIP!CJ14:CU14)+SUM(CAPA2_FLAGSHIP!CJ15:CU15))*SUP_CONTROL!$C$12</f>
        <v>0</v>
      </c>
      <c r="V125" s="340" t="n">
        <f aca="false">(SUM(CAPA2_FLAGSHIP!CV14:DG14)+SUM(CAPA2_FLAGSHIP!CV15:DG15))*SUP_CONTROL!$C$12</f>
        <v>0</v>
      </c>
      <c r="W125" s="340" t="n">
        <f aca="false">(SUM(CAPA2_FLAGSHIP!DH14:DS14)+SUM(CAPA2_FLAGSHIP!DH15:DS15))*SUP_CONTROL!$C$12</f>
        <v>0</v>
      </c>
    </row>
    <row r="126" customFormat="false" ht="15" hidden="false" customHeight="true" outlineLevel="1" collapsed="false">
      <c r="B126" s="578" t="s">
        <v>3720</v>
      </c>
      <c r="C126" s="340" t="n">
        <f aca="false">(CAPA3_EXPANSION!D42+CAPA3_EXPANSION!D43)*SUP_CONTROL!$C$13</f>
        <v>0</v>
      </c>
      <c r="D126" s="340" t="n">
        <f aca="false">(CAPA3_EXPANSION!E42+CAPA3_EXPANSION!E43)*SUP_CONTROL!$C$13</f>
        <v>0</v>
      </c>
      <c r="E126" s="340" t="n">
        <f aca="false">(CAPA3_EXPANSION!F42+CAPA3_EXPANSION!F43)*SUP_CONTROL!$C$13</f>
        <v>0</v>
      </c>
      <c r="F126" s="340" t="n">
        <f aca="false">(CAPA3_EXPANSION!G42+CAPA3_EXPANSION!G43)*SUP_CONTROL!$C$13</f>
        <v>0</v>
      </c>
      <c r="G126" s="340" t="n">
        <f aca="false">(CAPA3_EXPANSION!H42+CAPA3_EXPANSION!H43)*SUP_CONTROL!$C$13</f>
        <v>0</v>
      </c>
      <c r="H126" s="340" t="n">
        <f aca="false">(CAPA3_EXPANSION!I42+CAPA3_EXPANSION!I43)*SUP_CONTROL!$C$13</f>
        <v>0</v>
      </c>
      <c r="I126" s="340" t="n">
        <f aca="false">(CAPA3_EXPANSION!J42+CAPA3_EXPANSION!J43)*SUP_CONTROL!$C$13</f>
        <v>0</v>
      </c>
      <c r="J126" s="340" t="n">
        <f aca="false">(CAPA3_EXPANSION!K42+CAPA3_EXPANSION!K43)*SUP_CONTROL!$C$13</f>
        <v>0</v>
      </c>
      <c r="K126" s="340" t="n">
        <f aca="false">(CAPA3_EXPANSION!L42+CAPA3_EXPANSION!L43)*SUP_CONTROL!$C$13</f>
        <v>0</v>
      </c>
      <c r="L126" s="340" t="n">
        <f aca="false">(CAPA3_EXPANSION!M42+CAPA3_EXPANSION!M43)*SUP_CONTROL!$C$13</f>
        <v>0</v>
      </c>
      <c r="M126" s="340" t="n">
        <f aca="false">(CAPA3_EXPANSION!N42+CAPA3_EXPANSION!N43)*SUP_CONTROL!$C$13</f>
        <v>0</v>
      </c>
      <c r="N126" s="340" t="n">
        <f aca="false">(CAPA3_EXPANSION!O42+CAPA3_EXPANSION!O43)*SUP_CONTROL!$C$13</f>
        <v>0</v>
      </c>
      <c r="O126" s="340" t="n">
        <f aca="false">(SUM(CAPA3_EXPANSION!P42:AA42)+SUM(CAPA3_EXPANSION!P43:AA43))*SUP_CONTROL!$C$13</f>
        <v>149568.39158202</v>
      </c>
      <c r="P126" s="340" t="n">
        <f aca="false">(SUM(CAPA3_EXPANSION!AB42:AM42)+SUM(CAPA3_EXPANSION!AB43:AM43))*SUP_CONTROL!$C$13</f>
        <v>539603.969935799</v>
      </c>
      <c r="Q126" s="340" t="n">
        <f aca="false">(SUM(CAPA3_EXPANSION!AN42:AY42)+SUM(CAPA3_EXPANSION!AN43:AY43))*SUP_CONTROL!$C$13</f>
        <v>1380441.28035569</v>
      </c>
      <c r="R126" s="340" t="n">
        <f aca="false">(SUM(CAPA3_EXPANSION!AZ42:BK42)+SUM(CAPA3_EXPANSION!AZ43:BK43))*SUP_CONTROL!$C$13</f>
        <v>2098594.23797797</v>
      </c>
      <c r="S126" s="340" t="n">
        <f aca="false">(SUM(CAPA3_EXPANSION!BL42:BW42)+SUM(CAPA3_EXPANSION!BL43:BW43))*SUP_CONTROL!$C$13</f>
        <v>3355313.59655803</v>
      </c>
      <c r="T126" s="340" t="n">
        <f aca="false">(SUM(CAPA3_EXPANSION!BX42:CI42)+SUM(CAPA3_EXPANSION!BX43:CI43))*SUP_CONTROL!$C$13</f>
        <v>4989333.1288548</v>
      </c>
      <c r="U126" s="340" t="n">
        <f aca="false">(SUM(CAPA3_EXPANSION!CJ42:CU42)+SUM(CAPA3_EXPANSION!CJ43:CU43))*SUP_CONTROL!$C$13</f>
        <v>5894718.50941252</v>
      </c>
      <c r="V126" s="340" t="n">
        <f aca="false">(SUM(CAPA3_EXPANSION!CV42:DG42)+SUM(CAPA3_EXPANSION!CV43:DG43))*SUP_CONTROL!$C$13</f>
        <v>5896581.11414608</v>
      </c>
      <c r="W126" s="340" t="n">
        <f aca="false">(SUM(CAPA3_EXPANSION!DH42:DS42)+SUM(CAPA3_EXPANSION!DH43:DS43))*SUP_CONTROL!$C$13</f>
        <v>5896581.11414608</v>
      </c>
    </row>
    <row r="127" customFormat="false" ht="15" hidden="false" customHeight="true" outlineLevel="1" collapsed="false">
      <c r="B127" s="578" t="s">
        <v>3721</v>
      </c>
      <c r="C127" s="340" t="n">
        <f aca="false">(CAPA3_EXPANSION!D40-CAPA3_EXPANSION!D42-CAPA3_EXPANSION!D43-CAPA3_EXPANSION!D44-CAPA3_EXPANSION!D45-SUP_OVERHEAD!D40-CAPA3_EXPANSION!D46)*SUP_CONTROL!$C$13</f>
        <v>0</v>
      </c>
      <c r="D127" s="340" t="n">
        <f aca="false">(CAPA3_EXPANSION!E40-CAPA3_EXPANSION!E42-CAPA3_EXPANSION!E43-CAPA3_EXPANSION!E44-CAPA3_EXPANSION!E45-SUP_OVERHEAD!E40-CAPA3_EXPANSION!E46)*SUP_CONTROL!$C$13</f>
        <v>0</v>
      </c>
      <c r="E127" s="340" t="n">
        <f aca="false">(CAPA3_EXPANSION!F40-CAPA3_EXPANSION!F42-CAPA3_EXPANSION!F43-CAPA3_EXPANSION!F44-CAPA3_EXPANSION!F45-SUP_OVERHEAD!F40-CAPA3_EXPANSION!F46)*SUP_CONTROL!$C$13</f>
        <v>0</v>
      </c>
      <c r="F127" s="340" t="n">
        <f aca="false">(CAPA3_EXPANSION!G40-CAPA3_EXPANSION!G42-CAPA3_EXPANSION!G43-CAPA3_EXPANSION!G44-CAPA3_EXPANSION!G45-SUP_OVERHEAD!G40-CAPA3_EXPANSION!G46)*SUP_CONTROL!$C$13</f>
        <v>0</v>
      </c>
      <c r="G127" s="340" t="n">
        <f aca="false">(CAPA3_EXPANSION!H40-CAPA3_EXPANSION!H42-CAPA3_EXPANSION!H43-CAPA3_EXPANSION!H44-CAPA3_EXPANSION!H45-SUP_OVERHEAD!H40-CAPA3_EXPANSION!H46)*SUP_CONTROL!$C$13</f>
        <v>0</v>
      </c>
      <c r="H127" s="340" t="n">
        <f aca="false">(CAPA3_EXPANSION!I40-CAPA3_EXPANSION!I42-CAPA3_EXPANSION!I43-CAPA3_EXPANSION!I44-CAPA3_EXPANSION!I45-SUP_OVERHEAD!I40-CAPA3_EXPANSION!I46)*SUP_CONTROL!$C$13</f>
        <v>0</v>
      </c>
      <c r="I127" s="340" t="n">
        <f aca="false">(CAPA3_EXPANSION!J40-CAPA3_EXPANSION!J42-CAPA3_EXPANSION!J43-CAPA3_EXPANSION!J44-CAPA3_EXPANSION!J45-SUP_OVERHEAD!J40-CAPA3_EXPANSION!J46)*SUP_CONTROL!$C$13</f>
        <v>0</v>
      </c>
      <c r="J127" s="340" t="n">
        <f aca="false">(CAPA3_EXPANSION!K40-CAPA3_EXPANSION!K42-CAPA3_EXPANSION!K43-CAPA3_EXPANSION!K44-CAPA3_EXPANSION!K45-SUP_OVERHEAD!K40-CAPA3_EXPANSION!K46)*SUP_CONTROL!$C$13</f>
        <v>0</v>
      </c>
      <c r="K127" s="340" t="n">
        <f aca="false">(CAPA3_EXPANSION!L40-CAPA3_EXPANSION!L42-CAPA3_EXPANSION!L43-CAPA3_EXPANSION!L44-CAPA3_EXPANSION!L45-SUP_OVERHEAD!L40-CAPA3_EXPANSION!L46)*SUP_CONTROL!$C$13</f>
        <v>0</v>
      </c>
      <c r="L127" s="340" t="n">
        <f aca="false">(CAPA3_EXPANSION!M40-CAPA3_EXPANSION!M42-CAPA3_EXPANSION!M43-CAPA3_EXPANSION!M44-CAPA3_EXPANSION!M45-SUP_OVERHEAD!M40-CAPA3_EXPANSION!M46)*SUP_CONTROL!$C$13</f>
        <v>0</v>
      </c>
      <c r="M127" s="340" t="n">
        <f aca="false">(CAPA3_EXPANSION!N40-CAPA3_EXPANSION!N42-CAPA3_EXPANSION!N43-CAPA3_EXPANSION!N44-CAPA3_EXPANSION!N45-SUP_OVERHEAD!N40-CAPA3_EXPANSION!N46)*SUP_CONTROL!$C$13</f>
        <v>0</v>
      </c>
      <c r="N127" s="340" t="n">
        <f aca="false">(CAPA3_EXPANSION!O40-CAPA3_EXPANSION!O42-CAPA3_EXPANSION!O43-CAPA3_EXPANSION!O44-CAPA3_EXPANSION!O45-SUP_OVERHEAD!O40-CAPA3_EXPANSION!O46)*SUP_CONTROL!$C$13</f>
        <v>0</v>
      </c>
      <c r="O127" s="340" t="n">
        <f aca="false">(SUM(CAPA3_EXPANSION!P40:AA40)-SUM(CAPA3_EXPANSION!P42:AA42)-SUM(CAPA3_EXPANSION!P43:AA43)-SUM(CAPA3_EXPANSION!P44:AA44)-SUM(CAPA3_EXPANSION!P45:AA45)-SUM(SUP_OVERHEAD!P40:AA40)-SUM(CAPA3_EXPANSION!P46:AA46))*SUP_CONTROL!$C$13</f>
        <v>0</v>
      </c>
      <c r="P127" s="340" t="n">
        <f aca="false">(SUM(CAPA3_EXPANSION!AB40:AM40)-SUM(CAPA3_EXPANSION!AB42:AM42)-SUM(CAPA3_EXPANSION!AB43:AM43)-SUM(CAPA3_EXPANSION!AB44:AM44)-SUM(CAPA3_EXPANSION!AB45:AM45)-SUM(SUP_OVERHEAD!AB40:AM40)-SUM(CAPA3_EXPANSION!AB46:AM46))*SUP_CONTROL!$C$13</f>
        <v>24999.9999999999</v>
      </c>
      <c r="Q127" s="340" t="n">
        <f aca="false">(SUM(CAPA3_EXPANSION!AN40:AY40)-SUM(CAPA3_EXPANSION!AN42:AY42)-SUM(CAPA3_EXPANSION!AN43:AY43)-SUM(CAPA3_EXPANSION!AN44:AY44)-SUM(CAPA3_EXPANSION!AN45:AY45)-SUM(SUP_OVERHEAD!AN40:AY40)-SUM(CAPA3_EXPANSION!AN46:AY46))*SUP_CONTROL!$C$13</f>
        <v>30000.0000000001</v>
      </c>
      <c r="R127" s="340" t="n">
        <f aca="false">(SUM(CAPA3_EXPANSION!AZ40:BK40)-SUM(CAPA3_EXPANSION!AZ42:BK42)-SUM(CAPA3_EXPANSION!AZ43:BK43)-SUM(CAPA3_EXPANSION!AZ44:BK44)-SUM(CAPA3_EXPANSION!AZ45:BK45)-SUM(SUP_OVERHEAD!AZ40:BK40)-SUM(CAPA3_EXPANSION!AZ46:BK46))*SUP_CONTROL!$C$13</f>
        <v>54999.9999999995</v>
      </c>
      <c r="S127" s="340" t="n">
        <f aca="false">(SUM(CAPA3_EXPANSION!BL40:BW40)-SUM(CAPA3_EXPANSION!BL42:BW42)-SUM(CAPA3_EXPANSION!BL43:BW43)-SUM(CAPA3_EXPANSION!BL44:BW44)-SUM(CAPA3_EXPANSION!BL45:BW45)-SUM(SUP_OVERHEAD!BL40:BW40)-SUM(CAPA3_EXPANSION!BL46:BW46))*SUP_CONTROL!$C$13</f>
        <v>59999.9999999995</v>
      </c>
      <c r="T127" s="340" t="n">
        <f aca="false">(SUM(CAPA3_EXPANSION!BX40:CI40)-SUM(CAPA3_EXPANSION!BX42:CI42)-SUM(CAPA3_EXPANSION!BX43:CI43)-SUM(CAPA3_EXPANSION!BX44:CI44)-SUM(CAPA3_EXPANSION!BX45:CI45)-SUM(SUP_OVERHEAD!BX40:CI40)-SUM(CAPA3_EXPANSION!BX46:CI46))*SUP_CONTROL!$C$13</f>
        <v>64999.9999999995</v>
      </c>
      <c r="U127" s="340" t="n">
        <f aca="false">(SUM(CAPA3_EXPANSION!CJ40:CU40)-SUM(CAPA3_EXPANSION!CJ42:CU42)-SUM(CAPA3_EXPANSION!CJ43:CU43)-SUM(CAPA3_EXPANSION!CJ44:CU44)-SUM(CAPA3_EXPANSION!CJ45:CU45)-SUM(SUP_OVERHEAD!CJ40:CU40)-SUM(CAPA3_EXPANSION!CJ46:CU46))*SUP_CONTROL!$C$13</f>
        <v>90000.0000000009</v>
      </c>
      <c r="V127" s="340" t="n">
        <f aca="false">(SUM(CAPA3_EXPANSION!CV40:DG40)-SUM(CAPA3_EXPANSION!CV42:DG42)-SUM(CAPA3_EXPANSION!CV43:DG43)-SUM(CAPA3_EXPANSION!CV44:DG44)-SUM(CAPA3_EXPANSION!CV45:DG45)-SUM(SUP_OVERHEAD!CV40:DG40)-SUM(CAPA3_EXPANSION!CV46:DG46))*SUP_CONTROL!$C$13</f>
        <v>90000</v>
      </c>
      <c r="W127" s="340" t="n">
        <f aca="false">(SUM(CAPA3_EXPANSION!DH40:DS40)-SUM(CAPA3_EXPANSION!DH42:DS42)-SUM(CAPA3_EXPANSION!DH43:DS43)-SUM(CAPA3_EXPANSION!DH44:DS44)-SUM(CAPA3_EXPANSION!DH45:DS45)-SUM(SUP_OVERHEAD!DH40:DS40)-SUM(CAPA3_EXPANSION!DH46:DS46))*SUP_CONTROL!$C$13</f>
        <v>90000</v>
      </c>
      <c r="X127" s="340"/>
    </row>
    <row r="128" customFormat="false" ht="15" hidden="false" customHeight="true" outlineLevel="1" collapsed="false">
      <c r="B128" s="578" t="s">
        <v>3722</v>
      </c>
      <c r="C128" s="340" t="n">
        <f aca="false">(CAPA4_RETAIL!D10+CAPA4_RETAIL!D11)*SUP_CONTROL!$C$14</f>
        <v>0</v>
      </c>
      <c r="D128" s="340" t="n">
        <f aca="false">(CAPA4_RETAIL!E10+CAPA4_RETAIL!E11)*SUP_CONTROL!$C$14</f>
        <v>0</v>
      </c>
      <c r="E128" s="340" t="n">
        <f aca="false">(CAPA4_RETAIL!F10+CAPA4_RETAIL!F11)*SUP_CONTROL!$C$14</f>
        <v>0</v>
      </c>
      <c r="F128" s="340" t="n">
        <f aca="false">(CAPA4_RETAIL!G10+CAPA4_RETAIL!G11)*SUP_CONTROL!$C$14</f>
        <v>0</v>
      </c>
      <c r="G128" s="340" t="n">
        <f aca="false">(CAPA4_RETAIL!H10+CAPA4_RETAIL!H11)*SUP_CONTROL!$C$14</f>
        <v>0</v>
      </c>
      <c r="H128" s="340" t="n">
        <f aca="false">(CAPA4_RETAIL!I10+CAPA4_RETAIL!I11)*SUP_CONTROL!$C$14</f>
        <v>0</v>
      </c>
      <c r="I128" s="340" t="n">
        <f aca="false">(CAPA4_RETAIL!J10+CAPA4_RETAIL!J11)*SUP_CONTROL!$C$14</f>
        <v>0</v>
      </c>
      <c r="J128" s="340" t="n">
        <f aca="false">(CAPA4_RETAIL!K10+CAPA4_RETAIL!K11)*SUP_CONTROL!$C$14</f>
        <v>0</v>
      </c>
      <c r="K128" s="340" t="n">
        <f aca="false">(CAPA4_RETAIL!L10+CAPA4_RETAIL!L11)*SUP_CONTROL!$C$14</f>
        <v>0</v>
      </c>
      <c r="L128" s="340" t="n">
        <f aca="false">(CAPA4_RETAIL!M10+CAPA4_RETAIL!M11)*SUP_CONTROL!$C$14</f>
        <v>0</v>
      </c>
      <c r="M128" s="340" t="n">
        <f aca="false">(CAPA4_RETAIL!N10+CAPA4_RETAIL!N11)*SUP_CONTROL!$C$14</f>
        <v>0</v>
      </c>
      <c r="N128" s="340" t="n">
        <f aca="false">(CAPA4_RETAIL!O10+CAPA4_RETAIL!O11)*SUP_CONTROL!$C$14</f>
        <v>0</v>
      </c>
      <c r="O128" s="340" t="n">
        <f aca="false">(SUM(CAPA4_RETAIL!P10:AA10)+SUM(CAPA4_RETAIL!P11:AA11))*SUP_CONTROL!$C$14</f>
        <v>0</v>
      </c>
      <c r="P128" s="340" t="n">
        <f aca="false">(SUM(CAPA4_RETAIL!AB10:AM10)+SUM(CAPA4_RETAIL!AB11:AM11))*SUP_CONTROL!$C$14</f>
        <v>0</v>
      </c>
      <c r="Q128" s="340" t="n">
        <f aca="false">(SUM(CAPA4_RETAIL!AN10:AY10)+SUM(CAPA4_RETAIL!AN11:AY11))*SUP_CONTROL!$C$14</f>
        <v>0</v>
      </c>
      <c r="R128" s="340" t="n">
        <f aca="false">(SUM(CAPA4_RETAIL!AZ10:BK10)+SUM(CAPA4_RETAIL!AZ11:BK11))*SUP_CONTROL!$C$14</f>
        <v>0</v>
      </c>
      <c r="S128" s="340" t="n">
        <f aca="false">(SUM(CAPA4_RETAIL!BL10:BW10)+SUM(CAPA4_RETAIL!BL11:BW11))*SUP_CONTROL!$C$14</f>
        <v>0</v>
      </c>
      <c r="T128" s="340" t="n">
        <f aca="false">(SUM(CAPA4_RETAIL!BX10:CI10)+SUM(CAPA4_RETAIL!BX11:CI11))*SUP_CONTROL!$C$14</f>
        <v>0</v>
      </c>
      <c r="U128" s="340" t="n">
        <f aca="false">(SUM(CAPA4_RETAIL!CJ10:CU10)+SUM(CAPA4_RETAIL!CJ11:CU11))*SUP_CONTROL!$C$14</f>
        <v>0</v>
      </c>
      <c r="V128" s="340" t="n">
        <f aca="false">(SUM(CAPA4_RETAIL!CV10:DG10)+SUM(CAPA4_RETAIL!CV11:DG11))*SUP_CONTROL!$C$14</f>
        <v>0</v>
      </c>
      <c r="W128" s="340" t="n">
        <f aca="false">(SUM(CAPA4_RETAIL!DH10:DS10)+SUM(CAPA4_RETAIL!DH11:DS11))*SUP_CONTROL!$C$14</f>
        <v>0</v>
      </c>
    </row>
    <row r="129" customFormat="false" ht="15" hidden="false" customHeight="true" outlineLevel="0" collapsed="false">
      <c r="B129" s="575" t="s">
        <v>3723</v>
      </c>
      <c r="C129" s="604" t="n">
        <f aca="false">C124+C125+C126+C127+C128</f>
        <v>0</v>
      </c>
      <c r="D129" s="604" t="n">
        <f aca="false">D124+D125+D126+D127+D128</f>
        <v>0</v>
      </c>
      <c r="E129" s="604" t="n">
        <f aca="false">E124+E125+E126+E127+E128</f>
        <v>0</v>
      </c>
      <c r="F129" s="604" t="n">
        <f aca="false">F124+F125+F126+F127+F128</f>
        <v>20097.3981921019</v>
      </c>
      <c r="G129" s="604" t="n">
        <f aca="false">G124+G125+G126+G127+G128</f>
        <v>41741.8102825114</v>
      </c>
      <c r="H129" s="604" t="n">
        <f aca="false">H124+H125+H126+H127+H128</f>
        <v>64933.2362712285</v>
      </c>
      <c r="I129" s="604" t="n">
        <f aca="false">I124+I125+I126+I127+I128</f>
        <v>91543.5719887608</v>
      </c>
      <c r="J129" s="604" t="n">
        <f aca="false">J124+J125+J126+J127+J128</f>
        <v>121804.869519855</v>
      </c>
      <c r="K129" s="604" t="n">
        <f aca="false">K124+K125+K126+K127+K128</f>
        <v>125595.053570708</v>
      </c>
      <c r="L129" s="604" t="n">
        <f aca="false">L124+L125+L126+L127+L128</f>
        <v>127606.171638508</v>
      </c>
      <c r="M129" s="604" t="n">
        <f aca="false">M124+M125+M126+M127+M128</f>
        <v>127606.171638508</v>
      </c>
      <c r="N129" s="604" t="n">
        <f aca="false">N124+N125+N126+N127+N128</f>
        <v>127606.171638508</v>
      </c>
      <c r="O129" s="604" t="n">
        <f aca="false">O124+O125+O126+O127+O128</f>
        <v>1680842.45124411</v>
      </c>
      <c r="P129" s="604" t="n">
        <f aca="false">P124+P125+P126+P127+P128</f>
        <v>2095878.02959789</v>
      </c>
      <c r="Q129" s="604" t="n">
        <f aca="false">Q124+Q125+Q126+Q127+Q128</f>
        <v>2941715.34001778</v>
      </c>
      <c r="R129" s="604" t="n">
        <f aca="false">R124+R125+R126+R127+R128</f>
        <v>3684868.29764006</v>
      </c>
      <c r="S129" s="604" t="n">
        <f aca="false">S124+S125+S126+S127+S128</f>
        <v>4946587.65622013</v>
      </c>
      <c r="T129" s="604" t="n">
        <f aca="false">T124+T125+T126+T127+T128</f>
        <v>6585607.18851689</v>
      </c>
      <c r="U129" s="604" t="n">
        <f aca="false">U124+U125+U126+U127+U128</f>
        <v>7515992.56907462</v>
      </c>
      <c r="V129" s="604" t="n">
        <f aca="false">V124+V125+V126+V127+V128</f>
        <v>7517855.17380818</v>
      </c>
      <c r="W129" s="604" t="n">
        <f aca="false">W124+W125+W126+W127+W128</f>
        <v>7517855.17380818</v>
      </c>
      <c r="X129" s="604"/>
      <c r="Y129" s="576"/>
      <c r="Z129" s="576"/>
    </row>
    <row r="130" customFormat="false" ht="15" hidden="false" customHeight="true" outlineLevel="0" collapsed="false">
      <c r="I130" s="607"/>
      <c r="J130" s="608"/>
    </row>
    <row r="131" customFormat="false" ht="15" hidden="false" customHeight="true" outlineLevel="0" collapsed="false">
      <c r="B131" s="575" t="s">
        <v>3724</v>
      </c>
      <c r="C131" s="604" t="n">
        <f aca="false">C117-C129</f>
        <v>0</v>
      </c>
      <c r="D131" s="604" t="n">
        <f aca="false">D117-D129</f>
        <v>0</v>
      </c>
      <c r="E131" s="604" t="n">
        <f aca="false">E117-E129</f>
        <v>0</v>
      </c>
      <c r="F131" s="604" t="n">
        <f aca="false">F117-F129</f>
        <v>1583.01211902199</v>
      </c>
      <c r="G131" s="604" t="n">
        <f aca="false">G117-G129</f>
        <v>19580.142236763</v>
      </c>
      <c r="H131" s="604" t="n">
        <f aca="false">H117-H129</f>
        <v>43025.824728223</v>
      </c>
      <c r="I131" s="604" t="n">
        <f aca="false">I117-I129</f>
        <v>67949.4938812863</v>
      </c>
      <c r="J131" s="604" t="n">
        <f aca="false">J117-J129</f>
        <v>95168.4325520108</v>
      </c>
      <c r="K131" s="604" t="n">
        <f aca="false">K117-K129</f>
        <v>108517.385867622</v>
      </c>
      <c r="L131" s="604" t="n">
        <f aca="false">L117-L129</f>
        <v>115600.503953457</v>
      </c>
      <c r="M131" s="604" t="n">
        <f aca="false">M117-M129</f>
        <v>115600.503953457</v>
      </c>
      <c r="N131" s="604" t="n">
        <f aca="false">N117-N129</f>
        <v>115600.503953457</v>
      </c>
      <c r="O131" s="604" t="n">
        <f aca="false">O117-O129</f>
        <v>1518626.23445253</v>
      </c>
      <c r="P131" s="604" t="n">
        <f aca="false">P117-P129</f>
        <v>1829220.14379534</v>
      </c>
      <c r="Q131" s="604" t="n">
        <f aca="false">Q117-Q129</f>
        <v>2596924.50465623</v>
      </c>
      <c r="R131" s="604" t="n">
        <f aca="false">R117-R129</f>
        <v>3103328.24717965</v>
      </c>
      <c r="S131" s="604" t="n">
        <f aca="false">S117-S129</f>
        <v>3941087.15441925</v>
      </c>
      <c r="T131" s="604" t="n">
        <f aca="false">T117-T129</f>
        <v>5098123.34370663</v>
      </c>
      <c r="U131" s="604" t="n">
        <f aca="false">U117-U129</f>
        <v>5759507.39971957</v>
      </c>
      <c r="V131" s="604" t="n">
        <f aca="false">V117-V129</f>
        <v>5766192.61257752</v>
      </c>
      <c r="W131" s="604" t="n">
        <f aca="false">W117-W129</f>
        <v>5766192.61257752</v>
      </c>
      <c r="X131" s="576"/>
      <c r="Y131" s="576"/>
      <c r="Z131" s="576"/>
    </row>
    <row r="132" customFormat="false" ht="15" hidden="false" customHeight="true" outlineLevel="0" collapsed="false">
      <c r="B132" s="605" t="s">
        <v>3725</v>
      </c>
      <c r="C132" s="606" t="n">
        <f aca="false">IFERROR(C131/C75,0)</f>
        <v>0</v>
      </c>
      <c r="D132" s="606" t="n">
        <f aca="false">IFERROR(D131/D75,0)</f>
        <v>0</v>
      </c>
      <c r="E132" s="606" t="n">
        <f aca="false">IFERROR(E131/E75,0)</f>
        <v>0</v>
      </c>
      <c r="F132" s="606" t="n">
        <f aca="false">IFERROR(F131/F75,0)</f>
        <v>0.0208308431403067</v>
      </c>
      <c r="G132" s="606" t="n">
        <f aca="false">IFERROR(G131/G75,0)</f>
        <v>0.116360289507969</v>
      </c>
      <c r="H132" s="606" t="n">
        <f aca="false">IFERROR(H131/H75,0)</f>
        <v>0.155420990443471</v>
      </c>
      <c r="I132" s="606" t="n">
        <f aca="false">IFERROR(I131/I75,0)</f>
        <v>0.171245628548808</v>
      </c>
      <c r="J132" s="606" t="n">
        <f aca="false">IFERROR(J131/J75,0)</f>
        <v>0.179360495475322</v>
      </c>
      <c r="K132" s="606" t="n">
        <f aca="false">IFERROR(K131/K75,0)</f>
        <v>0.190216090695305</v>
      </c>
      <c r="L132" s="606" t="n">
        <f aca="false">IFERROR(L131/L75,0)</f>
        <v>0.195381695498074</v>
      </c>
      <c r="M132" s="606" t="n">
        <f aca="false">IFERROR(M131/M75,0)</f>
        <v>0.195381695498074</v>
      </c>
      <c r="N132" s="606" t="n">
        <f aca="false">IFERROR(N131/N75,0)</f>
        <v>0.195381695498074</v>
      </c>
      <c r="O132" s="606" t="n">
        <f aca="false">IFERROR(O131/O75,0)</f>
        <v>0.195848972758994</v>
      </c>
      <c r="P132" s="606" t="n">
        <f aca="false">IFERROR(P131/P75,0)</f>
        <v>0.191133296014367</v>
      </c>
      <c r="Q132" s="606" t="n">
        <f aca="false">IFERROR(Q131/Q75,0)</f>
        <v>0.195286950018805</v>
      </c>
      <c r="R132" s="606" t="n">
        <f aca="false">IFERROR(R131/R75,0)</f>
        <v>0.188870194410491</v>
      </c>
      <c r="S132" s="606" t="n">
        <f aca="false">IFERROR(S131/S75,0)</f>
        <v>0.185027414491575</v>
      </c>
      <c r="T132" s="606" t="n">
        <f aca="false">IFERROR(T131/T75,0)</f>
        <v>0.183766785994884</v>
      </c>
      <c r="U132" s="606" t="n">
        <f aca="false">IFERROR(U131/U75,0)</f>
        <v>0.182620189888157</v>
      </c>
      <c r="V132" s="606" t="n">
        <f aca="false">IFERROR(V131/V75,0)</f>
        <v>0.182718571161163</v>
      </c>
      <c r="W132" s="606" t="n">
        <f aca="false">IFERROR(W131/W75,0)</f>
        <v>0.182718571161163</v>
      </c>
    </row>
    <row r="134" customFormat="false" ht="15" hidden="false" customHeight="true" outlineLevel="0" collapsed="false">
      <c r="B134" s="575" t="s">
        <v>3726</v>
      </c>
      <c r="C134" s="576"/>
      <c r="D134" s="576"/>
      <c r="E134" s="576"/>
      <c r="F134" s="576"/>
      <c r="G134" s="576"/>
      <c r="H134" s="576"/>
      <c r="I134" s="576"/>
      <c r="J134" s="576"/>
      <c r="K134" s="576"/>
      <c r="L134" s="576"/>
      <c r="M134" s="576"/>
      <c r="N134" s="576"/>
      <c r="O134" s="576"/>
      <c r="P134" s="576"/>
      <c r="Q134" s="576"/>
      <c r="R134" s="576"/>
      <c r="S134" s="576"/>
      <c r="T134" s="576"/>
      <c r="U134" s="576"/>
      <c r="V134" s="576"/>
      <c r="W134" s="576"/>
      <c r="X134" s="576"/>
      <c r="Y134" s="576"/>
      <c r="Z134" s="576"/>
    </row>
    <row r="135" customFormat="false" ht="15" hidden="false" customHeight="true" outlineLevel="1" collapsed="false">
      <c r="B135" s="578" t="s">
        <v>3315</v>
      </c>
    </row>
    <row r="136" customFormat="false" ht="15" hidden="false" customHeight="true" outlineLevel="2" collapsed="false">
      <c r="B136" s="605" t="s">
        <v>3694</v>
      </c>
      <c r="C136" s="340" t="n">
        <f aca="false">SUP_OVERHEAD!D38*SUP_CONTROL!$C$11</f>
        <v>0</v>
      </c>
      <c r="D136" s="340" t="n">
        <f aca="false">SUP_OVERHEAD!E38*SUP_CONTROL!$C$11</f>
        <v>15715</v>
      </c>
      <c r="E136" s="340" t="n">
        <f aca="false">SUP_OVERHEAD!F38*SUP_CONTROL!$C$11</f>
        <v>15715</v>
      </c>
      <c r="F136" s="340" t="n">
        <f aca="false">SUP_OVERHEAD!G38*SUP_CONTROL!$C$11</f>
        <v>15715</v>
      </c>
      <c r="G136" s="340" t="n">
        <f aca="false">SUP_OVERHEAD!H38*SUP_CONTROL!$C$11</f>
        <v>15715</v>
      </c>
      <c r="H136" s="340" t="n">
        <f aca="false">SUP_OVERHEAD!I38*SUP_CONTROL!$C$11</f>
        <v>22146.7252810345</v>
      </c>
      <c r="I136" s="340" t="n">
        <f aca="false">SUP_OVERHEAD!J38*SUP_CONTROL!$C$11</f>
        <v>31743.6395694828</v>
      </c>
      <c r="J136" s="340" t="n">
        <f aca="false">SUP_OVERHEAD!K38*SUP_CONTROL!$C$11</f>
        <v>42447.8901219828</v>
      </c>
      <c r="K136" s="340" t="n">
        <f aca="false">SUP_OVERHEAD!L38*SUP_CONTROL!$C$11</f>
        <v>45639.6240595436</v>
      </c>
      <c r="L136" s="340" t="n">
        <f aca="false">SUP_OVERHEAD!M38*SUP_CONTROL!$C$11</f>
        <v>47333.1971692698</v>
      </c>
      <c r="M136" s="340" t="n">
        <f aca="false">SUP_OVERHEAD!N38*SUP_CONTROL!$C$11</f>
        <v>47333.1971692698</v>
      </c>
      <c r="N136" s="340" t="n">
        <f aca="false">SUP_OVERHEAD!O38*SUP_CONTROL!$C$11</f>
        <v>47333.1971692698</v>
      </c>
      <c r="O136" s="340" t="n">
        <f aca="false">SUM(SUP_OVERHEAD!P38:AA38)*SUP_CONTROL!$C$11</f>
        <v>496998.570277333</v>
      </c>
      <c r="P136" s="340" t="n">
        <f aca="false">SUM(SUP_OVERHEAD!AB38:AM38)*SUP_CONTROL!$C$11</f>
        <v>425998.774523428</v>
      </c>
      <c r="Q136" s="340" t="n">
        <f aca="false">SUM(SUP_OVERHEAD!AN38:AY38)*SUP_CONTROL!$C$11</f>
        <v>390498.876646476</v>
      </c>
      <c r="R136" s="340" t="n">
        <f aca="false">SUM(SUP_OVERHEAD!AZ38:BK38)*SUP_CONTROL!$C$11</f>
        <v>354998.978769523</v>
      </c>
      <c r="S136" s="340" t="n">
        <f aca="false">SUM(SUP_OVERHEAD!BL38:BW38)*SUP_CONTROL!$C$11</f>
        <v>319499.080892571</v>
      </c>
      <c r="T136" s="340" t="n">
        <f aca="false">SUM(SUP_OVERHEAD!BX38:CI38)*SUP_CONTROL!$C$11</f>
        <v>283999.183015619</v>
      </c>
      <c r="U136" s="340" t="n">
        <f aca="false">SUM(SUP_OVERHEAD!CJ38:CU38)*SUP_CONTROL!$C$11</f>
        <v>283999.183015619</v>
      </c>
      <c r="V136" s="340" t="n">
        <f aca="false">SUM(SUP_OVERHEAD!CV38:DG38)*SUP_CONTROL!$C$11</f>
        <v>283999.183015619</v>
      </c>
      <c r="W136" s="340" t="n">
        <f aca="false">SUM(SUP_OVERHEAD!DH38:DS38)*SUP_CONTROL!$C$11</f>
        <v>283999.183015619</v>
      </c>
    </row>
    <row r="137" customFormat="false" ht="15" hidden="false" customHeight="true" outlineLevel="2" collapsed="false">
      <c r="B137" s="605" t="s">
        <v>3653</v>
      </c>
      <c r="C137" s="340" t="n">
        <f aca="false">SUP_OVERHEAD!D39*SUP_CONTROL!$C$12</f>
        <v>0</v>
      </c>
      <c r="D137" s="340" t="n">
        <f aca="false">SUP_OVERHEAD!E39*SUP_CONTROL!$C$12</f>
        <v>0</v>
      </c>
      <c r="E137" s="340" t="n">
        <f aca="false">SUP_OVERHEAD!F39*SUP_CONTROL!$C$12</f>
        <v>0</v>
      </c>
      <c r="F137" s="340" t="n">
        <f aca="false">SUP_OVERHEAD!G39*SUP_CONTROL!$C$12</f>
        <v>0</v>
      </c>
      <c r="G137" s="340" t="n">
        <f aca="false">SUP_OVERHEAD!H39*SUP_CONTROL!$C$12</f>
        <v>0</v>
      </c>
      <c r="H137" s="340" t="n">
        <f aca="false">SUP_OVERHEAD!I39*SUP_CONTROL!$C$12</f>
        <v>0</v>
      </c>
      <c r="I137" s="340" t="n">
        <f aca="false">SUP_OVERHEAD!J39*SUP_CONTROL!$C$12</f>
        <v>0</v>
      </c>
      <c r="J137" s="340" t="n">
        <f aca="false">SUP_OVERHEAD!K39*SUP_CONTROL!$C$12</f>
        <v>0</v>
      </c>
      <c r="K137" s="340" t="n">
        <f aca="false">SUP_OVERHEAD!L39*SUP_CONTROL!$C$12</f>
        <v>0</v>
      </c>
      <c r="L137" s="340" t="n">
        <f aca="false">SUP_OVERHEAD!M39*SUP_CONTROL!$C$12</f>
        <v>0</v>
      </c>
      <c r="M137" s="340" t="n">
        <f aca="false">SUP_OVERHEAD!N39*SUP_CONTROL!$C$12</f>
        <v>0</v>
      </c>
      <c r="N137" s="340" t="n">
        <f aca="false">SUP_OVERHEAD!O39*SUP_CONTROL!$C$12</f>
        <v>0</v>
      </c>
      <c r="O137" s="340" t="n">
        <f aca="false">SUM(SUP_OVERHEAD!P39:AA39)*SUP_CONTROL!$C$12</f>
        <v>0</v>
      </c>
      <c r="P137" s="340" t="n">
        <f aca="false">SUM(SUP_OVERHEAD!AB39:AM39)*SUP_CONTROL!$C$12</f>
        <v>0</v>
      </c>
      <c r="Q137" s="340" t="n">
        <f aca="false">SUM(SUP_OVERHEAD!AN39:AY39)*SUP_CONTROL!$C$12</f>
        <v>0</v>
      </c>
      <c r="R137" s="340" t="n">
        <f aca="false">SUM(SUP_OVERHEAD!AZ39:BK39)*SUP_CONTROL!$C$12</f>
        <v>0</v>
      </c>
      <c r="S137" s="340" t="n">
        <f aca="false">SUM(SUP_OVERHEAD!BL39:BW39)*SUP_CONTROL!$C$12</f>
        <v>0</v>
      </c>
      <c r="T137" s="340" t="n">
        <f aca="false">SUM(SUP_OVERHEAD!BX39:CI39)*SUP_CONTROL!$C$12</f>
        <v>0</v>
      </c>
      <c r="U137" s="340" t="n">
        <f aca="false">SUM(SUP_OVERHEAD!CJ39:CU39)*SUP_CONTROL!$C$12</f>
        <v>0</v>
      </c>
      <c r="V137" s="340" t="n">
        <f aca="false">SUM(SUP_OVERHEAD!CV39:DG39)*SUP_CONTROL!$C$12</f>
        <v>0</v>
      </c>
      <c r="W137" s="340" t="n">
        <f aca="false">SUM(SUP_OVERHEAD!DH39:DS39)*SUP_CONTROL!$C$12</f>
        <v>0</v>
      </c>
    </row>
    <row r="138" customFormat="false" ht="15" hidden="false" customHeight="true" outlineLevel="2" collapsed="false">
      <c r="B138" s="605" t="s">
        <v>3727</v>
      </c>
      <c r="C138" s="340" t="n">
        <f aca="false">SUP_OVERHEAD!D40*SUP_CONTROL!$C$13</f>
        <v>0</v>
      </c>
      <c r="D138" s="340" t="n">
        <f aca="false">SUP_OVERHEAD!E40*SUP_CONTROL!$C$13</f>
        <v>0</v>
      </c>
      <c r="E138" s="340" t="n">
        <f aca="false">SUP_OVERHEAD!F40*SUP_CONTROL!$C$13</f>
        <v>0</v>
      </c>
      <c r="F138" s="340" t="n">
        <f aca="false">SUP_OVERHEAD!G40*SUP_CONTROL!$C$13</f>
        <v>0</v>
      </c>
      <c r="G138" s="340" t="n">
        <f aca="false">SUP_OVERHEAD!H40*SUP_CONTROL!$C$13</f>
        <v>0</v>
      </c>
      <c r="H138" s="340" t="n">
        <f aca="false">SUP_OVERHEAD!I40*SUP_CONTROL!$C$13</f>
        <v>0</v>
      </c>
      <c r="I138" s="340" t="n">
        <f aca="false">SUP_OVERHEAD!J40*SUP_CONTROL!$C$13</f>
        <v>0</v>
      </c>
      <c r="J138" s="340" t="n">
        <f aca="false">SUP_OVERHEAD!K40*SUP_CONTROL!$C$13</f>
        <v>0</v>
      </c>
      <c r="K138" s="340" t="n">
        <f aca="false">SUP_OVERHEAD!L40*SUP_CONTROL!$C$13</f>
        <v>0</v>
      </c>
      <c r="L138" s="340" t="n">
        <f aca="false">SUP_OVERHEAD!M40*SUP_CONTROL!$C$13</f>
        <v>0</v>
      </c>
      <c r="M138" s="340" t="n">
        <f aca="false">SUP_OVERHEAD!N40*SUP_CONTROL!$C$13</f>
        <v>0</v>
      </c>
      <c r="N138" s="340" t="n">
        <f aca="false">SUP_OVERHEAD!O40*SUP_CONTROL!$C$13</f>
        <v>0</v>
      </c>
      <c r="O138" s="340" t="n">
        <f aca="false">SUM(SUP_OVERHEAD!P40:AA40)*SUP_CONTROL!$C$13</f>
        <v>45786.1832709622</v>
      </c>
      <c r="P138" s="340" t="n">
        <f aca="false">SUM(SUP_OVERHEAD!AB40:AM40)*SUP_CONTROL!$C$13</f>
        <v>148224.612591031</v>
      </c>
      <c r="Q138" s="340" t="n">
        <f aca="false">SUM(SUP_OVERHEAD!AN40:AY40)*SUP_CONTROL!$C$13</f>
        <v>340890.741258555</v>
      </c>
      <c r="R138" s="340" t="n">
        <f aca="false">SUM(SUP_OVERHEAD!AZ40:BK40)*SUP_CONTROL!$C$13</f>
        <v>466551.572619984</v>
      </c>
      <c r="S138" s="340" t="n">
        <f aca="false">SUM(SUP_OVERHEAD!BL40:BW40)*SUP_CONTROL!$C$13</f>
        <v>639001.703632751</v>
      </c>
      <c r="T138" s="340" t="n">
        <f aca="false">SUM(SUP_OVERHEAD!BX40:CI40)*SUP_CONTROL!$C$13</f>
        <v>825695.001623073</v>
      </c>
      <c r="U138" s="340" t="n">
        <f aca="false">SUM(SUP_OVERHEAD!CJ40:CU40)*SUP_CONTROL!$C$13</f>
        <v>977527.793436851</v>
      </c>
      <c r="V138" s="340" t="n">
        <f aca="false">SUM(SUP_OVERHEAD!CV40:DG40)*SUP_CONTROL!$C$13</f>
        <v>978312.048061509</v>
      </c>
      <c r="W138" s="340" t="n">
        <f aca="false">SUM(SUP_OVERHEAD!DH40:DS40)*SUP_CONTROL!$C$13</f>
        <v>978312.048061509</v>
      </c>
    </row>
    <row r="139" customFormat="false" ht="15" hidden="false" customHeight="true" outlineLevel="2" collapsed="false">
      <c r="B139" s="605" t="s">
        <v>3655</v>
      </c>
      <c r="C139" s="340" t="n">
        <f aca="false">SUP_OVERHEAD!D41*SUP_CONTROL!$C$14</f>
        <v>0</v>
      </c>
      <c r="D139" s="340" t="n">
        <f aca="false">SUP_OVERHEAD!E41*SUP_CONTROL!$C$14</f>
        <v>0</v>
      </c>
      <c r="E139" s="340" t="n">
        <f aca="false">SUP_OVERHEAD!F41*SUP_CONTROL!$C$14</f>
        <v>0</v>
      </c>
      <c r="F139" s="340" t="n">
        <f aca="false">SUP_OVERHEAD!G41*SUP_CONTROL!$C$14</f>
        <v>0</v>
      </c>
      <c r="G139" s="340" t="n">
        <f aca="false">SUP_OVERHEAD!H41*SUP_CONTROL!$C$14</f>
        <v>0</v>
      </c>
      <c r="H139" s="340" t="n">
        <f aca="false">SUP_OVERHEAD!I41*SUP_CONTROL!$C$14</f>
        <v>0</v>
      </c>
      <c r="I139" s="340" t="n">
        <f aca="false">SUP_OVERHEAD!J41*SUP_CONTROL!$C$14</f>
        <v>0</v>
      </c>
      <c r="J139" s="340" t="n">
        <f aca="false">SUP_OVERHEAD!K41*SUP_CONTROL!$C$14</f>
        <v>0</v>
      </c>
      <c r="K139" s="340" t="n">
        <f aca="false">SUP_OVERHEAD!L41*SUP_CONTROL!$C$14</f>
        <v>0</v>
      </c>
      <c r="L139" s="340" t="n">
        <f aca="false">SUP_OVERHEAD!M41*SUP_CONTROL!$C$14</f>
        <v>0</v>
      </c>
      <c r="M139" s="340" t="n">
        <f aca="false">SUP_OVERHEAD!N41*SUP_CONTROL!$C$14</f>
        <v>0</v>
      </c>
      <c r="N139" s="340" t="n">
        <f aca="false">SUP_OVERHEAD!O41*SUP_CONTROL!$C$14</f>
        <v>0</v>
      </c>
      <c r="O139" s="340" t="n">
        <f aca="false">SUM(SUP_OVERHEAD!P41:AA41)*SUP_CONTROL!$C$14</f>
        <v>0</v>
      </c>
      <c r="P139" s="340" t="n">
        <f aca="false">SUM(SUP_OVERHEAD!AB41:AM41)*SUP_CONTROL!$C$14</f>
        <v>0</v>
      </c>
      <c r="Q139" s="340" t="n">
        <f aca="false">SUM(SUP_OVERHEAD!AN41:AY41)*SUP_CONTROL!$C$14</f>
        <v>0</v>
      </c>
      <c r="R139" s="340" t="n">
        <f aca="false">SUM(SUP_OVERHEAD!AZ41:BK41)*SUP_CONTROL!$C$14</f>
        <v>0</v>
      </c>
      <c r="S139" s="340" t="n">
        <f aca="false">SUM(SUP_OVERHEAD!BL41:BW41)*SUP_CONTROL!$C$14</f>
        <v>0</v>
      </c>
      <c r="T139" s="340" t="n">
        <f aca="false">SUM(SUP_OVERHEAD!BX41:CI41)*SUP_CONTROL!$C$14</f>
        <v>0</v>
      </c>
      <c r="U139" s="340" t="n">
        <f aca="false">SUM(SUP_OVERHEAD!CJ41:CU41)*SUP_CONTROL!$C$14</f>
        <v>0</v>
      </c>
      <c r="V139" s="340" t="n">
        <f aca="false">SUM(SUP_OVERHEAD!CV41:DG41)*SUP_CONTROL!$C$14</f>
        <v>0</v>
      </c>
      <c r="W139" s="340" t="n">
        <f aca="false">SUM(SUP_OVERHEAD!DH41:DS41)*SUP_CONTROL!$C$14</f>
        <v>0</v>
      </c>
    </row>
    <row r="140" customFormat="false" ht="15" hidden="false" customHeight="true" outlineLevel="1" collapsed="false">
      <c r="B140" s="603" t="s">
        <v>3728</v>
      </c>
      <c r="C140" s="602" t="n">
        <f aca="false">C136+C137+C138+C139</f>
        <v>0</v>
      </c>
      <c r="D140" s="602" t="n">
        <f aca="false">D136+D137+D138+D139</f>
        <v>15715</v>
      </c>
      <c r="E140" s="602" t="n">
        <f aca="false">E136+E137+E138+E139</f>
        <v>15715</v>
      </c>
      <c r="F140" s="602" t="n">
        <f aca="false">F136+F137+F138+F139</f>
        <v>15715</v>
      </c>
      <c r="G140" s="602" t="n">
        <f aca="false">G136+G137+G138+G139</f>
        <v>15715</v>
      </c>
      <c r="H140" s="602" t="n">
        <f aca="false">H136+H137+H138+H139</f>
        <v>22146.7252810345</v>
      </c>
      <c r="I140" s="602" t="n">
        <f aca="false">I136+I137+I138+I139</f>
        <v>31743.6395694828</v>
      </c>
      <c r="J140" s="602" t="n">
        <f aca="false">J136+J137+J138+J139</f>
        <v>42447.8901219828</v>
      </c>
      <c r="K140" s="602" t="n">
        <f aca="false">K136+K137+K138+K139</f>
        <v>45639.6240595436</v>
      </c>
      <c r="L140" s="602" t="n">
        <f aca="false">L136+L137+L138+L139</f>
        <v>47333.1971692698</v>
      </c>
      <c r="M140" s="602" t="n">
        <f aca="false">M136+M137+M138+M139</f>
        <v>47333.1971692698</v>
      </c>
      <c r="N140" s="602" t="n">
        <f aca="false">N136+N137+N138+N139</f>
        <v>47333.1971692698</v>
      </c>
      <c r="O140" s="602" t="n">
        <f aca="false">O136+O137+O138+O139</f>
        <v>542784.753548295</v>
      </c>
      <c r="P140" s="602" t="n">
        <f aca="false">P136+P137+P138+P139</f>
        <v>574223.387114459</v>
      </c>
      <c r="Q140" s="602" t="n">
        <f aca="false">Q136+Q137+Q138+Q139</f>
        <v>731389.617905031</v>
      </c>
      <c r="R140" s="602" t="n">
        <f aca="false">R136+R137+R138+R139</f>
        <v>821550.551389508</v>
      </c>
      <c r="S140" s="602" t="n">
        <f aca="false">S136+S137+S138+S139</f>
        <v>958500.784525322</v>
      </c>
      <c r="T140" s="602" t="n">
        <f aca="false">T136+T137+T138+T139</f>
        <v>1109694.18463869</v>
      </c>
      <c r="U140" s="602" t="n">
        <f aca="false">U136+U137+U138+U139</f>
        <v>1261526.97645247</v>
      </c>
      <c r="V140" s="602" t="n">
        <f aca="false">V136+V137+V138+V139</f>
        <v>1262311.23107713</v>
      </c>
      <c r="W140" s="602" t="n">
        <f aca="false">W136+W137+W138+W139</f>
        <v>1262311.23107713</v>
      </c>
      <c r="X140" s="218"/>
      <c r="Y140" s="218"/>
      <c r="Z140" s="218"/>
    </row>
    <row r="142" customFormat="false" ht="15" hidden="false" customHeight="true" outlineLevel="1" collapsed="false">
      <c r="B142" s="578" t="s">
        <v>3463</v>
      </c>
    </row>
    <row r="143" customFormat="false" ht="15" hidden="false" customHeight="true" outlineLevel="2" collapsed="false">
      <c r="B143" s="605" t="s">
        <v>3694</v>
      </c>
      <c r="C143" s="340" t="n">
        <f aca="false">CAPA1_PILOTO!D29*SUP_CONTROL!$C$11</f>
        <v>3416.90619722222</v>
      </c>
      <c r="D143" s="340" t="n">
        <f aca="false">CAPA1_PILOTO!E29*SUP_CONTROL!$C$11</f>
        <v>7208.81239444444</v>
      </c>
      <c r="E143" s="340" t="n">
        <f aca="false">CAPA1_PILOTO!F29*SUP_CONTROL!$C$11</f>
        <v>10625.7185916667</v>
      </c>
      <c r="F143" s="340" t="n">
        <f aca="false">CAPA1_PILOTO!G29*SUP_CONTROL!$C$11</f>
        <v>12554.6182520833</v>
      </c>
      <c r="G143" s="340" t="n">
        <f aca="false">CAPA1_PILOTO!H29*SUP_CONTROL!$C$11</f>
        <v>14869.80195625</v>
      </c>
      <c r="H143" s="340" t="n">
        <f aca="false">CAPA1_PILOTO!I29*SUP_CONTROL!$C$11</f>
        <v>14869.80195625</v>
      </c>
      <c r="I143" s="340" t="n">
        <f aca="false">CAPA1_PILOTO!J29*SUP_CONTROL!$C$11</f>
        <v>14869.80195625</v>
      </c>
      <c r="J143" s="340" t="n">
        <f aca="false">CAPA1_PILOTO!K29*SUP_CONTROL!$C$11</f>
        <v>14869.80195625</v>
      </c>
      <c r="K143" s="340" t="n">
        <f aca="false">CAPA1_PILOTO!L29*SUP_CONTROL!$C$11</f>
        <v>14869.80195625</v>
      </c>
      <c r="L143" s="340" t="n">
        <f aca="false">CAPA1_PILOTO!M29*SUP_CONTROL!$C$11</f>
        <v>14869.80195625</v>
      </c>
      <c r="M143" s="340" t="n">
        <f aca="false">CAPA1_PILOTO!N29*SUP_CONTROL!$C$11</f>
        <v>14869.80195625</v>
      </c>
      <c r="N143" s="340" t="n">
        <f aca="false">CAPA1_PILOTO!O29*SUP_CONTROL!$C$11</f>
        <v>14869.80195625</v>
      </c>
      <c r="O143" s="340" t="n">
        <f aca="false">SUM(CAPA1_PILOTO!P29:AA29)*SUP_CONTROL!$C$11</f>
        <v>178437.623475</v>
      </c>
      <c r="P143" s="340" t="n">
        <f aca="false">SUM(CAPA1_PILOTO!AB29:AM29)*SUP_CONTROL!$C$11</f>
        <v>178437.623475</v>
      </c>
      <c r="Q143" s="340" t="n">
        <f aca="false">SUM(CAPA1_PILOTO!AN29:AY29)*SUP_CONTROL!$C$11</f>
        <v>178437.623475</v>
      </c>
      <c r="R143" s="340" t="n">
        <f aca="false">SUM(CAPA1_PILOTO!AZ29:BK29)*SUP_CONTROL!$C$11</f>
        <v>178437.623475</v>
      </c>
      <c r="S143" s="340" t="n">
        <f aca="false">SUM(CAPA1_PILOTO!BL29:BW29)*SUP_CONTROL!$C$11</f>
        <v>178437.623475</v>
      </c>
      <c r="T143" s="340" t="n">
        <f aca="false">SUM(CAPA1_PILOTO!BX29:CI29)*SUP_CONTROL!$C$11</f>
        <v>178437.623475</v>
      </c>
      <c r="U143" s="340" t="n">
        <f aca="false">SUM(CAPA1_PILOTO!CJ29:CU29)*SUP_CONTROL!$C$11</f>
        <v>178437.623475</v>
      </c>
      <c r="V143" s="340" t="n">
        <f aca="false">SUM(CAPA1_PILOTO!CV29:DG29)*SUP_CONTROL!$C$11</f>
        <v>178437.623475</v>
      </c>
      <c r="W143" s="340" t="n">
        <f aca="false">SUM(CAPA1_PILOTO!DH29:DS29)*SUP_CONTROL!$C$11</f>
        <v>178437.623475</v>
      </c>
    </row>
    <row r="144" customFormat="false" ht="15" hidden="false" customHeight="true" outlineLevel="2" collapsed="false">
      <c r="B144" s="605" t="s">
        <v>3653</v>
      </c>
      <c r="C144" s="340" t="n">
        <f aca="false">CAPA2_FLAGSHIP!D23*SUP_CONTROL!$C$12</f>
        <v>0</v>
      </c>
      <c r="D144" s="340" t="n">
        <f aca="false">CAPA2_FLAGSHIP!E23*SUP_CONTROL!$C$12</f>
        <v>0</v>
      </c>
      <c r="E144" s="340" t="n">
        <f aca="false">CAPA2_FLAGSHIP!F23*SUP_CONTROL!$C$12</f>
        <v>0</v>
      </c>
      <c r="F144" s="340" t="n">
        <f aca="false">CAPA2_FLAGSHIP!G23*SUP_CONTROL!$C$12</f>
        <v>0</v>
      </c>
      <c r="G144" s="340" t="n">
        <f aca="false">CAPA2_FLAGSHIP!H23*SUP_CONTROL!$C$12</f>
        <v>0</v>
      </c>
      <c r="H144" s="340" t="n">
        <f aca="false">CAPA2_FLAGSHIP!I23*SUP_CONTROL!$C$12</f>
        <v>0</v>
      </c>
      <c r="I144" s="340" t="n">
        <f aca="false">CAPA2_FLAGSHIP!J23*SUP_CONTROL!$C$12</f>
        <v>0</v>
      </c>
      <c r="J144" s="340" t="n">
        <f aca="false">CAPA2_FLAGSHIP!K23*SUP_CONTROL!$C$12</f>
        <v>0</v>
      </c>
      <c r="K144" s="340" t="n">
        <f aca="false">CAPA2_FLAGSHIP!L23*SUP_CONTROL!$C$12</f>
        <v>0</v>
      </c>
      <c r="L144" s="340" t="n">
        <f aca="false">CAPA2_FLAGSHIP!M23*SUP_CONTROL!$C$12</f>
        <v>0</v>
      </c>
      <c r="M144" s="340" t="n">
        <f aca="false">CAPA2_FLAGSHIP!N23*SUP_CONTROL!$C$12</f>
        <v>0</v>
      </c>
      <c r="N144" s="340" t="n">
        <f aca="false">CAPA2_FLAGSHIP!O23*SUP_CONTROL!$C$12</f>
        <v>0</v>
      </c>
      <c r="O144" s="340" t="n">
        <f aca="false">SUM(CAPA2_FLAGSHIP!P23:AA23)*SUP_CONTROL!$C$12</f>
        <v>0</v>
      </c>
      <c r="P144" s="340" t="n">
        <f aca="false">SUM(CAPA2_FLAGSHIP!AB23:AM23)*SUP_CONTROL!$C$12</f>
        <v>0</v>
      </c>
      <c r="Q144" s="340" t="n">
        <f aca="false">SUM(CAPA2_FLAGSHIP!AN23:AY23)*SUP_CONTROL!$C$12</f>
        <v>0</v>
      </c>
      <c r="R144" s="340" t="n">
        <f aca="false">SUM(CAPA2_FLAGSHIP!AZ23:BK23)*SUP_CONTROL!$C$12</f>
        <v>0</v>
      </c>
      <c r="S144" s="340" t="n">
        <f aca="false">SUM(CAPA2_FLAGSHIP!BL23:BW23)*SUP_CONTROL!$C$12</f>
        <v>0</v>
      </c>
      <c r="T144" s="340" t="n">
        <f aca="false">SUM(CAPA2_FLAGSHIP!BX23:CI23)*SUP_CONTROL!$C$12</f>
        <v>0</v>
      </c>
      <c r="U144" s="340" t="n">
        <f aca="false">SUM(CAPA2_FLAGSHIP!CJ23:CU23)*SUP_CONTROL!$C$12</f>
        <v>0</v>
      </c>
      <c r="V144" s="340" t="n">
        <f aca="false">SUM(CAPA2_FLAGSHIP!CV23:DG23)*SUP_CONTROL!$C$12</f>
        <v>0</v>
      </c>
      <c r="W144" s="340" t="n">
        <f aca="false">SUM(CAPA2_FLAGSHIP!DH23:DS23)*SUP_CONTROL!$C$12</f>
        <v>0</v>
      </c>
    </row>
    <row r="145" customFormat="false" ht="15" hidden="false" customHeight="true" outlineLevel="2" collapsed="false">
      <c r="B145" s="605" t="s">
        <v>3727</v>
      </c>
      <c r="C145" s="340" t="n">
        <f aca="false">CAPA3_EXPANSION!D48*SUP_CONTROL!$C$13</f>
        <v>0</v>
      </c>
      <c r="D145" s="340" t="n">
        <f aca="false">CAPA3_EXPANSION!E48*SUP_CONTROL!$C$13</f>
        <v>0</v>
      </c>
      <c r="E145" s="340" t="n">
        <f aca="false">CAPA3_EXPANSION!F48*SUP_CONTROL!$C$13</f>
        <v>0</v>
      </c>
      <c r="F145" s="340" t="n">
        <f aca="false">CAPA3_EXPANSION!G48*SUP_CONTROL!$C$13</f>
        <v>0</v>
      </c>
      <c r="G145" s="340" t="n">
        <f aca="false">CAPA3_EXPANSION!H48*SUP_CONTROL!$C$13</f>
        <v>0</v>
      </c>
      <c r="H145" s="340" t="n">
        <f aca="false">CAPA3_EXPANSION!I48*SUP_CONTROL!$C$13</f>
        <v>0</v>
      </c>
      <c r="I145" s="340" t="n">
        <f aca="false">CAPA3_EXPANSION!J48*SUP_CONTROL!$C$13</f>
        <v>0</v>
      </c>
      <c r="J145" s="340" t="n">
        <f aca="false">CAPA3_EXPANSION!K48*SUP_CONTROL!$C$13</f>
        <v>0</v>
      </c>
      <c r="K145" s="340" t="n">
        <f aca="false">CAPA3_EXPANSION!L48*SUP_CONTROL!$C$13</f>
        <v>0</v>
      </c>
      <c r="L145" s="340" t="n">
        <f aca="false">CAPA3_EXPANSION!M48*SUP_CONTROL!$C$13</f>
        <v>0</v>
      </c>
      <c r="M145" s="340" t="n">
        <f aca="false">CAPA3_EXPANSION!N48*SUP_CONTROL!$C$13</f>
        <v>0</v>
      </c>
      <c r="N145" s="340" t="n">
        <f aca="false">CAPA3_EXPANSION!O48*SUP_CONTROL!$C$13</f>
        <v>0</v>
      </c>
      <c r="O145" s="340" t="n">
        <f aca="false">SUM(CAPA3_EXPANSION!P48:AA48)*SUP_CONTROL!$C$13</f>
        <v>17740.0795916667</v>
      </c>
      <c r="P145" s="340" t="n">
        <f aca="false">SUM(CAPA3_EXPANSION!AB48:AM48)*SUP_CONTROL!$C$13</f>
        <v>77160.050375</v>
      </c>
      <c r="Q145" s="340" t="n">
        <f aca="false">SUM(CAPA3_EXPANSION!AN48:AY48)*SUP_CONTROL!$C$13</f>
        <v>153075.447470833</v>
      </c>
      <c r="R145" s="340" t="n">
        <f aca="false">SUM(CAPA3_EXPANSION!AZ48:BK48)*SUP_CONTROL!$C$13</f>
        <v>267216.743845833</v>
      </c>
      <c r="S145" s="340" t="n">
        <f aca="false">SUM(CAPA3_EXPANSION!BL48:BW48)*SUP_CONTROL!$C$13</f>
        <v>400460.447225</v>
      </c>
      <c r="T145" s="340" t="n">
        <f aca="false">SUM(CAPA3_EXPANSION!BX48:CI48)*SUP_CONTROL!$C$13</f>
        <v>558297.458329167</v>
      </c>
      <c r="U145" s="340" t="n">
        <f aca="false">SUM(CAPA3_EXPANSION!CJ48:CU48)*SUP_CONTROL!$C$13</f>
        <v>644678.641475</v>
      </c>
      <c r="V145" s="340" t="n">
        <f aca="false">SUM(CAPA3_EXPANSION!CV48:DG48)*SUP_CONTROL!$C$13</f>
        <v>644678.641475</v>
      </c>
      <c r="W145" s="340" t="n">
        <f aca="false">SUM(CAPA3_EXPANSION!DH48:DS48)*SUP_CONTROL!$C$13</f>
        <v>644678.641475</v>
      </c>
    </row>
    <row r="146" customFormat="false" ht="15" hidden="false" customHeight="true" outlineLevel="2" collapsed="false">
      <c r="B146" s="605" t="s">
        <v>3655</v>
      </c>
      <c r="C146" s="340" t="n">
        <f aca="false">CAPA4_RETAIL!D16*SUP_CONTROL!$C$14</f>
        <v>0</v>
      </c>
      <c r="D146" s="340" t="n">
        <f aca="false">CAPA4_RETAIL!E16*SUP_CONTROL!$C$14</f>
        <v>0</v>
      </c>
      <c r="E146" s="340" t="n">
        <f aca="false">CAPA4_RETAIL!F16*SUP_CONTROL!$C$14</f>
        <v>0</v>
      </c>
      <c r="F146" s="340" t="n">
        <f aca="false">CAPA4_RETAIL!G16*SUP_CONTROL!$C$14</f>
        <v>0</v>
      </c>
      <c r="G146" s="340" t="n">
        <f aca="false">CAPA4_RETAIL!H16*SUP_CONTROL!$C$14</f>
        <v>0</v>
      </c>
      <c r="H146" s="340" t="n">
        <f aca="false">CAPA4_RETAIL!I16*SUP_CONTROL!$C$14</f>
        <v>0</v>
      </c>
      <c r="I146" s="340" t="n">
        <f aca="false">CAPA4_RETAIL!J16*SUP_CONTROL!$C$14</f>
        <v>0</v>
      </c>
      <c r="J146" s="340" t="n">
        <f aca="false">CAPA4_RETAIL!K16*SUP_CONTROL!$C$14</f>
        <v>0</v>
      </c>
      <c r="K146" s="340" t="n">
        <f aca="false">CAPA4_RETAIL!L16*SUP_CONTROL!$C$14</f>
        <v>0</v>
      </c>
      <c r="L146" s="340" t="n">
        <f aca="false">CAPA4_RETAIL!M16*SUP_CONTROL!$C$14</f>
        <v>0</v>
      </c>
      <c r="M146" s="340" t="n">
        <f aca="false">CAPA4_RETAIL!N16*SUP_CONTROL!$C$14</f>
        <v>0</v>
      </c>
      <c r="N146" s="340" t="n">
        <f aca="false">CAPA4_RETAIL!O16*SUP_CONTROL!$C$14</f>
        <v>0</v>
      </c>
      <c r="O146" s="340" t="n">
        <f aca="false">SUM(CAPA4_RETAIL!P16:AA16)*SUP_CONTROL!$C$14</f>
        <v>0</v>
      </c>
      <c r="P146" s="340" t="n">
        <f aca="false">SUM(CAPA4_RETAIL!AB16:AM16)*SUP_CONTROL!$C$14</f>
        <v>0</v>
      </c>
      <c r="Q146" s="340" t="n">
        <f aca="false">SUM(CAPA4_RETAIL!AN16:AY16)*SUP_CONTROL!$C$14</f>
        <v>0</v>
      </c>
      <c r="R146" s="340" t="n">
        <f aca="false">SUM(CAPA4_RETAIL!AZ16:BK16)*SUP_CONTROL!$C$14</f>
        <v>0</v>
      </c>
      <c r="S146" s="340" t="n">
        <f aca="false">SUM(CAPA4_RETAIL!BL16:BW16)*SUP_CONTROL!$C$14</f>
        <v>0</v>
      </c>
      <c r="T146" s="340" t="n">
        <f aca="false">SUM(CAPA4_RETAIL!BX16:CI16)*SUP_CONTROL!$C$14</f>
        <v>0</v>
      </c>
      <c r="U146" s="340" t="n">
        <f aca="false">SUM(CAPA4_RETAIL!CJ16:CU16)*SUP_CONTROL!$C$14</f>
        <v>0</v>
      </c>
      <c r="V146" s="340" t="n">
        <f aca="false">SUM(CAPA4_RETAIL!CV16:DG16)*SUP_CONTROL!$C$14</f>
        <v>0</v>
      </c>
      <c r="W146" s="340" t="n">
        <f aca="false">SUM(CAPA4_RETAIL!DH16:DS16)*SUP_CONTROL!$C$14</f>
        <v>0</v>
      </c>
    </row>
    <row r="147" customFormat="false" ht="15" hidden="false" customHeight="true" outlineLevel="1" collapsed="false">
      <c r="B147" s="603" t="s">
        <v>3729</v>
      </c>
      <c r="C147" s="602" t="n">
        <f aca="false">C143+C144+C145+C146</f>
        <v>3416.90619722222</v>
      </c>
      <c r="D147" s="602" t="n">
        <f aca="false">D143+D144+D145+D146</f>
        <v>7208.81239444444</v>
      </c>
      <c r="E147" s="602" t="n">
        <f aca="false">E143+E144+E145+E146</f>
        <v>10625.7185916667</v>
      </c>
      <c r="F147" s="602" t="n">
        <f aca="false">F143+F144+F145+F146</f>
        <v>12554.6182520833</v>
      </c>
      <c r="G147" s="602" t="n">
        <f aca="false">G143+G144+G145+G146</f>
        <v>14869.80195625</v>
      </c>
      <c r="H147" s="602" t="n">
        <f aca="false">H143+H144+H145+H146</f>
        <v>14869.80195625</v>
      </c>
      <c r="I147" s="602" t="n">
        <f aca="false">I143+I144+I145+I146</f>
        <v>14869.80195625</v>
      </c>
      <c r="J147" s="602" t="n">
        <f aca="false">J143+J144+J145+J146</f>
        <v>14869.80195625</v>
      </c>
      <c r="K147" s="602" t="n">
        <f aca="false">K143+K144+K145+K146</f>
        <v>14869.80195625</v>
      </c>
      <c r="L147" s="602" t="n">
        <f aca="false">L143+L144+L145+L146</f>
        <v>14869.80195625</v>
      </c>
      <c r="M147" s="602" t="n">
        <f aca="false">M143+M144+M145+M146</f>
        <v>14869.80195625</v>
      </c>
      <c r="N147" s="602" t="n">
        <f aca="false">N143+N144+N145+N146</f>
        <v>14869.80195625</v>
      </c>
      <c r="O147" s="602" t="n">
        <f aca="false">O143+O144+O145+O146</f>
        <v>196177.703066667</v>
      </c>
      <c r="P147" s="602" t="n">
        <f aca="false">P143+P144+P145+P146</f>
        <v>255597.67385</v>
      </c>
      <c r="Q147" s="602" t="n">
        <f aca="false">Q143+Q144+Q145+Q146</f>
        <v>331513.070945833</v>
      </c>
      <c r="R147" s="602" t="n">
        <f aca="false">R143+R144+R145+R146</f>
        <v>445654.367320833</v>
      </c>
      <c r="S147" s="602" t="n">
        <f aca="false">S143+S144+S145+S146</f>
        <v>578898.0707</v>
      </c>
      <c r="T147" s="602" t="n">
        <f aca="false">T143+T144+T145+T146</f>
        <v>736735.081804167</v>
      </c>
      <c r="U147" s="602" t="n">
        <f aca="false">U143+U144+U145+U146</f>
        <v>823116.26495</v>
      </c>
      <c r="V147" s="602" t="n">
        <f aca="false">V143+V144+V145+V146</f>
        <v>823116.26495</v>
      </c>
      <c r="W147" s="602" t="n">
        <f aca="false">W143+W144+W145+W146</f>
        <v>823116.26495</v>
      </c>
      <c r="X147" s="218"/>
      <c r="Y147" s="218"/>
      <c r="Z147" s="218"/>
    </row>
    <row r="149" customFormat="false" ht="15" hidden="false" customHeight="true" outlineLevel="0" collapsed="false">
      <c r="B149" s="575" t="s">
        <v>3730</v>
      </c>
      <c r="C149" s="604" t="n">
        <f aca="false">C131-C140-C147</f>
        <v>-3416.90619722222</v>
      </c>
      <c r="D149" s="604" t="n">
        <f aca="false">D131-D140-D147</f>
        <v>-22923.8123944444</v>
      </c>
      <c r="E149" s="604" t="n">
        <f aca="false">E131-E140-E147</f>
        <v>-26340.7185916667</v>
      </c>
      <c r="F149" s="604" t="n">
        <f aca="false">F131-F140-F147</f>
        <v>-26686.6061330613</v>
      </c>
      <c r="G149" s="604" t="n">
        <f aca="false">G131-G140-G147</f>
        <v>-11004.659719487</v>
      </c>
      <c r="H149" s="604" t="n">
        <f aca="false">H131-H140-H147</f>
        <v>6009.29749093852</v>
      </c>
      <c r="I149" s="604" t="n">
        <f aca="false">I131-I140-I147</f>
        <v>21336.0523555535</v>
      </c>
      <c r="J149" s="604" t="n">
        <f aca="false">J131-J140-J147</f>
        <v>37850.740473778</v>
      </c>
      <c r="K149" s="604" t="n">
        <f aca="false">K131-K140-K147</f>
        <v>48007.9598518286</v>
      </c>
      <c r="L149" s="604" t="n">
        <f aca="false">L131-L140-L147</f>
        <v>53397.5048279372</v>
      </c>
      <c r="M149" s="604" t="n">
        <f aca="false">M131-M140-M147</f>
        <v>53397.5048279372</v>
      </c>
      <c r="N149" s="604" t="n">
        <f aca="false">N131-N140-N147</f>
        <v>53397.5048279372</v>
      </c>
      <c r="O149" s="604" t="n">
        <f aca="false">O131-O140-O147</f>
        <v>779663.777837568</v>
      </c>
      <c r="P149" s="604" t="n">
        <f aca="false">P131-P140-P147</f>
        <v>999399.08283088</v>
      </c>
      <c r="Q149" s="604" t="n">
        <f aca="false">Q131-Q140-Q147</f>
        <v>1534021.81580537</v>
      </c>
      <c r="R149" s="604" t="n">
        <f aca="false">R131-R140-R147</f>
        <v>1836123.32846931</v>
      </c>
      <c r="S149" s="604" t="n">
        <f aca="false">S131-S140-S147</f>
        <v>2403688.29919393</v>
      </c>
      <c r="T149" s="604" t="n">
        <f aca="false">T131-T140-T147</f>
        <v>3251694.07726377</v>
      </c>
      <c r="U149" s="604" t="n">
        <f aca="false">U131-U140-U147</f>
        <v>3674864.1583171</v>
      </c>
      <c r="V149" s="604" t="n">
        <f aca="false">V131-V140-V147</f>
        <v>3680765.11655039</v>
      </c>
      <c r="W149" s="604" t="n">
        <f aca="false">W131-W140-W147</f>
        <v>3680765.11655039</v>
      </c>
      <c r="X149" s="576"/>
      <c r="Y149" s="576"/>
      <c r="Z149" s="576"/>
    </row>
    <row r="150" customFormat="false" ht="15" hidden="false" customHeight="true" outlineLevel="0" collapsed="false">
      <c r="B150" s="605" t="s">
        <v>3731</v>
      </c>
      <c r="C150" s="606" t="n">
        <f aca="false">IFERROR(C149/C75,0)</f>
        <v>0</v>
      </c>
      <c r="D150" s="606" t="n">
        <f aca="false">IFERROR(D149/D75,0)</f>
        <v>0</v>
      </c>
      <c r="E150" s="606" t="n">
        <f aca="false">IFERROR(E149/E75,0)</f>
        <v>0</v>
      </c>
      <c r="F150" s="606" t="n">
        <f aca="false">IFERROR(F149/F75,0)</f>
        <v>-0.351168825320424</v>
      </c>
      <c r="G150" s="606" t="n">
        <f aca="false">IFERROR(G149/G75,0)</f>
        <v>-0.0653981659281284</v>
      </c>
      <c r="H150" s="606" t="n">
        <f aca="false">IFERROR(H149/H75,0)</f>
        <v>0.0217072182534711</v>
      </c>
      <c r="I150" s="606" t="n">
        <f aca="false">IFERROR(I149/I75,0)</f>
        <v>0.0537709037650875</v>
      </c>
      <c r="J150" s="606" t="n">
        <f aca="false">IFERROR(J149/J75,0)</f>
        <v>0.0713359186805395</v>
      </c>
      <c r="K150" s="606" t="n">
        <f aca="false">IFERROR(K149/K75,0)</f>
        <v>0.0841513677486828</v>
      </c>
      <c r="L150" s="606" t="n">
        <f aca="false">IFERROR(L149/L75,0)</f>
        <v>0.0902495635559637</v>
      </c>
      <c r="M150" s="606" t="n">
        <f aca="false">IFERROR(M149/M75,0)</f>
        <v>0.0902495635559637</v>
      </c>
      <c r="N150" s="606" t="n">
        <f aca="false">IFERROR(N149/N75,0)</f>
        <v>0.0902495635559637</v>
      </c>
      <c r="O150" s="606" t="n">
        <f aca="false">IFERROR(O149/O75,0)</f>
        <v>0.100549000486569</v>
      </c>
      <c r="P150" s="606" t="n">
        <f aca="false">IFERROR(P149/P75,0)</f>
        <v>0.104426162910533</v>
      </c>
      <c r="Q150" s="606" t="n">
        <f aca="false">IFERROR(Q149/Q75,0)</f>
        <v>0.115357393383523</v>
      </c>
      <c r="R150" s="606" t="n">
        <f aca="false">IFERROR(R149/R75,0)</f>
        <v>0.111747434492243</v>
      </c>
      <c r="S150" s="606" t="n">
        <f aca="false">IFERROR(S149/S75,0)</f>
        <v>0.112849123558406</v>
      </c>
      <c r="T150" s="606" t="n">
        <f aca="false">IFERROR(T149/T75,0)</f>
        <v>0.117210457521592</v>
      </c>
      <c r="U150" s="606" t="n">
        <f aca="false">IFERROR(U149/U75,0)</f>
        <v>0.116521143880764</v>
      </c>
      <c r="V150" s="606" t="n">
        <f aca="false">IFERROR(V149/V75,0)</f>
        <v>0.116635740091122</v>
      </c>
      <c r="W150" s="606" t="n">
        <f aca="false">IFERROR(W149/W75,0)</f>
        <v>0.116635740091122</v>
      </c>
    </row>
    <row r="152" customFormat="false" ht="15" hidden="false" customHeight="true" outlineLevel="1" collapsed="false">
      <c r="B152" s="578" t="s">
        <v>3732</v>
      </c>
    </row>
    <row r="153" customFormat="false" ht="15" hidden="false" customHeight="true" outlineLevel="2" collapsed="false">
      <c r="B153" s="605" t="s">
        <v>3694</v>
      </c>
      <c r="C153" s="340" t="n">
        <f aca="false">CAPA1_PILOTO!D31*SUP_CONTROL!$C$11</f>
        <v>0</v>
      </c>
      <c r="D153" s="340" t="n">
        <f aca="false">CAPA1_PILOTO!E31*SUP_CONTROL!$C$11</f>
        <v>0</v>
      </c>
      <c r="E153" s="340" t="n">
        <f aca="false">CAPA1_PILOTO!F31*SUP_CONTROL!$C$11</f>
        <v>0</v>
      </c>
      <c r="F153" s="340" t="n">
        <f aca="false">CAPA1_PILOTO!G31*SUP_CONTROL!$C$11</f>
        <v>0</v>
      </c>
      <c r="G153" s="340" t="n">
        <f aca="false">CAPA1_PILOTO!H31*SUP_CONTROL!$C$11</f>
        <v>0</v>
      </c>
      <c r="H153" s="340" t="n">
        <f aca="false">CAPA1_PILOTO!I31*SUP_CONTROL!$C$11</f>
        <v>2043.16114691909</v>
      </c>
      <c r="I153" s="340" t="n">
        <f aca="false">CAPA1_PILOTO!J31*SUP_CONTROL!$C$11</f>
        <v>7254.25780088819</v>
      </c>
      <c r="J153" s="340" t="n">
        <f aca="false">CAPA1_PILOTO!K31*SUP_CONTROL!$C$11</f>
        <v>12869.2517610845</v>
      </c>
      <c r="K153" s="340" t="n">
        <f aca="false">CAPA1_PILOTO!L31*SUP_CONTROL!$C$11</f>
        <v>16322.7063496217</v>
      </c>
      <c r="L153" s="340" t="n">
        <f aca="false">CAPA1_PILOTO!M31*SUP_CONTROL!$C$11</f>
        <v>18155.1516414986</v>
      </c>
      <c r="M153" s="340" t="n">
        <f aca="false">CAPA1_PILOTO!N31*SUP_CONTROL!$C$11</f>
        <v>18155.1516414986</v>
      </c>
      <c r="N153" s="340" t="n">
        <f aca="false">CAPA1_PILOTO!O31*SUP_CONTROL!$C$11</f>
        <v>18155.1516414986</v>
      </c>
      <c r="O153" s="340" t="n">
        <f aca="false">SUM(CAPA1_PILOTO!P31:AA31)*SUP_CONTROL!$C$11</f>
        <v>245404.64528824</v>
      </c>
      <c r="P153" s="340" t="n">
        <f aca="false">SUM(CAPA1_PILOTO!AB31:AM31)*SUP_CONTROL!$C$11</f>
        <v>263731.840939068</v>
      </c>
      <c r="Q153" s="340" t="n">
        <f aca="false">SUM(CAPA1_PILOTO!AN31:AY31)*SUP_CONTROL!$C$11</f>
        <v>290864.098075785</v>
      </c>
      <c r="R153" s="340" t="n">
        <f aca="false">SUM(CAPA1_PILOTO!AZ31:BK31)*SUP_CONTROL!$C$11</f>
        <v>295319.49244188</v>
      </c>
      <c r="S153" s="340" t="n">
        <f aca="false">SUM(CAPA1_PILOTO!BL31:BW31)*SUP_CONTROL!$C$11</f>
        <v>317025.096771921</v>
      </c>
      <c r="T153" s="340" t="n">
        <f aca="false">SUM(CAPA1_PILOTO!BX31:CI31)*SUP_CONTROL!$C$11</f>
        <v>338721.429609977</v>
      </c>
      <c r="U153" s="340" t="n">
        <f aca="false">SUM(CAPA1_PILOTO!CJ31:CU31)*SUP_CONTROL!$C$11</f>
        <v>338270.733859291</v>
      </c>
      <c r="V153" s="340" t="n">
        <f aca="false">SUM(CAPA1_PILOTO!CV31:DG31)*SUP_CONTROL!$C$11</f>
        <v>338293.380977558</v>
      </c>
      <c r="W153" s="340" t="n">
        <f aca="false">SUM(CAPA1_PILOTO!DH31:DS31)*SUP_CONTROL!$C$11</f>
        <v>338293.380977558</v>
      </c>
    </row>
    <row r="154" customFormat="false" ht="15" hidden="false" customHeight="true" outlineLevel="2" collapsed="false">
      <c r="B154" s="605" t="s">
        <v>3653</v>
      </c>
      <c r="C154" s="340" t="n">
        <f aca="false">CAPA2_FLAGSHIP!D25*SUP_CONTROL!$C$12</f>
        <v>0</v>
      </c>
      <c r="D154" s="340" t="n">
        <f aca="false">CAPA2_FLAGSHIP!E25*SUP_CONTROL!$C$12</f>
        <v>0</v>
      </c>
      <c r="E154" s="340" t="n">
        <f aca="false">CAPA2_FLAGSHIP!F25*SUP_CONTROL!$C$12</f>
        <v>0</v>
      </c>
      <c r="F154" s="340" t="n">
        <f aca="false">CAPA2_FLAGSHIP!G25*SUP_CONTROL!$C$12</f>
        <v>0</v>
      </c>
      <c r="G154" s="340" t="n">
        <f aca="false">CAPA2_FLAGSHIP!H25*SUP_CONTROL!$C$12</f>
        <v>0</v>
      </c>
      <c r="H154" s="340" t="n">
        <f aca="false">CAPA2_FLAGSHIP!I25*SUP_CONTROL!$C$12</f>
        <v>0</v>
      </c>
      <c r="I154" s="340" t="n">
        <f aca="false">CAPA2_FLAGSHIP!J25*SUP_CONTROL!$C$12</f>
        <v>0</v>
      </c>
      <c r="J154" s="340" t="n">
        <f aca="false">CAPA2_FLAGSHIP!K25*SUP_CONTROL!$C$12</f>
        <v>0</v>
      </c>
      <c r="K154" s="340" t="n">
        <f aca="false">CAPA2_FLAGSHIP!L25*SUP_CONTROL!$C$12</f>
        <v>0</v>
      </c>
      <c r="L154" s="340" t="n">
        <f aca="false">CAPA2_FLAGSHIP!M25*SUP_CONTROL!$C$12</f>
        <v>0</v>
      </c>
      <c r="M154" s="340" t="n">
        <f aca="false">CAPA2_FLAGSHIP!N25*SUP_CONTROL!$C$12</f>
        <v>0</v>
      </c>
      <c r="N154" s="340" t="n">
        <f aca="false">CAPA2_FLAGSHIP!O25*SUP_CONTROL!$C$12</f>
        <v>0</v>
      </c>
      <c r="O154" s="340" t="n">
        <f aca="false">SUM(CAPA2_FLAGSHIP!P25:AA25)*SUP_CONTROL!$C$12</f>
        <v>0</v>
      </c>
      <c r="P154" s="340" t="n">
        <f aca="false">SUM(CAPA2_FLAGSHIP!AB25:AM25)*SUP_CONTROL!$C$12</f>
        <v>0</v>
      </c>
      <c r="Q154" s="340" t="n">
        <f aca="false">SUM(CAPA2_FLAGSHIP!AN25:AY25)*SUP_CONTROL!$C$12</f>
        <v>0</v>
      </c>
      <c r="R154" s="340" t="n">
        <f aca="false">SUM(CAPA2_FLAGSHIP!AZ25:BK25)*SUP_CONTROL!$C$12</f>
        <v>0</v>
      </c>
      <c r="S154" s="340" t="n">
        <f aca="false">SUM(CAPA2_FLAGSHIP!BL25:BW25)*SUP_CONTROL!$C$12</f>
        <v>0</v>
      </c>
      <c r="T154" s="340" t="n">
        <f aca="false">SUM(CAPA2_FLAGSHIP!BX25:CI25)*SUP_CONTROL!$C$12</f>
        <v>0</v>
      </c>
      <c r="U154" s="340" t="n">
        <f aca="false">SUM(CAPA2_FLAGSHIP!CJ25:CU25)*SUP_CONTROL!$C$12</f>
        <v>0</v>
      </c>
      <c r="V154" s="340" t="n">
        <f aca="false">SUM(CAPA2_FLAGSHIP!CV25:DG25)*SUP_CONTROL!$C$12</f>
        <v>0</v>
      </c>
      <c r="W154" s="340" t="n">
        <f aca="false">SUM(CAPA2_FLAGSHIP!DH25:DS25)*SUP_CONTROL!$C$12</f>
        <v>0</v>
      </c>
    </row>
    <row r="155" customFormat="false" ht="15" hidden="false" customHeight="true" outlineLevel="2" collapsed="false">
      <c r="B155" s="605" t="s">
        <v>3727</v>
      </c>
      <c r="C155" s="340" t="n">
        <f aca="false">CAPA3_EXPANSION!D50*SUP_CONTROL!$C$13</f>
        <v>0</v>
      </c>
      <c r="D155" s="340" t="n">
        <f aca="false">CAPA3_EXPANSION!E50*SUP_CONTROL!$C$13</f>
        <v>0</v>
      </c>
      <c r="E155" s="340" t="n">
        <f aca="false">CAPA3_EXPANSION!F50*SUP_CONTROL!$C$13</f>
        <v>0</v>
      </c>
      <c r="F155" s="340" t="n">
        <f aca="false">CAPA3_EXPANSION!G50*SUP_CONTROL!$C$13</f>
        <v>0</v>
      </c>
      <c r="G155" s="340" t="n">
        <f aca="false">CAPA3_EXPANSION!H50*SUP_CONTROL!$C$13</f>
        <v>0</v>
      </c>
      <c r="H155" s="340" t="n">
        <f aca="false">CAPA3_EXPANSION!I50*SUP_CONTROL!$C$13</f>
        <v>0</v>
      </c>
      <c r="I155" s="340" t="n">
        <f aca="false">CAPA3_EXPANSION!J50*SUP_CONTROL!$C$13</f>
        <v>0</v>
      </c>
      <c r="J155" s="340" t="n">
        <f aca="false">CAPA3_EXPANSION!K50*SUP_CONTROL!$C$13</f>
        <v>0</v>
      </c>
      <c r="K155" s="340" t="n">
        <f aca="false">CAPA3_EXPANSION!L50*SUP_CONTROL!$C$13</f>
        <v>0</v>
      </c>
      <c r="L155" s="340" t="n">
        <f aca="false">CAPA3_EXPANSION!M50*SUP_CONTROL!$C$13</f>
        <v>0</v>
      </c>
      <c r="M155" s="340" t="n">
        <f aca="false">CAPA3_EXPANSION!N50*SUP_CONTROL!$C$13</f>
        <v>0</v>
      </c>
      <c r="N155" s="340" t="n">
        <f aca="false">CAPA3_EXPANSION!O50*SUP_CONTROL!$C$13</f>
        <v>0</v>
      </c>
      <c r="O155" s="340" t="n">
        <f aca="false">SUM(CAPA3_EXPANSION!P50:AA50)*SUP_CONTROL!$C$13</f>
        <v>20992.2624506995</v>
      </c>
      <c r="P155" s="340" t="n">
        <f aca="false">SUM(CAPA3_EXPANSION!AB50:AM50)*SUP_CONTROL!$C$13</f>
        <v>76063.8472234305</v>
      </c>
      <c r="Q155" s="340" t="n">
        <f aca="false">SUM(CAPA3_EXPANSION!AN50:AY50)*SUP_CONTROL!$C$13</f>
        <v>230703.31929804</v>
      </c>
      <c r="R155" s="340" t="n">
        <f aca="false">SUM(CAPA3_EXPANSION!AZ50:BK50)*SUP_CONTROL!$C$13</f>
        <v>328962.439237685</v>
      </c>
      <c r="S155" s="340" t="n">
        <f aca="false">SUM(CAPA3_EXPANSION!BL50:BW50)*SUP_CONTROL!$C$13</f>
        <v>500228.924954016</v>
      </c>
      <c r="T155" s="340" t="n">
        <f aca="false">SUM(CAPA3_EXPANSION!BX50:CI50)*SUP_CONTROL!$C$13</f>
        <v>766854.556659705</v>
      </c>
      <c r="U155" s="340" t="n">
        <f aca="false">SUM(CAPA3_EXPANSION!CJ50:CU50)*SUP_CONTROL!$C$13</f>
        <v>911183.079968521</v>
      </c>
      <c r="V155" s="340" t="n">
        <f aca="false">SUM(CAPA3_EXPANSION!CV50:DG50)*SUP_CONTROL!$C$13</f>
        <v>913166.758649576</v>
      </c>
      <c r="W155" s="340" t="n">
        <f aca="false">SUM(CAPA3_EXPANSION!DH50:DS50)*SUP_CONTROL!$C$13</f>
        <v>913166.758649576</v>
      </c>
    </row>
    <row r="156" customFormat="false" ht="15" hidden="false" customHeight="true" outlineLevel="2" collapsed="false">
      <c r="B156" s="605" t="s">
        <v>3655</v>
      </c>
      <c r="C156" s="340" t="n">
        <f aca="false">CAPA4_RETAIL!D18*SUP_CONTROL!$C$14</f>
        <v>0</v>
      </c>
      <c r="D156" s="340" t="n">
        <f aca="false">CAPA4_RETAIL!E18*SUP_CONTROL!$C$14</f>
        <v>0</v>
      </c>
      <c r="E156" s="340" t="n">
        <f aca="false">CAPA4_RETAIL!F18*SUP_CONTROL!$C$14</f>
        <v>0</v>
      </c>
      <c r="F156" s="340" t="n">
        <f aca="false">CAPA4_RETAIL!G18*SUP_CONTROL!$C$14</f>
        <v>0</v>
      </c>
      <c r="G156" s="340" t="n">
        <f aca="false">CAPA4_RETAIL!H18*SUP_CONTROL!$C$14</f>
        <v>0</v>
      </c>
      <c r="H156" s="340" t="n">
        <f aca="false">CAPA4_RETAIL!I18*SUP_CONTROL!$C$14</f>
        <v>0</v>
      </c>
      <c r="I156" s="340" t="n">
        <f aca="false">CAPA4_RETAIL!J18*SUP_CONTROL!$C$14</f>
        <v>0</v>
      </c>
      <c r="J156" s="340" t="n">
        <f aca="false">CAPA4_RETAIL!K18*SUP_CONTROL!$C$14</f>
        <v>0</v>
      </c>
      <c r="K156" s="340" t="n">
        <f aca="false">CAPA4_RETAIL!L18*SUP_CONTROL!$C$14</f>
        <v>0</v>
      </c>
      <c r="L156" s="340" t="n">
        <f aca="false">CAPA4_RETAIL!M18*SUP_CONTROL!$C$14</f>
        <v>0</v>
      </c>
      <c r="M156" s="340" t="n">
        <f aca="false">CAPA4_RETAIL!N18*SUP_CONTROL!$C$14</f>
        <v>0</v>
      </c>
      <c r="N156" s="340" t="n">
        <f aca="false">CAPA4_RETAIL!O18*SUP_CONTROL!$C$14</f>
        <v>0</v>
      </c>
      <c r="O156" s="340" t="n">
        <f aca="false">SUM(CAPA4_RETAIL!P18:AA18)*SUP_CONTROL!$C$14</f>
        <v>0</v>
      </c>
      <c r="P156" s="340" t="n">
        <f aca="false">SUM(CAPA4_RETAIL!AB18:AM18)*SUP_CONTROL!$C$14</f>
        <v>0</v>
      </c>
      <c r="Q156" s="340" t="n">
        <f aca="false">SUM(CAPA4_RETAIL!AN18:AY18)*SUP_CONTROL!$C$14</f>
        <v>0</v>
      </c>
      <c r="R156" s="340" t="n">
        <f aca="false">SUM(CAPA4_RETAIL!AZ18:BK18)*SUP_CONTROL!$C$14</f>
        <v>0</v>
      </c>
      <c r="S156" s="340" t="n">
        <f aca="false">SUM(CAPA4_RETAIL!BL18:BW18)*SUP_CONTROL!$C$14</f>
        <v>0</v>
      </c>
      <c r="T156" s="340" t="n">
        <f aca="false">SUM(CAPA4_RETAIL!BX18:CI18)*SUP_CONTROL!$C$14</f>
        <v>0</v>
      </c>
      <c r="U156" s="340" t="n">
        <f aca="false">SUM(CAPA4_RETAIL!CJ18:CU18)*SUP_CONTROL!$C$14</f>
        <v>0</v>
      </c>
      <c r="V156" s="340" t="n">
        <f aca="false">SUM(CAPA4_RETAIL!CV18:DG18)*SUP_CONTROL!$C$14</f>
        <v>0</v>
      </c>
      <c r="W156" s="340" t="n">
        <f aca="false">SUM(CAPA4_RETAIL!DH18:DS18)*SUP_CONTROL!$C$14</f>
        <v>0</v>
      </c>
    </row>
    <row r="157" customFormat="false" ht="15" hidden="false" customHeight="true" outlineLevel="1" collapsed="false">
      <c r="B157" s="603" t="s">
        <v>3733</v>
      </c>
      <c r="C157" s="602" t="n">
        <f aca="false">C153+C154+C155+C156</f>
        <v>0</v>
      </c>
      <c r="D157" s="602" t="n">
        <f aca="false">D153+D154+D155+D156</f>
        <v>0</v>
      </c>
      <c r="E157" s="602" t="n">
        <f aca="false">E153+E154+E155+E156</f>
        <v>0</v>
      </c>
      <c r="F157" s="602" t="n">
        <f aca="false">F153+F154+F155+F156</f>
        <v>0</v>
      </c>
      <c r="G157" s="602" t="n">
        <f aca="false">G153+G154+G155+G156</f>
        <v>0</v>
      </c>
      <c r="H157" s="602" t="n">
        <f aca="false">H153+H154+H155+H156</f>
        <v>2043.16114691909</v>
      </c>
      <c r="I157" s="602" t="n">
        <f aca="false">I153+I154+I155+I156</f>
        <v>7254.25780088819</v>
      </c>
      <c r="J157" s="602" t="n">
        <f aca="false">J153+J154+J155+J156</f>
        <v>12869.2517610845</v>
      </c>
      <c r="K157" s="602" t="n">
        <f aca="false">K153+K154+K155+K156</f>
        <v>16322.7063496217</v>
      </c>
      <c r="L157" s="602" t="n">
        <f aca="false">L153+L154+L155+L156</f>
        <v>18155.1516414986</v>
      </c>
      <c r="M157" s="602" t="n">
        <f aca="false">M153+M154+M155+M156</f>
        <v>18155.1516414986</v>
      </c>
      <c r="N157" s="602" t="n">
        <f aca="false">N153+N154+N155+N156</f>
        <v>18155.1516414986</v>
      </c>
      <c r="O157" s="602" t="n">
        <f aca="false">O153+O154+O155+O156</f>
        <v>266396.90773894</v>
      </c>
      <c r="P157" s="602" t="n">
        <f aca="false">P153+P154+P155+P156</f>
        <v>339795.688162499</v>
      </c>
      <c r="Q157" s="602" t="n">
        <f aca="false">Q153+Q154+Q155+Q156</f>
        <v>521567.417373825</v>
      </c>
      <c r="R157" s="602" t="n">
        <f aca="false">R153+R154+R155+R156</f>
        <v>624281.931679565</v>
      </c>
      <c r="S157" s="602" t="n">
        <f aca="false">S153+S154+S155+S156</f>
        <v>817254.021725938</v>
      </c>
      <c r="T157" s="602" t="n">
        <f aca="false">T153+T154+T155+T156</f>
        <v>1105575.98626968</v>
      </c>
      <c r="U157" s="602" t="n">
        <f aca="false">U153+U154+U155+U156</f>
        <v>1249453.81382781</v>
      </c>
      <c r="V157" s="602" t="n">
        <f aca="false">V153+V154+V155+V156</f>
        <v>1251460.13962713</v>
      </c>
      <c r="W157" s="602" t="n">
        <f aca="false">W153+W154+W155+W156</f>
        <v>1251460.13962713</v>
      </c>
      <c r="X157" s="218"/>
      <c r="Y157" s="218"/>
      <c r="Z157" s="218"/>
    </row>
    <row r="159" customFormat="false" ht="15" hidden="false" customHeight="true" outlineLevel="0" collapsed="false">
      <c r="B159" s="575" t="s">
        <v>3734</v>
      </c>
      <c r="C159" s="604" t="n">
        <f aca="false">C140+C147+C157</f>
        <v>3416.90619722222</v>
      </c>
      <c r="D159" s="604" t="n">
        <f aca="false">D140+D147+D157</f>
        <v>22923.8123944444</v>
      </c>
      <c r="E159" s="604" t="n">
        <f aca="false">E140+E147+E157</f>
        <v>26340.7185916667</v>
      </c>
      <c r="F159" s="604" t="n">
        <f aca="false">F140+F147+F157</f>
        <v>28269.6182520833</v>
      </c>
      <c r="G159" s="604" t="n">
        <f aca="false">G140+G147+G157</f>
        <v>30584.80195625</v>
      </c>
      <c r="H159" s="604" t="n">
        <f aca="false">H140+H147+H157</f>
        <v>39059.6883842036</v>
      </c>
      <c r="I159" s="604" t="n">
        <f aca="false">I140+I147+I157</f>
        <v>53867.699326621</v>
      </c>
      <c r="J159" s="604" t="n">
        <f aca="false">J140+J147+J157</f>
        <v>70186.9438393173</v>
      </c>
      <c r="K159" s="604" t="n">
        <f aca="false">K140+K147+K157</f>
        <v>76832.1323654154</v>
      </c>
      <c r="L159" s="604" t="n">
        <f aca="false">L140+L147+L157</f>
        <v>80358.1507670184</v>
      </c>
      <c r="M159" s="604" t="n">
        <f aca="false">M140+M147+M157</f>
        <v>80358.1507670184</v>
      </c>
      <c r="N159" s="604" t="n">
        <f aca="false">N140+N147+N157</f>
        <v>80358.1507670184</v>
      </c>
      <c r="O159" s="604" t="n">
        <f aca="false">O140+O147+O157</f>
        <v>1005359.3643539</v>
      </c>
      <c r="P159" s="604" t="n">
        <f aca="false">P140+P147+P157</f>
        <v>1169616.74912696</v>
      </c>
      <c r="Q159" s="604" t="n">
        <f aca="false">Q140+Q147+Q157</f>
        <v>1584470.10622469</v>
      </c>
      <c r="R159" s="604" t="n">
        <f aca="false">R140+R147+R157</f>
        <v>1891486.85038991</v>
      </c>
      <c r="S159" s="604" t="n">
        <f aca="false">S140+S147+S157</f>
        <v>2354652.87695126</v>
      </c>
      <c r="T159" s="604" t="n">
        <f aca="false">T140+T147+T157</f>
        <v>2952005.25271254</v>
      </c>
      <c r="U159" s="604" t="n">
        <f aca="false">U140+U147+U157</f>
        <v>3334097.05523028</v>
      </c>
      <c r="V159" s="604" t="n">
        <f aca="false">V140+V147+V157</f>
        <v>3336887.63565426</v>
      </c>
      <c r="W159" s="604" t="n">
        <f aca="false">W140+W147+W157</f>
        <v>3336887.63565426</v>
      </c>
      <c r="X159" s="576"/>
      <c r="Y159" s="576"/>
      <c r="Z159" s="576"/>
    </row>
    <row r="162" customFormat="false" ht="15" hidden="false" customHeight="true" outlineLevel="0" collapsed="false">
      <c r="B162" s="337" t="s">
        <v>3735</v>
      </c>
      <c r="C162" s="609" t="n">
        <f aca="false">C149-C157</f>
        <v>-3416.90619722222</v>
      </c>
      <c r="D162" s="609" t="n">
        <f aca="false">D149-D157</f>
        <v>-22923.8123944444</v>
      </c>
      <c r="E162" s="609" t="n">
        <f aca="false">E149-E157</f>
        <v>-26340.7185916667</v>
      </c>
      <c r="F162" s="609" t="n">
        <f aca="false">F149-F157</f>
        <v>-26686.6061330613</v>
      </c>
      <c r="G162" s="609" t="n">
        <f aca="false">G149-G157</f>
        <v>-11004.659719487</v>
      </c>
      <c r="H162" s="609" t="n">
        <f aca="false">H149-H157</f>
        <v>3966.13634401944</v>
      </c>
      <c r="I162" s="609" t="n">
        <f aca="false">I149-I157</f>
        <v>14081.7945546653</v>
      </c>
      <c r="J162" s="609" t="n">
        <f aca="false">J149-J157</f>
        <v>24981.4887126935</v>
      </c>
      <c r="K162" s="609" t="n">
        <f aca="false">K149-K157</f>
        <v>31685.2535022069</v>
      </c>
      <c r="L162" s="609" t="n">
        <f aca="false">L149-L157</f>
        <v>35242.3531864385</v>
      </c>
      <c r="M162" s="609" t="n">
        <f aca="false">M149-M157</f>
        <v>35242.3531864385</v>
      </c>
      <c r="N162" s="609" t="n">
        <f aca="false">N149-N157</f>
        <v>35242.3531864385</v>
      </c>
      <c r="O162" s="609" t="n">
        <f aca="false">O149-O157</f>
        <v>513266.870098628</v>
      </c>
      <c r="P162" s="609" t="n">
        <f aca="false">P149-P157</f>
        <v>659603.394668381</v>
      </c>
      <c r="Q162" s="609" t="n">
        <f aca="false">Q149-Q157</f>
        <v>1012454.39843154</v>
      </c>
      <c r="R162" s="609" t="n">
        <f aca="false">R149-R157</f>
        <v>1211841.39678974</v>
      </c>
      <c r="S162" s="609" t="n">
        <f aca="false">S149-S157</f>
        <v>1586434.27746799</v>
      </c>
      <c r="T162" s="609" t="n">
        <f aca="false">T149-T157</f>
        <v>2146118.09099409</v>
      </c>
      <c r="U162" s="609" t="n">
        <f aca="false">U149-U157</f>
        <v>2425410.34448929</v>
      </c>
      <c r="V162" s="609" t="n">
        <f aca="false">V149-V157</f>
        <v>2429304.97692326</v>
      </c>
      <c r="W162" s="609" t="n">
        <f aca="false">W149-W157</f>
        <v>2429304.97692326</v>
      </c>
      <c r="X162" s="2"/>
      <c r="Y162" s="2"/>
      <c r="Z162" s="2"/>
    </row>
    <row r="163" customFormat="false" ht="15" hidden="false" customHeight="true" outlineLevel="0" collapsed="false">
      <c r="B163" s="610" t="s">
        <v>3736</v>
      </c>
      <c r="C163" s="611" t="n">
        <f aca="false">IFERROR(C162/C75,0)</f>
        <v>0</v>
      </c>
      <c r="D163" s="611" t="n">
        <f aca="false">IFERROR(D162/D75,0)</f>
        <v>0</v>
      </c>
      <c r="E163" s="611" t="n">
        <f aca="false">IFERROR(E162/E75,0)</f>
        <v>0</v>
      </c>
      <c r="F163" s="611" t="n">
        <f aca="false">IFERROR(F162/F75,0)</f>
        <v>-0.351168825320424</v>
      </c>
      <c r="G163" s="611" t="n">
        <f aca="false">IFERROR(G162/G75,0)</f>
        <v>-0.0653981659281284</v>
      </c>
      <c r="H163" s="611" t="n">
        <f aca="false">IFERROR(H162/H75,0)</f>
        <v>0.014326764047291</v>
      </c>
      <c r="I163" s="611" t="n">
        <f aca="false">IFERROR(I162/I75,0)</f>
        <v>0.0354887964849578</v>
      </c>
      <c r="J163" s="611" t="n">
        <f aca="false">IFERROR(J162/J75,0)</f>
        <v>0.0470817063291561</v>
      </c>
      <c r="K163" s="611" t="n">
        <f aca="false">IFERROR(K162/K75,0)</f>
        <v>0.0555399027141306</v>
      </c>
      <c r="L163" s="611" t="n">
        <f aca="false">IFERROR(L162/L75,0)</f>
        <v>0.059564711946936</v>
      </c>
      <c r="M163" s="611" t="n">
        <f aca="false">IFERROR(M162/M75,0)</f>
        <v>0.059564711946936</v>
      </c>
      <c r="N163" s="611" t="n">
        <f aca="false">IFERROR(N162/N75,0)</f>
        <v>0.059564711946936</v>
      </c>
      <c r="O163" s="611" t="n">
        <f aca="false">IFERROR(O162/O75,0)</f>
        <v>0.0661932389810709</v>
      </c>
      <c r="P163" s="611" t="n">
        <f aca="false">IFERROR(P162/P75,0)</f>
        <v>0.0689212675209522</v>
      </c>
      <c r="Q163" s="611" t="n">
        <f aca="false">IFERROR(Q162/Q75,0)</f>
        <v>0.0761358796331252</v>
      </c>
      <c r="R163" s="611" t="n">
        <f aca="false">IFERROR(R162/R75,0)</f>
        <v>0.0737533067648807</v>
      </c>
      <c r="S163" s="611" t="n">
        <f aca="false">IFERROR(S162/S75,0)</f>
        <v>0.0744804215485478</v>
      </c>
      <c r="T163" s="611" t="n">
        <f aca="false">IFERROR(T162/T75,0)</f>
        <v>0.0773589019642507</v>
      </c>
      <c r="U163" s="611" t="n">
        <f aca="false">IFERROR(U162/U75,0)</f>
        <v>0.0769039549613045</v>
      </c>
      <c r="V163" s="611" t="n">
        <f aca="false">IFERROR(V162/V75,0)</f>
        <v>0.0769795884601403</v>
      </c>
      <c r="W163" s="611" t="n">
        <f aca="false">IFERROR(W162/W75,0)</f>
        <v>0.0769795884601403</v>
      </c>
      <c r="X163" s="2"/>
      <c r="Y163" s="2"/>
      <c r="Z163" s="2"/>
    </row>
    <row r="165" customFormat="false" ht="42" hidden="false" customHeight="true" outlineLevel="0" collapsed="false">
      <c r="B165" s="577" t="s">
        <v>3737</v>
      </c>
      <c r="C165" s="577"/>
      <c r="D165" s="577"/>
      <c r="E165" s="577"/>
      <c r="F165" s="577"/>
      <c r="G165" s="577"/>
      <c r="H165" s="577"/>
      <c r="I165" s="577"/>
      <c r="J165" s="577"/>
      <c r="K165" s="577"/>
      <c r="L165" s="577"/>
      <c r="M165" s="577"/>
      <c r="N165" s="577"/>
      <c r="O165" s="577"/>
      <c r="P165" s="577"/>
      <c r="Q165" s="577"/>
      <c r="R165" s="577"/>
      <c r="S165" s="577"/>
      <c r="T165" s="577"/>
      <c r="U165" s="577"/>
      <c r="V165" s="577"/>
      <c r="W165" s="577"/>
    </row>
    <row r="168" customFormat="false" ht="15" hidden="false" customHeight="true" outlineLevel="0" collapsed="false">
      <c r="B168" s="337" t="s">
        <v>3738</v>
      </c>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5" hidden="false" customHeight="true" outlineLevel="0" collapsed="false">
      <c r="B169" s="577" t="s">
        <v>3739</v>
      </c>
      <c r="C169" s="577"/>
      <c r="D169" s="577"/>
      <c r="E169" s="577"/>
      <c r="F169" s="577"/>
      <c r="G169" s="577"/>
      <c r="H169" s="577"/>
      <c r="I169" s="577"/>
      <c r="J169" s="577"/>
      <c r="K169" s="577"/>
      <c r="L169" s="577"/>
      <c r="M169" s="577"/>
      <c r="N169" s="577"/>
      <c r="O169" s="577"/>
      <c r="P169" s="577"/>
      <c r="Q169" s="577"/>
      <c r="R169" s="577"/>
      <c r="S169" s="577"/>
      <c r="T169" s="577"/>
      <c r="U169" s="577"/>
      <c r="V169" s="577"/>
      <c r="W169" s="577"/>
      <c r="X169" s="577"/>
      <c r="Y169" s="577"/>
      <c r="Z169" s="577"/>
    </row>
    <row r="171" customFormat="false" ht="15" hidden="false" customHeight="true" outlineLevel="0" collapsed="false">
      <c r="B171" s="578" t="s">
        <v>3740</v>
      </c>
      <c r="C171" s="581" t="n">
        <f aca="false">C75</f>
        <v>0</v>
      </c>
      <c r="D171" s="581" t="n">
        <f aca="false">D75</f>
        <v>0</v>
      </c>
      <c r="E171" s="581" t="n">
        <f aca="false">E75</f>
        <v>0</v>
      </c>
      <c r="F171" s="581" t="n">
        <f aca="false">F75</f>
        <v>75993.6651800203</v>
      </c>
      <c r="G171" s="581" t="n">
        <f aca="false">G75</f>
        <v>168271.687184331</v>
      </c>
      <c r="H171" s="581" t="n">
        <f aca="false">H75</f>
        <v>276834.066012931</v>
      </c>
      <c r="I171" s="581" t="n">
        <f aca="false">I75</f>
        <v>396795.494618535</v>
      </c>
      <c r="J171" s="581" t="n">
        <f aca="false">J75</f>
        <v>530598.626524785</v>
      </c>
      <c r="K171" s="581" t="n">
        <f aca="false">K75</f>
        <v>570495.300744295</v>
      </c>
      <c r="L171" s="581" t="n">
        <f aca="false">L75</f>
        <v>591664.964615872</v>
      </c>
      <c r="M171" s="581" t="n">
        <f aca="false">M75</f>
        <v>591664.964615872</v>
      </c>
      <c r="N171" s="581" t="n">
        <f aca="false">N75</f>
        <v>591664.964615872</v>
      </c>
      <c r="O171" s="581" t="n">
        <f aca="false">O75</f>
        <v>7754067.90783279</v>
      </c>
      <c r="P171" s="581" t="n">
        <f aca="false">P75</f>
        <v>9570389.78524098</v>
      </c>
      <c r="Q171" s="581" t="n">
        <f aca="false">Q75</f>
        <v>13297993.0528187</v>
      </c>
      <c r="R171" s="581" t="n">
        <f aca="false">R75</f>
        <v>16431011.0277901</v>
      </c>
      <c r="S171" s="581" t="n">
        <f aca="false">S75</f>
        <v>21300017.4338961</v>
      </c>
      <c r="T171" s="581" t="n">
        <f aca="false">T75</f>
        <v>27742354.6159673</v>
      </c>
      <c r="U171" s="581" t="n">
        <f aca="false">U75</f>
        <v>31538174.4113118</v>
      </c>
      <c r="V171" s="581" t="n">
        <f aca="false">V75</f>
        <v>31557780.7769282</v>
      </c>
      <c r="W171" s="581" t="n">
        <f aca="false">W75</f>
        <v>31557780.7769282</v>
      </c>
    </row>
    <row r="172" customFormat="false" ht="15" hidden="false" customHeight="true" outlineLevel="0" collapsed="false">
      <c r="B172" s="578" t="s">
        <v>3741</v>
      </c>
      <c r="C172" s="340" t="n">
        <f aca="false">CONSOLIDADO!D14</f>
        <v>0</v>
      </c>
      <c r="D172" s="340" t="n">
        <f aca="false">CONSOLIDADO!E14</f>
        <v>0</v>
      </c>
      <c r="E172" s="340" t="n">
        <f aca="false">CONSOLIDADO!F14</f>
        <v>0</v>
      </c>
      <c r="F172" s="340" t="n">
        <f aca="false">CONSOLIDADO!G14</f>
        <v>75993.6651800203</v>
      </c>
      <c r="G172" s="340" t="n">
        <f aca="false">CONSOLIDADO!H14</f>
        <v>168271.687184331</v>
      </c>
      <c r="H172" s="340" t="n">
        <f aca="false">CONSOLIDADO!I14</f>
        <v>276834.066012931</v>
      </c>
      <c r="I172" s="340" t="n">
        <f aca="false">CONSOLIDADO!J14</f>
        <v>396795.494618535</v>
      </c>
      <c r="J172" s="340" t="n">
        <f aca="false">CONSOLIDADO!K14</f>
        <v>530598.626524785</v>
      </c>
      <c r="K172" s="340" t="n">
        <f aca="false">CONSOLIDADO!L14</f>
        <v>570495.300744295</v>
      </c>
      <c r="L172" s="340" t="n">
        <f aca="false">CONSOLIDADO!M14</f>
        <v>591664.964615872</v>
      </c>
      <c r="M172" s="340" t="n">
        <f aca="false">CONSOLIDADO!N14</f>
        <v>591664.964615872</v>
      </c>
      <c r="N172" s="340" t="n">
        <f aca="false">CONSOLIDADO!O14</f>
        <v>591664.964615872</v>
      </c>
      <c r="O172" s="340" t="n">
        <f aca="false">SUM(CONSOLIDADO!P14:AA14)</f>
        <v>7754067.90783279</v>
      </c>
      <c r="P172" s="340" t="n">
        <f aca="false">SUM(CONSOLIDADO!AB14:AM14)</f>
        <v>9570389.78524098</v>
      </c>
      <c r="Q172" s="340" t="n">
        <f aca="false">SUM(CONSOLIDADO!AN14:AY14)</f>
        <v>13297993.0528187</v>
      </c>
      <c r="R172" s="340" t="n">
        <f aca="false">SUM(CONSOLIDADO!AZ14:BK14)</f>
        <v>16431011.0277901</v>
      </c>
      <c r="S172" s="340" t="n">
        <f aca="false">SUM(CONSOLIDADO!BL14:BW14)</f>
        <v>21300017.4338961</v>
      </c>
      <c r="T172" s="340" t="n">
        <f aca="false">SUM(CONSOLIDADO!BX14:CI14)</f>
        <v>27742354.6159673</v>
      </c>
      <c r="U172" s="340" t="n">
        <f aca="false">SUM(CONSOLIDADO!CJ14:CU14)</f>
        <v>31538174.4113118</v>
      </c>
      <c r="V172" s="340" t="n">
        <f aca="false">SUM(CONSOLIDADO!CV14:DG14)</f>
        <v>31557780.7769282</v>
      </c>
      <c r="W172" s="340" t="n">
        <f aca="false">SUM(CONSOLIDADO!DH14:DS14)</f>
        <v>31557780.7769282</v>
      </c>
    </row>
    <row r="173" customFormat="false" ht="15" hidden="false" customHeight="true" outlineLevel="0" collapsed="false">
      <c r="B173" s="578" t="s">
        <v>3742</v>
      </c>
      <c r="C173" s="612" t="str">
        <f aca="false">IF(ABS(C171-C172)&lt;1,"OK","REVISAR")</f>
        <v>OK</v>
      </c>
      <c r="D173" s="612" t="str">
        <f aca="false">IF(ABS(D171-D172)&lt;1,"OK","REVISAR")</f>
        <v>OK</v>
      </c>
      <c r="E173" s="612" t="str">
        <f aca="false">IF(ABS(E171-E172)&lt;1,"OK","REVISAR")</f>
        <v>OK</v>
      </c>
      <c r="F173" s="612" t="str">
        <f aca="false">IF(ABS(F171-F172)&lt;1,"OK","REVISAR")</f>
        <v>OK</v>
      </c>
      <c r="G173" s="612" t="str">
        <f aca="false">IF(ABS(G171-G172)&lt;1,"OK","REVISAR")</f>
        <v>OK</v>
      </c>
      <c r="H173" s="612" t="str">
        <f aca="false">IF(ABS(H171-H172)&lt;1,"OK","REVISAR")</f>
        <v>OK</v>
      </c>
      <c r="I173" s="612" t="str">
        <f aca="false">IF(ABS(I171-I172)&lt;1,"OK","REVISAR")</f>
        <v>OK</v>
      </c>
      <c r="J173" s="612" t="str">
        <f aca="false">IF(ABS(J171-J172)&lt;1,"OK","REVISAR")</f>
        <v>OK</v>
      </c>
      <c r="K173" s="612" t="str">
        <f aca="false">IF(ABS(K171-K172)&lt;1,"OK","REVISAR")</f>
        <v>OK</v>
      </c>
      <c r="L173" s="612" t="str">
        <f aca="false">IF(ABS(L171-L172)&lt;1,"OK","REVISAR")</f>
        <v>OK</v>
      </c>
      <c r="M173" s="612" t="str">
        <f aca="false">IF(ABS(M171-M172)&lt;1,"OK","REVISAR")</f>
        <v>OK</v>
      </c>
      <c r="N173" s="612" t="str">
        <f aca="false">IF(ABS(N171-N172)&lt;1,"OK","REVISAR")</f>
        <v>OK</v>
      </c>
      <c r="O173" s="612" t="str">
        <f aca="false">IF(ABS(O171-O172)&lt;1,"OK","REVISAR")</f>
        <v>OK</v>
      </c>
      <c r="P173" s="612" t="str">
        <f aca="false">IF(ABS(P171-P172)&lt;1,"OK","REVISAR")</f>
        <v>OK</v>
      </c>
      <c r="Q173" s="612" t="str">
        <f aca="false">IF(ABS(Q171-Q172)&lt;1,"OK","REVISAR")</f>
        <v>OK</v>
      </c>
      <c r="R173" s="612" t="str">
        <f aca="false">IF(ABS(R171-R172)&lt;1,"OK","REVISAR")</f>
        <v>OK</v>
      </c>
      <c r="S173" s="612" t="str">
        <f aca="false">IF(ABS(S171-S172)&lt;1,"OK","REVISAR")</f>
        <v>OK</v>
      </c>
      <c r="T173" s="612" t="str">
        <f aca="false">IF(ABS(T171-T172)&lt;1,"OK","REVISAR")</f>
        <v>OK</v>
      </c>
      <c r="U173" s="612" t="str">
        <f aca="false">IF(ABS(U171-U172)&lt;1,"OK","REVISAR")</f>
        <v>OK</v>
      </c>
      <c r="V173" s="612" t="str">
        <f aca="false">IF(ABS(V171-V172)&lt;1,"OK","REVISAR")</f>
        <v>OK</v>
      </c>
      <c r="W173" s="612" t="str">
        <f aca="false">IF(ABS(W171-W172)&lt;1,"OK","REVISAR")</f>
        <v>OK</v>
      </c>
    </row>
    <row r="175" customFormat="false" ht="15" hidden="false" customHeight="true" outlineLevel="0" collapsed="false">
      <c r="B175" s="578" t="s">
        <v>3743</v>
      </c>
      <c r="C175" s="581" t="n">
        <f aca="false">C162</f>
        <v>-3416.90619722222</v>
      </c>
      <c r="D175" s="581" t="n">
        <f aca="false">D162</f>
        <v>-22923.8123944444</v>
      </c>
      <c r="E175" s="581" t="n">
        <f aca="false">E162</f>
        <v>-26340.7185916667</v>
      </c>
      <c r="F175" s="581" t="n">
        <f aca="false">F162</f>
        <v>-26686.6061330613</v>
      </c>
      <c r="G175" s="581" t="n">
        <f aca="false">G162</f>
        <v>-11004.659719487</v>
      </c>
      <c r="H175" s="581" t="n">
        <f aca="false">H162</f>
        <v>3966.13634401944</v>
      </c>
      <c r="I175" s="581" t="n">
        <f aca="false">I162</f>
        <v>14081.7945546653</v>
      </c>
      <c r="J175" s="581" t="n">
        <f aca="false">J162</f>
        <v>24981.4887126935</v>
      </c>
      <c r="K175" s="581" t="n">
        <f aca="false">K162</f>
        <v>31685.2535022069</v>
      </c>
      <c r="L175" s="581" t="n">
        <f aca="false">L162</f>
        <v>35242.3531864385</v>
      </c>
      <c r="M175" s="581" t="n">
        <f aca="false">M162</f>
        <v>35242.3531864385</v>
      </c>
      <c r="N175" s="581" t="n">
        <f aca="false">N162</f>
        <v>35242.3531864385</v>
      </c>
      <c r="O175" s="581" t="n">
        <f aca="false">O162</f>
        <v>513266.870098628</v>
      </c>
      <c r="P175" s="581" t="n">
        <f aca="false">P162</f>
        <v>659603.394668381</v>
      </c>
      <c r="Q175" s="581" t="n">
        <f aca="false">Q162</f>
        <v>1012454.39843154</v>
      </c>
      <c r="R175" s="581" t="n">
        <f aca="false">R162</f>
        <v>1211841.39678974</v>
      </c>
      <c r="S175" s="581" t="n">
        <f aca="false">S162</f>
        <v>1586434.27746799</v>
      </c>
      <c r="T175" s="581" t="n">
        <f aca="false">T162</f>
        <v>2146118.09099409</v>
      </c>
      <c r="U175" s="581" t="n">
        <f aca="false">U162</f>
        <v>2425410.34448929</v>
      </c>
      <c r="V175" s="581" t="n">
        <f aca="false">V162</f>
        <v>2429304.97692326</v>
      </c>
      <c r="W175" s="581" t="n">
        <f aca="false">W162</f>
        <v>2429304.97692326</v>
      </c>
    </row>
    <row r="176" customFormat="false" ht="15" hidden="false" customHeight="true" outlineLevel="0" collapsed="false">
      <c r="B176" s="578" t="s">
        <v>3744</v>
      </c>
      <c r="C176" s="340" t="n">
        <f aca="false">SUP_CONTROL!$C$11*(CAPA1_PILOTO!D23-CAPA1_PILOTO!D29-CAPA1_PILOTO!D31)+SUP_CONTROL!$C$12*(CAPA2_FLAGSHIP!D18-CAPA2_FLAGSHIP!D23-CAPA2_FLAGSHIP!D25)+SUP_CONTROL!$C$13*(CAPA3_EXPANSION!D46-CAPA3_EXPANSION!D48-CAPA3_EXPANSION!D50)+SUP_CONTROL!$C$14*(CAPA4_RETAIL!D12-CAPA4_RETAIL!D16-CAPA4_RETAIL!D18)</f>
        <v>-3416.90619722222</v>
      </c>
      <c r="D176" s="340" t="n">
        <f aca="false">SUP_CONTROL!$C$11*(CAPA1_PILOTO!E23-CAPA1_PILOTO!E29-CAPA1_PILOTO!E31)+SUP_CONTROL!$C$12*(CAPA2_FLAGSHIP!E18-CAPA2_FLAGSHIP!E23-CAPA2_FLAGSHIP!E25)+SUP_CONTROL!$C$13*(CAPA3_EXPANSION!E46-CAPA3_EXPANSION!E48-CAPA3_EXPANSION!E50)+SUP_CONTROL!$C$14*(CAPA4_RETAIL!E12-CAPA4_RETAIL!E16-CAPA4_RETAIL!E18)</f>
        <v>-22923.8123944444</v>
      </c>
      <c r="E176" s="340" t="n">
        <f aca="false">SUP_CONTROL!$C$11*(CAPA1_PILOTO!F23-CAPA1_PILOTO!F29-CAPA1_PILOTO!F31)+SUP_CONTROL!$C$12*(CAPA2_FLAGSHIP!F18-CAPA2_FLAGSHIP!F23-CAPA2_FLAGSHIP!F25)+SUP_CONTROL!$C$13*(CAPA3_EXPANSION!F46-CAPA3_EXPANSION!F48-CAPA3_EXPANSION!F50)+SUP_CONTROL!$C$14*(CAPA4_RETAIL!F12-CAPA4_RETAIL!F16-CAPA4_RETAIL!F18)</f>
        <v>-26340.7185916667</v>
      </c>
      <c r="F176" s="340" t="n">
        <f aca="false">SUP_CONTROL!$C$11*(CAPA1_PILOTO!G23-CAPA1_PILOTO!G29-CAPA1_PILOTO!G31)+SUP_CONTROL!$C$12*(CAPA2_FLAGSHIP!G18-CAPA2_FLAGSHIP!G23-CAPA2_FLAGSHIP!G25)+SUP_CONTROL!$C$13*(CAPA3_EXPANSION!G46-CAPA3_EXPANSION!G48-CAPA3_EXPANSION!G50)+SUP_CONTROL!$C$14*(CAPA4_RETAIL!G12-CAPA4_RETAIL!G16-CAPA4_RETAIL!G18)</f>
        <v>-26686.6061330613</v>
      </c>
      <c r="G176" s="340" t="n">
        <f aca="false">SUP_CONTROL!$C$11*(CAPA1_PILOTO!H23-CAPA1_PILOTO!H29-CAPA1_PILOTO!H31)+SUP_CONTROL!$C$12*(CAPA2_FLAGSHIP!H18-CAPA2_FLAGSHIP!H23-CAPA2_FLAGSHIP!H25)+SUP_CONTROL!$C$13*(CAPA3_EXPANSION!H46-CAPA3_EXPANSION!H48-CAPA3_EXPANSION!H50)+SUP_CONTROL!$C$14*(CAPA4_RETAIL!H12-CAPA4_RETAIL!H16-CAPA4_RETAIL!H18)</f>
        <v>-11004.659719487</v>
      </c>
      <c r="H176" s="340" t="n">
        <f aca="false">SUP_CONTROL!$C$11*(CAPA1_PILOTO!I23-CAPA1_PILOTO!I29-CAPA1_PILOTO!I31)+SUP_CONTROL!$C$12*(CAPA2_FLAGSHIP!I18-CAPA2_FLAGSHIP!I23-CAPA2_FLAGSHIP!I25)+SUP_CONTROL!$C$13*(CAPA3_EXPANSION!I46-CAPA3_EXPANSION!I48-CAPA3_EXPANSION!I50)+SUP_CONTROL!$C$14*(CAPA4_RETAIL!I12-CAPA4_RETAIL!I16-CAPA4_RETAIL!I18)</f>
        <v>3966.1363440194</v>
      </c>
      <c r="I176" s="340" t="n">
        <f aca="false">SUP_CONTROL!$C$11*(CAPA1_PILOTO!J23-CAPA1_PILOTO!J29-CAPA1_PILOTO!J31)+SUP_CONTROL!$C$12*(CAPA2_FLAGSHIP!J18-CAPA2_FLAGSHIP!J23-CAPA2_FLAGSHIP!J25)+SUP_CONTROL!$C$13*(CAPA3_EXPANSION!J46-CAPA3_EXPANSION!J48-CAPA3_EXPANSION!J50)+SUP_CONTROL!$C$14*(CAPA4_RETAIL!J12-CAPA4_RETAIL!J16-CAPA4_RETAIL!J18)</f>
        <v>14081.7945546653</v>
      </c>
      <c r="J176" s="340" t="n">
        <f aca="false">SUP_CONTROL!$C$11*(CAPA1_PILOTO!K23-CAPA1_PILOTO!K29-CAPA1_PILOTO!K31)+SUP_CONTROL!$C$12*(CAPA2_FLAGSHIP!K18-CAPA2_FLAGSHIP!K23-CAPA2_FLAGSHIP!K25)+SUP_CONTROL!$C$13*(CAPA3_EXPANSION!K46-CAPA3_EXPANSION!K48-CAPA3_EXPANSION!K50)+SUP_CONTROL!$C$14*(CAPA4_RETAIL!K12-CAPA4_RETAIL!K16-CAPA4_RETAIL!K18)</f>
        <v>24981.4887126935</v>
      </c>
      <c r="K176" s="340" t="n">
        <f aca="false">SUP_CONTROL!$C$11*(CAPA1_PILOTO!L23-CAPA1_PILOTO!L29-CAPA1_PILOTO!L31)+SUP_CONTROL!$C$12*(CAPA2_FLAGSHIP!L18-CAPA2_FLAGSHIP!L23-CAPA2_FLAGSHIP!L25)+SUP_CONTROL!$C$13*(CAPA3_EXPANSION!L46-CAPA3_EXPANSION!L48-CAPA3_EXPANSION!L50)+SUP_CONTROL!$C$14*(CAPA4_RETAIL!L12-CAPA4_RETAIL!L16-CAPA4_RETAIL!L18)</f>
        <v>31685.2535022069</v>
      </c>
      <c r="L176" s="340" t="n">
        <f aca="false">SUP_CONTROL!$C$11*(CAPA1_PILOTO!M23-CAPA1_PILOTO!M29-CAPA1_PILOTO!M31)+SUP_CONTROL!$C$12*(CAPA2_FLAGSHIP!M18-CAPA2_FLAGSHIP!M23-CAPA2_FLAGSHIP!M25)+SUP_CONTROL!$C$13*(CAPA3_EXPANSION!M46-CAPA3_EXPANSION!M48-CAPA3_EXPANSION!M50)+SUP_CONTROL!$C$14*(CAPA4_RETAIL!M12-CAPA4_RETAIL!M16-CAPA4_RETAIL!M18)</f>
        <v>35242.3531864385</v>
      </c>
      <c r="M176" s="340" t="n">
        <f aca="false">SUP_CONTROL!$C$11*(CAPA1_PILOTO!N23-CAPA1_PILOTO!N29-CAPA1_PILOTO!N31)+SUP_CONTROL!$C$12*(CAPA2_FLAGSHIP!N18-CAPA2_FLAGSHIP!N23-CAPA2_FLAGSHIP!N25)+SUP_CONTROL!$C$13*(CAPA3_EXPANSION!N46-CAPA3_EXPANSION!N48-CAPA3_EXPANSION!N50)+SUP_CONTROL!$C$14*(CAPA4_RETAIL!N12-CAPA4_RETAIL!N16-CAPA4_RETAIL!N18)</f>
        <v>35242.3531864385</v>
      </c>
      <c r="N176" s="340" t="n">
        <f aca="false">SUP_CONTROL!$C$11*(CAPA1_PILOTO!O23-CAPA1_PILOTO!O29-CAPA1_PILOTO!O31)+SUP_CONTROL!$C$12*(CAPA2_FLAGSHIP!O18-CAPA2_FLAGSHIP!O23-CAPA2_FLAGSHIP!O25)+SUP_CONTROL!$C$13*(CAPA3_EXPANSION!O46-CAPA3_EXPANSION!O48-CAPA3_EXPANSION!O50)+SUP_CONTROL!$C$14*(CAPA4_RETAIL!O12-CAPA4_RETAIL!O16-CAPA4_RETAIL!O18)</f>
        <v>35242.3531864385</v>
      </c>
      <c r="O176" s="340" t="n">
        <f aca="false">SUP_CONTROL!$C$11*(SUM(CAPA1_PILOTO!P23:AA23)-SUM(CAPA1_PILOTO!P29:AA29)-SUM(CAPA1_PILOTO!P31:AA31))+SUP_CONTROL!$C$12*(SUM(CAPA2_FLAGSHIP!P18:AA18)-SUM(CAPA2_FLAGSHIP!P23:AA23)-SUM(CAPA2_FLAGSHIP!P25:AA25))+SUP_CONTROL!$C$13*(SUM(CAPA3_EXPANSION!P46:AA46)-SUM(CAPA3_EXPANSION!P48:AA48)-SUM(CAPA3_EXPANSION!P50:AA50))+SUP_CONTROL!$C$14*(SUM(CAPA4_RETAIL!P12:AA12)-SUM(CAPA4_RETAIL!P16:AA16)-SUM(CAPA4_RETAIL!P18:AA18))</f>
        <v>513266.870098628</v>
      </c>
      <c r="P176" s="340" t="n">
        <f aca="false">SUP_CONTROL!$C$11*(SUM(CAPA1_PILOTO!AB23:AM23)-SUM(CAPA1_PILOTO!AB29:AM29)-SUM(CAPA1_PILOTO!AB31:AM31))+SUP_CONTROL!$C$12*(SUM(CAPA2_FLAGSHIP!AB18:AM18)-SUM(CAPA2_FLAGSHIP!AB23:AM23)-SUM(CAPA2_FLAGSHIP!AB25:AM25))+SUP_CONTROL!$C$13*(SUM(CAPA3_EXPANSION!AB46:AM46)-SUM(CAPA3_EXPANSION!AB48:AM48)-SUM(CAPA3_EXPANSION!AB50:AM50))+SUP_CONTROL!$C$14*(SUM(CAPA4_RETAIL!AB12:AM12)-SUM(CAPA4_RETAIL!AB16:AM16)-SUM(CAPA4_RETAIL!AB18:AM18))</f>
        <v>659603.39466838</v>
      </c>
      <c r="Q176" s="340" t="n">
        <f aca="false">SUP_CONTROL!$C$11*(SUM(CAPA1_PILOTO!AN23:AY23)-SUM(CAPA1_PILOTO!AN29:AY29)-SUM(CAPA1_PILOTO!AN31:AY31))+SUP_CONTROL!$C$12*(SUM(CAPA2_FLAGSHIP!AN18:AY18)-SUM(CAPA2_FLAGSHIP!AN23:AY23)-SUM(CAPA2_FLAGSHIP!AN25:AY25))+SUP_CONTROL!$C$13*(SUM(CAPA3_EXPANSION!AN46:AY46)-SUM(CAPA3_EXPANSION!AN48:AY48)-SUM(CAPA3_EXPANSION!AN50:AY50))+SUP_CONTROL!$C$14*(SUM(CAPA4_RETAIL!AN12:AY12)-SUM(CAPA4_RETAIL!AN16:AY16)-SUM(CAPA4_RETAIL!AN18:AY18))</f>
        <v>1012454.39843154</v>
      </c>
      <c r="R176" s="340" t="n">
        <f aca="false">SUP_CONTROL!$C$11*(SUM(CAPA1_PILOTO!AZ23:BK23)-SUM(CAPA1_PILOTO!AZ29:BK29)-SUM(CAPA1_PILOTO!AZ31:BK31))+SUP_CONTROL!$C$12*(SUM(CAPA2_FLAGSHIP!AZ18:BK18)-SUM(CAPA2_FLAGSHIP!AZ23:BK23)-SUM(CAPA2_FLAGSHIP!AZ25:BK25))+SUP_CONTROL!$C$13*(SUM(CAPA3_EXPANSION!AZ46:BK46)-SUM(CAPA3_EXPANSION!AZ48:BK48)-SUM(CAPA3_EXPANSION!AZ50:BK50))+SUP_CONTROL!$C$14*(SUM(CAPA4_RETAIL!AZ12:BK12)-SUM(CAPA4_RETAIL!AZ16:BK16)-SUM(CAPA4_RETAIL!AZ18:BK18))</f>
        <v>1211841.39678974</v>
      </c>
      <c r="S176" s="340" t="n">
        <f aca="false">SUP_CONTROL!$C$11*(SUM(CAPA1_PILOTO!BL23:BW23)-SUM(CAPA1_PILOTO!BL29:BW29)-SUM(CAPA1_PILOTO!BL31:BW31))+SUP_CONTROL!$C$12*(SUM(CAPA2_FLAGSHIP!BL18:BW18)-SUM(CAPA2_FLAGSHIP!BL23:BW23)-SUM(CAPA2_FLAGSHIP!BL25:BW25))+SUP_CONTROL!$C$13*(SUM(CAPA3_EXPANSION!BL46:BW46)-SUM(CAPA3_EXPANSION!BL48:BW48)-SUM(CAPA3_EXPANSION!BL50:BW50))+SUP_CONTROL!$C$14*(SUM(CAPA4_RETAIL!BL12:BW12)-SUM(CAPA4_RETAIL!BL16:BW16)-SUM(CAPA4_RETAIL!BL18:BW18))</f>
        <v>1586434.277468</v>
      </c>
      <c r="T176" s="340" t="n">
        <f aca="false">SUP_CONTROL!$C$11*(SUM(CAPA1_PILOTO!BX23:CI23)-SUM(CAPA1_PILOTO!BX29:CI29)-SUM(CAPA1_PILOTO!BX31:CI31))+SUP_CONTROL!$C$12*(SUM(CAPA2_FLAGSHIP!BX18:CI18)-SUM(CAPA2_FLAGSHIP!BX23:CI23)-SUM(CAPA2_FLAGSHIP!BX25:CI25))+SUP_CONTROL!$C$13*(SUM(CAPA3_EXPANSION!BX46:CI46)-SUM(CAPA3_EXPANSION!BX48:CI48)-SUM(CAPA3_EXPANSION!BX50:CI50))+SUP_CONTROL!$C$14*(SUM(CAPA4_RETAIL!BX12:CI12)-SUM(CAPA4_RETAIL!BX16:CI16)-SUM(CAPA4_RETAIL!BX18:CI18))</f>
        <v>2146118.09099409</v>
      </c>
      <c r="U176" s="340" t="n">
        <f aca="false">SUP_CONTROL!$C$11*(SUM(CAPA1_PILOTO!CJ23:CU23)-SUM(CAPA1_PILOTO!CJ29:CU29)-SUM(CAPA1_PILOTO!CJ31:CU31))+SUP_CONTROL!$C$12*(SUM(CAPA2_FLAGSHIP!CJ18:CU18)-SUM(CAPA2_FLAGSHIP!CJ23:CU23)-SUM(CAPA2_FLAGSHIP!CJ25:CU25))+SUP_CONTROL!$C$13*(SUM(CAPA3_EXPANSION!CJ46:CU46)-SUM(CAPA3_EXPANSION!CJ48:CU48)-SUM(CAPA3_EXPANSION!CJ50:CU50))+SUP_CONTROL!$C$14*(SUM(CAPA4_RETAIL!CJ12:CU12)-SUM(CAPA4_RETAIL!CJ16:CU16)-SUM(CAPA4_RETAIL!CJ18:CU18))</f>
        <v>2425410.34448928</v>
      </c>
      <c r="V176" s="340" t="n">
        <f aca="false">SUP_CONTROL!$C$11*(SUM(CAPA1_PILOTO!CV23:DG23)-SUM(CAPA1_PILOTO!CV29:DG29)-SUM(CAPA1_PILOTO!CV31:DG31))+SUP_CONTROL!$C$12*(SUM(CAPA2_FLAGSHIP!CV18:DG18)-SUM(CAPA2_FLAGSHIP!CV23:DG23)-SUM(CAPA2_FLAGSHIP!CV25:DG25))+SUP_CONTROL!$C$13*(SUM(CAPA3_EXPANSION!CV46:DG46)-SUM(CAPA3_EXPANSION!CV48:DG48)-SUM(CAPA3_EXPANSION!CV50:DG50))+SUP_CONTROL!$C$14*(SUM(CAPA4_RETAIL!CV12:DG12)-SUM(CAPA4_RETAIL!CV16:DG16)-SUM(CAPA4_RETAIL!CV18:DG18))</f>
        <v>2429304.97692326</v>
      </c>
      <c r="W176" s="340" t="n">
        <f aca="false">SUP_CONTROL!$C$11*(SUM(CAPA1_PILOTO!DH23:DS23)-SUM(CAPA1_PILOTO!DH29:DS29)-SUM(CAPA1_PILOTO!DH31:DS31))+SUP_CONTROL!$C$12*(SUM(CAPA2_FLAGSHIP!DH18:DS18)-SUM(CAPA2_FLAGSHIP!DH23:DS23)-SUM(CAPA2_FLAGSHIP!DH25:DS25))+SUP_CONTROL!$C$13*(SUM(CAPA3_EXPANSION!DH46:DS46)-SUM(CAPA3_EXPANSION!DH48:DS48)-SUM(CAPA3_EXPANSION!DH50:DS50))+SUP_CONTROL!$C$14*(SUM(CAPA4_RETAIL!DH12:DS12)-SUM(CAPA4_RETAIL!DH16:DS16)-SUM(CAPA4_RETAIL!DH18:DS18))</f>
        <v>2429304.97692326</v>
      </c>
    </row>
    <row r="177" customFormat="false" ht="15" hidden="false" customHeight="true" outlineLevel="0" collapsed="false">
      <c r="B177" s="578" t="s">
        <v>3745</v>
      </c>
      <c r="C177" s="612" t="str">
        <f aca="false">IF(ABS(C175-C176)&lt;1,"OK","REVISAR")</f>
        <v>OK</v>
      </c>
      <c r="D177" s="612" t="str">
        <f aca="false">IF(ABS(D175-D176)&lt;1,"OK","REVISAR")</f>
        <v>OK</v>
      </c>
      <c r="E177" s="612" t="str">
        <f aca="false">IF(ABS(E175-E176)&lt;1,"OK","REVISAR")</f>
        <v>OK</v>
      </c>
      <c r="F177" s="612" t="str">
        <f aca="false">IF(ABS(F175-F176)&lt;1,"OK","REVISAR")</f>
        <v>OK</v>
      </c>
      <c r="G177" s="612" t="str">
        <f aca="false">IF(ABS(G175-G176)&lt;1,"OK","REVISAR")</f>
        <v>OK</v>
      </c>
      <c r="H177" s="612" t="str">
        <f aca="false">IF(ABS(H175-H176)&lt;1,"OK","REVISAR")</f>
        <v>OK</v>
      </c>
      <c r="I177" s="612" t="str">
        <f aca="false">IF(ABS(I175-I176)&lt;1,"OK","REVISAR")</f>
        <v>OK</v>
      </c>
      <c r="J177" s="612" t="str">
        <f aca="false">IF(ABS(J175-J176)&lt;1,"OK","REVISAR")</f>
        <v>OK</v>
      </c>
      <c r="K177" s="612" t="str">
        <f aca="false">IF(ABS(K175-K176)&lt;1,"OK","REVISAR")</f>
        <v>OK</v>
      </c>
      <c r="L177" s="612" t="str">
        <f aca="false">IF(ABS(L175-L176)&lt;1,"OK","REVISAR")</f>
        <v>OK</v>
      </c>
      <c r="M177" s="612" t="str">
        <f aca="false">IF(ABS(M175-M176)&lt;1,"OK","REVISAR")</f>
        <v>OK</v>
      </c>
      <c r="N177" s="612" t="str">
        <f aca="false">IF(ABS(N175-N176)&lt;1,"OK","REVISAR")</f>
        <v>OK</v>
      </c>
      <c r="O177" s="612" t="str">
        <f aca="false">IF(ABS(O175-O176)&lt;1,"OK","REVISAR")</f>
        <v>OK</v>
      </c>
      <c r="P177" s="612" t="str">
        <f aca="false">IF(ABS(P175-P176)&lt;1,"OK","REVISAR")</f>
        <v>OK</v>
      </c>
      <c r="Q177" s="612" t="str">
        <f aca="false">IF(ABS(Q175-Q176)&lt;1,"OK","REVISAR")</f>
        <v>OK</v>
      </c>
      <c r="R177" s="612" t="str">
        <f aca="false">IF(ABS(R175-R176)&lt;1,"OK","REVISAR")</f>
        <v>OK</v>
      </c>
      <c r="S177" s="612" t="str">
        <f aca="false">IF(ABS(S175-S176)&lt;1,"OK","REVISAR")</f>
        <v>OK</v>
      </c>
      <c r="T177" s="612" t="str">
        <f aca="false">IF(ABS(T175-T176)&lt;1,"OK","REVISAR")</f>
        <v>OK</v>
      </c>
      <c r="U177" s="612" t="str">
        <f aca="false">IF(ABS(U175-U176)&lt;1,"OK","REVISAR")</f>
        <v>OK</v>
      </c>
      <c r="V177" s="612" t="str">
        <f aca="false">IF(ABS(V175-V176)&lt;1,"OK","REVISAR")</f>
        <v>OK</v>
      </c>
      <c r="W177" s="612" t="str">
        <f aca="false">IF(ABS(W175-W176)&lt;1,"OK","REVISAR")</f>
        <v>OK</v>
      </c>
    </row>
    <row r="179" customFormat="false" ht="15" hidden="false" customHeight="true" outlineLevel="0" collapsed="false">
      <c r="B179" s="613" t="s">
        <v>3746</v>
      </c>
      <c r="D179" s="613" t="str">
        <f aca="false">IF(COUNTIF(N173:W173,"REVISAR")+COUNTIF(N177:W177,"REVISAR")=0,"✓ TODO CUADRA","✗ HAY DESCUADRES — REVISAR ANTES DE USAR")</f>
        <v>✓ TODO CUADRA</v>
      </c>
    </row>
  </sheetData>
  <mergeCells count="4">
    <mergeCell ref="B1:W1"/>
    <mergeCell ref="B2:W2"/>
    <mergeCell ref="B165:W165"/>
    <mergeCell ref="B169:Z16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L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40"/>
    <col collapsed="false" customWidth="true" hidden="false" outlineLevel="0" max="12" min="3" style="1" width="13"/>
  </cols>
  <sheetData>
    <row r="1" customFormat="false" ht="15" hidden="false" customHeight="true" outlineLevel="0" collapsed="false">
      <c r="A1" s="185" t="s">
        <v>3747</v>
      </c>
      <c r="B1" s="126"/>
      <c r="C1" s="126"/>
      <c r="D1" s="126"/>
      <c r="E1" s="126"/>
      <c r="F1" s="126"/>
      <c r="G1" s="126"/>
      <c r="H1" s="126"/>
      <c r="I1" s="126"/>
    </row>
    <row r="2" customFormat="false" ht="15" hidden="false" customHeight="true" outlineLevel="0" collapsed="false">
      <c r="A2" s="23" t="s">
        <v>3748</v>
      </c>
    </row>
    <row r="3" customFormat="false" ht="15" hidden="false" customHeight="true" outlineLevel="0" collapsed="false">
      <c r="A3" s="23" t="s">
        <v>495</v>
      </c>
    </row>
    <row r="5" customFormat="false" ht="15" hidden="false" customHeight="true" outlineLevel="0" collapsed="false">
      <c r="A5" s="186" t="s">
        <v>3749</v>
      </c>
      <c r="B5" s="25"/>
      <c r="C5" s="25"/>
      <c r="D5" s="25"/>
      <c r="E5" s="25"/>
      <c r="F5" s="25"/>
      <c r="G5" s="25"/>
      <c r="H5" s="25"/>
      <c r="I5" s="25"/>
      <c r="J5" s="25"/>
      <c r="K5" s="25"/>
      <c r="L5" s="25"/>
    </row>
    <row r="6" customFormat="false" ht="15" hidden="false" customHeight="true" outlineLevel="0" collapsed="false">
      <c r="B6" s="178" t="s">
        <v>3750</v>
      </c>
      <c r="D6" s="385" t="str">
        <f aca="false">SUP_CONTROL!$C$7</f>
        <v>MEDIO</v>
      </c>
    </row>
    <row r="7" customFormat="false" ht="15" hidden="false" customHeight="true" outlineLevel="0" collapsed="false">
      <c r="B7" s="178" t="s">
        <v>123</v>
      </c>
      <c r="D7" s="188" t="n">
        <f aca="false">CONSOLIDADO!$C$33</f>
        <v>50</v>
      </c>
    </row>
    <row r="8" customFormat="false" ht="15" hidden="false" customHeight="true" outlineLevel="0" collapsed="false">
      <c r="B8" s="178" t="s">
        <v>3751</v>
      </c>
      <c r="D8" s="614" t="n">
        <f aca="false">CONSOLIDADO!$C$34</f>
        <v>335.74464</v>
      </c>
    </row>
    <row r="9" customFormat="false" ht="15" hidden="false" customHeight="true" outlineLevel="0" collapsed="false">
      <c r="B9" s="178" t="s">
        <v>3752</v>
      </c>
      <c r="D9" s="615" t="n">
        <f aca="false">CONSOLIDADO!$C$25</f>
        <v>1374512.77843674</v>
      </c>
    </row>
    <row r="10" customFormat="false" ht="15" hidden="false" customHeight="true" outlineLevel="0" collapsed="false">
      <c r="B10" s="178" t="s">
        <v>3753</v>
      </c>
      <c r="D10" s="616" t="n">
        <f aca="false">CONSOLIDADO!$C$26</f>
        <v>0.306839971547742</v>
      </c>
    </row>
    <row r="11" customFormat="false" ht="15" hidden="false" customHeight="true" outlineLevel="0" collapsed="false">
      <c r="B11" s="178" t="s">
        <v>114</v>
      </c>
      <c r="D11" s="385" t="str">
        <f aca="false">CONSOLIDADO!$C$28&amp;" / "&amp;CONSOLIDADO!$C$29</f>
        <v>76 / 95</v>
      </c>
    </row>
    <row r="12" customFormat="false" ht="15" hidden="false" customHeight="true" outlineLevel="0" collapsed="false">
      <c r="B12" s="178" t="s">
        <v>3754</v>
      </c>
      <c r="D12" s="615" t="n">
        <f aca="false">CONSOLIDADO!$C$23</f>
        <v>2114490.23475</v>
      </c>
    </row>
    <row r="13" customFormat="false" ht="15" hidden="false" customHeight="true" outlineLevel="0" collapsed="false">
      <c r="B13" s="178" t="s">
        <v>3755</v>
      </c>
      <c r="D13" s="615" t="n">
        <f aca="false">CONSOLIDADO!$C$24</f>
        <v>7073767.91475</v>
      </c>
    </row>
    <row r="15" customFormat="false" ht="15" hidden="false" customHeight="true" outlineLevel="0" collapsed="false">
      <c r="A15" s="186" t="s">
        <v>3756</v>
      </c>
      <c r="B15" s="25"/>
      <c r="C15" s="25"/>
      <c r="D15" s="25"/>
      <c r="E15" s="25"/>
      <c r="F15" s="25"/>
      <c r="G15" s="25"/>
      <c r="H15" s="25"/>
      <c r="I15" s="25"/>
      <c r="J15" s="25"/>
      <c r="K15" s="25"/>
      <c r="L15" s="25"/>
    </row>
    <row r="16" customFormat="false" ht="15" hidden="false" customHeight="true" outlineLevel="0" collapsed="false">
      <c r="B16" s="178" t="s">
        <v>3642</v>
      </c>
      <c r="C16" s="275" t="n">
        <v>1</v>
      </c>
      <c r="D16" s="275" t="n">
        <v>2</v>
      </c>
      <c r="E16" s="275" t="n">
        <v>3</v>
      </c>
      <c r="F16" s="275" t="n">
        <v>4</v>
      </c>
      <c r="G16" s="275" t="n">
        <v>5</v>
      </c>
      <c r="H16" s="275" t="n">
        <v>6</v>
      </c>
      <c r="I16" s="275" t="n">
        <v>7</v>
      </c>
      <c r="J16" s="275" t="n">
        <v>8</v>
      </c>
      <c r="K16" s="275" t="n">
        <v>9</v>
      </c>
      <c r="L16" s="275" t="n">
        <v>10</v>
      </c>
    </row>
    <row r="17" customFormat="false" ht="15" hidden="false" customHeight="true" outlineLevel="0" collapsed="false">
      <c r="B17" s="178" t="s">
        <v>295</v>
      </c>
      <c r="C17" s="267" t="n">
        <f aca="false">CONSOLIDADO!D45</f>
        <v>10</v>
      </c>
      <c r="D17" s="267" t="n">
        <f aca="false">CONSOLIDADO!E45</f>
        <v>13</v>
      </c>
      <c r="E17" s="267" t="n">
        <f aca="false">CONSOLIDADO!F45</f>
        <v>17</v>
      </c>
      <c r="F17" s="267" t="n">
        <f aca="false">CONSOLIDADO!G45</f>
        <v>24</v>
      </c>
      <c r="G17" s="267" t="n">
        <f aca="false">CONSOLIDADO!H45</f>
        <v>30</v>
      </c>
      <c r="H17" s="267" t="n">
        <f aca="false">CONSOLIDADO!I45</f>
        <v>40</v>
      </c>
      <c r="I17" s="267" t="n">
        <f aca="false">CONSOLIDADO!J45</f>
        <v>50</v>
      </c>
      <c r="J17" s="267" t="n">
        <f aca="false">CONSOLIDADO!K45</f>
        <v>50</v>
      </c>
      <c r="K17" s="267" t="n">
        <f aca="false">CONSOLIDADO!L45</f>
        <v>50</v>
      </c>
      <c r="L17" s="267" t="n">
        <f aca="false">CONSOLIDADO!M45</f>
        <v>50</v>
      </c>
    </row>
    <row r="18" customFormat="false" ht="15" hidden="false" customHeight="true" outlineLevel="0" collapsed="false">
      <c r="B18" s="178" t="s">
        <v>3643</v>
      </c>
      <c r="C18" s="294" t="n">
        <f aca="false">CONSOLIDADO!D40</f>
        <v>3793983.73411251</v>
      </c>
      <c r="D18" s="294" t="n">
        <f aca="false">CONSOLIDADO!E40</f>
        <v>7754067.90783279</v>
      </c>
      <c r="E18" s="294" t="n">
        <f aca="false">CONSOLIDADO!F40</f>
        <v>9570389.78524098</v>
      </c>
      <c r="F18" s="294" t="n">
        <f aca="false">CONSOLIDADO!G40</f>
        <v>13297993.0528187</v>
      </c>
      <c r="G18" s="294" t="n">
        <f aca="false">CONSOLIDADO!H40</f>
        <v>16431011.0277901</v>
      </c>
      <c r="H18" s="294" t="n">
        <f aca="false">CONSOLIDADO!I40</f>
        <v>21300017.4338961</v>
      </c>
      <c r="I18" s="294" t="n">
        <f aca="false">CONSOLIDADO!J40</f>
        <v>27742354.6159673</v>
      </c>
      <c r="J18" s="294" t="n">
        <f aca="false">CONSOLIDADO!K40</f>
        <v>31538174.4113118</v>
      </c>
      <c r="K18" s="294" t="n">
        <f aca="false">CONSOLIDADO!L40</f>
        <v>31557780.7769282</v>
      </c>
      <c r="L18" s="294" t="n">
        <f aca="false">CONSOLIDADO!M40</f>
        <v>31557780.7769282</v>
      </c>
    </row>
    <row r="19" customFormat="false" ht="15" hidden="false" customHeight="true" outlineLevel="0" collapsed="false">
      <c r="B19" s="178" t="s">
        <v>3644</v>
      </c>
      <c r="C19" s="294" t="n">
        <f aca="false">CONSOLIDADO!D41</f>
        <v>335788.332705445</v>
      </c>
      <c r="D19" s="294" t="n">
        <f aca="false">CONSOLIDADO!E41</f>
        <v>975841.480904235</v>
      </c>
      <c r="E19" s="294" t="n">
        <f aca="false">CONSOLIDADO!F41</f>
        <v>1254996.75668088</v>
      </c>
      <c r="F19" s="294" t="n">
        <f aca="false">CONSOLIDADO!G41</f>
        <v>1865534.8867512</v>
      </c>
      <c r="G19" s="294" t="n">
        <f aca="false">CONSOLIDADO!H41</f>
        <v>2281777.69579014</v>
      </c>
      <c r="H19" s="294" t="n">
        <f aca="false">CONSOLIDADO!I41</f>
        <v>2982586.36989393</v>
      </c>
      <c r="I19" s="294" t="n">
        <f aca="false">CONSOLIDADO!J41</f>
        <v>3988429.15906794</v>
      </c>
      <c r="J19" s="294" t="n">
        <f aca="false">CONSOLIDADO!K41</f>
        <v>4497980.42326709</v>
      </c>
      <c r="K19" s="294" t="n">
        <f aca="false">CONSOLIDADO!L41</f>
        <v>4503881.38150039</v>
      </c>
      <c r="L19" s="294" t="n">
        <f aca="false">CONSOLIDADO!M41</f>
        <v>4503881.38150039</v>
      </c>
    </row>
    <row r="20" customFormat="false" ht="15" hidden="false" customHeight="true" outlineLevel="0" collapsed="false">
      <c r="B20" s="178" t="s">
        <v>3645</v>
      </c>
      <c r="C20" s="294" t="n">
        <f aca="false">CONSOLIDADO!D42</f>
        <v>-1871656.73402756</v>
      </c>
      <c r="D20" s="294" t="n">
        <f aca="false">CONSOLIDADO!E42</f>
        <v>394456.762165295</v>
      </c>
      <c r="E20" s="294" t="n">
        <f aca="false">CONSOLIDADO!F42</f>
        <v>104175.82726838</v>
      </c>
      <c r="F20" s="294" t="n">
        <f aca="false">CONSOLIDADO!G42</f>
        <v>502415.739877376</v>
      </c>
      <c r="G20" s="294" t="n">
        <f aca="false">CONSOLIDADO!H42</f>
        <v>-72954.0728894228</v>
      </c>
      <c r="H20" s="294" t="n">
        <f aca="false">CONSOLIDADO!I42</f>
        <v>551432.488667996</v>
      </c>
      <c r="I20" s="294" t="n">
        <f aca="false">CONSOLIDADO!J42</f>
        <v>1119799.73629826</v>
      </c>
      <c r="J20" s="294" t="n">
        <f aca="false">CONSOLIDADO!K42</f>
        <v>3249726.60943928</v>
      </c>
      <c r="K20" s="294" t="n">
        <f aca="false">CONSOLIDADO!L42</f>
        <v>3252421.24187326</v>
      </c>
      <c r="L20" s="294" t="n">
        <f aca="false">CONSOLIDADO!M42</f>
        <v>3252421.24187326</v>
      </c>
    </row>
    <row r="21" customFormat="false" ht="15" hidden="false" customHeight="true" outlineLevel="0" collapsed="false">
      <c r="B21" s="178" t="s">
        <v>3646</v>
      </c>
      <c r="C21" s="294" t="n">
        <f aca="false">CONSOLIDADO!D43</f>
        <v>2114490.23475</v>
      </c>
      <c r="D21" s="294" t="n">
        <f aca="false">CONSOLIDADO!E43</f>
        <v>314987.811</v>
      </c>
      <c r="E21" s="294" t="n">
        <f aca="false">CONSOLIDADO!F43</f>
        <v>811025.24125</v>
      </c>
      <c r="F21" s="294" t="n">
        <f aca="false">CONSOLIDADO!G43</f>
        <v>841551.7295</v>
      </c>
      <c r="G21" s="294" t="n">
        <f aca="false">CONSOLIDADO!H43</f>
        <v>1730449.837</v>
      </c>
      <c r="H21" s="294" t="n">
        <f aca="false">CONSOLIDADO!I43</f>
        <v>1613899.8595</v>
      </c>
      <c r="I21" s="294" t="n">
        <f aca="false">CONSOLIDADO!J43</f>
        <v>1763053.4365</v>
      </c>
      <c r="J21" s="294" t="n">
        <f aca="false">CONSOLIDADO!K43</f>
        <v>-1200</v>
      </c>
      <c r="K21" s="294" t="n">
        <f aca="false">CONSOLIDADO!L43</f>
        <v>0</v>
      </c>
      <c r="L21" s="294" t="n">
        <f aca="false">CONSOLIDADO!M43</f>
        <v>0</v>
      </c>
    </row>
    <row r="22" customFormat="false" ht="15" hidden="false" customHeight="true" outlineLevel="0" collapsed="false">
      <c r="B22" s="178" t="s">
        <v>3647</v>
      </c>
      <c r="C22" s="194" t="n">
        <f aca="false">CONSOLIDADO!D44</f>
        <v>40.3643625</v>
      </c>
      <c r="D22" s="194" t="n">
        <f aca="false">CONSOLIDADO!E44</f>
        <v>82.495875</v>
      </c>
      <c r="E22" s="194" t="n">
        <f aca="false">CONSOLIDADO!F44</f>
        <v>101.819804625</v>
      </c>
      <c r="F22" s="194" t="n">
        <f aca="false">CONSOLIDADO!G44</f>
        <v>141.477942375</v>
      </c>
      <c r="G22" s="194" t="n">
        <f aca="false">CONSOLIDADO!H44</f>
        <v>174.810260625</v>
      </c>
      <c r="H22" s="194" t="n">
        <f aca="false">CONSOLIDADO!I44</f>
        <v>226.611837375</v>
      </c>
      <c r="I22" s="194" t="n">
        <f aca="false">CONSOLIDADO!J44</f>
        <v>295.1521505625</v>
      </c>
      <c r="J22" s="194" t="n">
        <f aca="false">CONSOLIDADO!K44</f>
        <v>335.536047</v>
      </c>
      <c r="K22" s="194" t="n">
        <f aca="false">CONSOLIDADO!L44</f>
        <v>335.74464</v>
      </c>
      <c r="L22" s="194" t="n">
        <f aca="false">CONSOLIDADO!M44</f>
        <v>335.74464</v>
      </c>
    </row>
    <row r="58" customFormat="false" ht="15" hidden="false" customHeight="true" outlineLevel="0" collapsed="false">
      <c r="B58" s="23" t="s">
        <v>3757</v>
      </c>
    </row>
  </sheetData>
  <conditionalFormatting sqref="C18:L18">
    <cfRule type="dataBar" priority="2">
      <dataBar showValue="1" minLength="10" maxLength="90">
        <cfvo type="num" val="0"/>
        <cfvo type="max" val="0"/>
        <color rgb="FF2E75B6"/>
      </dataBar>
      <extLst>
        <ext xmlns:x14="http://schemas.microsoft.com/office/spreadsheetml/2009/9/main" uri="{B025F937-C7B1-47D3-B67F-A62EFF666E3E}">
          <x14:id>{51969623-8831-4DAD-A0DC-A536F0CF1F5C}</x14:id>
        </ext>
      </extLst>
    </cfRule>
  </conditionalFormatting>
  <conditionalFormatting sqref="C22:L22">
    <cfRule type="dataBar" priority="3">
      <dataBar showValue="1" minLength="10" maxLength="90">
        <cfvo type="num" val="0"/>
        <cfvo type="max" val="0"/>
        <color rgb="FF00838F"/>
      </dataBar>
      <extLst>
        <ext xmlns:x14="http://schemas.microsoft.com/office/spreadsheetml/2009/9/main" uri="{B025F937-C7B1-47D3-B67F-A62EFF666E3E}">
          <x14:id>{A65618FF-B669-43E9-8DF4-517962C6E86C}</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51969623-8831-4DAD-A0DC-A536F0CF1F5C}">
            <x14:dataBar minLength="10" maxLength="90" axisPosition="none" gradient="true">
              <x14:cfvo type="num">
                <xm:f>0</xm:f>
              </x14:cfvo>
              <x14:cfvo type="max"/>
              <x14:negativeFillColor rgb="FF2E75B6"/>
              <x14:axisColor rgb="FF000000"/>
            </x14:dataBar>
          </x14:cfRule>
          <xm:sqref>C18:L18</xm:sqref>
        </x14:conditionalFormatting>
        <x14:conditionalFormatting xmlns:xm="http://schemas.microsoft.com/office/excel/2006/main">
          <x14:cfRule type="dataBar" id="{A65618FF-B669-43E9-8DF4-517962C6E86C}">
            <x14:dataBar minLength="10" maxLength="90" axisPosition="none" gradient="true">
              <x14:cfvo type="num">
                <xm:f>0</xm:f>
              </x14:cfvo>
              <x14:cfvo type="max"/>
              <x14:negativeFillColor rgb="FF00838F"/>
              <x14:axisColor rgb="FF000000"/>
            </x14:dataBar>
          </x14:cfRule>
          <xm:sqref>C22:L22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838F"/>
    <pageSetUpPr fitToPage="false"/>
  </sheetPr>
  <dimension ref="A1:DS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9" activeCellId="0" sqref="E19"/>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56"/>
    <col collapsed="false" customWidth="true" hidden="false" outlineLevel="0" max="123" min="4" style="1" width="10"/>
  </cols>
  <sheetData>
    <row r="1" customFormat="false" ht="15" hidden="false" customHeight="true" outlineLevel="0" collapsed="false">
      <c r="A1" s="185" t="s">
        <v>3758</v>
      </c>
      <c r="B1" s="126"/>
      <c r="C1" s="126"/>
      <c r="D1" s="126"/>
      <c r="E1" s="126"/>
      <c r="F1" s="126"/>
      <c r="G1" s="126"/>
      <c r="H1" s="126"/>
      <c r="I1" s="126"/>
    </row>
    <row r="2" customFormat="false" ht="15" hidden="false" customHeight="true" outlineLevel="0" collapsed="false">
      <c r="A2" s="23" t="s">
        <v>3759</v>
      </c>
    </row>
    <row r="3" customFormat="false" ht="15" hidden="false" customHeight="true" outlineLevel="0" collapsed="false">
      <c r="A3" s="23" t="s">
        <v>495</v>
      </c>
    </row>
    <row r="4" customFormat="false" ht="15" hidden="false" customHeight="true" outlineLevel="0" collapsed="false">
      <c r="B4" s="178" t="s">
        <v>1430</v>
      </c>
      <c r="D4" s="296" t="n">
        <v>1</v>
      </c>
      <c r="E4" s="296" t="n">
        <v>2</v>
      </c>
      <c r="F4" s="296" t="n">
        <v>3</v>
      </c>
      <c r="G4" s="296" t="n">
        <v>4</v>
      </c>
      <c r="H4" s="296" t="n">
        <v>5</v>
      </c>
      <c r="I4" s="296" t="n">
        <v>6</v>
      </c>
      <c r="J4" s="296" t="n">
        <v>7</v>
      </c>
      <c r="K4" s="296" t="n">
        <v>8</v>
      </c>
      <c r="L4" s="296" t="n">
        <v>9</v>
      </c>
      <c r="M4" s="296" t="n">
        <v>10</v>
      </c>
      <c r="N4" s="296" t="n">
        <v>11</v>
      </c>
      <c r="O4" s="296" t="n">
        <v>12</v>
      </c>
      <c r="P4" s="296" t="n">
        <v>13</v>
      </c>
      <c r="Q4" s="296" t="n">
        <v>14</v>
      </c>
      <c r="R4" s="296" t="n">
        <v>15</v>
      </c>
      <c r="S4" s="296" t="n">
        <v>16</v>
      </c>
      <c r="T4" s="296" t="n">
        <v>17</v>
      </c>
      <c r="U4" s="296" t="n">
        <v>18</v>
      </c>
      <c r="V4" s="296" t="n">
        <v>19</v>
      </c>
      <c r="W4" s="296" t="n">
        <v>20</v>
      </c>
      <c r="X4" s="296" t="n">
        <v>21</v>
      </c>
      <c r="Y4" s="296" t="n">
        <v>22</v>
      </c>
      <c r="Z4" s="296" t="n">
        <v>23</v>
      </c>
      <c r="AA4" s="296" t="n">
        <v>24</v>
      </c>
      <c r="AB4" s="296" t="n">
        <v>25</v>
      </c>
      <c r="AC4" s="296" t="n">
        <v>26</v>
      </c>
      <c r="AD4" s="296" t="n">
        <v>27</v>
      </c>
      <c r="AE4" s="296" t="n">
        <v>28</v>
      </c>
      <c r="AF4" s="296" t="n">
        <v>29</v>
      </c>
      <c r="AG4" s="296" t="n">
        <v>30</v>
      </c>
      <c r="AH4" s="296" t="n">
        <v>31</v>
      </c>
      <c r="AI4" s="296" t="n">
        <v>32</v>
      </c>
      <c r="AJ4" s="296" t="n">
        <v>33</v>
      </c>
      <c r="AK4" s="296" t="n">
        <v>34</v>
      </c>
      <c r="AL4" s="296" t="n">
        <v>35</v>
      </c>
      <c r="AM4" s="296" t="n">
        <v>36</v>
      </c>
      <c r="AN4" s="296" t="n">
        <v>37</v>
      </c>
      <c r="AO4" s="296" t="n">
        <v>38</v>
      </c>
      <c r="AP4" s="296" t="n">
        <v>39</v>
      </c>
      <c r="AQ4" s="296" t="n">
        <v>40</v>
      </c>
      <c r="AR4" s="296" t="n">
        <v>41</v>
      </c>
      <c r="AS4" s="296" t="n">
        <v>42</v>
      </c>
      <c r="AT4" s="296" t="n">
        <v>43</v>
      </c>
      <c r="AU4" s="296" t="n">
        <v>44</v>
      </c>
      <c r="AV4" s="296" t="n">
        <v>45</v>
      </c>
      <c r="AW4" s="296" t="n">
        <v>46</v>
      </c>
      <c r="AX4" s="296" t="n">
        <v>47</v>
      </c>
      <c r="AY4" s="296" t="n">
        <v>48</v>
      </c>
      <c r="AZ4" s="296" t="n">
        <v>49</v>
      </c>
      <c r="BA4" s="296" t="n">
        <v>50</v>
      </c>
      <c r="BB4" s="296" t="n">
        <v>51</v>
      </c>
      <c r="BC4" s="296" t="n">
        <v>52</v>
      </c>
      <c r="BD4" s="296" t="n">
        <v>53</v>
      </c>
      <c r="BE4" s="296" t="n">
        <v>54</v>
      </c>
      <c r="BF4" s="296" t="n">
        <v>55</v>
      </c>
      <c r="BG4" s="296" t="n">
        <v>56</v>
      </c>
      <c r="BH4" s="296" t="n">
        <v>57</v>
      </c>
      <c r="BI4" s="296" t="n">
        <v>58</v>
      </c>
      <c r="BJ4" s="296" t="n">
        <v>59</v>
      </c>
      <c r="BK4" s="296" t="n">
        <v>60</v>
      </c>
      <c r="BL4" s="296" t="n">
        <v>61</v>
      </c>
      <c r="BM4" s="296" t="n">
        <v>62</v>
      </c>
      <c r="BN4" s="296" t="n">
        <v>63</v>
      </c>
      <c r="BO4" s="296" t="n">
        <v>64</v>
      </c>
      <c r="BP4" s="296" t="n">
        <v>65</v>
      </c>
      <c r="BQ4" s="296" t="n">
        <v>66</v>
      </c>
      <c r="BR4" s="296" t="n">
        <v>67</v>
      </c>
      <c r="BS4" s="296" t="n">
        <v>68</v>
      </c>
      <c r="BT4" s="296" t="n">
        <v>69</v>
      </c>
      <c r="BU4" s="296" t="n">
        <v>70</v>
      </c>
      <c r="BV4" s="296" t="n">
        <v>71</v>
      </c>
      <c r="BW4" s="296" t="n">
        <v>72</v>
      </c>
      <c r="BX4" s="296" t="n">
        <v>73</v>
      </c>
      <c r="BY4" s="296" t="n">
        <v>74</v>
      </c>
      <c r="BZ4" s="296" t="n">
        <v>75</v>
      </c>
      <c r="CA4" s="296" t="n">
        <v>76</v>
      </c>
      <c r="CB4" s="296" t="n">
        <v>77</v>
      </c>
      <c r="CC4" s="296" t="n">
        <v>78</v>
      </c>
      <c r="CD4" s="296" t="n">
        <v>79</v>
      </c>
      <c r="CE4" s="296" t="n">
        <v>80</v>
      </c>
      <c r="CF4" s="296" t="n">
        <v>81</v>
      </c>
      <c r="CG4" s="296" t="n">
        <v>82</v>
      </c>
      <c r="CH4" s="296" t="n">
        <v>83</v>
      </c>
      <c r="CI4" s="296" t="n">
        <v>84</v>
      </c>
      <c r="CJ4" s="296" t="n">
        <v>85</v>
      </c>
      <c r="CK4" s="296" t="n">
        <v>86</v>
      </c>
      <c r="CL4" s="296" t="n">
        <v>87</v>
      </c>
      <c r="CM4" s="296" t="n">
        <v>88</v>
      </c>
      <c r="CN4" s="296" t="n">
        <v>89</v>
      </c>
      <c r="CO4" s="296" t="n">
        <v>90</v>
      </c>
      <c r="CP4" s="296" t="n">
        <v>91</v>
      </c>
      <c r="CQ4" s="296" t="n">
        <v>92</v>
      </c>
      <c r="CR4" s="296" t="n">
        <v>93</v>
      </c>
      <c r="CS4" s="296" t="n">
        <v>94</v>
      </c>
      <c r="CT4" s="296" t="n">
        <v>95</v>
      </c>
      <c r="CU4" s="296" t="n">
        <v>96</v>
      </c>
      <c r="CV4" s="296" t="n">
        <v>97</v>
      </c>
      <c r="CW4" s="296" t="n">
        <v>98</v>
      </c>
      <c r="CX4" s="296" t="n">
        <v>99</v>
      </c>
      <c r="CY4" s="296" t="n">
        <v>100</v>
      </c>
      <c r="CZ4" s="296" t="n">
        <v>101</v>
      </c>
      <c r="DA4" s="296" t="n">
        <v>102</v>
      </c>
      <c r="DB4" s="296" t="n">
        <v>103</v>
      </c>
      <c r="DC4" s="296" t="n">
        <v>104</v>
      </c>
      <c r="DD4" s="296" t="n">
        <v>105</v>
      </c>
      <c r="DE4" s="296" t="n">
        <v>106</v>
      </c>
      <c r="DF4" s="296" t="n">
        <v>107</v>
      </c>
      <c r="DG4" s="296" t="n">
        <v>108</v>
      </c>
      <c r="DH4" s="296" t="n">
        <v>109</v>
      </c>
      <c r="DI4" s="296" t="n">
        <v>110</v>
      </c>
      <c r="DJ4" s="296" t="n">
        <v>111</v>
      </c>
      <c r="DK4" s="296" t="n">
        <v>112</v>
      </c>
      <c r="DL4" s="296" t="n">
        <v>113</v>
      </c>
      <c r="DM4" s="296" t="n">
        <v>114</v>
      </c>
      <c r="DN4" s="296" t="n">
        <v>115</v>
      </c>
      <c r="DO4" s="296" t="n">
        <v>116</v>
      </c>
      <c r="DP4" s="296" t="n">
        <v>117</v>
      </c>
      <c r="DQ4" s="296" t="n">
        <v>118</v>
      </c>
      <c r="DR4" s="296" t="n">
        <v>119</v>
      </c>
      <c r="DS4" s="296" t="n">
        <v>120</v>
      </c>
    </row>
    <row r="6" customFormat="false" ht="15" hidden="false" customHeight="true" outlineLevel="0" collapsed="false">
      <c r="B6" s="297" t="s">
        <v>3760</v>
      </c>
      <c r="D6" s="298" t="n">
        <f aca="false">SUP_CONTROL!$C$11*CAPA1_PILOTO!D16</f>
        <v>0</v>
      </c>
      <c r="E6" s="298" t="n">
        <f aca="false">SUP_CONTROL!$C$11*CAPA1_PILOTO!E16</f>
        <v>0</v>
      </c>
      <c r="F6" s="298" t="n">
        <f aca="false">SUP_CONTROL!$C$11*CAPA1_PILOTO!F16</f>
        <v>0</v>
      </c>
      <c r="G6" s="298" t="n">
        <f aca="false">SUP_CONTROL!$C$11*CAPA1_PILOTO!G16</f>
        <v>9702</v>
      </c>
      <c r="H6" s="298" t="n">
        <f aca="false">SUP_CONTROL!$C$11*CAPA1_PILOTO!H16</f>
        <v>21483</v>
      </c>
      <c r="I6" s="298" t="n">
        <f aca="false">SUP_CONTROL!$C$11*CAPA1_PILOTO!I16</f>
        <v>35343</v>
      </c>
      <c r="J6" s="298" t="n">
        <f aca="false">SUP_CONTROL!$C$11*CAPA1_PILOTO!J16</f>
        <v>50658.3</v>
      </c>
      <c r="K6" s="298" t="n">
        <f aca="false">SUP_CONTROL!$C$11*CAPA1_PILOTO!K16</f>
        <v>67740.75</v>
      </c>
      <c r="L6" s="298" t="n">
        <f aca="false">SUP_CONTROL!$C$11*CAPA1_PILOTO!L16</f>
        <v>72834.3</v>
      </c>
      <c r="M6" s="298" t="n">
        <f aca="false">SUP_CONTROL!$C$11*CAPA1_PILOTO!M16</f>
        <v>75537</v>
      </c>
      <c r="N6" s="298" t="n">
        <f aca="false">SUP_CONTROL!$C$11*CAPA1_PILOTO!N16</f>
        <v>75537</v>
      </c>
      <c r="O6" s="298" t="n">
        <f aca="false">SUP_CONTROL!$C$11*CAPA1_PILOTO!O16</f>
        <v>75537</v>
      </c>
      <c r="P6" s="298" t="n">
        <f aca="false">SUP_CONTROL!$C$11*CAPA1_PILOTO!P16</f>
        <v>75537</v>
      </c>
      <c r="Q6" s="298" t="n">
        <f aca="false">SUP_CONTROL!$C$11*CAPA1_PILOTO!Q16</f>
        <v>75537</v>
      </c>
      <c r="R6" s="298" t="n">
        <f aca="false">SUP_CONTROL!$C$11*CAPA1_PILOTO!R16</f>
        <v>75537</v>
      </c>
      <c r="S6" s="298" t="n">
        <f aca="false">SUP_CONTROL!$C$11*CAPA1_PILOTO!S16</f>
        <v>75537</v>
      </c>
      <c r="T6" s="298" t="n">
        <f aca="false">SUP_CONTROL!$C$11*CAPA1_PILOTO!T16</f>
        <v>75537</v>
      </c>
      <c r="U6" s="298" t="n">
        <f aca="false">SUP_CONTROL!$C$11*CAPA1_PILOTO!U16</f>
        <v>75537</v>
      </c>
      <c r="V6" s="298" t="n">
        <f aca="false">SUP_CONTROL!$C$11*CAPA1_PILOTO!V16</f>
        <v>75537</v>
      </c>
      <c r="W6" s="298" t="n">
        <f aca="false">SUP_CONTROL!$C$11*CAPA1_PILOTO!W16</f>
        <v>75537</v>
      </c>
      <c r="X6" s="298" t="n">
        <f aca="false">SUP_CONTROL!$C$11*CAPA1_PILOTO!X16</f>
        <v>75537</v>
      </c>
      <c r="Y6" s="298" t="n">
        <f aca="false">SUP_CONTROL!$C$11*CAPA1_PILOTO!Y16</f>
        <v>75537</v>
      </c>
      <c r="Z6" s="298" t="n">
        <f aca="false">SUP_CONTROL!$C$11*CAPA1_PILOTO!Z16</f>
        <v>75537</v>
      </c>
      <c r="AA6" s="298" t="n">
        <f aca="false">SUP_CONTROL!$C$11*CAPA1_PILOTO!AA16</f>
        <v>75537</v>
      </c>
      <c r="AB6" s="298" t="n">
        <f aca="false">SUP_CONTROL!$C$11*CAPA1_PILOTO!AB16</f>
        <v>75537</v>
      </c>
      <c r="AC6" s="298" t="n">
        <f aca="false">SUP_CONTROL!$C$11*CAPA1_PILOTO!AC16</f>
        <v>75537</v>
      </c>
      <c r="AD6" s="298" t="n">
        <f aca="false">SUP_CONTROL!$C$11*CAPA1_PILOTO!AD16</f>
        <v>75537</v>
      </c>
      <c r="AE6" s="298" t="n">
        <f aca="false">SUP_CONTROL!$C$11*CAPA1_PILOTO!AE16</f>
        <v>75537</v>
      </c>
      <c r="AF6" s="298" t="n">
        <f aca="false">SUP_CONTROL!$C$11*CAPA1_PILOTO!AF16</f>
        <v>75537</v>
      </c>
      <c r="AG6" s="298" t="n">
        <f aca="false">SUP_CONTROL!$C$11*CAPA1_PILOTO!AG16</f>
        <v>75537</v>
      </c>
      <c r="AH6" s="298" t="n">
        <f aca="false">SUP_CONTROL!$C$11*CAPA1_PILOTO!AH16</f>
        <v>75537</v>
      </c>
      <c r="AI6" s="298" t="n">
        <f aca="false">SUP_CONTROL!$C$11*CAPA1_PILOTO!AI16</f>
        <v>75537</v>
      </c>
      <c r="AJ6" s="298" t="n">
        <f aca="false">SUP_CONTROL!$C$11*CAPA1_PILOTO!AJ16</f>
        <v>75537</v>
      </c>
      <c r="AK6" s="298" t="n">
        <f aca="false">SUP_CONTROL!$C$11*CAPA1_PILOTO!AK16</f>
        <v>75537</v>
      </c>
      <c r="AL6" s="298" t="n">
        <f aca="false">SUP_CONTROL!$C$11*CAPA1_PILOTO!AL16</f>
        <v>75537</v>
      </c>
      <c r="AM6" s="298" t="n">
        <f aca="false">SUP_CONTROL!$C$11*CAPA1_PILOTO!AM16</f>
        <v>75537</v>
      </c>
      <c r="AN6" s="298" t="n">
        <f aca="false">SUP_CONTROL!$C$11*CAPA1_PILOTO!AN16</f>
        <v>75537</v>
      </c>
      <c r="AO6" s="298" t="n">
        <f aca="false">SUP_CONTROL!$C$11*CAPA1_PILOTO!AO16</f>
        <v>75537</v>
      </c>
      <c r="AP6" s="298" t="n">
        <f aca="false">SUP_CONTROL!$C$11*CAPA1_PILOTO!AP16</f>
        <v>75537</v>
      </c>
      <c r="AQ6" s="298" t="n">
        <f aca="false">SUP_CONTROL!$C$11*CAPA1_PILOTO!AQ16</f>
        <v>75537</v>
      </c>
      <c r="AR6" s="298" t="n">
        <f aca="false">SUP_CONTROL!$C$11*CAPA1_PILOTO!AR16</f>
        <v>75537</v>
      </c>
      <c r="AS6" s="298" t="n">
        <f aca="false">SUP_CONTROL!$C$11*CAPA1_PILOTO!AS16</f>
        <v>75537</v>
      </c>
      <c r="AT6" s="298" t="n">
        <f aca="false">SUP_CONTROL!$C$11*CAPA1_PILOTO!AT16</f>
        <v>75537</v>
      </c>
      <c r="AU6" s="298" t="n">
        <f aca="false">SUP_CONTROL!$C$11*CAPA1_PILOTO!AU16</f>
        <v>75537</v>
      </c>
      <c r="AV6" s="298" t="n">
        <f aca="false">SUP_CONTROL!$C$11*CAPA1_PILOTO!AV16</f>
        <v>75537</v>
      </c>
      <c r="AW6" s="298" t="n">
        <f aca="false">SUP_CONTROL!$C$11*CAPA1_PILOTO!AW16</f>
        <v>75537</v>
      </c>
      <c r="AX6" s="298" t="n">
        <f aca="false">SUP_CONTROL!$C$11*CAPA1_PILOTO!AX16</f>
        <v>75537</v>
      </c>
      <c r="AY6" s="298" t="n">
        <f aca="false">SUP_CONTROL!$C$11*CAPA1_PILOTO!AY16</f>
        <v>75537</v>
      </c>
      <c r="AZ6" s="298" t="n">
        <f aca="false">SUP_CONTROL!$C$11*CAPA1_PILOTO!AZ16</f>
        <v>75537</v>
      </c>
      <c r="BA6" s="298" t="n">
        <f aca="false">SUP_CONTROL!$C$11*CAPA1_PILOTO!BA16</f>
        <v>75537</v>
      </c>
      <c r="BB6" s="298" t="n">
        <f aca="false">SUP_CONTROL!$C$11*CAPA1_PILOTO!BB16</f>
        <v>75537</v>
      </c>
      <c r="BC6" s="298" t="n">
        <f aca="false">SUP_CONTROL!$C$11*CAPA1_PILOTO!BC16</f>
        <v>75537</v>
      </c>
      <c r="BD6" s="298" t="n">
        <f aca="false">SUP_CONTROL!$C$11*CAPA1_PILOTO!BD16</f>
        <v>75537</v>
      </c>
      <c r="BE6" s="298" t="n">
        <f aca="false">SUP_CONTROL!$C$11*CAPA1_PILOTO!BE16</f>
        <v>75537</v>
      </c>
      <c r="BF6" s="298" t="n">
        <f aca="false">SUP_CONTROL!$C$11*CAPA1_PILOTO!BF16</f>
        <v>75537</v>
      </c>
      <c r="BG6" s="298" t="n">
        <f aca="false">SUP_CONTROL!$C$11*CAPA1_PILOTO!BG16</f>
        <v>75537</v>
      </c>
      <c r="BH6" s="298" t="n">
        <f aca="false">SUP_CONTROL!$C$11*CAPA1_PILOTO!BH16</f>
        <v>75537</v>
      </c>
      <c r="BI6" s="298" t="n">
        <f aca="false">SUP_CONTROL!$C$11*CAPA1_PILOTO!BI16</f>
        <v>75537</v>
      </c>
      <c r="BJ6" s="298" t="n">
        <f aca="false">SUP_CONTROL!$C$11*CAPA1_PILOTO!BJ16</f>
        <v>75537</v>
      </c>
      <c r="BK6" s="298" t="n">
        <f aca="false">SUP_CONTROL!$C$11*CAPA1_PILOTO!BK16</f>
        <v>75537</v>
      </c>
      <c r="BL6" s="298" t="n">
        <f aca="false">SUP_CONTROL!$C$11*CAPA1_PILOTO!BL16</f>
        <v>75537</v>
      </c>
      <c r="BM6" s="298" t="n">
        <f aca="false">SUP_CONTROL!$C$11*CAPA1_PILOTO!BM16</f>
        <v>75537</v>
      </c>
      <c r="BN6" s="298" t="n">
        <f aca="false">SUP_CONTROL!$C$11*CAPA1_PILOTO!BN16</f>
        <v>75537</v>
      </c>
      <c r="BO6" s="298" t="n">
        <f aca="false">SUP_CONTROL!$C$11*CAPA1_PILOTO!BO16</f>
        <v>75537</v>
      </c>
      <c r="BP6" s="298" t="n">
        <f aca="false">SUP_CONTROL!$C$11*CAPA1_PILOTO!BP16</f>
        <v>75537</v>
      </c>
      <c r="BQ6" s="298" t="n">
        <f aca="false">SUP_CONTROL!$C$11*CAPA1_PILOTO!BQ16</f>
        <v>75537</v>
      </c>
      <c r="BR6" s="298" t="n">
        <f aca="false">SUP_CONTROL!$C$11*CAPA1_PILOTO!BR16</f>
        <v>75537</v>
      </c>
      <c r="BS6" s="298" t="n">
        <f aca="false">SUP_CONTROL!$C$11*CAPA1_PILOTO!BS16</f>
        <v>75537</v>
      </c>
      <c r="BT6" s="298" t="n">
        <f aca="false">SUP_CONTROL!$C$11*CAPA1_PILOTO!BT16</f>
        <v>75537</v>
      </c>
      <c r="BU6" s="298" t="n">
        <f aca="false">SUP_CONTROL!$C$11*CAPA1_PILOTO!BU16</f>
        <v>75537</v>
      </c>
      <c r="BV6" s="298" t="n">
        <f aca="false">SUP_CONTROL!$C$11*CAPA1_PILOTO!BV16</f>
        <v>75537</v>
      </c>
      <c r="BW6" s="298" t="n">
        <f aca="false">SUP_CONTROL!$C$11*CAPA1_PILOTO!BW16</f>
        <v>75537</v>
      </c>
      <c r="BX6" s="298" t="n">
        <f aca="false">SUP_CONTROL!$C$11*CAPA1_PILOTO!BX16</f>
        <v>75537</v>
      </c>
      <c r="BY6" s="298" t="n">
        <f aca="false">SUP_CONTROL!$C$11*CAPA1_PILOTO!BY16</f>
        <v>75537</v>
      </c>
      <c r="BZ6" s="298" t="n">
        <f aca="false">SUP_CONTROL!$C$11*CAPA1_PILOTO!BZ16</f>
        <v>75537</v>
      </c>
      <c r="CA6" s="298" t="n">
        <f aca="false">SUP_CONTROL!$C$11*CAPA1_PILOTO!CA16</f>
        <v>75537</v>
      </c>
      <c r="CB6" s="298" t="n">
        <f aca="false">SUP_CONTROL!$C$11*CAPA1_PILOTO!CB16</f>
        <v>75537</v>
      </c>
      <c r="CC6" s="298" t="n">
        <f aca="false">SUP_CONTROL!$C$11*CAPA1_PILOTO!CC16</f>
        <v>75537</v>
      </c>
      <c r="CD6" s="298" t="n">
        <f aca="false">SUP_CONTROL!$C$11*CAPA1_PILOTO!CD16</f>
        <v>75537</v>
      </c>
      <c r="CE6" s="298" t="n">
        <f aca="false">SUP_CONTROL!$C$11*CAPA1_PILOTO!CE16</f>
        <v>75537</v>
      </c>
      <c r="CF6" s="298" t="n">
        <f aca="false">SUP_CONTROL!$C$11*CAPA1_PILOTO!CF16</f>
        <v>75537</v>
      </c>
      <c r="CG6" s="298" t="n">
        <f aca="false">SUP_CONTROL!$C$11*CAPA1_PILOTO!CG16</f>
        <v>75537</v>
      </c>
      <c r="CH6" s="298" t="n">
        <f aca="false">SUP_CONTROL!$C$11*CAPA1_PILOTO!CH16</f>
        <v>75537</v>
      </c>
      <c r="CI6" s="298" t="n">
        <f aca="false">SUP_CONTROL!$C$11*CAPA1_PILOTO!CI16</f>
        <v>75537</v>
      </c>
      <c r="CJ6" s="298" t="n">
        <f aca="false">SUP_CONTROL!$C$11*CAPA1_PILOTO!CJ16</f>
        <v>75537</v>
      </c>
      <c r="CK6" s="298" t="n">
        <f aca="false">SUP_CONTROL!$C$11*CAPA1_PILOTO!CK16</f>
        <v>75537</v>
      </c>
      <c r="CL6" s="298" t="n">
        <f aca="false">SUP_CONTROL!$C$11*CAPA1_PILOTO!CL16</f>
        <v>75537</v>
      </c>
      <c r="CM6" s="298" t="n">
        <f aca="false">SUP_CONTROL!$C$11*CAPA1_PILOTO!CM16</f>
        <v>75537</v>
      </c>
      <c r="CN6" s="298" t="n">
        <f aca="false">SUP_CONTROL!$C$11*CAPA1_PILOTO!CN16</f>
        <v>75537</v>
      </c>
      <c r="CO6" s="298" t="n">
        <f aca="false">SUP_CONTROL!$C$11*CAPA1_PILOTO!CO16</f>
        <v>75537</v>
      </c>
      <c r="CP6" s="298" t="n">
        <f aca="false">SUP_CONTROL!$C$11*CAPA1_PILOTO!CP16</f>
        <v>75537</v>
      </c>
      <c r="CQ6" s="298" t="n">
        <f aca="false">SUP_CONTROL!$C$11*CAPA1_PILOTO!CQ16</f>
        <v>75537</v>
      </c>
      <c r="CR6" s="298" t="n">
        <f aca="false">SUP_CONTROL!$C$11*CAPA1_PILOTO!CR16</f>
        <v>75537</v>
      </c>
      <c r="CS6" s="298" t="n">
        <f aca="false">SUP_CONTROL!$C$11*CAPA1_PILOTO!CS16</f>
        <v>75537</v>
      </c>
      <c r="CT6" s="298" t="n">
        <f aca="false">SUP_CONTROL!$C$11*CAPA1_PILOTO!CT16</f>
        <v>75537</v>
      </c>
      <c r="CU6" s="298" t="n">
        <f aca="false">SUP_CONTROL!$C$11*CAPA1_PILOTO!CU16</f>
        <v>75537</v>
      </c>
      <c r="CV6" s="298" t="n">
        <f aca="false">SUP_CONTROL!$C$11*CAPA1_PILOTO!CV16</f>
        <v>75537</v>
      </c>
      <c r="CW6" s="298" t="n">
        <f aca="false">SUP_CONTROL!$C$11*CAPA1_PILOTO!CW16</f>
        <v>75537</v>
      </c>
      <c r="CX6" s="298" t="n">
        <f aca="false">SUP_CONTROL!$C$11*CAPA1_PILOTO!CX16</f>
        <v>75537</v>
      </c>
      <c r="CY6" s="298" t="n">
        <f aca="false">SUP_CONTROL!$C$11*CAPA1_PILOTO!CY16</f>
        <v>75537</v>
      </c>
      <c r="CZ6" s="298" t="n">
        <f aca="false">SUP_CONTROL!$C$11*CAPA1_PILOTO!CZ16</f>
        <v>75537</v>
      </c>
      <c r="DA6" s="298" t="n">
        <f aca="false">SUP_CONTROL!$C$11*CAPA1_PILOTO!DA16</f>
        <v>75537</v>
      </c>
      <c r="DB6" s="298" t="n">
        <f aca="false">SUP_CONTROL!$C$11*CAPA1_PILOTO!DB16</f>
        <v>75537</v>
      </c>
      <c r="DC6" s="298" t="n">
        <f aca="false">SUP_CONTROL!$C$11*CAPA1_PILOTO!DC16</f>
        <v>75537</v>
      </c>
      <c r="DD6" s="298" t="n">
        <f aca="false">SUP_CONTROL!$C$11*CAPA1_PILOTO!DD16</f>
        <v>75537</v>
      </c>
      <c r="DE6" s="298" t="n">
        <f aca="false">SUP_CONTROL!$C$11*CAPA1_PILOTO!DE16</f>
        <v>75537</v>
      </c>
      <c r="DF6" s="298" t="n">
        <f aca="false">SUP_CONTROL!$C$11*CAPA1_PILOTO!DF16</f>
        <v>75537</v>
      </c>
      <c r="DG6" s="298" t="n">
        <f aca="false">SUP_CONTROL!$C$11*CAPA1_PILOTO!DG16</f>
        <v>75537</v>
      </c>
      <c r="DH6" s="298" t="n">
        <f aca="false">SUP_CONTROL!$C$11*CAPA1_PILOTO!DH16</f>
        <v>75537</v>
      </c>
      <c r="DI6" s="298" t="n">
        <f aca="false">SUP_CONTROL!$C$11*CAPA1_PILOTO!DI16</f>
        <v>75537</v>
      </c>
      <c r="DJ6" s="298" t="n">
        <f aca="false">SUP_CONTROL!$C$11*CAPA1_PILOTO!DJ16</f>
        <v>75537</v>
      </c>
      <c r="DK6" s="298" t="n">
        <f aca="false">SUP_CONTROL!$C$11*CAPA1_PILOTO!DK16</f>
        <v>75537</v>
      </c>
      <c r="DL6" s="298" t="n">
        <f aca="false">SUP_CONTROL!$C$11*CAPA1_PILOTO!DL16</f>
        <v>75537</v>
      </c>
      <c r="DM6" s="298" t="n">
        <f aca="false">SUP_CONTROL!$C$11*CAPA1_PILOTO!DM16</f>
        <v>75537</v>
      </c>
      <c r="DN6" s="298" t="n">
        <f aca="false">SUP_CONTROL!$C$11*CAPA1_PILOTO!DN16</f>
        <v>75537</v>
      </c>
      <c r="DO6" s="298" t="n">
        <f aca="false">SUP_CONTROL!$C$11*CAPA1_PILOTO!DO16</f>
        <v>75537</v>
      </c>
      <c r="DP6" s="298" t="n">
        <f aca="false">SUP_CONTROL!$C$11*CAPA1_PILOTO!DP16</f>
        <v>75537</v>
      </c>
      <c r="DQ6" s="298" t="n">
        <f aca="false">SUP_CONTROL!$C$11*CAPA1_PILOTO!DQ16</f>
        <v>75537</v>
      </c>
      <c r="DR6" s="298" t="n">
        <f aca="false">SUP_CONTROL!$C$11*CAPA1_PILOTO!DR16</f>
        <v>75537</v>
      </c>
      <c r="DS6" s="298" t="n">
        <f aca="false">SUP_CONTROL!$C$11*CAPA1_PILOTO!DS16</f>
        <v>75537</v>
      </c>
    </row>
    <row r="7" customFormat="false" ht="15" hidden="false" customHeight="true" outlineLevel="0" collapsed="false">
      <c r="B7" s="297" t="s">
        <v>3761</v>
      </c>
      <c r="D7" s="298" t="n">
        <f aca="false">SUP_CONTROL!$C$12*CAPA2_FLAGSHIP!D12</f>
        <v>0</v>
      </c>
      <c r="E7" s="298" t="n">
        <f aca="false">SUP_CONTROL!$C$12*CAPA2_FLAGSHIP!E12</f>
        <v>0</v>
      </c>
      <c r="F7" s="298" t="n">
        <f aca="false">SUP_CONTROL!$C$12*CAPA2_FLAGSHIP!F12</f>
        <v>0</v>
      </c>
      <c r="G7" s="298" t="n">
        <f aca="false">SUP_CONTROL!$C$12*CAPA2_FLAGSHIP!G12</f>
        <v>0</v>
      </c>
      <c r="H7" s="298" t="n">
        <f aca="false">SUP_CONTROL!$C$12*CAPA2_FLAGSHIP!H12</f>
        <v>0</v>
      </c>
      <c r="I7" s="298" t="n">
        <f aca="false">SUP_CONTROL!$C$12*CAPA2_FLAGSHIP!I12</f>
        <v>0</v>
      </c>
      <c r="J7" s="298" t="n">
        <f aca="false">SUP_CONTROL!$C$12*CAPA2_FLAGSHIP!J12</f>
        <v>0</v>
      </c>
      <c r="K7" s="298" t="n">
        <f aca="false">SUP_CONTROL!$C$12*CAPA2_FLAGSHIP!K12</f>
        <v>0</v>
      </c>
      <c r="L7" s="298" t="n">
        <f aca="false">SUP_CONTROL!$C$12*CAPA2_FLAGSHIP!L12</f>
        <v>0</v>
      </c>
      <c r="M7" s="298" t="n">
        <f aca="false">SUP_CONTROL!$C$12*CAPA2_FLAGSHIP!M12</f>
        <v>0</v>
      </c>
      <c r="N7" s="298" t="n">
        <f aca="false">SUP_CONTROL!$C$12*CAPA2_FLAGSHIP!N12</f>
        <v>0</v>
      </c>
      <c r="O7" s="298" t="n">
        <f aca="false">SUP_CONTROL!$C$12*CAPA2_FLAGSHIP!O12</f>
        <v>0</v>
      </c>
      <c r="P7" s="298" t="n">
        <f aca="false">SUP_CONTROL!$C$12*CAPA2_FLAGSHIP!P12</f>
        <v>0</v>
      </c>
      <c r="Q7" s="298" t="n">
        <f aca="false">SUP_CONTROL!$C$12*CAPA2_FLAGSHIP!Q12</f>
        <v>0</v>
      </c>
      <c r="R7" s="298" t="n">
        <f aca="false">SUP_CONTROL!$C$12*CAPA2_FLAGSHIP!R12</f>
        <v>0</v>
      </c>
      <c r="S7" s="298" t="n">
        <f aca="false">SUP_CONTROL!$C$12*CAPA2_FLAGSHIP!S12</f>
        <v>0</v>
      </c>
      <c r="T7" s="298" t="n">
        <f aca="false">SUP_CONTROL!$C$12*CAPA2_FLAGSHIP!T12</f>
        <v>0</v>
      </c>
      <c r="U7" s="298" t="n">
        <f aca="false">SUP_CONTROL!$C$12*CAPA2_FLAGSHIP!U12</f>
        <v>0</v>
      </c>
      <c r="V7" s="298" t="n">
        <f aca="false">SUP_CONTROL!$C$12*CAPA2_FLAGSHIP!V12</f>
        <v>0</v>
      </c>
      <c r="W7" s="298" t="n">
        <f aca="false">SUP_CONTROL!$C$12*CAPA2_FLAGSHIP!W12</f>
        <v>0</v>
      </c>
      <c r="X7" s="298" t="n">
        <f aca="false">SUP_CONTROL!$C$12*CAPA2_FLAGSHIP!X12</f>
        <v>0</v>
      </c>
      <c r="Y7" s="298" t="n">
        <f aca="false">SUP_CONTROL!$C$12*CAPA2_FLAGSHIP!Y12</f>
        <v>0</v>
      </c>
      <c r="Z7" s="298" t="n">
        <f aca="false">SUP_CONTROL!$C$12*CAPA2_FLAGSHIP!Z12</f>
        <v>0</v>
      </c>
      <c r="AA7" s="298" t="n">
        <f aca="false">SUP_CONTROL!$C$12*CAPA2_FLAGSHIP!AA12</f>
        <v>0</v>
      </c>
      <c r="AB7" s="298" t="n">
        <f aca="false">SUP_CONTROL!$C$12*CAPA2_FLAGSHIP!AB12</f>
        <v>0</v>
      </c>
      <c r="AC7" s="298" t="n">
        <f aca="false">SUP_CONTROL!$C$12*CAPA2_FLAGSHIP!AC12</f>
        <v>0</v>
      </c>
      <c r="AD7" s="298" t="n">
        <f aca="false">SUP_CONTROL!$C$12*CAPA2_FLAGSHIP!AD12</f>
        <v>0</v>
      </c>
      <c r="AE7" s="298" t="n">
        <f aca="false">SUP_CONTROL!$C$12*CAPA2_FLAGSHIP!AE12</f>
        <v>0</v>
      </c>
      <c r="AF7" s="298" t="n">
        <f aca="false">SUP_CONTROL!$C$12*CAPA2_FLAGSHIP!AF12</f>
        <v>0</v>
      </c>
      <c r="AG7" s="298" t="n">
        <f aca="false">SUP_CONTROL!$C$12*CAPA2_FLAGSHIP!AG12</f>
        <v>0</v>
      </c>
      <c r="AH7" s="298" t="n">
        <f aca="false">SUP_CONTROL!$C$12*CAPA2_FLAGSHIP!AH12</f>
        <v>0</v>
      </c>
      <c r="AI7" s="298" t="n">
        <f aca="false">SUP_CONTROL!$C$12*CAPA2_FLAGSHIP!AI12</f>
        <v>0</v>
      </c>
      <c r="AJ7" s="298" t="n">
        <f aca="false">SUP_CONTROL!$C$12*CAPA2_FLAGSHIP!AJ12</f>
        <v>0</v>
      </c>
      <c r="AK7" s="298" t="n">
        <f aca="false">SUP_CONTROL!$C$12*CAPA2_FLAGSHIP!AK12</f>
        <v>0</v>
      </c>
      <c r="AL7" s="298" t="n">
        <f aca="false">SUP_CONTROL!$C$12*CAPA2_FLAGSHIP!AL12</f>
        <v>0</v>
      </c>
      <c r="AM7" s="298" t="n">
        <f aca="false">SUP_CONTROL!$C$12*CAPA2_FLAGSHIP!AM12</f>
        <v>0</v>
      </c>
      <c r="AN7" s="298" t="n">
        <f aca="false">SUP_CONTROL!$C$12*CAPA2_FLAGSHIP!AN12</f>
        <v>0</v>
      </c>
      <c r="AO7" s="298" t="n">
        <f aca="false">SUP_CONTROL!$C$12*CAPA2_FLAGSHIP!AO12</f>
        <v>0</v>
      </c>
      <c r="AP7" s="298" t="n">
        <f aca="false">SUP_CONTROL!$C$12*CAPA2_FLAGSHIP!AP12</f>
        <v>0</v>
      </c>
      <c r="AQ7" s="298" t="n">
        <f aca="false">SUP_CONTROL!$C$12*CAPA2_FLAGSHIP!AQ12</f>
        <v>0</v>
      </c>
      <c r="AR7" s="298" t="n">
        <f aca="false">SUP_CONTROL!$C$12*CAPA2_FLAGSHIP!AR12</f>
        <v>0</v>
      </c>
      <c r="AS7" s="298" t="n">
        <f aca="false">SUP_CONTROL!$C$12*CAPA2_FLAGSHIP!AS12</f>
        <v>0</v>
      </c>
      <c r="AT7" s="298" t="n">
        <f aca="false">SUP_CONTROL!$C$12*CAPA2_FLAGSHIP!AT12</f>
        <v>0</v>
      </c>
      <c r="AU7" s="298" t="n">
        <f aca="false">SUP_CONTROL!$C$12*CAPA2_FLAGSHIP!AU12</f>
        <v>0</v>
      </c>
      <c r="AV7" s="298" t="n">
        <f aca="false">SUP_CONTROL!$C$12*CAPA2_FLAGSHIP!AV12</f>
        <v>0</v>
      </c>
      <c r="AW7" s="298" t="n">
        <f aca="false">SUP_CONTROL!$C$12*CAPA2_FLAGSHIP!AW12</f>
        <v>0</v>
      </c>
      <c r="AX7" s="298" t="n">
        <f aca="false">SUP_CONTROL!$C$12*CAPA2_FLAGSHIP!AX12</f>
        <v>0</v>
      </c>
      <c r="AY7" s="298" t="n">
        <f aca="false">SUP_CONTROL!$C$12*CAPA2_FLAGSHIP!AY12</f>
        <v>0</v>
      </c>
      <c r="AZ7" s="298" t="n">
        <f aca="false">SUP_CONTROL!$C$12*CAPA2_FLAGSHIP!AZ12</f>
        <v>0</v>
      </c>
      <c r="BA7" s="298" t="n">
        <f aca="false">SUP_CONTROL!$C$12*CAPA2_FLAGSHIP!BA12</f>
        <v>0</v>
      </c>
      <c r="BB7" s="298" t="n">
        <f aca="false">SUP_CONTROL!$C$12*CAPA2_FLAGSHIP!BB12</f>
        <v>0</v>
      </c>
      <c r="BC7" s="298" t="n">
        <f aca="false">SUP_CONTROL!$C$12*CAPA2_FLAGSHIP!BC12</f>
        <v>0</v>
      </c>
      <c r="BD7" s="298" t="n">
        <f aca="false">SUP_CONTROL!$C$12*CAPA2_FLAGSHIP!BD12</f>
        <v>0</v>
      </c>
      <c r="BE7" s="298" t="n">
        <f aca="false">SUP_CONTROL!$C$12*CAPA2_FLAGSHIP!BE12</f>
        <v>0</v>
      </c>
      <c r="BF7" s="298" t="n">
        <f aca="false">SUP_CONTROL!$C$12*CAPA2_FLAGSHIP!BF12</f>
        <v>0</v>
      </c>
      <c r="BG7" s="298" t="n">
        <f aca="false">SUP_CONTROL!$C$12*CAPA2_FLAGSHIP!BG12</f>
        <v>0</v>
      </c>
      <c r="BH7" s="298" t="n">
        <f aca="false">SUP_CONTROL!$C$12*CAPA2_FLAGSHIP!BH12</f>
        <v>0</v>
      </c>
      <c r="BI7" s="298" t="n">
        <f aca="false">SUP_CONTROL!$C$12*CAPA2_FLAGSHIP!BI12</f>
        <v>0</v>
      </c>
      <c r="BJ7" s="298" t="n">
        <f aca="false">SUP_CONTROL!$C$12*CAPA2_FLAGSHIP!BJ12</f>
        <v>0</v>
      </c>
      <c r="BK7" s="298" t="n">
        <f aca="false">SUP_CONTROL!$C$12*CAPA2_FLAGSHIP!BK12</f>
        <v>0</v>
      </c>
      <c r="BL7" s="298" t="n">
        <f aca="false">SUP_CONTROL!$C$12*CAPA2_FLAGSHIP!BL12</f>
        <v>0</v>
      </c>
      <c r="BM7" s="298" t="n">
        <f aca="false">SUP_CONTROL!$C$12*CAPA2_FLAGSHIP!BM12</f>
        <v>0</v>
      </c>
      <c r="BN7" s="298" t="n">
        <f aca="false">SUP_CONTROL!$C$12*CAPA2_FLAGSHIP!BN12</f>
        <v>0</v>
      </c>
      <c r="BO7" s="298" t="n">
        <f aca="false">SUP_CONTROL!$C$12*CAPA2_FLAGSHIP!BO12</f>
        <v>0</v>
      </c>
      <c r="BP7" s="298" t="n">
        <f aca="false">SUP_CONTROL!$C$12*CAPA2_FLAGSHIP!BP12</f>
        <v>0</v>
      </c>
      <c r="BQ7" s="298" t="n">
        <f aca="false">SUP_CONTROL!$C$12*CAPA2_FLAGSHIP!BQ12</f>
        <v>0</v>
      </c>
      <c r="BR7" s="298" t="n">
        <f aca="false">SUP_CONTROL!$C$12*CAPA2_FLAGSHIP!BR12</f>
        <v>0</v>
      </c>
      <c r="BS7" s="298" t="n">
        <f aca="false">SUP_CONTROL!$C$12*CAPA2_FLAGSHIP!BS12</f>
        <v>0</v>
      </c>
      <c r="BT7" s="298" t="n">
        <f aca="false">SUP_CONTROL!$C$12*CAPA2_FLAGSHIP!BT12</f>
        <v>0</v>
      </c>
      <c r="BU7" s="298" t="n">
        <f aca="false">SUP_CONTROL!$C$12*CAPA2_FLAGSHIP!BU12</f>
        <v>0</v>
      </c>
      <c r="BV7" s="298" t="n">
        <f aca="false">SUP_CONTROL!$C$12*CAPA2_FLAGSHIP!BV12</f>
        <v>0</v>
      </c>
      <c r="BW7" s="298" t="n">
        <f aca="false">SUP_CONTROL!$C$12*CAPA2_FLAGSHIP!BW12</f>
        <v>0</v>
      </c>
      <c r="BX7" s="298" t="n">
        <f aca="false">SUP_CONTROL!$C$12*CAPA2_FLAGSHIP!BX12</f>
        <v>0</v>
      </c>
      <c r="BY7" s="298" t="n">
        <f aca="false">SUP_CONTROL!$C$12*CAPA2_FLAGSHIP!BY12</f>
        <v>0</v>
      </c>
      <c r="BZ7" s="298" t="n">
        <f aca="false">SUP_CONTROL!$C$12*CAPA2_FLAGSHIP!BZ12</f>
        <v>0</v>
      </c>
      <c r="CA7" s="298" t="n">
        <f aca="false">SUP_CONTROL!$C$12*CAPA2_FLAGSHIP!CA12</f>
        <v>0</v>
      </c>
      <c r="CB7" s="298" t="n">
        <f aca="false">SUP_CONTROL!$C$12*CAPA2_FLAGSHIP!CB12</f>
        <v>0</v>
      </c>
      <c r="CC7" s="298" t="n">
        <f aca="false">SUP_CONTROL!$C$12*CAPA2_FLAGSHIP!CC12</f>
        <v>0</v>
      </c>
      <c r="CD7" s="298" t="n">
        <f aca="false">SUP_CONTROL!$C$12*CAPA2_FLAGSHIP!CD12</f>
        <v>0</v>
      </c>
      <c r="CE7" s="298" t="n">
        <f aca="false">SUP_CONTROL!$C$12*CAPA2_FLAGSHIP!CE12</f>
        <v>0</v>
      </c>
      <c r="CF7" s="298" t="n">
        <f aca="false">SUP_CONTROL!$C$12*CAPA2_FLAGSHIP!CF12</f>
        <v>0</v>
      </c>
      <c r="CG7" s="298" t="n">
        <f aca="false">SUP_CONTROL!$C$12*CAPA2_FLAGSHIP!CG12</f>
        <v>0</v>
      </c>
      <c r="CH7" s="298" t="n">
        <f aca="false">SUP_CONTROL!$C$12*CAPA2_FLAGSHIP!CH12</f>
        <v>0</v>
      </c>
      <c r="CI7" s="298" t="n">
        <f aca="false">SUP_CONTROL!$C$12*CAPA2_FLAGSHIP!CI12</f>
        <v>0</v>
      </c>
      <c r="CJ7" s="298" t="n">
        <f aca="false">SUP_CONTROL!$C$12*CAPA2_FLAGSHIP!CJ12</f>
        <v>0</v>
      </c>
      <c r="CK7" s="298" t="n">
        <f aca="false">SUP_CONTROL!$C$12*CAPA2_FLAGSHIP!CK12</f>
        <v>0</v>
      </c>
      <c r="CL7" s="298" t="n">
        <f aca="false">SUP_CONTROL!$C$12*CAPA2_FLAGSHIP!CL12</f>
        <v>0</v>
      </c>
      <c r="CM7" s="298" t="n">
        <f aca="false">SUP_CONTROL!$C$12*CAPA2_FLAGSHIP!CM12</f>
        <v>0</v>
      </c>
      <c r="CN7" s="298" t="n">
        <f aca="false">SUP_CONTROL!$C$12*CAPA2_FLAGSHIP!CN12</f>
        <v>0</v>
      </c>
      <c r="CO7" s="298" t="n">
        <f aca="false">SUP_CONTROL!$C$12*CAPA2_FLAGSHIP!CO12</f>
        <v>0</v>
      </c>
      <c r="CP7" s="298" t="n">
        <f aca="false">SUP_CONTROL!$C$12*CAPA2_FLAGSHIP!CP12</f>
        <v>0</v>
      </c>
      <c r="CQ7" s="298" t="n">
        <f aca="false">SUP_CONTROL!$C$12*CAPA2_FLAGSHIP!CQ12</f>
        <v>0</v>
      </c>
      <c r="CR7" s="298" t="n">
        <f aca="false">SUP_CONTROL!$C$12*CAPA2_FLAGSHIP!CR12</f>
        <v>0</v>
      </c>
      <c r="CS7" s="298" t="n">
        <f aca="false">SUP_CONTROL!$C$12*CAPA2_FLAGSHIP!CS12</f>
        <v>0</v>
      </c>
      <c r="CT7" s="298" t="n">
        <f aca="false">SUP_CONTROL!$C$12*CAPA2_FLAGSHIP!CT12</f>
        <v>0</v>
      </c>
      <c r="CU7" s="298" t="n">
        <f aca="false">SUP_CONTROL!$C$12*CAPA2_FLAGSHIP!CU12</f>
        <v>0</v>
      </c>
      <c r="CV7" s="298" t="n">
        <f aca="false">SUP_CONTROL!$C$12*CAPA2_FLAGSHIP!CV12</f>
        <v>0</v>
      </c>
      <c r="CW7" s="298" t="n">
        <f aca="false">SUP_CONTROL!$C$12*CAPA2_FLAGSHIP!CW12</f>
        <v>0</v>
      </c>
      <c r="CX7" s="298" t="n">
        <f aca="false">SUP_CONTROL!$C$12*CAPA2_FLAGSHIP!CX12</f>
        <v>0</v>
      </c>
      <c r="CY7" s="298" t="n">
        <f aca="false">SUP_CONTROL!$C$12*CAPA2_FLAGSHIP!CY12</f>
        <v>0</v>
      </c>
      <c r="CZ7" s="298" t="n">
        <f aca="false">SUP_CONTROL!$C$12*CAPA2_FLAGSHIP!CZ12</f>
        <v>0</v>
      </c>
      <c r="DA7" s="298" t="n">
        <f aca="false">SUP_CONTROL!$C$12*CAPA2_FLAGSHIP!DA12</f>
        <v>0</v>
      </c>
      <c r="DB7" s="298" t="n">
        <f aca="false">SUP_CONTROL!$C$12*CAPA2_FLAGSHIP!DB12</f>
        <v>0</v>
      </c>
      <c r="DC7" s="298" t="n">
        <f aca="false">SUP_CONTROL!$C$12*CAPA2_FLAGSHIP!DC12</f>
        <v>0</v>
      </c>
      <c r="DD7" s="298" t="n">
        <f aca="false">SUP_CONTROL!$C$12*CAPA2_FLAGSHIP!DD12</f>
        <v>0</v>
      </c>
      <c r="DE7" s="298" t="n">
        <f aca="false">SUP_CONTROL!$C$12*CAPA2_FLAGSHIP!DE12</f>
        <v>0</v>
      </c>
      <c r="DF7" s="298" t="n">
        <f aca="false">SUP_CONTROL!$C$12*CAPA2_FLAGSHIP!DF12</f>
        <v>0</v>
      </c>
      <c r="DG7" s="298" t="n">
        <f aca="false">SUP_CONTROL!$C$12*CAPA2_FLAGSHIP!DG12</f>
        <v>0</v>
      </c>
      <c r="DH7" s="298" t="n">
        <f aca="false">SUP_CONTROL!$C$12*CAPA2_FLAGSHIP!DH12</f>
        <v>0</v>
      </c>
      <c r="DI7" s="298" t="n">
        <f aca="false">SUP_CONTROL!$C$12*CAPA2_FLAGSHIP!DI12</f>
        <v>0</v>
      </c>
      <c r="DJ7" s="298" t="n">
        <f aca="false">SUP_CONTROL!$C$12*CAPA2_FLAGSHIP!DJ12</f>
        <v>0</v>
      </c>
      <c r="DK7" s="298" t="n">
        <f aca="false">SUP_CONTROL!$C$12*CAPA2_FLAGSHIP!DK12</f>
        <v>0</v>
      </c>
      <c r="DL7" s="298" t="n">
        <f aca="false">SUP_CONTROL!$C$12*CAPA2_FLAGSHIP!DL12</f>
        <v>0</v>
      </c>
      <c r="DM7" s="298" t="n">
        <f aca="false">SUP_CONTROL!$C$12*CAPA2_FLAGSHIP!DM12</f>
        <v>0</v>
      </c>
      <c r="DN7" s="298" t="n">
        <f aca="false">SUP_CONTROL!$C$12*CAPA2_FLAGSHIP!DN12</f>
        <v>0</v>
      </c>
      <c r="DO7" s="298" t="n">
        <f aca="false">SUP_CONTROL!$C$12*CAPA2_FLAGSHIP!DO12</f>
        <v>0</v>
      </c>
      <c r="DP7" s="298" t="n">
        <f aca="false">SUP_CONTROL!$C$12*CAPA2_FLAGSHIP!DP12</f>
        <v>0</v>
      </c>
      <c r="DQ7" s="298" t="n">
        <f aca="false">SUP_CONTROL!$C$12*CAPA2_FLAGSHIP!DQ12</f>
        <v>0</v>
      </c>
      <c r="DR7" s="298" t="n">
        <f aca="false">SUP_CONTROL!$C$12*CAPA2_FLAGSHIP!DR12</f>
        <v>0</v>
      </c>
      <c r="DS7" s="298" t="n">
        <f aca="false">SUP_CONTROL!$C$12*CAPA2_FLAGSHIP!DS12</f>
        <v>0</v>
      </c>
    </row>
    <row r="8" customFormat="false" ht="15" hidden="false" customHeight="true" outlineLevel="0" collapsed="false">
      <c r="B8" s="297" t="s">
        <v>3762</v>
      </c>
      <c r="D8" s="298" t="n">
        <f aca="false">SUP_CONTROL!$C$13*CAPA3_EXPANSION!D41</f>
        <v>0</v>
      </c>
      <c r="E8" s="298" t="n">
        <f aca="false">SUP_CONTROL!$C$13*CAPA3_EXPANSION!E41</f>
        <v>0</v>
      </c>
      <c r="F8" s="298" t="n">
        <f aca="false">SUP_CONTROL!$C$13*CAPA3_EXPANSION!F41</f>
        <v>0</v>
      </c>
      <c r="G8" s="298" t="n">
        <f aca="false">SUP_CONTROL!$C$13*CAPA3_EXPANSION!G41</f>
        <v>0</v>
      </c>
      <c r="H8" s="298" t="n">
        <f aca="false">SUP_CONTROL!$C$13*CAPA3_EXPANSION!H41</f>
        <v>0</v>
      </c>
      <c r="I8" s="298" t="n">
        <f aca="false">SUP_CONTROL!$C$13*CAPA3_EXPANSION!I41</f>
        <v>0</v>
      </c>
      <c r="J8" s="298" t="n">
        <f aca="false">SUP_CONTROL!$C$13*CAPA3_EXPANSION!J41</f>
        <v>0</v>
      </c>
      <c r="K8" s="298" t="n">
        <f aca="false">SUP_CONTROL!$C$13*CAPA3_EXPANSION!K41</f>
        <v>0</v>
      </c>
      <c r="L8" s="298" t="n">
        <f aca="false">SUP_CONTROL!$C$13*CAPA3_EXPANSION!L41</f>
        <v>0</v>
      </c>
      <c r="M8" s="298" t="n">
        <f aca="false">SUP_CONTROL!$C$13*CAPA3_EXPANSION!M41</f>
        <v>0</v>
      </c>
      <c r="N8" s="298" t="n">
        <f aca="false">SUP_CONTROL!$C$13*CAPA3_EXPANSION!N41</f>
        <v>0</v>
      </c>
      <c r="O8" s="298" t="n">
        <f aca="false">SUP_CONTROL!$C$13*CAPA3_EXPANSION!O41</f>
        <v>0</v>
      </c>
      <c r="P8" s="298" t="n">
        <f aca="false">SUP_CONTROL!$C$13*CAPA3_EXPANSION!P41</f>
        <v>0</v>
      </c>
      <c r="Q8" s="298" t="n">
        <f aca="false">SUP_CONTROL!$C$13*CAPA3_EXPANSION!Q41</f>
        <v>0</v>
      </c>
      <c r="R8" s="298" t="n">
        <f aca="false">SUP_CONTROL!$C$13*CAPA3_EXPANSION!R41</f>
        <v>0</v>
      </c>
      <c r="S8" s="298" t="n">
        <f aca="false">SUP_CONTROL!$C$13*CAPA3_EXPANSION!S41</f>
        <v>0</v>
      </c>
      <c r="T8" s="298" t="n">
        <f aca="false">SUP_CONTROL!$C$13*CAPA3_EXPANSION!T41</f>
        <v>0</v>
      </c>
      <c r="U8" s="298" t="n">
        <f aca="false">SUP_CONTROL!$C$13*CAPA3_EXPANSION!U41</f>
        <v>0</v>
      </c>
      <c r="V8" s="298" t="n">
        <f aca="false">SUP_CONTROL!$C$13*CAPA3_EXPANSION!V41</f>
        <v>4504.5</v>
      </c>
      <c r="W8" s="298" t="n">
        <f aca="false">SUP_CONTROL!$C$13*CAPA3_EXPANSION!W41</f>
        <v>10048.5</v>
      </c>
      <c r="X8" s="298" t="n">
        <f aca="false">SUP_CONTROL!$C$13*CAPA3_EXPANSION!X41</f>
        <v>11781</v>
      </c>
      <c r="Y8" s="298" t="n">
        <f aca="false">SUP_CONTROL!$C$13*CAPA3_EXPANSION!Y41</f>
        <v>17671.5</v>
      </c>
      <c r="Z8" s="298" t="n">
        <f aca="false">SUP_CONTROL!$C$13*CAPA3_EXPANSION!Z41</f>
        <v>19404</v>
      </c>
      <c r="AA8" s="298" t="n">
        <f aca="false">SUP_CONTROL!$C$13*CAPA3_EXPANSION!AA41</f>
        <v>20097</v>
      </c>
      <c r="AB8" s="298" t="n">
        <f aca="false">SUP_CONTROL!$C$13*CAPA3_EXPANSION!AB41</f>
        <v>20790</v>
      </c>
      <c r="AC8" s="298" t="n">
        <f aca="false">SUP_CONTROL!$C$13*CAPA3_EXPANSION!AC41</f>
        <v>20790</v>
      </c>
      <c r="AD8" s="298" t="n">
        <f aca="false">SUP_CONTROL!$C$13*CAPA3_EXPANSION!AD41</f>
        <v>20790</v>
      </c>
      <c r="AE8" s="298" t="n">
        <f aca="false">SUP_CONTROL!$C$13*CAPA3_EXPANSION!AE41</f>
        <v>20790</v>
      </c>
      <c r="AF8" s="298" t="n">
        <f aca="false">SUP_CONTROL!$C$13*CAPA3_EXPANSION!AF41</f>
        <v>20790</v>
      </c>
      <c r="AG8" s="298" t="n">
        <f aca="false">SUP_CONTROL!$C$13*CAPA3_EXPANSION!AG41</f>
        <v>20166.3</v>
      </c>
      <c r="AH8" s="298" t="n">
        <f aca="false">SUP_CONTROL!$C$13*CAPA3_EXPANSION!AH41</f>
        <v>20166.3</v>
      </c>
      <c r="AI8" s="298" t="n">
        <f aca="false">SUP_CONTROL!$C$13*CAPA3_EXPANSION!AI41</f>
        <v>25846.4745</v>
      </c>
      <c r="AJ8" s="298" t="n">
        <f aca="false">SUP_CONTROL!$C$13*CAPA3_EXPANSION!AJ41</f>
        <v>31526.649</v>
      </c>
      <c r="AK8" s="298" t="n">
        <f aca="false">SUP_CONTROL!$C$13*CAPA3_EXPANSION!AK41</f>
        <v>33408.837</v>
      </c>
      <c r="AL8" s="298" t="n">
        <f aca="false">SUP_CONTROL!$C$13*CAPA3_EXPANSION!AL41</f>
        <v>39324.285</v>
      </c>
      <c r="AM8" s="298" t="n">
        <f aca="false">SUP_CONTROL!$C$13*CAPA3_EXPANSION!AM41</f>
        <v>41004.81</v>
      </c>
      <c r="AN8" s="298" t="n">
        <f aca="false">SUP_CONTROL!$C$13*CAPA3_EXPANSION!AN41</f>
        <v>46046.385</v>
      </c>
      <c r="AO8" s="298" t="n">
        <f aca="false">SUP_CONTROL!$C$13*CAPA3_EXPANSION!AO41</f>
        <v>47726.91</v>
      </c>
      <c r="AP8" s="298" t="n">
        <f aca="false">SUP_CONTROL!$C$13*CAPA3_EXPANSION!AP41</f>
        <v>47151.72</v>
      </c>
      <c r="AQ8" s="298" t="n">
        <f aca="false">SUP_CONTROL!$C$13*CAPA3_EXPANSION!AQ41</f>
        <v>53340.38325</v>
      </c>
      <c r="AR8" s="298" t="n">
        <f aca="false">SUP_CONTROL!$C$13*CAPA3_EXPANSION!AR41</f>
        <v>58874.1615</v>
      </c>
      <c r="AS8" s="298" t="n">
        <f aca="false">SUP_CONTROL!$C$13*CAPA3_EXPANSION!AS41</f>
        <v>64964.592</v>
      </c>
      <c r="AT8" s="298" t="n">
        <f aca="false">SUP_CONTROL!$C$13*CAPA3_EXPANSION!AT41</f>
        <v>71709.9075</v>
      </c>
      <c r="AU8" s="298" t="n">
        <f aca="false">SUP_CONTROL!$C$13*CAPA3_EXPANSION!AU41</f>
        <v>74002.005</v>
      </c>
      <c r="AV8" s="298" t="n">
        <f aca="false">SUP_CONTROL!$C$13*CAPA3_EXPANSION!AV41</f>
        <v>75311.775</v>
      </c>
      <c r="AW8" s="298" t="n">
        <f aca="false">SUP_CONTROL!$C$13*CAPA3_EXPANSION!AW41</f>
        <v>81500.43825</v>
      </c>
      <c r="AX8" s="298" t="n">
        <f aca="false">SUP_CONTROL!$C$13*CAPA3_EXPANSION!AX41</f>
        <v>82777.464</v>
      </c>
      <c r="AY8" s="298" t="n">
        <f aca="false">SUP_CONTROL!$C$13*CAPA3_EXPANSION!AY41</f>
        <v>87885.567</v>
      </c>
      <c r="AZ8" s="298" t="n">
        <f aca="false">SUP_CONTROL!$C$13*CAPA3_EXPANSION!AZ41</f>
        <v>93975.9975</v>
      </c>
      <c r="BA8" s="298" t="n">
        <f aca="false">SUP_CONTROL!$C$13*CAPA3_EXPANSION!BA41</f>
        <v>95613.21</v>
      </c>
      <c r="BB8" s="298" t="n">
        <f aca="false">SUP_CONTROL!$C$13*CAPA3_EXPANSION!BB41</f>
        <v>96922.98</v>
      </c>
      <c r="BC8" s="298" t="n">
        <f aca="false">SUP_CONTROL!$C$13*CAPA3_EXPANSION!BC41</f>
        <v>97577.865</v>
      </c>
      <c r="BD8" s="298" t="n">
        <f aca="false">SUP_CONTROL!$C$13*CAPA3_EXPANSION!BD41</f>
        <v>97577.865</v>
      </c>
      <c r="BE8" s="298" t="n">
        <f aca="false">SUP_CONTROL!$C$13*CAPA3_EXPANSION!BE41</f>
        <v>97577.865</v>
      </c>
      <c r="BF8" s="298" t="n">
        <f aca="false">SUP_CONTROL!$C$13*CAPA3_EXPANSION!BF41</f>
        <v>94996.44</v>
      </c>
      <c r="BG8" s="298" t="n">
        <f aca="false">SUP_CONTROL!$C$13*CAPA3_EXPANSION!BG41</f>
        <v>94996.44</v>
      </c>
      <c r="BH8" s="298" t="n">
        <f aca="false">SUP_CONTROL!$C$13*CAPA3_EXPANSION!BH41</f>
        <v>94996.44</v>
      </c>
      <c r="BI8" s="298" t="n">
        <f aca="false">SUP_CONTROL!$C$13*CAPA3_EXPANSION!BI41</f>
        <v>103284.72</v>
      </c>
      <c r="BJ8" s="298" t="n">
        <f aca="false">SUP_CONTROL!$C$13*CAPA3_EXPANSION!BJ41</f>
        <v>109341.54</v>
      </c>
      <c r="BK8" s="298" t="n">
        <f aca="false">SUP_CONTROL!$C$13*CAPA3_EXPANSION!BK41</f>
        <v>114417.765</v>
      </c>
      <c r="BL8" s="298" t="n">
        <f aca="false">SUP_CONTROL!$C$13*CAPA3_EXPANSION!BL41</f>
        <v>121559.13</v>
      </c>
      <c r="BM8" s="298" t="n">
        <f aca="false">SUP_CONTROL!$C$13*CAPA3_EXPANSION!BM41</f>
        <v>127983.24</v>
      </c>
      <c r="BN8" s="298" t="n">
        <f aca="false">SUP_CONTROL!$C$13*CAPA3_EXPANSION!BN41</f>
        <v>134407.35</v>
      </c>
      <c r="BO8" s="298" t="n">
        <f aca="false">SUP_CONTROL!$C$13*CAPA3_EXPANSION!BO41</f>
        <v>136590.3</v>
      </c>
      <c r="BP8" s="298" t="n">
        <f aca="false">SUP_CONTROL!$C$13*CAPA3_EXPANSION!BP41</f>
        <v>143107.965</v>
      </c>
      <c r="BQ8" s="298" t="n">
        <f aca="false">SUP_CONTROL!$C$13*CAPA3_EXPANSION!BQ41</f>
        <v>145690.776</v>
      </c>
      <c r="BR8" s="298" t="n">
        <f aca="false">SUP_CONTROL!$C$13*CAPA3_EXPANSION!BR41</f>
        <v>151362.288</v>
      </c>
      <c r="BS8" s="298" t="n">
        <f aca="false">SUP_CONTROL!$C$13*CAPA3_EXPANSION!BS41</f>
        <v>157643.64</v>
      </c>
      <c r="BT8" s="298" t="n">
        <f aca="false">SUP_CONTROL!$C$13*CAPA3_EXPANSION!BT41</f>
        <v>164931.228</v>
      </c>
      <c r="BU8" s="298" t="n">
        <f aca="false">SUP_CONTROL!$C$13*CAPA3_EXPANSION!BU41</f>
        <v>171304.056</v>
      </c>
      <c r="BV8" s="298" t="n">
        <f aca="false">SUP_CONTROL!$C$13*CAPA3_EXPANSION!BV41</f>
        <v>177585.408</v>
      </c>
      <c r="BW8" s="298" t="n">
        <f aca="false">SUP_CONTROL!$C$13*CAPA3_EXPANSION!BW41</f>
        <v>180732.6675</v>
      </c>
      <c r="BX8" s="298" t="n">
        <f aca="false">SUP_CONTROL!$C$13*CAPA3_EXPANSION!BX41</f>
        <v>187896.03525</v>
      </c>
      <c r="BY8" s="298" t="n">
        <f aca="false">SUP_CONTROL!$C$13*CAPA3_EXPANSION!BY41</f>
        <v>190263.843</v>
      </c>
      <c r="BZ8" s="298" t="n">
        <f aca="false">SUP_CONTROL!$C$13*CAPA3_EXPANSION!BZ41</f>
        <v>199435.3515</v>
      </c>
      <c r="CA8" s="298" t="n">
        <f aca="false">SUP_CONTROL!$C$13*CAPA3_EXPANSION!CA41</f>
        <v>205909.3575</v>
      </c>
      <c r="CB8" s="298" t="n">
        <f aca="false">SUP_CONTROL!$C$13*CAPA3_EXPANSION!CB41</f>
        <v>208229.175</v>
      </c>
      <c r="CC8" s="298" t="n">
        <f aca="false">SUP_CONTROL!$C$13*CAPA3_EXPANSION!CC41</f>
        <v>214708.725</v>
      </c>
      <c r="CD8" s="298" t="n">
        <f aca="false">SUP_CONTROL!$C$13*CAPA3_EXPANSION!CD41</f>
        <v>221747.8725</v>
      </c>
      <c r="CE8" s="298" t="n">
        <f aca="false">SUP_CONTROL!$C$13*CAPA3_EXPANSION!CE41</f>
        <v>227903.445</v>
      </c>
      <c r="CF8" s="298" t="n">
        <f aca="false">SUP_CONTROL!$C$13*CAPA3_EXPANSION!CF41</f>
        <v>233970.66</v>
      </c>
      <c r="CG8" s="298" t="n">
        <f aca="false">SUP_CONTROL!$C$13*CAPA3_EXPANSION!CG41</f>
        <v>240997.68</v>
      </c>
      <c r="CH8" s="298" t="n">
        <f aca="false">SUP_CONTROL!$C$13*CAPA3_EXPANSION!CH41</f>
        <v>248827.194</v>
      </c>
      <c r="CI8" s="298" t="n">
        <f aca="false">SUP_CONTROL!$C$13*CAPA3_EXPANSION!CI41</f>
        <v>255492.468</v>
      </c>
      <c r="CJ8" s="298" t="n">
        <f aca="false">SUP_CONTROL!$C$13*CAPA3_EXPANSION!CJ41</f>
        <v>258286.644</v>
      </c>
      <c r="CK8" s="298" t="n">
        <f aca="false">SUP_CONTROL!$C$13*CAPA3_EXPANSION!CK41</f>
        <v>259625.52</v>
      </c>
      <c r="CL8" s="298" t="n">
        <f aca="false">SUP_CONTROL!$C$13*CAPA3_EXPANSION!CL41</f>
        <v>260207.64</v>
      </c>
      <c r="CM8" s="298" t="n">
        <f aca="false">SUP_CONTROL!$C$13*CAPA3_EXPANSION!CM41</f>
        <v>260207.64</v>
      </c>
      <c r="CN8" s="298" t="n">
        <f aca="false">SUP_CONTROL!$C$13*CAPA3_EXPANSION!CN41</f>
        <v>260207.64</v>
      </c>
      <c r="CO8" s="298" t="n">
        <f aca="false">SUP_CONTROL!$C$13*CAPA3_EXPANSION!CO41</f>
        <v>260207.64</v>
      </c>
      <c r="CP8" s="298" t="n">
        <f aca="false">SUP_CONTROL!$C$13*CAPA3_EXPANSION!CP41</f>
        <v>260207.64</v>
      </c>
      <c r="CQ8" s="298" t="n">
        <f aca="false">SUP_CONTROL!$C$13*CAPA3_EXPANSION!CQ41</f>
        <v>260207.64</v>
      </c>
      <c r="CR8" s="298" t="n">
        <f aca="false">SUP_CONTROL!$C$13*CAPA3_EXPANSION!CR41</f>
        <v>260207.64</v>
      </c>
      <c r="CS8" s="298" t="n">
        <f aca="false">SUP_CONTROL!$C$13*CAPA3_EXPANSION!CS41</f>
        <v>260207.64</v>
      </c>
      <c r="CT8" s="298" t="n">
        <f aca="false">SUP_CONTROL!$C$13*CAPA3_EXPANSION!CT41</f>
        <v>260207.64</v>
      </c>
      <c r="CU8" s="298" t="n">
        <f aca="false">SUP_CONTROL!$C$13*CAPA3_EXPANSION!CU41</f>
        <v>260207.64</v>
      </c>
      <c r="CV8" s="298" t="n">
        <f aca="false">SUP_CONTROL!$C$13*CAPA3_EXPANSION!CV41</f>
        <v>260207.64</v>
      </c>
      <c r="CW8" s="298" t="n">
        <f aca="false">SUP_CONTROL!$C$13*CAPA3_EXPANSION!CW41</f>
        <v>260207.64</v>
      </c>
      <c r="CX8" s="298" t="n">
        <f aca="false">SUP_CONTROL!$C$13*CAPA3_EXPANSION!CX41</f>
        <v>260207.64</v>
      </c>
      <c r="CY8" s="298" t="n">
        <f aca="false">SUP_CONTROL!$C$13*CAPA3_EXPANSION!CY41</f>
        <v>260207.64</v>
      </c>
      <c r="CZ8" s="298" t="n">
        <f aca="false">SUP_CONTROL!$C$13*CAPA3_EXPANSION!CZ41</f>
        <v>260207.64</v>
      </c>
      <c r="DA8" s="298" t="n">
        <f aca="false">SUP_CONTROL!$C$13*CAPA3_EXPANSION!DA41</f>
        <v>260207.64</v>
      </c>
      <c r="DB8" s="298" t="n">
        <f aca="false">SUP_CONTROL!$C$13*CAPA3_EXPANSION!DB41</f>
        <v>260207.64</v>
      </c>
      <c r="DC8" s="298" t="n">
        <f aca="false">SUP_CONTROL!$C$13*CAPA3_EXPANSION!DC41</f>
        <v>260207.64</v>
      </c>
      <c r="DD8" s="298" t="n">
        <f aca="false">SUP_CONTROL!$C$13*CAPA3_EXPANSION!DD41</f>
        <v>260207.64</v>
      </c>
      <c r="DE8" s="298" t="n">
        <f aca="false">SUP_CONTROL!$C$13*CAPA3_EXPANSION!DE41</f>
        <v>260207.64</v>
      </c>
      <c r="DF8" s="298" t="n">
        <f aca="false">SUP_CONTROL!$C$13*CAPA3_EXPANSION!DF41</f>
        <v>260207.64</v>
      </c>
      <c r="DG8" s="298" t="n">
        <f aca="false">SUP_CONTROL!$C$13*CAPA3_EXPANSION!DG41</f>
        <v>260207.64</v>
      </c>
      <c r="DH8" s="298" t="n">
        <f aca="false">SUP_CONTROL!$C$13*CAPA3_EXPANSION!DH41</f>
        <v>260207.64</v>
      </c>
      <c r="DI8" s="298" t="n">
        <f aca="false">SUP_CONTROL!$C$13*CAPA3_EXPANSION!DI41</f>
        <v>260207.64</v>
      </c>
      <c r="DJ8" s="298" t="n">
        <f aca="false">SUP_CONTROL!$C$13*CAPA3_EXPANSION!DJ41</f>
        <v>260207.64</v>
      </c>
      <c r="DK8" s="298" t="n">
        <f aca="false">SUP_CONTROL!$C$13*CAPA3_EXPANSION!DK41</f>
        <v>260207.64</v>
      </c>
      <c r="DL8" s="298" t="n">
        <f aca="false">SUP_CONTROL!$C$13*CAPA3_EXPANSION!DL41</f>
        <v>260207.64</v>
      </c>
      <c r="DM8" s="298" t="n">
        <f aca="false">SUP_CONTROL!$C$13*CAPA3_EXPANSION!DM41</f>
        <v>260207.64</v>
      </c>
      <c r="DN8" s="298" t="n">
        <f aca="false">SUP_CONTROL!$C$13*CAPA3_EXPANSION!DN41</f>
        <v>260207.64</v>
      </c>
      <c r="DO8" s="298" t="n">
        <f aca="false">SUP_CONTROL!$C$13*CAPA3_EXPANSION!DO41</f>
        <v>260207.64</v>
      </c>
      <c r="DP8" s="298" t="n">
        <f aca="false">SUP_CONTROL!$C$13*CAPA3_EXPANSION!DP41</f>
        <v>260207.64</v>
      </c>
      <c r="DQ8" s="298" t="n">
        <f aca="false">SUP_CONTROL!$C$13*CAPA3_EXPANSION!DQ41</f>
        <v>260207.64</v>
      </c>
      <c r="DR8" s="298" t="n">
        <f aca="false">SUP_CONTROL!$C$13*CAPA3_EXPANSION!DR41</f>
        <v>260207.64</v>
      </c>
      <c r="DS8" s="298" t="n">
        <f aca="false">SUP_CONTROL!$C$13*CAPA3_EXPANSION!DS41</f>
        <v>260207.64</v>
      </c>
    </row>
    <row r="9" customFormat="false" ht="15" hidden="false" customHeight="true" outlineLevel="0" collapsed="false">
      <c r="B9" s="297" t="s">
        <v>3763</v>
      </c>
      <c r="D9" s="298" t="n">
        <f aca="false">SUP_CONTROL!$C$14*CAPA4_RETAIL!D7*1000</f>
        <v>0</v>
      </c>
      <c r="E9" s="298" t="n">
        <f aca="false">SUP_CONTROL!$C$14*CAPA4_RETAIL!E7*1000</f>
        <v>0</v>
      </c>
      <c r="F9" s="298" t="n">
        <f aca="false">SUP_CONTROL!$C$14*CAPA4_RETAIL!F7*1000</f>
        <v>0</v>
      </c>
      <c r="G9" s="298" t="n">
        <f aca="false">SUP_CONTROL!$C$14*CAPA4_RETAIL!G7*1000</f>
        <v>0</v>
      </c>
      <c r="H9" s="298" t="n">
        <f aca="false">SUP_CONTROL!$C$14*CAPA4_RETAIL!H7*1000</f>
        <v>0</v>
      </c>
      <c r="I9" s="298" t="n">
        <f aca="false">SUP_CONTROL!$C$14*CAPA4_RETAIL!I7*1000</f>
        <v>0</v>
      </c>
      <c r="J9" s="298" t="n">
        <f aca="false">SUP_CONTROL!$C$14*CAPA4_RETAIL!J7*1000</f>
        <v>0</v>
      </c>
      <c r="K9" s="298" t="n">
        <f aca="false">SUP_CONTROL!$C$14*CAPA4_RETAIL!K7*1000</f>
        <v>0</v>
      </c>
      <c r="L9" s="298" t="n">
        <f aca="false">SUP_CONTROL!$C$14*CAPA4_RETAIL!L7*1000</f>
        <v>0</v>
      </c>
      <c r="M9" s="298" t="n">
        <f aca="false">SUP_CONTROL!$C$14*CAPA4_RETAIL!M7*1000</f>
        <v>0</v>
      </c>
      <c r="N9" s="298" t="n">
        <f aca="false">SUP_CONTROL!$C$14*CAPA4_RETAIL!N7*1000</f>
        <v>0</v>
      </c>
      <c r="O9" s="298" t="n">
        <f aca="false">SUP_CONTROL!$C$14*CAPA4_RETAIL!O7*1000</f>
        <v>0</v>
      </c>
      <c r="P9" s="298" t="n">
        <f aca="false">SUP_CONTROL!$C$14*CAPA4_RETAIL!P7*1000</f>
        <v>0</v>
      </c>
      <c r="Q9" s="298" t="n">
        <f aca="false">SUP_CONTROL!$C$14*CAPA4_RETAIL!Q7*1000</f>
        <v>0</v>
      </c>
      <c r="R9" s="298" t="n">
        <f aca="false">SUP_CONTROL!$C$14*CAPA4_RETAIL!R7*1000</f>
        <v>0</v>
      </c>
      <c r="S9" s="298" t="n">
        <f aca="false">SUP_CONTROL!$C$14*CAPA4_RETAIL!S7*1000</f>
        <v>0</v>
      </c>
      <c r="T9" s="298" t="n">
        <f aca="false">SUP_CONTROL!$C$14*CAPA4_RETAIL!T7*1000</f>
        <v>0</v>
      </c>
      <c r="U9" s="298" t="n">
        <f aca="false">SUP_CONTROL!$C$14*CAPA4_RETAIL!U7*1000</f>
        <v>0</v>
      </c>
      <c r="V9" s="298" t="n">
        <f aca="false">SUP_CONTROL!$C$14*CAPA4_RETAIL!V7*1000</f>
        <v>0</v>
      </c>
      <c r="W9" s="298" t="n">
        <f aca="false">SUP_CONTROL!$C$14*CAPA4_RETAIL!W7*1000</f>
        <v>0</v>
      </c>
      <c r="X9" s="298" t="n">
        <f aca="false">SUP_CONTROL!$C$14*CAPA4_RETAIL!X7*1000</f>
        <v>0</v>
      </c>
      <c r="Y9" s="298" t="n">
        <f aca="false">SUP_CONTROL!$C$14*CAPA4_RETAIL!Y7*1000</f>
        <v>0</v>
      </c>
      <c r="Z9" s="298" t="n">
        <f aca="false">SUP_CONTROL!$C$14*CAPA4_RETAIL!Z7*1000</f>
        <v>0</v>
      </c>
      <c r="AA9" s="298" t="n">
        <f aca="false">SUP_CONTROL!$C$14*CAPA4_RETAIL!AA7*1000</f>
        <v>0</v>
      </c>
      <c r="AB9" s="298" t="n">
        <f aca="false">SUP_CONTROL!$C$14*CAPA4_RETAIL!AB7*1000</f>
        <v>0</v>
      </c>
      <c r="AC9" s="298" t="n">
        <f aca="false">SUP_CONTROL!$C$14*CAPA4_RETAIL!AC7*1000</f>
        <v>0</v>
      </c>
      <c r="AD9" s="298" t="n">
        <f aca="false">SUP_CONTROL!$C$14*CAPA4_RETAIL!AD7*1000</f>
        <v>0</v>
      </c>
      <c r="AE9" s="298" t="n">
        <f aca="false">SUP_CONTROL!$C$14*CAPA4_RETAIL!AE7*1000</f>
        <v>0</v>
      </c>
      <c r="AF9" s="298" t="n">
        <f aca="false">SUP_CONTROL!$C$14*CAPA4_RETAIL!AF7*1000</f>
        <v>0</v>
      </c>
      <c r="AG9" s="298" t="n">
        <f aca="false">SUP_CONTROL!$C$14*CAPA4_RETAIL!AG7*1000</f>
        <v>0</v>
      </c>
      <c r="AH9" s="298" t="n">
        <f aca="false">SUP_CONTROL!$C$14*CAPA4_RETAIL!AH7*1000</f>
        <v>0</v>
      </c>
      <c r="AI9" s="298" t="n">
        <f aca="false">SUP_CONTROL!$C$14*CAPA4_RETAIL!AI7*1000</f>
        <v>0</v>
      </c>
      <c r="AJ9" s="298" t="n">
        <f aca="false">SUP_CONTROL!$C$14*CAPA4_RETAIL!AJ7*1000</f>
        <v>0</v>
      </c>
      <c r="AK9" s="298" t="n">
        <f aca="false">SUP_CONTROL!$C$14*CAPA4_RETAIL!AK7*1000</f>
        <v>0</v>
      </c>
      <c r="AL9" s="298" t="n">
        <f aca="false">SUP_CONTROL!$C$14*CAPA4_RETAIL!AL7*1000</f>
        <v>0</v>
      </c>
      <c r="AM9" s="298" t="n">
        <f aca="false">SUP_CONTROL!$C$14*CAPA4_RETAIL!AM7*1000</f>
        <v>0</v>
      </c>
      <c r="AN9" s="298" t="n">
        <f aca="false">SUP_CONTROL!$C$14*CAPA4_RETAIL!AN7*1000</f>
        <v>0</v>
      </c>
      <c r="AO9" s="298" t="n">
        <f aca="false">SUP_CONTROL!$C$14*CAPA4_RETAIL!AO7*1000</f>
        <v>0</v>
      </c>
      <c r="AP9" s="298" t="n">
        <f aca="false">SUP_CONTROL!$C$14*CAPA4_RETAIL!AP7*1000</f>
        <v>0</v>
      </c>
      <c r="AQ9" s="298" t="n">
        <f aca="false">SUP_CONTROL!$C$14*CAPA4_RETAIL!AQ7*1000</f>
        <v>0</v>
      </c>
      <c r="AR9" s="298" t="n">
        <f aca="false">SUP_CONTROL!$C$14*CAPA4_RETAIL!AR7*1000</f>
        <v>0</v>
      </c>
      <c r="AS9" s="298" t="n">
        <f aca="false">SUP_CONTROL!$C$14*CAPA4_RETAIL!AS7*1000</f>
        <v>0</v>
      </c>
      <c r="AT9" s="298" t="n">
        <f aca="false">SUP_CONTROL!$C$14*CAPA4_RETAIL!AT7*1000</f>
        <v>0</v>
      </c>
      <c r="AU9" s="298" t="n">
        <f aca="false">SUP_CONTROL!$C$14*CAPA4_RETAIL!AU7*1000</f>
        <v>0</v>
      </c>
      <c r="AV9" s="298" t="n">
        <f aca="false">SUP_CONTROL!$C$14*CAPA4_RETAIL!AV7*1000</f>
        <v>0</v>
      </c>
      <c r="AW9" s="298" t="n">
        <f aca="false">SUP_CONTROL!$C$14*CAPA4_RETAIL!AW7*1000</f>
        <v>0</v>
      </c>
      <c r="AX9" s="298" t="n">
        <f aca="false">SUP_CONTROL!$C$14*CAPA4_RETAIL!AX7*1000</f>
        <v>0</v>
      </c>
      <c r="AY9" s="298" t="n">
        <f aca="false">SUP_CONTROL!$C$14*CAPA4_RETAIL!AY7*1000</f>
        <v>0</v>
      </c>
      <c r="AZ9" s="298" t="n">
        <f aca="false">SUP_CONTROL!$C$14*CAPA4_RETAIL!AZ7*1000</f>
        <v>0</v>
      </c>
      <c r="BA9" s="298" t="n">
        <f aca="false">SUP_CONTROL!$C$14*CAPA4_RETAIL!BA7*1000</f>
        <v>0</v>
      </c>
      <c r="BB9" s="298" t="n">
        <f aca="false">SUP_CONTROL!$C$14*CAPA4_RETAIL!BB7*1000</f>
        <v>0</v>
      </c>
      <c r="BC9" s="298" t="n">
        <f aca="false">SUP_CONTROL!$C$14*CAPA4_RETAIL!BC7*1000</f>
        <v>0</v>
      </c>
      <c r="BD9" s="298" t="n">
        <f aca="false">SUP_CONTROL!$C$14*CAPA4_RETAIL!BD7*1000</f>
        <v>0</v>
      </c>
      <c r="BE9" s="298" t="n">
        <f aca="false">SUP_CONTROL!$C$14*CAPA4_RETAIL!BE7*1000</f>
        <v>0</v>
      </c>
      <c r="BF9" s="298" t="n">
        <f aca="false">SUP_CONTROL!$C$14*CAPA4_RETAIL!BF7*1000</f>
        <v>0</v>
      </c>
      <c r="BG9" s="298" t="n">
        <f aca="false">SUP_CONTROL!$C$14*CAPA4_RETAIL!BG7*1000</f>
        <v>0</v>
      </c>
      <c r="BH9" s="298" t="n">
        <f aca="false">SUP_CONTROL!$C$14*CAPA4_RETAIL!BH7*1000</f>
        <v>0</v>
      </c>
      <c r="BI9" s="298" t="n">
        <f aca="false">SUP_CONTROL!$C$14*CAPA4_RETAIL!BI7*1000</f>
        <v>0</v>
      </c>
      <c r="BJ9" s="298" t="n">
        <f aca="false">SUP_CONTROL!$C$14*CAPA4_RETAIL!BJ7*1000</f>
        <v>0</v>
      </c>
      <c r="BK9" s="298" t="n">
        <f aca="false">SUP_CONTROL!$C$14*CAPA4_RETAIL!BK7*1000</f>
        <v>0</v>
      </c>
      <c r="BL9" s="298" t="n">
        <f aca="false">SUP_CONTROL!$C$14*CAPA4_RETAIL!BL7*1000</f>
        <v>0</v>
      </c>
      <c r="BM9" s="298" t="n">
        <f aca="false">SUP_CONTROL!$C$14*CAPA4_RETAIL!BM7*1000</f>
        <v>0</v>
      </c>
      <c r="BN9" s="298" t="n">
        <f aca="false">SUP_CONTROL!$C$14*CAPA4_RETAIL!BN7*1000</f>
        <v>0</v>
      </c>
      <c r="BO9" s="298" t="n">
        <f aca="false">SUP_CONTROL!$C$14*CAPA4_RETAIL!BO7*1000</f>
        <v>0</v>
      </c>
      <c r="BP9" s="298" t="n">
        <f aca="false">SUP_CONTROL!$C$14*CAPA4_RETAIL!BP7*1000</f>
        <v>0</v>
      </c>
      <c r="BQ9" s="298" t="n">
        <f aca="false">SUP_CONTROL!$C$14*CAPA4_RETAIL!BQ7*1000</f>
        <v>0</v>
      </c>
      <c r="BR9" s="298" t="n">
        <f aca="false">SUP_CONTROL!$C$14*CAPA4_RETAIL!BR7*1000</f>
        <v>0</v>
      </c>
      <c r="BS9" s="298" t="n">
        <f aca="false">SUP_CONTROL!$C$14*CAPA4_RETAIL!BS7*1000</f>
        <v>0</v>
      </c>
      <c r="BT9" s="298" t="n">
        <f aca="false">SUP_CONTROL!$C$14*CAPA4_RETAIL!BT7*1000</f>
        <v>0</v>
      </c>
      <c r="BU9" s="298" t="n">
        <f aca="false">SUP_CONTROL!$C$14*CAPA4_RETAIL!BU7*1000</f>
        <v>0</v>
      </c>
      <c r="BV9" s="298" t="n">
        <f aca="false">SUP_CONTROL!$C$14*CAPA4_RETAIL!BV7*1000</f>
        <v>0</v>
      </c>
      <c r="BW9" s="298" t="n">
        <f aca="false">SUP_CONTROL!$C$14*CAPA4_RETAIL!BW7*1000</f>
        <v>0</v>
      </c>
      <c r="BX9" s="298" t="n">
        <f aca="false">SUP_CONTROL!$C$14*CAPA4_RETAIL!BX7*1000</f>
        <v>0</v>
      </c>
      <c r="BY9" s="298" t="n">
        <f aca="false">SUP_CONTROL!$C$14*CAPA4_RETAIL!BY7*1000</f>
        <v>0</v>
      </c>
      <c r="BZ9" s="298" t="n">
        <f aca="false">SUP_CONTROL!$C$14*CAPA4_RETAIL!BZ7*1000</f>
        <v>0</v>
      </c>
      <c r="CA9" s="298" t="n">
        <f aca="false">SUP_CONTROL!$C$14*CAPA4_RETAIL!CA7*1000</f>
        <v>0</v>
      </c>
      <c r="CB9" s="298" t="n">
        <f aca="false">SUP_CONTROL!$C$14*CAPA4_RETAIL!CB7*1000</f>
        <v>0</v>
      </c>
      <c r="CC9" s="298" t="n">
        <f aca="false">SUP_CONTROL!$C$14*CAPA4_RETAIL!CC7*1000</f>
        <v>0</v>
      </c>
      <c r="CD9" s="298" t="n">
        <f aca="false">SUP_CONTROL!$C$14*CAPA4_RETAIL!CD7*1000</f>
        <v>0</v>
      </c>
      <c r="CE9" s="298" t="n">
        <f aca="false">SUP_CONTROL!$C$14*CAPA4_RETAIL!CE7*1000</f>
        <v>0</v>
      </c>
      <c r="CF9" s="298" t="n">
        <f aca="false">SUP_CONTROL!$C$14*CAPA4_RETAIL!CF7*1000</f>
        <v>0</v>
      </c>
      <c r="CG9" s="298" t="n">
        <f aca="false">SUP_CONTROL!$C$14*CAPA4_RETAIL!CG7*1000</f>
        <v>0</v>
      </c>
      <c r="CH9" s="298" t="n">
        <f aca="false">SUP_CONTROL!$C$14*CAPA4_RETAIL!CH7*1000</f>
        <v>0</v>
      </c>
      <c r="CI9" s="298" t="n">
        <f aca="false">SUP_CONTROL!$C$14*CAPA4_RETAIL!CI7*1000</f>
        <v>0</v>
      </c>
      <c r="CJ9" s="298" t="n">
        <f aca="false">SUP_CONTROL!$C$14*CAPA4_RETAIL!CJ7*1000</f>
        <v>0</v>
      </c>
      <c r="CK9" s="298" t="n">
        <f aca="false">SUP_CONTROL!$C$14*CAPA4_RETAIL!CK7*1000</f>
        <v>0</v>
      </c>
      <c r="CL9" s="298" t="n">
        <f aca="false">SUP_CONTROL!$C$14*CAPA4_RETAIL!CL7*1000</f>
        <v>0</v>
      </c>
      <c r="CM9" s="298" t="n">
        <f aca="false">SUP_CONTROL!$C$14*CAPA4_RETAIL!CM7*1000</f>
        <v>0</v>
      </c>
      <c r="CN9" s="298" t="n">
        <f aca="false">SUP_CONTROL!$C$14*CAPA4_RETAIL!CN7*1000</f>
        <v>0</v>
      </c>
      <c r="CO9" s="298" t="n">
        <f aca="false">SUP_CONTROL!$C$14*CAPA4_RETAIL!CO7*1000</f>
        <v>0</v>
      </c>
      <c r="CP9" s="298" t="n">
        <f aca="false">SUP_CONTROL!$C$14*CAPA4_RETAIL!CP7*1000</f>
        <v>0</v>
      </c>
      <c r="CQ9" s="298" t="n">
        <f aca="false">SUP_CONTROL!$C$14*CAPA4_RETAIL!CQ7*1000</f>
        <v>0</v>
      </c>
      <c r="CR9" s="298" t="n">
        <f aca="false">SUP_CONTROL!$C$14*CAPA4_RETAIL!CR7*1000</f>
        <v>0</v>
      </c>
      <c r="CS9" s="298" t="n">
        <f aca="false">SUP_CONTROL!$C$14*CAPA4_RETAIL!CS7*1000</f>
        <v>0</v>
      </c>
      <c r="CT9" s="298" t="n">
        <f aca="false">SUP_CONTROL!$C$14*CAPA4_RETAIL!CT7*1000</f>
        <v>0</v>
      </c>
      <c r="CU9" s="298" t="n">
        <f aca="false">SUP_CONTROL!$C$14*CAPA4_RETAIL!CU7*1000</f>
        <v>0</v>
      </c>
      <c r="CV9" s="298" t="n">
        <f aca="false">SUP_CONTROL!$C$14*CAPA4_RETAIL!CV7*1000</f>
        <v>0</v>
      </c>
      <c r="CW9" s="298" t="n">
        <f aca="false">SUP_CONTROL!$C$14*CAPA4_RETAIL!CW7*1000</f>
        <v>0</v>
      </c>
      <c r="CX9" s="298" t="n">
        <f aca="false">SUP_CONTROL!$C$14*CAPA4_RETAIL!CX7*1000</f>
        <v>0</v>
      </c>
      <c r="CY9" s="298" t="n">
        <f aca="false">SUP_CONTROL!$C$14*CAPA4_RETAIL!CY7*1000</f>
        <v>0</v>
      </c>
      <c r="CZ9" s="298" t="n">
        <f aca="false">SUP_CONTROL!$C$14*CAPA4_RETAIL!CZ7*1000</f>
        <v>0</v>
      </c>
      <c r="DA9" s="298" t="n">
        <f aca="false">SUP_CONTROL!$C$14*CAPA4_RETAIL!DA7*1000</f>
        <v>0</v>
      </c>
      <c r="DB9" s="298" t="n">
        <f aca="false">SUP_CONTROL!$C$14*CAPA4_RETAIL!DB7*1000</f>
        <v>0</v>
      </c>
      <c r="DC9" s="298" t="n">
        <f aca="false">SUP_CONTROL!$C$14*CAPA4_RETAIL!DC7*1000</f>
        <v>0</v>
      </c>
      <c r="DD9" s="298" t="n">
        <f aca="false">SUP_CONTROL!$C$14*CAPA4_RETAIL!DD7*1000</f>
        <v>0</v>
      </c>
      <c r="DE9" s="298" t="n">
        <f aca="false">SUP_CONTROL!$C$14*CAPA4_RETAIL!DE7*1000</f>
        <v>0</v>
      </c>
      <c r="DF9" s="298" t="n">
        <f aca="false">SUP_CONTROL!$C$14*CAPA4_RETAIL!DF7*1000</f>
        <v>0</v>
      </c>
      <c r="DG9" s="298" t="n">
        <f aca="false">SUP_CONTROL!$C$14*CAPA4_RETAIL!DG7*1000</f>
        <v>0</v>
      </c>
      <c r="DH9" s="298" t="n">
        <f aca="false">SUP_CONTROL!$C$14*CAPA4_RETAIL!DH7*1000</f>
        <v>0</v>
      </c>
      <c r="DI9" s="298" t="n">
        <f aca="false">SUP_CONTROL!$C$14*CAPA4_RETAIL!DI7*1000</f>
        <v>0</v>
      </c>
      <c r="DJ9" s="298" t="n">
        <f aca="false">SUP_CONTROL!$C$14*CAPA4_RETAIL!DJ7*1000</f>
        <v>0</v>
      </c>
      <c r="DK9" s="298" t="n">
        <f aca="false">SUP_CONTROL!$C$14*CAPA4_RETAIL!DK7*1000</f>
        <v>0</v>
      </c>
      <c r="DL9" s="298" t="n">
        <f aca="false">SUP_CONTROL!$C$14*CAPA4_RETAIL!DL7*1000</f>
        <v>0</v>
      </c>
      <c r="DM9" s="298" t="n">
        <f aca="false">SUP_CONTROL!$C$14*CAPA4_RETAIL!DM7*1000</f>
        <v>0</v>
      </c>
      <c r="DN9" s="298" t="n">
        <f aca="false">SUP_CONTROL!$C$14*CAPA4_RETAIL!DN7*1000</f>
        <v>0</v>
      </c>
      <c r="DO9" s="298" t="n">
        <f aca="false">SUP_CONTROL!$C$14*CAPA4_RETAIL!DO7*1000</f>
        <v>0</v>
      </c>
      <c r="DP9" s="298" t="n">
        <f aca="false">SUP_CONTROL!$C$14*CAPA4_RETAIL!DP7*1000</f>
        <v>0</v>
      </c>
      <c r="DQ9" s="298" t="n">
        <f aca="false">SUP_CONTROL!$C$14*CAPA4_RETAIL!DQ7*1000</f>
        <v>0</v>
      </c>
      <c r="DR9" s="298" t="n">
        <f aca="false">SUP_CONTROL!$C$14*CAPA4_RETAIL!DR7*1000</f>
        <v>0</v>
      </c>
      <c r="DS9" s="298" t="n">
        <f aca="false">SUP_CONTROL!$C$14*CAPA4_RETAIL!DS7*1000</f>
        <v>0</v>
      </c>
    </row>
    <row r="10" customFormat="false" ht="15" hidden="false" customHeight="true" outlineLevel="0" collapsed="false">
      <c r="B10" s="178" t="s">
        <v>3764</v>
      </c>
      <c r="D10" s="275" t="n">
        <f aca="false">SUM(D6:D9)</f>
        <v>0</v>
      </c>
      <c r="E10" s="275" t="n">
        <f aca="false">SUM(E6:E9)</f>
        <v>0</v>
      </c>
      <c r="F10" s="275" t="n">
        <f aca="false">SUM(F6:F9)</f>
        <v>0</v>
      </c>
      <c r="G10" s="275" t="n">
        <f aca="false">SUM(G6:G9)</f>
        <v>9702</v>
      </c>
      <c r="H10" s="275" t="n">
        <f aca="false">SUM(H6:H9)</f>
        <v>21483</v>
      </c>
      <c r="I10" s="275" t="n">
        <f aca="false">SUM(I6:I9)</f>
        <v>35343</v>
      </c>
      <c r="J10" s="275" t="n">
        <f aca="false">SUM(J6:J9)</f>
        <v>50658.3</v>
      </c>
      <c r="K10" s="275" t="n">
        <f aca="false">SUM(K6:K9)</f>
        <v>67740.75</v>
      </c>
      <c r="L10" s="275" t="n">
        <f aca="false">SUM(L6:L9)</f>
        <v>72834.3</v>
      </c>
      <c r="M10" s="275" t="n">
        <f aca="false">SUM(M6:M9)</f>
        <v>75537</v>
      </c>
      <c r="N10" s="275" t="n">
        <f aca="false">SUM(N6:N9)</f>
        <v>75537</v>
      </c>
      <c r="O10" s="275" t="n">
        <f aca="false">SUM(O6:O9)</f>
        <v>75537</v>
      </c>
      <c r="P10" s="275" t="n">
        <f aca="false">SUM(P6:P9)</f>
        <v>75537</v>
      </c>
      <c r="Q10" s="275" t="n">
        <f aca="false">SUM(Q6:Q9)</f>
        <v>75537</v>
      </c>
      <c r="R10" s="275" t="n">
        <f aca="false">SUM(R6:R9)</f>
        <v>75537</v>
      </c>
      <c r="S10" s="275" t="n">
        <f aca="false">SUM(S6:S9)</f>
        <v>75537</v>
      </c>
      <c r="T10" s="275" t="n">
        <f aca="false">SUM(T6:T9)</f>
        <v>75537</v>
      </c>
      <c r="U10" s="275" t="n">
        <f aca="false">SUM(U6:U9)</f>
        <v>75537</v>
      </c>
      <c r="V10" s="275" t="n">
        <f aca="false">SUM(V6:V9)</f>
        <v>80041.5</v>
      </c>
      <c r="W10" s="275" t="n">
        <f aca="false">SUM(W6:W9)</f>
        <v>85585.5</v>
      </c>
      <c r="X10" s="275" t="n">
        <f aca="false">SUM(X6:X9)</f>
        <v>87318</v>
      </c>
      <c r="Y10" s="275" t="n">
        <f aca="false">SUM(Y6:Y9)</f>
        <v>93208.5</v>
      </c>
      <c r="Z10" s="275" t="n">
        <f aca="false">SUM(Z6:Z9)</f>
        <v>94941</v>
      </c>
      <c r="AA10" s="275" t="n">
        <f aca="false">SUM(AA6:AA9)</f>
        <v>95634</v>
      </c>
      <c r="AB10" s="275" t="n">
        <f aca="false">SUM(AB6:AB9)</f>
        <v>96327</v>
      </c>
      <c r="AC10" s="275" t="n">
        <f aca="false">SUM(AC6:AC9)</f>
        <v>96327</v>
      </c>
      <c r="AD10" s="275" t="n">
        <f aca="false">SUM(AD6:AD9)</f>
        <v>96327</v>
      </c>
      <c r="AE10" s="275" t="n">
        <f aca="false">SUM(AE6:AE9)</f>
        <v>96327</v>
      </c>
      <c r="AF10" s="275" t="n">
        <f aca="false">SUM(AF6:AF9)</f>
        <v>96327</v>
      </c>
      <c r="AG10" s="275" t="n">
        <f aca="false">SUM(AG6:AG9)</f>
        <v>95703.3</v>
      </c>
      <c r="AH10" s="275" t="n">
        <f aca="false">SUM(AH6:AH9)</f>
        <v>95703.3</v>
      </c>
      <c r="AI10" s="275" t="n">
        <f aca="false">SUM(AI6:AI9)</f>
        <v>101383.4745</v>
      </c>
      <c r="AJ10" s="275" t="n">
        <f aca="false">SUM(AJ6:AJ9)</f>
        <v>107063.649</v>
      </c>
      <c r="AK10" s="275" t="n">
        <f aca="false">SUM(AK6:AK9)</f>
        <v>108945.837</v>
      </c>
      <c r="AL10" s="275" t="n">
        <f aca="false">SUM(AL6:AL9)</f>
        <v>114861.285</v>
      </c>
      <c r="AM10" s="275" t="n">
        <f aca="false">SUM(AM6:AM9)</f>
        <v>116541.81</v>
      </c>
      <c r="AN10" s="275" t="n">
        <f aca="false">SUM(AN6:AN9)</f>
        <v>121583.385</v>
      </c>
      <c r="AO10" s="275" t="n">
        <f aca="false">SUM(AO6:AO9)</f>
        <v>123263.91</v>
      </c>
      <c r="AP10" s="275" t="n">
        <f aca="false">SUM(AP6:AP9)</f>
        <v>122688.72</v>
      </c>
      <c r="AQ10" s="275" t="n">
        <f aca="false">SUM(AQ6:AQ9)</f>
        <v>128877.38325</v>
      </c>
      <c r="AR10" s="275" t="n">
        <f aca="false">SUM(AR6:AR9)</f>
        <v>134411.1615</v>
      </c>
      <c r="AS10" s="275" t="n">
        <f aca="false">SUM(AS6:AS9)</f>
        <v>140501.592</v>
      </c>
      <c r="AT10" s="275" t="n">
        <f aca="false">SUM(AT6:AT9)</f>
        <v>147246.9075</v>
      </c>
      <c r="AU10" s="275" t="n">
        <f aca="false">SUM(AU6:AU9)</f>
        <v>149539.005</v>
      </c>
      <c r="AV10" s="275" t="n">
        <f aca="false">SUM(AV6:AV9)</f>
        <v>150848.775</v>
      </c>
      <c r="AW10" s="275" t="n">
        <f aca="false">SUM(AW6:AW9)</f>
        <v>157037.43825</v>
      </c>
      <c r="AX10" s="275" t="n">
        <f aca="false">SUM(AX6:AX9)</f>
        <v>158314.464</v>
      </c>
      <c r="AY10" s="275" t="n">
        <f aca="false">SUM(AY6:AY9)</f>
        <v>163422.567</v>
      </c>
      <c r="AZ10" s="275" t="n">
        <f aca="false">SUM(AZ6:AZ9)</f>
        <v>169512.9975</v>
      </c>
      <c r="BA10" s="275" t="n">
        <f aca="false">SUM(BA6:BA9)</f>
        <v>171150.21</v>
      </c>
      <c r="BB10" s="275" t="n">
        <f aca="false">SUM(BB6:BB9)</f>
        <v>172459.98</v>
      </c>
      <c r="BC10" s="275" t="n">
        <f aca="false">SUM(BC6:BC9)</f>
        <v>173114.865</v>
      </c>
      <c r="BD10" s="275" t="n">
        <f aca="false">SUM(BD6:BD9)</f>
        <v>173114.865</v>
      </c>
      <c r="BE10" s="275" t="n">
        <f aca="false">SUM(BE6:BE9)</f>
        <v>173114.865</v>
      </c>
      <c r="BF10" s="275" t="n">
        <f aca="false">SUM(BF6:BF9)</f>
        <v>170533.44</v>
      </c>
      <c r="BG10" s="275" t="n">
        <f aca="false">SUM(BG6:BG9)</f>
        <v>170533.44</v>
      </c>
      <c r="BH10" s="275" t="n">
        <f aca="false">SUM(BH6:BH9)</f>
        <v>170533.44</v>
      </c>
      <c r="BI10" s="275" t="n">
        <f aca="false">SUM(BI6:BI9)</f>
        <v>178821.72</v>
      </c>
      <c r="BJ10" s="275" t="n">
        <f aca="false">SUM(BJ6:BJ9)</f>
        <v>184878.54</v>
      </c>
      <c r="BK10" s="275" t="n">
        <f aca="false">SUM(BK6:BK9)</f>
        <v>189954.765</v>
      </c>
      <c r="BL10" s="275" t="n">
        <f aca="false">SUM(BL6:BL9)</f>
        <v>197096.13</v>
      </c>
      <c r="BM10" s="275" t="n">
        <f aca="false">SUM(BM6:BM9)</f>
        <v>203520.24</v>
      </c>
      <c r="BN10" s="275" t="n">
        <f aca="false">SUM(BN6:BN9)</f>
        <v>209944.35</v>
      </c>
      <c r="BO10" s="275" t="n">
        <f aca="false">SUM(BO6:BO9)</f>
        <v>212127.3</v>
      </c>
      <c r="BP10" s="275" t="n">
        <f aca="false">SUM(BP6:BP9)</f>
        <v>218644.965</v>
      </c>
      <c r="BQ10" s="275" t="n">
        <f aca="false">SUM(BQ6:BQ9)</f>
        <v>221227.776</v>
      </c>
      <c r="BR10" s="275" t="n">
        <f aca="false">SUM(BR6:BR9)</f>
        <v>226899.288</v>
      </c>
      <c r="BS10" s="275" t="n">
        <f aca="false">SUM(BS6:BS9)</f>
        <v>233180.64</v>
      </c>
      <c r="BT10" s="275" t="n">
        <f aca="false">SUM(BT6:BT9)</f>
        <v>240468.228</v>
      </c>
      <c r="BU10" s="275" t="n">
        <f aca="false">SUM(BU6:BU9)</f>
        <v>246841.056</v>
      </c>
      <c r="BV10" s="275" t="n">
        <f aca="false">SUM(BV6:BV9)</f>
        <v>253122.408</v>
      </c>
      <c r="BW10" s="275" t="n">
        <f aca="false">SUM(BW6:BW9)</f>
        <v>256269.6675</v>
      </c>
      <c r="BX10" s="275" t="n">
        <f aca="false">SUM(BX6:BX9)</f>
        <v>263433.03525</v>
      </c>
      <c r="BY10" s="275" t="n">
        <f aca="false">SUM(BY6:BY9)</f>
        <v>265800.843</v>
      </c>
      <c r="BZ10" s="275" t="n">
        <f aca="false">SUM(BZ6:BZ9)</f>
        <v>274972.3515</v>
      </c>
      <c r="CA10" s="275" t="n">
        <f aca="false">SUM(CA6:CA9)</f>
        <v>281446.3575</v>
      </c>
      <c r="CB10" s="275" t="n">
        <f aca="false">SUM(CB6:CB9)</f>
        <v>283766.175</v>
      </c>
      <c r="CC10" s="275" t="n">
        <f aca="false">SUM(CC6:CC9)</f>
        <v>290245.725</v>
      </c>
      <c r="CD10" s="275" t="n">
        <f aca="false">SUM(CD6:CD9)</f>
        <v>297284.8725</v>
      </c>
      <c r="CE10" s="275" t="n">
        <f aca="false">SUM(CE6:CE9)</f>
        <v>303440.445</v>
      </c>
      <c r="CF10" s="275" t="n">
        <f aca="false">SUM(CF6:CF9)</f>
        <v>309507.66</v>
      </c>
      <c r="CG10" s="275" t="n">
        <f aca="false">SUM(CG6:CG9)</f>
        <v>316534.68</v>
      </c>
      <c r="CH10" s="275" t="n">
        <f aca="false">SUM(CH6:CH9)</f>
        <v>324364.194</v>
      </c>
      <c r="CI10" s="275" t="n">
        <f aca="false">SUM(CI6:CI9)</f>
        <v>331029.468</v>
      </c>
      <c r="CJ10" s="275" t="n">
        <f aca="false">SUM(CJ6:CJ9)</f>
        <v>333823.644</v>
      </c>
      <c r="CK10" s="275" t="n">
        <f aca="false">SUM(CK6:CK9)</f>
        <v>335162.52</v>
      </c>
      <c r="CL10" s="275" t="n">
        <f aca="false">SUM(CL6:CL9)</f>
        <v>335744.64</v>
      </c>
      <c r="CM10" s="275" t="n">
        <f aca="false">SUM(CM6:CM9)</f>
        <v>335744.64</v>
      </c>
      <c r="CN10" s="275" t="n">
        <f aca="false">SUM(CN6:CN9)</f>
        <v>335744.64</v>
      </c>
      <c r="CO10" s="275" t="n">
        <f aca="false">SUM(CO6:CO9)</f>
        <v>335744.64</v>
      </c>
      <c r="CP10" s="275" t="n">
        <f aca="false">SUM(CP6:CP9)</f>
        <v>335744.64</v>
      </c>
      <c r="CQ10" s="275" t="n">
        <f aca="false">SUM(CQ6:CQ9)</f>
        <v>335744.64</v>
      </c>
      <c r="CR10" s="275" t="n">
        <f aca="false">SUM(CR6:CR9)</f>
        <v>335744.64</v>
      </c>
      <c r="CS10" s="275" t="n">
        <f aca="false">SUM(CS6:CS9)</f>
        <v>335744.64</v>
      </c>
      <c r="CT10" s="275" t="n">
        <f aca="false">SUM(CT6:CT9)</f>
        <v>335744.64</v>
      </c>
      <c r="CU10" s="275" t="n">
        <f aca="false">SUM(CU6:CU9)</f>
        <v>335744.64</v>
      </c>
      <c r="CV10" s="275" t="n">
        <f aca="false">SUM(CV6:CV9)</f>
        <v>335744.64</v>
      </c>
      <c r="CW10" s="275" t="n">
        <f aca="false">SUM(CW6:CW9)</f>
        <v>335744.64</v>
      </c>
      <c r="CX10" s="275" t="n">
        <f aca="false">SUM(CX6:CX9)</f>
        <v>335744.64</v>
      </c>
      <c r="CY10" s="275" t="n">
        <f aca="false">SUM(CY6:CY9)</f>
        <v>335744.64</v>
      </c>
      <c r="CZ10" s="275" t="n">
        <f aca="false">SUM(CZ6:CZ9)</f>
        <v>335744.64</v>
      </c>
      <c r="DA10" s="275" t="n">
        <f aca="false">SUM(DA6:DA9)</f>
        <v>335744.64</v>
      </c>
      <c r="DB10" s="275" t="n">
        <f aca="false">SUM(DB6:DB9)</f>
        <v>335744.64</v>
      </c>
      <c r="DC10" s="275" t="n">
        <f aca="false">SUM(DC6:DC9)</f>
        <v>335744.64</v>
      </c>
      <c r="DD10" s="275" t="n">
        <f aca="false">SUM(DD6:DD9)</f>
        <v>335744.64</v>
      </c>
      <c r="DE10" s="275" t="n">
        <f aca="false">SUM(DE6:DE9)</f>
        <v>335744.64</v>
      </c>
      <c r="DF10" s="275" t="n">
        <f aca="false">SUM(DF6:DF9)</f>
        <v>335744.64</v>
      </c>
      <c r="DG10" s="275" t="n">
        <f aca="false">SUM(DG6:DG9)</f>
        <v>335744.64</v>
      </c>
      <c r="DH10" s="275" t="n">
        <f aca="false">SUM(DH6:DH9)</f>
        <v>335744.64</v>
      </c>
      <c r="DI10" s="275" t="n">
        <f aca="false">SUM(DI6:DI9)</f>
        <v>335744.64</v>
      </c>
      <c r="DJ10" s="275" t="n">
        <f aca="false">SUM(DJ6:DJ9)</f>
        <v>335744.64</v>
      </c>
      <c r="DK10" s="275" t="n">
        <f aca="false">SUM(DK6:DK9)</f>
        <v>335744.64</v>
      </c>
      <c r="DL10" s="275" t="n">
        <f aca="false">SUM(DL6:DL9)</f>
        <v>335744.64</v>
      </c>
      <c r="DM10" s="275" t="n">
        <f aca="false">SUM(DM6:DM9)</f>
        <v>335744.64</v>
      </c>
      <c r="DN10" s="275" t="n">
        <f aca="false">SUM(DN6:DN9)</f>
        <v>335744.64</v>
      </c>
      <c r="DO10" s="275" t="n">
        <f aca="false">SUM(DO6:DO9)</f>
        <v>335744.64</v>
      </c>
      <c r="DP10" s="275" t="n">
        <f aca="false">SUM(DP6:DP9)</f>
        <v>335744.64</v>
      </c>
      <c r="DQ10" s="275" t="n">
        <f aca="false">SUM(DQ6:DQ9)</f>
        <v>335744.64</v>
      </c>
      <c r="DR10" s="275" t="n">
        <f aca="false">SUM(DR6:DR9)</f>
        <v>335744.64</v>
      </c>
      <c r="DS10" s="275" t="n">
        <f aca="false">SUM(DS6:DS9)</f>
        <v>335744.64</v>
      </c>
    </row>
    <row r="11" customFormat="false" ht="15" hidden="false" customHeight="true" outlineLevel="0" collapsed="false">
      <c r="B11" s="178" t="s">
        <v>3765</v>
      </c>
      <c r="D11" s="617" t="n">
        <f aca="false">D10/1000</f>
        <v>0</v>
      </c>
      <c r="E11" s="617" t="n">
        <f aca="false">E10/1000</f>
        <v>0</v>
      </c>
      <c r="F11" s="617" t="n">
        <f aca="false">F10/1000</f>
        <v>0</v>
      </c>
      <c r="G11" s="617" t="n">
        <f aca="false">G10/1000</f>
        <v>9.702</v>
      </c>
      <c r="H11" s="617" t="n">
        <f aca="false">H10/1000</f>
        <v>21.483</v>
      </c>
      <c r="I11" s="617" t="n">
        <f aca="false">I10/1000</f>
        <v>35.343</v>
      </c>
      <c r="J11" s="617" t="n">
        <f aca="false">J10/1000</f>
        <v>50.6583</v>
      </c>
      <c r="K11" s="617" t="n">
        <f aca="false">K10/1000</f>
        <v>67.74075</v>
      </c>
      <c r="L11" s="617" t="n">
        <f aca="false">L10/1000</f>
        <v>72.8343</v>
      </c>
      <c r="M11" s="617" t="n">
        <f aca="false">M10/1000</f>
        <v>75.537</v>
      </c>
      <c r="N11" s="617" t="n">
        <f aca="false">N10/1000</f>
        <v>75.537</v>
      </c>
      <c r="O11" s="617" t="n">
        <f aca="false">O10/1000</f>
        <v>75.537</v>
      </c>
      <c r="P11" s="617" t="n">
        <f aca="false">P10/1000</f>
        <v>75.537</v>
      </c>
      <c r="Q11" s="617" t="n">
        <f aca="false">Q10/1000</f>
        <v>75.537</v>
      </c>
      <c r="R11" s="617" t="n">
        <f aca="false">R10/1000</f>
        <v>75.537</v>
      </c>
      <c r="S11" s="617" t="n">
        <f aca="false">S10/1000</f>
        <v>75.537</v>
      </c>
      <c r="T11" s="617" t="n">
        <f aca="false">T10/1000</f>
        <v>75.537</v>
      </c>
      <c r="U11" s="617" t="n">
        <f aca="false">U10/1000</f>
        <v>75.537</v>
      </c>
      <c r="V11" s="617" t="n">
        <f aca="false">V10/1000</f>
        <v>80.0415</v>
      </c>
      <c r="W11" s="617" t="n">
        <f aca="false">W10/1000</f>
        <v>85.5855</v>
      </c>
      <c r="X11" s="617" t="n">
        <f aca="false">X10/1000</f>
        <v>87.318</v>
      </c>
      <c r="Y11" s="617" t="n">
        <f aca="false">Y10/1000</f>
        <v>93.2085</v>
      </c>
      <c r="Z11" s="617" t="n">
        <f aca="false">Z10/1000</f>
        <v>94.941</v>
      </c>
      <c r="AA11" s="617" t="n">
        <f aca="false">AA10/1000</f>
        <v>95.634</v>
      </c>
      <c r="AB11" s="617" t="n">
        <f aca="false">AB10/1000</f>
        <v>96.327</v>
      </c>
      <c r="AC11" s="617" t="n">
        <f aca="false">AC10/1000</f>
        <v>96.327</v>
      </c>
      <c r="AD11" s="617" t="n">
        <f aca="false">AD10/1000</f>
        <v>96.327</v>
      </c>
      <c r="AE11" s="617" t="n">
        <f aca="false">AE10/1000</f>
        <v>96.327</v>
      </c>
      <c r="AF11" s="617" t="n">
        <f aca="false">AF10/1000</f>
        <v>96.327</v>
      </c>
      <c r="AG11" s="617" t="n">
        <f aca="false">AG10/1000</f>
        <v>95.7033</v>
      </c>
      <c r="AH11" s="617" t="n">
        <f aca="false">AH10/1000</f>
        <v>95.7033</v>
      </c>
      <c r="AI11" s="617" t="n">
        <f aca="false">AI10/1000</f>
        <v>101.3834745</v>
      </c>
      <c r="AJ11" s="617" t="n">
        <f aca="false">AJ10/1000</f>
        <v>107.063649</v>
      </c>
      <c r="AK11" s="617" t="n">
        <f aca="false">AK10/1000</f>
        <v>108.945837</v>
      </c>
      <c r="AL11" s="617" t="n">
        <f aca="false">AL10/1000</f>
        <v>114.861285</v>
      </c>
      <c r="AM11" s="617" t="n">
        <f aca="false">AM10/1000</f>
        <v>116.54181</v>
      </c>
      <c r="AN11" s="617" t="n">
        <f aca="false">AN10/1000</f>
        <v>121.583385</v>
      </c>
      <c r="AO11" s="617" t="n">
        <f aca="false">AO10/1000</f>
        <v>123.26391</v>
      </c>
      <c r="AP11" s="617" t="n">
        <f aca="false">AP10/1000</f>
        <v>122.68872</v>
      </c>
      <c r="AQ11" s="617" t="n">
        <f aca="false">AQ10/1000</f>
        <v>128.87738325</v>
      </c>
      <c r="AR11" s="617" t="n">
        <f aca="false">AR10/1000</f>
        <v>134.4111615</v>
      </c>
      <c r="AS11" s="617" t="n">
        <f aca="false">AS10/1000</f>
        <v>140.501592</v>
      </c>
      <c r="AT11" s="617" t="n">
        <f aca="false">AT10/1000</f>
        <v>147.2469075</v>
      </c>
      <c r="AU11" s="617" t="n">
        <f aca="false">AU10/1000</f>
        <v>149.539005</v>
      </c>
      <c r="AV11" s="617" t="n">
        <f aca="false">AV10/1000</f>
        <v>150.848775</v>
      </c>
      <c r="AW11" s="617" t="n">
        <f aca="false">AW10/1000</f>
        <v>157.03743825</v>
      </c>
      <c r="AX11" s="617" t="n">
        <f aca="false">AX10/1000</f>
        <v>158.314464</v>
      </c>
      <c r="AY11" s="617" t="n">
        <f aca="false">AY10/1000</f>
        <v>163.422567</v>
      </c>
      <c r="AZ11" s="617" t="n">
        <f aca="false">AZ10/1000</f>
        <v>169.5129975</v>
      </c>
      <c r="BA11" s="617" t="n">
        <f aca="false">BA10/1000</f>
        <v>171.15021</v>
      </c>
      <c r="BB11" s="617" t="n">
        <f aca="false">BB10/1000</f>
        <v>172.45998</v>
      </c>
      <c r="BC11" s="617" t="n">
        <f aca="false">BC10/1000</f>
        <v>173.114865</v>
      </c>
      <c r="BD11" s="617" t="n">
        <f aca="false">BD10/1000</f>
        <v>173.114865</v>
      </c>
      <c r="BE11" s="617" t="n">
        <f aca="false">BE10/1000</f>
        <v>173.114865</v>
      </c>
      <c r="BF11" s="617" t="n">
        <f aca="false">BF10/1000</f>
        <v>170.53344</v>
      </c>
      <c r="BG11" s="617" t="n">
        <f aca="false">BG10/1000</f>
        <v>170.53344</v>
      </c>
      <c r="BH11" s="617" t="n">
        <f aca="false">BH10/1000</f>
        <v>170.53344</v>
      </c>
      <c r="BI11" s="617" t="n">
        <f aca="false">BI10/1000</f>
        <v>178.82172</v>
      </c>
      <c r="BJ11" s="617" t="n">
        <f aca="false">BJ10/1000</f>
        <v>184.87854</v>
      </c>
      <c r="BK11" s="617" t="n">
        <f aca="false">BK10/1000</f>
        <v>189.954765</v>
      </c>
      <c r="BL11" s="617" t="n">
        <f aca="false">BL10/1000</f>
        <v>197.09613</v>
      </c>
      <c r="BM11" s="617" t="n">
        <f aca="false">BM10/1000</f>
        <v>203.52024</v>
      </c>
      <c r="BN11" s="617" t="n">
        <f aca="false">BN10/1000</f>
        <v>209.94435</v>
      </c>
      <c r="BO11" s="617" t="n">
        <f aca="false">BO10/1000</f>
        <v>212.1273</v>
      </c>
      <c r="BP11" s="617" t="n">
        <f aca="false">BP10/1000</f>
        <v>218.644965</v>
      </c>
      <c r="BQ11" s="617" t="n">
        <f aca="false">BQ10/1000</f>
        <v>221.227776</v>
      </c>
      <c r="BR11" s="617" t="n">
        <f aca="false">BR10/1000</f>
        <v>226.899288</v>
      </c>
      <c r="BS11" s="617" t="n">
        <f aca="false">BS10/1000</f>
        <v>233.18064</v>
      </c>
      <c r="BT11" s="617" t="n">
        <f aca="false">BT10/1000</f>
        <v>240.468228</v>
      </c>
      <c r="BU11" s="617" t="n">
        <f aca="false">BU10/1000</f>
        <v>246.841056</v>
      </c>
      <c r="BV11" s="617" t="n">
        <f aca="false">BV10/1000</f>
        <v>253.122408</v>
      </c>
      <c r="BW11" s="617" t="n">
        <f aca="false">BW10/1000</f>
        <v>256.2696675</v>
      </c>
      <c r="BX11" s="617" t="n">
        <f aca="false">BX10/1000</f>
        <v>263.43303525</v>
      </c>
      <c r="BY11" s="617" t="n">
        <f aca="false">BY10/1000</f>
        <v>265.800843</v>
      </c>
      <c r="BZ11" s="617" t="n">
        <f aca="false">BZ10/1000</f>
        <v>274.9723515</v>
      </c>
      <c r="CA11" s="617" t="n">
        <f aca="false">CA10/1000</f>
        <v>281.4463575</v>
      </c>
      <c r="CB11" s="617" t="n">
        <f aca="false">CB10/1000</f>
        <v>283.766175</v>
      </c>
      <c r="CC11" s="617" t="n">
        <f aca="false">CC10/1000</f>
        <v>290.245725</v>
      </c>
      <c r="CD11" s="617" t="n">
        <f aca="false">CD10/1000</f>
        <v>297.2848725</v>
      </c>
      <c r="CE11" s="617" t="n">
        <f aca="false">CE10/1000</f>
        <v>303.440445</v>
      </c>
      <c r="CF11" s="617" t="n">
        <f aca="false">CF10/1000</f>
        <v>309.50766</v>
      </c>
      <c r="CG11" s="617" t="n">
        <f aca="false">CG10/1000</f>
        <v>316.53468</v>
      </c>
      <c r="CH11" s="617" t="n">
        <f aca="false">CH10/1000</f>
        <v>324.364194</v>
      </c>
      <c r="CI11" s="617" t="n">
        <f aca="false">CI10/1000</f>
        <v>331.029468</v>
      </c>
      <c r="CJ11" s="617" t="n">
        <f aca="false">CJ10/1000</f>
        <v>333.823644</v>
      </c>
      <c r="CK11" s="617" t="n">
        <f aca="false">CK10/1000</f>
        <v>335.16252</v>
      </c>
      <c r="CL11" s="617" t="n">
        <f aca="false">CL10/1000</f>
        <v>335.74464</v>
      </c>
      <c r="CM11" s="617" t="n">
        <f aca="false">CM10/1000</f>
        <v>335.74464</v>
      </c>
      <c r="CN11" s="617" t="n">
        <f aca="false">CN10/1000</f>
        <v>335.74464</v>
      </c>
      <c r="CO11" s="617" t="n">
        <f aca="false">CO10/1000</f>
        <v>335.74464</v>
      </c>
      <c r="CP11" s="617" t="n">
        <f aca="false">CP10/1000</f>
        <v>335.74464</v>
      </c>
      <c r="CQ11" s="617" t="n">
        <f aca="false">CQ10/1000</f>
        <v>335.74464</v>
      </c>
      <c r="CR11" s="617" t="n">
        <f aca="false">CR10/1000</f>
        <v>335.74464</v>
      </c>
      <c r="CS11" s="617" t="n">
        <f aca="false">CS10/1000</f>
        <v>335.74464</v>
      </c>
      <c r="CT11" s="617" t="n">
        <f aca="false">CT10/1000</f>
        <v>335.74464</v>
      </c>
      <c r="CU11" s="617" t="n">
        <f aca="false">CU10/1000</f>
        <v>335.74464</v>
      </c>
      <c r="CV11" s="617" t="n">
        <f aca="false">CV10/1000</f>
        <v>335.74464</v>
      </c>
      <c r="CW11" s="617" t="n">
        <f aca="false">CW10/1000</f>
        <v>335.74464</v>
      </c>
      <c r="CX11" s="617" t="n">
        <f aca="false">CX10/1000</f>
        <v>335.74464</v>
      </c>
      <c r="CY11" s="617" t="n">
        <f aca="false">CY10/1000</f>
        <v>335.74464</v>
      </c>
      <c r="CZ11" s="617" t="n">
        <f aca="false">CZ10/1000</f>
        <v>335.74464</v>
      </c>
      <c r="DA11" s="617" t="n">
        <f aca="false">DA10/1000</f>
        <v>335.74464</v>
      </c>
      <c r="DB11" s="617" t="n">
        <f aca="false">DB10/1000</f>
        <v>335.74464</v>
      </c>
      <c r="DC11" s="617" t="n">
        <f aca="false">DC10/1000</f>
        <v>335.74464</v>
      </c>
      <c r="DD11" s="617" t="n">
        <f aca="false">DD10/1000</f>
        <v>335.74464</v>
      </c>
      <c r="DE11" s="617" t="n">
        <f aca="false">DE10/1000</f>
        <v>335.74464</v>
      </c>
      <c r="DF11" s="617" t="n">
        <f aca="false">DF10/1000</f>
        <v>335.74464</v>
      </c>
      <c r="DG11" s="617" t="n">
        <f aca="false">DG10/1000</f>
        <v>335.74464</v>
      </c>
      <c r="DH11" s="617" t="n">
        <f aca="false">DH10/1000</f>
        <v>335.74464</v>
      </c>
      <c r="DI11" s="617" t="n">
        <f aca="false">DI10/1000</f>
        <v>335.74464</v>
      </c>
      <c r="DJ11" s="617" t="n">
        <f aca="false">DJ10/1000</f>
        <v>335.74464</v>
      </c>
      <c r="DK11" s="617" t="n">
        <f aca="false">DK10/1000</f>
        <v>335.74464</v>
      </c>
      <c r="DL11" s="617" t="n">
        <f aca="false">DL10/1000</f>
        <v>335.74464</v>
      </c>
      <c r="DM11" s="617" t="n">
        <f aca="false">DM10/1000</f>
        <v>335.74464</v>
      </c>
      <c r="DN11" s="617" t="n">
        <f aca="false">DN10/1000</f>
        <v>335.74464</v>
      </c>
      <c r="DO11" s="617" t="n">
        <f aca="false">DO10/1000</f>
        <v>335.74464</v>
      </c>
      <c r="DP11" s="617" t="n">
        <f aca="false">DP10/1000</f>
        <v>335.74464</v>
      </c>
      <c r="DQ11" s="617" t="n">
        <f aca="false">DQ10/1000</f>
        <v>335.74464</v>
      </c>
      <c r="DR11" s="617" t="n">
        <f aca="false">DR10/1000</f>
        <v>335.74464</v>
      </c>
      <c r="DS11" s="617" t="n">
        <f aca="false">DS10/1000</f>
        <v>335.74464</v>
      </c>
    </row>
    <row r="12" customFormat="false" ht="15" hidden="false" customHeight="true" outlineLevel="0" collapsed="false">
      <c r="B12" s="297" t="s">
        <v>3766</v>
      </c>
      <c r="D12" s="316" t="n">
        <f aca="false">IF(SUM(CAPA3_EXPANSION!$C$21:D$21)&gt;0,SUP_PRODUCCION!$C$42,IF(SUM(CAPA3_EXPANSION!$C$20:D$20)&gt;0,SUP_PRODUCCION!$C$40,IF(SUM(CAPA3_EXPANSION!$C$19:D$19)&gt;0,SUP_PRODUCCION!$C$38,SUP_PRODUCCION!$C$34)))</f>
        <v>91.65</v>
      </c>
      <c r="E12" s="316" t="n">
        <f aca="false">IF(SUM(CAPA3_EXPANSION!$C$21:E$21)&gt;0,SUP_PRODUCCION!$C$42,IF(SUM(CAPA3_EXPANSION!$C$20:E$20)&gt;0,SUP_PRODUCCION!$C$40,IF(SUM(CAPA3_EXPANSION!$C$19:E$19)&gt;0,SUP_PRODUCCION!$C$38,SUP_PRODUCCION!$C$34)))</f>
        <v>91.65</v>
      </c>
      <c r="F12" s="316" t="n">
        <f aca="false">IF(SUM(CAPA3_EXPANSION!$C$21:F$21)&gt;0,SUP_PRODUCCION!$C$42,IF(SUM(CAPA3_EXPANSION!$C$20:F$20)&gt;0,SUP_PRODUCCION!$C$40,IF(SUM(CAPA3_EXPANSION!$C$19:F$19)&gt;0,SUP_PRODUCCION!$C$38,SUP_PRODUCCION!$C$34)))</f>
        <v>91.65</v>
      </c>
      <c r="G12" s="316" t="n">
        <f aca="false">IF(SUM(CAPA3_EXPANSION!$C$21:G$21)&gt;0,SUP_PRODUCCION!$C$42,IF(SUM(CAPA3_EXPANSION!$C$20:G$20)&gt;0,SUP_PRODUCCION!$C$40,IF(SUM(CAPA3_EXPANSION!$C$19:G$19)&gt;0,SUP_PRODUCCION!$C$38,SUP_PRODUCCION!$C$34)))</f>
        <v>91.65</v>
      </c>
      <c r="H12" s="316" t="n">
        <f aca="false">IF(SUM(CAPA3_EXPANSION!$C$21:H$21)&gt;0,SUP_PRODUCCION!$C$42,IF(SUM(CAPA3_EXPANSION!$C$20:H$20)&gt;0,SUP_PRODUCCION!$C$40,IF(SUM(CAPA3_EXPANSION!$C$19:H$19)&gt;0,SUP_PRODUCCION!$C$38,SUP_PRODUCCION!$C$34)))</f>
        <v>91.65</v>
      </c>
      <c r="I12" s="316" t="n">
        <f aca="false">IF(SUM(CAPA3_EXPANSION!$C$21:I$21)&gt;0,SUP_PRODUCCION!$C$42,IF(SUM(CAPA3_EXPANSION!$C$20:I$20)&gt;0,SUP_PRODUCCION!$C$40,IF(SUM(CAPA3_EXPANSION!$C$19:I$19)&gt;0,SUP_PRODUCCION!$C$38,SUP_PRODUCCION!$C$34)))</f>
        <v>91.65</v>
      </c>
      <c r="J12" s="316" t="n">
        <f aca="false">IF(SUM(CAPA3_EXPANSION!$C$21:J$21)&gt;0,SUP_PRODUCCION!$C$42,IF(SUM(CAPA3_EXPANSION!$C$20:J$20)&gt;0,SUP_PRODUCCION!$C$40,IF(SUM(CAPA3_EXPANSION!$C$19:J$19)&gt;0,SUP_PRODUCCION!$C$38,SUP_PRODUCCION!$C$34)))</f>
        <v>91.65</v>
      </c>
      <c r="K12" s="316" t="n">
        <f aca="false">IF(SUM(CAPA3_EXPANSION!$C$21:K$21)&gt;0,SUP_PRODUCCION!$C$42,IF(SUM(CAPA3_EXPANSION!$C$20:K$20)&gt;0,SUP_PRODUCCION!$C$40,IF(SUM(CAPA3_EXPANSION!$C$19:K$19)&gt;0,SUP_PRODUCCION!$C$38,SUP_PRODUCCION!$C$34)))</f>
        <v>91.65</v>
      </c>
      <c r="L12" s="316" t="n">
        <f aca="false">IF(SUM(CAPA3_EXPANSION!$C$21:L$21)&gt;0,SUP_PRODUCCION!$C$42,IF(SUM(CAPA3_EXPANSION!$C$20:L$20)&gt;0,SUP_PRODUCCION!$C$40,IF(SUM(CAPA3_EXPANSION!$C$19:L$19)&gt;0,SUP_PRODUCCION!$C$38,SUP_PRODUCCION!$C$34)))</f>
        <v>91.65</v>
      </c>
      <c r="M12" s="316" t="n">
        <f aca="false">IF(SUM(CAPA3_EXPANSION!$C$21:M$21)&gt;0,SUP_PRODUCCION!$C$42,IF(SUM(CAPA3_EXPANSION!$C$20:M$20)&gt;0,SUP_PRODUCCION!$C$40,IF(SUM(CAPA3_EXPANSION!$C$19:M$19)&gt;0,SUP_PRODUCCION!$C$38,SUP_PRODUCCION!$C$34)))</f>
        <v>91.65</v>
      </c>
      <c r="N12" s="316" t="n">
        <f aca="false">IF(SUM(CAPA3_EXPANSION!$C$21:N$21)&gt;0,SUP_PRODUCCION!$C$42,IF(SUM(CAPA3_EXPANSION!$C$20:N$20)&gt;0,SUP_PRODUCCION!$C$40,IF(SUM(CAPA3_EXPANSION!$C$19:N$19)&gt;0,SUP_PRODUCCION!$C$38,SUP_PRODUCCION!$C$34)))</f>
        <v>91.65</v>
      </c>
      <c r="O12" s="316" t="n">
        <f aca="false">IF(SUM(CAPA3_EXPANSION!$C$21:O$21)&gt;0,SUP_PRODUCCION!$C$42,IF(SUM(CAPA3_EXPANSION!$C$20:O$20)&gt;0,SUP_PRODUCCION!$C$40,IF(SUM(CAPA3_EXPANSION!$C$19:O$19)&gt;0,SUP_PRODUCCION!$C$38,SUP_PRODUCCION!$C$34)))</f>
        <v>91.65</v>
      </c>
      <c r="P12" s="316" t="n">
        <f aca="false">IF(SUM(CAPA3_EXPANSION!$C$21:P$21)&gt;0,SUP_PRODUCCION!$C$42,IF(SUM(CAPA3_EXPANSION!$C$20:P$20)&gt;0,SUP_PRODUCCION!$C$40,IF(SUM(CAPA3_EXPANSION!$C$19:P$19)&gt;0,SUP_PRODUCCION!$C$38,SUP_PRODUCCION!$C$34)))</f>
        <v>91.65</v>
      </c>
      <c r="Q12" s="316" t="n">
        <f aca="false">IF(SUM(CAPA3_EXPANSION!$C$21:Q$21)&gt;0,SUP_PRODUCCION!$C$42,IF(SUM(CAPA3_EXPANSION!$C$20:Q$20)&gt;0,SUP_PRODUCCION!$C$40,IF(SUM(CAPA3_EXPANSION!$C$19:Q$19)&gt;0,SUP_PRODUCCION!$C$38,SUP_PRODUCCION!$C$34)))</f>
        <v>91.65</v>
      </c>
      <c r="R12" s="316" t="n">
        <f aca="false">IF(SUM(CAPA3_EXPANSION!$C$21:R$21)&gt;0,SUP_PRODUCCION!$C$42,IF(SUM(CAPA3_EXPANSION!$C$20:R$20)&gt;0,SUP_PRODUCCION!$C$40,IF(SUM(CAPA3_EXPANSION!$C$19:R$19)&gt;0,SUP_PRODUCCION!$C$38,SUP_PRODUCCION!$C$34)))</f>
        <v>91.65</v>
      </c>
      <c r="S12" s="316" t="n">
        <f aca="false">IF(SUM(CAPA3_EXPANSION!$C$21:S$21)&gt;0,SUP_PRODUCCION!$C$42,IF(SUM(CAPA3_EXPANSION!$C$20:S$20)&gt;0,SUP_PRODUCCION!$C$40,IF(SUM(CAPA3_EXPANSION!$C$19:S$19)&gt;0,SUP_PRODUCCION!$C$38,SUP_PRODUCCION!$C$34)))</f>
        <v>91.65</v>
      </c>
      <c r="T12" s="316" t="n">
        <f aca="false">IF(SUM(CAPA3_EXPANSION!$C$21:T$21)&gt;0,SUP_PRODUCCION!$C$42,IF(SUM(CAPA3_EXPANSION!$C$20:T$20)&gt;0,SUP_PRODUCCION!$C$40,IF(SUM(CAPA3_EXPANSION!$C$19:T$19)&gt;0,SUP_PRODUCCION!$C$38,SUP_PRODUCCION!$C$34)))</f>
        <v>91.65</v>
      </c>
      <c r="U12" s="316" t="n">
        <f aca="false">IF(SUM(CAPA3_EXPANSION!$C$21:U$21)&gt;0,SUP_PRODUCCION!$C$42,IF(SUM(CAPA3_EXPANSION!$C$20:U$20)&gt;0,SUP_PRODUCCION!$C$40,IF(SUM(CAPA3_EXPANSION!$C$19:U$19)&gt;0,SUP_PRODUCCION!$C$38,SUP_PRODUCCION!$C$34)))</f>
        <v>91.65</v>
      </c>
      <c r="V12" s="316" t="n">
        <f aca="false">IF(SUM(CAPA3_EXPANSION!$C$21:V$21)&gt;0,SUP_PRODUCCION!$C$42,IF(SUM(CAPA3_EXPANSION!$C$20:V$20)&gt;0,SUP_PRODUCCION!$C$40,IF(SUM(CAPA3_EXPANSION!$C$19:V$19)&gt;0,SUP_PRODUCCION!$C$38,SUP_PRODUCCION!$C$34)))</f>
        <v>91.65</v>
      </c>
      <c r="W12" s="316" t="n">
        <f aca="false">IF(SUM(CAPA3_EXPANSION!$C$21:W$21)&gt;0,SUP_PRODUCCION!$C$42,IF(SUM(CAPA3_EXPANSION!$C$20:W$20)&gt;0,SUP_PRODUCCION!$C$40,IF(SUM(CAPA3_EXPANSION!$C$19:W$19)&gt;0,SUP_PRODUCCION!$C$38,SUP_PRODUCCION!$C$34)))</f>
        <v>91.65</v>
      </c>
      <c r="X12" s="316" t="n">
        <f aca="false">IF(SUM(CAPA3_EXPANSION!$C$21:X$21)&gt;0,SUP_PRODUCCION!$C$42,IF(SUM(CAPA3_EXPANSION!$C$20:X$20)&gt;0,SUP_PRODUCCION!$C$40,IF(SUM(CAPA3_EXPANSION!$C$19:X$19)&gt;0,SUP_PRODUCCION!$C$38,SUP_PRODUCCION!$C$34)))</f>
        <v>91.65</v>
      </c>
      <c r="Y12" s="316" t="n">
        <f aca="false">IF(SUM(CAPA3_EXPANSION!$C$21:Y$21)&gt;0,SUP_PRODUCCION!$C$42,IF(SUM(CAPA3_EXPANSION!$C$20:Y$20)&gt;0,SUP_PRODUCCION!$C$40,IF(SUM(CAPA3_EXPANSION!$C$19:Y$19)&gt;0,SUP_PRODUCCION!$C$38,SUP_PRODUCCION!$C$34)))</f>
        <v>91.65</v>
      </c>
      <c r="Z12" s="316" t="n">
        <f aca="false">IF(SUM(CAPA3_EXPANSION!$C$21:Z$21)&gt;0,SUP_PRODUCCION!$C$42,IF(SUM(CAPA3_EXPANSION!$C$20:Z$20)&gt;0,SUP_PRODUCCION!$C$40,IF(SUM(CAPA3_EXPANSION!$C$19:Z$19)&gt;0,SUP_PRODUCCION!$C$38,SUP_PRODUCCION!$C$34)))</f>
        <v>91.65</v>
      </c>
      <c r="AA12" s="316" t="n">
        <f aca="false">IF(SUM(CAPA3_EXPANSION!$C$21:AA$21)&gt;0,SUP_PRODUCCION!$C$42,IF(SUM(CAPA3_EXPANSION!$C$20:AA$20)&gt;0,SUP_PRODUCCION!$C$40,IF(SUM(CAPA3_EXPANSION!$C$19:AA$19)&gt;0,SUP_PRODUCCION!$C$38,SUP_PRODUCCION!$C$34)))</f>
        <v>91.65</v>
      </c>
      <c r="AB12" s="316" t="n">
        <f aca="false">IF(SUM(CAPA3_EXPANSION!$C$21:AB$21)&gt;0,SUP_PRODUCCION!$C$42,IF(SUM(CAPA3_EXPANSION!$C$20:AB$20)&gt;0,SUP_PRODUCCION!$C$40,IF(SUM(CAPA3_EXPANSION!$C$19:AB$19)&gt;0,SUP_PRODUCCION!$C$38,SUP_PRODUCCION!$C$34)))</f>
        <v>91.65</v>
      </c>
      <c r="AC12" s="316" t="n">
        <f aca="false">IF(SUM(CAPA3_EXPANSION!$C$21:AC$21)&gt;0,SUP_PRODUCCION!$C$42,IF(SUM(CAPA3_EXPANSION!$C$20:AC$20)&gt;0,SUP_PRODUCCION!$C$40,IF(SUM(CAPA3_EXPANSION!$C$19:AC$19)&gt;0,SUP_PRODUCCION!$C$38,SUP_PRODUCCION!$C$34)))</f>
        <v>91.65</v>
      </c>
      <c r="AD12" s="316" t="n">
        <f aca="false">IF(SUM(CAPA3_EXPANSION!$C$21:AD$21)&gt;0,SUP_PRODUCCION!$C$42,IF(SUM(CAPA3_EXPANSION!$C$20:AD$20)&gt;0,SUP_PRODUCCION!$C$40,IF(SUM(CAPA3_EXPANSION!$C$19:AD$19)&gt;0,SUP_PRODUCCION!$C$38,SUP_PRODUCCION!$C$34)))</f>
        <v>183.3</v>
      </c>
      <c r="AE12" s="316" t="n">
        <f aca="false">IF(SUM(CAPA3_EXPANSION!$C$21:AE$21)&gt;0,SUP_PRODUCCION!$C$42,IF(SUM(CAPA3_EXPANSION!$C$20:AE$20)&gt;0,SUP_PRODUCCION!$C$40,IF(SUM(CAPA3_EXPANSION!$C$19:AE$19)&gt;0,SUP_PRODUCCION!$C$38,SUP_PRODUCCION!$C$34)))</f>
        <v>183.3</v>
      </c>
      <c r="AF12" s="316" t="n">
        <f aca="false">IF(SUM(CAPA3_EXPANSION!$C$21:AF$21)&gt;0,SUP_PRODUCCION!$C$42,IF(SUM(CAPA3_EXPANSION!$C$20:AF$20)&gt;0,SUP_PRODUCCION!$C$40,IF(SUM(CAPA3_EXPANSION!$C$19:AF$19)&gt;0,SUP_PRODUCCION!$C$38,SUP_PRODUCCION!$C$34)))</f>
        <v>183.3</v>
      </c>
      <c r="AG12" s="316" t="n">
        <f aca="false">IF(SUM(CAPA3_EXPANSION!$C$21:AG$21)&gt;0,SUP_PRODUCCION!$C$42,IF(SUM(CAPA3_EXPANSION!$C$20:AG$20)&gt;0,SUP_PRODUCCION!$C$40,IF(SUM(CAPA3_EXPANSION!$C$19:AG$19)&gt;0,SUP_PRODUCCION!$C$38,SUP_PRODUCCION!$C$34)))</f>
        <v>183.3</v>
      </c>
      <c r="AH12" s="316" t="n">
        <f aca="false">IF(SUM(CAPA3_EXPANSION!$C$21:AH$21)&gt;0,SUP_PRODUCCION!$C$42,IF(SUM(CAPA3_EXPANSION!$C$20:AH$20)&gt;0,SUP_PRODUCCION!$C$40,IF(SUM(CAPA3_EXPANSION!$C$19:AH$19)&gt;0,SUP_PRODUCCION!$C$38,SUP_PRODUCCION!$C$34)))</f>
        <v>183.3</v>
      </c>
      <c r="AI12" s="316" t="n">
        <f aca="false">IF(SUM(CAPA3_EXPANSION!$C$21:AI$21)&gt;0,SUP_PRODUCCION!$C$42,IF(SUM(CAPA3_EXPANSION!$C$20:AI$20)&gt;0,SUP_PRODUCCION!$C$40,IF(SUM(CAPA3_EXPANSION!$C$19:AI$19)&gt;0,SUP_PRODUCCION!$C$38,SUP_PRODUCCION!$C$34)))</f>
        <v>183.3</v>
      </c>
      <c r="AJ12" s="316" t="n">
        <f aca="false">IF(SUM(CAPA3_EXPANSION!$C$21:AJ$21)&gt;0,SUP_PRODUCCION!$C$42,IF(SUM(CAPA3_EXPANSION!$C$20:AJ$20)&gt;0,SUP_PRODUCCION!$C$40,IF(SUM(CAPA3_EXPANSION!$C$19:AJ$19)&gt;0,SUP_PRODUCCION!$C$38,SUP_PRODUCCION!$C$34)))</f>
        <v>183.3</v>
      </c>
      <c r="AK12" s="316" t="n">
        <f aca="false">IF(SUM(CAPA3_EXPANSION!$C$21:AK$21)&gt;0,SUP_PRODUCCION!$C$42,IF(SUM(CAPA3_EXPANSION!$C$20:AK$20)&gt;0,SUP_PRODUCCION!$C$40,IF(SUM(CAPA3_EXPANSION!$C$19:AK$19)&gt;0,SUP_PRODUCCION!$C$38,SUP_PRODUCCION!$C$34)))</f>
        <v>183.3</v>
      </c>
      <c r="AL12" s="316" t="n">
        <f aca="false">IF(SUM(CAPA3_EXPANSION!$C$21:AL$21)&gt;0,SUP_PRODUCCION!$C$42,IF(SUM(CAPA3_EXPANSION!$C$20:AL$20)&gt;0,SUP_PRODUCCION!$C$40,IF(SUM(CAPA3_EXPANSION!$C$19:AL$19)&gt;0,SUP_PRODUCCION!$C$38,SUP_PRODUCCION!$C$34)))</f>
        <v>183.3</v>
      </c>
      <c r="AM12" s="316" t="n">
        <f aca="false">IF(SUM(CAPA3_EXPANSION!$C$21:AM$21)&gt;0,SUP_PRODUCCION!$C$42,IF(SUM(CAPA3_EXPANSION!$C$20:AM$20)&gt;0,SUP_PRODUCCION!$C$40,IF(SUM(CAPA3_EXPANSION!$C$19:AM$19)&gt;0,SUP_PRODUCCION!$C$38,SUP_PRODUCCION!$C$34)))</f>
        <v>183.3</v>
      </c>
      <c r="AN12" s="316" t="n">
        <f aca="false">IF(SUM(CAPA3_EXPANSION!$C$21:AN$21)&gt;0,SUP_PRODUCCION!$C$42,IF(SUM(CAPA3_EXPANSION!$C$20:AN$20)&gt;0,SUP_PRODUCCION!$C$40,IF(SUM(CAPA3_EXPANSION!$C$19:AN$19)&gt;0,SUP_PRODUCCION!$C$38,SUP_PRODUCCION!$C$34)))</f>
        <v>183.3</v>
      </c>
      <c r="AO12" s="316" t="n">
        <f aca="false">IF(SUM(CAPA3_EXPANSION!$C$21:AO$21)&gt;0,SUP_PRODUCCION!$C$42,IF(SUM(CAPA3_EXPANSION!$C$20:AO$20)&gt;0,SUP_PRODUCCION!$C$40,IF(SUM(CAPA3_EXPANSION!$C$19:AO$19)&gt;0,SUP_PRODUCCION!$C$38,SUP_PRODUCCION!$C$34)))</f>
        <v>183.3</v>
      </c>
      <c r="AP12" s="316" t="n">
        <f aca="false">IF(SUM(CAPA3_EXPANSION!$C$21:AP$21)&gt;0,SUP_PRODUCCION!$C$42,IF(SUM(CAPA3_EXPANSION!$C$20:AP$20)&gt;0,SUP_PRODUCCION!$C$40,IF(SUM(CAPA3_EXPANSION!$C$19:AP$19)&gt;0,SUP_PRODUCCION!$C$38,SUP_PRODUCCION!$C$34)))</f>
        <v>183.3</v>
      </c>
      <c r="AQ12" s="316" t="n">
        <f aca="false">IF(SUM(CAPA3_EXPANSION!$C$21:AQ$21)&gt;0,SUP_PRODUCCION!$C$42,IF(SUM(CAPA3_EXPANSION!$C$20:AQ$20)&gt;0,SUP_PRODUCCION!$C$40,IF(SUM(CAPA3_EXPANSION!$C$19:AQ$19)&gt;0,SUP_PRODUCCION!$C$38,SUP_PRODUCCION!$C$34)))</f>
        <v>183.3</v>
      </c>
      <c r="AR12" s="316" t="n">
        <f aca="false">IF(SUM(CAPA3_EXPANSION!$C$21:AR$21)&gt;0,SUP_PRODUCCION!$C$42,IF(SUM(CAPA3_EXPANSION!$C$20:AR$20)&gt;0,SUP_PRODUCCION!$C$40,IF(SUM(CAPA3_EXPANSION!$C$19:AR$19)&gt;0,SUP_PRODUCCION!$C$38,SUP_PRODUCCION!$C$34)))</f>
        <v>183.3</v>
      </c>
      <c r="AS12" s="316" t="n">
        <f aca="false">IF(SUM(CAPA3_EXPANSION!$C$21:AS$21)&gt;0,SUP_PRODUCCION!$C$42,IF(SUM(CAPA3_EXPANSION!$C$20:AS$20)&gt;0,SUP_PRODUCCION!$C$40,IF(SUM(CAPA3_EXPANSION!$C$19:AS$19)&gt;0,SUP_PRODUCCION!$C$38,SUP_PRODUCCION!$C$34)))</f>
        <v>183.3</v>
      </c>
      <c r="AT12" s="316" t="n">
        <f aca="false">IF(SUM(CAPA3_EXPANSION!$C$21:AT$21)&gt;0,SUP_PRODUCCION!$C$42,IF(SUM(CAPA3_EXPANSION!$C$20:AT$20)&gt;0,SUP_PRODUCCION!$C$40,IF(SUM(CAPA3_EXPANSION!$C$19:AT$19)&gt;0,SUP_PRODUCCION!$C$38,SUP_PRODUCCION!$C$34)))</f>
        <v>183.3</v>
      </c>
      <c r="AU12" s="316" t="n">
        <f aca="false">IF(SUM(CAPA3_EXPANSION!$C$21:AU$21)&gt;0,SUP_PRODUCCION!$C$42,IF(SUM(CAPA3_EXPANSION!$C$20:AU$20)&gt;0,SUP_PRODUCCION!$C$40,IF(SUM(CAPA3_EXPANSION!$C$19:AU$19)&gt;0,SUP_PRODUCCION!$C$38,SUP_PRODUCCION!$C$34)))</f>
        <v>183.3</v>
      </c>
      <c r="AV12" s="316" t="n">
        <f aca="false">IF(SUM(CAPA3_EXPANSION!$C$21:AV$21)&gt;0,SUP_PRODUCCION!$C$42,IF(SUM(CAPA3_EXPANSION!$C$20:AV$20)&gt;0,SUP_PRODUCCION!$C$40,IF(SUM(CAPA3_EXPANSION!$C$19:AV$19)&gt;0,SUP_PRODUCCION!$C$38,SUP_PRODUCCION!$C$34)))</f>
        <v>183.3</v>
      </c>
      <c r="AW12" s="316" t="n">
        <f aca="false">IF(SUM(CAPA3_EXPANSION!$C$21:AW$21)&gt;0,SUP_PRODUCCION!$C$42,IF(SUM(CAPA3_EXPANSION!$C$20:AW$20)&gt;0,SUP_PRODUCCION!$C$40,IF(SUM(CAPA3_EXPANSION!$C$19:AW$19)&gt;0,SUP_PRODUCCION!$C$38,SUP_PRODUCCION!$C$34)))</f>
        <v>183.3</v>
      </c>
      <c r="AX12" s="316" t="n">
        <f aca="false">IF(SUM(CAPA3_EXPANSION!$C$21:AX$21)&gt;0,SUP_PRODUCCION!$C$42,IF(SUM(CAPA3_EXPANSION!$C$20:AX$20)&gt;0,SUP_PRODUCCION!$C$40,IF(SUM(CAPA3_EXPANSION!$C$19:AX$19)&gt;0,SUP_PRODUCCION!$C$38,SUP_PRODUCCION!$C$34)))</f>
        <v>183.3</v>
      </c>
      <c r="AY12" s="316" t="n">
        <f aca="false">IF(SUM(CAPA3_EXPANSION!$C$21:AY$21)&gt;0,SUP_PRODUCCION!$C$42,IF(SUM(CAPA3_EXPANSION!$C$20:AY$20)&gt;0,SUP_PRODUCCION!$C$40,IF(SUM(CAPA3_EXPANSION!$C$19:AY$19)&gt;0,SUP_PRODUCCION!$C$38,SUP_PRODUCCION!$C$34)))</f>
        <v>183.3</v>
      </c>
      <c r="AZ12" s="316" t="n">
        <f aca="false">IF(SUM(CAPA3_EXPANSION!$C$21:AZ$21)&gt;0,SUP_PRODUCCION!$C$42,IF(SUM(CAPA3_EXPANSION!$C$20:AZ$20)&gt;0,SUP_PRODUCCION!$C$40,IF(SUM(CAPA3_EXPANSION!$C$19:AZ$19)&gt;0,SUP_PRODUCCION!$C$38,SUP_PRODUCCION!$C$34)))</f>
        <v>183.3</v>
      </c>
      <c r="BA12" s="316" t="n">
        <f aca="false">IF(SUM(CAPA3_EXPANSION!$C$21:BA$21)&gt;0,SUP_PRODUCCION!$C$42,IF(SUM(CAPA3_EXPANSION!$C$20:BA$20)&gt;0,SUP_PRODUCCION!$C$40,IF(SUM(CAPA3_EXPANSION!$C$19:BA$19)&gt;0,SUP_PRODUCCION!$C$38,SUP_PRODUCCION!$C$34)))</f>
        <v>183.3</v>
      </c>
      <c r="BB12" s="316" t="n">
        <f aca="false">IF(SUM(CAPA3_EXPANSION!$C$21:BB$21)&gt;0,SUP_PRODUCCION!$C$42,IF(SUM(CAPA3_EXPANSION!$C$20:BB$20)&gt;0,SUP_PRODUCCION!$C$40,IF(SUM(CAPA3_EXPANSION!$C$19:BB$19)&gt;0,SUP_PRODUCCION!$C$38,SUP_PRODUCCION!$C$34)))</f>
        <v>366.6</v>
      </c>
      <c r="BC12" s="316" t="n">
        <f aca="false">IF(SUM(CAPA3_EXPANSION!$C$21:BC$21)&gt;0,SUP_PRODUCCION!$C$42,IF(SUM(CAPA3_EXPANSION!$C$20:BC$20)&gt;0,SUP_PRODUCCION!$C$40,IF(SUM(CAPA3_EXPANSION!$C$19:BC$19)&gt;0,SUP_PRODUCCION!$C$38,SUP_PRODUCCION!$C$34)))</f>
        <v>366.6</v>
      </c>
      <c r="BD12" s="316" t="n">
        <f aca="false">IF(SUM(CAPA3_EXPANSION!$C$21:BD$21)&gt;0,SUP_PRODUCCION!$C$42,IF(SUM(CAPA3_EXPANSION!$C$20:BD$20)&gt;0,SUP_PRODUCCION!$C$40,IF(SUM(CAPA3_EXPANSION!$C$19:BD$19)&gt;0,SUP_PRODUCCION!$C$38,SUP_PRODUCCION!$C$34)))</f>
        <v>366.6</v>
      </c>
      <c r="BE12" s="316" t="n">
        <f aca="false">IF(SUM(CAPA3_EXPANSION!$C$21:BE$21)&gt;0,SUP_PRODUCCION!$C$42,IF(SUM(CAPA3_EXPANSION!$C$20:BE$20)&gt;0,SUP_PRODUCCION!$C$40,IF(SUM(CAPA3_EXPANSION!$C$19:BE$19)&gt;0,SUP_PRODUCCION!$C$38,SUP_PRODUCCION!$C$34)))</f>
        <v>366.6</v>
      </c>
      <c r="BF12" s="316" t="n">
        <f aca="false">IF(SUM(CAPA3_EXPANSION!$C$21:BF$21)&gt;0,SUP_PRODUCCION!$C$42,IF(SUM(CAPA3_EXPANSION!$C$20:BF$20)&gt;0,SUP_PRODUCCION!$C$40,IF(SUM(CAPA3_EXPANSION!$C$19:BF$19)&gt;0,SUP_PRODUCCION!$C$38,SUP_PRODUCCION!$C$34)))</f>
        <v>366.6</v>
      </c>
      <c r="BG12" s="316" t="n">
        <f aca="false">IF(SUM(CAPA3_EXPANSION!$C$21:BG$21)&gt;0,SUP_PRODUCCION!$C$42,IF(SUM(CAPA3_EXPANSION!$C$20:BG$20)&gt;0,SUP_PRODUCCION!$C$40,IF(SUM(CAPA3_EXPANSION!$C$19:BG$19)&gt;0,SUP_PRODUCCION!$C$38,SUP_PRODUCCION!$C$34)))</f>
        <v>366.6</v>
      </c>
      <c r="BH12" s="316" t="n">
        <f aca="false">IF(SUM(CAPA3_EXPANSION!$C$21:BH$21)&gt;0,SUP_PRODUCCION!$C$42,IF(SUM(CAPA3_EXPANSION!$C$20:BH$20)&gt;0,SUP_PRODUCCION!$C$40,IF(SUM(CAPA3_EXPANSION!$C$19:BH$19)&gt;0,SUP_PRODUCCION!$C$38,SUP_PRODUCCION!$C$34)))</f>
        <v>366.6</v>
      </c>
      <c r="BI12" s="316" t="n">
        <f aca="false">IF(SUM(CAPA3_EXPANSION!$C$21:BI$21)&gt;0,SUP_PRODUCCION!$C$42,IF(SUM(CAPA3_EXPANSION!$C$20:BI$20)&gt;0,SUP_PRODUCCION!$C$40,IF(SUM(CAPA3_EXPANSION!$C$19:BI$19)&gt;0,SUP_PRODUCCION!$C$38,SUP_PRODUCCION!$C$34)))</f>
        <v>366.6</v>
      </c>
      <c r="BJ12" s="316" t="n">
        <f aca="false">IF(SUM(CAPA3_EXPANSION!$C$21:BJ$21)&gt;0,SUP_PRODUCCION!$C$42,IF(SUM(CAPA3_EXPANSION!$C$20:BJ$20)&gt;0,SUP_PRODUCCION!$C$40,IF(SUM(CAPA3_EXPANSION!$C$19:BJ$19)&gt;0,SUP_PRODUCCION!$C$38,SUP_PRODUCCION!$C$34)))</f>
        <v>366.6</v>
      </c>
      <c r="BK12" s="316" t="n">
        <f aca="false">IF(SUM(CAPA3_EXPANSION!$C$21:BK$21)&gt;0,SUP_PRODUCCION!$C$42,IF(SUM(CAPA3_EXPANSION!$C$20:BK$20)&gt;0,SUP_PRODUCCION!$C$40,IF(SUM(CAPA3_EXPANSION!$C$19:BK$19)&gt;0,SUP_PRODUCCION!$C$38,SUP_PRODUCCION!$C$34)))</f>
        <v>366.6</v>
      </c>
      <c r="BL12" s="316" t="n">
        <f aca="false">IF(SUM(CAPA3_EXPANSION!$C$21:BL$21)&gt;0,SUP_PRODUCCION!$C$42,IF(SUM(CAPA3_EXPANSION!$C$20:BL$20)&gt;0,SUP_PRODUCCION!$C$40,IF(SUM(CAPA3_EXPANSION!$C$19:BL$19)&gt;0,SUP_PRODUCCION!$C$38,SUP_PRODUCCION!$C$34)))</f>
        <v>366.6</v>
      </c>
      <c r="BM12" s="316" t="n">
        <f aca="false">IF(SUM(CAPA3_EXPANSION!$C$21:BM$21)&gt;0,SUP_PRODUCCION!$C$42,IF(SUM(CAPA3_EXPANSION!$C$20:BM$20)&gt;0,SUP_PRODUCCION!$C$40,IF(SUM(CAPA3_EXPANSION!$C$19:BM$19)&gt;0,SUP_PRODUCCION!$C$38,SUP_PRODUCCION!$C$34)))</f>
        <v>366.6</v>
      </c>
      <c r="BN12" s="316" t="n">
        <f aca="false">IF(SUM(CAPA3_EXPANSION!$C$21:BN$21)&gt;0,SUP_PRODUCCION!$C$42,IF(SUM(CAPA3_EXPANSION!$C$20:BN$20)&gt;0,SUP_PRODUCCION!$C$40,IF(SUM(CAPA3_EXPANSION!$C$19:BN$19)&gt;0,SUP_PRODUCCION!$C$38,SUP_PRODUCCION!$C$34)))</f>
        <v>366.6</v>
      </c>
      <c r="BO12" s="316" t="n">
        <f aca="false">IF(SUM(CAPA3_EXPANSION!$C$21:BO$21)&gt;0,SUP_PRODUCCION!$C$42,IF(SUM(CAPA3_EXPANSION!$C$20:BO$20)&gt;0,SUP_PRODUCCION!$C$40,IF(SUM(CAPA3_EXPANSION!$C$19:BO$19)&gt;0,SUP_PRODUCCION!$C$38,SUP_PRODUCCION!$C$34)))</f>
        <v>366.6</v>
      </c>
      <c r="BP12" s="316" t="n">
        <f aca="false">IF(SUM(CAPA3_EXPANSION!$C$21:BP$21)&gt;0,SUP_PRODUCCION!$C$42,IF(SUM(CAPA3_EXPANSION!$C$20:BP$20)&gt;0,SUP_PRODUCCION!$C$40,IF(SUM(CAPA3_EXPANSION!$C$19:BP$19)&gt;0,SUP_PRODUCCION!$C$38,SUP_PRODUCCION!$C$34)))</f>
        <v>366.6</v>
      </c>
      <c r="BQ12" s="316" t="n">
        <f aca="false">IF(SUM(CAPA3_EXPANSION!$C$21:BQ$21)&gt;0,SUP_PRODUCCION!$C$42,IF(SUM(CAPA3_EXPANSION!$C$20:BQ$20)&gt;0,SUP_PRODUCCION!$C$40,IF(SUM(CAPA3_EXPANSION!$C$19:BQ$19)&gt;0,SUP_PRODUCCION!$C$38,SUP_PRODUCCION!$C$34)))</f>
        <v>366.6</v>
      </c>
      <c r="BR12" s="316" t="n">
        <f aca="false">IF(SUM(CAPA3_EXPANSION!$C$21:BR$21)&gt;0,SUP_PRODUCCION!$C$42,IF(SUM(CAPA3_EXPANSION!$C$20:BR$20)&gt;0,SUP_PRODUCCION!$C$40,IF(SUM(CAPA3_EXPANSION!$C$19:BR$19)&gt;0,SUP_PRODUCCION!$C$38,SUP_PRODUCCION!$C$34)))</f>
        <v>366.6</v>
      </c>
      <c r="BS12" s="316" t="n">
        <f aca="false">IF(SUM(CAPA3_EXPANSION!$C$21:BS$21)&gt;0,SUP_PRODUCCION!$C$42,IF(SUM(CAPA3_EXPANSION!$C$20:BS$20)&gt;0,SUP_PRODUCCION!$C$40,IF(SUM(CAPA3_EXPANSION!$C$19:BS$19)&gt;0,SUP_PRODUCCION!$C$38,SUP_PRODUCCION!$C$34)))</f>
        <v>366.6</v>
      </c>
      <c r="BT12" s="316" t="n">
        <f aca="false">IF(SUM(CAPA3_EXPANSION!$C$21:BT$21)&gt;0,SUP_PRODUCCION!$C$42,IF(SUM(CAPA3_EXPANSION!$C$20:BT$20)&gt;0,SUP_PRODUCCION!$C$40,IF(SUM(CAPA3_EXPANSION!$C$19:BT$19)&gt;0,SUP_PRODUCCION!$C$38,SUP_PRODUCCION!$C$34)))</f>
        <v>366.6</v>
      </c>
      <c r="BU12" s="316" t="n">
        <f aca="false">IF(SUM(CAPA3_EXPANSION!$C$21:BU$21)&gt;0,SUP_PRODUCCION!$C$42,IF(SUM(CAPA3_EXPANSION!$C$20:BU$20)&gt;0,SUP_PRODUCCION!$C$40,IF(SUM(CAPA3_EXPANSION!$C$19:BU$19)&gt;0,SUP_PRODUCCION!$C$38,SUP_PRODUCCION!$C$34)))</f>
        <v>366.6</v>
      </c>
      <c r="BV12" s="316" t="n">
        <f aca="false">IF(SUM(CAPA3_EXPANSION!$C$21:BV$21)&gt;0,SUP_PRODUCCION!$C$42,IF(SUM(CAPA3_EXPANSION!$C$20:BV$20)&gt;0,SUP_PRODUCCION!$C$40,IF(SUM(CAPA3_EXPANSION!$C$19:BV$19)&gt;0,SUP_PRODUCCION!$C$38,SUP_PRODUCCION!$C$34)))</f>
        <v>366.6</v>
      </c>
      <c r="BW12" s="316" t="n">
        <f aca="false">IF(SUM(CAPA3_EXPANSION!$C$21:BW$21)&gt;0,SUP_PRODUCCION!$C$42,IF(SUM(CAPA3_EXPANSION!$C$20:BW$20)&gt;0,SUP_PRODUCCION!$C$40,IF(SUM(CAPA3_EXPANSION!$C$19:BW$19)&gt;0,SUP_PRODUCCION!$C$38,SUP_PRODUCCION!$C$34)))</f>
        <v>366.6</v>
      </c>
      <c r="BX12" s="316" t="n">
        <f aca="false">IF(SUM(CAPA3_EXPANSION!$C$21:BX$21)&gt;0,SUP_PRODUCCION!$C$42,IF(SUM(CAPA3_EXPANSION!$C$20:BX$20)&gt;0,SUP_PRODUCCION!$C$40,IF(SUM(CAPA3_EXPANSION!$C$19:BX$19)&gt;0,SUP_PRODUCCION!$C$38,SUP_PRODUCCION!$C$34)))</f>
        <v>366.6</v>
      </c>
      <c r="BY12" s="316" t="n">
        <f aca="false">IF(SUM(CAPA3_EXPANSION!$C$21:BY$21)&gt;0,SUP_PRODUCCION!$C$42,IF(SUM(CAPA3_EXPANSION!$C$20:BY$20)&gt;0,SUP_PRODUCCION!$C$40,IF(SUM(CAPA3_EXPANSION!$C$19:BY$19)&gt;0,SUP_PRODUCCION!$C$38,SUP_PRODUCCION!$C$34)))</f>
        <v>366.6</v>
      </c>
      <c r="BZ12" s="316" t="n">
        <f aca="false">IF(SUM(CAPA3_EXPANSION!$C$21:BZ$21)&gt;0,SUP_PRODUCCION!$C$42,IF(SUM(CAPA3_EXPANSION!$C$20:BZ$20)&gt;0,SUP_PRODUCCION!$C$40,IF(SUM(CAPA3_EXPANSION!$C$19:BZ$19)&gt;0,SUP_PRODUCCION!$C$38,SUP_PRODUCCION!$C$34)))</f>
        <v>366.6</v>
      </c>
      <c r="CA12" s="316" t="n">
        <f aca="false">IF(SUM(CAPA3_EXPANSION!$C$21:CA$21)&gt;0,SUP_PRODUCCION!$C$42,IF(SUM(CAPA3_EXPANSION!$C$20:CA$20)&gt;0,SUP_PRODUCCION!$C$40,IF(SUM(CAPA3_EXPANSION!$C$19:CA$19)&gt;0,SUP_PRODUCCION!$C$38,SUP_PRODUCCION!$C$34)))</f>
        <v>366.6</v>
      </c>
      <c r="CB12" s="316" t="n">
        <f aca="false">IF(SUM(CAPA3_EXPANSION!$C$21:CB$21)&gt;0,SUP_PRODUCCION!$C$42,IF(SUM(CAPA3_EXPANSION!$C$20:CB$20)&gt;0,SUP_PRODUCCION!$C$40,IF(SUM(CAPA3_EXPANSION!$C$19:CB$19)&gt;0,SUP_PRODUCCION!$C$38,SUP_PRODUCCION!$C$34)))</f>
        <v>366.6</v>
      </c>
      <c r="CC12" s="316" t="n">
        <f aca="false">IF(SUM(CAPA3_EXPANSION!$C$21:CC$21)&gt;0,SUP_PRODUCCION!$C$42,IF(SUM(CAPA3_EXPANSION!$C$20:CC$20)&gt;0,SUP_PRODUCCION!$C$40,IF(SUM(CAPA3_EXPANSION!$C$19:CC$19)&gt;0,SUP_PRODUCCION!$C$38,SUP_PRODUCCION!$C$34)))</f>
        <v>366.6</v>
      </c>
      <c r="CD12" s="316" t="n">
        <f aca="false">IF(SUM(CAPA3_EXPANSION!$C$21:CD$21)&gt;0,SUP_PRODUCCION!$C$42,IF(SUM(CAPA3_EXPANSION!$C$20:CD$20)&gt;0,SUP_PRODUCCION!$C$40,IF(SUM(CAPA3_EXPANSION!$C$19:CD$19)&gt;0,SUP_PRODUCCION!$C$38,SUP_PRODUCCION!$C$34)))</f>
        <v>366.6</v>
      </c>
      <c r="CE12" s="316" t="n">
        <f aca="false">IF(SUM(CAPA3_EXPANSION!$C$21:CE$21)&gt;0,SUP_PRODUCCION!$C$42,IF(SUM(CAPA3_EXPANSION!$C$20:CE$20)&gt;0,SUP_PRODUCCION!$C$40,IF(SUM(CAPA3_EXPANSION!$C$19:CE$19)&gt;0,SUP_PRODUCCION!$C$38,SUP_PRODUCCION!$C$34)))</f>
        <v>366.6</v>
      </c>
      <c r="CF12" s="316" t="n">
        <f aca="false">IF(SUM(CAPA3_EXPANSION!$C$21:CF$21)&gt;0,SUP_PRODUCCION!$C$42,IF(SUM(CAPA3_EXPANSION!$C$20:CF$20)&gt;0,SUP_PRODUCCION!$C$40,IF(SUM(CAPA3_EXPANSION!$C$19:CF$19)&gt;0,SUP_PRODUCCION!$C$38,SUP_PRODUCCION!$C$34)))</f>
        <v>366.6</v>
      </c>
      <c r="CG12" s="316" t="n">
        <f aca="false">IF(SUM(CAPA3_EXPANSION!$C$21:CG$21)&gt;0,SUP_PRODUCCION!$C$42,IF(SUM(CAPA3_EXPANSION!$C$20:CG$20)&gt;0,SUP_PRODUCCION!$C$40,IF(SUM(CAPA3_EXPANSION!$C$19:CG$19)&gt;0,SUP_PRODUCCION!$C$38,SUP_PRODUCCION!$C$34)))</f>
        <v>366.6</v>
      </c>
      <c r="CH12" s="316" t="n">
        <f aca="false">IF(SUM(CAPA3_EXPANSION!$C$21:CH$21)&gt;0,SUP_PRODUCCION!$C$42,IF(SUM(CAPA3_EXPANSION!$C$20:CH$20)&gt;0,SUP_PRODUCCION!$C$40,IF(SUM(CAPA3_EXPANSION!$C$19:CH$19)&gt;0,SUP_PRODUCCION!$C$38,SUP_PRODUCCION!$C$34)))</f>
        <v>549.9</v>
      </c>
      <c r="CI12" s="316" t="n">
        <f aca="false">IF(SUM(CAPA3_EXPANSION!$C$21:CI$21)&gt;0,SUP_PRODUCCION!$C$42,IF(SUM(CAPA3_EXPANSION!$C$20:CI$20)&gt;0,SUP_PRODUCCION!$C$40,IF(SUM(CAPA3_EXPANSION!$C$19:CI$19)&gt;0,SUP_PRODUCCION!$C$38,SUP_PRODUCCION!$C$34)))</f>
        <v>549.9</v>
      </c>
      <c r="CJ12" s="316" t="n">
        <f aca="false">IF(SUM(CAPA3_EXPANSION!$C$21:CJ$21)&gt;0,SUP_PRODUCCION!$C$42,IF(SUM(CAPA3_EXPANSION!$C$20:CJ$20)&gt;0,SUP_PRODUCCION!$C$40,IF(SUM(CAPA3_EXPANSION!$C$19:CJ$19)&gt;0,SUP_PRODUCCION!$C$38,SUP_PRODUCCION!$C$34)))</f>
        <v>549.9</v>
      </c>
      <c r="CK12" s="316" t="n">
        <f aca="false">IF(SUM(CAPA3_EXPANSION!$C$21:CK$21)&gt;0,SUP_PRODUCCION!$C$42,IF(SUM(CAPA3_EXPANSION!$C$20:CK$20)&gt;0,SUP_PRODUCCION!$C$40,IF(SUM(CAPA3_EXPANSION!$C$19:CK$19)&gt;0,SUP_PRODUCCION!$C$38,SUP_PRODUCCION!$C$34)))</f>
        <v>549.9</v>
      </c>
      <c r="CL12" s="316" t="n">
        <f aca="false">IF(SUM(CAPA3_EXPANSION!$C$21:CL$21)&gt;0,SUP_PRODUCCION!$C$42,IF(SUM(CAPA3_EXPANSION!$C$20:CL$20)&gt;0,SUP_PRODUCCION!$C$40,IF(SUM(CAPA3_EXPANSION!$C$19:CL$19)&gt;0,SUP_PRODUCCION!$C$38,SUP_PRODUCCION!$C$34)))</f>
        <v>549.9</v>
      </c>
      <c r="CM12" s="316" t="n">
        <f aca="false">IF(SUM(CAPA3_EXPANSION!$C$21:CM$21)&gt;0,SUP_PRODUCCION!$C$42,IF(SUM(CAPA3_EXPANSION!$C$20:CM$20)&gt;0,SUP_PRODUCCION!$C$40,IF(SUM(CAPA3_EXPANSION!$C$19:CM$19)&gt;0,SUP_PRODUCCION!$C$38,SUP_PRODUCCION!$C$34)))</f>
        <v>549.9</v>
      </c>
      <c r="CN12" s="316" t="n">
        <f aca="false">IF(SUM(CAPA3_EXPANSION!$C$21:CN$21)&gt;0,SUP_PRODUCCION!$C$42,IF(SUM(CAPA3_EXPANSION!$C$20:CN$20)&gt;0,SUP_PRODUCCION!$C$40,IF(SUM(CAPA3_EXPANSION!$C$19:CN$19)&gt;0,SUP_PRODUCCION!$C$38,SUP_PRODUCCION!$C$34)))</f>
        <v>549.9</v>
      </c>
      <c r="CO12" s="316" t="n">
        <f aca="false">IF(SUM(CAPA3_EXPANSION!$C$21:CO$21)&gt;0,SUP_PRODUCCION!$C$42,IF(SUM(CAPA3_EXPANSION!$C$20:CO$20)&gt;0,SUP_PRODUCCION!$C$40,IF(SUM(CAPA3_EXPANSION!$C$19:CO$19)&gt;0,SUP_PRODUCCION!$C$38,SUP_PRODUCCION!$C$34)))</f>
        <v>549.9</v>
      </c>
      <c r="CP12" s="316" t="n">
        <f aca="false">IF(SUM(CAPA3_EXPANSION!$C$21:CP$21)&gt;0,SUP_PRODUCCION!$C$42,IF(SUM(CAPA3_EXPANSION!$C$20:CP$20)&gt;0,SUP_PRODUCCION!$C$40,IF(SUM(CAPA3_EXPANSION!$C$19:CP$19)&gt;0,SUP_PRODUCCION!$C$38,SUP_PRODUCCION!$C$34)))</f>
        <v>549.9</v>
      </c>
      <c r="CQ12" s="316" t="n">
        <f aca="false">IF(SUM(CAPA3_EXPANSION!$C$21:CQ$21)&gt;0,SUP_PRODUCCION!$C$42,IF(SUM(CAPA3_EXPANSION!$C$20:CQ$20)&gt;0,SUP_PRODUCCION!$C$40,IF(SUM(CAPA3_EXPANSION!$C$19:CQ$19)&gt;0,SUP_PRODUCCION!$C$38,SUP_PRODUCCION!$C$34)))</f>
        <v>549.9</v>
      </c>
      <c r="CR12" s="316" t="n">
        <f aca="false">IF(SUM(CAPA3_EXPANSION!$C$21:CR$21)&gt;0,SUP_PRODUCCION!$C$42,IF(SUM(CAPA3_EXPANSION!$C$20:CR$20)&gt;0,SUP_PRODUCCION!$C$40,IF(SUM(CAPA3_EXPANSION!$C$19:CR$19)&gt;0,SUP_PRODUCCION!$C$38,SUP_PRODUCCION!$C$34)))</f>
        <v>549.9</v>
      </c>
      <c r="CS12" s="316" t="n">
        <f aca="false">IF(SUM(CAPA3_EXPANSION!$C$21:CS$21)&gt;0,SUP_PRODUCCION!$C$42,IF(SUM(CAPA3_EXPANSION!$C$20:CS$20)&gt;0,SUP_PRODUCCION!$C$40,IF(SUM(CAPA3_EXPANSION!$C$19:CS$19)&gt;0,SUP_PRODUCCION!$C$38,SUP_PRODUCCION!$C$34)))</f>
        <v>549.9</v>
      </c>
      <c r="CT12" s="316" t="n">
        <f aca="false">IF(SUM(CAPA3_EXPANSION!$C$21:CT$21)&gt;0,SUP_PRODUCCION!$C$42,IF(SUM(CAPA3_EXPANSION!$C$20:CT$20)&gt;0,SUP_PRODUCCION!$C$40,IF(SUM(CAPA3_EXPANSION!$C$19:CT$19)&gt;0,SUP_PRODUCCION!$C$38,SUP_PRODUCCION!$C$34)))</f>
        <v>549.9</v>
      </c>
      <c r="CU12" s="316" t="n">
        <f aca="false">IF(SUM(CAPA3_EXPANSION!$C$21:CU$21)&gt;0,SUP_PRODUCCION!$C$42,IF(SUM(CAPA3_EXPANSION!$C$20:CU$20)&gt;0,SUP_PRODUCCION!$C$40,IF(SUM(CAPA3_EXPANSION!$C$19:CU$19)&gt;0,SUP_PRODUCCION!$C$38,SUP_PRODUCCION!$C$34)))</f>
        <v>549.9</v>
      </c>
      <c r="CV12" s="316" t="n">
        <f aca="false">IF(SUM(CAPA3_EXPANSION!$C$21:CV$21)&gt;0,SUP_PRODUCCION!$C$42,IF(SUM(CAPA3_EXPANSION!$C$20:CV$20)&gt;0,SUP_PRODUCCION!$C$40,IF(SUM(CAPA3_EXPANSION!$C$19:CV$19)&gt;0,SUP_PRODUCCION!$C$38,SUP_PRODUCCION!$C$34)))</f>
        <v>549.9</v>
      </c>
      <c r="CW12" s="316" t="n">
        <f aca="false">IF(SUM(CAPA3_EXPANSION!$C$21:CW$21)&gt;0,SUP_PRODUCCION!$C$42,IF(SUM(CAPA3_EXPANSION!$C$20:CW$20)&gt;0,SUP_PRODUCCION!$C$40,IF(SUM(CAPA3_EXPANSION!$C$19:CW$19)&gt;0,SUP_PRODUCCION!$C$38,SUP_PRODUCCION!$C$34)))</f>
        <v>549.9</v>
      </c>
      <c r="CX12" s="316" t="n">
        <f aca="false">IF(SUM(CAPA3_EXPANSION!$C$21:CX$21)&gt;0,SUP_PRODUCCION!$C$42,IF(SUM(CAPA3_EXPANSION!$C$20:CX$20)&gt;0,SUP_PRODUCCION!$C$40,IF(SUM(CAPA3_EXPANSION!$C$19:CX$19)&gt;0,SUP_PRODUCCION!$C$38,SUP_PRODUCCION!$C$34)))</f>
        <v>549.9</v>
      </c>
      <c r="CY12" s="316" t="n">
        <f aca="false">IF(SUM(CAPA3_EXPANSION!$C$21:CY$21)&gt;0,SUP_PRODUCCION!$C$42,IF(SUM(CAPA3_EXPANSION!$C$20:CY$20)&gt;0,SUP_PRODUCCION!$C$40,IF(SUM(CAPA3_EXPANSION!$C$19:CY$19)&gt;0,SUP_PRODUCCION!$C$38,SUP_PRODUCCION!$C$34)))</f>
        <v>549.9</v>
      </c>
      <c r="CZ12" s="316" t="n">
        <f aca="false">IF(SUM(CAPA3_EXPANSION!$C$21:CZ$21)&gt;0,SUP_PRODUCCION!$C$42,IF(SUM(CAPA3_EXPANSION!$C$20:CZ$20)&gt;0,SUP_PRODUCCION!$C$40,IF(SUM(CAPA3_EXPANSION!$C$19:CZ$19)&gt;0,SUP_PRODUCCION!$C$38,SUP_PRODUCCION!$C$34)))</f>
        <v>549.9</v>
      </c>
      <c r="DA12" s="316" t="n">
        <f aca="false">IF(SUM(CAPA3_EXPANSION!$C$21:DA$21)&gt;0,SUP_PRODUCCION!$C$42,IF(SUM(CAPA3_EXPANSION!$C$20:DA$20)&gt;0,SUP_PRODUCCION!$C$40,IF(SUM(CAPA3_EXPANSION!$C$19:DA$19)&gt;0,SUP_PRODUCCION!$C$38,SUP_PRODUCCION!$C$34)))</f>
        <v>549.9</v>
      </c>
      <c r="DB12" s="316" t="n">
        <f aca="false">IF(SUM(CAPA3_EXPANSION!$C$21:DB$21)&gt;0,SUP_PRODUCCION!$C$42,IF(SUM(CAPA3_EXPANSION!$C$20:DB$20)&gt;0,SUP_PRODUCCION!$C$40,IF(SUM(CAPA3_EXPANSION!$C$19:DB$19)&gt;0,SUP_PRODUCCION!$C$38,SUP_PRODUCCION!$C$34)))</f>
        <v>549.9</v>
      </c>
      <c r="DC12" s="316" t="n">
        <f aca="false">IF(SUM(CAPA3_EXPANSION!$C$21:DC$21)&gt;0,SUP_PRODUCCION!$C$42,IF(SUM(CAPA3_EXPANSION!$C$20:DC$20)&gt;0,SUP_PRODUCCION!$C$40,IF(SUM(CAPA3_EXPANSION!$C$19:DC$19)&gt;0,SUP_PRODUCCION!$C$38,SUP_PRODUCCION!$C$34)))</f>
        <v>549.9</v>
      </c>
      <c r="DD12" s="316" t="n">
        <f aca="false">IF(SUM(CAPA3_EXPANSION!$C$21:DD$21)&gt;0,SUP_PRODUCCION!$C$42,IF(SUM(CAPA3_EXPANSION!$C$20:DD$20)&gt;0,SUP_PRODUCCION!$C$40,IF(SUM(CAPA3_EXPANSION!$C$19:DD$19)&gt;0,SUP_PRODUCCION!$C$38,SUP_PRODUCCION!$C$34)))</f>
        <v>549.9</v>
      </c>
      <c r="DE12" s="316" t="n">
        <f aca="false">IF(SUM(CAPA3_EXPANSION!$C$21:DE$21)&gt;0,SUP_PRODUCCION!$C$42,IF(SUM(CAPA3_EXPANSION!$C$20:DE$20)&gt;0,SUP_PRODUCCION!$C$40,IF(SUM(CAPA3_EXPANSION!$C$19:DE$19)&gt;0,SUP_PRODUCCION!$C$38,SUP_PRODUCCION!$C$34)))</f>
        <v>549.9</v>
      </c>
      <c r="DF12" s="316" t="n">
        <f aca="false">IF(SUM(CAPA3_EXPANSION!$C$21:DF$21)&gt;0,SUP_PRODUCCION!$C$42,IF(SUM(CAPA3_EXPANSION!$C$20:DF$20)&gt;0,SUP_PRODUCCION!$C$40,IF(SUM(CAPA3_EXPANSION!$C$19:DF$19)&gt;0,SUP_PRODUCCION!$C$38,SUP_PRODUCCION!$C$34)))</f>
        <v>549.9</v>
      </c>
      <c r="DG12" s="316" t="n">
        <f aca="false">IF(SUM(CAPA3_EXPANSION!$C$21:DG$21)&gt;0,SUP_PRODUCCION!$C$42,IF(SUM(CAPA3_EXPANSION!$C$20:DG$20)&gt;0,SUP_PRODUCCION!$C$40,IF(SUM(CAPA3_EXPANSION!$C$19:DG$19)&gt;0,SUP_PRODUCCION!$C$38,SUP_PRODUCCION!$C$34)))</f>
        <v>549.9</v>
      </c>
      <c r="DH12" s="316" t="n">
        <f aca="false">IF(SUM(CAPA3_EXPANSION!$C$21:DH$21)&gt;0,SUP_PRODUCCION!$C$42,IF(SUM(CAPA3_EXPANSION!$C$20:DH$20)&gt;0,SUP_PRODUCCION!$C$40,IF(SUM(CAPA3_EXPANSION!$C$19:DH$19)&gt;0,SUP_PRODUCCION!$C$38,SUP_PRODUCCION!$C$34)))</f>
        <v>549.9</v>
      </c>
      <c r="DI12" s="316" t="n">
        <f aca="false">IF(SUM(CAPA3_EXPANSION!$C$21:DI$21)&gt;0,SUP_PRODUCCION!$C$42,IF(SUM(CAPA3_EXPANSION!$C$20:DI$20)&gt;0,SUP_PRODUCCION!$C$40,IF(SUM(CAPA3_EXPANSION!$C$19:DI$19)&gt;0,SUP_PRODUCCION!$C$38,SUP_PRODUCCION!$C$34)))</f>
        <v>549.9</v>
      </c>
      <c r="DJ12" s="316" t="n">
        <f aca="false">IF(SUM(CAPA3_EXPANSION!$C$21:DJ$21)&gt;0,SUP_PRODUCCION!$C$42,IF(SUM(CAPA3_EXPANSION!$C$20:DJ$20)&gt;0,SUP_PRODUCCION!$C$40,IF(SUM(CAPA3_EXPANSION!$C$19:DJ$19)&gt;0,SUP_PRODUCCION!$C$38,SUP_PRODUCCION!$C$34)))</f>
        <v>549.9</v>
      </c>
      <c r="DK12" s="316" t="n">
        <f aca="false">IF(SUM(CAPA3_EXPANSION!$C$21:DK$21)&gt;0,SUP_PRODUCCION!$C$42,IF(SUM(CAPA3_EXPANSION!$C$20:DK$20)&gt;0,SUP_PRODUCCION!$C$40,IF(SUM(CAPA3_EXPANSION!$C$19:DK$19)&gt;0,SUP_PRODUCCION!$C$38,SUP_PRODUCCION!$C$34)))</f>
        <v>549.9</v>
      </c>
      <c r="DL12" s="316" t="n">
        <f aca="false">IF(SUM(CAPA3_EXPANSION!$C$21:DL$21)&gt;0,SUP_PRODUCCION!$C$42,IF(SUM(CAPA3_EXPANSION!$C$20:DL$20)&gt;0,SUP_PRODUCCION!$C$40,IF(SUM(CAPA3_EXPANSION!$C$19:DL$19)&gt;0,SUP_PRODUCCION!$C$38,SUP_PRODUCCION!$C$34)))</f>
        <v>549.9</v>
      </c>
      <c r="DM12" s="316" t="n">
        <f aca="false">IF(SUM(CAPA3_EXPANSION!$C$21:DM$21)&gt;0,SUP_PRODUCCION!$C$42,IF(SUM(CAPA3_EXPANSION!$C$20:DM$20)&gt;0,SUP_PRODUCCION!$C$40,IF(SUM(CAPA3_EXPANSION!$C$19:DM$19)&gt;0,SUP_PRODUCCION!$C$38,SUP_PRODUCCION!$C$34)))</f>
        <v>549.9</v>
      </c>
      <c r="DN12" s="316" t="n">
        <f aca="false">IF(SUM(CAPA3_EXPANSION!$C$21:DN$21)&gt;0,SUP_PRODUCCION!$C$42,IF(SUM(CAPA3_EXPANSION!$C$20:DN$20)&gt;0,SUP_PRODUCCION!$C$40,IF(SUM(CAPA3_EXPANSION!$C$19:DN$19)&gt;0,SUP_PRODUCCION!$C$38,SUP_PRODUCCION!$C$34)))</f>
        <v>549.9</v>
      </c>
      <c r="DO12" s="316" t="n">
        <f aca="false">IF(SUM(CAPA3_EXPANSION!$C$21:DO$21)&gt;0,SUP_PRODUCCION!$C$42,IF(SUM(CAPA3_EXPANSION!$C$20:DO$20)&gt;0,SUP_PRODUCCION!$C$40,IF(SUM(CAPA3_EXPANSION!$C$19:DO$19)&gt;0,SUP_PRODUCCION!$C$38,SUP_PRODUCCION!$C$34)))</f>
        <v>549.9</v>
      </c>
      <c r="DP12" s="316" t="n">
        <f aca="false">IF(SUM(CAPA3_EXPANSION!$C$21:DP$21)&gt;0,SUP_PRODUCCION!$C$42,IF(SUM(CAPA3_EXPANSION!$C$20:DP$20)&gt;0,SUP_PRODUCCION!$C$40,IF(SUM(CAPA3_EXPANSION!$C$19:DP$19)&gt;0,SUP_PRODUCCION!$C$38,SUP_PRODUCCION!$C$34)))</f>
        <v>549.9</v>
      </c>
      <c r="DQ12" s="316" t="n">
        <f aca="false">IF(SUM(CAPA3_EXPANSION!$C$21:DQ$21)&gt;0,SUP_PRODUCCION!$C$42,IF(SUM(CAPA3_EXPANSION!$C$20:DQ$20)&gt;0,SUP_PRODUCCION!$C$40,IF(SUM(CAPA3_EXPANSION!$C$19:DQ$19)&gt;0,SUP_PRODUCCION!$C$38,SUP_PRODUCCION!$C$34)))</f>
        <v>549.9</v>
      </c>
      <c r="DR12" s="316" t="n">
        <f aca="false">IF(SUM(CAPA3_EXPANSION!$C$21:DR$21)&gt;0,SUP_PRODUCCION!$C$42,IF(SUM(CAPA3_EXPANSION!$C$20:DR$20)&gt;0,SUP_PRODUCCION!$C$40,IF(SUM(CAPA3_EXPANSION!$C$19:DR$19)&gt;0,SUP_PRODUCCION!$C$38,SUP_PRODUCCION!$C$34)))</f>
        <v>549.9</v>
      </c>
      <c r="DS12" s="316" t="n">
        <f aca="false">IF(SUM(CAPA3_EXPANSION!$C$21:DS$21)&gt;0,SUP_PRODUCCION!$C$42,IF(SUM(CAPA3_EXPANSION!$C$20:DS$20)&gt;0,SUP_PRODUCCION!$C$40,IF(SUM(CAPA3_EXPANSION!$C$19:DS$19)&gt;0,SUP_PRODUCCION!$C$38,SUP_PRODUCCION!$C$34)))</f>
        <v>549.9</v>
      </c>
    </row>
    <row r="13" customFormat="false" ht="15" hidden="false" customHeight="true" outlineLevel="0" collapsed="false">
      <c r="B13" s="178" t="s">
        <v>3767</v>
      </c>
      <c r="D13" s="272" t="n">
        <f aca="false">D11/D12</f>
        <v>0</v>
      </c>
      <c r="E13" s="272" t="n">
        <f aca="false">E11/E12</f>
        <v>0</v>
      </c>
      <c r="F13" s="272" t="n">
        <f aca="false">F11/F12</f>
        <v>0</v>
      </c>
      <c r="G13" s="272" t="n">
        <f aca="false">G11/G12</f>
        <v>0.105859247135843</v>
      </c>
      <c r="H13" s="272" t="n">
        <f aca="false">H11/H12</f>
        <v>0.234402618657938</v>
      </c>
      <c r="I13" s="272" t="n">
        <f aca="false">I11/I12</f>
        <v>0.385630114566285</v>
      </c>
      <c r="J13" s="272" t="n">
        <f aca="false">J11/J12</f>
        <v>0.552736497545008</v>
      </c>
      <c r="K13" s="272" t="n">
        <f aca="false">K11/K12</f>
        <v>0.739124386252046</v>
      </c>
      <c r="L13" s="272" t="n">
        <f aca="false">L11/L12</f>
        <v>0.794700490998363</v>
      </c>
      <c r="M13" s="272" t="n">
        <f aca="false">M11/M12</f>
        <v>0.824189852700491</v>
      </c>
      <c r="N13" s="272" t="n">
        <f aca="false">N11/N12</f>
        <v>0.824189852700491</v>
      </c>
      <c r="O13" s="272" t="n">
        <f aca="false">O11/O12</f>
        <v>0.824189852700491</v>
      </c>
      <c r="P13" s="272" t="n">
        <f aca="false">P11/P12</f>
        <v>0.824189852700491</v>
      </c>
      <c r="Q13" s="272" t="n">
        <f aca="false">Q11/Q12</f>
        <v>0.824189852700491</v>
      </c>
      <c r="R13" s="272" t="n">
        <f aca="false">R11/R12</f>
        <v>0.824189852700491</v>
      </c>
      <c r="S13" s="272" t="n">
        <f aca="false">S11/S12</f>
        <v>0.824189852700491</v>
      </c>
      <c r="T13" s="272" t="n">
        <f aca="false">T11/T12</f>
        <v>0.824189852700491</v>
      </c>
      <c r="U13" s="272" t="n">
        <f aca="false">U11/U12</f>
        <v>0.824189852700491</v>
      </c>
      <c r="V13" s="272" t="n">
        <f aca="false">V11/V12</f>
        <v>0.873338788870704</v>
      </c>
      <c r="W13" s="272" t="n">
        <f aca="false">W11/W12</f>
        <v>0.933829787234042</v>
      </c>
      <c r="X13" s="272" t="n">
        <f aca="false">X11/X12</f>
        <v>0.952733224222586</v>
      </c>
      <c r="Y13" s="272" t="n">
        <f aca="false">Y11/Y12</f>
        <v>1.01700490998363</v>
      </c>
      <c r="Z13" s="272" t="n">
        <f aca="false">Z11/Z12</f>
        <v>1.03590834697218</v>
      </c>
      <c r="AA13" s="272" t="n">
        <f aca="false">AA11/AA12</f>
        <v>1.04346972176759</v>
      </c>
      <c r="AB13" s="272" t="n">
        <f aca="false">AB11/AB12</f>
        <v>1.05103109656301</v>
      </c>
      <c r="AC13" s="272" t="n">
        <f aca="false">AC11/AC12</f>
        <v>1.05103109656301</v>
      </c>
      <c r="AD13" s="272" t="n">
        <f aca="false">AD11/AD12</f>
        <v>0.525515548281506</v>
      </c>
      <c r="AE13" s="272" t="n">
        <f aca="false">AE11/AE12</f>
        <v>0.525515548281506</v>
      </c>
      <c r="AF13" s="272" t="n">
        <f aca="false">AF11/AF12</f>
        <v>0.525515548281506</v>
      </c>
      <c r="AG13" s="272" t="n">
        <f aca="false">AG11/AG12</f>
        <v>0.522112929623568</v>
      </c>
      <c r="AH13" s="272" t="n">
        <f aca="false">AH11/AH12</f>
        <v>0.522112929623568</v>
      </c>
      <c r="AI13" s="272" t="n">
        <f aca="false">AI11/AI12</f>
        <v>0.553101333878887</v>
      </c>
      <c r="AJ13" s="272" t="n">
        <f aca="false">AJ11/AJ12</f>
        <v>0.584089738134206</v>
      </c>
      <c r="AK13" s="272" t="n">
        <f aca="false">AK11/AK12</f>
        <v>0.594358085106383</v>
      </c>
      <c r="AL13" s="272" t="n">
        <f aca="false">AL11/AL12</f>
        <v>0.626630032733224</v>
      </c>
      <c r="AM13" s="272" t="n">
        <f aca="false">AM11/AM12</f>
        <v>0.635798199672668</v>
      </c>
      <c r="AN13" s="272" t="n">
        <f aca="false">AN11/AN12</f>
        <v>0.663302700490998</v>
      </c>
      <c r="AO13" s="272" t="n">
        <f aca="false">AO11/AO12</f>
        <v>0.672470867430442</v>
      </c>
      <c r="AP13" s="272" t="n">
        <f aca="false">AP11/AP12</f>
        <v>0.669332896890344</v>
      </c>
      <c r="AQ13" s="272" t="n">
        <f aca="false">AQ11/AQ12</f>
        <v>0.703095380523732</v>
      </c>
      <c r="AR13" s="272" t="n">
        <f aca="false">AR11/AR12</f>
        <v>0.733285114566285</v>
      </c>
      <c r="AS13" s="272" t="n">
        <f aca="false">AS11/AS12</f>
        <v>0.766511685761048</v>
      </c>
      <c r="AT13" s="272" t="n">
        <f aca="false">AT11/AT12</f>
        <v>0.803311006546645</v>
      </c>
      <c r="AU13" s="272" t="n">
        <f aca="false">AU11/AU12</f>
        <v>0.815815630114566</v>
      </c>
      <c r="AV13" s="272" t="n">
        <f aca="false">AV11/AV12</f>
        <v>0.822961129296236</v>
      </c>
      <c r="AW13" s="272" t="n">
        <f aca="false">AW11/AW12</f>
        <v>0.856723612929624</v>
      </c>
      <c r="AX13" s="272" t="n">
        <f aca="false">AX11/AX12</f>
        <v>0.863690474631751</v>
      </c>
      <c r="AY13" s="272" t="n">
        <f aca="false">AY11/AY12</f>
        <v>0.891557921440262</v>
      </c>
      <c r="AZ13" s="272" t="n">
        <f aca="false">AZ11/AZ12</f>
        <v>0.924784492635025</v>
      </c>
      <c r="BA13" s="272" t="n">
        <f aca="false">BA11/BA12</f>
        <v>0.933716366612111</v>
      </c>
      <c r="BB13" s="272" t="n">
        <f aca="false">BB11/BB12</f>
        <v>0.47043093289689</v>
      </c>
      <c r="BC13" s="272" t="n">
        <f aca="false">BC11/BC12</f>
        <v>0.472217307692308</v>
      </c>
      <c r="BD13" s="272" t="n">
        <f aca="false">BD11/BD12</f>
        <v>0.472217307692308</v>
      </c>
      <c r="BE13" s="272" t="n">
        <f aca="false">BE11/BE12</f>
        <v>0.472217307692308</v>
      </c>
      <c r="BF13" s="272" t="n">
        <f aca="false">BF11/BF12</f>
        <v>0.465175777414075</v>
      </c>
      <c r="BG13" s="272" t="n">
        <f aca="false">BG11/BG12</f>
        <v>0.465175777414075</v>
      </c>
      <c r="BH13" s="272" t="n">
        <f aca="false">BH11/BH12</f>
        <v>0.465175777414075</v>
      </c>
      <c r="BI13" s="272" t="n">
        <f aca="false">BI11/BI12</f>
        <v>0.487784288052373</v>
      </c>
      <c r="BJ13" s="272" t="n">
        <f aca="false">BJ11/BJ12</f>
        <v>0.50430589198036</v>
      </c>
      <c r="BK13" s="272" t="n">
        <f aca="false">BK11/BK12</f>
        <v>0.518152659574468</v>
      </c>
      <c r="BL13" s="272" t="n">
        <f aca="false">BL11/BL12</f>
        <v>0.537632651391162</v>
      </c>
      <c r="BM13" s="272" t="n">
        <f aca="false">BM11/BM12</f>
        <v>0.555156137479542</v>
      </c>
      <c r="BN13" s="272" t="n">
        <f aca="false">BN11/BN12</f>
        <v>0.572679623567922</v>
      </c>
      <c r="BO13" s="272" t="n">
        <f aca="false">BO11/BO12</f>
        <v>0.578634206219313</v>
      </c>
      <c r="BP13" s="272" t="n">
        <f aca="false">BP11/BP12</f>
        <v>0.596412888707038</v>
      </c>
      <c r="BQ13" s="272" t="n">
        <f aca="false">BQ11/BQ12</f>
        <v>0.603458199672668</v>
      </c>
      <c r="BR13" s="272" t="n">
        <f aca="false">BR11/BR12</f>
        <v>0.618928772504092</v>
      </c>
      <c r="BS13" s="272" t="n">
        <f aca="false">BS11/BS12</f>
        <v>0.636062847790507</v>
      </c>
      <c r="BT13" s="272" t="n">
        <f aca="false">BT11/BT12</f>
        <v>0.65594170212766</v>
      </c>
      <c r="BU13" s="272" t="n">
        <f aca="false">BU11/BU12</f>
        <v>0.673325302782324</v>
      </c>
      <c r="BV13" s="272" t="n">
        <f aca="false">BV11/BV12</f>
        <v>0.69045937806874</v>
      </c>
      <c r="BW13" s="272" t="n">
        <f aca="false">BW11/BW12</f>
        <v>0.699044373977087</v>
      </c>
      <c r="BX13" s="272" t="n">
        <f aca="false">BX11/BX12</f>
        <v>0.718584384206219</v>
      </c>
      <c r="BY13" s="272" t="n">
        <f aca="false">BY11/BY12</f>
        <v>0.72504321603928</v>
      </c>
      <c r="BZ13" s="272" t="n">
        <f aca="false">BZ11/BZ12</f>
        <v>0.750060969721768</v>
      </c>
      <c r="CA13" s="272" t="n">
        <f aca="false">CA11/CA12</f>
        <v>0.767720560556465</v>
      </c>
      <c r="CB13" s="272" t="n">
        <f aca="false">CB11/CB12</f>
        <v>0.77404848608838</v>
      </c>
      <c r="CC13" s="272" t="n">
        <f aca="false">CC11/CC12</f>
        <v>0.791723199672668</v>
      </c>
      <c r="CD13" s="272" t="n">
        <f aca="false">CD11/CD12</f>
        <v>0.810924365793781</v>
      </c>
      <c r="CE13" s="272" t="n">
        <f aca="false">CE11/CE12</f>
        <v>0.827715343698854</v>
      </c>
      <c r="CF13" s="272" t="n">
        <f aca="false">CF11/CF12</f>
        <v>0.844265302782324</v>
      </c>
      <c r="CG13" s="272" t="n">
        <f aca="false">CG11/CG12</f>
        <v>0.863433387888707</v>
      </c>
      <c r="CH13" s="272" t="n">
        <f aca="false">CH11/CH12</f>
        <v>0.589860327332242</v>
      </c>
      <c r="CI13" s="272" t="n">
        <f aca="false">CI11/CI12</f>
        <v>0.601981211129296</v>
      </c>
      <c r="CJ13" s="272" t="n">
        <f aca="false">CJ11/CJ12</f>
        <v>0.607062454991817</v>
      </c>
      <c r="CK13" s="272" t="n">
        <f aca="false">CK11/CK12</f>
        <v>0.609497217675941</v>
      </c>
      <c r="CL13" s="272" t="n">
        <f aca="false">CL11/CL12</f>
        <v>0.610555810147299</v>
      </c>
      <c r="CM13" s="272" t="n">
        <f aca="false">CM11/CM12</f>
        <v>0.610555810147299</v>
      </c>
      <c r="CN13" s="272" t="n">
        <f aca="false">CN11/CN12</f>
        <v>0.610555810147299</v>
      </c>
      <c r="CO13" s="272" t="n">
        <f aca="false">CO11/CO12</f>
        <v>0.610555810147299</v>
      </c>
      <c r="CP13" s="272" t="n">
        <f aca="false">CP11/CP12</f>
        <v>0.610555810147299</v>
      </c>
      <c r="CQ13" s="272" t="n">
        <f aca="false">CQ11/CQ12</f>
        <v>0.610555810147299</v>
      </c>
      <c r="CR13" s="272" t="n">
        <f aca="false">CR11/CR12</f>
        <v>0.610555810147299</v>
      </c>
      <c r="CS13" s="272" t="n">
        <f aca="false">CS11/CS12</f>
        <v>0.610555810147299</v>
      </c>
      <c r="CT13" s="272" t="n">
        <f aca="false">CT11/CT12</f>
        <v>0.610555810147299</v>
      </c>
      <c r="CU13" s="272" t="n">
        <f aca="false">CU11/CU12</f>
        <v>0.610555810147299</v>
      </c>
      <c r="CV13" s="272" t="n">
        <f aca="false">CV11/CV12</f>
        <v>0.610555810147299</v>
      </c>
      <c r="CW13" s="272" t="n">
        <f aca="false">CW11/CW12</f>
        <v>0.610555810147299</v>
      </c>
      <c r="CX13" s="272" t="n">
        <f aca="false">CX11/CX12</f>
        <v>0.610555810147299</v>
      </c>
      <c r="CY13" s="272" t="n">
        <f aca="false">CY11/CY12</f>
        <v>0.610555810147299</v>
      </c>
      <c r="CZ13" s="272" t="n">
        <f aca="false">CZ11/CZ12</f>
        <v>0.610555810147299</v>
      </c>
      <c r="DA13" s="272" t="n">
        <f aca="false">DA11/DA12</f>
        <v>0.610555810147299</v>
      </c>
      <c r="DB13" s="272" t="n">
        <f aca="false">DB11/DB12</f>
        <v>0.610555810147299</v>
      </c>
      <c r="DC13" s="272" t="n">
        <f aca="false">DC11/DC12</f>
        <v>0.610555810147299</v>
      </c>
      <c r="DD13" s="272" t="n">
        <f aca="false">DD11/DD12</f>
        <v>0.610555810147299</v>
      </c>
      <c r="DE13" s="272" t="n">
        <f aca="false">DE11/DE12</f>
        <v>0.610555810147299</v>
      </c>
      <c r="DF13" s="272" t="n">
        <f aca="false">DF11/DF12</f>
        <v>0.610555810147299</v>
      </c>
      <c r="DG13" s="272" t="n">
        <f aca="false">DG11/DG12</f>
        <v>0.610555810147299</v>
      </c>
      <c r="DH13" s="272" t="n">
        <f aca="false">DH11/DH12</f>
        <v>0.610555810147299</v>
      </c>
      <c r="DI13" s="272" t="n">
        <f aca="false">DI11/DI12</f>
        <v>0.610555810147299</v>
      </c>
      <c r="DJ13" s="272" t="n">
        <f aca="false">DJ11/DJ12</f>
        <v>0.610555810147299</v>
      </c>
      <c r="DK13" s="272" t="n">
        <f aca="false">DK11/DK12</f>
        <v>0.610555810147299</v>
      </c>
      <c r="DL13" s="272" t="n">
        <f aca="false">DL11/DL12</f>
        <v>0.610555810147299</v>
      </c>
      <c r="DM13" s="272" t="n">
        <f aca="false">DM11/DM12</f>
        <v>0.610555810147299</v>
      </c>
      <c r="DN13" s="272" t="n">
        <f aca="false">DN11/DN12</f>
        <v>0.610555810147299</v>
      </c>
      <c r="DO13" s="272" t="n">
        <f aca="false">DO11/DO12</f>
        <v>0.610555810147299</v>
      </c>
      <c r="DP13" s="272" t="n">
        <f aca="false">DP11/DP12</f>
        <v>0.610555810147299</v>
      </c>
      <c r="DQ13" s="272" t="n">
        <f aca="false">DQ11/DQ12</f>
        <v>0.610555810147299</v>
      </c>
      <c r="DR13" s="272" t="n">
        <f aca="false">DR11/DR12</f>
        <v>0.610555810147299</v>
      </c>
      <c r="DS13" s="272" t="n">
        <f aca="false">DS11/DS12</f>
        <v>0.610555810147299</v>
      </c>
    </row>
    <row r="14" customFormat="false" ht="15" hidden="false" customHeight="true" outlineLevel="0" collapsed="false">
      <c r="B14" s="297" t="s">
        <v>3768</v>
      </c>
      <c r="D14" s="298" t="n">
        <f aca="false">1+SUM(CAPA3_EXPANSION!$C$19:D$19)+SUM(CAPA3_EXPANSION!$C$20:D$20)+SUM(CAPA3_EXPANSION!$C$21:D$21)</f>
        <v>1</v>
      </c>
      <c r="E14" s="298" t="n">
        <f aca="false">1+SUM(CAPA3_EXPANSION!$C$19:E$19)+SUM(CAPA3_EXPANSION!$C$20:E$20)+SUM(CAPA3_EXPANSION!$C$21:E$21)</f>
        <v>1</v>
      </c>
      <c r="F14" s="298" t="n">
        <f aca="false">1+SUM(CAPA3_EXPANSION!$C$19:F$19)+SUM(CAPA3_EXPANSION!$C$20:F$20)+SUM(CAPA3_EXPANSION!$C$21:F$21)</f>
        <v>1</v>
      </c>
      <c r="G14" s="298" t="n">
        <f aca="false">1+SUM(CAPA3_EXPANSION!$C$19:G$19)+SUM(CAPA3_EXPANSION!$C$20:G$20)+SUM(CAPA3_EXPANSION!$C$21:G$21)</f>
        <v>1</v>
      </c>
      <c r="H14" s="298" t="n">
        <f aca="false">1+SUM(CAPA3_EXPANSION!$C$19:H$19)+SUM(CAPA3_EXPANSION!$C$20:H$20)+SUM(CAPA3_EXPANSION!$C$21:H$21)</f>
        <v>1</v>
      </c>
      <c r="I14" s="298" t="n">
        <f aca="false">1+SUM(CAPA3_EXPANSION!$C$19:I$19)+SUM(CAPA3_EXPANSION!$C$20:I$20)+SUM(CAPA3_EXPANSION!$C$21:I$21)</f>
        <v>1</v>
      </c>
      <c r="J14" s="298" t="n">
        <f aca="false">1+SUM(CAPA3_EXPANSION!$C$19:J$19)+SUM(CAPA3_EXPANSION!$C$20:J$20)+SUM(CAPA3_EXPANSION!$C$21:J$21)</f>
        <v>1</v>
      </c>
      <c r="K14" s="298" t="n">
        <f aca="false">1+SUM(CAPA3_EXPANSION!$C$19:K$19)+SUM(CAPA3_EXPANSION!$C$20:K$20)+SUM(CAPA3_EXPANSION!$C$21:K$21)</f>
        <v>1</v>
      </c>
      <c r="L14" s="298" t="n">
        <f aca="false">1+SUM(CAPA3_EXPANSION!$C$19:L$19)+SUM(CAPA3_EXPANSION!$C$20:L$20)+SUM(CAPA3_EXPANSION!$C$21:L$21)</f>
        <v>1</v>
      </c>
      <c r="M14" s="298" t="n">
        <f aca="false">1+SUM(CAPA3_EXPANSION!$C$19:M$19)+SUM(CAPA3_EXPANSION!$C$20:M$20)+SUM(CAPA3_EXPANSION!$C$21:M$21)</f>
        <v>1</v>
      </c>
      <c r="N14" s="298" t="n">
        <f aca="false">1+SUM(CAPA3_EXPANSION!$C$19:N$19)+SUM(CAPA3_EXPANSION!$C$20:N$20)+SUM(CAPA3_EXPANSION!$C$21:N$21)</f>
        <v>1</v>
      </c>
      <c r="O14" s="298" t="n">
        <f aca="false">1+SUM(CAPA3_EXPANSION!$C$19:O$19)+SUM(CAPA3_EXPANSION!$C$20:O$20)+SUM(CAPA3_EXPANSION!$C$21:O$21)</f>
        <v>1</v>
      </c>
      <c r="P14" s="298" t="n">
        <f aca="false">1+SUM(CAPA3_EXPANSION!$C$19:P$19)+SUM(CAPA3_EXPANSION!$C$20:P$20)+SUM(CAPA3_EXPANSION!$C$21:P$21)</f>
        <v>1</v>
      </c>
      <c r="Q14" s="298" t="n">
        <f aca="false">1+SUM(CAPA3_EXPANSION!$C$19:Q$19)+SUM(CAPA3_EXPANSION!$C$20:Q$20)+SUM(CAPA3_EXPANSION!$C$21:Q$21)</f>
        <v>1</v>
      </c>
      <c r="R14" s="298" t="n">
        <f aca="false">1+SUM(CAPA3_EXPANSION!$C$19:R$19)+SUM(CAPA3_EXPANSION!$C$20:R$20)+SUM(CAPA3_EXPANSION!$C$21:R$21)</f>
        <v>1</v>
      </c>
      <c r="S14" s="298" t="n">
        <f aca="false">1+SUM(CAPA3_EXPANSION!$C$19:S$19)+SUM(CAPA3_EXPANSION!$C$20:S$20)+SUM(CAPA3_EXPANSION!$C$21:S$21)</f>
        <v>1</v>
      </c>
      <c r="T14" s="298" t="n">
        <f aca="false">1+SUM(CAPA3_EXPANSION!$C$19:T$19)+SUM(CAPA3_EXPANSION!$C$20:T$20)+SUM(CAPA3_EXPANSION!$C$21:T$21)</f>
        <v>1</v>
      </c>
      <c r="U14" s="298" t="n">
        <f aca="false">1+SUM(CAPA3_EXPANSION!$C$19:U$19)+SUM(CAPA3_EXPANSION!$C$20:U$20)+SUM(CAPA3_EXPANSION!$C$21:U$21)</f>
        <v>1</v>
      </c>
      <c r="V14" s="298" t="n">
        <f aca="false">1+SUM(CAPA3_EXPANSION!$C$19:V$19)+SUM(CAPA3_EXPANSION!$C$20:V$20)+SUM(CAPA3_EXPANSION!$C$21:V$21)</f>
        <v>1</v>
      </c>
      <c r="W14" s="298" t="n">
        <f aca="false">1+SUM(CAPA3_EXPANSION!$C$19:W$19)+SUM(CAPA3_EXPANSION!$C$20:W$20)+SUM(CAPA3_EXPANSION!$C$21:W$21)</f>
        <v>1</v>
      </c>
      <c r="X14" s="298" t="n">
        <f aca="false">1+SUM(CAPA3_EXPANSION!$C$19:X$19)+SUM(CAPA3_EXPANSION!$C$20:X$20)+SUM(CAPA3_EXPANSION!$C$21:X$21)</f>
        <v>1</v>
      </c>
      <c r="Y14" s="298" t="n">
        <f aca="false">1+SUM(CAPA3_EXPANSION!$C$19:Y$19)+SUM(CAPA3_EXPANSION!$C$20:Y$20)+SUM(CAPA3_EXPANSION!$C$21:Y$21)</f>
        <v>1</v>
      </c>
      <c r="Z14" s="298" t="n">
        <f aca="false">1+SUM(CAPA3_EXPANSION!$C$19:Z$19)+SUM(CAPA3_EXPANSION!$C$20:Z$20)+SUM(CAPA3_EXPANSION!$C$21:Z$21)</f>
        <v>1</v>
      </c>
      <c r="AA14" s="298" t="n">
        <f aca="false">1+SUM(CAPA3_EXPANSION!$C$19:AA$19)+SUM(CAPA3_EXPANSION!$C$20:AA$20)+SUM(CAPA3_EXPANSION!$C$21:AA$21)</f>
        <v>1</v>
      </c>
      <c r="AB14" s="298" t="n">
        <f aca="false">1+SUM(CAPA3_EXPANSION!$C$19:AB$19)+SUM(CAPA3_EXPANSION!$C$20:AB$20)+SUM(CAPA3_EXPANSION!$C$21:AB$21)</f>
        <v>1</v>
      </c>
      <c r="AC14" s="298" t="n">
        <f aca="false">1+SUM(CAPA3_EXPANSION!$C$19:AC$19)+SUM(CAPA3_EXPANSION!$C$20:AC$20)+SUM(CAPA3_EXPANSION!$C$21:AC$21)</f>
        <v>1</v>
      </c>
      <c r="AD14" s="298" t="n">
        <f aca="false">1+SUM(CAPA3_EXPANSION!$C$19:AD$19)+SUM(CAPA3_EXPANSION!$C$20:AD$20)+SUM(CAPA3_EXPANSION!$C$21:AD$21)</f>
        <v>2</v>
      </c>
      <c r="AE14" s="298" t="n">
        <f aca="false">1+SUM(CAPA3_EXPANSION!$C$19:AE$19)+SUM(CAPA3_EXPANSION!$C$20:AE$20)+SUM(CAPA3_EXPANSION!$C$21:AE$21)</f>
        <v>2</v>
      </c>
      <c r="AF14" s="298" t="n">
        <f aca="false">1+SUM(CAPA3_EXPANSION!$C$19:AF$19)+SUM(CAPA3_EXPANSION!$C$20:AF$20)+SUM(CAPA3_EXPANSION!$C$21:AF$21)</f>
        <v>2</v>
      </c>
      <c r="AG14" s="298" t="n">
        <f aca="false">1+SUM(CAPA3_EXPANSION!$C$19:AG$19)+SUM(CAPA3_EXPANSION!$C$20:AG$20)+SUM(CAPA3_EXPANSION!$C$21:AG$21)</f>
        <v>2</v>
      </c>
      <c r="AH14" s="298" t="n">
        <f aca="false">1+SUM(CAPA3_EXPANSION!$C$19:AH$19)+SUM(CAPA3_EXPANSION!$C$20:AH$20)+SUM(CAPA3_EXPANSION!$C$21:AH$21)</f>
        <v>2</v>
      </c>
      <c r="AI14" s="298" t="n">
        <f aca="false">1+SUM(CAPA3_EXPANSION!$C$19:AI$19)+SUM(CAPA3_EXPANSION!$C$20:AI$20)+SUM(CAPA3_EXPANSION!$C$21:AI$21)</f>
        <v>2</v>
      </c>
      <c r="AJ14" s="298" t="n">
        <f aca="false">1+SUM(CAPA3_EXPANSION!$C$19:AJ$19)+SUM(CAPA3_EXPANSION!$C$20:AJ$20)+SUM(CAPA3_EXPANSION!$C$21:AJ$21)</f>
        <v>2</v>
      </c>
      <c r="AK14" s="298" t="n">
        <f aca="false">1+SUM(CAPA3_EXPANSION!$C$19:AK$19)+SUM(CAPA3_EXPANSION!$C$20:AK$20)+SUM(CAPA3_EXPANSION!$C$21:AK$21)</f>
        <v>2</v>
      </c>
      <c r="AL14" s="298" t="n">
        <f aca="false">1+SUM(CAPA3_EXPANSION!$C$19:AL$19)+SUM(CAPA3_EXPANSION!$C$20:AL$20)+SUM(CAPA3_EXPANSION!$C$21:AL$21)</f>
        <v>2</v>
      </c>
      <c r="AM14" s="298" t="n">
        <f aca="false">1+SUM(CAPA3_EXPANSION!$C$19:AM$19)+SUM(CAPA3_EXPANSION!$C$20:AM$20)+SUM(CAPA3_EXPANSION!$C$21:AM$21)</f>
        <v>2</v>
      </c>
      <c r="AN14" s="298" t="n">
        <f aca="false">1+SUM(CAPA3_EXPANSION!$C$19:AN$19)+SUM(CAPA3_EXPANSION!$C$20:AN$20)+SUM(CAPA3_EXPANSION!$C$21:AN$21)</f>
        <v>2</v>
      </c>
      <c r="AO14" s="298" t="n">
        <f aca="false">1+SUM(CAPA3_EXPANSION!$C$19:AO$19)+SUM(CAPA3_EXPANSION!$C$20:AO$20)+SUM(CAPA3_EXPANSION!$C$21:AO$21)</f>
        <v>2</v>
      </c>
      <c r="AP14" s="298" t="n">
        <f aca="false">1+SUM(CAPA3_EXPANSION!$C$19:AP$19)+SUM(CAPA3_EXPANSION!$C$20:AP$20)+SUM(CAPA3_EXPANSION!$C$21:AP$21)</f>
        <v>2</v>
      </c>
      <c r="AQ14" s="298" t="n">
        <f aca="false">1+SUM(CAPA3_EXPANSION!$C$19:AQ$19)+SUM(CAPA3_EXPANSION!$C$20:AQ$20)+SUM(CAPA3_EXPANSION!$C$21:AQ$21)</f>
        <v>2</v>
      </c>
      <c r="AR14" s="298" t="n">
        <f aca="false">1+SUM(CAPA3_EXPANSION!$C$19:AR$19)+SUM(CAPA3_EXPANSION!$C$20:AR$20)+SUM(CAPA3_EXPANSION!$C$21:AR$21)</f>
        <v>2</v>
      </c>
      <c r="AS14" s="298" t="n">
        <f aca="false">1+SUM(CAPA3_EXPANSION!$C$19:AS$19)+SUM(CAPA3_EXPANSION!$C$20:AS$20)+SUM(CAPA3_EXPANSION!$C$21:AS$21)</f>
        <v>2</v>
      </c>
      <c r="AT14" s="298" t="n">
        <f aca="false">1+SUM(CAPA3_EXPANSION!$C$19:AT$19)+SUM(CAPA3_EXPANSION!$C$20:AT$20)+SUM(CAPA3_EXPANSION!$C$21:AT$21)</f>
        <v>2</v>
      </c>
      <c r="AU14" s="298" t="n">
        <f aca="false">1+SUM(CAPA3_EXPANSION!$C$19:AU$19)+SUM(CAPA3_EXPANSION!$C$20:AU$20)+SUM(CAPA3_EXPANSION!$C$21:AU$21)</f>
        <v>2</v>
      </c>
      <c r="AV14" s="298" t="n">
        <f aca="false">1+SUM(CAPA3_EXPANSION!$C$19:AV$19)+SUM(CAPA3_EXPANSION!$C$20:AV$20)+SUM(CAPA3_EXPANSION!$C$21:AV$21)</f>
        <v>2</v>
      </c>
      <c r="AW14" s="298" t="n">
        <f aca="false">1+SUM(CAPA3_EXPANSION!$C$19:AW$19)+SUM(CAPA3_EXPANSION!$C$20:AW$20)+SUM(CAPA3_EXPANSION!$C$21:AW$21)</f>
        <v>2</v>
      </c>
      <c r="AX14" s="298" t="n">
        <f aca="false">1+SUM(CAPA3_EXPANSION!$C$19:AX$19)+SUM(CAPA3_EXPANSION!$C$20:AX$20)+SUM(CAPA3_EXPANSION!$C$21:AX$21)</f>
        <v>2</v>
      </c>
      <c r="AY14" s="298" t="n">
        <f aca="false">1+SUM(CAPA3_EXPANSION!$C$19:AY$19)+SUM(CAPA3_EXPANSION!$C$20:AY$20)+SUM(CAPA3_EXPANSION!$C$21:AY$21)</f>
        <v>2</v>
      </c>
      <c r="AZ14" s="298" t="n">
        <f aca="false">1+SUM(CAPA3_EXPANSION!$C$19:AZ$19)+SUM(CAPA3_EXPANSION!$C$20:AZ$20)+SUM(CAPA3_EXPANSION!$C$21:AZ$21)</f>
        <v>2</v>
      </c>
      <c r="BA14" s="298" t="n">
        <f aca="false">1+SUM(CAPA3_EXPANSION!$C$19:BA$19)+SUM(CAPA3_EXPANSION!$C$20:BA$20)+SUM(CAPA3_EXPANSION!$C$21:BA$21)</f>
        <v>2</v>
      </c>
      <c r="BB14" s="298" t="n">
        <f aca="false">1+SUM(CAPA3_EXPANSION!$C$19:BB$19)+SUM(CAPA3_EXPANSION!$C$20:BB$20)+SUM(CAPA3_EXPANSION!$C$21:BB$21)</f>
        <v>3</v>
      </c>
      <c r="BC14" s="298" t="n">
        <f aca="false">1+SUM(CAPA3_EXPANSION!$C$19:BC$19)+SUM(CAPA3_EXPANSION!$C$20:BC$20)+SUM(CAPA3_EXPANSION!$C$21:BC$21)</f>
        <v>3</v>
      </c>
      <c r="BD14" s="298" t="n">
        <f aca="false">1+SUM(CAPA3_EXPANSION!$C$19:BD$19)+SUM(CAPA3_EXPANSION!$C$20:BD$20)+SUM(CAPA3_EXPANSION!$C$21:BD$21)</f>
        <v>3</v>
      </c>
      <c r="BE14" s="298" t="n">
        <f aca="false">1+SUM(CAPA3_EXPANSION!$C$19:BE$19)+SUM(CAPA3_EXPANSION!$C$20:BE$20)+SUM(CAPA3_EXPANSION!$C$21:BE$21)</f>
        <v>3</v>
      </c>
      <c r="BF14" s="298" t="n">
        <f aca="false">1+SUM(CAPA3_EXPANSION!$C$19:BF$19)+SUM(CAPA3_EXPANSION!$C$20:BF$20)+SUM(CAPA3_EXPANSION!$C$21:BF$21)</f>
        <v>3</v>
      </c>
      <c r="BG14" s="298" t="n">
        <f aca="false">1+SUM(CAPA3_EXPANSION!$C$19:BG$19)+SUM(CAPA3_EXPANSION!$C$20:BG$20)+SUM(CAPA3_EXPANSION!$C$21:BG$21)</f>
        <v>3</v>
      </c>
      <c r="BH14" s="298" t="n">
        <f aca="false">1+SUM(CAPA3_EXPANSION!$C$19:BH$19)+SUM(CAPA3_EXPANSION!$C$20:BH$20)+SUM(CAPA3_EXPANSION!$C$21:BH$21)</f>
        <v>3</v>
      </c>
      <c r="BI14" s="298" t="n">
        <f aca="false">1+SUM(CAPA3_EXPANSION!$C$19:BI$19)+SUM(CAPA3_EXPANSION!$C$20:BI$20)+SUM(CAPA3_EXPANSION!$C$21:BI$21)</f>
        <v>3</v>
      </c>
      <c r="BJ14" s="298" t="n">
        <f aca="false">1+SUM(CAPA3_EXPANSION!$C$19:BJ$19)+SUM(CAPA3_EXPANSION!$C$20:BJ$20)+SUM(CAPA3_EXPANSION!$C$21:BJ$21)</f>
        <v>3</v>
      </c>
      <c r="BK14" s="298" t="n">
        <f aca="false">1+SUM(CAPA3_EXPANSION!$C$19:BK$19)+SUM(CAPA3_EXPANSION!$C$20:BK$20)+SUM(CAPA3_EXPANSION!$C$21:BK$21)</f>
        <v>3</v>
      </c>
      <c r="BL14" s="298" t="n">
        <f aca="false">1+SUM(CAPA3_EXPANSION!$C$19:BL$19)+SUM(CAPA3_EXPANSION!$C$20:BL$20)+SUM(CAPA3_EXPANSION!$C$21:BL$21)</f>
        <v>3</v>
      </c>
      <c r="BM14" s="298" t="n">
        <f aca="false">1+SUM(CAPA3_EXPANSION!$C$19:BM$19)+SUM(CAPA3_EXPANSION!$C$20:BM$20)+SUM(CAPA3_EXPANSION!$C$21:BM$21)</f>
        <v>3</v>
      </c>
      <c r="BN14" s="298" t="n">
        <f aca="false">1+SUM(CAPA3_EXPANSION!$C$19:BN$19)+SUM(CAPA3_EXPANSION!$C$20:BN$20)+SUM(CAPA3_EXPANSION!$C$21:BN$21)</f>
        <v>3</v>
      </c>
      <c r="BO14" s="298" t="n">
        <f aca="false">1+SUM(CAPA3_EXPANSION!$C$19:BO$19)+SUM(CAPA3_EXPANSION!$C$20:BO$20)+SUM(CAPA3_EXPANSION!$C$21:BO$21)</f>
        <v>3</v>
      </c>
      <c r="BP14" s="298" t="n">
        <f aca="false">1+SUM(CAPA3_EXPANSION!$C$19:BP$19)+SUM(CAPA3_EXPANSION!$C$20:BP$20)+SUM(CAPA3_EXPANSION!$C$21:BP$21)</f>
        <v>3</v>
      </c>
      <c r="BQ14" s="298" t="n">
        <f aca="false">1+SUM(CAPA3_EXPANSION!$C$19:BQ$19)+SUM(CAPA3_EXPANSION!$C$20:BQ$20)+SUM(CAPA3_EXPANSION!$C$21:BQ$21)</f>
        <v>3</v>
      </c>
      <c r="BR14" s="298" t="n">
        <f aca="false">1+SUM(CAPA3_EXPANSION!$C$19:BR$19)+SUM(CAPA3_EXPANSION!$C$20:BR$20)+SUM(CAPA3_EXPANSION!$C$21:BR$21)</f>
        <v>3</v>
      </c>
      <c r="BS14" s="298" t="n">
        <f aca="false">1+SUM(CAPA3_EXPANSION!$C$19:BS$19)+SUM(CAPA3_EXPANSION!$C$20:BS$20)+SUM(CAPA3_EXPANSION!$C$21:BS$21)</f>
        <v>3</v>
      </c>
      <c r="BT14" s="298" t="n">
        <f aca="false">1+SUM(CAPA3_EXPANSION!$C$19:BT$19)+SUM(CAPA3_EXPANSION!$C$20:BT$20)+SUM(CAPA3_EXPANSION!$C$21:BT$21)</f>
        <v>3</v>
      </c>
      <c r="BU14" s="298" t="n">
        <f aca="false">1+SUM(CAPA3_EXPANSION!$C$19:BU$19)+SUM(CAPA3_EXPANSION!$C$20:BU$20)+SUM(CAPA3_EXPANSION!$C$21:BU$21)</f>
        <v>3</v>
      </c>
      <c r="BV14" s="298" t="n">
        <f aca="false">1+SUM(CAPA3_EXPANSION!$C$19:BV$19)+SUM(CAPA3_EXPANSION!$C$20:BV$20)+SUM(CAPA3_EXPANSION!$C$21:BV$21)</f>
        <v>3</v>
      </c>
      <c r="BW14" s="298" t="n">
        <f aca="false">1+SUM(CAPA3_EXPANSION!$C$19:BW$19)+SUM(CAPA3_EXPANSION!$C$20:BW$20)+SUM(CAPA3_EXPANSION!$C$21:BW$21)</f>
        <v>3</v>
      </c>
      <c r="BX14" s="298" t="n">
        <f aca="false">1+SUM(CAPA3_EXPANSION!$C$19:BX$19)+SUM(CAPA3_EXPANSION!$C$20:BX$20)+SUM(CAPA3_EXPANSION!$C$21:BX$21)</f>
        <v>3</v>
      </c>
      <c r="BY14" s="298" t="n">
        <f aca="false">1+SUM(CAPA3_EXPANSION!$C$19:BY$19)+SUM(CAPA3_EXPANSION!$C$20:BY$20)+SUM(CAPA3_EXPANSION!$C$21:BY$21)</f>
        <v>3</v>
      </c>
      <c r="BZ14" s="298" t="n">
        <f aca="false">1+SUM(CAPA3_EXPANSION!$C$19:BZ$19)+SUM(CAPA3_EXPANSION!$C$20:BZ$20)+SUM(CAPA3_EXPANSION!$C$21:BZ$21)</f>
        <v>3</v>
      </c>
      <c r="CA14" s="298" t="n">
        <f aca="false">1+SUM(CAPA3_EXPANSION!$C$19:CA$19)+SUM(CAPA3_EXPANSION!$C$20:CA$20)+SUM(CAPA3_EXPANSION!$C$21:CA$21)</f>
        <v>3</v>
      </c>
      <c r="CB14" s="298" t="n">
        <f aca="false">1+SUM(CAPA3_EXPANSION!$C$19:CB$19)+SUM(CAPA3_EXPANSION!$C$20:CB$20)+SUM(CAPA3_EXPANSION!$C$21:CB$21)</f>
        <v>3</v>
      </c>
      <c r="CC14" s="298" t="n">
        <f aca="false">1+SUM(CAPA3_EXPANSION!$C$19:CC$19)+SUM(CAPA3_EXPANSION!$C$20:CC$20)+SUM(CAPA3_EXPANSION!$C$21:CC$21)</f>
        <v>3</v>
      </c>
      <c r="CD14" s="298" t="n">
        <f aca="false">1+SUM(CAPA3_EXPANSION!$C$19:CD$19)+SUM(CAPA3_EXPANSION!$C$20:CD$20)+SUM(CAPA3_EXPANSION!$C$21:CD$21)</f>
        <v>3</v>
      </c>
      <c r="CE14" s="298" t="n">
        <f aca="false">1+SUM(CAPA3_EXPANSION!$C$19:CE$19)+SUM(CAPA3_EXPANSION!$C$20:CE$20)+SUM(CAPA3_EXPANSION!$C$21:CE$21)</f>
        <v>3</v>
      </c>
      <c r="CF14" s="298" t="n">
        <f aca="false">1+SUM(CAPA3_EXPANSION!$C$19:CF$19)+SUM(CAPA3_EXPANSION!$C$20:CF$20)+SUM(CAPA3_EXPANSION!$C$21:CF$21)</f>
        <v>3</v>
      </c>
      <c r="CG14" s="298" t="n">
        <f aca="false">1+SUM(CAPA3_EXPANSION!$C$19:CG$19)+SUM(CAPA3_EXPANSION!$C$20:CG$20)+SUM(CAPA3_EXPANSION!$C$21:CG$21)</f>
        <v>3</v>
      </c>
      <c r="CH14" s="298" t="n">
        <f aca="false">1+SUM(CAPA3_EXPANSION!$C$19:CH$19)+SUM(CAPA3_EXPANSION!$C$20:CH$20)+SUM(CAPA3_EXPANSION!$C$21:CH$21)</f>
        <v>4</v>
      </c>
      <c r="CI14" s="298" t="n">
        <f aca="false">1+SUM(CAPA3_EXPANSION!$C$19:CI$19)+SUM(CAPA3_EXPANSION!$C$20:CI$20)+SUM(CAPA3_EXPANSION!$C$21:CI$21)</f>
        <v>4</v>
      </c>
      <c r="CJ14" s="298" t="n">
        <f aca="false">1+SUM(CAPA3_EXPANSION!$C$19:CJ$19)+SUM(CAPA3_EXPANSION!$C$20:CJ$20)+SUM(CAPA3_EXPANSION!$C$21:CJ$21)</f>
        <v>4</v>
      </c>
      <c r="CK14" s="298" t="n">
        <f aca="false">1+SUM(CAPA3_EXPANSION!$C$19:CK$19)+SUM(CAPA3_EXPANSION!$C$20:CK$20)+SUM(CAPA3_EXPANSION!$C$21:CK$21)</f>
        <v>4</v>
      </c>
      <c r="CL14" s="298" t="n">
        <f aca="false">1+SUM(CAPA3_EXPANSION!$C$19:CL$19)+SUM(CAPA3_EXPANSION!$C$20:CL$20)+SUM(CAPA3_EXPANSION!$C$21:CL$21)</f>
        <v>4</v>
      </c>
      <c r="CM14" s="298" t="n">
        <f aca="false">1+SUM(CAPA3_EXPANSION!$C$19:CM$19)+SUM(CAPA3_EXPANSION!$C$20:CM$20)+SUM(CAPA3_EXPANSION!$C$21:CM$21)</f>
        <v>4</v>
      </c>
      <c r="CN14" s="298" t="n">
        <f aca="false">1+SUM(CAPA3_EXPANSION!$C$19:CN$19)+SUM(CAPA3_EXPANSION!$C$20:CN$20)+SUM(CAPA3_EXPANSION!$C$21:CN$21)</f>
        <v>4</v>
      </c>
      <c r="CO14" s="298" t="n">
        <f aca="false">1+SUM(CAPA3_EXPANSION!$C$19:CO$19)+SUM(CAPA3_EXPANSION!$C$20:CO$20)+SUM(CAPA3_EXPANSION!$C$21:CO$21)</f>
        <v>4</v>
      </c>
      <c r="CP14" s="298" t="n">
        <f aca="false">1+SUM(CAPA3_EXPANSION!$C$19:CP$19)+SUM(CAPA3_EXPANSION!$C$20:CP$20)+SUM(CAPA3_EXPANSION!$C$21:CP$21)</f>
        <v>4</v>
      </c>
      <c r="CQ14" s="298" t="n">
        <f aca="false">1+SUM(CAPA3_EXPANSION!$C$19:CQ$19)+SUM(CAPA3_EXPANSION!$C$20:CQ$20)+SUM(CAPA3_EXPANSION!$C$21:CQ$21)</f>
        <v>4</v>
      </c>
      <c r="CR14" s="298" t="n">
        <f aca="false">1+SUM(CAPA3_EXPANSION!$C$19:CR$19)+SUM(CAPA3_EXPANSION!$C$20:CR$20)+SUM(CAPA3_EXPANSION!$C$21:CR$21)</f>
        <v>4</v>
      </c>
      <c r="CS14" s="298" t="n">
        <f aca="false">1+SUM(CAPA3_EXPANSION!$C$19:CS$19)+SUM(CAPA3_EXPANSION!$C$20:CS$20)+SUM(CAPA3_EXPANSION!$C$21:CS$21)</f>
        <v>4</v>
      </c>
      <c r="CT14" s="298" t="n">
        <f aca="false">1+SUM(CAPA3_EXPANSION!$C$19:CT$19)+SUM(CAPA3_EXPANSION!$C$20:CT$20)+SUM(CAPA3_EXPANSION!$C$21:CT$21)</f>
        <v>4</v>
      </c>
      <c r="CU14" s="298" t="n">
        <f aca="false">1+SUM(CAPA3_EXPANSION!$C$19:CU$19)+SUM(CAPA3_EXPANSION!$C$20:CU$20)+SUM(CAPA3_EXPANSION!$C$21:CU$21)</f>
        <v>4</v>
      </c>
      <c r="CV14" s="298" t="n">
        <f aca="false">1+SUM(CAPA3_EXPANSION!$C$19:CV$19)+SUM(CAPA3_EXPANSION!$C$20:CV$20)+SUM(CAPA3_EXPANSION!$C$21:CV$21)</f>
        <v>4</v>
      </c>
      <c r="CW14" s="298" t="n">
        <f aca="false">1+SUM(CAPA3_EXPANSION!$C$19:CW$19)+SUM(CAPA3_EXPANSION!$C$20:CW$20)+SUM(CAPA3_EXPANSION!$C$21:CW$21)</f>
        <v>4</v>
      </c>
      <c r="CX14" s="298" t="n">
        <f aca="false">1+SUM(CAPA3_EXPANSION!$C$19:CX$19)+SUM(CAPA3_EXPANSION!$C$20:CX$20)+SUM(CAPA3_EXPANSION!$C$21:CX$21)</f>
        <v>4</v>
      </c>
      <c r="CY14" s="298" t="n">
        <f aca="false">1+SUM(CAPA3_EXPANSION!$C$19:CY$19)+SUM(CAPA3_EXPANSION!$C$20:CY$20)+SUM(CAPA3_EXPANSION!$C$21:CY$21)</f>
        <v>4</v>
      </c>
      <c r="CZ14" s="298" t="n">
        <f aca="false">1+SUM(CAPA3_EXPANSION!$C$19:CZ$19)+SUM(CAPA3_EXPANSION!$C$20:CZ$20)+SUM(CAPA3_EXPANSION!$C$21:CZ$21)</f>
        <v>4</v>
      </c>
      <c r="DA14" s="298" t="n">
        <f aca="false">1+SUM(CAPA3_EXPANSION!$C$19:DA$19)+SUM(CAPA3_EXPANSION!$C$20:DA$20)+SUM(CAPA3_EXPANSION!$C$21:DA$21)</f>
        <v>4</v>
      </c>
      <c r="DB14" s="298" t="n">
        <f aca="false">1+SUM(CAPA3_EXPANSION!$C$19:DB$19)+SUM(CAPA3_EXPANSION!$C$20:DB$20)+SUM(CAPA3_EXPANSION!$C$21:DB$21)</f>
        <v>4</v>
      </c>
      <c r="DC14" s="298" t="n">
        <f aca="false">1+SUM(CAPA3_EXPANSION!$C$19:DC$19)+SUM(CAPA3_EXPANSION!$C$20:DC$20)+SUM(CAPA3_EXPANSION!$C$21:DC$21)</f>
        <v>4</v>
      </c>
      <c r="DD14" s="298" t="n">
        <f aca="false">1+SUM(CAPA3_EXPANSION!$C$19:DD$19)+SUM(CAPA3_EXPANSION!$C$20:DD$20)+SUM(CAPA3_EXPANSION!$C$21:DD$21)</f>
        <v>4</v>
      </c>
      <c r="DE14" s="298" t="n">
        <f aca="false">1+SUM(CAPA3_EXPANSION!$C$19:DE$19)+SUM(CAPA3_EXPANSION!$C$20:DE$20)+SUM(CAPA3_EXPANSION!$C$21:DE$21)</f>
        <v>4</v>
      </c>
      <c r="DF14" s="298" t="n">
        <f aca="false">1+SUM(CAPA3_EXPANSION!$C$19:DF$19)+SUM(CAPA3_EXPANSION!$C$20:DF$20)+SUM(CAPA3_EXPANSION!$C$21:DF$21)</f>
        <v>4</v>
      </c>
      <c r="DG14" s="298" t="n">
        <f aca="false">1+SUM(CAPA3_EXPANSION!$C$19:DG$19)+SUM(CAPA3_EXPANSION!$C$20:DG$20)+SUM(CAPA3_EXPANSION!$C$21:DG$21)</f>
        <v>4</v>
      </c>
      <c r="DH14" s="298" t="n">
        <f aca="false">1+SUM(CAPA3_EXPANSION!$C$19:DH$19)+SUM(CAPA3_EXPANSION!$C$20:DH$20)+SUM(CAPA3_EXPANSION!$C$21:DH$21)</f>
        <v>4</v>
      </c>
      <c r="DI14" s="298" t="n">
        <f aca="false">1+SUM(CAPA3_EXPANSION!$C$19:DI$19)+SUM(CAPA3_EXPANSION!$C$20:DI$20)+SUM(CAPA3_EXPANSION!$C$21:DI$21)</f>
        <v>4</v>
      </c>
      <c r="DJ14" s="298" t="n">
        <f aca="false">1+SUM(CAPA3_EXPANSION!$C$19:DJ$19)+SUM(CAPA3_EXPANSION!$C$20:DJ$20)+SUM(CAPA3_EXPANSION!$C$21:DJ$21)</f>
        <v>4</v>
      </c>
      <c r="DK14" s="298" t="n">
        <f aca="false">1+SUM(CAPA3_EXPANSION!$C$19:DK$19)+SUM(CAPA3_EXPANSION!$C$20:DK$20)+SUM(CAPA3_EXPANSION!$C$21:DK$21)</f>
        <v>4</v>
      </c>
      <c r="DL14" s="298" t="n">
        <f aca="false">1+SUM(CAPA3_EXPANSION!$C$19:DL$19)+SUM(CAPA3_EXPANSION!$C$20:DL$20)+SUM(CAPA3_EXPANSION!$C$21:DL$21)</f>
        <v>4</v>
      </c>
      <c r="DM14" s="298" t="n">
        <f aca="false">1+SUM(CAPA3_EXPANSION!$C$19:DM$19)+SUM(CAPA3_EXPANSION!$C$20:DM$20)+SUM(CAPA3_EXPANSION!$C$21:DM$21)</f>
        <v>4</v>
      </c>
      <c r="DN14" s="298" t="n">
        <f aca="false">1+SUM(CAPA3_EXPANSION!$C$19:DN$19)+SUM(CAPA3_EXPANSION!$C$20:DN$20)+SUM(CAPA3_EXPANSION!$C$21:DN$21)</f>
        <v>4</v>
      </c>
      <c r="DO14" s="298" t="n">
        <f aca="false">1+SUM(CAPA3_EXPANSION!$C$19:DO$19)+SUM(CAPA3_EXPANSION!$C$20:DO$20)+SUM(CAPA3_EXPANSION!$C$21:DO$21)</f>
        <v>4</v>
      </c>
      <c r="DP14" s="298" t="n">
        <f aca="false">1+SUM(CAPA3_EXPANSION!$C$19:DP$19)+SUM(CAPA3_EXPANSION!$C$20:DP$20)+SUM(CAPA3_EXPANSION!$C$21:DP$21)</f>
        <v>4</v>
      </c>
      <c r="DQ14" s="298" t="n">
        <f aca="false">1+SUM(CAPA3_EXPANSION!$C$19:DQ$19)+SUM(CAPA3_EXPANSION!$C$20:DQ$20)+SUM(CAPA3_EXPANSION!$C$21:DQ$21)</f>
        <v>4</v>
      </c>
      <c r="DR14" s="298" t="n">
        <f aca="false">1+SUM(CAPA3_EXPANSION!$C$19:DR$19)+SUM(CAPA3_EXPANSION!$C$20:DR$20)+SUM(CAPA3_EXPANSION!$C$21:DR$21)</f>
        <v>4</v>
      </c>
      <c r="DS14" s="298" t="n">
        <f aca="false">1+SUM(CAPA3_EXPANSION!$C$19:DS$19)+SUM(CAPA3_EXPANSION!$C$20:DS$20)+SUM(CAPA3_EXPANSION!$C$21:DS$21)</f>
        <v>4</v>
      </c>
    </row>
    <row r="15" customFormat="false" ht="15" hidden="false" customHeight="true" outlineLevel="0" collapsed="false">
      <c r="B15" s="297" t="s">
        <v>2405</v>
      </c>
      <c r="D15" s="297" t="str">
        <f aca="false">IF(D13&gt;1,"AMPLIAR","OK")</f>
        <v>OK</v>
      </c>
      <c r="E15" s="297" t="str">
        <f aca="false">IF(E13&gt;1,"AMPLIAR","OK")</f>
        <v>OK</v>
      </c>
      <c r="F15" s="297" t="str">
        <f aca="false">IF(F13&gt;1,"AMPLIAR","OK")</f>
        <v>OK</v>
      </c>
      <c r="G15" s="297" t="str">
        <f aca="false">IF(G13&gt;1,"AMPLIAR","OK")</f>
        <v>OK</v>
      </c>
      <c r="H15" s="297" t="str">
        <f aca="false">IF(H13&gt;1,"AMPLIAR","OK")</f>
        <v>OK</v>
      </c>
      <c r="I15" s="297" t="str">
        <f aca="false">IF(I13&gt;1,"AMPLIAR","OK")</f>
        <v>OK</v>
      </c>
      <c r="J15" s="297" t="str">
        <f aca="false">IF(J13&gt;1,"AMPLIAR","OK")</f>
        <v>OK</v>
      </c>
      <c r="K15" s="297" t="str">
        <f aca="false">IF(K13&gt;1,"AMPLIAR","OK")</f>
        <v>OK</v>
      </c>
      <c r="L15" s="297" t="str">
        <f aca="false">IF(L13&gt;1,"AMPLIAR","OK")</f>
        <v>OK</v>
      </c>
      <c r="M15" s="297" t="str">
        <f aca="false">IF(M13&gt;1,"AMPLIAR","OK")</f>
        <v>OK</v>
      </c>
      <c r="N15" s="297" t="str">
        <f aca="false">IF(N13&gt;1,"AMPLIAR","OK")</f>
        <v>OK</v>
      </c>
      <c r="O15" s="297" t="str">
        <f aca="false">IF(O13&gt;1,"AMPLIAR","OK")</f>
        <v>OK</v>
      </c>
      <c r="P15" s="297" t="str">
        <f aca="false">IF(P13&gt;1,"AMPLIAR","OK")</f>
        <v>OK</v>
      </c>
      <c r="Q15" s="297" t="str">
        <f aca="false">IF(Q13&gt;1,"AMPLIAR","OK")</f>
        <v>OK</v>
      </c>
      <c r="R15" s="297" t="str">
        <f aca="false">IF(R13&gt;1,"AMPLIAR","OK")</f>
        <v>OK</v>
      </c>
      <c r="S15" s="297" t="str">
        <f aca="false">IF(S13&gt;1,"AMPLIAR","OK")</f>
        <v>OK</v>
      </c>
      <c r="T15" s="297" t="str">
        <f aca="false">IF(T13&gt;1,"AMPLIAR","OK")</f>
        <v>OK</v>
      </c>
      <c r="U15" s="297" t="str">
        <f aca="false">IF(U13&gt;1,"AMPLIAR","OK")</f>
        <v>OK</v>
      </c>
      <c r="V15" s="297" t="str">
        <f aca="false">IF(V13&gt;1,"AMPLIAR","OK")</f>
        <v>OK</v>
      </c>
      <c r="W15" s="297" t="str">
        <f aca="false">IF(W13&gt;1,"AMPLIAR","OK")</f>
        <v>OK</v>
      </c>
      <c r="X15" s="297" t="str">
        <f aca="false">IF(X13&gt;1,"AMPLIAR","OK")</f>
        <v>OK</v>
      </c>
      <c r="Y15" s="297" t="str">
        <f aca="false">IF(Y13&gt;1,"AMPLIAR","OK")</f>
        <v>AMPLIAR</v>
      </c>
      <c r="Z15" s="297" t="str">
        <f aca="false">IF(Z13&gt;1,"AMPLIAR","OK")</f>
        <v>AMPLIAR</v>
      </c>
      <c r="AA15" s="297" t="str">
        <f aca="false">IF(AA13&gt;1,"AMPLIAR","OK")</f>
        <v>AMPLIAR</v>
      </c>
      <c r="AB15" s="297" t="str">
        <f aca="false">IF(AB13&gt;1,"AMPLIAR","OK")</f>
        <v>AMPLIAR</v>
      </c>
      <c r="AC15" s="297" t="str">
        <f aca="false">IF(AC13&gt;1,"AMPLIAR","OK")</f>
        <v>AMPLIAR</v>
      </c>
      <c r="AD15" s="297" t="str">
        <f aca="false">IF(AD13&gt;1,"AMPLIAR","OK")</f>
        <v>OK</v>
      </c>
      <c r="AE15" s="297" t="str">
        <f aca="false">IF(AE13&gt;1,"AMPLIAR","OK")</f>
        <v>OK</v>
      </c>
      <c r="AF15" s="297" t="str">
        <f aca="false">IF(AF13&gt;1,"AMPLIAR","OK")</f>
        <v>OK</v>
      </c>
      <c r="AG15" s="297" t="str">
        <f aca="false">IF(AG13&gt;1,"AMPLIAR","OK")</f>
        <v>OK</v>
      </c>
      <c r="AH15" s="297" t="str">
        <f aca="false">IF(AH13&gt;1,"AMPLIAR","OK")</f>
        <v>OK</v>
      </c>
      <c r="AI15" s="297" t="str">
        <f aca="false">IF(AI13&gt;1,"AMPLIAR","OK")</f>
        <v>OK</v>
      </c>
      <c r="AJ15" s="297" t="str">
        <f aca="false">IF(AJ13&gt;1,"AMPLIAR","OK")</f>
        <v>OK</v>
      </c>
      <c r="AK15" s="297" t="str">
        <f aca="false">IF(AK13&gt;1,"AMPLIAR","OK")</f>
        <v>OK</v>
      </c>
      <c r="AL15" s="297" t="str">
        <f aca="false">IF(AL13&gt;1,"AMPLIAR","OK")</f>
        <v>OK</v>
      </c>
      <c r="AM15" s="297" t="str">
        <f aca="false">IF(AM13&gt;1,"AMPLIAR","OK")</f>
        <v>OK</v>
      </c>
      <c r="AN15" s="297" t="str">
        <f aca="false">IF(AN13&gt;1,"AMPLIAR","OK")</f>
        <v>OK</v>
      </c>
      <c r="AO15" s="297" t="str">
        <f aca="false">IF(AO13&gt;1,"AMPLIAR","OK")</f>
        <v>OK</v>
      </c>
      <c r="AP15" s="297" t="str">
        <f aca="false">IF(AP13&gt;1,"AMPLIAR","OK")</f>
        <v>OK</v>
      </c>
      <c r="AQ15" s="297" t="str">
        <f aca="false">IF(AQ13&gt;1,"AMPLIAR","OK")</f>
        <v>OK</v>
      </c>
      <c r="AR15" s="297" t="str">
        <f aca="false">IF(AR13&gt;1,"AMPLIAR","OK")</f>
        <v>OK</v>
      </c>
      <c r="AS15" s="297" t="str">
        <f aca="false">IF(AS13&gt;1,"AMPLIAR","OK")</f>
        <v>OK</v>
      </c>
      <c r="AT15" s="297" t="str">
        <f aca="false">IF(AT13&gt;1,"AMPLIAR","OK")</f>
        <v>OK</v>
      </c>
      <c r="AU15" s="297" t="str">
        <f aca="false">IF(AU13&gt;1,"AMPLIAR","OK")</f>
        <v>OK</v>
      </c>
      <c r="AV15" s="297" t="str">
        <f aca="false">IF(AV13&gt;1,"AMPLIAR","OK")</f>
        <v>OK</v>
      </c>
      <c r="AW15" s="297" t="str">
        <f aca="false">IF(AW13&gt;1,"AMPLIAR","OK")</f>
        <v>OK</v>
      </c>
      <c r="AX15" s="297" t="str">
        <f aca="false">IF(AX13&gt;1,"AMPLIAR","OK")</f>
        <v>OK</v>
      </c>
      <c r="AY15" s="297" t="str">
        <f aca="false">IF(AY13&gt;1,"AMPLIAR","OK")</f>
        <v>OK</v>
      </c>
      <c r="AZ15" s="297" t="str">
        <f aca="false">IF(AZ13&gt;1,"AMPLIAR","OK")</f>
        <v>OK</v>
      </c>
      <c r="BA15" s="297" t="str">
        <f aca="false">IF(BA13&gt;1,"AMPLIAR","OK")</f>
        <v>OK</v>
      </c>
      <c r="BB15" s="297" t="str">
        <f aca="false">IF(BB13&gt;1,"AMPLIAR","OK")</f>
        <v>OK</v>
      </c>
      <c r="BC15" s="297" t="str">
        <f aca="false">IF(BC13&gt;1,"AMPLIAR","OK")</f>
        <v>OK</v>
      </c>
      <c r="BD15" s="297" t="str">
        <f aca="false">IF(BD13&gt;1,"AMPLIAR","OK")</f>
        <v>OK</v>
      </c>
      <c r="BE15" s="297" t="str">
        <f aca="false">IF(BE13&gt;1,"AMPLIAR","OK")</f>
        <v>OK</v>
      </c>
      <c r="BF15" s="297" t="str">
        <f aca="false">IF(BF13&gt;1,"AMPLIAR","OK")</f>
        <v>OK</v>
      </c>
      <c r="BG15" s="297" t="str">
        <f aca="false">IF(BG13&gt;1,"AMPLIAR","OK")</f>
        <v>OK</v>
      </c>
      <c r="BH15" s="297" t="str">
        <f aca="false">IF(BH13&gt;1,"AMPLIAR","OK")</f>
        <v>OK</v>
      </c>
      <c r="BI15" s="297" t="str">
        <f aca="false">IF(BI13&gt;1,"AMPLIAR","OK")</f>
        <v>OK</v>
      </c>
      <c r="BJ15" s="297" t="str">
        <f aca="false">IF(BJ13&gt;1,"AMPLIAR","OK")</f>
        <v>OK</v>
      </c>
      <c r="BK15" s="297" t="str">
        <f aca="false">IF(BK13&gt;1,"AMPLIAR","OK")</f>
        <v>OK</v>
      </c>
      <c r="BL15" s="297" t="str">
        <f aca="false">IF(BL13&gt;1,"AMPLIAR","OK")</f>
        <v>OK</v>
      </c>
      <c r="BM15" s="297" t="str">
        <f aca="false">IF(BM13&gt;1,"AMPLIAR","OK")</f>
        <v>OK</v>
      </c>
      <c r="BN15" s="297" t="str">
        <f aca="false">IF(BN13&gt;1,"AMPLIAR","OK")</f>
        <v>OK</v>
      </c>
      <c r="BO15" s="297" t="str">
        <f aca="false">IF(BO13&gt;1,"AMPLIAR","OK")</f>
        <v>OK</v>
      </c>
      <c r="BP15" s="297" t="str">
        <f aca="false">IF(BP13&gt;1,"AMPLIAR","OK")</f>
        <v>OK</v>
      </c>
      <c r="BQ15" s="297" t="str">
        <f aca="false">IF(BQ13&gt;1,"AMPLIAR","OK")</f>
        <v>OK</v>
      </c>
      <c r="BR15" s="297" t="str">
        <f aca="false">IF(BR13&gt;1,"AMPLIAR","OK")</f>
        <v>OK</v>
      </c>
      <c r="BS15" s="297" t="str">
        <f aca="false">IF(BS13&gt;1,"AMPLIAR","OK")</f>
        <v>OK</v>
      </c>
      <c r="BT15" s="297" t="str">
        <f aca="false">IF(BT13&gt;1,"AMPLIAR","OK")</f>
        <v>OK</v>
      </c>
      <c r="BU15" s="297" t="str">
        <f aca="false">IF(BU13&gt;1,"AMPLIAR","OK")</f>
        <v>OK</v>
      </c>
      <c r="BV15" s="297" t="str">
        <f aca="false">IF(BV13&gt;1,"AMPLIAR","OK")</f>
        <v>OK</v>
      </c>
      <c r="BW15" s="297" t="str">
        <f aca="false">IF(BW13&gt;1,"AMPLIAR","OK")</f>
        <v>OK</v>
      </c>
      <c r="BX15" s="297" t="str">
        <f aca="false">IF(BX13&gt;1,"AMPLIAR","OK")</f>
        <v>OK</v>
      </c>
      <c r="BY15" s="297" t="str">
        <f aca="false">IF(BY13&gt;1,"AMPLIAR","OK")</f>
        <v>OK</v>
      </c>
      <c r="BZ15" s="297" t="str">
        <f aca="false">IF(BZ13&gt;1,"AMPLIAR","OK")</f>
        <v>OK</v>
      </c>
      <c r="CA15" s="297" t="str">
        <f aca="false">IF(CA13&gt;1,"AMPLIAR","OK")</f>
        <v>OK</v>
      </c>
      <c r="CB15" s="297" t="str">
        <f aca="false">IF(CB13&gt;1,"AMPLIAR","OK")</f>
        <v>OK</v>
      </c>
      <c r="CC15" s="297" t="str">
        <f aca="false">IF(CC13&gt;1,"AMPLIAR","OK")</f>
        <v>OK</v>
      </c>
      <c r="CD15" s="297" t="str">
        <f aca="false">IF(CD13&gt;1,"AMPLIAR","OK")</f>
        <v>OK</v>
      </c>
      <c r="CE15" s="297" t="str">
        <f aca="false">IF(CE13&gt;1,"AMPLIAR","OK")</f>
        <v>OK</v>
      </c>
      <c r="CF15" s="297" t="str">
        <f aca="false">IF(CF13&gt;1,"AMPLIAR","OK")</f>
        <v>OK</v>
      </c>
      <c r="CG15" s="297" t="str">
        <f aca="false">IF(CG13&gt;1,"AMPLIAR","OK")</f>
        <v>OK</v>
      </c>
      <c r="CH15" s="297" t="str">
        <f aca="false">IF(CH13&gt;1,"AMPLIAR","OK")</f>
        <v>OK</v>
      </c>
      <c r="CI15" s="297" t="str">
        <f aca="false">IF(CI13&gt;1,"AMPLIAR","OK")</f>
        <v>OK</v>
      </c>
      <c r="CJ15" s="297" t="str">
        <f aca="false">IF(CJ13&gt;1,"AMPLIAR","OK")</f>
        <v>OK</v>
      </c>
      <c r="CK15" s="297" t="str">
        <f aca="false">IF(CK13&gt;1,"AMPLIAR","OK")</f>
        <v>OK</v>
      </c>
      <c r="CL15" s="297" t="str">
        <f aca="false">IF(CL13&gt;1,"AMPLIAR","OK")</f>
        <v>OK</v>
      </c>
      <c r="CM15" s="297" t="str">
        <f aca="false">IF(CM13&gt;1,"AMPLIAR","OK")</f>
        <v>OK</v>
      </c>
      <c r="CN15" s="297" t="str">
        <f aca="false">IF(CN13&gt;1,"AMPLIAR","OK")</f>
        <v>OK</v>
      </c>
      <c r="CO15" s="297" t="str">
        <f aca="false">IF(CO13&gt;1,"AMPLIAR","OK")</f>
        <v>OK</v>
      </c>
      <c r="CP15" s="297" t="str">
        <f aca="false">IF(CP13&gt;1,"AMPLIAR","OK")</f>
        <v>OK</v>
      </c>
      <c r="CQ15" s="297" t="str">
        <f aca="false">IF(CQ13&gt;1,"AMPLIAR","OK")</f>
        <v>OK</v>
      </c>
      <c r="CR15" s="297" t="str">
        <f aca="false">IF(CR13&gt;1,"AMPLIAR","OK")</f>
        <v>OK</v>
      </c>
      <c r="CS15" s="297" t="str">
        <f aca="false">IF(CS13&gt;1,"AMPLIAR","OK")</f>
        <v>OK</v>
      </c>
      <c r="CT15" s="297" t="str">
        <f aca="false">IF(CT13&gt;1,"AMPLIAR","OK")</f>
        <v>OK</v>
      </c>
      <c r="CU15" s="297" t="str">
        <f aca="false">IF(CU13&gt;1,"AMPLIAR","OK")</f>
        <v>OK</v>
      </c>
      <c r="CV15" s="297" t="str">
        <f aca="false">IF(CV13&gt;1,"AMPLIAR","OK")</f>
        <v>OK</v>
      </c>
      <c r="CW15" s="297" t="str">
        <f aca="false">IF(CW13&gt;1,"AMPLIAR","OK")</f>
        <v>OK</v>
      </c>
      <c r="CX15" s="297" t="str">
        <f aca="false">IF(CX13&gt;1,"AMPLIAR","OK")</f>
        <v>OK</v>
      </c>
      <c r="CY15" s="297" t="str">
        <f aca="false">IF(CY13&gt;1,"AMPLIAR","OK")</f>
        <v>OK</v>
      </c>
      <c r="CZ15" s="297" t="str">
        <f aca="false">IF(CZ13&gt;1,"AMPLIAR","OK")</f>
        <v>OK</v>
      </c>
      <c r="DA15" s="297" t="str">
        <f aca="false">IF(DA13&gt;1,"AMPLIAR","OK")</f>
        <v>OK</v>
      </c>
      <c r="DB15" s="297" t="str">
        <f aca="false">IF(DB13&gt;1,"AMPLIAR","OK")</f>
        <v>OK</v>
      </c>
      <c r="DC15" s="297" t="str">
        <f aca="false">IF(DC13&gt;1,"AMPLIAR","OK")</f>
        <v>OK</v>
      </c>
      <c r="DD15" s="297" t="str">
        <f aca="false">IF(DD13&gt;1,"AMPLIAR","OK")</f>
        <v>OK</v>
      </c>
      <c r="DE15" s="297" t="str">
        <f aca="false">IF(DE13&gt;1,"AMPLIAR","OK")</f>
        <v>OK</v>
      </c>
      <c r="DF15" s="297" t="str">
        <f aca="false">IF(DF13&gt;1,"AMPLIAR","OK")</f>
        <v>OK</v>
      </c>
      <c r="DG15" s="297" t="str">
        <f aca="false">IF(DG13&gt;1,"AMPLIAR","OK")</f>
        <v>OK</v>
      </c>
      <c r="DH15" s="297" t="str">
        <f aca="false">IF(DH13&gt;1,"AMPLIAR","OK")</f>
        <v>OK</v>
      </c>
      <c r="DI15" s="297" t="str">
        <f aca="false">IF(DI13&gt;1,"AMPLIAR","OK")</f>
        <v>OK</v>
      </c>
      <c r="DJ15" s="297" t="str">
        <f aca="false">IF(DJ13&gt;1,"AMPLIAR","OK")</f>
        <v>OK</v>
      </c>
      <c r="DK15" s="297" t="str">
        <f aca="false">IF(DK13&gt;1,"AMPLIAR","OK")</f>
        <v>OK</v>
      </c>
      <c r="DL15" s="297" t="str">
        <f aca="false">IF(DL13&gt;1,"AMPLIAR","OK")</f>
        <v>OK</v>
      </c>
      <c r="DM15" s="297" t="str">
        <f aca="false">IF(DM13&gt;1,"AMPLIAR","OK")</f>
        <v>OK</v>
      </c>
      <c r="DN15" s="297" t="str">
        <f aca="false">IF(DN13&gt;1,"AMPLIAR","OK")</f>
        <v>OK</v>
      </c>
      <c r="DO15" s="297" t="str">
        <f aca="false">IF(DO13&gt;1,"AMPLIAR","OK")</f>
        <v>OK</v>
      </c>
      <c r="DP15" s="297" t="str">
        <f aca="false">IF(DP13&gt;1,"AMPLIAR","OK")</f>
        <v>OK</v>
      </c>
      <c r="DQ15" s="297" t="str">
        <f aca="false">IF(DQ13&gt;1,"AMPLIAR","OK")</f>
        <v>OK</v>
      </c>
      <c r="DR15" s="297" t="str">
        <f aca="false">IF(DR13&gt;1,"AMPLIAR","OK")</f>
        <v>OK</v>
      </c>
      <c r="DS15" s="297" t="str">
        <f aca="false">IF(DS13&gt;1,"AMPLIAR","OK")</f>
        <v>OK</v>
      </c>
    </row>
    <row r="16" customFormat="false" ht="15" hidden="false" customHeight="true" outlineLevel="0" collapsed="false">
      <c r="B16" s="297" t="s">
        <v>3769</v>
      </c>
      <c r="D16" s="255" t="n">
        <f aca="false" t="array" ref="D16:D16">IF(IF(AND(SUP_LOGISTICA!$C$21&gt;0,SUP_CONTROL!$C$13=1),D4&gt;=SUP_LOGISTICA!$C$21,D14&gt;=SUP_PRODUCCION!$C$80),INDEX(SUP_PRODUCCION!$C$84:$C$87,MAX(D14,SUP_PRODUCCION!$C$80))*SUP_PRODUCCION!$C$82/MAX(D6+D7+D8,1)+SUP_PRODUCCION!$C$81,SUP_PRODUCCION!$C$79)</f>
        <v>0.06</v>
      </c>
      <c r="E16" s="255" t="n">
        <f aca="false" t="array" ref="E16:E16">IF(IF(AND(SUP_LOGISTICA!$C$21&gt;0,SUP_CONTROL!$C$13=1),E4&gt;=SUP_LOGISTICA!$C$21,E14&gt;=SUP_PRODUCCION!$C$80),INDEX(SUP_PRODUCCION!$C$84:$C$87,MAX(E14,SUP_PRODUCCION!$C$80))*SUP_PRODUCCION!$C$82/MAX(E6+E7+E8,1)+SUP_PRODUCCION!$C$81,SUP_PRODUCCION!$C$79)</f>
        <v>0.06</v>
      </c>
      <c r="F16" s="255" t="n">
        <f aca="false" t="array" ref="F16:F16">IF(IF(AND(SUP_LOGISTICA!$C$21&gt;0,SUP_CONTROL!$C$13=1),F4&gt;=SUP_LOGISTICA!$C$21,F14&gt;=SUP_PRODUCCION!$C$80),INDEX(SUP_PRODUCCION!$C$84:$C$87,MAX(F14,SUP_PRODUCCION!$C$80))*SUP_PRODUCCION!$C$82/MAX(F6+F7+F8,1)+SUP_PRODUCCION!$C$81,SUP_PRODUCCION!$C$79)</f>
        <v>0.06</v>
      </c>
      <c r="G16" s="255" t="n">
        <f aca="false" t="array" ref="G16:G16">IF(IF(AND(SUP_LOGISTICA!$C$21&gt;0,SUP_CONTROL!$C$13=1),G4&gt;=SUP_LOGISTICA!$C$21,G14&gt;=SUP_PRODUCCION!$C$80),INDEX(SUP_PRODUCCION!$C$84:$C$87,MAX(G14,SUP_PRODUCCION!$C$80))*SUP_PRODUCCION!$C$82/MAX(G6+G7+G8,1)+SUP_PRODUCCION!$C$81,SUP_PRODUCCION!$C$79)</f>
        <v>0.06</v>
      </c>
      <c r="H16" s="255" t="n">
        <f aca="false" t="array" ref="H16:H16">IF(IF(AND(SUP_LOGISTICA!$C$21&gt;0,SUP_CONTROL!$C$13=1),H4&gt;=SUP_LOGISTICA!$C$21,H14&gt;=SUP_PRODUCCION!$C$80),INDEX(SUP_PRODUCCION!$C$84:$C$87,MAX(H14,SUP_PRODUCCION!$C$80))*SUP_PRODUCCION!$C$82/MAX(H6+H7+H8,1)+SUP_PRODUCCION!$C$81,SUP_PRODUCCION!$C$79)</f>
        <v>0.06</v>
      </c>
      <c r="I16" s="255" t="n">
        <f aca="false" t="array" ref="I16:I16">IF(IF(AND(SUP_LOGISTICA!$C$21&gt;0,SUP_CONTROL!$C$13=1),I4&gt;=SUP_LOGISTICA!$C$21,I14&gt;=SUP_PRODUCCION!$C$80),INDEX(SUP_PRODUCCION!$C$84:$C$87,MAX(I14,SUP_PRODUCCION!$C$80))*SUP_PRODUCCION!$C$82/MAX(I6+I7+I8,1)+SUP_PRODUCCION!$C$81,SUP_PRODUCCION!$C$79)</f>
        <v>0.06</v>
      </c>
      <c r="J16" s="255" t="n">
        <f aca="false" t="array" ref="J16:J16">IF(IF(AND(SUP_LOGISTICA!$C$21&gt;0,SUP_CONTROL!$C$13=1),J4&gt;=SUP_LOGISTICA!$C$21,J14&gt;=SUP_PRODUCCION!$C$80),INDEX(SUP_PRODUCCION!$C$84:$C$87,MAX(J14,SUP_PRODUCCION!$C$80))*SUP_PRODUCCION!$C$82/MAX(J6+J7+J8,1)+SUP_PRODUCCION!$C$81,SUP_PRODUCCION!$C$79)</f>
        <v>0.06</v>
      </c>
      <c r="K16" s="255" t="n">
        <f aca="false" t="array" ref="K16:K16">IF(IF(AND(SUP_LOGISTICA!$C$21&gt;0,SUP_CONTROL!$C$13=1),K4&gt;=SUP_LOGISTICA!$C$21,K14&gt;=SUP_PRODUCCION!$C$80),INDEX(SUP_PRODUCCION!$C$84:$C$87,MAX(K14,SUP_PRODUCCION!$C$80))*SUP_PRODUCCION!$C$82/MAX(K6+K7+K8,1)+SUP_PRODUCCION!$C$81,SUP_PRODUCCION!$C$79)</f>
        <v>0.06</v>
      </c>
      <c r="L16" s="255" t="n">
        <f aca="false" t="array" ref="L16:L16">IF(IF(AND(SUP_LOGISTICA!$C$21&gt;0,SUP_CONTROL!$C$13=1),L4&gt;=SUP_LOGISTICA!$C$21,L14&gt;=SUP_PRODUCCION!$C$80),INDEX(SUP_PRODUCCION!$C$84:$C$87,MAX(L14,SUP_PRODUCCION!$C$80))*SUP_PRODUCCION!$C$82/MAX(L6+L7+L8,1)+SUP_PRODUCCION!$C$81,SUP_PRODUCCION!$C$79)</f>
        <v>0.06</v>
      </c>
      <c r="M16" s="255" t="n">
        <f aca="false" t="array" ref="M16:M16">IF(IF(AND(SUP_LOGISTICA!$C$21&gt;0,SUP_CONTROL!$C$13=1),M4&gt;=SUP_LOGISTICA!$C$21,M14&gt;=SUP_PRODUCCION!$C$80),INDEX(SUP_PRODUCCION!$C$84:$C$87,MAX(M14,SUP_PRODUCCION!$C$80))*SUP_PRODUCCION!$C$82/MAX(M6+M7+M8,1)+SUP_PRODUCCION!$C$81,SUP_PRODUCCION!$C$79)</f>
        <v>0.06</v>
      </c>
      <c r="N16" s="255" t="n">
        <f aca="false" t="array" ref="N16:N16">IF(IF(AND(SUP_LOGISTICA!$C$21&gt;0,SUP_CONTROL!$C$13=1),N4&gt;=SUP_LOGISTICA!$C$21,N14&gt;=SUP_PRODUCCION!$C$80),INDEX(SUP_PRODUCCION!$C$84:$C$87,MAX(N14,SUP_PRODUCCION!$C$80))*SUP_PRODUCCION!$C$82/MAX(N6+N7+N8,1)+SUP_PRODUCCION!$C$81,SUP_PRODUCCION!$C$79)</f>
        <v>0.06</v>
      </c>
      <c r="O16" s="255" t="n">
        <f aca="false" t="array" ref="O16:O16">IF(IF(AND(SUP_LOGISTICA!$C$21&gt;0,SUP_CONTROL!$C$13=1),O4&gt;=SUP_LOGISTICA!$C$21,O14&gt;=SUP_PRODUCCION!$C$80),INDEX(SUP_PRODUCCION!$C$84:$C$87,MAX(O14,SUP_PRODUCCION!$C$80))*SUP_PRODUCCION!$C$82/MAX(O6+O7+O8,1)+SUP_PRODUCCION!$C$81,SUP_PRODUCCION!$C$79)</f>
        <v>0.06</v>
      </c>
      <c r="P16" s="255" t="n">
        <f aca="false" t="array" ref="P16:P16">IF(IF(AND(SUP_LOGISTICA!$C$21&gt;0,SUP_CONTROL!$C$13=1),P4&gt;=SUP_LOGISTICA!$C$21,P14&gt;=SUP_PRODUCCION!$C$80),INDEX(SUP_PRODUCCION!$C$84:$C$87,MAX(P14,SUP_PRODUCCION!$C$80))*SUP_PRODUCCION!$C$82/MAX(P6+P7+P8,1)+SUP_PRODUCCION!$C$81,SUP_PRODUCCION!$C$79)</f>
        <v>0.06</v>
      </c>
      <c r="Q16" s="255" t="n">
        <f aca="false" t="array" ref="Q16:Q16">IF(IF(AND(SUP_LOGISTICA!$C$21&gt;0,SUP_CONTROL!$C$13=1),Q4&gt;=SUP_LOGISTICA!$C$21,Q14&gt;=SUP_PRODUCCION!$C$80),INDEX(SUP_PRODUCCION!$C$84:$C$87,MAX(Q14,SUP_PRODUCCION!$C$80))*SUP_PRODUCCION!$C$82/MAX(Q6+Q7+Q8,1)+SUP_PRODUCCION!$C$81,SUP_PRODUCCION!$C$79)</f>
        <v>0.06</v>
      </c>
      <c r="R16" s="255" t="n">
        <f aca="false" t="array" ref="R16:R16">IF(IF(AND(SUP_LOGISTICA!$C$21&gt;0,SUP_CONTROL!$C$13=1),R4&gt;=SUP_LOGISTICA!$C$21,R14&gt;=SUP_PRODUCCION!$C$80),INDEX(SUP_PRODUCCION!$C$84:$C$87,MAX(R14,SUP_PRODUCCION!$C$80))*SUP_PRODUCCION!$C$82/MAX(R6+R7+R8,1)+SUP_PRODUCCION!$C$81,SUP_PRODUCCION!$C$79)</f>
        <v>0.06</v>
      </c>
      <c r="S16" s="255" t="n">
        <f aca="false" t="array" ref="S16:S16">IF(IF(AND(SUP_LOGISTICA!$C$21&gt;0,SUP_CONTROL!$C$13=1),S4&gt;=SUP_LOGISTICA!$C$21,S14&gt;=SUP_PRODUCCION!$C$80),INDEX(SUP_PRODUCCION!$C$84:$C$87,MAX(S14,SUP_PRODUCCION!$C$80))*SUP_PRODUCCION!$C$82/MAX(S6+S7+S8,1)+SUP_PRODUCCION!$C$81,SUP_PRODUCCION!$C$79)</f>
        <v>0.06</v>
      </c>
      <c r="T16" s="255" t="n">
        <f aca="false" t="array" ref="T16:T16">IF(IF(AND(SUP_LOGISTICA!$C$21&gt;0,SUP_CONTROL!$C$13=1),T4&gt;=SUP_LOGISTICA!$C$21,T14&gt;=SUP_PRODUCCION!$C$80),INDEX(SUP_PRODUCCION!$C$84:$C$87,MAX(T14,SUP_PRODUCCION!$C$80))*SUP_PRODUCCION!$C$82/MAX(T6+T7+T8,1)+SUP_PRODUCCION!$C$81,SUP_PRODUCCION!$C$79)</f>
        <v>0.06</v>
      </c>
      <c r="U16" s="255" t="n">
        <f aca="false" t="array" ref="U16:U16">IF(IF(AND(SUP_LOGISTICA!$C$21&gt;0,SUP_CONTROL!$C$13=1),U4&gt;=SUP_LOGISTICA!$C$21,U14&gt;=SUP_PRODUCCION!$C$80),INDEX(SUP_PRODUCCION!$C$84:$C$87,MAX(U14,SUP_PRODUCCION!$C$80))*SUP_PRODUCCION!$C$82/MAX(U6+U7+U8,1)+SUP_PRODUCCION!$C$81,SUP_PRODUCCION!$C$79)</f>
        <v>0.06</v>
      </c>
      <c r="V16" s="255" t="n">
        <f aca="false" t="array" ref="V16:V16">IF(IF(AND(SUP_LOGISTICA!$C$21&gt;0,SUP_CONTROL!$C$13=1),V4&gt;=SUP_LOGISTICA!$C$21,V14&gt;=SUP_PRODUCCION!$C$80),INDEX(SUP_PRODUCCION!$C$84:$C$87,MAX(V14,SUP_PRODUCCION!$C$80))*SUP_PRODUCCION!$C$82/MAX(V6+V7+V8,1)+SUP_PRODUCCION!$C$81,SUP_PRODUCCION!$C$79)</f>
        <v>0.06</v>
      </c>
      <c r="W16" s="255" t="n">
        <f aca="false" t="array" ref="W16:W16">IF(IF(AND(SUP_LOGISTICA!$C$21&gt;0,SUP_CONTROL!$C$13=1),W4&gt;=SUP_LOGISTICA!$C$21,W14&gt;=SUP_PRODUCCION!$C$80),INDEX(SUP_PRODUCCION!$C$84:$C$87,MAX(W14,SUP_PRODUCCION!$C$80))*SUP_PRODUCCION!$C$82/MAX(W6+W7+W8,1)+SUP_PRODUCCION!$C$81,SUP_PRODUCCION!$C$79)</f>
        <v>0.06</v>
      </c>
      <c r="X16" s="255" t="n">
        <f aca="false" t="array" ref="X16:X16">IF(IF(AND(SUP_LOGISTICA!$C$21&gt;0,SUP_CONTROL!$C$13=1),X4&gt;=SUP_LOGISTICA!$C$21,X14&gt;=SUP_PRODUCCION!$C$80),INDEX(SUP_PRODUCCION!$C$84:$C$87,MAX(X14,SUP_PRODUCCION!$C$80))*SUP_PRODUCCION!$C$82/MAX(X6+X7+X8,1)+SUP_PRODUCCION!$C$81,SUP_PRODUCCION!$C$79)</f>
        <v>0.06</v>
      </c>
      <c r="Y16" s="255" t="n">
        <f aca="false" t="array" ref="Y16:Y16">IF(IF(AND(SUP_LOGISTICA!$C$21&gt;0,SUP_CONTROL!$C$13=1),Y4&gt;=SUP_LOGISTICA!$C$21,Y14&gt;=SUP_PRODUCCION!$C$80),INDEX(SUP_PRODUCCION!$C$84:$C$87,MAX(Y14,SUP_PRODUCCION!$C$80))*SUP_PRODUCCION!$C$82/MAX(Y6+Y7+Y8,1)+SUP_PRODUCCION!$C$81,SUP_PRODUCCION!$C$79)</f>
        <v>0.06</v>
      </c>
      <c r="Z16" s="255" t="n">
        <f aca="false" t="array" ref="Z16:Z16">IF(IF(AND(SUP_LOGISTICA!$C$21&gt;0,SUP_CONTROL!$C$13=1),Z4&gt;=SUP_LOGISTICA!$C$21,Z14&gt;=SUP_PRODUCCION!$C$80),INDEX(SUP_PRODUCCION!$C$84:$C$87,MAX(Z14,SUP_PRODUCCION!$C$80))*SUP_PRODUCCION!$C$82/MAX(Z6+Z7+Z8,1)+SUP_PRODUCCION!$C$81,SUP_PRODUCCION!$C$79)</f>
        <v>0.06</v>
      </c>
      <c r="AA16" s="255" t="n">
        <f aca="false" t="array" ref="AA16:AA16">IF(IF(AND(SUP_LOGISTICA!$C$21&gt;0,SUP_CONTROL!$C$13=1),AA4&gt;=SUP_LOGISTICA!$C$21,AA14&gt;=SUP_PRODUCCION!$C$80),INDEX(SUP_PRODUCCION!$C$84:$C$87,MAX(AA14,SUP_PRODUCCION!$C$80))*SUP_PRODUCCION!$C$82/MAX(AA6+AA7+AA8,1)+SUP_PRODUCCION!$C$81,SUP_PRODUCCION!$C$79)</f>
        <v>0.06</v>
      </c>
      <c r="AB16" s="255" t="n">
        <f aca="false" t="array" ref="AB16:AB16">IF(IF(AND(SUP_LOGISTICA!$C$21&gt;0,SUP_CONTROL!$C$13=1),AB4&gt;=SUP_LOGISTICA!$C$21,AB14&gt;=SUP_PRODUCCION!$C$80),INDEX(SUP_PRODUCCION!$C$84:$C$87,MAX(AB14,SUP_PRODUCCION!$C$80))*SUP_PRODUCCION!$C$82/MAX(AB6+AB7+AB8,1)+SUP_PRODUCCION!$C$81,SUP_PRODUCCION!$C$79)</f>
        <v>0.06</v>
      </c>
      <c r="AC16" s="255" t="n">
        <f aca="false" t="array" ref="AC16:AC16">IF(IF(AND(SUP_LOGISTICA!$C$21&gt;0,SUP_CONTROL!$C$13=1),AC4&gt;=SUP_LOGISTICA!$C$21,AC14&gt;=SUP_PRODUCCION!$C$80),INDEX(SUP_PRODUCCION!$C$84:$C$87,MAX(AC14,SUP_PRODUCCION!$C$80))*SUP_PRODUCCION!$C$82/MAX(AC6+AC7+AC8,1)+SUP_PRODUCCION!$C$81,SUP_PRODUCCION!$C$79)</f>
        <v>0.06</v>
      </c>
      <c r="AD16" s="255" t="n">
        <f aca="false" t="array" ref="AD16:AD16">IF(IF(AND(SUP_LOGISTICA!$C$21&gt;0,SUP_CONTROL!$C$13=1),AD4&gt;=SUP_LOGISTICA!$C$21,AD14&gt;=SUP_PRODUCCION!$C$80),INDEX(SUP_PRODUCCION!$C$84:$C$87,MAX(AD14,SUP_PRODUCCION!$C$80))*SUP_PRODUCCION!$C$82/MAX(AD6+AD7+AD8,1)+SUP_PRODUCCION!$C$81,SUP_PRODUCCION!$C$79)</f>
        <v>0.0785166152792052</v>
      </c>
      <c r="AE16" s="255" t="n">
        <f aca="false" t="array" ref="AE16:AE16">IF(IF(AND(SUP_LOGISTICA!$C$21&gt;0,SUP_CONTROL!$C$13=1),AE4&gt;=SUP_LOGISTICA!$C$21,AE14&gt;=SUP_PRODUCCION!$C$80),INDEX(SUP_PRODUCCION!$C$84:$C$87,MAX(AE14,SUP_PRODUCCION!$C$80))*SUP_PRODUCCION!$C$82/MAX(AE6+AE7+AE8,1)+SUP_PRODUCCION!$C$81,SUP_PRODUCCION!$C$79)</f>
        <v>0.0785166152792052</v>
      </c>
      <c r="AF16" s="255" t="n">
        <f aca="false" t="array" ref="AF16:AF16">IF(IF(AND(SUP_LOGISTICA!$C$21&gt;0,SUP_CONTROL!$C$13=1),AF4&gt;=SUP_LOGISTICA!$C$21,AF14&gt;=SUP_PRODUCCION!$C$80),INDEX(SUP_PRODUCCION!$C$84:$C$87,MAX(AF14,SUP_PRODUCCION!$C$80))*SUP_PRODUCCION!$C$82/MAX(AF6+AF7+AF8,1)+SUP_PRODUCCION!$C$81,SUP_PRODUCCION!$C$79)</f>
        <v>0.0785166152792052</v>
      </c>
      <c r="AG16" s="255" t="n">
        <f aca="false" t="array" ref="AG16:AG16">IF(IF(AND(SUP_LOGISTICA!$C$21&gt;0,SUP_CONTROL!$C$13=1),AG4&gt;=SUP_LOGISTICA!$C$21,AG14&gt;=SUP_PRODUCCION!$C$80),INDEX(SUP_PRODUCCION!$C$84:$C$87,MAX(AG14,SUP_PRODUCCION!$C$80))*SUP_PRODUCCION!$C$82/MAX(AG6+AG7+AG8,1)+SUP_PRODUCCION!$C$81,SUP_PRODUCCION!$C$79)</f>
        <v>0.0789631392020965</v>
      </c>
      <c r="AH16" s="255" t="n">
        <f aca="false" t="array" ref="AH16:AH16">IF(IF(AND(SUP_LOGISTICA!$C$21&gt;0,SUP_CONTROL!$C$13=1),AH4&gt;=SUP_LOGISTICA!$C$21,AH14&gt;=SUP_PRODUCCION!$C$80),INDEX(SUP_PRODUCCION!$C$84:$C$87,MAX(AH14,SUP_PRODUCCION!$C$80))*SUP_PRODUCCION!$C$82/MAX(AH6+AH7+AH8,1)+SUP_PRODUCCION!$C$81,SUP_PRODUCCION!$C$79)</f>
        <v>0.0789631392020965</v>
      </c>
      <c r="AI16" s="255" t="n">
        <f aca="false" t="array" ref="AI16:AI16">IF(IF(AND(SUP_LOGISTICA!$C$21&gt;0,SUP_CONTROL!$C$13=1),AI4&gt;=SUP_LOGISTICA!$C$21,AI14&gt;=SUP_PRODUCCION!$C$80),INDEX(SUP_PRODUCCION!$C$84:$C$87,MAX(AI14,SUP_PRODUCCION!$C$80))*SUP_PRODUCCION!$C$82/MAX(AI6+AI7+AI8,1)+SUP_PRODUCCION!$C$81,SUP_PRODUCCION!$C$79)</f>
        <v>0.0750993668598328</v>
      </c>
      <c r="AJ16" s="255" t="n">
        <f aca="false" t="array" ref="AJ16:AJ16">IF(IF(AND(SUP_LOGISTICA!$C$21&gt;0,SUP_CONTROL!$C$13=1),AJ4&gt;=SUP_LOGISTICA!$C$21,AJ14&gt;=SUP_PRODUCCION!$C$80),INDEX(SUP_PRODUCCION!$C$84:$C$87,MAX(AJ14,SUP_PRODUCCION!$C$80))*SUP_PRODUCCION!$C$82/MAX(AJ6+AJ7+AJ8,1)+SUP_PRODUCCION!$C$81,SUP_PRODUCCION!$C$79)</f>
        <v>0.0716455730926937</v>
      </c>
      <c r="AK16" s="255" t="n">
        <f aca="false" t="array" ref="AK16:AK16">IF(IF(AND(SUP_LOGISTICA!$C$21&gt;0,SUP_CONTROL!$C$13=1),AK4&gt;=SUP_LOGISTICA!$C$21,AK14&gt;=SUP_PRODUCCION!$C$80),INDEX(SUP_PRODUCCION!$C$84:$C$87,MAX(AK14,SUP_PRODUCCION!$C$80))*SUP_PRODUCCION!$C$82/MAX(AK6+AK7+AK8,1)+SUP_PRODUCCION!$C$81,SUP_PRODUCCION!$C$79)</f>
        <v>0.07058056169691</v>
      </c>
      <c r="AL16" s="255" t="n">
        <f aca="false" t="array" ref="AL16:AL16">IF(IF(AND(SUP_LOGISTICA!$C$21&gt;0,SUP_CONTROL!$C$13=1),AL4&gt;=SUP_LOGISTICA!$C$21,AL14&gt;=SUP_PRODUCCION!$C$80),INDEX(SUP_PRODUCCION!$C$84:$C$87,MAX(AL14,SUP_PRODUCCION!$C$80))*SUP_PRODUCCION!$C$82/MAX(AL6+AL7+AL8,1)+SUP_PRODUCCION!$C$81,SUP_PRODUCCION!$C$79)</f>
        <v>0.0674606143401582</v>
      </c>
      <c r="AM16" s="255" t="n">
        <f aca="false" t="array" ref="AM16:AM16">IF(IF(AND(SUP_LOGISTICA!$C$21&gt;0,SUP_CONTROL!$C$13=1),AM4&gt;=SUP_LOGISTICA!$C$21,AM14&gt;=SUP_PRODUCCION!$C$80),INDEX(SUP_PRODUCCION!$C$84:$C$87,MAX(AM14,SUP_PRODUCCION!$C$80))*SUP_PRODUCCION!$C$82/MAX(AM6+AM7+AM8,1)+SUP_PRODUCCION!$C$81,SUP_PRODUCCION!$C$79)</f>
        <v>0.0666320361765447</v>
      </c>
      <c r="AN16" s="255" t="n">
        <f aca="false" t="array" ref="AN16:AN16">IF(IF(AND(SUP_LOGISTICA!$C$21&gt;0,SUP_CONTROL!$C$13=1),AN4&gt;=SUP_LOGISTICA!$C$21,AN14&gt;=SUP_PRODUCCION!$C$80),INDEX(SUP_PRODUCCION!$C$84:$C$87,MAX(AN14,SUP_PRODUCCION!$C$80))*SUP_PRODUCCION!$C$82/MAX(AN6+AN7+AN8,1)+SUP_PRODUCCION!$C$81,SUP_PRODUCCION!$C$79)</f>
        <v>0.0642837329294624</v>
      </c>
      <c r="AO16" s="255" t="n">
        <f aca="false" t="array" ref="AO16:AO16">IF(IF(AND(SUP_LOGISTICA!$C$21&gt;0,SUP_CONTROL!$C$13=1),AO4&gt;=SUP_LOGISTICA!$C$21,AO14&gt;=SUP_PRODUCCION!$C$80),INDEX(SUP_PRODUCCION!$C$84:$C$87,MAX(AO14,SUP_PRODUCCION!$C$80))*SUP_PRODUCCION!$C$82/MAX(AO6+AO7+AO8,1)+SUP_PRODUCCION!$C$81,SUP_PRODUCCION!$C$79)</f>
        <v>0.0635436528015378</v>
      </c>
      <c r="AP16" s="255" t="n">
        <f aca="false" t="array" ref="AP16:AP16">IF(IF(AND(SUP_LOGISTICA!$C$21&gt;0,SUP_CONTROL!$C$13=1),AP4&gt;=SUP_LOGISTICA!$C$21,AP14&gt;=SUP_PRODUCCION!$C$80),INDEX(SUP_PRODUCCION!$C$84:$C$87,MAX(AP14,SUP_PRODUCCION!$C$80))*SUP_PRODUCCION!$C$82/MAX(AP6+AP7+AP8,1)+SUP_PRODUCCION!$C$81,SUP_PRODUCCION!$C$79)</f>
        <v>0.0637946764788157</v>
      </c>
      <c r="AQ16" s="255" t="n">
        <f aca="false" t="array" ref="AQ16:AQ16">IF(IF(AND(SUP_LOGISTICA!$C$21&gt;0,SUP_CONTROL!$C$13=1),AQ4&gt;=SUP_LOGISTICA!$C$21,AQ14&gt;=SUP_PRODUCCION!$C$80),INDEX(SUP_PRODUCCION!$C$84:$C$87,MAX(AQ14,SUP_PRODUCCION!$C$80))*SUP_PRODUCCION!$C$82/MAX(AQ6+AQ7+AQ8,1)+SUP_PRODUCCION!$C$81,SUP_PRODUCCION!$C$79)</f>
        <v>0.0612114680913185</v>
      </c>
      <c r="AR16" s="255" t="n">
        <f aca="false" t="array" ref="AR16:AR16">IF(IF(AND(SUP_LOGISTICA!$C$21&gt;0,SUP_CONTROL!$C$13=1),AR4&gt;=SUP_LOGISTICA!$C$21,AR14&gt;=SUP_PRODUCCION!$C$80),INDEX(SUP_PRODUCCION!$C$84:$C$87,MAX(AR14,SUP_PRODUCCION!$C$80))*SUP_PRODUCCION!$C$82/MAX(AR6+AR7+AR8,1)+SUP_PRODUCCION!$C$81,SUP_PRODUCCION!$C$79)</f>
        <v>0.0591030650010416</v>
      </c>
      <c r="AS16" s="255" t="n">
        <f aca="false" t="array" ref="AS16:AS16">IF(IF(AND(SUP_LOGISTICA!$C$21&gt;0,SUP_CONTROL!$C$13=1),AS4&gt;=SUP_LOGISTICA!$C$21,AS14&gt;=SUP_PRODUCCION!$C$80),INDEX(SUP_PRODUCCION!$C$84:$C$87,MAX(AS14,SUP_PRODUCCION!$C$80))*SUP_PRODUCCION!$C$82/MAX(AS6+AS7+AS8,1)+SUP_PRODUCCION!$C$81,SUP_PRODUCCION!$C$79)</f>
        <v>0.0569745567011084</v>
      </c>
      <c r="AT16" s="255" t="n">
        <f aca="false" t="array" ref="AT16:AT16">IF(IF(AND(SUP_LOGISTICA!$C$21&gt;0,SUP_CONTROL!$C$13=1),AT4&gt;=SUP_LOGISTICA!$C$21,AT14&gt;=SUP_PRODUCCION!$C$80),INDEX(SUP_PRODUCCION!$C$84:$C$87,MAX(AT14,SUP_PRODUCCION!$C$80))*SUP_PRODUCCION!$C$82/MAX(AT6+AT7+AT8,1)+SUP_PRODUCCION!$C$81,SUP_PRODUCCION!$C$79)</f>
        <v>0.0548226731009614</v>
      </c>
      <c r="AU16" s="255" t="n">
        <f aca="false" t="array" ref="AU16:AU16">IF(IF(AND(SUP_LOGISTICA!$C$21&gt;0,SUP_CONTROL!$C$13=1),AU4&gt;=SUP_LOGISTICA!$C$21,AU14&gt;=SUP_PRODUCCION!$C$80),INDEX(SUP_PRODUCCION!$C$84:$C$87,MAX(AU14,SUP_PRODUCCION!$C$80))*SUP_PRODUCCION!$C$82/MAX(AU6+AU7+AU8,1)+SUP_PRODUCCION!$C$81,SUP_PRODUCCION!$C$79)</f>
        <v>0.05413564206877</v>
      </c>
      <c r="AV16" s="255" t="n">
        <f aca="false" t="array" ref="AV16:AV16">IF(IF(AND(SUP_LOGISTICA!$C$21&gt;0,SUP_CONTROL!$C$13=1),AV4&gt;=SUP_LOGISTICA!$C$21,AV14&gt;=SUP_PRODUCCION!$C$80),INDEX(SUP_PRODUCCION!$C$84:$C$87,MAX(AV14,SUP_PRODUCCION!$C$80))*SUP_PRODUCCION!$C$82/MAX(AV6+AV7+AV8,1)+SUP_PRODUCCION!$C$81,SUP_PRODUCCION!$C$79)</f>
        <v>0.0537524268924292</v>
      </c>
      <c r="AW16" s="255" t="n">
        <f aca="false" t="array" ref="AW16:AW16">IF(IF(AND(SUP_LOGISTICA!$C$21&gt;0,SUP_CONTROL!$C$13=1),AW4&gt;=SUP_LOGISTICA!$C$21,AW14&gt;=SUP_PRODUCCION!$C$80),INDEX(SUP_PRODUCCION!$C$84:$C$87,MAX(AW14,SUP_PRODUCCION!$C$80))*SUP_PRODUCCION!$C$82/MAX(AW6+AW7+AW8,1)+SUP_PRODUCCION!$C$81,SUP_PRODUCCION!$C$79)</f>
        <v>0.052028194509216</v>
      </c>
      <c r="AX16" s="255" t="n">
        <f aca="false" t="array" ref="AX16:AX16">IF(IF(AND(SUP_LOGISTICA!$C$21&gt;0,SUP_CONTROL!$C$13=1),AX4&gt;=SUP_LOGISTICA!$C$21,AX14&gt;=SUP_PRODUCCION!$C$80),INDEX(SUP_PRODUCCION!$C$84:$C$87,MAX(AX14,SUP_PRODUCCION!$C$80))*SUP_PRODUCCION!$C$82/MAX(AX6+AX7+AX8,1)+SUP_PRODUCCION!$C$81,SUP_PRODUCCION!$C$79)</f>
        <v>0.0516891788232312</v>
      </c>
      <c r="AY16" s="255" t="n">
        <f aca="false" t="array" ref="AY16:AY16">IF(IF(AND(SUP_LOGISTICA!$C$21&gt;0,SUP_CONTROL!$C$13=1),AY4&gt;=SUP_LOGISTICA!$C$21,AY14&gt;=SUP_PRODUCCION!$C$80),INDEX(SUP_PRODUCCION!$C$84:$C$87,MAX(AY14,SUP_PRODUCCION!$C$80))*SUP_PRODUCCION!$C$82/MAX(AY6+AY7+AY8,1)+SUP_PRODUCCION!$C$81,SUP_PRODUCCION!$C$79)</f>
        <v>0.0503860991854326</v>
      </c>
      <c r="AZ16" s="255" t="n">
        <f aca="false" t="array" ref="AZ16:AZ16">IF(IF(AND(SUP_LOGISTICA!$C$21&gt;0,SUP_CONTROL!$C$13=1),AZ4&gt;=SUP_LOGISTICA!$C$21,AZ14&gt;=SUP_PRODUCCION!$C$80),INDEX(SUP_PRODUCCION!$C$84:$C$87,MAX(AZ14,SUP_PRODUCCION!$C$80))*SUP_PRODUCCION!$C$82/MAX(AZ6+AZ7+AZ8,1)+SUP_PRODUCCION!$C$81,SUP_PRODUCCION!$C$79)</f>
        <v>0.0489350675012398</v>
      </c>
      <c r="BA16" s="255" t="n">
        <f aca="false" t="array" ref="BA16:BA16">IF(IF(AND(SUP_LOGISTICA!$C$21&gt;0,SUP_CONTROL!$C$13=1),BA4&gt;=SUP_LOGISTICA!$C$21,BA14&gt;=SUP_PRODUCCION!$C$80),INDEX(SUP_PRODUCCION!$C$84:$C$87,MAX(BA14,SUP_PRODUCCION!$C$80))*SUP_PRODUCCION!$C$82/MAX(BA6+BA7+BA8,1)+SUP_PRODUCCION!$C$81,SUP_PRODUCCION!$C$79)</f>
        <v>0.048562617013441</v>
      </c>
      <c r="BB16" s="255" t="n">
        <f aca="false" t="array" ref="BB16:BB16">IF(IF(AND(SUP_LOGISTICA!$C$21&gt;0,SUP_CONTROL!$C$13=1),BB4&gt;=SUP_LOGISTICA!$C$21,BB14&gt;=SUP_PRODUCCION!$C$80),INDEX(SUP_PRODUCCION!$C$84:$C$87,MAX(BB14,SUP_PRODUCCION!$C$80))*SUP_PRODUCCION!$C$82/MAX(BB6+BB7+BB8,1)+SUP_PRODUCCION!$C$81,SUP_PRODUCCION!$C$79)</f>
        <v>0.0737829135779791</v>
      </c>
      <c r="BC16" s="255" t="n">
        <f aca="false" t="array" ref="BC16:BC16">IF(IF(AND(SUP_LOGISTICA!$C$21&gt;0,SUP_CONTROL!$C$13=1),BC4&gt;=SUP_LOGISTICA!$C$21,BC14&gt;=SUP_PRODUCCION!$C$80),INDEX(SUP_PRODUCCION!$C$84:$C$87,MAX(BC14,SUP_PRODUCCION!$C$80))*SUP_PRODUCCION!$C$82/MAX(BC6+BC7+BC8,1)+SUP_PRODUCCION!$C$81,SUP_PRODUCCION!$C$79)</f>
        <v>0.0735416259603125</v>
      </c>
      <c r="BD16" s="255" t="n">
        <f aca="false" t="array" ref="BD16:BD16">IF(IF(AND(SUP_LOGISTICA!$C$21&gt;0,SUP_CONTROL!$C$13=1),BD4&gt;=SUP_LOGISTICA!$C$21,BD14&gt;=SUP_PRODUCCION!$C$80),INDEX(SUP_PRODUCCION!$C$84:$C$87,MAX(BD14,SUP_PRODUCCION!$C$80))*SUP_PRODUCCION!$C$82/MAX(BD6+BD7+BD8,1)+SUP_PRODUCCION!$C$81,SUP_PRODUCCION!$C$79)</f>
        <v>0.0735416259603125</v>
      </c>
      <c r="BE16" s="255" t="n">
        <f aca="false" t="array" ref="BE16:BE16">IF(IF(AND(SUP_LOGISTICA!$C$21&gt;0,SUP_CONTROL!$C$13=1),BE4&gt;=SUP_LOGISTICA!$C$21,BE14&gt;=SUP_PRODUCCION!$C$80),INDEX(SUP_PRODUCCION!$C$84:$C$87,MAX(BE14,SUP_PRODUCCION!$C$80))*SUP_PRODUCCION!$C$82/MAX(BE6+BE7+BE8,1)+SUP_PRODUCCION!$C$81,SUP_PRODUCCION!$C$79)</f>
        <v>0.0735416259603125</v>
      </c>
      <c r="BF16" s="255" t="n">
        <f aca="false" t="array" ref="BF16:BF16">IF(IF(AND(SUP_LOGISTICA!$C$21&gt;0,SUP_CONTROL!$C$13=1),BF4&gt;=SUP_LOGISTICA!$C$21,BF14&gt;=SUP_PRODUCCION!$C$80),INDEX(SUP_PRODUCCION!$C$84:$C$87,MAX(BF14,SUP_PRODUCCION!$C$80))*SUP_PRODUCCION!$C$82/MAX(BF6+BF7+BF8,1)+SUP_PRODUCCION!$C$81,SUP_PRODUCCION!$C$79)</f>
        <v>0.0745034780275352</v>
      </c>
      <c r="BG16" s="255" t="n">
        <f aca="false" t="array" ref="BG16:BG16">IF(IF(AND(SUP_LOGISTICA!$C$21&gt;0,SUP_CONTROL!$C$13=1),BG4&gt;=SUP_LOGISTICA!$C$21,BG14&gt;=SUP_PRODUCCION!$C$80),INDEX(SUP_PRODUCCION!$C$84:$C$87,MAX(BG14,SUP_PRODUCCION!$C$80))*SUP_PRODUCCION!$C$82/MAX(BG6+BG7+BG8,1)+SUP_PRODUCCION!$C$81,SUP_PRODUCCION!$C$79)</f>
        <v>0.0745034780275352</v>
      </c>
      <c r="BH16" s="255" t="n">
        <f aca="false" t="array" ref="BH16:BH16">IF(IF(AND(SUP_LOGISTICA!$C$21&gt;0,SUP_CONTROL!$C$13=1),BH4&gt;=SUP_LOGISTICA!$C$21,BH14&gt;=SUP_PRODUCCION!$C$80),INDEX(SUP_PRODUCCION!$C$84:$C$87,MAX(BH14,SUP_PRODUCCION!$C$80))*SUP_PRODUCCION!$C$82/MAX(BH6+BH7+BH8,1)+SUP_PRODUCCION!$C$81,SUP_PRODUCCION!$C$79)</f>
        <v>0.0745034780275352</v>
      </c>
      <c r="BI16" s="255" t="n">
        <f aca="false" t="array" ref="BI16:BI16">IF(IF(AND(SUP_LOGISTICA!$C$21&gt;0,SUP_CONTROL!$C$13=1),BI4&gt;=SUP_LOGISTICA!$C$21,BI14&gt;=SUP_PRODUCCION!$C$80),INDEX(SUP_PRODUCCION!$C$84:$C$87,MAX(BI14,SUP_PRODUCCION!$C$80))*SUP_PRODUCCION!$C$82/MAX(BI6+BI7+BI8,1)+SUP_PRODUCCION!$C$81,SUP_PRODUCCION!$C$79)</f>
        <v>0.0715137803170666</v>
      </c>
      <c r="BJ16" s="255" t="n">
        <f aca="false" t="array" ref="BJ16:BJ16">IF(IF(AND(SUP_LOGISTICA!$C$21&gt;0,SUP_CONTROL!$C$13=1),BJ4&gt;=SUP_LOGISTICA!$C$21,BJ14&gt;=SUP_PRODUCCION!$C$80),INDEX(SUP_PRODUCCION!$C$84:$C$87,MAX(BJ14,SUP_PRODUCCION!$C$80))*SUP_PRODUCCION!$C$82/MAX(BJ6+BJ7+BJ8,1)+SUP_PRODUCCION!$C$81,SUP_PRODUCCION!$C$79)</f>
        <v>0.0694985226516826</v>
      </c>
      <c r="BK16" s="255" t="n">
        <f aca="false" t="array" ref="BK16:BK16">IF(IF(AND(SUP_LOGISTICA!$C$21&gt;0,SUP_CONTROL!$C$13=1),BK4&gt;=SUP_LOGISTICA!$C$21,BK14&gt;=SUP_PRODUCCION!$C$80),INDEX(SUP_PRODUCCION!$C$84:$C$87,MAX(BK14,SUP_PRODUCCION!$C$80))*SUP_PRODUCCION!$C$82/MAX(BK6+BK7+BK8,1)+SUP_PRODUCCION!$C$81,SUP_PRODUCCION!$C$79)</f>
        <v>0.0679085236424577</v>
      </c>
      <c r="BL16" s="255" t="n">
        <f aca="false" t="array" ref="BL16:BL16">IF(IF(AND(SUP_LOGISTICA!$C$21&gt;0,SUP_CONTROL!$C$13=1),BL4&gt;=SUP_LOGISTICA!$C$21,BL14&gt;=SUP_PRODUCCION!$C$80),INDEX(SUP_PRODUCCION!$C$84:$C$87,MAX(BL14,SUP_PRODUCCION!$C$80))*SUP_PRODUCCION!$C$82/MAX(BL6+BL7+BL8,1)+SUP_PRODUCCION!$C$81,SUP_PRODUCCION!$C$79)</f>
        <v>0.0658103297106848</v>
      </c>
      <c r="BM16" s="255" t="n">
        <f aca="false" t="array" ref="BM16:BM16">IF(IF(AND(SUP_LOGISTICA!$C$21&gt;0,SUP_CONTROL!$C$13=1),BM4&gt;=SUP_LOGISTICA!$C$21,BM14&gt;=SUP_PRODUCCION!$C$80),INDEX(SUP_PRODUCCION!$C$84:$C$87,MAX(BM14,SUP_PRODUCCION!$C$80))*SUP_PRODUCCION!$C$82/MAX(BM6+BM7+BM8,1)+SUP_PRODUCCION!$C$81,SUP_PRODUCCION!$C$79)</f>
        <v>0.0640486784017157</v>
      </c>
      <c r="BN16" s="255" t="n">
        <f aca="false" t="array" ref="BN16:BN16">IF(IF(AND(SUP_LOGISTICA!$C$21&gt;0,SUP_CONTROL!$C$13=1),BN4&gt;=SUP_LOGISTICA!$C$21,BN14&gt;=SUP_PRODUCCION!$C$80),INDEX(SUP_PRODUCCION!$C$84:$C$87,MAX(BN14,SUP_PRODUCCION!$C$80))*SUP_PRODUCCION!$C$82/MAX(BN6+BN7+BN8,1)+SUP_PRODUCCION!$C$81,SUP_PRODUCCION!$C$79)</f>
        <v>0.0623948370127608</v>
      </c>
      <c r="BO16" s="255" t="n">
        <f aca="false" t="array" ref="BO16:BO16">IF(IF(AND(SUP_LOGISTICA!$C$21&gt;0,SUP_CONTROL!$C$13=1),BO4&gt;=SUP_LOGISTICA!$C$21,BO14&gt;=SUP_PRODUCCION!$C$80),INDEX(SUP_PRODUCCION!$C$84:$C$87,MAX(BO14,SUP_PRODUCCION!$C$80))*SUP_PRODUCCION!$C$82/MAX(BO6+BO7+BO8,1)+SUP_PRODUCCION!$C$81,SUP_PRODUCCION!$C$79)</f>
        <v>0.0618556545998559</v>
      </c>
      <c r="BP16" s="255" t="n">
        <f aca="false" t="array" ref="BP16:BP16">IF(IF(AND(SUP_LOGISTICA!$C$21&gt;0,SUP_CONTROL!$C$13=1),BP4&gt;=SUP_LOGISTICA!$C$21,BP14&gt;=SUP_PRODUCCION!$C$80),INDEX(SUP_PRODUCCION!$C$84:$C$87,MAX(BP14,SUP_PRODUCCION!$C$80))*SUP_PRODUCCION!$C$82/MAX(BP6+BP7+BP8,1)+SUP_PRODUCCION!$C$81,SUP_PRODUCCION!$C$79)</f>
        <v>0.0603098710734089</v>
      </c>
      <c r="BQ16" s="255" t="n">
        <f aca="false" t="array" ref="BQ16:BQ16">IF(IF(AND(SUP_LOGISTICA!$C$21&gt;0,SUP_CONTROL!$C$13=1),BQ4&gt;=SUP_LOGISTICA!$C$21,BQ14&gt;=SUP_PRODUCCION!$C$80),INDEX(SUP_PRODUCCION!$C$84:$C$87,MAX(BQ14,SUP_PRODUCCION!$C$80))*SUP_PRODUCCION!$C$82/MAX(BQ6+BQ7+BQ8,1)+SUP_PRODUCCION!$C$81,SUP_PRODUCCION!$C$79)</f>
        <v>0.0597225086238719</v>
      </c>
      <c r="BR16" s="255" t="n">
        <f aca="false" t="array" ref="BR16:BR16">IF(IF(AND(SUP_LOGISTICA!$C$21&gt;0,SUP_CONTROL!$C$13=1),BR4&gt;=SUP_LOGISTICA!$C$21,BR14&gt;=SUP_PRODUCCION!$C$80),INDEX(SUP_PRODUCCION!$C$84:$C$87,MAX(BR14,SUP_PRODUCCION!$C$80))*SUP_PRODUCCION!$C$82/MAX(BR6+BR7+BR8,1)+SUP_PRODUCCION!$C$81,SUP_PRODUCCION!$C$79)</f>
        <v>0.0584796585170422</v>
      </c>
      <c r="BS16" s="255" t="n">
        <f aca="false" t="array" ref="BS16:BS16">IF(IF(AND(SUP_LOGISTICA!$C$21&gt;0,SUP_CONTROL!$C$13=1),BS4&gt;=SUP_LOGISTICA!$C$21,BS14&gt;=SUP_PRODUCCION!$C$80),INDEX(SUP_PRODUCCION!$C$84:$C$87,MAX(BS14,SUP_PRODUCCION!$C$80))*SUP_PRODUCCION!$C$82/MAX(BS6+BS7+BS8,1)+SUP_PRODUCCION!$C$81,SUP_PRODUCCION!$C$79)</f>
        <v>0.0571737276302184</v>
      </c>
      <c r="BT16" s="255" t="n">
        <f aca="false" t="array" ref="BT16:BT16">IF(IF(AND(SUP_LOGISTICA!$C$21&gt;0,SUP_CONTROL!$C$13=1),BT4&gt;=SUP_LOGISTICA!$C$21,BT14&gt;=SUP_PRODUCCION!$C$80),INDEX(SUP_PRODUCCION!$C$84:$C$87,MAX(BT14,SUP_PRODUCCION!$C$80))*SUP_PRODUCCION!$C$82/MAX(BT6+BT7+BT8,1)+SUP_PRODUCCION!$C$81,SUP_PRODUCCION!$C$79)</f>
        <v>0.0557440889030879</v>
      </c>
      <c r="BU16" s="255" t="n">
        <f aca="false" t="array" ref="BU16:BU16">IF(IF(AND(SUP_LOGISTICA!$C$21&gt;0,SUP_CONTROL!$C$13=1),BU4&gt;=SUP_LOGISTICA!$C$21,BU14&gt;=SUP_PRODUCCION!$C$80),INDEX(SUP_PRODUCCION!$C$84:$C$87,MAX(BU14,SUP_PRODUCCION!$C$80))*SUP_PRODUCCION!$C$82/MAX(BU6+BU7+BU8,1)+SUP_PRODUCCION!$C$81,SUP_PRODUCCION!$C$79)</f>
        <v>0.0545630892131656</v>
      </c>
      <c r="BV16" s="255" t="n">
        <f aca="false" t="array" ref="BV16:BV16">IF(IF(AND(SUP_LOGISTICA!$C$21&gt;0,SUP_CONTROL!$C$13=1),BV4&gt;=SUP_LOGISTICA!$C$21,BV14&gt;=SUP_PRODUCCION!$C$80),INDEX(SUP_PRODUCCION!$C$84:$C$87,MAX(BV14,SUP_PRODUCCION!$C$80))*SUP_PRODUCCION!$C$82/MAX(BV6+BV7+BV8,1)+SUP_PRODUCCION!$C$81,SUP_PRODUCCION!$C$79)</f>
        <v>0.0534572351255445</v>
      </c>
      <c r="BW16" s="255" t="n">
        <f aca="false" t="array" ref="BW16:BW16">IF(IF(AND(SUP_LOGISTICA!$C$21&gt;0,SUP_CONTROL!$C$13=1),BW4&gt;=SUP_LOGISTICA!$C$21,BW14&gt;=SUP_PRODUCCION!$C$80),INDEX(SUP_PRODUCCION!$C$84:$C$87,MAX(BW14,SUP_PRODUCCION!$C$80))*SUP_PRODUCCION!$C$82/MAX(BW6+BW7+BW8,1)+SUP_PRODUCCION!$C$81,SUP_PRODUCCION!$C$79)</f>
        <v>0.0529235348346484</v>
      </c>
      <c r="BX16" s="255" t="n">
        <f aca="false" t="array" ref="BX16:BX16">IF(IF(AND(SUP_LOGISTICA!$C$21&gt;0,SUP_CONTROL!$C$13=1),BX4&gt;=SUP_LOGISTICA!$C$21,BX14&gt;=SUP_PRODUCCION!$C$80),INDEX(SUP_PRODUCCION!$C$84:$C$87,MAX(BX14,SUP_PRODUCCION!$C$80))*SUP_PRODUCCION!$C$82/MAX(BX6+BX7+BX8,1)+SUP_PRODUCCION!$C$81,SUP_PRODUCCION!$C$79)</f>
        <v>0.0517563423264699</v>
      </c>
      <c r="BY16" s="255" t="n">
        <f aca="false" t="array" ref="BY16:BY16">IF(IF(AND(SUP_LOGISTICA!$C$21&gt;0,SUP_CONTROL!$C$13=1),BY4&gt;=SUP_LOGISTICA!$C$21,BY14&gt;=SUP_PRODUCCION!$C$80),INDEX(SUP_PRODUCCION!$C$84:$C$87,MAX(BY14,SUP_PRODUCCION!$C$80))*SUP_PRODUCCION!$C$82/MAX(BY6+BY7+BY8,1)+SUP_PRODUCCION!$C$81,SUP_PRODUCCION!$C$79)</f>
        <v>0.0513843683708708</v>
      </c>
      <c r="BZ16" s="255" t="n">
        <f aca="false" t="array" ref="BZ16:BZ16">IF(IF(AND(SUP_LOGISTICA!$C$21&gt;0,SUP_CONTROL!$C$13=1),BZ4&gt;=SUP_LOGISTICA!$C$21,BZ14&gt;=SUP_PRODUCCION!$C$80),INDEX(SUP_PRODUCCION!$C$84:$C$87,MAX(BZ14,SUP_PRODUCCION!$C$80))*SUP_PRODUCCION!$C$82/MAX(BZ6+BZ7+BZ8,1)+SUP_PRODUCCION!$C$81,SUP_PRODUCCION!$C$79)</f>
        <v>0.0500040220043723</v>
      </c>
      <c r="CA16" s="255" t="n">
        <f aca="false" t="array" ref="CA16:CA16">IF(IF(AND(SUP_LOGISTICA!$C$21&gt;0,SUP_CONTROL!$C$13=1),CA4&gt;=SUP_LOGISTICA!$C$21,CA14&gt;=SUP_PRODUCCION!$C$80),INDEX(SUP_PRODUCCION!$C$84:$C$87,MAX(CA14,SUP_PRODUCCION!$C$80))*SUP_PRODUCCION!$C$82/MAX(CA6+CA7+CA8,1)+SUP_PRODUCCION!$C$81,SUP_PRODUCCION!$C$79)</f>
        <v>0.0490838243483041</v>
      </c>
      <c r="CB16" s="255" t="n">
        <f aca="false" t="array" ref="CB16:CB16">IF(IF(AND(SUP_LOGISTICA!$C$21&gt;0,SUP_CONTROL!$C$13=1),CB4&gt;=SUP_LOGISTICA!$C$21,CB14&gt;=SUP_PRODUCCION!$C$80),INDEX(SUP_PRODUCCION!$C$84:$C$87,MAX(CB14,SUP_PRODUCCION!$C$80))*SUP_PRODUCCION!$C$82/MAX(CB6+CB7+CB8,1)+SUP_PRODUCCION!$C$81,SUP_PRODUCCION!$C$79)</f>
        <v>0.0487643100873457</v>
      </c>
      <c r="CC16" s="255" t="n">
        <f aca="false" t="array" ref="CC16:CC16">IF(IF(AND(SUP_LOGISTICA!$C$21&gt;0,SUP_CONTROL!$C$13=1),CC4&gt;=SUP_LOGISTICA!$C$21,CC14&gt;=SUP_PRODUCCION!$C$80),INDEX(SUP_PRODUCCION!$C$84:$C$87,MAX(CC14,SUP_PRODUCCION!$C$80))*SUP_PRODUCCION!$C$82/MAX(CC6+CC7+CC8,1)+SUP_PRODUCCION!$C$81,SUP_PRODUCCION!$C$79)</f>
        <v>0.0478989216809309</v>
      </c>
      <c r="CD16" s="255" t="n">
        <f aca="false" t="array" ref="CD16:CD16">IF(IF(AND(SUP_LOGISTICA!$C$21&gt;0,SUP_CONTROL!$C$13=1),CD4&gt;=SUP_LOGISTICA!$C$21,CD14&gt;=SUP_PRODUCCION!$C$80),INDEX(SUP_PRODUCCION!$C$84:$C$87,MAX(CD14,SUP_PRODUCCION!$C$80))*SUP_PRODUCCION!$C$82/MAX(CD6+CD7+CD8,1)+SUP_PRODUCCION!$C$81,SUP_PRODUCCION!$C$79)</f>
        <v>0.0470015463871274</v>
      </c>
      <c r="CE16" s="255" t="n">
        <f aca="false" t="array" ref="CE16:CE16">IF(IF(AND(SUP_LOGISTICA!$C$21&gt;0,SUP_CONTROL!$C$13=1),CE4&gt;=SUP_LOGISTICA!$C$21,CE14&gt;=SUP_PRODUCCION!$C$80),INDEX(SUP_PRODUCCION!$C$84:$C$87,MAX(CE14,SUP_PRODUCCION!$C$80))*SUP_PRODUCCION!$C$82/MAX(CE6+CE7+CE8,1)+SUP_PRODUCCION!$C$81,SUP_PRODUCCION!$C$79)</f>
        <v>0.0462509355007043</v>
      </c>
      <c r="CF16" s="255" t="n">
        <f aca="false" t="array" ref="CF16:CF16">IF(IF(AND(SUP_LOGISTICA!$C$21&gt;0,SUP_CONTROL!$C$13=1),CF4&gt;=SUP_LOGISTICA!$C$21,CF14&gt;=SUP_PRODUCCION!$C$80),INDEX(SUP_PRODUCCION!$C$84:$C$87,MAX(CF14,SUP_PRODUCCION!$C$80))*SUP_PRODUCCION!$C$82/MAX(CF6+CF7+CF8,1)+SUP_PRODUCCION!$C$81,SUP_PRODUCCION!$C$79)</f>
        <v>0.0455403158681113</v>
      </c>
      <c r="CG16" s="255" t="n">
        <f aca="false" t="array" ref="CG16:CG16">IF(IF(AND(SUP_LOGISTICA!$C$21&gt;0,SUP_CONTROL!$C$13=1),CG4&gt;=SUP_LOGISTICA!$C$21,CG14&gt;=SUP_PRODUCCION!$C$80),INDEX(SUP_PRODUCCION!$C$84:$C$87,MAX(CG14,SUP_PRODUCCION!$C$80))*SUP_PRODUCCION!$C$82/MAX(CG6+CG7+CG8,1)+SUP_PRODUCCION!$C$81,SUP_PRODUCCION!$C$79)</f>
        <v>0.0447513264581309</v>
      </c>
      <c r="CH16" s="255" t="n">
        <f aca="false" t="array" ref="CH16:CH16">IF(IF(AND(SUP_LOGISTICA!$C$21&gt;0,SUP_CONTROL!$C$13=1),CH4&gt;=SUP_LOGISTICA!$C$21,CH14&gt;=SUP_PRODUCCION!$C$80),INDEX(SUP_PRODUCCION!$C$84:$C$87,MAX(CH14,SUP_PRODUCCION!$C$80))*SUP_PRODUCCION!$C$82/MAX(CH6+CH7+CH8,1)+SUP_PRODUCCION!$C$81,SUP_PRODUCCION!$C$79)</f>
        <v>0.0506949973029391</v>
      </c>
      <c r="CI16" s="255" t="n">
        <f aca="false" t="array" ref="CI16:CI16">IF(IF(AND(SUP_LOGISTICA!$C$21&gt;0,SUP_CONTROL!$C$13=1),CI4&gt;=SUP_LOGISTICA!$C$21,CI14&gt;=SUP_PRODUCCION!$C$80),INDEX(SUP_PRODUCCION!$C$84:$C$87,MAX(CI14,SUP_PRODUCCION!$C$80))*SUP_PRODUCCION!$C$82/MAX(CI6+CI7+CI8,1)+SUP_PRODUCCION!$C$81,SUP_PRODUCCION!$C$79)</f>
        <v>0.0498756040655571</v>
      </c>
      <c r="CJ16" s="255" t="n">
        <f aca="false" t="array" ref="CJ16:CJ16">IF(IF(AND(SUP_LOGISTICA!$C$21&gt;0,SUP_CONTROL!$C$13=1),CJ4&gt;=SUP_LOGISTICA!$C$21,CJ14&gt;=SUP_PRODUCCION!$C$80),INDEX(SUP_PRODUCCION!$C$84:$C$87,MAX(CJ14,SUP_PRODUCCION!$C$80))*SUP_PRODUCCION!$C$82/MAX(CJ6+CJ7+CJ8,1)+SUP_PRODUCCION!$C$81,SUP_PRODUCCION!$C$79)</f>
        <v>0.049541836647137</v>
      </c>
      <c r="CK16" s="255" t="n">
        <f aca="false" t="array" ref="CK16:CK16">IF(IF(AND(SUP_LOGISTICA!$C$21&gt;0,SUP_CONTROL!$C$13=1),CK4&gt;=SUP_LOGISTICA!$C$21,CK14&gt;=SUP_PRODUCCION!$C$80),INDEX(SUP_PRODUCCION!$C$84:$C$87,MAX(CK14,SUP_PRODUCCION!$C$80))*SUP_PRODUCCION!$C$82/MAX(CK6+CK7+CK8,1)+SUP_PRODUCCION!$C$81,SUP_PRODUCCION!$C$79)</f>
        <v>0.0493838786031326</v>
      </c>
      <c r="CL16" s="255" t="n">
        <f aca="false" t="array" ref="CL16:CL16">IF(IF(AND(SUP_LOGISTICA!$C$21&gt;0,SUP_CONTROL!$C$13=1),CL4&gt;=SUP_LOGISTICA!$C$21,CL14&gt;=SUP_PRODUCCION!$C$80),INDEX(SUP_PRODUCCION!$C$84:$C$87,MAX(CL14,SUP_PRODUCCION!$C$80))*SUP_PRODUCCION!$C$82/MAX(CL6+CL7+CL8,1)+SUP_PRODUCCION!$C$81,SUP_PRODUCCION!$C$79)</f>
        <v>0.0493155941372586</v>
      </c>
      <c r="CM16" s="255" t="n">
        <f aca="false" t="array" ref="CM16:CM16">IF(IF(AND(SUP_LOGISTICA!$C$21&gt;0,SUP_CONTROL!$C$13=1),CM4&gt;=SUP_LOGISTICA!$C$21,CM14&gt;=SUP_PRODUCCION!$C$80),INDEX(SUP_PRODUCCION!$C$84:$C$87,MAX(CM14,SUP_PRODUCCION!$C$80))*SUP_PRODUCCION!$C$82/MAX(CM6+CM7+CM8,1)+SUP_PRODUCCION!$C$81,SUP_PRODUCCION!$C$79)</f>
        <v>0.0493155941372586</v>
      </c>
      <c r="CN16" s="255" t="n">
        <f aca="false" t="array" ref="CN16:CN16">IF(IF(AND(SUP_LOGISTICA!$C$21&gt;0,SUP_CONTROL!$C$13=1),CN4&gt;=SUP_LOGISTICA!$C$21,CN14&gt;=SUP_PRODUCCION!$C$80),INDEX(SUP_PRODUCCION!$C$84:$C$87,MAX(CN14,SUP_PRODUCCION!$C$80))*SUP_PRODUCCION!$C$82/MAX(CN6+CN7+CN8,1)+SUP_PRODUCCION!$C$81,SUP_PRODUCCION!$C$79)</f>
        <v>0.0493155941372586</v>
      </c>
      <c r="CO16" s="255" t="n">
        <f aca="false" t="array" ref="CO16:CO16">IF(IF(AND(SUP_LOGISTICA!$C$21&gt;0,SUP_CONTROL!$C$13=1),CO4&gt;=SUP_LOGISTICA!$C$21,CO14&gt;=SUP_PRODUCCION!$C$80),INDEX(SUP_PRODUCCION!$C$84:$C$87,MAX(CO14,SUP_PRODUCCION!$C$80))*SUP_PRODUCCION!$C$82/MAX(CO6+CO7+CO8,1)+SUP_PRODUCCION!$C$81,SUP_PRODUCCION!$C$79)</f>
        <v>0.0493155941372586</v>
      </c>
      <c r="CP16" s="255" t="n">
        <f aca="false" t="array" ref="CP16:CP16">IF(IF(AND(SUP_LOGISTICA!$C$21&gt;0,SUP_CONTROL!$C$13=1),CP4&gt;=SUP_LOGISTICA!$C$21,CP14&gt;=SUP_PRODUCCION!$C$80),INDEX(SUP_PRODUCCION!$C$84:$C$87,MAX(CP14,SUP_PRODUCCION!$C$80))*SUP_PRODUCCION!$C$82/MAX(CP6+CP7+CP8,1)+SUP_PRODUCCION!$C$81,SUP_PRODUCCION!$C$79)</f>
        <v>0.0493155941372586</v>
      </c>
      <c r="CQ16" s="255" t="n">
        <f aca="false" t="array" ref="CQ16:CQ16">IF(IF(AND(SUP_LOGISTICA!$C$21&gt;0,SUP_CONTROL!$C$13=1),CQ4&gt;=SUP_LOGISTICA!$C$21,CQ14&gt;=SUP_PRODUCCION!$C$80),INDEX(SUP_PRODUCCION!$C$84:$C$87,MAX(CQ14,SUP_PRODUCCION!$C$80))*SUP_PRODUCCION!$C$82/MAX(CQ6+CQ7+CQ8,1)+SUP_PRODUCCION!$C$81,SUP_PRODUCCION!$C$79)</f>
        <v>0.0493155941372586</v>
      </c>
      <c r="CR16" s="255" t="n">
        <f aca="false" t="array" ref="CR16:CR16">IF(IF(AND(SUP_LOGISTICA!$C$21&gt;0,SUP_CONTROL!$C$13=1),CR4&gt;=SUP_LOGISTICA!$C$21,CR14&gt;=SUP_PRODUCCION!$C$80),INDEX(SUP_PRODUCCION!$C$84:$C$87,MAX(CR14,SUP_PRODUCCION!$C$80))*SUP_PRODUCCION!$C$82/MAX(CR6+CR7+CR8,1)+SUP_PRODUCCION!$C$81,SUP_PRODUCCION!$C$79)</f>
        <v>0.0493155941372586</v>
      </c>
      <c r="CS16" s="255" t="n">
        <f aca="false" t="array" ref="CS16:CS16">IF(IF(AND(SUP_LOGISTICA!$C$21&gt;0,SUP_CONTROL!$C$13=1),CS4&gt;=SUP_LOGISTICA!$C$21,CS14&gt;=SUP_PRODUCCION!$C$80),INDEX(SUP_PRODUCCION!$C$84:$C$87,MAX(CS14,SUP_PRODUCCION!$C$80))*SUP_PRODUCCION!$C$82/MAX(CS6+CS7+CS8,1)+SUP_PRODUCCION!$C$81,SUP_PRODUCCION!$C$79)</f>
        <v>0.0493155941372586</v>
      </c>
      <c r="CT16" s="255" t="n">
        <f aca="false" t="array" ref="CT16:CT16">IF(IF(AND(SUP_LOGISTICA!$C$21&gt;0,SUP_CONTROL!$C$13=1),CT4&gt;=SUP_LOGISTICA!$C$21,CT14&gt;=SUP_PRODUCCION!$C$80),INDEX(SUP_PRODUCCION!$C$84:$C$87,MAX(CT14,SUP_PRODUCCION!$C$80))*SUP_PRODUCCION!$C$82/MAX(CT6+CT7+CT8,1)+SUP_PRODUCCION!$C$81,SUP_PRODUCCION!$C$79)</f>
        <v>0.0493155941372586</v>
      </c>
      <c r="CU16" s="255" t="n">
        <f aca="false" t="array" ref="CU16:CU16">IF(IF(AND(SUP_LOGISTICA!$C$21&gt;0,SUP_CONTROL!$C$13=1),CU4&gt;=SUP_LOGISTICA!$C$21,CU14&gt;=SUP_PRODUCCION!$C$80),INDEX(SUP_PRODUCCION!$C$84:$C$87,MAX(CU14,SUP_PRODUCCION!$C$80))*SUP_PRODUCCION!$C$82/MAX(CU6+CU7+CU8,1)+SUP_PRODUCCION!$C$81,SUP_PRODUCCION!$C$79)</f>
        <v>0.0493155941372586</v>
      </c>
      <c r="CV16" s="255" t="n">
        <f aca="false" t="array" ref="CV16:CV16">IF(IF(AND(SUP_LOGISTICA!$C$21&gt;0,SUP_CONTROL!$C$13=1),CV4&gt;=SUP_LOGISTICA!$C$21,CV14&gt;=SUP_PRODUCCION!$C$80),INDEX(SUP_PRODUCCION!$C$84:$C$87,MAX(CV14,SUP_PRODUCCION!$C$80))*SUP_PRODUCCION!$C$82/MAX(CV6+CV7+CV8,1)+SUP_PRODUCCION!$C$81,SUP_PRODUCCION!$C$79)</f>
        <v>0.0493155941372586</v>
      </c>
      <c r="CW16" s="255" t="n">
        <f aca="false" t="array" ref="CW16:CW16">IF(IF(AND(SUP_LOGISTICA!$C$21&gt;0,SUP_CONTROL!$C$13=1),CW4&gt;=SUP_LOGISTICA!$C$21,CW14&gt;=SUP_PRODUCCION!$C$80),INDEX(SUP_PRODUCCION!$C$84:$C$87,MAX(CW14,SUP_PRODUCCION!$C$80))*SUP_PRODUCCION!$C$82/MAX(CW6+CW7+CW8,1)+SUP_PRODUCCION!$C$81,SUP_PRODUCCION!$C$79)</f>
        <v>0.0493155941372586</v>
      </c>
      <c r="CX16" s="255" t="n">
        <f aca="false" t="array" ref="CX16:CX16">IF(IF(AND(SUP_LOGISTICA!$C$21&gt;0,SUP_CONTROL!$C$13=1),CX4&gt;=SUP_LOGISTICA!$C$21,CX14&gt;=SUP_PRODUCCION!$C$80),INDEX(SUP_PRODUCCION!$C$84:$C$87,MAX(CX14,SUP_PRODUCCION!$C$80))*SUP_PRODUCCION!$C$82/MAX(CX6+CX7+CX8,1)+SUP_PRODUCCION!$C$81,SUP_PRODUCCION!$C$79)</f>
        <v>0.0493155941372586</v>
      </c>
      <c r="CY16" s="255" t="n">
        <f aca="false" t="array" ref="CY16:CY16">IF(IF(AND(SUP_LOGISTICA!$C$21&gt;0,SUP_CONTROL!$C$13=1),CY4&gt;=SUP_LOGISTICA!$C$21,CY14&gt;=SUP_PRODUCCION!$C$80),INDEX(SUP_PRODUCCION!$C$84:$C$87,MAX(CY14,SUP_PRODUCCION!$C$80))*SUP_PRODUCCION!$C$82/MAX(CY6+CY7+CY8,1)+SUP_PRODUCCION!$C$81,SUP_PRODUCCION!$C$79)</f>
        <v>0.0493155941372586</v>
      </c>
      <c r="CZ16" s="255" t="n">
        <f aca="false" t="array" ref="CZ16:CZ16">IF(IF(AND(SUP_LOGISTICA!$C$21&gt;0,SUP_CONTROL!$C$13=1),CZ4&gt;=SUP_LOGISTICA!$C$21,CZ14&gt;=SUP_PRODUCCION!$C$80),INDEX(SUP_PRODUCCION!$C$84:$C$87,MAX(CZ14,SUP_PRODUCCION!$C$80))*SUP_PRODUCCION!$C$82/MAX(CZ6+CZ7+CZ8,1)+SUP_PRODUCCION!$C$81,SUP_PRODUCCION!$C$79)</f>
        <v>0.0493155941372586</v>
      </c>
      <c r="DA16" s="255" t="n">
        <f aca="false" t="array" ref="DA16:DA16">IF(IF(AND(SUP_LOGISTICA!$C$21&gt;0,SUP_CONTROL!$C$13=1),DA4&gt;=SUP_LOGISTICA!$C$21,DA14&gt;=SUP_PRODUCCION!$C$80),INDEX(SUP_PRODUCCION!$C$84:$C$87,MAX(DA14,SUP_PRODUCCION!$C$80))*SUP_PRODUCCION!$C$82/MAX(DA6+DA7+DA8,1)+SUP_PRODUCCION!$C$81,SUP_PRODUCCION!$C$79)</f>
        <v>0.0493155941372586</v>
      </c>
      <c r="DB16" s="255" t="n">
        <f aca="false" t="array" ref="DB16:DB16">IF(IF(AND(SUP_LOGISTICA!$C$21&gt;0,SUP_CONTROL!$C$13=1),DB4&gt;=SUP_LOGISTICA!$C$21,DB14&gt;=SUP_PRODUCCION!$C$80),INDEX(SUP_PRODUCCION!$C$84:$C$87,MAX(DB14,SUP_PRODUCCION!$C$80))*SUP_PRODUCCION!$C$82/MAX(DB6+DB7+DB8,1)+SUP_PRODUCCION!$C$81,SUP_PRODUCCION!$C$79)</f>
        <v>0.0493155941372586</v>
      </c>
      <c r="DC16" s="255" t="n">
        <f aca="false" t="array" ref="DC16:DC16">IF(IF(AND(SUP_LOGISTICA!$C$21&gt;0,SUP_CONTROL!$C$13=1),DC4&gt;=SUP_LOGISTICA!$C$21,DC14&gt;=SUP_PRODUCCION!$C$80),INDEX(SUP_PRODUCCION!$C$84:$C$87,MAX(DC14,SUP_PRODUCCION!$C$80))*SUP_PRODUCCION!$C$82/MAX(DC6+DC7+DC8,1)+SUP_PRODUCCION!$C$81,SUP_PRODUCCION!$C$79)</f>
        <v>0.0493155941372586</v>
      </c>
      <c r="DD16" s="255" t="n">
        <f aca="false" t="array" ref="DD16:DD16">IF(IF(AND(SUP_LOGISTICA!$C$21&gt;0,SUP_CONTROL!$C$13=1),DD4&gt;=SUP_LOGISTICA!$C$21,DD14&gt;=SUP_PRODUCCION!$C$80),INDEX(SUP_PRODUCCION!$C$84:$C$87,MAX(DD14,SUP_PRODUCCION!$C$80))*SUP_PRODUCCION!$C$82/MAX(DD6+DD7+DD8,1)+SUP_PRODUCCION!$C$81,SUP_PRODUCCION!$C$79)</f>
        <v>0.0493155941372586</v>
      </c>
      <c r="DE16" s="255" t="n">
        <f aca="false" t="array" ref="DE16:DE16">IF(IF(AND(SUP_LOGISTICA!$C$21&gt;0,SUP_CONTROL!$C$13=1),DE4&gt;=SUP_LOGISTICA!$C$21,DE14&gt;=SUP_PRODUCCION!$C$80),INDEX(SUP_PRODUCCION!$C$84:$C$87,MAX(DE14,SUP_PRODUCCION!$C$80))*SUP_PRODUCCION!$C$82/MAX(DE6+DE7+DE8,1)+SUP_PRODUCCION!$C$81,SUP_PRODUCCION!$C$79)</f>
        <v>0.0493155941372586</v>
      </c>
      <c r="DF16" s="255" t="n">
        <f aca="false" t="array" ref="DF16:DF16">IF(IF(AND(SUP_LOGISTICA!$C$21&gt;0,SUP_CONTROL!$C$13=1),DF4&gt;=SUP_LOGISTICA!$C$21,DF14&gt;=SUP_PRODUCCION!$C$80),INDEX(SUP_PRODUCCION!$C$84:$C$87,MAX(DF14,SUP_PRODUCCION!$C$80))*SUP_PRODUCCION!$C$82/MAX(DF6+DF7+DF8,1)+SUP_PRODUCCION!$C$81,SUP_PRODUCCION!$C$79)</f>
        <v>0.0493155941372586</v>
      </c>
      <c r="DG16" s="255" t="n">
        <f aca="false" t="array" ref="DG16:DG16">IF(IF(AND(SUP_LOGISTICA!$C$21&gt;0,SUP_CONTROL!$C$13=1),DG4&gt;=SUP_LOGISTICA!$C$21,DG14&gt;=SUP_PRODUCCION!$C$80),INDEX(SUP_PRODUCCION!$C$84:$C$87,MAX(DG14,SUP_PRODUCCION!$C$80))*SUP_PRODUCCION!$C$82/MAX(DG6+DG7+DG8,1)+SUP_PRODUCCION!$C$81,SUP_PRODUCCION!$C$79)</f>
        <v>0.0493155941372586</v>
      </c>
      <c r="DH16" s="255" t="n">
        <f aca="false" t="array" ref="DH16:DH16">IF(IF(AND(SUP_LOGISTICA!$C$21&gt;0,SUP_CONTROL!$C$13=1),DH4&gt;=SUP_LOGISTICA!$C$21,DH14&gt;=SUP_PRODUCCION!$C$80),INDEX(SUP_PRODUCCION!$C$84:$C$87,MAX(DH14,SUP_PRODUCCION!$C$80))*SUP_PRODUCCION!$C$82/MAX(DH6+DH7+DH8,1)+SUP_PRODUCCION!$C$81,SUP_PRODUCCION!$C$79)</f>
        <v>0.0493155941372586</v>
      </c>
      <c r="DI16" s="255" t="n">
        <f aca="false" t="array" ref="DI16:DI16">IF(IF(AND(SUP_LOGISTICA!$C$21&gt;0,SUP_CONTROL!$C$13=1),DI4&gt;=SUP_LOGISTICA!$C$21,DI14&gt;=SUP_PRODUCCION!$C$80),INDEX(SUP_PRODUCCION!$C$84:$C$87,MAX(DI14,SUP_PRODUCCION!$C$80))*SUP_PRODUCCION!$C$82/MAX(DI6+DI7+DI8,1)+SUP_PRODUCCION!$C$81,SUP_PRODUCCION!$C$79)</f>
        <v>0.0493155941372586</v>
      </c>
      <c r="DJ16" s="255" t="n">
        <f aca="false" t="array" ref="DJ16:DJ16">IF(IF(AND(SUP_LOGISTICA!$C$21&gt;0,SUP_CONTROL!$C$13=1),DJ4&gt;=SUP_LOGISTICA!$C$21,DJ14&gt;=SUP_PRODUCCION!$C$80),INDEX(SUP_PRODUCCION!$C$84:$C$87,MAX(DJ14,SUP_PRODUCCION!$C$80))*SUP_PRODUCCION!$C$82/MAX(DJ6+DJ7+DJ8,1)+SUP_PRODUCCION!$C$81,SUP_PRODUCCION!$C$79)</f>
        <v>0.0493155941372586</v>
      </c>
      <c r="DK16" s="255" t="n">
        <f aca="false" t="array" ref="DK16:DK16">IF(IF(AND(SUP_LOGISTICA!$C$21&gt;0,SUP_CONTROL!$C$13=1),DK4&gt;=SUP_LOGISTICA!$C$21,DK14&gt;=SUP_PRODUCCION!$C$80),INDEX(SUP_PRODUCCION!$C$84:$C$87,MAX(DK14,SUP_PRODUCCION!$C$80))*SUP_PRODUCCION!$C$82/MAX(DK6+DK7+DK8,1)+SUP_PRODUCCION!$C$81,SUP_PRODUCCION!$C$79)</f>
        <v>0.0493155941372586</v>
      </c>
      <c r="DL16" s="255" t="n">
        <f aca="false" t="array" ref="DL16:DL16">IF(IF(AND(SUP_LOGISTICA!$C$21&gt;0,SUP_CONTROL!$C$13=1),DL4&gt;=SUP_LOGISTICA!$C$21,DL14&gt;=SUP_PRODUCCION!$C$80),INDEX(SUP_PRODUCCION!$C$84:$C$87,MAX(DL14,SUP_PRODUCCION!$C$80))*SUP_PRODUCCION!$C$82/MAX(DL6+DL7+DL8,1)+SUP_PRODUCCION!$C$81,SUP_PRODUCCION!$C$79)</f>
        <v>0.0493155941372586</v>
      </c>
      <c r="DM16" s="255" t="n">
        <f aca="false" t="array" ref="DM16:DM16">IF(IF(AND(SUP_LOGISTICA!$C$21&gt;0,SUP_CONTROL!$C$13=1),DM4&gt;=SUP_LOGISTICA!$C$21,DM14&gt;=SUP_PRODUCCION!$C$80),INDEX(SUP_PRODUCCION!$C$84:$C$87,MAX(DM14,SUP_PRODUCCION!$C$80))*SUP_PRODUCCION!$C$82/MAX(DM6+DM7+DM8,1)+SUP_PRODUCCION!$C$81,SUP_PRODUCCION!$C$79)</f>
        <v>0.0493155941372586</v>
      </c>
      <c r="DN16" s="255" t="n">
        <f aca="false" t="array" ref="DN16:DN16">IF(IF(AND(SUP_LOGISTICA!$C$21&gt;0,SUP_CONTROL!$C$13=1),DN4&gt;=SUP_LOGISTICA!$C$21,DN14&gt;=SUP_PRODUCCION!$C$80),INDEX(SUP_PRODUCCION!$C$84:$C$87,MAX(DN14,SUP_PRODUCCION!$C$80))*SUP_PRODUCCION!$C$82/MAX(DN6+DN7+DN8,1)+SUP_PRODUCCION!$C$81,SUP_PRODUCCION!$C$79)</f>
        <v>0.0493155941372586</v>
      </c>
      <c r="DO16" s="255" t="n">
        <f aca="false" t="array" ref="DO16:DO16">IF(IF(AND(SUP_LOGISTICA!$C$21&gt;0,SUP_CONTROL!$C$13=1),DO4&gt;=SUP_LOGISTICA!$C$21,DO14&gt;=SUP_PRODUCCION!$C$80),INDEX(SUP_PRODUCCION!$C$84:$C$87,MAX(DO14,SUP_PRODUCCION!$C$80))*SUP_PRODUCCION!$C$82/MAX(DO6+DO7+DO8,1)+SUP_PRODUCCION!$C$81,SUP_PRODUCCION!$C$79)</f>
        <v>0.0493155941372586</v>
      </c>
      <c r="DP16" s="255" t="n">
        <f aca="false" t="array" ref="DP16:DP16">IF(IF(AND(SUP_LOGISTICA!$C$21&gt;0,SUP_CONTROL!$C$13=1),DP4&gt;=SUP_LOGISTICA!$C$21,DP14&gt;=SUP_PRODUCCION!$C$80),INDEX(SUP_PRODUCCION!$C$84:$C$87,MAX(DP14,SUP_PRODUCCION!$C$80))*SUP_PRODUCCION!$C$82/MAX(DP6+DP7+DP8,1)+SUP_PRODUCCION!$C$81,SUP_PRODUCCION!$C$79)</f>
        <v>0.0493155941372586</v>
      </c>
      <c r="DQ16" s="255" t="n">
        <f aca="false" t="array" ref="DQ16:DQ16">IF(IF(AND(SUP_LOGISTICA!$C$21&gt;0,SUP_CONTROL!$C$13=1),DQ4&gt;=SUP_LOGISTICA!$C$21,DQ14&gt;=SUP_PRODUCCION!$C$80),INDEX(SUP_PRODUCCION!$C$84:$C$87,MAX(DQ14,SUP_PRODUCCION!$C$80))*SUP_PRODUCCION!$C$82/MAX(DQ6+DQ7+DQ8,1)+SUP_PRODUCCION!$C$81,SUP_PRODUCCION!$C$79)</f>
        <v>0.0493155941372586</v>
      </c>
      <c r="DR16" s="255" t="n">
        <f aca="false" t="array" ref="DR16:DR16">IF(IF(AND(SUP_LOGISTICA!$C$21&gt;0,SUP_CONTROL!$C$13=1),DR4&gt;=SUP_LOGISTICA!$C$21,DR14&gt;=SUP_PRODUCCION!$C$80),INDEX(SUP_PRODUCCION!$C$84:$C$87,MAX(DR14,SUP_PRODUCCION!$C$80))*SUP_PRODUCCION!$C$82/MAX(DR6+DR7+DR8,1)+SUP_PRODUCCION!$C$81,SUP_PRODUCCION!$C$79)</f>
        <v>0.0493155941372586</v>
      </c>
      <c r="DS16" s="255" t="n">
        <f aca="false" t="array" ref="DS16:DS16">IF(IF(AND(SUP_LOGISTICA!$C$21&gt;0,SUP_CONTROL!$C$13=1),DS4&gt;=SUP_LOGISTICA!$C$21,DS14&gt;=SUP_PRODUCCION!$C$80),INDEX(SUP_PRODUCCION!$C$84:$C$87,MAX(DS14,SUP_PRODUCCION!$C$80))*SUP_PRODUCCION!$C$82/MAX(DS6+DS7+DS8,1)+SUP_PRODUCCION!$C$81,SUP_PRODUCCION!$C$79)</f>
        <v>0.0493155941372586</v>
      </c>
    </row>
    <row r="17" customFormat="false" ht="15" hidden="false" customHeight="true" outlineLevel="0" collapsed="false">
      <c r="A17" s="186" t="s">
        <v>3770</v>
      </c>
      <c r="B17" s="618" t="s">
        <v>3771</v>
      </c>
      <c r="C17" s="25"/>
      <c r="D17" s="619" t="n">
        <f aca="false">(D6+D7+D8)*D16</f>
        <v>0</v>
      </c>
      <c r="E17" s="619" t="n">
        <f aca="false">(E6+E7+E8)*E16</f>
        <v>0</v>
      </c>
      <c r="F17" s="619" t="n">
        <f aca="false">(F6+F7+F8)*F16</f>
        <v>0</v>
      </c>
      <c r="G17" s="619" t="n">
        <f aca="false">(G6+G7+G8)*G16</f>
        <v>582.12</v>
      </c>
      <c r="H17" s="619" t="n">
        <f aca="false">(H6+H7+H8)*H16</f>
        <v>1288.98</v>
      </c>
      <c r="I17" s="619" t="n">
        <f aca="false">(I6+I7+I8)*I16</f>
        <v>2120.58</v>
      </c>
      <c r="J17" s="619" t="n">
        <f aca="false">(J6+J7+J8)*J16</f>
        <v>3039.498</v>
      </c>
      <c r="K17" s="619" t="n">
        <f aca="false">(K6+K7+K8)*K16</f>
        <v>4064.445</v>
      </c>
      <c r="L17" s="619" t="n">
        <f aca="false">(L6+L7+L8)*L16</f>
        <v>4370.058</v>
      </c>
      <c r="M17" s="619" t="n">
        <f aca="false">(M6+M7+M8)*M16</f>
        <v>4532.22</v>
      </c>
      <c r="N17" s="619" t="n">
        <f aca="false">(N6+N7+N8)*N16</f>
        <v>4532.22</v>
      </c>
      <c r="O17" s="619" t="n">
        <f aca="false">(O6+O7+O8)*O16</f>
        <v>4532.22</v>
      </c>
      <c r="P17" s="619" t="n">
        <f aca="false">(P6+P7+P8)*P16</f>
        <v>4532.22</v>
      </c>
      <c r="Q17" s="619" t="n">
        <f aca="false">(Q6+Q7+Q8)*Q16</f>
        <v>4532.22</v>
      </c>
      <c r="R17" s="619" t="n">
        <f aca="false">(R6+R7+R8)*R16</f>
        <v>4532.22</v>
      </c>
      <c r="S17" s="619" t="n">
        <f aca="false">(S6+S7+S8)*S16</f>
        <v>4532.22</v>
      </c>
      <c r="T17" s="619" t="n">
        <f aca="false">(T6+T7+T8)*T16</f>
        <v>4532.22</v>
      </c>
      <c r="U17" s="619" t="n">
        <f aca="false">(U6+U7+U8)*U16</f>
        <v>4532.22</v>
      </c>
      <c r="V17" s="619" t="n">
        <f aca="false">(V6+V7+V8)*V16</f>
        <v>4802.49</v>
      </c>
      <c r="W17" s="619" t="n">
        <f aca="false">(W6+W7+W8)*W16</f>
        <v>5135.13</v>
      </c>
      <c r="X17" s="619" t="n">
        <f aca="false">(X6+X7+X8)*X16</f>
        <v>5239.08</v>
      </c>
      <c r="Y17" s="619" t="n">
        <f aca="false">(Y6+Y7+Y8)*Y16</f>
        <v>5592.51</v>
      </c>
      <c r="Z17" s="619" t="n">
        <f aca="false">(Z6+Z7+Z8)*Z16</f>
        <v>5696.46</v>
      </c>
      <c r="AA17" s="619" t="n">
        <f aca="false">(AA6+AA7+AA8)*AA16</f>
        <v>5738.04</v>
      </c>
      <c r="AB17" s="619" t="n">
        <f aca="false">(AB6+AB7+AB8)*AB16</f>
        <v>5779.62</v>
      </c>
      <c r="AC17" s="619" t="n">
        <f aca="false">(AC6+AC7+AC8)*AC16</f>
        <v>5779.62</v>
      </c>
      <c r="AD17" s="619" t="n">
        <f aca="false">(AD6+AD7+AD8)*AD16</f>
        <v>7563.27</v>
      </c>
      <c r="AE17" s="619" t="n">
        <f aca="false">(AE6+AE7+AE8)*AE16</f>
        <v>7563.27</v>
      </c>
      <c r="AF17" s="619" t="n">
        <f aca="false">(AF6+AF7+AF8)*AF16</f>
        <v>7563.27</v>
      </c>
      <c r="AG17" s="619" t="n">
        <f aca="false">(AG6+AG7+AG8)*AG16</f>
        <v>7557.033</v>
      </c>
      <c r="AH17" s="619" t="n">
        <f aca="false">(AH6+AH7+AH8)*AH16</f>
        <v>7557.033</v>
      </c>
      <c r="AI17" s="619" t="n">
        <f aca="false">(AI6+AI7+AI8)*AI16</f>
        <v>7613.834745</v>
      </c>
      <c r="AJ17" s="619" t="n">
        <f aca="false">(AJ6+AJ7+AJ8)*AJ16</f>
        <v>7670.63649</v>
      </c>
      <c r="AK17" s="619" t="n">
        <f aca="false">(AK6+AK7+AK8)*AK16</f>
        <v>7689.45837</v>
      </c>
      <c r="AL17" s="619" t="n">
        <f aca="false">(AL6+AL7+AL8)*AL16</f>
        <v>7748.61285</v>
      </c>
      <c r="AM17" s="619" t="n">
        <f aca="false">(AM6+AM7+AM8)*AM16</f>
        <v>7765.4181</v>
      </c>
      <c r="AN17" s="619" t="n">
        <f aca="false">(AN6+AN7+AN8)*AN16</f>
        <v>7815.83385</v>
      </c>
      <c r="AO17" s="619" t="n">
        <f aca="false">(AO6+AO7+AO8)*AO16</f>
        <v>7832.6391</v>
      </c>
      <c r="AP17" s="619" t="n">
        <f aca="false">(AP6+AP7+AP8)*AP16</f>
        <v>7826.8872</v>
      </c>
      <c r="AQ17" s="619" t="n">
        <f aca="false">(AQ6+AQ7+AQ8)*AQ16</f>
        <v>7888.7738325</v>
      </c>
      <c r="AR17" s="619" t="n">
        <f aca="false">(AR6+AR7+AR8)*AR16</f>
        <v>7944.111615</v>
      </c>
      <c r="AS17" s="619" t="n">
        <f aca="false">(AS6+AS7+AS8)*AS16</f>
        <v>8005.01592</v>
      </c>
      <c r="AT17" s="619" t="n">
        <f aca="false">(AT6+AT7+AT8)*AT16</f>
        <v>8072.469075</v>
      </c>
      <c r="AU17" s="619" t="n">
        <f aca="false">(AU6+AU7+AU8)*AU16</f>
        <v>8095.39005</v>
      </c>
      <c r="AV17" s="619" t="n">
        <f aca="false">(AV6+AV7+AV8)*AV16</f>
        <v>8108.48775</v>
      </c>
      <c r="AW17" s="619" t="n">
        <f aca="false">(AW6+AW7+AW8)*AW16</f>
        <v>8170.3743825</v>
      </c>
      <c r="AX17" s="619" t="n">
        <f aca="false">(AX6+AX7+AX8)*AX16</f>
        <v>8183.14464</v>
      </c>
      <c r="AY17" s="619" t="n">
        <f aca="false">(AY6+AY7+AY8)*AY16</f>
        <v>8234.22567</v>
      </c>
      <c r="AZ17" s="619" t="n">
        <f aca="false">(AZ6+AZ7+AZ8)*AZ16</f>
        <v>8295.129975</v>
      </c>
      <c r="BA17" s="619" t="n">
        <f aca="false">(BA6+BA7+BA8)*BA16</f>
        <v>8311.5021</v>
      </c>
      <c r="BB17" s="619" t="n">
        <f aca="false">(BB6+BB7+BB8)*BB16</f>
        <v>12724.5998</v>
      </c>
      <c r="BC17" s="619" t="n">
        <f aca="false">(BC6+BC7+BC8)*BC16</f>
        <v>12731.14865</v>
      </c>
      <c r="BD17" s="619" t="n">
        <f aca="false">(BD6+BD7+BD8)*BD16</f>
        <v>12731.14865</v>
      </c>
      <c r="BE17" s="619" t="n">
        <f aca="false">(BE6+BE7+BE8)*BE16</f>
        <v>12731.14865</v>
      </c>
      <c r="BF17" s="619" t="n">
        <f aca="false">(BF6+BF7+BF8)*BF16</f>
        <v>12705.3344</v>
      </c>
      <c r="BG17" s="619" t="n">
        <f aca="false">(BG6+BG7+BG8)*BG16</f>
        <v>12705.3344</v>
      </c>
      <c r="BH17" s="619" t="n">
        <f aca="false">(BH6+BH7+BH8)*BH16</f>
        <v>12705.3344</v>
      </c>
      <c r="BI17" s="619" t="n">
        <f aca="false">(BI6+BI7+BI8)*BI16</f>
        <v>12788.2172</v>
      </c>
      <c r="BJ17" s="619" t="n">
        <f aca="false">(BJ6+BJ7+BJ8)*BJ16</f>
        <v>12848.7854</v>
      </c>
      <c r="BK17" s="619" t="n">
        <f aca="false">(BK6+BK7+BK8)*BK16</f>
        <v>12899.54765</v>
      </c>
      <c r="BL17" s="619" t="n">
        <f aca="false">(BL6+BL7+BL8)*BL16</f>
        <v>12970.9613</v>
      </c>
      <c r="BM17" s="619" t="n">
        <f aca="false">(BM6+BM7+BM8)*BM16</f>
        <v>13035.2024</v>
      </c>
      <c r="BN17" s="619" t="n">
        <f aca="false">(BN6+BN7+BN8)*BN16</f>
        <v>13099.4435</v>
      </c>
      <c r="BO17" s="619" t="n">
        <f aca="false">(BO6+BO7+BO8)*BO16</f>
        <v>13121.273</v>
      </c>
      <c r="BP17" s="619" t="n">
        <f aca="false">(BP6+BP7+BP8)*BP16</f>
        <v>13186.44965</v>
      </c>
      <c r="BQ17" s="619" t="n">
        <f aca="false">(BQ6+BQ7+BQ8)*BQ16</f>
        <v>13212.27776</v>
      </c>
      <c r="BR17" s="619" t="n">
        <f aca="false">(BR6+BR7+BR8)*BR16</f>
        <v>13268.99288</v>
      </c>
      <c r="BS17" s="619" t="n">
        <f aca="false">(BS6+BS7+BS8)*BS16</f>
        <v>13331.8064</v>
      </c>
      <c r="BT17" s="619" t="n">
        <f aca="false">(BT6+BT7+BT8)*BT16</f>
        <v>13404.68228</v>
      </c>
      <c r="BU17" s="619" t="n">
        <f aca="false">(BU6+BU7+BU8)*BU16</f>
        <v>13468.41056</v>
      </c>
      <c r="BV17" s="619" t="n">
        <f aca="false">(BV6+BV7+BV8)*BV16</f>
        <v>13531.22408</v>
      </c>
      <c r="BW17" s="619" t="n">
        <f aca="false">(BW6+BW7+BW8)*BW16</f>
        <v>13562.696675</v>
      </c>
      <c r="BX17" s="619" t="n">
        <f aca="false">(BX6+BX7+BX8)*BX16</f>
        <v>13634.3303525</v>
      </c>
      <c r="BY17" s="619" t="n">
        <f aca="false">(BY6+BY7+BY8)*BY16</f>
        <v>13658.00843</v>
      </c>
      <c r="BZ17" s="619" t="n">
        <f aca="false">(BZ6+BZ7+BZ8)*BZ16</f>
        <v>13749.723515</v>
      </c>
      <c r="CA17" s="619" t="n">
        <f aca="false">(CA6+CA7+CA8)*CA16</f>
        <v>13814.463575</v>
      </c>
      <c r="CB17" s="619" t="n">
        <f aca="false">(CB6+CB7+CB8)*CB16</f>
        <v>13837.66175</v>
      </c>
      <c r="CC17" s="619" t="n">
        <f aca="false">(CC6+CC7+CC8)*CC16</f>
        <v>13902.45725</v>
      </c>
      <c r="CD17" s="619" t="n">
        <f aca="false">(CD6+CD7+CD8)*CD16</f>
        <v>13972.848725</v>
      </c>
      <c r="CE17" s="619" t="n">
        <f aca="false">(CE6+CE7+CE8)*CE16</f>
        <v>14034.40445</v>
      </c>
      <c r="CF17" s="619" t="n">
        <f aca="false">(CF6+CF7+CF8)*CF16</f>
        <v>14095.0766</v>
      </c>
      <c r="CG17" s="619" t="n">
        <f aca="false">(CG6+CG7+CG8)*CG16</f>
        <v>14165.3468</v>
      </c>
      <c r="CH17" s="619" t="n">
        <f aca="false">(CH6+CH7+CH8)*CH16</f>
        <v>16443.64194</v>
      </c>
      <c r="CI17" s="619" t="n">
        <f aca="false">(CI6+CI7+CI8)*CI16</f>
        <v>16510.29468</v>
      </c>
      <c r="CJ17" s="619" t="n">
        <f aca="false">(CJ6+CJ7+CJ8)*CJ16</f>
        <v>16538.23644</v>
      </c>
      <c r="CK17" s="619" t="n">
        <f aca="false">(CK6+CK7+CK8)*CK16</f>
        <v>16551.6252</v>
      </c>
      <c r="CL17" s="619" t="n">
        <f aca="false">(CL6+CL7+CL8)*CL16</f>
        <v>16557.4464</v>
      </c>
      <c r="CM17" s="619" t="n">
        <f aca="false">(CM6+CM7+CM8)*CM16</f>
        <v>16557.4464</v>
      </c>
      <c r="CN17" s="619" t="n">
        <f aca="false">(CN6+CN7+CN8)*CN16</f>
        <v>16557.4464</v>
      </c>
      <c r="CO17" s="619" t="n">
        <f aca="false">(CO6+CO7+CO8)*CO16</f>
        <v>16557.4464</v>
      </c>
      <c r="CP17" s="619" t="n">
        <f aca="false">(CP6+CP7+CP8)*CP16</f>
        <v>16557.4464</v>
      </c>
      <c r="CQ17" s="619" t="n">
        <f aca="false">(CQ6+CQ7+CQ8)*CQ16</f>
        <v>16557.4464</v>
      </c>
      <c r="CR17" s="619" t="n">
        <f aca="false">(CR6+CR7+CR8)*CR16</f>
        <v>16557.4464</v>
      </c>
      <c r="CS17" s="619" t="n">
        <f aca="false">(CS6+CS7+CS8)*CS16</f>
        <v>16557.4464</v>
      </c>
      <c r="CT17" s="619" t="n">
        <f aca="false">(CT6+CT7+CT8)*CT16</f>
        <v>16557.4464</v>
      </c>
      <c r="CU17" s="619" t="n">
        <f aca="false">(CU6+CU7+CU8)*CU16</f>
        <v>16557.4464</v>
      </c>
      <c r="CV17" s="619" t="n">
        <f aca="false">(CV6+CV7+CV8)*CV16</f>
        <v>16557.4464</v>
      </c>
      <c r="CW17" s="619" t="n">
        <f aca="false">(CW6+CW7+CW8)*CW16</f>
        <v>16557.4464</v>
      </c>
      <c r="CX17" s="619" t="n">
        <f aca="false">(CX6+CX7+CX8)*CX16</f>
        <v>16557.4464</v>
      </c>
      <c r="CY17" s="619" t="n">
        <f aca="false">(CY6+CY7+CY8)*CY16</f>
        <v>16557.4464</v>
      </c>
      <c r="CZ17" s="619" t="n">
        <f aca="false">(CZ6+CZ7+CZ8)*CZ16</f>
        <v>16557.4464</v>
      </c>
      <c r="DA17" s="619" t="n">
        <f aca="false">(DA6+DA7+DA8)*DA16</f>
        <v>16557.4464</v>
      </c>
      <c r="DB17" s="619" t="n">
        <f aca="false">(DB6+DB7+DB8)*DB16</f>
        <v>16557.4464</v>
      </c>
      <c r="DC17" s="619" t="n">
        <f aca="false">(DC6+DC7+DC8)*DC16</f>
        <v>16557.4464</v>
      </c>
      <c r="DD17" s="619" t="n">
        <f aca="false">(DD6+DD7+DD8)*DD16</f>
        <v>16557.4464</v>
      </c>
      <c r="DE17" s="619" t="n">
        <f aca="false">(DE6+DE7+DE8)*DE16</f>
        <v>16557.4464</v>
      </c>
      <c r="DF17" s="619" t="n">
        <f aca="false">(DF6+DF7+DF8)*DF16</f>
        <v>16557.4464</v>
      </c>
      <c r="DG17" s="619" t="n">
        <f aca="false">(DG6+DG7+DG8)*DG16</f>
        <v>16557.4464</v>
      </c>
      <c r="DH17" s="619" t="n">
        <f aca="false">(DH6+DH7+DH8)*DH16</f>
        <v>16557.4464</v>
      </c>
      <c r="DI17" s="619" t="n">
        <f aca="false">(DI6+DI7+DI8)*DI16</f>
        <v>16557.4464</v>
      </c>
      <c r="DJ17" s="619" t="n">
        <f aca="false">(DJ6+DJ7+DJ8)*DJ16</f>
        <v>16557.4464</v>
      </c>
      <c r="DK17" s="619" t="n">
        <f aca="false">(DK6+DK7+DK8)*DK16</f>
        <v>16557.4464</v>
      </c>
      <c r="DL17" s="619" t="n">
        <f aca="false">(DL6+DL7+DL8)*DL16</f>
        <v>16557.4464</v>
      </c>
      <c r="DM17" s="619" t="n">
        <f aca="false">(DM6+DM7+DM8)*DM16</f>
        <v>16557.4464</v>
      </c>
      <c r="DN17" s="619" t="n">
        <f aca="false">(DN6+DN7+DN8)*DN16</f>
        <v>16557.4464</v>
      </c>
      <c r="DO17" s="619" t="n">
        <f aca="false">(DO6+DO7+DO8)*DO16</f>
        <v>16557.4464</v>
      </c>
      <c r="DP17" s="619" t="n">
        <f aca="false">(DP6+DP7+DP8)*DP16</f>
        <v>16557.4464</v>
      </c>
      <c r="DQ17" s="619" t="n">
        <f aca="false">(DQ6+DQ7+DQ8)*DQ16</f>
        <v>16557.4464</v>
      </c>
      <c r="DR17" s="619" t="n">
        <f aca="false">(DR6+DR7+DR8)*DR16</f>
        <v>16557.4464</v>
      </c>
      <c r="DS17" s="619" t="n">
        <f aca="false">(DS6+DS7+DS8)*DS16</f>
        <v>16557.4464</v>
      </c>
    </row>
    <row r="18" customFormat="false" ht="15" hidden="false" customHeight="true" outlineLevel="0" collapsed="false">
      <c r="A18" s="186"/>
      <c r="B18" s="618" t="s">
        <v>3772</v>
      </c>
      <c r="C18" s="25"/>
      <c r="D18" s="620" t="n">
        <f aca="false" t="array" ref="D18:D18">INDEX(SUP_PLANTA_OPEX!$C$33:$F$33,D14)/MAX(D6+D7+D8,1)+SUP_PLANTA_OPEX!$C$30</f>
        <v>10965.585625</v>
      </c>
      <c r="E18" s="620" t="n">
        <f aca="false" t="array" ref="E18:E18">INDEX(SUP_PLANTA_OPEX!$C$33:$F$33,E14)/MAX(E6+E7+E8,1)+SUP_PLANTA_OPEX!$C$30</f>
        <v>10965.585625</v>
      </c>
      <c r="F18" s="620" t="n">
        <f aca="false" t="array" ref="F18:F18">INDEX(SUP_PLANTA_OPEX!$C$33:$F$33,F14)/MAX(F6+F7+F8,1)+SUP_PLANTA_OPEX!$C$30</f>
        <v>10965.585625</v>
      </c>
      <c r="G18" s="620" t="n">
        <f aca="false" t="array" ref="G18:G18">INDEX(SUP_PLANTA_OPEX!$C$33:$F$33,G14)/MAX(G6+G7+G8,1)+SUP_PLANTA_OPEX!$C$30</f>
        <v>1.15023764430014</v>
      </c>
      <c r="H18" s="620" t="n">
        <f aca="false" t="array" ref="H18:H18">INDEX(SUP_PLANTA_OPEX!$C$33:$F$33,H14)/MAX(H6+H7+H8,1)+SUP_PLANTA_OPEX!$C$30</f>
        <v>0.530429903877485</v>
      </c>
      <c r="I18" s="620" t="n">
        <f aca="false" t="array" ref="I18:I18">INDEX(SUP_PLANTA_OPEX!$C$33:$F$33,I14)/MAX(I6+I7+I8,1)+SUP_PLANTA_OPEX!$C$30</f>
        <v>0.330261314121608</v>
      </c>
      <c r="J18" s="620" t="n">
        <f aca="false" t="array" ref="J18:J18">INDEX(SUP_PLANTA_OPEX!$C$33:$F$33,J14)/MAX(J6+J7+J8,1)+SUP_PLANTA_OPEX!$C$30</f>
        <v>0.236461381945308</v>
      </c>
      <c r="K18" s="620" t="n">
        <f aca="false" t="array" ref="K18:K18">INDEX(SUP_PLANTA_OPEX!$C$33:$F$33,K14)/MAX(K6+K7+K8,1)+SUP_PLANTA_OPEX!$C$30</f>
        <v>0.181875468237361</v>
      </c>
      <c r="L18" s="620" t="n">
        <f aca="false" t="array" ref="L18:L18">INDEX(SUP_PLANTA_OPEX!$C$33:$F$33,L14)/MAX(L6+L7+L8,1)+SUP_PLANTA_OPEX!$C$30</f>
        <v>0.1705549668906</v>
      </c>
      <c r="M18" s="620" t="n">
        <f aca="false" t="array" ref="M18:M18">INDEX(SUP_PLANTA_OPEX!$C$33:$F$33,M14)/MAX(M6+M7+M8,1)+SUP_PLANTA_OPEX!$C$30</f>
        <v>0.165168137800019</v>
      </c>
      <c r="N18" s="620" t="n">
        <f aca="false" t="array" ref="N18:N18">INDEX(SUP_PLANTA_OPEX!$C$33:$F$33,N14)/MAX(N6+N7+N8,1)+SUP_PLANTA_OPEX!$C$30</f>
        <v>0.165168137800019</v>
      </c>
      <c r="O18" s="620" t="n">
        <f aca="false" t="array" ref="O18:O18">INDEX(SUP_PLANTA_OPEX!$C$33:$F$33,O14)/MAX(O6+O7+O8,1)+SUP_PLANTA_OPEX!$C$30</f>
        <v>0.165168137800019</v>
      </c>
      <c r="P18" s="620" t="n">
        <f aca="false" t="array" ref="P18:P18">INDEX(SUP_PLANTA_OPEX!$C$33:$F$33,P14)/MAX(P6+P7+P8,1)+SUP_PLANTA_OPEX!$C$30</f>
        <v>0.165168137800019</v>
      </c>
      <c r="Q18" s="620" t="n">
        <f aca="false" t="array" ref="Q18:Q18">INDEX(SUP_PLANTA_OPEX!$C$33:$F$33,Q14)/MAX(Q6+Q7+Q8,1)+SUP_PLANTA_OPEX!$C$30</f>
        <v>0.165168137800019</v>
      </c>
      <c r="R18" s="620" t="n">
        <f aca="false" t="array" ref="R18:R18">INDEX(SUP_PLANTA_OPEX!$C$33:$F$33,R14)/MAX(R6+R7+R8,1)+SUP_PLANTA_OPEX!$C$30</f>
        <v>0.165168137800019</v>
      </c>
      <c r="S18" s="620" t="n">
        <f aca="false" t="array" ref="S18:S18">INDEX(SUP_PLANTA_OPEX!$C$33:$F$33,S14)/MAX(S6+S7+S8,1)+SUP_PLANTA_OPEX!$C$30</f>
        <v>0.165168137800019</v>
      </c>
      <c r="T18" s="620" t="n">
        <f aca="false" t="array" ref="T18:T18">INDEX(SUP_PLANTA_OPEX!$C$33:$F$33,T14)/MAX(T6+T7+T8,1)+SUP_PLANTA_OPEX!$C$30</f>
        <v>0.165168137800019</v>
      </c>
      <c r="U18" s="620" t="n">
        <f aca="false" t="array" ref="U18:U18">INDEX(SUP_PLANTA_OPEX!$C$33:$F$33,U14)/MAX(U6+U7+U8,1)+SUP_PLANTA_OPEX!$C$30</f>
        <v>0.165168137800019</v>
      </c>
      <c r="V18" s="620" t="n">
        <f aca="false" t="array" ref="V18:V18">INDEX(SUP_PLANTA_OPEX!$C$33:$F$33,V14)/MAX(V6+V7+V8,1)+SUP_PLANTA_OPEX!$C$30</f>
        <v>0.156998502339411</v>
      </c>
      <c r="W18" s="620" t="n">
        <f aca="false" t="array" ref="W18:W18">INDEX(SUP_PLANTA_OPEX!$C$33:$F$33,W14)/MAX(W6+W7+W8,1)+SUP_PLANTA_OPEX!$C$30</f>
        <v>0.148124105426737</v>
      </c>
      <c r="X18" s="620" t="n">
        <f aca="false" t="array" ref="X18:X18">INDEX(SUP_PLANTA_OPEX!$C$33:$F$33,X14)/MAX(X6+X7+X8,1)+SUP_PLANTA_OPEX!$C$30</f>
        <v>0.145581960477794</v>
      </c>
      <c r="Y18" s="620" t="n">
        <f aca="false" t="array" ref="Y18:Y18">INDEX(SUP_PLANTA_OPEX!$C$33:$F$33,Y14)/MAX(Y6+Y7+Y8,1)+SUP_PLANTA_OPEX!$C$30</f>
        <v>0.137645554053547</v>
      </c>
      <c r="Z18" s="620" t="n">
        <f aca="false" t="array" ref="Z18:Z18">INDEX(SUP_PLANTA_OPEX!$C$33:$F$33,Z14)/MAX(Z6+Z7+Z8,1)+SUP_PLANTA_OPEX!$C$30</f>
        <v>0.135498737373737</v>
      </c>
      <c r="AA18" s="620" t="n">
        <f aca="false" t="array" ref="AA18:AA18">INDEX(SUP_PLANTA_OPEX!$C$33:$F$33,AA14)/MAX(AA6+AA7+AA8,1)+SUP_PLANTA_OPEX!$C$30</f>
        <v>0.134661790001464</v>
      </c>
      <c r="AB18" s="620" t="n">
        <f aca="false" t="array" ref="AB18:AB18">INDEX(SUP_PLANTA_OPEX!$C$33:$F$33,AB14)/MAX(AB6+AB7+AB8,1)+SUP_PLANTA_OPEX!$C$30</f>
        <v>0.133836885037425</v>
      </c>
      <c r="AC18" s="620" t="n">
        <f aca="false" t="array" ref="AC18:AC18">INDEX(SUP_PLANTA_OPEX!$C$33:$F$33,AC14)/MAX(AC6+AC7+AC8,1)+SUP_PLANTA_OPEX!$C$30</f>
        <v>0.133836885037425</v>
      </c>
      <c r="AD18" s="620" t="n">
        <f aca="false" t="array" ref="AD18:AD18">INDEX(SUP_PLANTA_OPEX!$C$33:$F$33,AD14)/MAX(AD6+AD7+AD8,1)+SUP_PLANTA_OPEX!$C$30</f>
        <v>0.175465919472214</v>
      </c>
      <c r="AE18" s="620" t="n">
        <f aca="false" t="array" ref="AE18:AE18">INDEX(SUP_PLANTA_OPEX!$C$33:$F$33,AE14)/MAX(AE6+AE7+AE8,1)+SUP_PLANTA_OPEX!$C$30</f>
        <v>0.175465919472214</v>
      </c>
      <c r="AF18" s="620" t="n">
        <f aca="false" t="array" ref="AF18:AF18">INDEX(SUP_PLANTA_OPEX!$C$33:$F$33,AF14)/MAX(AF6+AF7+AF8,1)+SUP_PLANTA_OPEX!$C$30</f>
        <v>0.175465919472214</v>
      </c>
      <c r="AG18" s="620" t="n">
        <f aca="false" t="array" ref="AG18:AG18">INDEX(SUP_PLANTA_OPEX!$C$33:$F$33,AG14)/MAX(AG6+AG7+AG8,1)+SUP_PLANTA_OPEX!$C$30</f>
        <v>0.176479093458637</v>
      </c>
      <c r="AH18" s="620" t="n">
        <f aca="false" t="array" ref="AH18:AH18">INDEX(SUP_PLANTA_OPEX!$C$33:$F$33,AH14)/MAX(AH6+AH7+AH8,1)+SUP_PLANTA_OPEX!$C$30</f>
        <v>0.176479093458637</v>
      </c>
      <c r="AI18" s="620" t="n">
        <f aca="false" t="array" ref="AI18:AI18">INDEX(SUP_PLANTA_OPEX!$C$33:$F$33,AI14)/MAX(AI6+AI7+AI8,1)+SUP_PLANTA_OPEX!$C$30</f>
        <v>0.167712097053845</v>
      </c>
      <c r="AJ18" s="620" t="n">
        <f aca="false" t="array" ref="AJ18:AJ18">INDEX(SUP_PLANTA_OPEX!$C$33:$F$33,AJ14)/MAX(AJ6+AJ7+AJ8,1)+SUP_PLANTA_OPEX!$C$30</f>
        <v>0.159875352324298</v>
      </c>
      <c r="AK18" s="620" t="n">
        <f aca="false" t="array" ref="AK18:AK18">INDEX(SUP_PLANTA_OPEX!$C$33:$F$33,AK14)/MAX(AK6+AK7+AK8,1)+SUP_PLANTA_OPEX!$C$30</f>
        <v>0.157458814741127</v>
      </c>
      <c r="AL18" s="620" t="n">
        <f aca="false" t="array" ref="AL18:AL18">INDEX(SUP_PLANTA_OPEX!$C$33:$F$33,AL14)/MAX(AL6+AL7+AL8,1)+SUP_PLANTA_OPEX!$C$30</f>
        <v>0.150379575894524</v>
      </c>
      <c r="AM18" s="620" t="n">
        <f aca="false" t="array" ref="AM18:AM18">INDEX(SUP_PLANTA_OPEX!$C$33:$F$33,AM14)/MAX(AM6+AM7+AM8,1)+SUP_PLANTA_OPEX!$C$30</f>
        <v>0.148499511248367</v>
      </c>
      <c r="AN18" s="620" t="n">
        <f aca="false" t="array" ref="AN18:AN18">INDEX(SUP_PLANTA_OPEX!$C$33:$F$33,AN14)/MAX(AN6+AN7+AN8,1)+SUP_PLANTA_OPEX!$C$30</f>
        <v>0.143171152250778</v>
      </c>
      <c r="AO18" s="620" t="n">
        <f aca="false" t="array" ref="AO18:AO18">INDEX(SUP_PLANTA_OPEX!$C$33:$F$33,AO14)/MAX(AO6+AO7+AO8,1)+SUP_PLANTA_OPEX!$C$30</f>
        <v>0.141491891868431</v>
      </c>
      <c r="AP18" s="620" t="n">
        <f aca="false" t="array" ref="AP18:AP18">INDEX(SUP_PLANTA_OPEX!$C$33:$F$33,AP14)/MAX(AP6+AP7+AP8,1)+SUP_PLANTA_OPEX!$C$30</f>
        <v>0.142061470891538</v>
      </c>
      <c r="AQ18" s="620" t="n">
        <f aca="false" t="array" ref="AQ18:AQ18">INDEX(SUP_PLANTA_OPEX!$C$33:$F$33,AQ14)/MAX(AQ6+AQ7+AQ8,1)+SUP_PLANTA_OPEX!$C$30</f>
        <v>0.136200106235475</v>
      </c>
      <c r="AR18" s="620" t="n">
        <f aca="false" t="array" ref="AR18:AR18">INDEX(SUP_PLANTA_OPEX!$C$33:$F$33,AR14)/MAX(AR6+AR7+AR8,1)+SUP_PLANTA_OPEX!$C$30</f>
        <v>0.1314160867139</v>
      </c>
      <c r="AS18" s="620" t="n">
        <f aca="false" t="array" ref="AS18:AS18">INDEX(SUP_PLANTA_OPEX!$C$33:$F$33,AS14)/MAX(AS6+AS7+AS8,1)+SUP_PLANTA_OPEX!$C$30</f>
        <v>0.126586447967081</v>
      </c>
      <c r="AT18" s="620" t="n">
        <f aca="false" t="array" ref="AT18:AT18">INDEX(SUP_PLANTA_OPEX!$C$33:$F$33,AT14)/MAX(AT6+AT7+AT8,1)+SUP_PLANTA_OPEX!$C$30</f>
        <v>0.12170377007748</v>
      </c>
      <c r="AU18" s="620" t="n">
        <f aca="false" t="array" ref="AU18:AU18">INDEX(SUP_PLANTA_OPEX!$C$33:$F$33,AU14)/MAX(AU6+AU7+AU8,1)+SUP_PLANTA_OPEX!$C$30</f>
        <v>0.120144879424602</v>
      </c>
      <c r="AV18" s="620" t="n">
        <f aca="false" t="array" ref="AV18:AV18">INDEX(SUP_PLANTA_OPEX!$C$33:$F$33,AV14)/MAX(AV6+AV7+AV8,1)+SUP_PLANTA_OPEX!$C$30</f>
        <v>0.119275354572816</v>
      </c>
      <c r="AW18" s="620" t="n">
        <f aca="false" t="array" ref="AW18:AW18">INDEX(SUP_PLANTA_OPEX!$C$33:$F$33,AW14)/MAX(AW6+AW7+AW8,1)+SUP_PLANTA_OPEX!$C$30</f>
        <v>0.115363028026217</v>
      </c>
      <c r="AX18" s="620" t="n">
        <f aca="false" t="array" ref="AX18:AX18">INDEX(SUP_PLANTA_OPEX!$C$33:$F$33,AX14)/MAX(AX6+AX7+AX8,1)+SUP_PLANTA_OPEX!$C$30</f>
        <v>0.114593792927221</v>
      </c>
      <c r="AY18" s="620" t="n">
        <f aca="false" t="array" ref="AY18:AY18">INDEX(SUP_PLANTA_OPEX!$C$33:$F$33,AY14)/MAX(AY6+AY7+AY8,1)+SUP_PLANTA_OPEX!$C$30</f>
        <v>0.111637072528667</v>
      </c>
      <c r="AZ18" s="620" t="n">
        <f aca="false" t="array" ref="AZ18:AZ18">INDEX(SUP_PLANTA_OPEX!$C$33:$F$33,AZ14)/MAX(AZ6+AZ7+AZ8,1)+SUP_PLANTA_OPEX!$C$30</f>
        <v>0.108344645224034</v>
      </c>
      <c r="BA18" s="620" t="n">
        <f aca="false" t="array" ref="BA18:BA18">INDEX(SUP_PLANTA_OPEX!$C$33:$F$33,BA14)/MAX(BA6+BA7+BA8,1)+SUP_PLANTA_OPEX!$C$30</f>
        <v>0.107499545720686</v>
      </c>
      <c r="BB18" s="620" t="n">
        <f aca="false" t="array" ref="BB18:BB18">INDEX(SUP_PLANTA_OPEX!$C$33:$F$33,BB14)/MAX(BB6+BB7+BB8,1)+SUP_PLANTA_OPEX!$C$30</f>
        <v>0.148786780707037</v>
      </c>
      <c r="BC18" s="620" t="n">
        <f aca="false" t="array" ref="BC18:BC18">INDEX(SUP_PLANTA_OPEX!$C$33:$F$33,BC14)/MAX(BC6+BC7+BC8,1)+SUP_PLANTA_OPEX!$C$30</f>
        <v>0.148299586664611</v>
      </c>
      <c r="BD18" s="620" t="n">
        <f aca="false" t="array" ref="BD18:BD18">INDEX(SUP_PLANTA_OPEX!$C$33:$F$33,BD14)/MAX(BD6+BD7+BD8,1)+SUP_PLANTA_OPEX!$C$30</f>
        <v>0.148299586664611</v>
      </c>
      <c r="BE18" s="620" t="n">
        <f aca="false" t="array" ref="BE18:BE18">INDEX(SUP_PLANTA_OPEX!$C$33:$F$33,BE14)/MAX(BE6+BE7+BE8,1)+SUP_PLANTA_OPEX!$C$30</f>
        <v>0.148299586664611</v>
      </c>
      <c r="BF18" s="620" t="n">
        <f aca="false" t="array" ref="BF18:BF18">INDEX(SUP_PLANTA_OPEX!$C$33:$F$33,BF14)/MAX(BF6+BF7+BF8,1)+SUP_PLANTA_OPEX!$C$30</f>
        <v>0.150241702888302</v>
      </c>
      <c r="BG18" s="620" t="n">
        <f aca="false" t="array" ref="BG18:BG18">INDEX(SUP_PLANTA_OPEX!$C$33:$F$33,BG14)/MAX(BG6+BG7+BG8,1)+SUP_PLANTA_OPEX!$C$30</f>
        <v>0.150241702888302</v>
      </c>
      <c r="BH18" s="620" t="n">
        <f aca="false" t="array" ref="BH18:BH18">INDEX(SUP_PLANTA_OPEX!$C$33:$F$33,BH14)/MAX(BH6+BH7+BH8,1)+SUP_PLANTA_OPEX!$C$30</f>
        <v>0.150241702888302</v>
      </c>
      <c r="BI18" s="620" t="n">
        <f aca="false" t="array" ref="BI18:BI18">INDEX(SUP_PLANTA_OPEX!$C$33:$F$33,BI14)/MAX(BI6+BI7+BI8,1)+SUP_PLANTA_OPEX!$C$30</f>
        <v>0.144205077688549</v>
      </c>
      <c r="BJ18" s="620" t="n">
        <f aca="false" t="array" ref="BJ18:BJ18">INDEX(SUP_PLANTA_OPEX!$C$33:$F$33,BJ14)/MAX(BJ6+BJ7+BJ8,1)+SUP_PLANTA_OPEX!$C$30</f>
        <v>0.140135985631431</v>
      </c>
      <c r="BK18" s="620" t="n">
        <f aca="false" t="array" ref="BK18:BK18">INDEX(SUP_PLANTA_OPEX!$C$33:$F$33,BK14)/MAX(BK6+BK7+BK8,1)+SUP_PLANTA_OPEX!$C$30</f>
        <v>0.13692555132797</v>
      </c>
      <c r="BL18" s="620" t="n">
        <f aca="false" t="array" ref="BL18:BL18">INDEX(SUP_PLANTA_OPEX!$C$33:$F$33,BL14)/MAX(BL6+BL7+BL8,1)+SUP_PLANTA_OPEX!$C$30</f>
        <v>0.132688999144732</v>
      </c>
      <c r="BM18" s="620" t="n">
        <f aca="false" t="array" ref="BM18:BM18">INDEX(SUP_PLANTA_OPEX!$C$33:$F$33,BM14)/MAX(BM6+BM7+BM8,1)+SUP_PLANTA_OPEX!$C$30</f>
        <v>0.129131974416893</v>
      </c>
      <c r="BN18" s="620" t="n">
        <f aca="false" t="array" ref="BN18:BN18">INDEX(SUP_PLANTA_OPEX!$C$33:$F$33,BN14)/MAX(BN6+BN7+BN8,1)+SUP_PLANTA_OPEX!$C$30</f>
        <v>0.1257926332621</v>
      </c>
      <c r="BO18" s="620" t="n">
        <f aca="false" t="array" ref="BO18:BO18">INDEX(SUP_PLANTA_OPEX!$C$33:$F$33,BO14)/MAX(BO6+BO7+BO8,1)+SUP_PLANTA_OPEX!$C$30</f>
        <v>0.124703947228857</v>
      </c>
      <c r="BP18" s="620" t="n">
        <f aca="false" t="array" ref="BP18:BP18">INDEX(SUP_PLANTA_OPEX!$C$33:$F$33,BP14)/MAX(BP6+BP7+BP8,1)+SUP_PLANTA_OPEX!$C$30</f>
        <v>0.121582790278294</v>
      </c>
      <c r="BQ18" s="620" t="n">
        <f aca="false" t="array" ref="BQ18:BQ18">INDEX(SUP_PLANTA_OPEX!$C$33:$F$33,BQ14)/MAX(BQ6+BQ7+BQ8,1)+SUP_PLANTA_OPEX!$C$30</f>
        <v>0.120396821893649</v>
      </c>
      <c r="BR18" s="620" t="n">
        <f aca="false" t="array" ref="BR18:BR18">INDEX(SUP_PLANTA_OPEX!$C$33:$F$33,BR14)/MAX(BR6+BR7+BR8,1)+SUP_PLANTA_OPEX!$C$30</f>
        <v>0.117887330633669</v>
      </c>
      <c r="BS18" s="620" t="n">
        <f aca="false" t="array" ref="BS18:BS18">INDEX(SUP_PLANTA_OPEX!$C$33:$F$33,BS14)/MAX(BS6+BS7+BS8,1)+SUP_PLANTA_OPEX!$C$30</f>
        <v>0.115250470300622</v>
      </c>
      <c r="BT18" s="620" t="n">
        <f aca="false" t="array" ref="BT18:BT18">INDEX(SUP_PLANTA_OPEX!$C$33:$F$33,BT14)/MAX(BT6+BT7+BT8,1)+SUP_PLANTA_OPEX!$C$30</f>
        <v>0.112363826230715</v>
      </c>
      <c r="BU18" s="620" t="n">
        <f aca="false" t="array" ref="BU18:BU18">INDEX(SUP_PLANTA_OPEX!$C$33:$F$33,BU14)/MAX(BU6+BU7+BU8,1)+SUP_PLANTA_OPEX!$C$30</f>
        <v>0.109979219765613</v>
      </c>
      <c r="BV18" s="620" t="n">
        <f aca="false" t="array" ref="BV18:BV18">INDEX(SUP_PLANTA_OPEX!$C$33:$F$33,BV14)/MAX(BV6+BV7+BV8,1)+SUP_PLANTA_OPEX!$C$30</f>
        <v>0.107746342966996</v>
      </c>
      <c r="BW18" s="620" t="n">
        <f aca="false" t="array" ref="BW18:BW18">INDEX(SUP_PLANTA_OPEX!$C$33:$F$33,BW14)/MAX(BW6+BW7+BW8,1)+SUP_PLANTA_OPEX!$C$30</f>
        <v>0.106668726118357</v>
      </c>
      <c r="BX18" s="620" t="n">
        <f aca="false" t="array" ref="BX18:BX18">INDEX(SUP_PLANTA_OPEX!$C$33:$F$33,BX14)/MAX(BX6+BX7+BX8,1)+SUP_PLANTA_OPEX!$C$30</f>
        <v>0.104311998318366</v>
      </c>
      <c r="BY18" s="620" t="n">
        <f aca="false" t="array" ref="BY18:BY18">INDEX(SUP_PLANTA_OPEX!$C$33:$F$33,BY14)/MAX(BY6+BY7+BY8,1)+SUP_PLANTA_OPEX!$C$30</f>
        <v>0.103560929959127</v>
      </c>
      <c r="BZ18" s="620" t="n">
        <f aca="false" t="array" ref="BZ18:BZ18">INDEX(SUP_PLANTA_OPEX!$C$33:$F$33,BZ14)/MAX(BZ6+BZ7+BZ8,1)+SUP_PLANTA_OPEX!$C$30</f>
        <v>0.100773814181096</v>
      </c>
      <c r="CA18" s="620" t="n">
        <f aca="false" t="array" ref="CA18:CA18">INDEX(SUP_PLANTA_OPEX!$C$33:$F$33,CA14)/MAX(CA6+CA7+CA8,1)+SUP_PLANTA_OPEX!$C$30</f>
        <v>0.0989158041421801</v>
      </c>
      <c r="CB18" s="620" t="n">
        <f aca="false" t="array" ref="CB18:CB18">INDEX(SUP_PLANTA_OPEX!$C$33:$F$33,CB14)/MAX(CB6+CB7+CB8,1)+SUP_PLANTA_OPEX!$C$30</f>
        <v>0.0982706593729855</v>
      </c>
      <c r="CC18" s="620" t="n">
        <f aca="false" t="array" ref="CC18:CC18">INDEX(SUP_PLANTA_OPEX!$C$33:$F$33,CC14)/MAX(CC6+CC7+CC8,1)+SUP_PLANTA_OPEX!$C$30</f>
        <v>0.0965233170100955</v>
      </c>
      <c r="CD18" s="620" t="n">
        <f aca="false" t="array" ref="CD18:CD18">INDEX(SUP_PLANTA_OPEX!$C$33:$F$33,CD14)/MAX(CD6+CD7+CD8,1)+SUP_PLANTA_OPEX!$C$30</f>
        <v>0.0947113885688886</v>
      </c>
      <c r="CE18" s="620" t="n">
        <f aca="false" t="array" ref="CE18:CE18">INDEX(SUP_PLANTA_OPEX!$C$33:$F$33,CE14)/MAX(CE6+CE7+CE8,1)+SUP_PLANTA_OPEX!$C$30</f>
        <v>0.0931957983550941</v>
      </c>
      <c r="CF18" s="620" t="n">
        <f aca="false" t="array" ref="CF18:CF18">INDEX(SUP_PLANTA_OPEX!$C$33:$F$33,CF14)/MAX(CF6+CF7+CF8,1)+SUP_PLANTA_OPEX!$C$30</f>
        <v>0.0917609561747196</v>
      </c>
      <c r="CG18" s="620" t="n">
        <f aca="false" t="array" ref="CG18:CG18">INDEX(SUP_PLANTA_OPEX!$C$33:$F$33,CG14)/MAX(CG6+CG7+CG8,1)+SUP_PLANTA_OPEX!$C$30</f>
        <v>0.090167874259465</v>
      </c>
      <c r="CH18" s="620" t="n">
        <f aca="false" t="array" ref="CH18:CH18">INDEX(SUP_PLANTA_OPEX!$C$33:$F$33,CH14)/MAX(CH6+CH7+CH8,1)+SUP_PLANTA_OPEX!$C$30</f>
        <v>0.101145102054637</v>
      </c>
      <c r="CI18" s="620" t="n">
        <f aca="false" t="array" ref="CI18:CI18">INDEX(SUP_PLANTA_OPEX!$C$33:$F$33,CI14)/MAX(CI6+CI7+CI8,1)+SUP_PLANTA_OPEX!$C$30</f>
        <v>0.0995112464881827</v>
      </c>
      <c r="CJ18" s="620" t="n">
        <f aca="false" t="array" ref="CJ18:CJ18">INDEX(SUP_PLANTA_OPEX!$C$33:$F$33,CJ14)/MAX(CJ6+CJ7+CJ8,1)+SUP_PLANTA_OPEX!$C$30</f>
        <v>0.0988457201821211</v>
      </c>
      <c r="CK18" s="620" t="n">
        <f aca="false" t="array" ref="CK18:CK18">INDEX(SUP_PLANTA_OPEX!$C$33:$F$33,CK14)/MAX(CK6+CK7+CK8,1)+SUP_PLANTA_OPEX!$C$30</f>
        <v>0.0985307546470292</v>
      </c>
      <c r="CL18" s="620" t="n">
        <f aca="false" t="array" ref="CL18:CL18">INDEX(SUP_PLANTA_OPEX!$C$33:$F$33,CL14)/MAX(CL6+CL7+CL8,1)+SUP_PLANTA_OPEX!$C$30</f>
        <v>0.0983945966345137</v>
      </c>
      <c r="CM18" s="620" t="n">
        <f aca="false" t="array" ref="CM18:CM18">INDEX(SUP_PLANTA_OPEX!$C$33:$F$33,CM14)/MAX(CM6+CM7+CM8,1)+SUP_PLANTA_OPEX!$C$30</f>
        <v>0.0983945966345137</v>
      </c>
      <c r="CN18" s="620" t="n">
        <f aca="false" t="array" ref="CN18:CN18">INDEX(SUP_PLANTA_OPEX!$C$33:$F$33,CN14)/MAX(CN6+CN7+CN8,1)+SUP_PLANTA_OPEX!$C$30</f>
        <v>0.0983945966345137</v>
      </c>
      <c r="CO18" s="620" t="n">
        <f aca="false" t="array" ref="CO18:CO18">INDEX(SUP_PLANTA_OPEX!$C$33:$F$33,CO14)/MAX(CO6+CO7+CO8,1)+SUP_PLANTA_OPEX!$C$30</f>
        <v>0.0983945966345137</v>
      </c>
      <c r="CP18" s="620" t="n">
        <f aca="false" t="array" ref="CP18:CP18">INDEX(SUP_PLANTA_OPEX!$C$33:$F$33,CP14)/MAX(CP6+CP7+CP8,1)+SUP_PLANTA_OPEX!$C$30</f>
        <v>0.0983945966345137</v>
      </c>
      <c r="CQ18" s="620" t="n">
        <f aca="false" t="array" ref="CQ18:CQ18">INDEX(SUP_PLANTA_OPEX!$C$33:$F$33,CQ14)/MAX(CQ6+CQ7+CQ8,1)+SUP_PLANTA_OPEX!$C$30</f>
        <v>0.0983945966345137</v>
      </c>
      <c r="CR18" s="620" t="n">
        <f aca="false" t="array" ref="CR18:CR18">INDEX(SUP_PLANTA_OPEX!$C$33:$F$33,CR14)/MAX(CR6+CR7+CR8,1)+SUP_PLANTA_OPEX!$C$30</f>
        <v>0.0983945966345137</v>
      </c>
      <c r="CS18" s="620" t="n">
        <f aca="false" t="array" ref="CS18:CS18">INDEX(SUP_PLANTA_OPEX!$C$33:$F$33,CS14)/MAX(CS6+CS7+CS8,1)+SUP_PLANTA_OPEX!$C$30</f>
        <v>0.0983945966345137</v>
      </c>
      <c r="CT18" s="620" t="n">
        <f aca="false" t="array" ref="CT18:CT18">INDEX(SUP_PLANTA_OPEX!$C$33:$F$33,CT14)/MAX(CT6+CT7+CT8,1)+SUP_PLANTA_OPEX!$C$30</f>
        <v>0.0983945966345137</v>
      </c>
      <c r="CU18" s="620" t="n">
        <f aca="false" t="array" ref="CU18:CU18">INDEX(SUP_PLANTA_OPEX!$C$33:$F$33,CU14)/MAX(CU6+CU7+CU8,1)+SUP_PLANTA_OPEX!$C$30</f>
        <v>0.0983945966345137</v>
      </c>
      <c r="CV18" s="620" t="n">
        <f aca="false" t="array" ref="CV18:CV18">INDEX(SUP_PLANTA_OPEX!$C$33:$F$33,CV14)/MAX(CV6+CV7+CV8,1)+SUP_PLANTA_OPEX!$C$30</f>
        <v>0.0983945966345137</v>
      </c>
      <c r="CW18" s="620" t="n">
        <f aca="false" t="array" ref="CW18:CW18">INDEX(SUP_PLANTA_OPEX!$C$33:$F$33,CW14)/MAX(CW6+CW7+CW8,1)+SUP_PLANTA_OPEX!$C$30</f>
        <v>0.0983945966345137</v>
      </c>
      <c r="CX18" s="620" t="n">
        <f aca="false" t="array" ref="CX18:CX18">INDEX(SUP_PLANTA_OPEX!$C$33:$F$33,CX14)/MAX(CX6+CX7+CX8,1)+SUP_PLANTA_OPEX!$C$30</f>
        <v>0.0983945966345137</v>
      </c>
      <c r="CY18" s="620" t="n">
        <f aca="false" t="array" ref="CY18:CY18">INDEX(SUP_PLANTA_OPEX!$C$33:$F$33,CY14)/MAX(CY6+CY7+CY8,1)+SUP_PLANTA_OPEX!$C$30</f>
        <v>0.0983945966345137</v>
      </c>
      <c r="CZ18" s="620" t="n">
        <f aca="false" t="array" ref="CZ18:CZ18">INDEX(SUP_PLANTA_OPEX!$C$33:$F$33,CZ14)/MAX(CZ6+CZ7+CZ8,1)+SUP_PLANTA_OPEX!$C$30</f>
        <v>0.0983945966345137</v>
      </c>
      <c r="DA18" s="620" t="n">
        <f aca="false" t="array" ref="DA18:DA18">INDEX(SUP_PLANTA_OPEX!$C$33:$F$33,DA14)/MAX(DA6+DA7+DA8,1)+SUP_PLANTA_OPEX!$C$30</f>
        <v>0.0983945966345137</v>
      </c>
      <c r="DB18" s="620" t="n">
        <f aca="false" t="array" ref="DB18:DB18">INDEX(SUP_PLANTA_OPEX!$C$33:$F$33,DB14)/MAX(DB6+DB7+DB8,1)+SUP_PLANTA_OPEX!$C$30</f>
        <v>0.0983945966345137</v>
      </c>
      <c r="DC18" s="620" t="n">
        <f aca="false" t="array" ref="DC18:DC18">INDEX(SUP_PLANTA_OPEX!$C$33:$F$33,DC14)/MAX(DC6+DC7+DC8,1)+SUP_PLANTA_OPEX!$C$30</f>
        <v>0.0983945966345137</v>
      </c>
      <c r="DD18" s="620" t="n">
        <f aca="false" t="array" ref="DD18:DD18">INDEX(SUP_PLANTA_OPEX!$C$33:$F$33,DD14)/MAX(DD6+DD7+DD8,1)+SUP_PLANTA_OPEX!$C$30</f>
        <v>0.0983945966345137</v>
      </c>
      <c r="DE18" s="620" t="n">
        <f aca="false" t="array" ref="DE18:DE18">INDEX(SUP_PLANTA_OPEX!$C$33:$F$33,DE14)/MAX(DE6+DE7+DE8,1)+SUP_PLANTA_OPEX!$C$30</f>
        <v>0.0983945966345137</v>
      </c>
      <c r="DF18" s="620" t="n">
        <f aca="false" t="array" ref="DF18:DF18">INDEX(SUP_PLANTA_OPEX!$C$33:$F$33,DF14)/MAX(DF6+DF7+DF8,1)+SUP_PLANTA_OPEX!$C$30</f>
        <v>0.0983945966345137</v>
      </c>
      <c r="DG18" s="620" t="n">
        <f aca="false" t="array" ref="DG18:DG18">INDEX(SUP_PLANTA_OPEX!$C$33:$F$33,DG14)/MAX(DG6+DG7+DG8,1)+SUP_PLANTA_OPEX!$C$30</f>
        <v>0.0983945966345137</v>
      </c>
      <c r="DH18" s="620" t="n">
        <f aca="false" t="array" ref="DH18:DH18">INDEX(SUP_PLANTA_OPEX!$C$33:$F$33,DH14)/MAX(DH6+DH7+DH8,1)+SUP_PLANTA_OPEX!$C$30</f>
        <v>0.0983945966345137</v>
      </c>
      <c r="DI18" s="620" t="n">
        <f aca="false" t="array" ref="DI18:DI18">INDEX(SUP_PLANTA_OPEX!$C$33:$F$33,DI14)/MAX(DI6+DI7+DI8,1)+SUP_PLANTA_OPEX!$C$30</f>
        <v>0.0983945966345137</v>
      </c>
      <c r="DJ18" s="620" t="n">
        <f aca="false" t="array" ref="DJ18:DJ18">INDEX(SUP_PLANTA_OPEX!$C$33:$F$33,DJ14)/MAX(DJ6+DJ7+DJ8,1)+SUP_PLANTA_OPEX!$C$30</f>
        <v>0.0983945966345137</v>
      </c>
      <c r="DK18" s="620" t="n">
        <f aca="false" t="array" ref="DK18:DK18">INDEX(SUP_PLANTA_OPEX!$C$33:$F$33,DK14)/MAX(DK6+DK7+DK8,1)+SUP_PLANTA_OPEX!$C$30</f>
        <v>0.0983945966345137</v>
      </c>
      <c r="DL18" s="620" t="n">
        <f aca="false" t="array" ref="DL18:DL18">INDEX(SUP_PLANTA_OPEX!$C$33:$F$33,DL14)/MAX(DL6+DL7+DL8,1)+SUP_PLANTA_OPEX!$C$30</f>
        <v>0.0983945966345137</v>
      </c>
      <c r="DM18" s="620" t="n">
        <f aca="false" t="array" ref="DM18:DM18">INDEX(SUP_PLANTA_OPEX!$C$33:$F$33,DM14)/MAX(DM6+DM7+DM8,1)+SUP_PLANTA_OPEX!$C$30</f>
        <v>0.0983945966345137</v>
      </c>
      <c r="DN18" s="620" t="n">
        <f aca="false" t="array" ref="DN18:DN18">INDEX(SUP_PLANTA_OPEX!$C$33:$F$33,DN14)/MAX(DN6+DN7+DN8,1)+SUP_PLANTA_OPEX!$C$30</f>
        <v>0.0983945966345137</v>
      </c>
      <c r="DO18" s="620" t="n">
        <f aca="false" t="array" ref="DO18:DO18">INDEX(SUP_PLANTA_OPEX!$C$33:$F$33,DO14)/MAX(DO6+DO7+DO8,1)+SUP_PLANTA_OPEX!$C$30</f>
        <v>0.0983945966345137</v>
      </c>
      <c r="DP18" s="620" t="n">
        <f aca="false" t="array" ref="DP18:DP18">INDEX(SUP_PLANTA_OPEX!$C$33:$F$33,DP14)/MAX(DP6+DP7+DP8,1)+SUP_PLANTA_OPEX!$C$30</f>
        <v>0.0983945966345137</v>
      </c>
      <c r="DQ18" s="620" t="n">
        <f aca="false" t="array" ref="DQ18:DQ18">INDEX(SUP_PLANTA_OPEX!$C$33:$F$33,DQ14)/MAX(DQ6+DQ7+DQ8,1)+SUP_PLANTA_OPEX!$C$30</f>
        <v>0.0983945966345137</v>
      </c>
      <c r="DR18" s="620" t="n">
        <f aca="false" t="array" ref="DR18:DR18">INDEX(SUP_PLANTA_OPEX!$C$33:$F$33,DR14)/MAX(DR6+DR7+DR8,1)+SUP_PLANTA_OPEX!$C$30</f>
        <v>0.0983945966345137</v>
      </c>
      <c r="DS18" s="620" t="n">
        <f aca="false" t="array" ref="DS18:DS18">INDEX(SUP_PLANTA_OPEX!$C$33:$F$33,DS14)/MAX(DS6+DS7+DS8,1)+SUP_PLANTA_OPEX!$C$30</f>
        <v>0.0983945966345137</v>
      </c>
    </row>
    <row r="19" customFormat="false" ht="15" hidden="false" customHeight="true" outlineLevel="0" collapsed="false">
      <c r="A19" s="186"/>
      <c r="B19" s="618" t="s">
        <v>3773</v>
      </c>
      <c r="C19" s="25"/>
      <c r="D19" s="621" t="n">
        <f aca="false">(D6+D7+D8)*D18</f>
        <v>0</v>
      </c>
      <c r="E19" s="621" t="n">
        <f aca="false">(E6+E7+E8)*E18</f>
        <v>0</v>
      </c>
      <c r="F19" s="621" t="n">
        <f aca="false">(F6+F7+F8)*F18</f>
        <v>0</v>
      </c>
      <c r="G19" s="621" t="n">
        <f aca="false">(G6+G7+G8)*G18</f>
        <v>11159.605625</v>
      </c>
      <c r="H19" s="621" t="n">
        <f aca="false">(H6+H7+H8)*H18</f>
        <v>11395.225625</v>
      </c>
      <c r="I19" s="621" t="n">
        <f aca="false">(I6+I7+I8)*I18</f>
        <v>11672.425625</v>
      </c>
      <c r="J19" s="621" t="n">
        <f aca="false">(J6+J7+J8)*J18</f>
        <v>11978.731625</v>
      </c>
      <c r="K19" s="621" t="n">
        <f aca="false">(K6+K7+K8)*K18</f>
        <v>12320.380625</v>
      </c>
      <c r="L19" s="621" t="n">
        <f aca="false">(L6+L7+L8)*L18</f>
        <v>12422.251625</v>
      </c>
      <c r="M19" s="621" t="n">
        <f aca="false">(M6+M7+M8)*M18</f>
        <v>12476.305625</v>
      </c>
      <c r="N19" s="621" t="n">
        <f aca="false">(N6+N7+N8)*N18</f>
        <v>12476.305625</v>
      </c>
      <c r="O19" s="621" t="n">
        <f aca="false">(O6+O7+O8)*O18</f>
        <v>12476.305625</v>
      </c>
      <c r="P19" s="621" t="n">
        <f aca="false">(P6+P7+P8)*P18</f>
        <v>12476.305625</v>
      </c>
      <c r="Q19" s="621" t="n">
        <f aca="false">(Q6+Q7+Q8)*Q18</f>
        <v>12476.305625</v>
      </c>
      <c r="R19" s="621" t="n">
        <f aca="false">(R6+R7+R8)*R18</f>
        <v>12476.305625</v>
      </c>
      <c r="S19" s="621" t="n">
        <f aca="false">(S6+S7+S8)*S18</f>
        <v>12476.305625</v>
      </c>
      <c r="T19" s="621" t="n">
        <f aca="false">(T6+T7+T8)*T18</f>
        <v>12476.305625</v>
      </c>
      <c r="U19" s="621" t="n">
        <f aca="false">(U6+U7+U8)*U18</f>
        <v>12476.305625</v>
      </c>
      <c r="V19" s="621" t="n">
        <f aca="false">(V6+V7+V8)*V18</f>
        <v>12566.395625</v>
      </c>
      <c r="W19" s="621" t="n">
        <f aca="false">(W6+W7+W8)*W18</f>
        <v>12677.275625</v>
      </c>
      <c r="X19" s="621" t="n">
        <f aca="false">(X6+X7+X8)*X18</f>
        <v>12711.925625</v>
      </c>
      <c r="Y19" s="621" t="n">
        <f aca="false">(Y6+Y7+Y8)*Y18</f>
        <v>12829.735625</v>
      </c>
      <c r="Z19" s="621" t="n">
        <f aca="false">(Z6+Z7+Z8)*Z18</f>
        <v>12864.385625</v>
      </c>
      <c r="AA19" s="621" t="n">
        <f aca="false">(AA6+AA7+AA8)*AA18</f>
        <v>12878.245625</v>
      </c>
      <c r="AB19" s="621" t="n">
        <f aca="false">(AB6+AB7+AB8)*AB18</f>
        <v>12892.105625</v>
      </c>
      <c r="AC19" s="621" t="n">
        <f aca="false">(AC6+AC7+AC8)*AC18</f>
        <v>12892.105625</v>
      </c>
      <c r="AD19" s="621" t="n">
        <f aca="false">(AD6+AD7+AD8)*AD18</f>
        <v>16902.105625</v>
      </c>
      <c r="AE19" s="621" t="n">
        <f aca="false">(AE6+AE7+AE8)*AE18</f>
        <v>16902.105625</v>
      </c>
      <c r="AF19" s="621" t="n">
        <f aca="false">(AF6+AF7+AF8)*AF18</f>
        <v>16902.105625</v>
      </c>
      <c r="AG19" s="621" t="n">
        <f aca="false">(AG6+AG7+AG8)*AG18</f>
        <v>16889.631625</v>
      </c>
      <c r="AH19" s="621" t="n">
        <f aca="false">(AH6+AH7+AH8)*AH18</f>
        <v>16889.631625</v>
      </c>
      <c r="AI19" s="621" t="n">
        <f aca="false">(AI6+AI7+AI8)*AI18</f>
        <v>17003.235115</v>
      </c>
      <c r="AJ19" s="621" t="n">
        <f aca="false">(AJ6+AJ7+AJ8)*AJ18</f>
        <v>17116.838605</v>
      </c>
      <c r="AK19" s="621" t="n">
        <f aca="false">(AK6+AK7+AK8)*AK18</f>
        <v>17154.482365</v>
      </c>
      <c r="AL19" s="621" t="n">
        <f aca="false">(AL6+AL7+AL8)*AL18</f>
        <v>17272.791325</v>
      </c>
      <c r="AM19" s="621" t="n">
        <f aca="false">(AM6+AM7+AM8)*AM18</f>
        <v>17306.401825</v>
      </c>
      <c r="AN19" s="621" t="n">
        <f aca="false">(AN6+AN7+AN8)*AN18</f>
        <v>17407.233325</v>
      </c>
      <c r="AO19" s="621" t="n">
        <f aca="false">(AO6+AO7+AO8)*AO18</f>
        <v>17440.843825</v>
      </c>
      <c r="AP19" s="621" t="n">
        <f aca="false">(AP6+AP7+AP8)*AP18</f>
        <v>17429.340025</v>
      </c>
      <c r="AQ19" s="621" t="n">
        <f aca="false">(AQ6+AQ7+AQ8)*AQ18</f>
        <v>17553.11329</v>
      </c>
      <c r="AR19" s="621" t="n">
        <f aca="false">(AR6+AR7+AR8)*AR18</f>
        <v>17663.788855</v>
      </c>
      <c r="AS19" s="621" t="n">
        <f aca="false">(AS6+AS7+AS8)*AS18</f>
        <v>17785.597465</v>
      </c>
      <c r="AT19" s="621" t="n">
        <f aca="false">(AT6+AT7+AT8)*AT18</f>
        <v>17920.503775</v>
      </c>
      <c r="AU19" s="621" t="n">
        <f aca="false">(AU6+AU7+AU8)*AU18</f>
        <v>17966.345725</v>
      </c>
      <c r="AV19" s="621" t="n">
        <f aca="false">(AV6+AV7+AV8)*AV18</f>
        <v>17992.541125</v>
      </c>
      <c r="AW19" s="621" t="n">
        <f aca="false">(AW6+AW7+AW8)*AW18</f>
        <v>18116.31439</v>
      </c>
      <c r="AX19" s="621" t="n">
        <f aca="false">(AX6+AX7+AX8)*AX18</f>
        <v>18141.854905</v>
      </c>
      <c r="AY19" s="621" t="n">
        <f aca="false">(AY6+AY7+AY8)*AY18</f>
        <v>18244.016965</v>
      </c>
      <c r="AZ19" s="621" t="n">
        <f aca="false">(AZ6+AZ7+AZ8)*AZ18</f>
        <v>18365.825575</v>
      </c>
      <c r="BA19" s="621" t="n">
        <f aca="false">(BA6+BA7+BA8)*BA18</f>
        <v>18398.569825</v>
      </c>
      <c r="BB19" s="621" t="n">
        <f aca="false">(BB6+BB7+BB8)*BB18</f>
        <v>25659.765225</v>
      </c>
      <c r="BC19" s="621" t="n">
        <f aca="false">(BC6+BC7+BC8)*BC18</f>
        <v>25672.862925</v>
      </c>
      <c r="BD19" s="621" t="n">
        <f aca="false">(BD6+BD7+BD8)*BD18</f>
        <v>25672.862925</v>
      </c>
      <c r="BE19" s="621" t="n">
        <f aca="false">(BE6+BE7+BE8)*BE18</f>
        <v>25672.862925</v>
      </c>
      <c r="BF19" s="621" t="n">
        <f aca="false">(BF6+BF7+BF8)*BF18</f>
        <v>25621.234425</v>
      </c>
      <c r="BG19" s="621" t="n">
        <f aca="false">(BG6+BG7+BG8)*BG18</f>
        <v>25621.234425</v>
      </c>
      <c r="BH19" s="621" t="n">
        <f aca="false">(BH6+BH7+BH8)*BH18</f>
        <v>25621.234425</v>
      </c>
      <c r="BI19" s="621" t="n">
        <f aca="false">(BI6+BI7+BI8)*BI18</f>
        <v>25787.000025</v>
      </c>
      <c r="BJ19" s="621" t="n">
        <f aca="false">(BJ6+BJ7+BJ8)*BJ18</f>
        <v>25908.136425</v>
      </c>
      <c r="BK19" s="621" t="n">
        <f aca="false">(BK6+BK7+BK8)*BK18</f>
        <v>26009.660925</v>
      </c>
      <c r="BL19" s="621" t="n">
        <f aca="false">(BL6+BL7+BL8)*BL18</f>
        <v>26152.488225</v>
      </c>
      <c r="BM19" s="621" t="n">
        <f aca="false">(BM6+BM7+BM8)*BM18</f>
        <v>26280.970425</v>
      </c>
      <c r="BN19" s="621" t="n">
        <f aca="false">(BN6+BN7+BN8)*BN18</f>
        <v>26409.452625</v>
      </c>
      <c r="BO19" s="621" t="n">
        <f aca="false">(BO6+BO7+BO8)*BO18</f>
        <v>26453.111625</v>
      </c>
      <c r="BP19" s="621" t="n">
        <f aca="false">(BP6+BP7+BP8)*BP18</f>
        <v>26583.464925</v>
      </c>
      <c r="BQ19" s="621" t="n">
        <f aca="false">(BQ6+BQ7+BQ8)*BQ18</f>
        <v>26635.121145</v>
      </c>
      <c r="BR19" s="621" t="n">
        <f aca="false">(BR6+BR7+BR8)*BR18</f>
        <v>26748.551385</v>
      </c>
      <c r="BS19" s="621" t="n">
        <f aca="false">(BS6+BS7+BS8)*BS18</f>
        <v>26874.178425</v>
      </c>
      <c r="BT19" s="621" t="n">
        <f aca="false">(BT6+BT7+BT8)*BT18</f>
        <v>27019.930185</v>
      </c>
      <c r="BU19" s="621" t="n">
        <f aca="false">(BU6+BU7+BU8)*BU18</f>
        <v>27147.386745</v>
      </c>
      <c r="BV19" s="621" t="n">
        <f aca="false">(BV6+BV7+BV8)*BV18</f>
        <v>27273.013785</v>
      </c>
      <c r="BW19" s="621" t="n">
        <f aca="false">(BW6+BW7+BW8)*BW18</f>
        <v>27335.958975</v>
      </c>
      <c r="BX19" s="621" t="n">
        <f aca="false">(BX6+BX7+BX8)*BX18</f>
        <v>27479.22633</v>
      </c>
      <c r="BY19" s="621" t="n">
        <f aca="false">(BY6+BY7+BY8)*BY18</f>
        <v>27526.582485</v>
      </c>
      <c r="BZ19" s="621" t="n">
        <f aca="false">(BZ6+BZ7+BZ8)*BZ18</f>
        <v>27710.012655</v>
      </c>
      <c r="CA19" s="621" t="n">
        <f aca="false">(CA6+CA7+CA8)*CA18</f>
        <v>27839.492775</v>
      </c>
      <c r="CB19" s="621" t="n">
        <f aca="false">(CB6+CB7+CB8)*CB18</f>
        <v>27885.889125</v>
      </c>
      <c r="CC19" s="621" t="n">
        <f aca="false">(CC6+CC7+CC8)*CC18</f>
        <v>28015.480125</v>
      </c>
      <c r="CD19" s="621" t="n">
        <f aca="false">(CD6+CD7+CD8)*CD18</f>
        <v>28156.263075</v>
      </c>
      <c r="CE19" s="621" t="n">
        <f aca="false">(CE6+CE7+CE8)*CE18</f>
        <v>28279.374525</v>
      </c>
      <c r="CF19" s="621" t="n">
        <f aca="false">(CF6+CF7+CF8)*CF18</f>
        <v>28400.718825</v>
      </c>
      <c r="CG19" s="621" t="n">
        <f aca="false">(CG6+CG7+CG8)*CG18</f>
        <v>28541.259225</v>
      </c>
      <c r="CH19" s="621" t="n">
        <f aca="false">(CH6+CH7+CH8)*CH18</f>
        <v>32807.849505</v>
      </c>
      <c r="CI19" s="621" t="n">
        <f aca="false">(CI6+CI7+CI8)*CI18</f>
        <v>32941.154985</v>
      </c>
      <c r="CJ19" s="621" t="n">
        <f aca="false">(CJ6+CJ7+CJ8)*CJ18</f>
        <v>32997.038505</v>
      </c>
      <c r="CK19" s="621" t="n">
        <f aca="false">(CK6+CK7+CK8)*CK18</f>
        <v>33023.816025</v>
      </c>
      <c r="CL19" s="621" t="n">
        <f aca="false">(CL6+CL7+CL8)*CL18</f>
        <v>33035.458425</v>
      </c>
      <c r="CM19" s="621" t="n">
        <f aca="false">(CM6+CM7+CM8)*CM18</f>
        <v>33035.458425</v>
      </c>
      <c r="CN19" s="621" t="n">
        <f aca="false">(CN6+CN7+CN8)*CN18</f>
        <v>33035.458425</v>
      </c>
      <c r="CO19" s="621" t="n">
        <f aca="false">(CO6+CO7+CO8)*CO18</f>
        <v>33035.458425</v>
      </c>
      <c r="CP19" s="621" t="n">
        <f aca="false">(CP6+CP7+CP8)*CP18</f>
        <v>33035.458425</v>
      </c>
      <c r="CQ19" s="621" t="n">
        <f aca="false">(CQ6+CQ7+CQ8)*CQ18</f>
        <v>33035.458425</v>
      </c>
      <c r="CR19" s="621" t="n">
        <f aca="false">(CR6+CR7+CR8)*CR18</f>
        <v>33035.458425</v>
      </c>
      <c r="CS19" s="621" t="n">
        <f aca="false">(CS6+CS7+CS8)*CS18</f>
        <v>33035.458425</v>
      </c>
      <c r="CT19" s="621" t="n">
        <f aca="false">(CT6+CT7+CT8)*CT18</f>
        <v>33035.458425</v>
      </c>
      <c r="CU19" s="621" t="n">
        <f aca="false">(CU6+CU7+CU8)*CU18</f>
        <v>33035.458425</v>
      </c>
      <c r="CV19" s="621" t="n">
        <f aca="false">(CV6+CV7+CV8)*CV18</f>
        <v>33035.458425</v>
      </c>
      <c r="CW19" s="621" t="n">
        <f aca="false">(CW6+CW7+CW8)*CW18</f>
        <v>33035.458425</v>
      </c>
      <c r="CX19" s="621" t="n">
        <f aca="false">(CX6+CX7+CX8)*CX18</f>
        <v>33035.458425</v>
      </c>
      <c r="CY19" s="621" t="n">
        <f aca="false">(CY6+CY7+CY8)*CY18</f>
        <v>33035.458425</v>
      </c>
      <c r="CZ19" s="621" t="n">
        <f aca="false">(CZ6+CZ7+CZ8)*CZ18</f>
        <v>33035.458425</v>
      </c>
      <c r="DA19" s="621" t="n">
        <f aca="false">(DA6+DA7+DA8)*DA18</f>
        <v>33035.458425</v>
      </c>
      <c r="DB19" s="621" t="n">
        <f aca="false">(DB6+DB7+DB8)*DB18</f>
        <v>33035.458425</v>
      </c>
      <c r="DC19" s="621" t="n">
        <f aca="false">(DC6+DC7+DC8)*DC18</f>
        <v>33035.458425</v>
      </c>
      <c r="DD19" s="621" t="n">
        <f aca="false">(DD6+DD7+DD8)*DD18</f>
        <v>33035.458425</v>
      </c>
      <c r="DE19" s="621" t="n">
        <f aca="false">(DE6+DE7+DE8)*DE18</f>
        <v>33035.458425</v>
      </c>
      <c r="DF19" s="621" t="n">
        <f aca="false">(DF6+DF7+DF8)*DF18</f>
        <v>33035.458425</v>
      </c>
      <c r="DG19" s="621" t="n">
        <f aca="false">(DG6+DG7+DG8)*DG18</f>
        <v>33035.458425</v>
      </c>
      <c r="DH19" s="621" t="n">
        <f aca="false">(DH6+DH7+DH8)*DH18</f>
        <v>33035.458425</v>
      </c>
      <c r="DI19" s="621" t="n">
        <f aca="false">(DI6+DI7+DI8)*DI18</f>
        <v>33035.458425</v>
      </c>
      <c r="DJ19" s="621" t="n">
        <f aca="false">(DJ6+DJ7+DJ8)*DJ18</f>
        <v>33035.458425</v>
      </c>
      <c r="DK19" s="621" t="n">
        <f aca="false">(DK6+DK7+DK8)*DK18</f>
        <v>33035.458425</v>
      </c>
      <c r="DL19" s="621" t="n">
        <f aca="false">(DL6+DL7+DL8)*DL18</f>
        <v>33035.458425</v>
      </c>
      <c r="DM19" s="621" t="n">
        <f aca="false">(DM6+DM7+DM8)*DM18</f>
        <v>33035.458425</v>
      </c>
      <c r="DN19" s="621" t="n">
        <f aca="false">(DN6+DN7+DN8)*DN18</f>
        <v>33035.458425</v>
      </c>
      <c r="DO19" s="621" t="n">
        <f aca="false">(DO6+DO7+DO8)*DO18</f>
        <v>33035.458425</v>
      </c>
      <c r="DP19" s="621" t="n">
        <f aca="false">(DP6+DP7+DP8)*DP18</f>
        <v>33035.458425</v>
      </c>
      <c r="DQ19" s="621" t="n">
        <f aca="false">(DQ6+DQ7+DQ8)*DQ18</f>
        <v>33035.458425</v>
      </c>
      <c r="DR19" s="621" t="n">
        <f aca="false">(DR6+DR7+DR8)*DR18</f>
        <v>33035.458425</v>
      </c>
      <c r="DS19" s="621" t="n">
        <f aca="false">(DS6+DS7+DS8)*DS18</f>
        <v>33035.458425</v>
      </c>
    </row>
    <row r="20" customFormat="false" ht="15" hidden="false" customHeight="true" outlineLevel="0" collapsed="false">
      <c r="B20" s="178" t="s">
        <v>1423</v>
      </c>
      <c r="D20" s="275" t="n">
        <v>1</v>
      </c>
      <c r="E20" s="275" t="n">
        <v>2</v>
      </c>
      <c r="F20" s="275" t="n">
        <v>3</v>
      </c>
      <c r="G20" s="275" t="n">
        <v>4</v>
      </c>
      <c r="H20" s="275" t="n">
        <v>5</v>
      </c>
      <c r="I20" s="275" t="n">
        <v>6</v>
      </c>
      <c r="J20" s="275" t="n">
        <v>7</v>
      </c>
      <c r="K20" s="275" t="n">
        <v>8</v>
      </c>
      <c r="L20" s="275" t="n">
        <v>9</v>
      </c>
      <c r="M20" s="275" t="n">
        <v>10</v>
      </c>
    </row>
    <row r="21" customFormat="false" ht="15" hidden="false" customHeight="true" outlineLevel="0" collapsed="false">
      <c r="B21" s="178" t="s">
        <v>3647</v>
      </c>
      <c r="D21" s="316" t="n">
        <f aca="false">AVERAGE(D11:O11)</f>
        <v>40.3643625</v>
      </c>
      <c r="E21" s="316" t="n">
        <f aca="false">AVERAGE(P11:AA11)</f>
        <v>82.495875</v>
      </c>
      <c r="F21" s="316" t="n">
        <f aca="false">AVERAGE(AB11:AM11)</f>
        <v>101.819804625</v>
      </c>
      <c r="G21" s="316" t="n">
        <f aca="false">AVERAGE(AN11:AY11)</f>
        <v>141.477942375</v>
      </c>
      <c r="H21" s="316" t="n">
        <f aca="false">AVERAGE(AZ11:BK11)</f>
        <v>174.810260625</v>
      </c>
      <c r="I21" s="316" t="n">
        <f aca="false">AVERAGE(BL11:BW11)</f>
        <v>226.611837375</v>
      </c>
      <c r="J21" s="316" t="n">
        <f aca="false">AVERAGE(BX11:CI11)</f>
        <v>295.1521505625</v>
      </c>
      <c r="K21" s="316" t="n">
        <f aca="false">AVERAGE(CJ11:CU11)</f>
        <v>335.536047</v>
      </c>
      <c r="L21" s="316" t="n">
        <f aca="false">AVERAGE(CV11:DG11)</f>
        <v>335.74464</v>
      </c>
      <c r="M21" s="316" t="n">
        <f aca="false">AVERAGE(DH11:DS11)</f>
        <v>335.74464</v>
      </c>
    </row>
    <row r="22" customFormat="false" ht="15" hidden="false" customHeight="true" outlineLevel="0" collapsed="false">
      <c r="B22" s="178" t="s">
        <v>3774</v>
      </c>
      <c r="D22" s="299" t="n">
        <f aca="false">AVERAGE(D13:O13)</f>
        <v>0.440418576104746</v>
      </c>
      <c r="E22" s="299" t="n">
        <f aca="false">AVERAGE(P13:AA13)</f>
        <v>0.900118657937807</v>
      </c>
      <c r="F22" s="299" t="n">
        <f aca="false">AVERAGE(AB13:AM13)</f>
        <v>0.643067673895254</v>
      </c>
      <c r="G22" s="299" t="n">
        <f aca="false">AVERAGE(AN13:AY13)</f>
        <v>0.771838201718494</v>
      </c>
      <c r="H22" s="299" t="n">
        <f aca="false">AVERAGE(AZ13:BK13)</f>
        <v>0.554279490589198</v>
      </c>
      <c r="I22" s="299" t="n">
        <f aca="false">AVERAGE(BL13:BW13)</f>
        <v>0.618144673690671</v>
      </c>
      <c r="J22" s="299" t="n">
        <f aca="false">AVERAGE(BX13:CI13)</f>
        <v>0.755446729575832</v>
      </c>
      <c r="K22" s="299" t="n">
        <f aca="false">AVERAGE(CJ13:CU13)</f>
        <v>0.610176481178396</v>
      </c>
      <c r="L22" s="299" t="n">
        <f aca="false">AVERAGE(CV13:DG13)</f>
        <v>0.610555810147299</v>
      </c>
      <c r="M22" s="299" t="n">
        <f aca="false">AVERAGE(DH13:DS13)</f>
        <v>0.610555810147299</v>
      </c>
    </row>
    <row r="23" customFormat="false" ht="15" hidden="false" customHeight="true" outlineLevel="0" collapsed="false">
      <c r="B23" s="178" t="s">
        <v>3775</v>
      </c>
      <c r="D23" s="298" t="n">
        <f aca="false">O14</f>
        <v>1</v>
      </c>
      <c r="E23" s="298" t="n">
        <f aca="false">AA14</f>
        <v>1</v>
      </c>
      <c r="F23" s="298" t="n">
        <f aca="false">AM14</f>
        <v>2</v>
      </c>
      <c r="G23" s="298" t="n">
        <f aca="false">AY14</f>
        <v>2</v>
      </c>
      <c r="H23" s="298" t="n">
        <f aca="false">BK14</f>
        <v>3</v>
      </c>
      <c r="I23" s="298" t="n">
        <f aca="false">BW14</f>
        <v>3</v>
      </c>
      <c r="J23" s="298" t="n">
        <f aca="false">CI14</f>
        <v>4</v>
      </c>
      <c r="K23" s="298" t="n">
        <f aca="false">CU14</f>
        <v>4</v>
      </c>
      <c r="L23" s="298" t="n">
        <f aca="false">DG14</f>
        <v>4</v>
      </c>
      <c r="M23" s="298" t="n">
        <f aca="false">DS14</f>
        <v>4</v>
      </c>
    </row>
    <row r="25" customFormat="false" ht="15" hidden="false" customHeight="true" outlineLevel="0" collapsed="false">
      <c r="B25" s="178" t="s">
        <v>3776</v>
      </c>
      <c r="C25" s="272" t="n">
        <f aca="false">AVERAGE(DH11:DS11)/200</f>
        <v>1.6787232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1C1C"/>
    <pageSetUpPr fitToPage="false"/>
  </sheetPr>
  <dimension ref="B2: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2"/>
    <col collapsed="false" customWidth="true" hidden="false" outlineLevel="0" max="2" min="2" style="1" width="4"/>
    <col collapsed="false" customWidth="true" hidden="false" outlineLevel="0" max="3" min="3" style="1" width="26"/>
    <col collapsed="false" customWidth="true" hidden="false" outlineLevel="0" max="4" min="4" style="1" width="46"/>
    <col collapsed="false" customWidth="true" hidden="false" outlineLevel="0" max="5" min="5" style="1" width="14"/>
    <col collapsed="false" customWidth="true" hidden="false" outlineLevel="0" max="6" min="6" style="1" width="52"/>
  </cols>
  <sheetData>
    <row r="2" customFormat="false" ht="24" hidden="false" customHeight="true" outlineLevel="0" collapsed="false">
      <c r="B2" s="622" t="s">
        <v>3777</v>
      </c>
      <c r="C2" s="622"/>
      <c r="D2" s="622"/>
      <c r="E2" s="622"/>
      <c r="F2" s="622"/>
    </row>
    <row r="3" customFormat="false" ht="15" hidden="false" customHeight="true" outlineLevel="0" collapsed="false">
      <c r="B3" s="623" t="s">
        <v>3778</v>
      </c>
      <c r="C3" s="623"/>
      <c r="D3" s="623"/>
      <c r="E3" s="623"/>
      <c r="F3" s="623"/>
    </row>
    <row r="5" customFormat="false" ht="15" hidden="false" customHeight="true" outlineLevel="0" collapsed="false">
      <c r="B5" s="624" t="s">
        <v>2097</v>
      </c>
      <c r="C5" s="624" t="s">
        <v>3779</v>
      </c>
      <c r="D5" s="624" t="s">
        <v>304</v>
      </c>
      <c r="E5" s="624" t="s">
        <v>3780</v>
      </c>
      <c r="F5" s="624" t="s">
        <v>3781</v>
      </c>
    </row>
    <row r="6" customFormat="false" ht="25.5" hidden="false" customHeight="true" outlineLevel="0" collapsed="false">
      <c r="B6" s="625" t="s">
        <v>3782</v>
      </c>
      <c r="C6" s="625" t="s">
        <v>3783</v>
      </c>
      <c r="D6" s="625" t="s">
        <v>3784</v>
      </c>
      <c r="E6" s="625" t="str">
        <f aca="false">SUP_PLANTA_OPEX!C11</f>
        <v>FASE 1</v>
      </c>
      <c r="F6" s="626" t="s">
        <v>3785</v>
      </c>
    </row>
    <row r="7" customFormat="false" ht="25.5" hidden="false" customHeight="true" outlineLevel="0" collapsed="false">
      <c r="B7" s="625" t="s">
        <v>3786</v>
      </c>
      <c r="C7" s="625" t="s">
        <v>3787</v>
      </c>
      <c r="D7" s="625" t="s">
        <v>3788</v>
      </c>
      <c r="E7" s="625" t="n">
        <f aca="false">SUP_PLANTA_OPEX!C12</f>
        <v>1</v>
      </c>
      <c r="F7" s="626" t="s">
        <v>3789</v>
      </c>
    </row>
    <row r="8" customFormat="false" ht="25.5" hidden="false" customHeight="true" outlineLevel="0" collapsed="false">
      <c r="B8" s="625" t="s">
        <v>3790</v>
      </c>
      <c r="C8" s="625" t="s">
        <v>3791</v>
      </c>
      <c r="D8" s="625" t="s">
        <v>3792</v>
      </c>
      <c r="E8" s="625" t="n">
        <f aca="false">SUP_PLANTA_OPEX!C13</f>
        <v>1</v>
      </c>
      <c r="F8" s="626" t="s">
        <v>3793</v>
      </c>
    </row>
    <row r="9" customFormat="false" ht="25.5" hidden="false" customHeight="true" outlineLevel="0" collapsed="false">
      <c r="B9" s="625" t="s">
        <v>3794</v>
      </c>
      <c r="C9" s="625" t="s">
        <v>3795</v>
      </c>
      <c r="D9" s="625" t="s">
        <v>3796</v>
      </c>
      <c r="E9" s="625" t="n">
        <f aca="false">SUP_PLANTA_OPEX!C14</f>
        <v>12</v>
      </c>
      <c r="F9" s="626" t="s">
        <v>3793</v>
      </c>
    </row>
    <row r="10" customFormat="false" ht="25.5" hidden="false" customHeight="true" outlineLevel="0" collapsed="false">
      <c r="B10" s="625" t="s">
        <v>3797</v>
      </c>
      <c r="C10" s="625" t="s">
        <v>3798</v>
      </c>
      <c r="D10" s="625" t="s">
        <v>3799</v>
      </c>
      <c r="E10" s="625" t="n">
        <f aca="false">SUP_PLANTA_OPEX!C22</f>
        <v>0</v>
      </c>
      <c r="F10" s="626" t="s">
        <v>3800</v>
      </c>
    </row>
    <row r="11" customFormat="false" ht="25.5" hidden="false" customHeight="true" outlineLevel="0" collapsed="false">
      <c r="B11" s="625" t="s">
        <v>3801</v>
      </c>
      <c r="C11" s="625" t="s">
        <v>3802</v>
      </c>
      <c r="D11" s="625" t="s">
        <v>3803</v>
      </c>
      <c r="E11" s="627" t="n">
        <f aca="false">SUP_PLANTA_OPEX!C6</f>
        <v>2000</v>
      </c>
      <c r="F11" s="626" t="s">
        <v>3804</v>
      </c>
    </row>
    <row r="12" customFormat="false" ht="25.5" hidden="false" customHeight="true" outlineLevel="0" collapsed="false">
      <c r="B12" s="625" t="s">
        <v>3805</v>
      </c>
      <c r="C12" s="625" t="s">
        <v>35</v>
      </c>
      <c r="D12" s="625" t="s">
        <v>3806</v>
      </c>
      <c r="E12" s="625" t="s">
        <v>360</v>
      </c>
      <c r="F12" s="626" t="s">
        <v>3807</v>
      </c>
    </row>
    <row r="13" customFormat="false" ht="25.5" hidden="false" customHeight="true" outlineLevel="0" collapsed="false">
      <c r="B13" s="625" t="s">
        <v>3808</v>
      </c>
      <c r="C13" s="625" t="s">
        <v>3809</v>
      </c>
      <c r="D13" s="625" t="s">
        <v>3810</v>
      </c>
      <c r="E13" s="628" t="n">
        <f aca="false">SUP_PRODUCCION!C34</f>
        <v>91.65</v>
      </c>
      <c r="F13" s="626" t="s">
        <v>3811</v>
      </c>
    </row>
    <row r="14" customFormat="false" ht="21.75" hidden="false" customHeight="true" outlineLevel="0" collapsed="false">
      <c r="B14" s="625" t="s">
        <v>3812</v>
      </c>
      <c r="C14" s="625" t="s">
        <v>3813</v>
      </c>
      <c r="D14" s="625" t="s">
        <v>3814</v>
      </c>
      <c r="E14" s="629" t="str">
        <f aca="false">SUP_POLLO!C15</f>
        <v>USD tasa BCV</v>
      </c>
      <c r="F14" s="626" t="s">
        <v>3815</v>
      </c>
    </row>
    <row r="15" customFormat="false" ht="15" hidden="false" customHeight="true" outlineLevel="0" collapsed="false">
      <c r="B15" s="625" t="s">
        <v>3816</v>
      </c>
      <c r="C15" s="625" t="s">
        <v>3817</v>
      </c>
      <c r="D15" s="625" t="s">
        <v>3818</v>
      </c>
      <c r="E15" s="630" t="n">
        <f aca="false">SUP_POLLO!C30</f>
        <v>0.1</v>
      </c>
      <c r="F15" s="626" t="s">
        <v>3819</v>
      </c>
    </row>
    <row r="16" customFormat="false" ht="15" hidden="false" customHeight="true" outlineLevel="0" collapsed="false">
      <c r="B16" s="625" t="s">
        <v>3820</v>
      </c>
      <c r="C16" s="625" t="s">
        <v>3821</v>
      </c>
      <c r="D16" s="625" t="s">
        <v>3822</v>
      </c>
      <c r="E16" s="630" t="n">
        <f aca="false">SUP_POLLO!C31</f>
        <v>0.8</v>
      </c>
      <c r="F16" s="626" t="s">
        <v>3823</v>
      </c>
    </row>
    <row r="17" customFormat="false" ht="15" hidden="false" customHeight="true" outlineLevel="0" collapsed="false">
      <c r="B17" s="625" t="s">
        <v>3824</v>
      </c>
      <c r="C17" s="625" t="s">
        <v>3825</v>
      </c>
      <c r="D17" s="625" t="s">
        <v>3826</v>
      </c>
      <c r="E17" s="630" t="n">
        <f aca="false">SUP_POLLO!C20</f>
        <v>0.74</v>
      </c>
      <c r="F17" s="626" t="s">
        <v>3827</v>
      </c>
    </row>
    <row r="18" customFormat="false" ht="15" hidden="false" customHeight="true" outlineLevel="0" collapsed="false">
      <c r="B18" s="625" t="s">
        <v>3828</v>
      </c>
      <c r="C18" s="625" t="s">
        <v>3829</v>
      </c>
      <c r="D18" s="625" t="s">
        <v>3830</v>
      </c>
      <c r="E18" s="630" t="n">
        <f aca="false">SUP_POLLO!C49</f>
        <v>48</v>
      </c>
      <c r="F18" s="626" t="s">
        <v>3831</v>
      </c>
    </row>
  </sheetData>
  <mergeCells count="2">
    <mergeCell ref="B2:F2"/>
    <mergeCell ref="B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08080"/>
    <pageSetUpPr fitToPage="false"/>
  </sheetPr>
  <dimension ref="A1:I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
    <col collapsed="false" customWidth="true" hidden="false" outlineLevel="0" max="2" min="2" style="1" width="100"/>
    <col collapsed="false" customWidth="true" hidden="false" outlineLevel="0" max="3" min="3" style="1" width="14"/>
  </cols>
  <sheetData>
    <row r="1" customFormat="false" ht="15" hidden="false" customHeight="true" outlineLevel="0" collapsed="false">
      <c r="A1" s="185" t="s">
        <v>3832</v>
      </c>
      <c r="B1" s="126"/>
      <c r="C1" s="126"/>
      <c r="D1" s="126"/>
      <c r="E1" s="126"/>
      <c r="F1" s="126"/>
      <c r="G1" s="126"/>
      <c r="H1" s="126"/>
      <c r="I1" s="126"/>
    </row>
    <row r="4" customFormat="false" ht="15" hidden="false" customHeight="true" outlineLevel="0" collapsed="false">
      <c r="A4" s="186" t="s">
        <v>3833</v>
      </c>
      <c r="B4" s="25"/>
      <c r="C4" s="25"/>
    </row>
    <row r="5" customFormat="false" ht="15" hidden="false" customHeight="true" outlineLevel="0" collapsed="false">
      <c r="B5" s="297" t="s">
        <v>3834</v>
      </c>
      <c r="C5" s="497" t="s">
        <v>21</v>
      </c>
    </row>
    <row r="6" customFormat="false" ht="15" hidden="false" customHeight="true" outlineLevel="0" collapsed="false">
      <c r="B6" s="297" t="s">
        <v>3835</v>
      </c>
      <c r="C6" s="497" t="s">
        <v>3836</v>
      </c>
    </row>
    <row r="7" customFormat="false" ht="15" hidden="false" customHeight="true" outlineLevel="0" collapsed="false">
      <c r="B7" s="297" t="s">
        <v>3837</v>
      </c>
      <c r="C7" s="497" t="s">
        <v>3838</v>
      </c>
    </row>
    <row r="8" customFormat="false" ht="15" hidden="false" customHeight="true" outlineLevel="0" collapsed="false">
      <c r="B8" s="297" t="s">
        <v>3839</v>
      </c>
      <c r="C8" s="497" t="s">
        <v>6</v>
      </c>
    </row>
    <row r="9" customFormat="false" ht="15" hidden="false" customHeight="true" outlineLevel="0" collapsed="false">
      <c r="B9" s="297" t="s">
        <v>3840</v>
      </c>
      <c r="C9" s="497" t="s">
        <v>41</v>
      </c>
    </row>
    <row r="10" customFormat="false" ht="15" hidden="false" customHeight="true" outlineLevel="0" collapsed="false">
      <c r="B10" s="297" t="s">
        <v>3841</v>
      </c>
      <c r="C10" s="497" t="s">
        <v>3842</v>
      </c>
    </row>
    <row r="11" customFormat="false" ht="15" hidden="false" customHeight="true" outlineLevel="0" collapsed="false">
      <c r="B11" s="297" t="s">
        <v>3843</v>
      </c>
      <c r="C11" s="497" t="s">
        <v>3844</v>
      </c>
    </row>
    <row r="12" customFormat="false" ht="15" hidden="false" customHeight="true" outlineLevel="0" collapsed="false">
      <c r="B12" s="297" t="s">
        <v>3845</v>
      </c>
      <c r="C12" s="497" t="s">
        <v>55</v>
      </c>
    </row>
    <row r="13" customFormat="false" ht="15" hidden="false" customHeight="true" outlineLevel="0" collapsed="false">
      <c r="B13" s="297" t="s">
        <v>3846</v>
      </c>
      <c r="C13" s="497" t="s">
        <v>3847</v>
      </c>
    </row>
    <row r="14" customFormat="false" ht="15" hidden="false" customHeight="true" outlineLevel="0" collapsed="false">
      <c r="B14" s="297" t="s">
        <v>3848</v>
      </c>
      <c r="C14" s="497" t="s">
        <v>53</v>
      </c>
    </row>
    <row r="15" customFormat="false" ht="15" hidden="false" customHeight="true" outlineLevel="0" collapsed="false">
      <c r="B15" s="297" t="s">
        <v>3849</v>
      </c>
      <c r="C15" s="497" t="s">
        <v>3850</v>
      </c>
    </row>
    <row r="16" customFormat="false" ht="15" hidden="false" customHeight="true" outlineLevel="0" collapsed="false">
      <c r="B16" s="297" t="s">
        <v>3851</v>
      </c>
      <c r="C16" s="497" t="s">
        <v>57</v>
      </c>
    </row>
    <row r="17" customFormat="false" ht="15" hidden="false" customHeight="true" outlineLevel="0" collapsed="false">
      <c r="B17" s="297" t="s">
        <v>3852</v>
      </c>
      <c r="C17" s="497" t="s">
        <v>69</v>
      </c>
    </row>
    <row r="18" customFormat="false" ht="15" hidden="false" customHeight="true" outlineLevel="0" collapsed="false">
      <c r="B18" s="297" t="s">
        <v>3853</v>
      </c>
      <c r="C18" s="497" t="s">
        <v>43</v>
      </c>
    </row>
    <row r="19" customFormat="false" ht="15" hidden="false" customHeight="true" outlineLevel="0" collapsed="false">
      <c r="B19" s="297" t="s">
        <v>3854</v>
      </c>
      <c r="C19" s="497" t="s">
        <v>3855</v>
      </c>
    </row>
    <row r="20" customFormat="false" ht="15" hidden="false" customHeight="true" outlineLevel="0" collapsed="false">
      <c r="B20" s="297" t="s">
        <v>3856</v>
      </c>
      <c r="C20" s="497" t="s">
        <v>564</v>
      </c>
    </row>
    <row r="21" customFormat="false" ht="15" hidden="false" customHeight="true" outlineLevel="0" collapsed="false">
      <c r="B21" s="297" t="s">
        <v>3857</v>
      </c>
      <c r="C21" s="497" t="s">
        <v>3858</v>
      </c>
    </row>
    <row r="22" customFormat="false" ht="15" hidden="false" customHeight="true" outlineLevel="0" collapsed="false">
      <c r="B22" s="297" t="str">
        <f aca="false">"□ Todo en USD, ingresos netos de IVA, ISLR "&amp;TEXT(SUP_CONTROL!$C$33,"0%")&amp;", descuento "&amp;TEXT(SUP_CONTROL!$C$31,"0%")&amp;" anual editable"</f>
        <v>□ Todo en USD, ingresos netos de IVA, ISLR 34%, descuento 20% anual editable</v>
      </c>
      <c r="C22" s="497" t="s">
        <v>3859</v>
      </c>
    </row>
    <row r="23" customFormat="false" ht="15" hidden="false" customHeight="true" outlineLevel="0" collapsed="false">
      <c r="B23" s="297" t="s">
        <v>3860</v>
      </c>
      <c r="C23" s="497" t="s">
        <v>3861</v>
      </c>
    </row>
    <row r="24" customFormat="false" ht="15" hidden="false" customHeight="true" outlineLevel="0" collapsed="false">
      <c r="B24" s="297" t="s">
        <v>3862</v>
      </c>
      <c r="C24" s="497" t="s">
        <v>3863</v>
      </c>
    </row>
    <row r="25" customFormat="false" ht="15" hidden="false" customHeight="true" outlineLevel="0" collapsed="false">
      <c r="B25" s="297" t="s">
        <v>3864</v>
      </c>
      <c r="C25" s="497" t="s">
        <v>3865</v>
      </c>
    </row>
    <row r="26" customFormat="false" ht="15" hidden="false" customHeight="true" outlineLevel="0" collapsed="false">
      <c r="B26" s="297" t="s">
        <v>3866</v>
      </c>
      <c r="C26" s="497" t="s">
        <v>3867</v>
      </c>
    </row>
    <row r="27" customFormat="false" ht="15" hidden="false" customHeight="true" outlineLevel="0" collapsed="false">
      <c r="B27" s="297" t="s">
        <v>3868</v>
      </c>
      <c r="C27" s="497" t="s">
        <v>3869</v>
      </c>
    </row>
    <row r="28" customFormat="false" ht="15" hidden="false" customHeight="true" outlineLevel="0" collapsed="false">
      <c r="B28" s="297" t="s">
        <v>3870</v>
      </c>
      <c r="C28" s="497" t="s">
        <v>3871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G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7"/>
    <col collapsed="false" customWidth="true" hidden="false" outlineLevel="0" max="3" min="3" style="1" width="34"/>
    <col collapsed="false" customWidth="true" hidden="false" outlineLevel="0" max="4" min="4" style="1" width="62"/>
    <col collapsed="false" customWidth="true" hidden="false" outlineLevel="0" max="6" min="5" style="1" width="16"/>
    <col collapsed="false" customWidth="true" hidden="false" outlineLevel="0" max="7" min="7" style="1" width="14"/>
  </cols>
  <sheetData>
    <row r="1" customFormat="false" ht="15" hidden="false" customHeight="true" outlineLevel="0" collapsed="false">
      <c r="A1" s="125" t="s">
        <v>3872</v>
      </c>
      <c r="B1" s="126"/>
      <c r="C1" s="126"/>
      <c r="D1" s="126"/>
      <c r="E1" s="126"/>
      <c r="F1" s="126"/>
      <c r="G1" s="126"/>
    </row>
    <row r="2" customFormat="false" ht="15" hidden="false" customHeight="true" outlineLevel="0" collapsed="false">
      <c r="A2" s="127" t="s">
        <v>3873</v>
      </c>
    </row>
    <row r="4" customFormat="false" ht="15" hidden="false" customHeight="true" outlineLevel="0" collapsed="false">
      <c r="C4" s="129" t="s">
        <v>3874</v>
      </c>
      <c r="E4" s="631" t="n">
        <f aca="false">COUNTIF($G$8:$G$40,"⚠*")</f>
        <v>0</v>
      </c>
      <c r="F4" s="632" t="str">
        <f aca="false">IF(E4=0,"✓ CASCADA ÍNTEGRA","⚠ REVISAR")</f>
        <v>✓ CASCADA ÍNTEGRA</v>
      </c>
    </row>
    <row r="6" customFormat="false" ht="15" hidden="false" customHeight="true" outlineLevel="0" collapsed="false">
      <c r="A6" s="128" t="s">
        <v>3875</v>
      </c>
      <c r="B6" s="25"/>
      <c r="C6" s="25"/>
      <c r="D6" s="25"/>
      <c r="E6" s="25"/>
      <c r="F6" s="25"/>
      <c r="G6" s="25"/>
    </row>
    <row r="7" customFormat="false" ht="15" hidden="false" customHeight="true" outlineLevel="0" collapsed="false">
      <c r="B7" s="132" t="s">
        <v>665</v>
      </c>
      <c r="C7" s="132" t="s">
        <v>3876</v>
      </c>
      <c r="D7" s="132" t="s">
        <v>3877</v>
      </c>
      <c r="E7" s="132" t="s">
        <v>3878</v>
      </c>
      <c r="F7" s="132" t="s">
        <v>3879</v>
      </c>
      <c r="G7" s="132" t="s">
        <v>307</v>
      </c>
    </row>
    <row r="8" customFormat="false" ht="15" hidden="false" customHeight="true" outlineLevel="0" collapsed="false">
      <c r="B8" s="203" t="s">
        <v>3880</v>
      </c>
      <c r="C8" s="152" t="s">
        <v>3881</v>
      </c>
      <c r="D8" s="633" t="s">
        <v>3882</v>
      </c>
      <c r="E8" s="634" t="n">
        <f aca="false">SUP_POLLO!$C$18</f>
        <v>1.65</v>
      </c>
      <c r="F8" s="634" t="n">
        <f aca="false">SUP_COSTOS!$C$6</f>
        <v>1.65</v>
      </c>
      <c r="G8" s="203" t="str">
        <f aca="false">IF(ABS(F8-E8)&lt;=MAX(0.000001,ABS(E8)*0.000001),"✓","⚠")</f>
        <v>✓</v>
      </c>
    </row>
    <row r="9" customFormat="false" ht="15" hidden="false" customHeight="true" outlineLevel="0" collapsed="false">
      <c r="B9" s="203" t="s">
        <v>3883</v>
      </c>
      <c r="C9" s="152" t="s">
        <v>3884</v>
      </c>
      <c r="D9" s="633" t="s">
        <v>3885</v>
      </c>
      <c r="E9" s="634" t="n">
        <f aca="false">SUP_POLLO!$C$13</f>
        <v>2.2</v>
      </c>
      <c r="F9" s="634" t="n">
        <f aca="false">SUP_INSUMOS!$E$120</f>
        <v>2.2</v>
      </c>
      <c r="G9" s="203" t="str">
        <f aca="false">IF(ABS(F9-E9)&lt;=MAX(0.000001,ABS(E9)*0.000001),"✓","⚠")</f>
        <v>✓</v>
      </c>
    </row>
    <row r="10" customFormat="false" ht="15" hidden="false" customHeight="true" outlineLevel="0" collapsed="false">
      <c r="B10" s="203" t="s">
        <v>3886</v>
      </c>
      <c r="C10" s="152" t="s">
        <v>3887</v>
      </c>
      <c r="D10" s="633" t="s">
        <v>3888</v>
      </c>
      <c r="E10" s="634" t="n">
        <f aca="false">SUP_POLLO!$C$13</f>
        <v>2.2</v>
      </c>
      <c r="F10" s="634" t="n">
        <f aca="false">SUP_COSTOS!$E$19</f>
        <v>2.2</v>
      </c>
      <c r="G10" s="203" t="str">
        <f aca="false">IF(ABS(F10-E10)&lt;=MAX(0.000001,ABS(E10)*0.000001),"✓","⚠")</f>
        <v>✓</v>
      </c>
    </row>
    <row r="11" customFormat="false" ht="15" hidden="false" customHeight="true" outlineLevel="0" collapsed="false">
      <c r="B11" s="203" t="s">
        <v>3889</v>
      </c>
      <c r="C11" s="152" t="s">
        <v>3890</v>
      </c>
      <c r="D11" s="633" t="s">
        <v>3891</v>
      </c>
      <c r="E11" s="634" t="n">
        <f aca="false">SUP_POLLO!$C$18*SUP_POLLO!$C$13</f>
        <v>3.63</v>
      </c>
      <c r="F11" s="634" t="n">
        <f aca="false">SUP_COSTOS!$F$70</f>
        <v>3.63</v>
      </c>
      <c r="G11" s="203" t="str">
        <f aca="false">IF(ABS(F11-E11)&lt;=MAX(0.000001,ABS(E11)*0.000001),"✓","⚠")</f>
        <v>✓</v>
      </c>
    </row>
    <row r="12" customFormat="false" ht="15" hidden="false" customHeight="true" outlineLevel="0" collapsed="false">
      <c r="B12" s="203" t="s">
        <v>3892</v>
      </c>
      <c r="C12" s="152" t="s">
        <v>3893</v>
      </c>
      <c r="D12" s="633" t="s">
        <v>3894</v>
      </c>
      <c r="E12" s="634" t="n">
        <f aca="false">SUP_POLLO!$C$29*SUP_INSUMOS!$E$83</f>
        <v>0.111</v>
      </c>
      <c r="F12" s="634" t="n">
        <f aca="false">SUP_COSTOS!$E$20</f>
        <v>0.111</v>
      </c>
      <c r="G12" s="203" t="str">
        <f aca="false">IF(ABS(F12-E12)&lt;=MAX(0.000001,ABS(E12)*0.000001),"✓","⚠")</f>
        <v>✓</v>
      </c>
    </row>
    <row r="13" customFormat="false" ht="15" hidden="false" customHeight="true" outlineLevel="0" collapsed="false">
      <c r="B13" s="203" t="s">
        <v>3895</v>
      </c>
      <c r="C13" s="152" t="s">
        <v>3896</v>
      </c>
      <c r="D13" s="633" t="s">
        <v>3897</v>
      </c>
      <c r="E13" s="634" t="n">
        <f aca="false">SUP_POLLO!$C$18*SUP_POLLO!$C$29*SUP_INSUMOS!$E$83</f>
        <v>0.18315</v>
      </c>
      <c r="F13" s="634" t="n">
        <f aca="false">SUP_COSTOS!$F$71</f>
        <v>0.18315</v>
      </c>
      <c r="G13" s="203" t="str">
        <f aca="false">IF(ABS(F13-E13)&lt;=MAX(0.000001,ABS(E13)*0.000001),"✓","⚠")</f>
        <v>✓</v>
      </c>
    </row>
    <row r="14" customFormat="false" ht="15" hidden="false" customHeight="true" outlineLevel="0" collapsed="false">
      <c r="B14" s="203" t="s">
        <v>3898</v>
      </c>
      <c r="C14" s="152" t="s">
        <v>3899</v>
      </c>
      <c r="D14" s="633" t="s">
        <v>3900</v>
      </c>
      <c r="E14" s="634" t="n">
        <f aca="false">SUP_POLLO!$C$18/SUP_COSTOS!$C$9</f>
        <v>0.183333333333333</v>
      </c>
      <c r="F14" s="634" t="n">
        <f aca="false">SUP_COSTOS!$C$80</f>
        <v>0.183333333333333</v>
      </c>
      <c r="G14" s="203" t="str">
        <f aca="false">IF(ABS(F14-E14)&lt;=MAX(0.000001,ABS(E14)*0.000001),"✓","⚠")</f>
        <v>✓</v>
      </c>
    </row>
    <row r="15" customFormat="false" ht="15" hidden="false" customHeight="true" outlineLevel="0" collapsed="false">
      <c r="B15" s="203" t="s">
        <v>3901</v>
      </c>
      <c r="C15" s="152" t="s">
        <v>3902</v>
      </c>
      <c r="D15" s="633" t="s">
        <v>3903</v>
      </c>
      <c r="E15" s="634" t="n">
        <f aca="false">SUP_POLLO!$C$18/SUP_COSTOS!$C$9*SUP_POLLO!$C$13</f>
        <v>0.403333333333333</v>
      </c>
      <c r="F15" s="634" t="n">
        <f aca="false">SUP_COSTOS!$F$80</f>
        <v>0.403333333333333</v>
      </c>
      <c r="G15" s="203" t="str">
        <f aca="false">IF(ABS(F15-E15)&lt;=MAX(0.000001,ABS(E15)*0.000001),"✓","⚠")</f>
        <v>✓</v>
      </c>
    </row>
    <row r="16" customFormat="false" ht="15" hidden="false" customHeight="true" outlineLevel="0" collapsed="false">
      <c r="B16" s="203" t="s">
        <v>3904</v>
      </c>
      <c r="C16" s="152" t="s">
        <v>3905</v>
      </c>
      <c r="D16" s="633" t="s">
        <v>3906</v>
      </c>
      <c r="E16" s="634" t="n">
        <f aca="false">SUP_COSTOS!$D$25*SUP_INSUMOS!$E$31+SUP_COSTOS!$D$26*SUP_INSUMOS!$E$130</f>
        <v>0.52291</v>
      </c>
      <c r="F16" s="634" t="n">
        <f aca="false">SUP_COSTOS!$E$27</f>
        <v>0.52291</v>
      </c>
      <c r="G16" s="203" t="str">
        <f aca="false">IF(ABS(F16-E16)&lt;=MAX(0.000001,ABS(E16)*0.000001),"✓","⚠")</f>
        <v>✓</v>
      </c>
    </row>
    <row r="17" customFormat="false" ht="15" hidden="false" customHeight="true" outlineLevel="0" collapsed="false">
      <c r="B17" s="203" t="s">
        <v>3907</v>
      </c>
      <c r="C17" s="152" t="s">
        <v>3908</v>
      </c>
      <c r="D17" s="633" t="s">
        <v>3909</v>
      </c>
      <c r="E17" s="634" t="n">
        <f aca="false">SUP_COSTOS!$C$12*SUP_POLLO!$C$13</f>
        <v>1.21</v>
      </c>
      <c r="F17" s="634" t="n">
        <f aca="false">SUP_COSTOS!$F$226</f>
        <v>1.21</v>
      </c>
      <c r="G17" s="203" t="str">
        <f aca="false">IF(ABS(F17-E17)&lt;=MAX(0.000001,ABS(E17)*0.000001),"✓","⚠")</f>
        <v>✓</v>
      </c>
    </row>
    <row r="18" customFormat="false" ht="15" hidden="false" customHeight="true" outlineLevel="0" collapsed="false">
      <c r="B18" s="203" t="s">
        <v>3910</v>
      </c>
      <c r="C18" s="152" t="s">
        <v>3911</v>
      </c>
      <c r="D18" s="633" t="s">
        <v>3912</v>
      </c>
      <c r="E18" s="634" t="n">
        <f aca="false">SUP_COSTOS!$F$101</f>
        <v>5.60705042625</v>
      </c>
      <c r="F18" s="634" t="n">
        <f aca="false">SUP_PRECIOS!$F$8</f>
        <v>5.60705042625</v>
      </c>
      <c r="G18" s="203" t="str">
        <f aca="false">IF(ABS(F18-E18)&lt;=MAX(0.000001,ABS(E18)*0.000001),"✓","⚠")</f>
        <v>✓</v>
      </c>
    </row>
    <row r="19" customFormat="false" ht="15" hidden="false" customHeight="true" outlineLevel="0" collapsed="false">
      <c r="B19" s="203" t="s">
        <v>3913</v>
      </c>
      <c r="C19" s="152" t="s">
        <v>3914</v>
      </c>
      <c r="D19" s="633" t="s">
        <v>3915</v>
      </c>
      <c r="E19" s="634" t="n">
        <f aca="false">1-(((SUP_POLLO!$C$18*SUP_POLLO!$C$13+SUP_POLLO!$C$18*SUP_COSTOS!$E$20+SUP_COSTOS!$E$40)*(1+SUP_COSTOS!$C$15)+(SUP_COSTOS!$F$99-SUP_COSTOS!$F$92))*(1+SUP_COSTOS!$C$15))/SUP_PRECIOS!$E$8</f>
        <v>0.453430378617647</v>
      </c>
      <c r="F19" s="634" t="n">
        <f aca="false">SUP_PRECIOS!$H$8</f>
        <v>0.453430378617647</v>
      </c>
      <c r="G19" s="203" t="str">
        <f aca="false">IF(ABS(F19-E19)&lt;=MAX(0.000001,ABS(E19)*0.000001),"✓","⚠")</f>
        <v>✓</v>
      </c>
    </row>
    <row r="20" customFormat="false" ht="15" hidden="false" customHeight="true" outlineLevel="0" collapsed="false">
      <c r="B20" s="203" t="s">
        <v>3916</v>
      </c>
      <c r="C20" s="152" t="s">
        <v>3917</v>
      </c>
      <c r="D20" s="633" t="s">
        <v>3918</v>
      </c>
      <c r="E20" s="634" t="n">
        <f aca="false">SUP_POLLO!$C$18</f>
        <v>1.65</v>
      </c>
      <c r="F20" s="634" t="n">
        <f aca="false">SUP_CONTROL!$C$28</f>
        <v>1.65</v>
      </c>
      <c r="G20" s="203" t="str">
        <f aca="false">IF(ABS(F20-E20)&lt;=MAX(0.000001,ABS(E20)*0.000001),"✓","⚠")</f>
        <v>✓</v>
      </c>
    </row>
    <row r="21" customFormat="false" ht="15" hidden="false" customHeight="true" outlineLevel="0" collapsed="false">
      <c r="B21" s="203" t="s">
        <v>3919</v>
      </c>
      <c r="C21" s="152" t="s">
        <v>3920</v>
      </c>
      <c r="D21" s="633" t="s">
        <v>3921</v>
      </c>
      <c r="E21" s="634" t="n">
        <f aca="false">SUP_POLLO!$C$13</f>
        <v>2.2</v>
      </c>
      <c r="F21" s="634" t="n">
        <f aca="false">SUP_CONTROL!$C$29</f>
        <v>2.2</v>
      </c>
      <c r="G21" s="203" t="str">
        <f aca="false">IF(ABS(F21-E21)&lt;=MAX(0.000001,ABS(E21)*0.000001),"✓","⚠")</f>
        <v>✓</v>
      </c>
    </row>
    <row r="22" customFormat="false" ht="15" hidden="false" customHeight="true" outlineLevel="0" collapsed="false">
      <c r="B22" s="203" t="s">
        <v>3922</v>
      </c>
      <c r="C22" s="152" t="s">
        <v>3923</v>
      </c>
      <c r="D22" s="633" t="s">
        <v>3924</v>
      </c>
      <c r="E22" s="634" t="n">
        <f aca="false">SUP_PRECIOS!$K$25/SUP_VOLUMEN!$D$30</f>
        <v>5.6840367238306</v>
      </c>
      <c r="F22" s="634" t="n">
        <f aca="false">SUP_CONTROL!$C$27</f>
        <v>5.6840367238306</v>
      </c>
      <c r="G22" s="203" t="str">
        <f aca="false">IF(ABS(F22-E22)&lt;=MAX(0.000001,ABS(E22)*0.000001),"✓","⚠")</f>
        <v>✓</v>
      </c>
    </row>
    <row r="23" customFormat="false" ht="15" hidden="false" customHeight="true" outlineLevel="0" collapsed="false">
      <c r="B23" s="203" t="s">
        <v>3925</v>
      </c>
      <c r="C23" s="152" t="s">
        <v>3926</v>
      </c>
      <c r="D23" s="633" t="s">
        <v>3927</v>
      </c>
      <c r="E23" s="634" t="n">
        <f aca="false">SUP_VOLUMEN!$D$48*SUP_POLLO!$C$18</f>
        <v>75537</v>
      </c>
      <c r="F23" s="634" t="n">
        <f aca="false">SUP_VOLUMEN!$D$49</f>
        <v>75537</v>
      </c>
      <c r="G23" s="203" t="str">
        <f aca="false">IF(ABS(F23-E23)&lt;=MAX(0.000001,ABS(E23)*0.000001),"✓","⚠")</f>
        <v>✓</v>
      </c>
    </row>
    <row r="24" customFormat="false" ht="15" hidden="false" customHeight="true" outlineLevel="0" collapsed="false">
      <c r="B24" s="203" t="s">
        <v>3928</v>
      </c>
      <c r="C24" s="152" t="s">
        <v>3929</v>
      </c>
      <c r="D24" s="633" t="s">
        <v>3930</v>
      </c>
      <c r="E24" s="634" t="n">
        <f aca="false">SUP_MENU!$E$48*SUP_POLLO!$C$18/SUP_COSTOS!$C$12</f>
        <v>1008</v>
      </c>
      <c r="F24" s="634" t="n">
        <f aca="false">SUP_MENU!$E$63</f>
        <v>1008</v>
      </c>
      <c r="G24" s="203" t="str">
        <f aca="false">IF(ABS(F24-E24)&lt;=MAX(0.000001,ABS(E24)*0.000001),"✓","⚠")</f>
        <v>✓</v>
      </c>
    </row>
    <row r="25" customFormat="false" ht="15" hidden="false" customHeight="true" outlineLevel="0" collapsed="false">
      <c r="B25" s="203" t="s">
        <v>3931</v>
      </c>
      <c r="C25" s="152" t="s">
        <v>3932</v>
      </c>
      <c r="D25" s="633" t="s">
        <v>3933</v>
      </c>
      <c r="E25" s="634" t="n">
        <f aca="false">SUP_POLLO!$C$18</f>
        <v>1.65</v>
      </c>
      <c r="F25" s="634" t="n">
        <f aca="false">SUP_INSUMOS!$D$108</f>
        <v>1.65</v>
      </c>
      <c r="G25" s="203" t="str">
        <f aca="false">IF(ABS(F25-E25)&lt;=MAX(0.000001,ABS(E25)*0.000001),"✓","⚠")</f>
        <v>✓</v>
      </c>
    </row>
    <row r="26" customFormat="false" ht="15" hidden="false" customHeight="true" outlineLevel="0" collapsed="false">
      <c r="B26" s="203" t="s">
        <v>3934</v>
      </c>
      <c r="C26" s="152" t="s">
        <v>3935</v>
      </c>
      <c r="D26" s="633" t="s">
        <v>3936</v>
      </c>
      <c r="E26" s="634" t="n">
        <f aca="false">SUM(CAPA1_PILOTO!$D$14:$DS$14)*SUP_POLLO!$C$18</f>
        <v>8642368.35</v>
      </c>
      <c r="F26" s="634" t="n">
        <f aca="false">SUM(CAPA1_PILOTO!$D$16:$DS$16)</f>
        <v>8642368.35</v>
      </c>
      <c r="G26" s="203" t="str">
        <f aca="false">IF(ABS(F26-E26)&lt;=MAX(0.000001,ABS(E26)*0.000001),"✓","⚠")</f>
        <v>✓</v>
      </c>
    </row>
    <row r="27" customFormat="false" ht="15" hidden="false" customHeight="true" outlineLevel="0" collapsed="false">
      <c r="B27" s="203" t="s">
        <v>3937</v>
      </c>
      <c r="C27" s="152" t="s">
        <v>3938</v>
      </c>
      <c r="D27" s="633" t="s">
        <v>3939</v>
      </c>
      <c r="E27" s="634" t="n">
        <f aca="false">SUM(CAPA3_EXPANSION!$D$38:$DS$38)*SUP_POLLO!$C$18</f>
        <v>16194722.37075</v>
      </c>
      <c r="F27" s="634" t="n">
        <f aca="false">SUM(CAPA3_EXPANSION!$D$41:$DS$41)</f>
        <v>16194722.37075</v>
      </c>
      <c r="G27" s="203" t="str">
        <f aca="false">IF(ABS(F27-E27)&lt;=MAX(0.000001,ABS(E27)*0.000001),"✓","⚠")</f>
        <v>✓</v>
      </c>
    </row>
    <row r="28" customFormat="false" ht="15" hidden="false" customHeight="true" outlineLevel="0" collapsed="false">
      <c r="B28" s="203" t="s">
        <v>3940</v>
      </c>
      <c r="C28" s="152" t="s">
        <v>3941</v>
      </c>
      <c r="D28" s="633" t="s">
        <v>3942</v>
      </c>
      <c r="E28" s="634" t="n">
        <f aca="false">SUM(FC_CRONOGRAMA!$D$57:$BK$57)*SUP_POLLO!$C$18</f>
        <v>3656926.35</v>
      </c>
      <c r="F28" s="634" t="n">
        <f aca="false">SUM(FC_CRONOGRAMA!$D$60:$BK$60)</f>
        <v>3656926.35</v>
      </c>
      <c r="G28" s="203" t="str">
        <f aca="false">IF(ABS(F28-E28)&lt;=MAX(0.000001,ABS(E28)*0.000001),"✓","⚠")</f>
        <v>✓</v>
      </c>
    </row>
    <row r="29" customFormat="false" ht="15" hidden="false" customHeight="true" outlineLevel="0" collapsed="false">
      <c r="B29" s="203" t="s">
        <v>3943</v>
      </c>
      <c r="C29" s="152" t="s">
        <v>3944</v>
      </c>
      <c r="D29" s="633" t="s">
        <v>3945</v>
      </c>
      <c r="E29" s="634" t="n">
        <f aca="false">SUP_CONTROL!$C$11*SUM(CAPA1_PILOTO!$D$16:$DS$16)</f>
        <v>8642368.35</v>
      </c>
      <c r="F29" s="634" t="n">
        <f aca="false">SUM(PROD_DEMANDA!$D$6:$DS$6)</f>
        <v>8642368.35</v>
      </c>
      <c r="G29" s="203" t="str">
        <f aca="false">IF(ABS(F29-E29)&lt;=MAX(0.000001,ABS(E29)*0.000001),"✓","⚠")</f>
        <v>✓</v>
      </c>
    </row>
    <row r="30" customFormat="false" ht="15" hidden="false" customHeight="true" outlineLevel="0" collapsed="false">
      <c r="B30" s="203" t="s">
        <v>3946</v>
      </c>
      <c r="C30" s="152" t="s">
        <v>3947</v>
      </c>
      <c r="D30" s="633" t="s">
        <v>3948</v>
      </c>
      <c r="E30" s="634" t="n">
        <f aca="false">(SUP_PLANTA_OPEX!$C$43+SUP_PLANTA_OPEX!$C$44)/30*SUP_PRODUCCION!$C$34*1000*SUP_POLLO!$C$13</f>
        <v>141141</v>
      </c>
      <c r="F30" s="634" t="n">
        <f aca="false">SUP_PLANTA_OPEX!$C$45</f>
        <v>141141</v>
      </c>
      <c r="G30" s="203" t="str">
        <f aca="false">IF(ABS(F30-E30)&lt;=MAX(0.000001,ABS(E30)*0.000001),"✓","⚠")</f>
        <v>✓</v>
      </c>
    </row>
    <row r="31" customFormat="false" ht="15" hidden="false" customHeight="true" outlineLevel="0" collapsed="false">
      <c r="B31" s="203" t="s">
        <v>3949</v>
      </c>
      <c r="C31" s="152" t="s">
        <v>3950</v>
      </c>
      <c r="D31" s="633" t="s">
        <v>3951</v>
      </c>
      <c r="E31" s="634" t="n">
        <f aca="false">-(RESUMEN_EJECUTIVO!$C$62*SUP_OPEX!$C$30+RESUMEN_EJECUTIVO!$C$61*SUP_POLLO!$C$18*(SUP_PRODUCCION!$C$79+SUP_PLANTA_OPEX!$C$34))</f>
        <v>-6101.34762478598</v>
      </c>
      <c r="F31" s="634" t="n">
        <f aca="false">RESUMEN_EJECUTIVO!$C$64</f>
        <v>-6101.34762478598</v>
      </c>
      <c r="G31" s="203" t="str">
        <f aca="false">IF(ABS(F31-E31)&lt;=MAX(0.000001,ABS(E31)*0.000001),"✓","⚠")</f>
        <v>✓</v>
      </c>
    </row>
    <row r="32" customFormat="false" ht="15" hidden="false" customHeight="true" outlineLevel="0" collapsed="false">
      <c r="B32" s="203" t="s">
        <v>3952</v>
      </c>
      <c r="C32" s="152" t="s">
        <v>3953</v>
      </c>
      <c r="D32" s="633" t="s">
        <v>3954</v>
      </c>
      <c r="E32" s="634" t="n">
        <f aca="false">SUP_PRODUCCION!$C$18*1000/SUP_POLLO!$C$18</f>
        <v>55545.4545454546</v>
      </c>
      <c r="F32" s="634" t="n">
        <f aca="false">SUP_POLLO!$C$43</f>
        <v>55545.4545454546</v>
      </c>
      <c r="G32" s="203" t="str">
        <f aca="false">IF(ABS(F32-E32)&lt;=MAX(0.000001,ABS(E32)*0.000001),"✓","⚠")</f>
        <v>✓</v>
      </c>
    </row>
    <row r="33" customFormat="false" ht="15" hidden="false" customHeight="true" outlineLevel="0" collapsed="false">
      <c r="B33" s="203" t="s">
        <v>3955</v>
      </c>
      <c r="C33" s="152" t="s">
        <v>3956</v>
      </c>
      <c r="D33" s="633" t="s">
        <v>3957</v>
      </c>
      <c r="E33" s="634" t="n">
        <v>0</v>
      </c>
      <c r="F33" s="634" t="n">
        <f aca="false">COUNTIF(PUNTO_EQUILIBRIO!$E$46:$E$59,"⚠*")</f>
        <v>0</v>
      </c>
      <c r="G33" s="203" t="str">
        <f aca="false">IF(ABS(F33-E33)&lt;=MAX(0.000001,ABS(E33)*0.000001),"✓","⚠")</f>
        <v>✓</v>
      </c>
    </row>
    <row r="34" customFormat="false" ht="15" hidden="false" customHeight="true" outlineLevel="0" collapsed="false">
      <c r="B34" s="203" t="s">
        <v>3958</v>
      </c>
      <c r="C34" s="152" t="s">
        <v>3959</v>
      </c>
      <c r="D34" s="633" t="s">
        <v>3960</v>
      </c>
      <c r="E34" s="634" t="n">
        <v>0</v>
      </c>
      <c r="F34" s="634" t="n">
        <f aca="false">COUNTIF(SENS_POLLO!$E$189:$E$198,"⚠*")</f>
        <v>0</v>
      </c>
      <c r="G34" s="203" t="str">
        <f aca="false">IF(ABS(F34-E34)&lt;=MAX(0.000001,ABS(E34)*0.000001),"✓","⚠")</f>
        <v>✓</v>
      </c>
    </row>
    <row r="35" customFormat="false" ht="15" hidden="false" customHeight="true" outlineLevel="0" collapsed="false">
      <c r="B35" s="203" t="s">
        <v>3961</v>
      </c>
      <c r="C35" s="152" t="s">
        <v>3962</v>
      </c>
      <c r="D35" s="633" t="s">
        <v>3963</v>
      </c>
      <c r="E35" s="634" t="n">
        <v>0</v>
      </c>
      <c r="F35" s="634" t="n">
        <f aca="false">FC_CHEQUEO!$E$104</f>
        <v>0</v>
      </c>
      <c r="G35" s="203" t="str">
        <f aca="false">IF(ABS(F35-E35)&lt;=MAX(0.000001,ABS(E35)*0.000001),"✓","⚠")</f>
        <v>✓</v>
      </c>
    </row>
    <row r="36" customFormat="false" ht="15" hidden="false" customHeight="true" outlineLevel="0" collapsed="false">
      <c r="B36" s="203" t="s">
        <v>3964</v>
      </c>
      <c r="C36" s="152" t="s">
        <v>3965</v>
      </c>
      <c r="D36" s="633" t="s">
        <v>3966</v>
      </c>
      <c r="E36" s="634" t="n">
        <v>0</v>
      </c>
      <c r="F36" s="634" t="n">
        <f aca="false">COUNTIF(SUP_POLLO!$C$16,"⚠*")+COUNTIF(SUP_POLLO!$C$37,"⚠*")</f>
        <v>0</v>
      </c>
      <c r="G36" s="203" t="str">
        <f aca="false">IF(ABS(F36-E36)&lt;=MAX(0.000001,ABS(E36)*0.000001),"✓","⚠")</f>
        <v>✓</v>
      </c>
    </row>
    <row r="39" customFormat="false" ht="15" hidden="false" customHeight="false" outlineLevel="0" collapsed="false">
      <c r="A39" s="635" t="s">
        <v>3967</v>
      </c>
      <c r="B39" s="636"/>
      <c r="C39" s="636"/>
      <c r="D39" s="636"/>
      <c r="E39" s="636"/>
      <c r="F39" s="636"/>
      <c r="G39" s="636"/>
    </row>
    <row r="40" customFormat="false" ht="15" hidden="false" customHeight="false" outlineLevel="0" collapsed="false">
      <c r="B40" s="132" t="s">
        <v>2097</v>
      </c>
      <c r="C40" s="132" t="s">
        <v>3968</v>
      </c>
      <c r="D40" s="132" t="s">
        <v>3969</v>
      </c>
      <c r="E40" s="132" t="s">
        <v>3970</v>
      </c>
      <c r="F40" s="132" t="s">
        <v>3971</v>
      </c>
      <c r="G40" s="132" t="s">
        <v>307</v>
      </c>
    </row>
    <row r="41" customFormat="false" ht="48" hidden="false" customHeight="true" outlineLevel="0" collapsed="false">
      <c r="B41" s="203" t="s">
        <v>3972</v>
      </c>
      <c r="C41" s="152" t="s">
        <v>3973</v>
      </c>
      <c r="D41" s="633" t="s">
        <v>3974</v>
      </c>
      <c r="E41" s="166" t="s">
        <v>3975</v>
      </c>
      <c r="F41" s="637" t="s">
        <v>3976</v>
      </c>
      <c r="G41" s="203" t="s">
        <v>3303</v>
      </c>
    </row>
    <row r="42" customFormat="false" ht="48" hidden="false" customHeight="true" outlineLevel="0" collapsed="false">
      <c r="B42" s="203" t="s">
        <v>3977</v>
      </c>
      <c r="C42" s="152" t="s">
        <v>3978</v>
      </c>
      <c r="D42" s="633" t="s">
        <v>3979</v>
      </c>
      <c r="E42" s="166" t="s">
        <v>3980</v>
      </c>
      <c r="F42" s="637" t="s">
        <v>3981</v>
      </c>
      <c r="G42" s="203" t="s">
        <v>3303</v>
      </c>
    </row>
    <row r="43" customFormat="false" ht="48" hidden="false" customHeight="true" outlineLevel="0" collapsed="false">
      <c r="B43" s="203" t="s">
        <v>3982</v>
      </c>
      <c r="C43" s="152" t="s">
        <v>3983</v>
      </c>
      <c r="D43" s="633" t="s">
        <v>3984</v>
      </c>
      <c r="E43" s="166" t="s">
        <v>3985</v>
      </c>
      <c r="F43" s="637" t="s">
        <v>3986</v>
      </c>
      <c r="G43" s="203" t="s">
        <v>3303</v>
      </c>
    </row>
    <row r="44" customFormat="false" ht="48" hidden="false" customHeight="true" outlineLevel="0" collapsed="false">
      <c r="B44" s="203" t="s">
        <v>3987</v>
      </c>
      <c r="C44" s="152" t="s">
        <v>3988</v>
      </c>
      <c r="D44" s="633" t="s">
        <v>3989</v>
      </c>
      <c r="E44" s="166" t="s">
        <v>3990</v>
      </c>
      <c r="F44" s="637" t="s">
        <v>3991</v>
      </c>
      <c r="G44" s="203" t="s">
        <v>3303</v>
      </c>
    </row>
    <row r="45" customFormat="false" ht="48" hidden="false" customHeight="true" outlineLevel="0" collapsed="false">
      <c r="B45" s="203" t="s">
        <v>3992</v>
      </c>
      <c r="C45" s="152" t="s">
        <v>3993</v>
      </c>
      <c r="D45" s="633" t="s">
        <v>3994</v>
      </c>
      <c r="E45" s="166" t="s">
        <v>3995</v>
      </c>
      <c r="F45" s="637" t="s">
        <v>3996</v>
      </c>
      <c r="G45" s="203" t="s">
        <v>3303</v>
      </c>
    </row>
    <row r="46" customFormat="false" ht="48" hidden="false" customHeight="true" outlineLevel="0" collapsed="false">
      <c r="B46" s="203" t="s">
        <v>3997</v>
      </c>
      <c r="C46" s="152" t="s">
        <v>3998</v>
      </c>
      <c r="D46" s="633" t="s">
        <v>3999</v>
      </c>
      <c r="E46" s="166" t="s">
        <v>4000</v>
      </c>
      <c r="F46" s="637" t="s">
        <v>4001</v>
      </c>
      <c r="G46" s="203" t="s">
        <v>3303</v>
      </c>
    </row>
    <row r="47" customFormat="false" ht="48" hidden="false" customHeight="true" outlineLevel="0" collapsed="false">
      <c r="B47" s="203" t="s">
        <v>4002</v>
      </c>
      <c r="C47" s="152" t="s">
        <v>4003</v>
      </c>
      <c r="D47" s="633" t="s">
        <v>4004</v>
      </c>
      <c r="E47" s="166" t="s">
        <v>4005</v>
      </c>
      <c r="F47" s="637" t="s">
        <v>3991</v>
      </c>
      <c r="G47" s="203" t="s">
        <v>3303</v>
      </c>
    </row>
    <row r="48" customFormat="false" ht="48" hidden="false" customHeight="true" outlineLevel="0" collapsed="false">
      <c r="B48" s="203" t="s">
        <v>4006</v>
      </c>
      <c r="C48" s="152" t="s">
        <v>4007</v>
      </c>
      <c r="D48" s="633" t="s">
        <v>4008</v>
      </c>
      <c r="E48" s="166" t="s">
        <v>4009</v>
      </c>
      <c r="F48" s="637" t="s">
        <v>4010</v>
      </c>
      <c r="G48" s="203" t="s">
        <v>3303</v>
      </c>
    </row>
    <row r="49" customFormat="false" ht="48" hidden="false" customHeight="true" outlineLevel="0" collapsed="false">
      <c r="B49" s="203" t="s">
        <v>4011</v>
      </c>
      <c r="C49" s="152" t="s">
        <v>4012</v>
      </c>
      <c r="D49" s="633" t="s">
        <v>4013</v>
      </c>
      <c r="E49" s="166" t="s">
        <v>4014</v>
      </c>
      <c r="F49" s="637" t="s">
        <v>4015</v>
      </c>
      <c r="G49" s="203" t="s">
        <v>3303</v>
      </c>
    </row>
    <row r="51" customFormat="false" ht="15" hidden="false" customHeight="false" outlineLevel="0" collapsed="false">
      <c r="A51" s="635" t="s">
        <v>4016</v>
      </c>
      <c r="B51" s="636"/>
      <c r="C51" s="636"/>
      <c r="D51" s="636"/>
      <c r="E51" s="636"/>
      <c r="F51" s="636"/>
      <c r="G51" s="636"/>
    </row>
    <row r="52" customFormat="false" ht="15" hidden="false" customHeight="false" outlineLevel="0" collapsed="false">
      <c r="B52" s="132" t="s">
        <v>2097</v>
      </c>
      <c r="C52" s="132" t="s">
        <v>4017</v>
      </c>
      <c r="D52" s="132" t="s">
        <v>4018</v>
      </c>
      <c r="E52" s="132" t="s">
        <v>4019</v>
      </c>
    </row>
    <row r="53" customFormat="false" ht="30" hidden="false" customHeight="true" outlineLevel="0" collapsed="false">
      <c r="B53" s="161" t="n">
        <v>1</v>
      </c>
      <c r="C53" s="633" t="s">
        <v>19</v>
      </c>
      <c r="D53" s="633" t="s">
        <v>4020</v>
      </c>
      <c r="E53" s="638" t="s">
        <v>4021</v>
      </c>
      <c r="F53" s="638"/>
      <c r="G53" s="638"/>
    </row>
    <row r="54" customFormat="false" ht="30" hidden="false" customHeight="true" outlineLevel="0" collapsed="false">
      <c r="B54" s="161" t="n">
        <v>2</v>
      </c>
      <c r="C54" s="633" t="s">
        <v>19</v>
      </c>
      <c r="D54" s="633" t="s">
        <v>4022</v>
      </c>
      <c r="E54" s="638" t="s">
        <v>4023</v>
      </c>
      <c r="F54" s="638"/>
      <c r="G54" s="638"/>
    </row>
    <row r="55" customFormat="false" ht="30" hidden="false" customHeight="true" outlineLevel="0" collapsed="false">
      <c r="B55" s="161" t="n">
        <v>3</v>
      </c>
      <c r="C55" s="633" t="s">
        <v>19</v>
      </c>
      <c r="D55" s="633" t="s">
        <v>4024</v>
      </c>
      <c r="E55" s="638" t="s">
        <v>4025</v>
      </c>
      <c r="F55" s="638"/>
      <c r="G55" s="638"/>
    </row>
    <row r="56" customFormat="false" ht="30" hidden="false" customHeight="true" outlineLevel="0" collapsed="false">
      <c r="B56" s="161" t="n">
        <v>4</v>
      </c>
      <c r="C56" s="633" t="s">
        <v>17</v>
      </c>
      <c r="D56" s="633" t="s">
        <v>4026</v>
      </c>
      <c r="E56" s="638" t="s">
        <v>4027</v>
      </c>
      <c r="F56" s="638"/>
      <c r="G56" s="638"/>
    </row>
    <row r="57" customFormat="false" ht="30" hidden="false" customHeight="true" outlineLevel="0" collapsed="false">
      <c r="B57" s="161" t="n">
        <v>5</v>
      </c>
      <c r="C57" s="633" t="s">
        <v>17</v>
      </c>
      <c r="D57" s="633" t="s">
        <v>4028</v>
      </c>
      <c r="E57" s="638" t="s">
        <v>4029</v>
      </c>
      <c r="F57" s="638"/>
      <c r="G57" s="638"/>
    </row>
    <row r="58" customFormat="false" ht="30" hidden="false" customHeight="true" outlineLevel="0" collapsed="false">
      <c r="B58" s="161" t="n">
        <v>6</v>
      </c>
      <c r="C58" s="633" t="s">
        <v>17</v>
      </c>
      <c r="D58" s="633" t="s">
        <v>4030</v>
      </c>
      <c r="E58" s="638" t="s">
        <v>4031</v>
      </c>
      <c r="F58" s="638"/>
      <c r="G58" s="638"/>
    </row>
    <row r="59" customFormat="false" ht="30" hidden="false" customHeight="true" outlineLevel="0" collapsed="false">
      <c r="B59" s="161" t="n">
        <v>7</v>
      </c>
      <c r="C59" s="633" t="s">
        <v>17</v>
      </c>
      <c r="D59" s="633" t="s">
        <v>4032</v>
      </c>
      <c r="E59" s="638" t="s">
        <v>4033</v>
      </c>
      <c r="F59" s="638"/>
      <c r="G59" s="638"/>
    </row>
    <row r="60" customFormat="false" ht="30" hidden="false" customHeight="true" outlineLevel="0" collapsed="false">
      <c r="B60" s="161" t="n">
        <v>8</v>
      </c>
      <c r="C60" s="633" t="s">
        <v>17</v>
      </c>
      <c r="D60" s="633" t="s">
        <v>4034</v>
      </c>
      <c r="E60" s="638" t="s">
        <v>4035</v>
      </c>
      <c r="F60" s="638"/>
      <c r="G60" s="638"/>
    </row>
    <row r="61" customFormat="false" ht="30" hidden="false" customHeight="true" outlineLevel="0" collapsed="false">
      <c r="B61" s="161" t="n">
        <v>9</v>
      </c>
      <c r="C61" s="633" t="s">
        <v>6</v>
      </c>
      <c r="D61" s="633" t="s">
        <v>4036</v>
      </c>
      <c r="E61" s="638" t="s">
        <v>4037</v>
      </c>
      <c r="F61" s="638"/>
      <c r="G61" s="638"/>
    </row>
    <row r="62" customFormat="false" ht="30" hidden="false" customHeight="true" outlineLevel="0" collapsed="false">
      <c r="B62" s="161" t="n">
        <v>10</v>
      </c>
      <c r="C62" s="633" t="s">
        <v>4038</v>
      </c>
      <c r="D62" s="633" t="s">
        <v>4039</v>
      </c>
      <c r="E62" s="638" t="s">
        <v>4040</v>
      </c>
      <c r="F62" s="638"/>
      <c r="G62" s="638"/>
    </row>
    <row r="63" customFormat="false" ht="30" hidden="false" customHeight="true" outlineLevel="0" collapsed="false">
      <c r="B63" s="161" t="n">
        <v>11</v>
      </c>
      <c r="C63" s="633" t="s">
        <v>10</v>
      </c>
      <c r="D63" s="633" t="s">
        <v>4041</v>
      </c>
      <c r="E63" s="638" t="s">
        <v>4042</v>
      </c>
      <c r="F63" s="638"/>
      <c r="G63" s="638"/>
    </row>
    <row r="64" customFormat="false" ht="30" hidden="false" customHeight="true" outlineLevel="0" collapsed="false">
      <c r="B64" s="161" t="n">
        <v>12</v>
      </c>
      <c r="C64" s="633" t="s">
        <v>97</v>
      </c>
      <c r="D64" s="633" t="s">
        <v>2134</v>
      </c>
      <c r="E64" s="638" t="s">
        <v>4043</v>
      </c>
      <c r="F64" s="638"/>
      <c r="G64" s="638"/>
    </row>
    <row r="65" customFormat="false" ht="30" hidden="false" customHeight="true" outlineLevel="0" collapsed="false">
      <c r="B65" s="161" t="n">
        <v>13</v>
      </c>
      <c r="C65" s="633" t="s">
        <v>99</v>
      </c>
      <c r="D65" s="633" t="s">
        <v>4044</v>
      </c>
      <c r="E65" s="638" t="s">
        <v>4045</v>
      </c>
      <c r="F65" s="638"/>
      <c r="G65" s="638"/>
    </row>
    <row r="66" customFormat="false" ht="30" hidden="false" customHeight="true" outlineLevel="0" collapsed="false">
      <c r="B66" s="161" t="n">
        <v>14</v>
      </c>
      <c r="C66" s="633" t="s">
        <v>8</v>
      </c>
      <c r="D66" s="633" t="s">
        <v>4046</v>
      </c>
      <c r="E66" s="638" t="s">
        <v>4047</v>
      </c>
      <c r="F66" s="638"/>
      <c r="G66" s="638"/>
    </row>
    <row r="67" customFormat="false" ht="30" hidden="false" customHeight="true" outlineLevel="0" collapsed="false">
      <c r="B67" s="161" t="n">
        <v>15</v>
      </c>
      <c r="C67" s="633" t="s">
        <v>10</v>
      </c>
      <c r="D67" s="633" t="s">
        <v>4048</v>
      </c>
      <c r="E67" s="638" t="s">
        <v>4049</v>
      </c>
      <c r="F67" s="638"/>
      <c r="G67" s="638"/>
    </row>
    <row r="68" customFormat="false" ht="30" hidden="false" customHeight="true" outlineLevel="0" collapsed="false">
      <c r="B68" s="161" t="n">
        <v>16</v>
      </c>
      <c r="C68" s="633" t="s">
        <v>4050</v>
      </c>
      <c r="D68" s="633" t="s">
        <v>4051</v>
      </c>
      <c r="E68" s="638" t="s">
        <v>4052</v>
      </c>
      <c r="F68" s="638"/>
      <c r="G68" s="638"/>
    </row>
  </sheetData>
  <mergeCells count="16">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s>
  <conditionalFormatting sqref="G8:G40">
    <cfRule type="cellIs" priority="2" operator="equal" aboveAverage="0" equalAverage="0" bottom="0" percent="0" rank="0" text="" dxfId="2">
      <formula>"⚠"</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2026-07-31T18:58:08Z</dcterms:created>
  <dc:creator>openpyxl</dc:creator>
  <dc:description/>
  <dc:language>en-US</dc:language>
  <cp:lastModifiedBy/>
  <dcterms:modified xsi:type="dcterms:W3CDTF">2026-09-27T18:43:41Z</dcterms:modified>
  <cp:revision>58</cp:revision>
  <dc:subject/>
  <dc:title/>
</cp:coreProperties>
</file>

<file path=docProps/custom.xml><?xml version="1.0" encoding="utf-8"?>
<Properties xmlns="http://schemas.openxmlformats.org/officeDocument/2006/custom-properties" xmlns:vt="http://schemas.openxmlformats.org/officeDocument/2006/docPropsVTypes"/>
</file>